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store\OKK\- ОТДЕЛ НЕПРОИЗВОДСТВЕННОЙ СФЕРЫ\РЕГУЛИРОВАНИЕ ТАРИФОВ ОКК\ТАРИФЫ 2026г\СФОРМИРОВАННЫЕ МАТЕРИАЛЫ\г. Анжеро-Судженск\ООО Чистая вода\Правление (11.12.2025)\"/>
    </mc:Choice>
  </mc:AlternateContent>
  <xr:revisionPtr revIDLastSave="0" documentId="13_ncr:1_{A054B20B-0998-4814-8D31-71A41557C3C5}" xr6:coauthVersionLast="45" xr6:coauthVersionMax="45" xr10:uidLastSave="{00000000-0000-0000-0000-000000000000}"/>
  <bookViews>
    <workbookView xWindow="-120" yWindow="-120" windowWidth="29040" windowHeight="15840" tabRatio="927" firstSheet="24" activeTab="26" xr2:uid="{00000000-000D-0000-FFFF-FFFF00000000}"/>
  </bookViews>
  <sheets>
    <sheet name="Информация JSON" sheetId="1" state="hidden" r:id="rId1"/>
    <sheet name="Инструкция" sheetId="2" r:id="rId2"/>
    <sheet name="Пояснения" sheetId="3" state="hidden" r:id="rId3"/>
    <sheet name="Список листов" sheetId="4" r:id="rId4"/>
    <sheet name="Общие сведения" sheetId="5" r:id="rId5"/>
    <sheet name="Список территорий" sheetId="6" r:id="rId6"/>
    <sheet name="Перечень объектов" sheetId="7" r:id="rId7"/>
    <sheet name="Список объектов" sheetId="8" r:id="rId8"/>
    <sheet name="Сценарии" sheetId="9" r:id="rId9"/>
    <sheet name="ИИКА" sheetId="10" r:id="rId10"/>
    <sheet name="Баланс" sheetId="11" r:id="rId11"/>
    <sheet name="Условные метры" sheetId="12" r:id="rId12"/>
    <sheet name="Сырье и материалы" sheetId="13" r:id="rId13"/>
    <sheet name="ЭЭ" sheetId="14" r:id="rId14"/>
    <sheet name="Амортизация" sheetId="15" r:id="rId15"/>
    <sheet name="Аренда" sheetId="16" r:id="rId16"/>
    <sheet name="Амортизация (аналог)" sheetId="17" state="hidden" r:id="rId17"/>
    <sheet name="Покупка" sheetId="18" r:id="rId18"/>
    <sheet name="ФОТ" sheetId="19" state="hidden" r:id="rId19"/>
    <sheet name="Административные" sheetId="20" state="hidden" r:id="rId20"/>
    <sheet name="Сбытовые расходы ГО" sheetId="21" state="hidden" r:id="rId21"/>
    <sheet name="Налоги" sheetId="22" r:id="rId22"/>
    <sheet name="ИП + источники" sheetId="23" r:id="rId23"/>
    <sheet name="Экономия_корр" sheetId="24" r:id="rId24"/>
    <sheet name="Плата за негативное возд" sheetId="25" r:id="rId25"/>
    <sheet name="Корректировка НВВ" sheetId="26" r:id="rId26"/>
    <sheet name="ТМ" sheetId="27" r:id="rId27"/>
    <sheet name="Калькуляция (МЭОР)" sheetId="28" state="hidden" r:id="rId28"/>
    <sheet name="Калькуляция (МИ)" sheetId="29" state="hidden" r:id="rId29"/>
    <sheet name="Калькуляция (МИ корр)" sheetId="30" r:id="rId30"/>
    <sheet name="ДПР" sheetId="31" r:id="rId31"/>
    <sheet name="ДПР (концессии)" sheetId="32" r:id="rId32"/>
    <sheet name="ГО" sheetId="33" r:id="rId33"/>
    <sheet name="Калькуляция (МСА)" sheetId="34" state="hidden" r:id="rId34"/>
    <sheet name="Комментарии" sheetId="35" r:id="rId35"/>
    <sheet name="REESTR_MO" sheetId="36" state="hidden" r:id="rId36"/>
    <sheet name="REESTR_ORG" sheetId="37" state="hidden" r:id="rId37"/>
    <sheet name="REESTR_OBJECT" sheetId="38" state="hidden" r:id="rId38"/>
    <sheet name="REESTR_ROIV_OMS" sheetId="39" state="hidden" r:id="rId39"/>
    <sheet name="REESTR_TARIFF" sheetId="40" state="hidden" r:id="rId40"/>
    <sheet name="DICTIONARIES" sheetId="41" state="hidden" r:id="rId41"/>
    <sheet name="TEHSHEET" sheetId="42" state="hidden" r:id="rId42"/>
    <sheet name="REESTR_SEP_DIV" sheetId="43" state="hidden" r:id="rId43"/>
    <sheet name="REESTR_DOP" sheetId="44" state="hidden" r:id="rId44"/>
  </sheets>
  <definedNames>
    <definedName name="_xlnm._FilterDatabase" localSheetId="4">'Общие сведения'!#REF!</definedName>
    <definedName name="_xlnm._FilterDatabase" localSheetId="5">'Список территорий'!$AA$21:$AG$22</definedName>
    <definedName name="AdminExpenses_LOAD_2">Административные!$AK$24:$AK$25</definedName>
    <definedName name="AdminExpenses_pIns_comm">Административные!$AB$88</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Амортизация!$AB$178</definedName>
    <definedName name="Amortization_vis_flags">Амортизация!$AI$2:$BB$2</definedName>
    <definedName name="AUTHORIZED_PERSON_EMAIL">'Общие сведения'!$AE$233</definedName>
    <definedName name="AUTHORIZED_PERSON_FIO">'Общие сведения'!$AE$230</definedName>
    <definedName name="AUTHORIZED_PERSON_PHONE">'Общие сведения'!$AE$232</definedName>
    <definedName name="AUTHORIZED_PERSON_POSITION">'Общие сведения'!$AE$231</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(МИ)'!$AB$463</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ДПР!$AB$188</definedName>
    <definedName name="DPR_vis_flags">ДПР!$W$28:$W$28</definedName>
    <definedName name="DPR_vis_flags2">ДПР!$AG$2:$AK$2</definedName>
    <definedName name="DPRConcessions_LOAD_1">'ДПР (концессии)'!$AC$26:$AK$26</definedName>
    <definedName name="DPRConcessions_pIns_comm">'ДПР (концессии)'!$AB$295</definedName>
    <definedName name="DPRConcessions_vis_flags">'ДПР (концессии)'!$W$26:$W$26</definedName>
    <definedName name="DPRConcessions_vis_flags2">'ДПР (концессии)'!$AG$2:$AK$2</definedName>
    <definedName name="Electricity_LOAD_1">ЭЭ!$AE$25:$BB$117</definedName>
    <definedName name="Electricity_vis_flags">ЭЭ!$AI$2:$BB$2</definedName>
    <definedName name="entityName">'Общие сведения'!$AI$24</definedName>
    <definedName name="et_AdminExpenses_tariff">Административные!$32:$88</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сведения'!$242:$242</definedName>
    <definedName name="et_GeneralInfo_tariff">'Общие сведения'!$186:$199</definedName>
    <definedName name="et_InvestmentSources_tariff">'ИП + источники'!$29:$57</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Покупка!$35:$36</definedName>
    <definedName name="et_Purchase_org3">Покупка!$40:$41</definedName>
    <definedName name="et_Purchase_org4">Покупка!$45:$46</definedName>
    <definedName name="et_Purchase_org5">Покупка!$50:$51</definedName>
    <definedName name="et_Purchase_tariff">Покупка!$27:$52</definedName>
    <definedName name="et_Reagents_reagent">'Сырье и материалы'!$29:$29</definedName>
    <definedName name="et_Reagents_tariff">'Сырье и материалы'!$27:$30</definedName>
    <definedName name="et_Rent_tariff">Аренда!$27:$34</definedName>
    <definedName name="et_SalesExpensesGO_1">'Сбытовые расходы ГО'!$71:$71</definedName>
    <definedName name="et_SalesExpensesGO_tariff">'Сбытовые расходы ГО'!$32:$69</definedName>
    <definedName name="et_SavingsCorrection_tariff">Экономия_корр!$32:$55</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сведения'!$AE$181</definedName>
    <definedName name="first_year">'Общие сведения'!$AE$25</definedName>
    <definedName name="flag_end_AdminExpenses">Административные!$AL$89</definedName>
    <definedName name="flag_end_AmorAnalog">'Амортизация (аналог)'!$AG$53</definedName>
    <definedName name="flag_end_Amortization">Амортизация!$BD$179</definedName>
    <definedName name="flag_end_Balance">Баланс!$BD$306</definedName>
    <definedName name="flag_end_CalcMeor">'Калькуляция (МЭОР)'!$AP$287</definedName>
    <definedName name="flag_end_CalcMiCorr">'Калькуляция (МИ корр)'!$BQ$464</definedName>
    <definedName name="flag_end_Calculation">'Калькуляция (МИ)'!$BQ$464</definedName>
    <definedName name="flag_end_Comments">Комментарии!$AC$34</definedName>
    <definedName name="flag_end_DPR">ДПР!$AL$189</definedName>
    <definedName name="flag_end_DPRConcessions">'ДПР (концессии)'!$AL$296</definedName>
    <definedName name="flag_end_Electricity">ЭЭ!$BD$122</definedName>
    <definedName name="flag_end_Explanations">Пояснения!$AE$27</definedName>
    <definedName name="flag_end_GeneralInfo">'Общие сведения'!$AF$243</definedName>
    <definedName name="flag_end_GO">ГО!$AF$299</definedName>
    <definedName name="flag_end_iika">ИИКА!$BB$42</definedName>
    <definedName name="flag_end_InvestmentSources">'ИП + источники'!$BF$121</definedName>
    <definedName name="flag_end_NegativeImpactFee">'Плата за негативное возд'!$AM$40</definedName>
    <definedName name="flag_end_NVVCorrection">'Корректировка НВВ'!$AI$185</definedName>
    <definedName name="flag_end_ObjectList">'Список объектов'!$AI$59</definedName>
    <definedName name="flag_end_Objects">'Перечень объектов'!$AK$68</definedName>
    <definedName name="flag_end_Purchase">Покупка!$BD$122</definedName>
    <definedName name="flag_end_Reagents">'Сырье и материалы'!$BD$58</definedName>
    <definedName name="flag_end_Rent">Аренда!$BD$62</definedName>
    <definedName name="flag_end_SalesExpensesGO">'Сбытовые расходы ГО'!$AL$70</definedName>
    <definedName name="flag_end_SavingsCorrection">Экономия_корр!$AZ$56</definedName>
    <definedName name="flag_end_Scenarios">Сценарии!$BG$109</definedName>
    <definedName name="flag_end_SheetList">'Список листов'!$AE$54</definedName>
    <definedName name="flag_end_TariffCalcMsa">'Калькуляция (МСА)'!$AG$91</definedName>
    <definedName name="flag_end_Taxes">Налоги!$BD$74</definedName>
    <definedName name="flag_end_TerritoryList">'Список территорий'!$AH$37</definedName>
    <definedName name="flag_end_TM">ТМ!$FX$202</definedName>
    <definedName name="flag_end_uslmetr">'Условные метры'!$AQ$43</definedName>
    <definedName name="flag_end_WageFund">ФОТ!$AL$143</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сведения'!$AE$22:$AE$241</definedName>
    <definedName name="GeneralInfo_LOAD_1">'Общие сведения'!$AE$44:$AE$239</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сведения'!$AE$155</definedName>
    <definedName name="GeneralInfo_tariff_start">'Общие сведения'!$AA$184</definedName>
    <definedName name="GeneralInfo_vis_flags">'Общие сведения'!$Y$184:$Y$184</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сведения'!$AE$137:$AE$155</definedName>
    <definedName name="hasTranspVO">'Общие сведения'!$AG$179</definedName>
    <definedName name="hasTranspVS">'Общие сведения'!$AF$179</definedName>
    <definedName name="hasVO">'Общие сведения'!$AE$179</definedName>
    <definedName name="hasVS">'Общие сведения'!$AD$179</definedName>
    <definedName name="inn">'Общие сведения'!$AE$42</definedName>
    <definedName name="InsB_GeneralInfo_tariff">'Общие сведения'!$AD$228</definedName>
    <definedName name="InvestmentSources_is_one_block">'ИП + источники'!$AD$24</definedName>
    <definedName name="InvestmentSources_LOAD_1">'ИП + источники'!$AE$27:$BD$116</definedName>
    <definedName name="InvestmentSources_LOAD_2">'ИП + источники'!$BE$26:$BE$116</definedName>
    <definedName name="InvestmentSources_pIns_comm">'ИП + источники'!$AB$120</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метры'!$AC$24:$AP$38</definedName>
    <definedName name="List04_pIns_comm">'Условные метры'!$AB$42</definedName>
    <definedName name="List05_LOAD_1">'Амортизация (аналог)'!$AE$25:$AF$48</definedName>
    <definedName name="List05_pIns_comm">'Амортизация (аналог)'!$AB$52</definedName>
    <definedName name="List06_LOAD_1">ГО!$AE$25:$AE$115</definedName>
    <definedName name="List06_pIns_comm">ГО!$AB$298</definedName>
    <definedName name="List07_LOAD_1">'Калькуляция (МСА)'!$AE$25:$AF$84</definedName>
    <definedName name="List07_pIns_comm">'Калькуляция (МСА)'!$AB$90</definedName>
    <definedName name="List15_LOAD_1">'Калькуляция (МЭОР)'!$AE$25:$AK$282</definedName>
    <definedName name="List15_LOAD_2">'Калькуляция (МЭОР)'!$AM$24:$AO$282</definedName>
    <definedName name="List15_pIns_comm">'Калькуляция (МЭОР)'!$AB$286</definedName>
    <definedName name="List15_vis_flags">'Калькуляция (МЭОР)'!$AE$17:$AL$17</definedName>
    <definedName name="List15_vis_flags2">'Калькуляция (МЭОР)'!$H$25:$H$282</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возд'!$AB$39</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НВВ'!$AB$184</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сведения'!$AE$242</definedName>
    <definedName name="org">'Общие сведения'!$AB$33</definedName>
    <definedName name="org_declaration">'Общие сведения'!$AB$185</definedName>
    <definedName name="ORG_DIRECTOR_POSITION">'Общие сведения'!$AE$51</definedName>
    <definedName name="ORG_EMAIL">'Общие сведения'!$AE$49</definedName>
    <definedName name="ORG_END_DATE">TEHSHEET!$M$12</definedName>
    <definedName name="ORG_EXECUTOR_EMAIL">'Общие сведения'!$AE$162</definedName>
    <definedName name="ORG_EXECUTOR_FIO">'Общие сведения'!$AE$159</definedName>
    <definedName name="ORG_EXECUTOR_PHONE">'Общие сведения'!$AE$161</definedName>
    <definedName name="ORG_EXECUTOR_POSITION">'Общие сведения'!$AE$160</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сведения'!$AE$157</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ЭЭ!$AB$117</definedName>
    <definedName name="pIns_Electricity_voltage">ЭЭ!$AC:$AC</definedName>
    <definedName name="pIns_Iika">ИИКА!$AB$42</definedName>
    <definedName name="pIns_InvestmentSources_tariff">'ИП + источники'!$AB$116</definedName>
    <definedName name="pIns_List04_tariff">'Условные метры'!$AB$38</definedName>
    <definedName name="pIns_List05_tariff">'Амортизация (аналог)'!$AB$48</definedName>
    <definedName name="pIns_List07_tariff">'Калькуляция (МСА)'!$AB$84</definedName>
    <definedName name="pIns_List15_1">'Калькуляция (МЭОР)'!$AC:$AC</definedName>
    <definedName name="pIns_List15_tariff">'Калькуляция (МЭОР)'!$AB$282</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материалы'!$AB$47</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Покупка!$AB$121</definedName>
    <definedName name="Purchase_vis_flags">Покупка!$AI$17:$BB$17</definedName>
    <definedName name="Reagents_LOAD_1">'Сырье и материалы'!$AE$25:$BB$47</definedName>
    <definedName name="Reagents_LOAD_2">'Сырье и материалы'!$BC$24:$BC$47</definedName>
    <definedName name="Reagents_pIns_comm">'Сырье и материалы'!$AB$57</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Аренда!$AB$61</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ГО'!$AB$69</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Экономия_корр!$AB$55</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сведения'!$AF$186:$AF$228</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Налоги!$AB$73</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ТМ!$AB$201</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ФОТ!$AB$142</definedName>
    <definedName name="WageFund_vis_flags">ФОТ!$AE$17:$AJ$17</definedName>
    <definedName name="wsAdmins_json_coms">Административные!$AC$86:$AC$88</definedName>
    <definedName name="wsAdmins_preload">Административные!$AE$28:$AH$84</definedName>
    <definedName name="wsAdmins_preload_coms">Административные!$AK$28:$AK$84</definedName>
    <definedName name="wsAdmins_preload_full">Административные!$AE$28:$AJ$84</definedName>
    <definedName name="wsAdmins_preload_json">Административные!$AE$28:$AK$84</definedName>
    <definedName name="wsAmor_json_coms">Амортизация!$AC$176:$AC$178</definedName>
    <definedName name="wsAmor_preload">Амортизация!$AE$28:$AH$174</definedName>
    <definedName name="wsAmor_preload_coms">Амортизация!$BC$28:$BC$174</definedName>
    <definedName name="wsAmor_preload_full">Амортизация!$AE$28:$BB$174</definedName>
    <definedName name="wsAmor_preload_json">Амортизация!$AE$28:$BC$174</definedName>
    <definedName name="wsAmorAnalog_json_coms">'Амортизация (аналог)'!$AC$50:$AC$52</definedName>
    <definedName name="wsAmorAnalog_preload">'Амортизация (аналог)'!$AE$28:$AF$48</definedName>
    <definedName name="wsAmorAnalog_preload_json">'Амортизация (аналог)'!$AE$28:$AF$48</definedName>
    <definedName name="wsBalance_json_coms">Баланс!$AC$302:$AC$305</definedName>
    <definedName name="wsBalance_preload">Баланс!$AE$28:$AH$300</definedName>
    <definedName name="wsBalance_preload_coms">Баланс!$BC$28:$BC$300</definedName>
    <definedName name="wsBalance_preload_full">Баланс!$AE$28:$BB$300</definedName>
    <definedName name="wsBalance_preload_json">Баланс!$AE$28:$BC$300</definedName>
    <definedName name="wsComments_json_coms">Комментарии!$AB$24:$AB$33</definedName>
    <definedName name="wsDPR_json_coms">ДПР!$AC$185:$AC$188</definedName>
    <definedName name="wsDPR_preload">ДПР!$AC$31:$AK$183</definedName>
    <definedName name="wsDPR_preload_json">ДПР!$AC$31:$AK$183</definedName>
    <definedName name="wsDPRconc_json_coms">'ДПР (концессии)'!$AC$291:$AC$295</definedName>
    <definedName name="wsDPRconc_preload">'ДПР (концессии)'!$AC$30:$AK$289</definedName>
    <definedName name="wsDPRconc_preload_json">'ДПР (концессии)'!$AC$30:$AK$289</definedName>
    <definedName name="wsEE_json_coms">ЭЭ!$AC$119:$AC$121</definedName>
    <definedName name="wsEe_preload">ЭЭ!$AE$28:$AH$117</definedName>
    <definedName name="wsEE_preload_coms">ЭЭ!$BC$28:$BC$117</definedName>
    <definedName name="wsEE_preload_full">ЭЭ!$AE$28:$BB$117</definedName>
    <definedName name="wsEE_preload_json">ЭЭ!$AE$28:$BC$117</definedName>
    <definedName name="wsGO_json_coms">ГО!$AC$296:$AC$298</definedName>
    <definedName name="wsGO_preload">ГО!$AE$28:$AE$294</definedName>
    <definedName name="wsGO_preload_json">ГО!$AE$28:$AE$294</definedName>
    <definedName name="wsIika_preload_json">ИИКА!$AE$28:$BA$42</definedName>
    <definedName name="wsIPSources_json_coms">'ИП + источники'!$AC$118:$AC$120</definedName>
    <definedName name="wsIPSources_preload">'ИП + источники'!$AE$30:$AJ$116</definedName>
    <definedName name="wsIPSources_preload_coms">'ИП + источники'!$BE$30:$BE$116</definedName>
    <definedName name="wsIPSources_preload_full">'ИП + источники'!$AE$30:$BD$116</definedName>
    <definedName name="wsIPSources_preload_json">'ИП + источники'!$AE$30:$BE$116</definedName>
    <definedName name="wsMeorCalc_json_coms">'Калькуляция (МЭОР)'!$AC$284:$AC$286</definedName>
    <definedName name="wsMeorCalc_preload">'Калькуляция (МЭОР)'!$AE$28:$AI$282</definedName>
    <definedName name="wsMeorCalc_preload_coms">'Калькуляция (МЭОР)'!$AM$28:$AO$282</definedName>
    <definedName name="wsMeorCalc_preload_full">'Калькуляция (МЭОР)'!$AE$28:$AL$282</definedName>
    <definedName name="wsMeorCalc_preload_json">'Калькуляция (МЭОР)'!$AE$28:$AO$282</definedName>
    <definedName name="wsMiCalc_json_coms">'Калькуляция (МИ)'!$AC$461:$AC$463</definedName>
    <definedName name="wsMiCalc_preload">'Калькуляция (МИ)'!$AE$28:$AI$459</definedName>
    <definedName name="wsMiCalc_preload_coms">'Калькуляция (МИ)'!$BN$28:$BP$459</definedName>
    <definedName name="wsMiCalc_preload_full">'Калькуляция (МИ)'!$AE$28:$BM$459</definedName>
    <definedName name="wsMiCalc_preload_json">'Калькуляция (МИ)'!$AE$28:$BP$459</definedName>
    <definedName name="wsMiCalcCorr_json_coms">'Калькуляция (МИ корр)'!$AC$461:$AC$463</definedName>
    <definedName name="wsMiCalcCorr_preload">'Калькуляция (МИ корр)'!$AE$28:$AI$459</definedName>
    <definedName name="wsMiCalcCorr_preload_coms">'Калькуляция (МИ корр)'!$BN$28:$BP$459</definedName>
    <definedName name="wsMiCalcCorr_preload_full">'Калькуляция (МИ корр)'!$AE$28:$BM$459</definedName>
    <definedName name="wsMiCalcCorr_preload_json">'Калькуляция (МИ корр)'!$AE$28:$BP$459</definedName>
    <definedName name="wsMsaCalc_json_coms">'Калькуляция (МСА)'!$AC$88:$AC$90</definedName>
    <definedName name="wsMsaCalc_preload">'Калькуляция (МСА)'!$AE$25</definedName>
    <definedName name="wsMsaCalc_preload_full">'Калькуляция (МСА)'!$AE$28:$AF$84</definedName>
    <definedName name="wsMsaCalc_preload_json">'Калькуляция (МСА)'!$AE$28:$AF$84</definedName>
    <definedName name="wsNegativePays_json_coms">'Плата за негативное возд'!$AC$37:$AC$39</definedName>
    <definedName name="wsNegativePays_preload">'Плата за негативное возд'!$AE$27:$AL$35</definedName>
    <definedName name="wsNegativePays_preload_json">'Плата за негативное возд'!$AE$27:$AL$35</definedName>
    <definedName name="wsNvvCorr_json_coms">'Корректировка НВВ'!$AC$182:$AC$184</definedName>
    <definedName name="wsNvvCorr_preload">'Корректировка НВВ'!$AF$28:$AG$180</definedName>
    <definedName name="wsNvvCorr_preload_coms">'Корректировка НВВ'!$AH$28:$AH$180</definedName>
    <definedName name="wsNvvCorr_preload_json">'Корректировка НВВ'!$AF$28:$AH$180</definedName>
    <definedName name="wsObjectList_preload_json">'Список объектов'!$AH$28:$AH$59</definedName>
    <definedName name="wsObjects_json_coms">'Перечень объектов'!$AC$65:$AC$67</definedName>
    <definedName name="wsObjects_preload">'Перечень объектов'!$AF$28:$AG$63</definedName>
    <definedName name="wsObjects_preload_full">'Перечень объектов'!$AF$28:$AJ$63</definedName>
    <definedName name="wsObjects_preload_json">'Перечень объектов'!$AF$28:$AJ$63</definedName>
    <definedName name="wsPurchase_json_coms">Покупка!$AC$119:$AC$121</definedName>
    <definedName name="wsPurchase_preload">Покупка!$AE$28:$AH$117</definedName>
    <definedName name="wsPurchase_preload_coms">Покупка!$BC$28:$BC$117</definedName>
    <definedName name="wsPurchase_preload_full">Покупка!$AE$28:$BB$117</definedName>
    <definedName name="wsPurchase_preload_json">Покупка!$AE$28:$BC$117</definedName>
    <definedName name="wsReagents_json_coms">'Сырье и материалы'!$AC$49:$AC$57</definedName>
    <definedName name="wsReagents_preload">'Сырье и материалы'!$AE$28:$AH$46</definedName>
    <definedName name="wsReagents_preload_coms">'Сырье и материалы'!$BC$28:$BC$46</definedName>
    <definedName name="wsReagents_preload_full">'Сырье и материалы'!$AE$28:$BB$46</definedName>
    <definedName name="wsReagents_preload_json">'Сырье и материалы'!$AE$28:$BC$46</definedName>
    <definedName name="wsRent_json_coms">Аренда!$AC$59:$AC$61</definedName>
    <definedName name="wsRent_preload">Аренда!$AE$28:$AH$57</definedName>
    <definedName name="wsRent_preload_coms">Аренда!$BC$28:$BC$57</definedName>
    <definedName name="wsRent_preload_full">Аренда!$AE$28:$BB$57</definedName>
    <definedName name="wsRent_preload_json">Аренда!$AE$28:$BC$57</definedName>
    <definedName name="wsSavingsCorr_json_coms">Экономия_корр!$AC$53:$AC$55</definedName>
    <definedName name="wsSavingsCorr_preload">Экономия_корр!$AE$25</definedName>
    <definedName name="wsSavingsCorr_preload_coms">Экономия_корр!$AY$28:$AY$51</definedName>
    <definedName name="wsSavingsCorr_preload_full">Экономия_корр!$AE$28:$AX$51</definedName>
    <definedName name="wsSavingsCorr_preload_json">Экономия_корр!$AE$28:$AY$51</definedName>
    <definedName name="wsScenarios_preload">Сценарии!$AE$29:$AI$109</definedName>
    <definedName name="wsScenarios_preload_coms">Сценарии!$AH$29:$AN$109</definedName>
    <definedName name="wsScenarios_preload_full">Сценарии!$AE$29:$BF$109</definedName>
    <definedName name="wsScenarios_preload_json">Сценарии!$AE$29:$BF$109</definedName>
    <definedName name="wsSellingCosts_json_coms">'Сбытовые расходы ГО'!$AC$67:$AC$69</definedName>
    <definedName name="wsSellingCosts_preload">'Сбытовые расходы ГО'!$AE$28:$AH$65</definedName>
    <definedName name="wsSellingCosts_preload_coms">'Сбытовые расходы ГО'!$AK$28:$AK$65</definedName>
    <definedName name="wsSellingCosts_preload_full">'Сбытовые расходы ГО'!$AE$28:$AJ$65</definedName>
    <definedName name="wsSellingCosts_preload_json">'Сбытовые расходы ГО'!$AE$28:$AK$65</definedName>
    <definedName name="wsTaxes_json_coms">Налоги!$AC$71:$AC$73</definedName>
    <definedName name="wsTaxes_preload">Налоги!$AE$28:$AH$69</definedName>
    <definedName name="wsTaxes_preload_coms">Налоги!$BC$28:$BC$69</definedName>
    <definedName name="wsTaxes_preload_full">Налоги!$AE$28:$BB$69</definedName>
    <definedName name="wsTaxes_preload_json">Налоги!$AE$28:$BC$69</definedName>
    <definedName name="wsTerritoryList_preload">'Список территорий'!$AC$27:$AG$37</definedName>
    <definedName name="wsTerritoryList_preload_json">'Список территорий'!$AF$27:$AG$37</definedName>
    <definedName name="wsTM_json_coms">ТМ!$AC$199:$AC$201</definedName>
    <definedName name="wsTM_preload">ТМ!$AD$26:$AD$26</definedName>
    <definedName name="wsTM_preload_full">ТМ!$AD$34:$FW$197</definedName>
    <definedName name="wsTM_preload_json">ТМ!$AD$34:$FW$197</definedName>
    <definedName name="wsUslMetr_json_coms">'Условные метры'!$AC$40:$AC$42</definedName>
    <definedName name="wsUslMetr_preload">'Условные метры'!$AC$30:$AP$38</definedName>
    <definedName name="wsUslMetr_preload_json">'Условные метры'!$AD$30:$AP$38</definedName>
    <definedName name="wsWageFund_json_coms">ФОТ!$AC$140:$AC$142</definedName>
    <definedName name="wsWageFund_preload">ФОТ!$AE$28:$AH$138</definedName>
    <definedName name="wsWageFund_preload_coms">ФОТ!$AK$28:$AK$138</definedName>
    <definedName name="wsWageFund_preload_full">ФОТ!$AE$28:$AJ$138</definedName>
    <definedName name="wsWageFund_preload_json">ФОТ!$AE$28:$AK$138</definedName>
    <definedName name="XML_MR_MO_OKTMO_LIST_TAG_NAMES">TEHSHEET!$K$5:$K$11</definedName>
    <definedName name="YEAR_LIST">TEHSHEET!$Q$2:$Q$20</definedName>
    <definedName name="year_list2">TEHSHEET!$Q$11:$Q$20</definedName>
    <definedName name="YES_NO">TEHSHEET!$G$2:$G$3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8" i="42" l="1" a="1"/>
  <c r="M8" i="42" s="1"/>
  <c r="M15" i="42" s="1"/>
  <c r="W32" i="35"/>
  <c r="T89" i="34"/>
  <c r="AF83" i="34"/>
  <c r="AE83" i="34"/>
  <c r="AC71" i="34"/>
  <c r="AC70" i="34"/>
  <c r="AF67" i="34"/>
  <c r="AF76" i="34" s="1"/>
  <c r="AE67" i="34"/>
  <c r="M67" i="34" a="1"/>
  <c r="M67" i="34"/>
  <c r="T66" i="34"/>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T80" i="34" s="1" a="1"/>
  <c r="T80" i="34" s="1"/>
  <c r="T81" i="34" s="1" a="1"/>
  <c r="T81" i="34" s="1"/>
  <c r="T82" i="34" s="1" a="1"/>
  <c r="T82" i="34" s="1"/>
  <c r="T83" i="34" s="1" a="1"/>
  <c r="T83" i="34" s="1"/>
  <c r="F66" i="34" a="1"/>
  <c r="F66" i="34" s="1"/>
  <c r="F67" i="34" s="1" a="1"/>
  <c r="F67" i="34" s="1"/>
  <c r="T65" i="34"/>
  <c r="T66" i="34" s="1" a="1"/>
  <c r="F65" i="34" a="1"/>
  <c r="F65" i="34"/>
  <c r="AF64" i="34"/>
  <c r="AE64" i="34"/>
  <c r="T54" i="34" a="1"/>
  <c r="T54" i="34"/>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AC52" i="34"/>
  <c r="AC51" i="34"/>
  <c r="AF48" i="34"/>
  <c r="AE48" i="34"/>
  <c r="L48" i="34" s="1" a="1"/>
  <c r="L48" i="34"/>
  <c r="F47" i="34" a="1"/>
  <c r="F47" i="34" s="1"/>
  <c r="F48" i="34" s="1" a="1"/>
  <c r="F48" i="34" s="1"/>
  <c r="T46" i="34"/>
  <c r="T47" i="34" s="1" a="1"/>
  <c r="T47" i="34" s="1"/>
  <c r="T48" i="34" s="1" a="1"/>
  <c r="T48" i="34" s="1"/>
  <c r="T49" i="34" s="1" a="1"/>
  <c r="T49" i="34" s="1"/>
  <c r="T50" i="34" s="1" a="1"/>
  <c r="T50" i="34" s="1"/>
  <c r="T51" i="34" s="1" a="1"/>
  <c r="T51" i="34" s="1"/>
  <c r="T52" i="34" s="1" a="1"/>
  <c r="T52" i="34" s="1"/>
  <c r="T53" i="34" s="1" a="1"/>
  <c r="T53" i="34" s="1"/>
  <c r="F46" i="34" a="1"/>
  <c r="F46" i="34"/>
  <c r="AF45" i="34"/>
  <c r="AE45" i="34"/>
  <c r="AE38" i="34"/>
  <c r="AC33" i="34"/>
  <c r="AC32" i="34"/>
  <c r="AF29" i="34"/>
  <c r="AF38" i="34" s="1"/>
  <c r="AE29" i="34"/>
  <c r="T29" i="34" a="1"/>
  <c r="T29" i="34"/>
  <c r="T30" i="34" s="1"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M29" i="34" a="1"/>
  <c r="M29" i="34"/>
  <c r="L29" i="34" a="1"/>
  <c r="L29" i="34"/>
  <c r="T28" i="34" a="1"/>
  <c r="T28" i="34" s="1"/>
  <c r="T27" i="34"/>
  <c r="F27" i="34" a="1"/>
  <c r="F27" i="34"/>
  <c r="F28" i="34" s="1" a="1"/>
  <c r="F28" i="34" s="1"/>
  <c r="F29" i="34" s="1" a="1"/>
  <c r="F29" i="34" s="1"/>
  <c r="F30" i="34" s="1" a="1"/>
  <c r="F30" i="34" s="1"/>
  <c r="AE24" i="34"/>
  <c r="AF9" i="34" a="1"/>
  <c r="AF9" i="34"/>
  <c r="AE9" i="34" a="1"/>
  <c r="AE9" i="34"/>
  <c r="AF7" i="34" a="1"/>
  <c r="AF7" i="34"/>
  <c r="AE7" i="34" a="1"/>
  <c r="AE7" i="34"/>
  <c r="AF6" i="34" a="1"/>
  <c r="AF6" i="34"/>
  <c r="AE6" i="34" a="1"/>
  <c r="AE6" i="34"/>
  <c r="T297" i="33"/>
  <c r="I292" i="33"/>
  <c r="AJ291" i="33" a="1"/>
  <c r="AJ291" i="33" s="1"/>
  <c r="AB291" i="33"/>
  <c r="I291" i="33" a="1"/>
  <c r="I291" i="33" s="1"/>
  <c r="AE290" i="33"/>
  <c r="AE282" i="33"/>
  <c r="AE256" i="33" s="1"/>
  <c r="AE270" i="33"/>
  <c r="AE257" i="33"/>
  <c r="I255" i="33"/>
  <c r="AJ254" i="33" a="1"/>
  <c r="AJ254" i="33" s="1"/>
  <c r="AB254" i="33"/>
  <c r="I254" i="33" a="1"/>
  <c r="I254" i="33" s="1"/>
  <c r="AE253" i="33"/>
  <c r="AE249" i="33"/>
  <c r="AE240" i="33"/>
  <c r="AE234" i="33"/>
  <c r="AE233" i="33" s="1"/>
  <c r="AE228" i="33"/>
  <c r="AE225" i="33"/>
  <c r="AE217" i="33"/>
  <c r="AE210" i="33"/>
  <c r="AE207" i="33" s="1"/>
  <c r="AE206" i="33" s="1"/>
  <c r="T205" i="33"/>
  <c r="T206" i="33" s="1" a="1"/>
  <c r="T206" i="33" s="1"/>
  <c r="T207" i="33" s="1" a="1"/>
  <c r="T207" i="33" s="1"/>
  <c r="T208" i="33" s="1" a="1"/>
  <c r="T208" i="33" s="1"/>
  <c r="T209" i="33" s="1" a="1"/>
  <c r="T209" i="33" s="1"/>
  <c r="T210" i="33" s="1" a="1"/>
  <c r="T210" i="33" s="1"/>
  <c r="T211" i="33" s="1" a="1"/>
  <c r="T211" i="33" s="1"/>
  <c r="T212" i="33" s="1" a="1"/>
  <c r="T212" i="33" s="1"/>
  <c r="T213" i="33" s="1" a="1"/>
  <c r="T213" i="33" s="1"/>
  <c r="T214" i="33" s="1" a="1"/>
  <c r="T214" i="33" s="1"/>
  <c r="T215" i="33" s="1" a="1"/>
  <c r="T215" i="33" s="1"/>
  <c r="T216" i="33" s="1" a="1"/>
  <c r="T216" i="33" s="1"/>
  <c r="T217" i="33" s="1" a="1"/>
  <c r="T217" i="33" s="1"/>
  <c r="T218" i="33" s="1" a="1"/>
  <c r="T218" i="33" s="1"/>
  <c r="T219" i="33" s="1" a="1"/>
  <c r="T219" i="33" s="1"/>
  <c r="T220" i="33" s="1" a="1"/>
  <c r="T220" i="33" s="1"/>
  <c r="T221" i="33" s="1" a="1"/>
  <c r="T221" i="33" s="1"/>
  <c r="T222" i="33" s="1" a="1"/>
  <c r="T222" i="33" s="1"/>
  <c r="T223" i="33" s="1" a="1"/>
  <c r="T223" i="33" s="1"/>
  <c r="T224" i="33" s="1" a="1"/>
  <c r="T224" i="33" s="1"/>
  <c r="T225" i="33" s="1" a="1"/>
  <c r="T225" i="33" s="1"/>
  <c r="T226" i="33" s="1" a="1"/>
  <c r="T226" i="33" s="1"/>
  <c r="T227" i="33" s="1" a="1"/>
  <c r="T227" i="33" s="1"/>
  <c r="T228" i="33" s="1" a="1"/>
  <c r="T228" i="33" s="1"/>
  <c r="T229" i="33" s="1" a="1"/>
  <c r="T229" i="33" s="1"/>
  <c r="T230" i="33" s="1" a="1"/>
  <c r="T230" i="33" s="1"/>
  <c r="T231" i="33" s="1" a="1"/>
  <c r="T231" i="33" s="1"/>
  <c r="T232" i="33" s="1" a="1"/>
  <c r="T232" i="33" s="1"/>
  <c r="T233" i="33" s="1" a="1"/>
  <c r="T233" i="33" s="1"/>
  <c r="T234" i="33" s="1" a="1"/>
  <c r="T234" i="33" s="1"/>
  <c r="T235" i="33" s="1" a="1"/>
  <c r="T235" i="33" s="1"/>
  <c r="T236" i="33" s="1" a="1"/>
  <c r="T236" i="33" s="1"/>
  <c r="T237" i="33" s="1" a="1"/>
  <c r="T237" i="33" s="1"/>
  <c r="T238" i="33" s="1" a="1"/>
  <c r="T238" i="33" s="1"/>
  <c r="T239" i="33" s="1" a="1"/>
  <c r="T239" i="33" s="1"/>
  <c r="T240" i="33" s="1" a="1"/>
  <c r="T240" i="33" s="1"/>
  <c r="T241" i="33" s="1" a="1"/>
  <c r="T241" i="33" s="1"/>
  <c r="T242" i="33" s="1" a="1"/>
  <c r="T242" i="33" s="1"/>
  <c r="T243" i="33" s="1" a="1"/>
  <c r="T243" i="33" s="1"/>
  <c r="T244" i="33" s="1" a="1"/>
  <c r="T244" i="33" s="1"/>
  <c r="T245" i="33" s="1" a="1"/>
  <c r="T245" i="33" s="1"/>
  <c r="T246" i="33" s="1" a="1"/>
  <c r="T246" i="33" s="1"/>
  <c r="T247" i="33" s="1" a="1"/>
  <c r="T247" i="33" s="1"/>
  <c r="T248" i="33" s="1" a="1"/>
  <c r="T248" i="33" s="1"/>
  <c r="T249" i="33" s="1" a="1"/>
  <c r="T249" i="33" s="1"/>
  <c r="T250" i="33" s="1" a="1"/>
  <c r="T250" i="33" s="1"/>
  <c r="T251" i="33" s="1" a="1"/>
  <c r="T251" i="33" s="1"/>
  <c r="T252" i="33" s="1" a="1"/>
  <c r="T252" i="33" s="1"/>
  <c r="T253" i="33" s="1" a="1"/>
  <c r="T253" i="33" s="1"/>
  <c r="F205" i="33" a="1"/>
  <c r="F205" i="33"/>
  <c r="F206" i="33" s="1" a="1"/>
  <c r="F206" i="33" s="1"/>
  <c r="F207" i="33" s="1" a="1"/>
  <c r="F207" i="33" s="1"/>
  <c r="F208" i="33" s="1" a="1"/>
  <c r="F208" i="33" s="1"/>
  <c r="F209" i="33" s="1" a="1"/>
  <c r="F209" i="33" s="1"/>
  <c r="F210" i="33" s="1" a="1"/>
  <c r="F210" i="33" s="1"/>
  <c r="F211" i="33" s="1" a="1"/>
  <c r="F211" i="33" s="1"/>
  <c r="F212" i="33" s="1" a="1"/>
  <c r="F212" i="33" s="1"/>
  <c r="F213" i="33" s="1" a="1"/>
  <c r="F213" i="33" s="1"/>
  <c r="F214" i="33" s="1" a="1"/>
  <c r="F214" i="33" s="1"/>
  <c r="F215" i="33" s="1" a="1"/>
  <c r="F215" i="33" s="1"/>
  <c r="F216" i="33" s="1" a="1"/>
  <c r="F216" i="33" s="1"/>
  <c r="F217" i="33" s="1" a="1"/>
  <c r="F217" i="33" s="1"/>
  <c r="F218" i="33" s="1" a="1"/>
  <c r="F218" i="33" s="1"/>
  <c r="F219" i="33" s="1" a="1"/>
  <c r="F219" i="33" s="1"/>
  <c r="F220" i="33" s="1" a="1"/>
  <c r="F220" i="33" s="1"/>
  <c r="F221" i="33" s="1" a="1"/>
  <c r="F221" i="33" s="1"/>
  <c r="F222" i="33" s="1" a="1"/>
  <c r="F222" i="33" s="1"/>
  <c r="F223" i="33" s="1" a="1"/>
  <c r="F223" i="33" s="1"/>
  <c r="F224" i="33" s="1" a="1"/>
  <c r="F224" i="33" s="1"/>
  <c r="F225" i="33" s="1" a="1"/>
  <c r="F225" i="33" s="1"/>
  <c r="F226" i="33" s="1" a="1"/>
  <c r="F226" i="33" s="1"/>
  <c r="F227" i="33" s="1" a="1"/>
  <c r="F227" i="33" s="1"/>
  <c r="F228" i="33" s="1" a="1"/>
  <c r="F228" i="33" s="1"/>
  <c r="F229" i="33" s="1" a="1"/>
  <c r="F229" i="33" s="1"/>
  <c r="F230" i="33" s="1" a="1"/>
  <c r="F230" i="33" s="1"/>
  <c r="F231" i="33" s="1" a="1"/>
  <c r="F231" i="33" s="1"/>
  <c r="F232" i="33" s="1" a="1"/>
  <c r="F232" i="33" s="1"/>
  <c r="F233" i="33" s="1" a="1"/>
  <c r="F233" i="33" s="1"/>
  <c r="F234" i="33" s="1" a="1"/>
  <c r="F234" i="33" s="1"/>
  <c r="F235" i="33" s="1" a="1"/>
  <c r="F235" i="33" s="1"/>
  <c r="F236" i="33" s="1" a="1"/>
  <c r="F236" i="33" s="1"/>
  <c r="F237" i="33" s="1" a="1"/>
  <c r="F237" i="33" s="1"/>
  <c r="F238" i="33" s="1" a="1"/>
  <c r="F238" i="33" s="1"/>
  <c r="F239" i="33" s="1" a="1"/>
  <c r="F239" i="33" s="1"/>
  <c r="F240" i="33" s="1" a="1"/>
  <c r="F240" i="33" s="1"/>
  <c r="F241" i="33" s="1" a="1"/>
  <c r="F241" i="33" s="1"/>
  <c r="F242" i="33" s="1" a="1"/>
  <c r="F242" i="33" s="1"/>
  <c r="F243" i="33" s="1" a="1"/>
  <c r="F243" i="33" s="1"/>
  <c r="F244" i="33" s="1" a="1"/>
  <c r="F244" i="33" s="1"/>
  <c r="F245" i="33" s="1" a="1"/>
  <c r="F245" i="33" s="1"/>
  <c r="F246" i="33" s="1" a="1"/>
  <c r="F246" i="33" s="1"/>
  <c r="F247" i="33" s="1" a="1"/>
  <c r="F247" i="33" s="1"/>
  <c r="F248" i="33" s="1" a="1"/>
  <c r="F248" i="33" s="1"/>
  <c r="F249" i="33" s="1" a="1"/>
  <c r="F249" i="33" s="1"/>
  <c r="F250" i="33" s="1" a="1"/>
  <c r="F250" i="33" s="1"/>
  <c r="F251" i="33" s="1" a="1"/>
  <c r="F251" i="33" s="1"/>
  <c r="F252" i="33" s="1" a="1"/>
  <c r="F252" i="33" s="1"/>
  <c r="F253" i="33" s="1" a="1"/>
  <c r="F253" i="33" s="1"/>
  <c r="F254" i="33" s="1" a="1"/>
  <c r="F254" i="33" s="1"/>
  <c r="I203" i="33"/>
  <c r="AJ202" i="33" a="1"/>
  <c r="AJ202" i="33"/>
  <c r="AB202" i="33"/>
  <c r="I202" i="33" a="1"/>
  <c r="I202" i="33" s="1"/>
  <c r="AE201" i="33"/>
  <c r="AE193" i="33"/>
  <c r="AE167" i="33" s="1"/>
  <c r="AE181" i="33"/>
  <c r="AE168" i="33"/>
  <c r="I166" i="33"/>
  <c r="AJ165" i="33" a="1"/>
  <c r="AJ165" i="33" s="1"/>
  <c r="AB165" i="33"/>
  <c r="I165" i="33" a="1"/>
  <c r="I165" i="33" s="1"/>
  <c r="AE164" i="33"/>
  <c r="AE160" i="33"/>
  <c r="AE151" i="33"/>
  <c r="AE145" i="33"/>
  <c r="AE144" i="33" s="1"/>
  <c r="AE139" i="33"/>
  <c r="AE136" i="33"/>
  <c r="AE128" i="33"/>
  <c r="AE118" i="33" s="1"/>
  <c r="AE117" i="33" s="1"/>
  <c r="AE116" i="33" s="1"/>
  <c r="AE121" i="33"/>
  <c r="T117" i="33" a="1"/>
  <c r="T117" i="33" s="1"/>
  <c r="T118" i="33" s="1" a="1"/>
  <c r="T118" i="33" s="1"/>
  <c r="T119" i="33" s="1" a="1"/>
  <c r="T119" i="33" s="1"/>
  <c r="T120" i="33" s="1" a="1"/>
  <c r="T120" i="33" s="1"/>
  <c r="T121" i="33" s="1" a="1"/>
  <c r="T121" i="33" s="1"/>
  <c r="T122" i="33" s="1" a="1"/>
  <c r="T122" i="33" s="1"/>
  <c r="T123" i="33" s="1" a="1"/>
  <c r="T123" i="33" s="1"/>
  <c r="T124" i="33" s="1" a="1"/>
  <c r="T124" i="33" s="1"/>
  <c r="T125" i="33" s="1" a="1"/>
  <c r="T125" i="33" s="1"/>
  <c r="T126" i="33" s="1" a="1"/>
  <c r="T126" i="33" s="1"/>
  <c r="T127" i="33" s="1" a="1"/>
  <c r="T127" i="33" s="1"/>
  <c r="T128" i="33" s="1" a="1"/>
  <c r="T128" i="33" s="1"/>
  <c r="T129" i="33" s="1" a="1"/>
  <c r="T129" i="33" s="1"/>
  <c r="T130" i="33" s="1" a="1"/>
  <c r="T130" i="33" s="1"/>
  <c r="T131" i="33" s="1" a="1"/>
  <c r="T131" i="33" s="1"/>
  <c r="T132" i="33" s="1" a="1"/>
  <c r="T132" i="33" s="1"/>
  <c r="T133" i="33" s="1" a="1"/>
  <c r="T133" i="33" s="1"/>
  <c r="T134" i="33" s="1" a="1"/>
  <c r="T134" i="33" s="1"/>
  <c r="T135" i="33" s="1" a="1"/>
  <c r="T135" i="33" s="1"/>
  <c r="T136" i="33" s="1" a="1"/>
  <c r="T136" i="33" s="1"/>
  <c r="T137" i="33" s="1" a="1"/>
  <c r="T137" i="33" s="1"/>
  <c r="T138" i="33" s="1" a="1"/>
  <c r="T138" i="33" s="1"/>
  <c r="T139" i="33" s="1" a="1"/>
  <c r="T139" i="33" s="1"/>
  <c r="T140" i="33" s="1" a="1"/>
  <c r="T140" i="33" s="1"/>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T116" i="33"/>
  <c r="F116" i="33" a="1"/>
  <c r="F116" i="33"/>
  <c r="F117" i="33" s="1" a="1"/>
  <c r="F117" i="33" s="1"/>
  <c r="F118" i="33" s="1" a="1"/>
  <c r="F118" i="33" s="1"/>
  <c r="F119" i="33" s="1" a="1"/>
  <c r="F119" i="33" s="1"/>
  <c r="F120" i="33" s="1" a="1"/>
  <c r="F120" i="33" s="1"/>
  <c r="F121" i="33" s="1" a="1"/>
  <c r="F121" i="33" s="1"/>
  <c r="F122" i="33" s="1" a="1"/>
  <c r="F122" i="33" s="1"/>
  <c r="F123" i="33" s="1" a="1"/>
  <c r="F123" i="33" s="1"/>
  <c r="F124" i="33" s="1" a="1"/>
  <c r="F124" i="33" s="1"/>
  <c r="F125" i="33" s="1" a="1"/>
  <c r="F125" i="33" s="1"/>
  <c r="F126" i="33" s="1" a="1"/>
  <c r="F126" i="33" s="1"/>
  <c r="F127" i="33" s="1" a="1"/>
  <c r="F127" i="33" s="1"/>
  <c r="F128" i="33" s="1" a="1"/>
  <c r="F128" i="33" s="1"/>
  <c r="F129" i="33" s="1" a="1"/>
  <c r="F129" i="33" s="1"/>
  <c r="F130" i="33" s="1" a="1"/>
  <c r="F130" i="33" s="1"/>
  <c r="F131" i="33" s="1" a="1"/>
  <c r="F131" i="33" s="1"/>
  <c r="F132" i="33" s="1" a="1"/>
  <c r="F132" i="33" s="1"/>
  <c r="F133" i="33" s="1" a="1"/>
  <c r="F133" i="33" s="1"/>
  <c r="F134" i="33" s="1" a="1"/>
  <c r="F134" i="33" s="1"/>
  <c r="F135" i="33" s="1" a="1"/>
  <c r="F135" i="33" s="1"/>
  <c r="F136" i="33" s="1" a="1"/>
  <c r="F136" i="33" s="1"/>
  <c r="F137" i="33" s="1" a="1"/>
  <c r="F137" i="33" s="1"/>
  <c r="F138" i="33" s="1" a="1"/>
  <c r="F138" i="33" s="1"/>
  <c r="F139" i="33" s="1" a="1"/>
  <c r="F139" i="33" s="1"/>
  <c r="F140" i="33" s="1" a="1"/>
  <c r="F140" i="33" s="1"/>
  <c r="F141" i="33" s="1" a="1"/>
  <c r="F141" i="33" s="1"/>
  <c r="F142" i="33" s="1" a="1"/>
  <c r="F142" i="33" s="1"/>
  <c r="F143" i="33" s="1" a="1"/>
  <c r="F143" i="33" s="1"/>
  <c r="F144" i="33" s="1" a="1"/>
  <c r="F144" i="33" s="1"/>
  <c r="F145" i="33" s="1" a="1"/>
  <c r="F145" i="33" s="1"/>
  <c r="F146" i="33" s="1" a="1"/>
  <c r="F146" i="33" s="1"/>
  <c r="F147" i="33" s="1" a="1"/>
  <c r="F147" i="33" s="1"/>
  <c r="F148" i="33" s="1" a="1"/>
  <c r="F148" i="33" s="1"/>
  <c r="F149" i="33" s="1" a="1"/>
  <c r="F149" i="33" s="1"/>
  <c r="F150" i="33" s="1" a="1"/>
  <c r="F150" i="33" s="1"/>
  <c r="F151" i="33" s="1" a="1"/>
  <c r="F151" i="33" s="1"/>
  <c r="F152" i="33" s="1" a="1"/>
  <c r="F152" i="33" s="1"/>
  <c r="F153" i="33" s="1"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I114" i="33"/>
  <c r="AJ113" i="33" a="1"/>
  <c r="AJ113" i="33" s="1"/>
  <c r="AB113" i="33"/>
  <c r="I113" i="33" a="1"/>
  <c r="I113" i="33" s="1"/>
  <c r="AE112" i="33"/>
  <c r="AE104" i="33"/>
  <c r="AE92" i="33"/>
  <c r="AE79" i="33"/>
  <c r="AE78" i="33" s="1"/>
  <c r="I77" i="33"/>
  <c r="AJ76" i="33" a="1"/>
  <c r="AJ76" i="33"/>
  <c r="AB76" i="33"/>
  <c r="I76" i="33" a="1"/>
  <c r="I76" i="33"/>
  <c r="AE75" i="33"/>
  <c r="AE71" i="33"/>
  <c r="AE62" i="33"/>
  <c r="AE56" i="33"/>
  <c r="AE55" i="33" s="1"/>
  <c r="AE50" i="33"/>
  <c r="AE47" i="33"/>
  <c r="AE39" i="33"/>
  <c r="AE32" i="33"/>
  <c r="AE29" i="33"/>
  <c r="T28" i="33" a="1"/>
  <c r="T28" i="33" s="1"/>
  <c r="T29" i="33" s="1" a="1"/>
  <c r="T29" i="33" s="1"/>
  <c r="T30" i="33" s="1" a="1"/>
  <c r="T30" i="33" s="1"/>
  <c r="T31" i="33" s="1" a="1"/>
  <c r="T31" i="33" s="1"/>
  <c r="T32" i="33" s="1" a="1"/>
  <c r="T32" i="33" s="1"/>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5" i="33" s="1" a="1"/>
  <c r="T45" i="33" s="1"/>
  <c r="T46" i="33" s="1" a="1"/>
  <c r="T46" i="33" s="1"/>
  <c r="T47" i="33" s="1" a="1"/>
  <c r="T47" i="33" s="1"/>
  <c r="T48" i="33" s="1" a="1"/>
  <c r="T48" i="33" s="1"/>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T73" i="33" s="1" a="1"/>
  <c r="T73" i="33" s="1"/>
  <c r="T74" i="33" s="1" a="1"/>
  <c r="T74" i="33" s="1"/>
  <c r="T75" i="33" s="1" a="1"/>
  <c r="T75" i="33" s="1"/>
  <c r="F28" i="33" a="1"/>
  <c r="F28" i="33" s="1"/>
  <c r="F29" i="33" s="1" a="1"/>
  <c r="F29" i="33" s="1"/>
  <c r="F30" i="33" s="1" a="1"/>
  <c r="F30" i="33" s="1"/>
  <c r="F31" i="33" s="1" a="1"/>
  <c r="F31" i="33" s="1"/>
  <c r="F32" i="33" s="1" a="1"/>
  <c r="F32" i="33" s="1"/>
  <c r="F33" i="33" s="1" a="1"/>
  <c r="F33" i="33" s="1"/>
  <c r="F34" i="33" s="1" a="1"/>
  <c r="F34" i="33" s="1"/>
  <c r="F35" i="33" s="1" a="1"/>
  <c r="F35" i="33" s="1"/>
  <c r="F36" i="33" s="1" a="1"/>
  <c r="F36" i="33" s="1"/>
  <c r="F37" i="33" s="1" a="1"/>
  <c r="F37" i="33" s="1"/>
  <c r="F38" i="33" s="1" a="1"/>
  <c r="F38" i="33" s="1"/>
  <c r="F39" i="33" s="1" a="1"/>
  <c r="F39" i="33" s="1"/>
  <c r="F40" i="33" s="1" a="1"/>
  <c r="F40" i="33" s="1"/>
  <c r="F41" i="33" s="1" a="1"/>
  <c r="F41" i="33" s="1"/>
  <c r="F42" i="33" s="1" a="1"/>
  <c r="F42" i="33" s="1"/>
  <c r="F43" i="33" s="1" a="1"/>
  <c r="F43" i="33" s="1"/>
  <c r="F44" i="33" s="1" a="1"/>
  <c r="F44" i="33" s="1"/>
  <c r="F45" i="33" s="1" a="1"/>
  <c r="F45" i="33" s="1"/>
  <c r="F46" i="33" s="1" a="1"/>
  <c r="F46" i="33" s="1"/>
  <c r="F47" i="33" s="1" a="1"/>
  <c r="F47" i="33" s="1"/>
  <c r="F48" i="33" s="1" a="1"/>
  <c r="F48" i="33" s="1"/>
  <c r="F49" i="33" s="1" a="1"/>
  <c r="F49" i="33" s="1"/>
  <c r="F50" i="33" s="1" a="1"/>
  <c r="F50" i="33" s="1"/>
  <c r="F51" i="33" s="1" a="1"/>
  <c r="F51" i="33" s="1"/>
  <c r="F52" i="33" s="1" a="1"/>
  <c r="F52" i="33" s="1"/>
  <c r="F53" i="33" s="1" a="1"/>
  <c r="F53" i="33" s="1"/>
  <c r="F54" i="33" s="1" a="1"/>
  <c r="F54" i="33" s="1"/>
  <c r="F55" i="33" s="1" a="1"/>
  <c r="F55" i="33" s="1"/>
  <c r="F56" i="33" s="1" a="1"/>
  <c r="F56" i="33" s="1"/>
  <c r="F57" i="33" s="1" a="1"/>
  <c r="F57" i="33" s="1"/>
  <c r="F58" i="33" s="1" a="1"/>
  <c r="F58" i="33" s="1"/>
  <c r="F59" i="33" s="1" a="1"/>
  <c r="F59" i="33" s="1"/>
  <c r="F60" i="33" s="1" a="1"/>
  <c r="F60" i="33" s="1"/>
  <c r="F61" i="33" s="1"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F74" i="33" s="1" a="1"/>
  <c r="F74" i="33" s="1"/>
  <c r="F75" i="33" s="1" a="1"/>
  <c r="F75" i="33" s="1"/>
  <c r="F76" i="33" s="1" a="1"/>
  <c r="F76" i="33" s="1"/>
  <c r="T27" i="33"/>
  <c r="F27" i="33" a="1"/>
  <c r="F27" i="33" s="1"/>
  <c r="AE24" i="33"/>
  <c r="AE22" i="33"/>
  <c r="AD22" i="33"/>
  <c r="AC22" i="33"/>
  <c r="AB22" i="33"/>
  <c r="AE9" i="33" a="1"/>
  <c r="AE9" i="33"/>
  <c r="AE6" i="33"/>
  <c r="T294" i="32"/>
  <c r="T293" i="32"/>
  <c r="T292" i="32"/>
  <c r="G288" i="32"/>
  <c r="K287" i="32"/>
  <c r="B287" i="32"/>
  <c r="AB286" i="32"/>
  <c r="K286" i="32"/>
  <c r="AN286" i="32" s="1" a="1"/>
  <c r="AN286" i="32" s="1"/>
  <c r="B286" i="32"/>
  <c r="AN285" i="32" a="1"/>
  <c r="AN285" i="32" s="1"/>
  <c r="K285" i="32"/>
  <c r="AN284" i="32" a="1"/>
  <c r="AN284" i="32" s="1"/>
  <c r="AB284" i="32"/>
  <c r="K284" i="32"/>
  <c r="B284" i="32"/>
  <c r="AB283" i="32"/>
  <c r="K283" i="32"/>
  <c r="AN283" i="32" s="1" a="1"/>
  <c r="AN283" i="32" s="1"/>
  <c r="B283" i="32"/>
  <c r="AN282" i="32"/>
  <c r="K282" i="32"/>
  <c r="AN282" i="32" s="1" a="1"/>
  <c r="AN281" i="32" a="1"/>
  <c r="AN281" i="32"/>
  <c r="K281" i="32"/>
  <c r="AN280" i="32" a="1"/>
  <c r="AN280" i="32" s="1"/>
  <c r="AB280" i="32"/>
  <c r="K280" i="32"/>
  <c r="B280" i="32"/>
  <c r="AN279" i="32"/>
  <c r="K279" i="32"/>
  <c r="AN279" i="32" s="1" a="1"/>
  <c r="B279" i="32"/>
  <c r="AB278" i="32"/>
  <c r="K278" i="32"/>
  <c r="AN278" i="32" s="1" a="1"/>
  <c r="AN278" i="32" s="1"/>
  <c r="B278" i="32"/>
  <c r="K277" i="32"/>
  <c r="AN276" i="32" a="1"/>
  <c r="AN276" i="32" s="1"/>
  <c r="AB276" i="32"/>
  <c r="K276" i="32"/>
  <c r="B276" i="32"/>
  <c r="AN275" i="32"/>
  <c r="K275" i="32"/>
  <c r="AN275" i="32" s="1" a="1"/>
  <c r="B275" i="32"/>
  <c r="AB274" i="32"/>
  <c r="K274" i="32"/>
  <c r="AN274" i="32" s="1" a="1"/>
  <c r="AN274" i="32" s="1"/>
  <c r="B274" i="32"/>
  <c r="K273" i="32"/>
  <c r="AN272" i="32" a="1"/>
  <c r="AN272" i="32" s="1"/>
  <c r="AB272" i="32"/>
  <c r="K272" i="32"/>
  <c r="B272" i="32"/>
  <c r="AN271" i="32"/>
  <c r="K271" i="32"/>
  <c r="AN271" i="32" s="1" a="1"/>
  <c r="B271" i="32"/>
  <c r="AB270" i="32"/>
  <c r="K270" i="32"/>
  <c r="AN270" i="32" s="1" a="1"/>
  <c r="AN270" i="32" s="1"/>
  <c r="B270" i="32"/>
  <c r="K269" i="32"/>
  <c r="AN268" i="32" a="1"/>
  <c r="AN268" i="32" s="1"/>
  <c r="AB268" i="32"/>
  <c r="K268" i="32"/>
  <c r="B268" i="32"/>
  <c r="AN267" i="32"/>
  <c r="K267" i="32"/>
  <c r="AN267" i="32" s="1" a="1"/>
  <c r="B267" i="32"/>
  <c r="AB266" i="32"/>
  <c r="K266" i="32"/>
  <c r="AN266" i="32" s="1" a="1"/>
  <c r="AN266" i="32" s="1"/>
  <c r="B266" i="32"/>
  <c r="K265" i="32"/>
  <c r="AN264" i="32" a="1"/>
  <c r="AN264" i="32" s="1"/>
  <c r="AB264" i="32"/>
  <c r="K264" i="32"/>
  <c r="B264" i="32"/>
  <c r="AN263" i="32"/>
  <c r="K263" i="32"/>
  <c r="AN263" i="32" s="1" a="1"/>
  <c r="B263" i="32"/>
  <c r="AB262" i="32"/>
  <c r="K262" i="32"/>
  <c r="AN262" i="32" s="1" a="1"/>
  <c r="AN262" i="32" s="1"/>
  <c r="B262" i="32"/>
  <c r="K261" i="32"/>
  <c r="AN260" i="32" a="1"/>
  <c r="AN260" i="32" s="1"/>
  <c r="AB260" i="32"/>
  <c r="K260" i="32"/>
  <c r="B260" i="32"/>
  <c r="AN259" i="32"/>
  <c r="K259" i="32"/>
  <c r="AN259" i="32" s="1" a="1"/>
  <c r="B259" i="32"/>
  <c r="AB258" i="32"/>
  <c r="K258" i="32"/>
  <c r="AN258" i="32" s="1" a="1"/>
  <c r="AN258" i="32" s="1"/>
  <c r="B258" i="32"/>
  <c r="K257" i="32"/>
  <c r="AN256" i="32" a="1"/>
  <c r="AN256" i="32" s="1"/>
  <c r="AB256" i="32"/>
  <c r="K256" i="32"/>
  <c r="B256" i="32"/>
  <c r="K255" i="32"/>
  <c r="B255" i="32"/>
  <c r="AP254" i="32" a="1"/>
  <c r="AP254" i="32" s="1"/>
  <c r="AP255" i="32" s="1" a="1"/>
  <c r="AP255" i="32" s="1"/>
  <c r="AP256" i="32" s="1" a="1"/>
  <c r="AP256" i="32" s="1"/>
  <c r="AP257" i="32" s="1" a="1"/>
  <c r="AP257" i="32" s="1"/>
  <c r="AP258" i="32" s="1" a="1"/>
  <c r="AP258" i="32" s="1"/>
  <c r="AP259" i="32" s="1" a="1"/>
  <c r="AP259" i="32" s="1"/>
  <c r="AP260" i="32" s="1" a="1"/>
  <c r="AP260" i="32" s="1"/>
  <c r="AP261" i="32" s="1" a="1"/>
  <c r="AP261" i="32" s="1"/>
  <c r="AP262" i="32" s="1" a="1"/>
  <c r="AP262" i="32" s="1"/>
  <c r="AP263" i="32" s="1" a="1"/>
  <c r="AP263" i="32" s="1"/>
  <c r="AP264" i="32" s="1" a="1"/>
  <c r="AP264" i="32" s="1"/>
  <c r="AP265" i="32" s="1" a="1"/>
  <c r="AP265" i="32" s="1"/>
  <c r="AP266" i="32" s="1" a="1"/>
  <c r="AP266" i="32" s="1"/>
  <c r="AP267" i="32" s="1" a="1"/>
  <c r="AP267" i="32" s="1"/>
  <c r="AP268" i="32" s="1" a="1"/>
  <c r="AP268" i="32" s="1"/>
  <c r="AP269" i="32" s="1" a="1"/>
  <c r="AP269" i="32" s="1"/>
  <c r="AP270" i="32" s="1" a="1"/>
  <c r="AP270" i="32" s="1"/>
  <c r="AP271" i="32" s="1" a="1"/>
  <c r="AP271" i="32" s="1"/>
  <c r="AP272" i="32" s="1" a="1"/>
  <c r="AP272" i="32" s="1"/>
  <c r="AP273" i="32" s="1" a="1"/>
  <c r="AP273" i="32" s="1"/>
  <c r="AP274" i="32" s="1" a="1"/>
  <c r="AP274" i="32" s="1"/>
  <c r="AP275" i="32" s="1" a="1"/>
  <c r="AP275" i="32" s="1"/>
  <c r="AP276" i="32" s="1" a="1"/>
  <c r="AP276" i="32" s="1"/>
  <c r="AP277" i="32" s="1" a="1"/>
  <c r="AP277" i="32" s="1"/>
  <c r="AP278" i="32" s="1" a="1"/>
  <c r="AP278" i="32" s="1"/>
  <c r="AP279" i="32" s="1" a="1"/>
  <c r="AP279" i="32" s="1"/>
  <c r="AP280" i="32" s="1" a="1"/>
  <c r="AP280" i="32" s="1"/>
  <c r="AP281" i="32" s="1" a="1"/>
  <c r="AP281" i="32" s="1"/>
  <c r="AP282" i="32" s="1" a="1"/>
  <c r="AP282" i="32" s="1"/>
  <c r="AP283" i="32" s="1" a="1"/>
  <c r="AP283" i="32" s="1"/>
  <c r="AP284" i="32" s="1" a="1"/>
  <c r="AP284" i="32" s="1"/>
  <c r="AP285" i="32" s="1" a="1"/>
  <c r="AP285" i="32" s="1"/>
  <c r="AP286" i="32" s="1" a="1"/>
  <c r="AP286" i="32" s="1"/>
  <c r="AP287" i="32" s="1" a="1"/>
  <c r="AP287" i="32" s="1"/>
  <c r="AB254" i="32"/>
  <c r="K254" i="32"/>
  <c r="AN254" i="32" s="1" a="1"/>
  <c r="AN254" i="32" s="1"/>
  <c r="B254" i="32"/>
  <c r="AN253" i="32" a="1"/>
  <c r="AN253" i="32"/>
  <c r="K253" i="32"/>
  <c r="AP252" i="32"/>
  <c r="AP253" i="32" s="1" a="1"/>
  <c r="AP253" i="32" s="1"/>
  <c r="AN252" i="32" a="1"/>
  <c r="AN252" i="32" s="1"/>
  <c r="AB252" i="32"/>
  <c r="K252" i="32"/>
  <c r="B252" i="32"/>
  <c r="K251" i="32"/>
  <c r="AB250" i="32"/>
  <c r="K250" i="32"/>
  <c r="AN250" i="32" s="1" a="1"/>
  <c r="AN250" i="32" s="1"/>
  <c r="B250" i="32"/>
  <c r="K249" i="32"/>
  <c r="AN248" i="32" a="1"/>
  <c r="AN248" i="32" s="1"/>
  <c r="AB248" i="32"/>
  <c r="K248" i="32"/>
  <c r="B248" i="32"/>
  <c r="K247" i="32"/>
  <c r="B247" i="32"/>
  <c r="AB246" i="32"/>
  <c r="K246" i="32"/>
  <c r="AN246" i="32" s="1" a="1"/>
  <c r="AN246" i="32" s="1"/>
  <c r="B246" i="32"/>
  <c r="AN245" i="32" a="1"/>
  <c r="AN245" i="32"/>
  <c r="K245" i="32"/>
  <c r="AN244" i="32" a="1"/>
  <c r="AN244" i="32" s="1"/>
  <c r="AB244" i="32"/>
  <c r="K244" i="32"/>
  <c r="B244" i="32"/>
  <c r="K243" i="32"/>
  <c r="AB242" i="32"/>
  <c r="K242" i="32"/>
  <c r="AN242" i="32" s="1" a="1"/>
  <c r="AN242" i="32" s="1"/>
  <c r="B242" i="32"/>
  <c r="K241" i="32"/>
  <c r="AN240" i="32" a="1"/>
  <c r="AN240" i="32" s="1"/>
  <c r="AB240" i="32"/>
  <c r="K240" i="32"/>
  <c r="G240" i="32"/>
  <c r="G241" i="32" s="1" a="1"/>
  <c r="G241" i="32" s="1"/>
  <c r="G242" i="32" s="1" a="1"/>
  <c r="G242" i="32" s="1"/>
  <c r="G243" i="32" s="1" a="1"/>
  <c r="G243" i="32" s="1"/>
  <c r="G244" i="32" s="1" a="1"/>
  <c r="G244" i="32" s="1"/>
  <c r="G245" i="32" s="1" a="1"/>
  <c r="G245" i="32" s="1"/>
  <c r="G246" i="32" s="1" a="1"/>
  <c r="G246" i="32" s="1"/>
  <c r="G247" i="32" s="1" a="1"/>
  <c r="G247" i="32" s="1"/>
  <c r="G248" i="32" s="1" a="1"/>
  <c r="G248" i="32" s="1"/>
  <c r="G249" i="32" s="1" a="1"/>
  <c r="G249" i="32" s="1"/>
  <c r="G250" i="32" s="1" a="1"/>
  <c r="G250" i="32" s="1"/>
  <c r="G251" i="32" s="1" a="1"/>
  <c r="G251" i="32" s="1"/>
  <c r="G252" i="32" s="1" a="1"/>
  <c r="G252" i="32" s="1"/>
  <c r="G253" i="32" s="1" a="1"/>
  <c r="G253" i="32" s="1"/>
  <c r="G254" i="32" s="1" a="1"/>
  <c r="G254" i="32" s="1"/>
  <c r="G255" i="32" s="1" a="1"/>
  <c r="G255" i="32" s="1"/>
  <c r="G256" i="32" s="1" a="1"/>
  <c r="G256" i="32" s="1"/>
  <c r="G257" i="32" s="1" a="1"/>
  <c r="G257" i="32" s="1"/>
  <c r="G258" i="32" s="1" a="1"/>
  <c r="G258" i="32" s="1"/>
  <c r="G259" i="32" s="1" a="1"/>
  <c r="G259" i="32" s="1"/>
  <c r="G260" i="32" s="1" a="1"/>
  <c r="G260" i="32" s="1"/>
  <c r="G261" i="32" s="1" a="1"/>
  <c r="G261" i="32" s="1"/>
  <c r="G262" i="32" s="1" a="1"/>
  <c r="G262" i="32" s="1"/>
  <c r="G263" i="32" s="1" a="1"/>
  <c r="G263" i="32" s="1"/>
  <c r="G264" i="32" s="1" a="1"/>
  <c r="G264" i="32" s="1"/>
  <c r="G265" i="32" s="1" a="1"/>
  <c r="G265" i="32" s="1"/>
  <c r="G266" i="32" s="1" a="1"/>
  <c r="G266" i="32" s="1"/>
  <c r="G267" i="32" s="1" a="1"/>
  <c r="G267" i="32" s="1"/>
  <c r="G268" i="32" s="1" a="1"/>
  <c r="G268" i="32" s="1"/>
  <c r="G269" i="32" s="1" a="1"/>
  <c r="G269" i="32" s="1"/>
  <c r="G270" i="32" s="1" a="1"/>
  <c r="G270" i="32" s="1"/>
  <c r="G271" i="32" s="1" a="1"/>
  <c r="G271" i="32" s="1"/>
  <c r="G272" i="32" s="1" a="1"/>
  <c r="G272" i="32" s="1"/>
  <c r="G273" i="32" s="1" a="1"/>
  <c r="G273" i="32" s="1"/>
  <c r="G274" i="32" s="1" a="1"/>
  <c r="G274" i="32" s="1"/>
  <c r="G275" i="32" s="1" a="1"/>
  <c r="G275" i="32" s="1"/>
  <c r="G276" i="32" s="1" a="1"/>
  <c r="G276" i="32" s="1"/>
  <c r="G277" i="32" s="1" a="1"/>
  <c r="G277" i="32" s="1"/>
  <c r="G278" i="32" s="1" a="1"/>
  <c r="G278" i="32" s="1"/>
  <c r="G279" i="32" s="1" a="1"/>
  <c r="G279" i="32" s="1"/>
  <c r="G280" i="32" s="1" a="1"/>
  <c r="G280" i="32" s="1"/>
  <c r="G281" i="32" s="1" a="1"/>
  <c r="G281" i="32" s="1"/>
  <c r="G282" i="32" s="1" a="1"/>
  <c r="G282" i="32" s="1"/>
  <c r="G283" i="32" s="1" a="1"/>
  <c r="G283" i="32" s="1"/>
  <c r="G284" i="32" s="1" a="1"/>
  <c r="G284" i="32" s="1"/>
  <c r="G285" i="32" s="1" a="1"/>
  <c r="G285" i="32" s="1"/>
  <c r="G286" i="32" s="1" a="1"/>
  <c r="G286" i="32" s="1"/>
  <c r="G287" i="32" s="1" a="1"/>
  <c r="G287" i="32" s="1"/>
  <c r="B240" i="32"/>
  <c r="K239" i="32"/>
  <c r="B239" i="32"/>
  <c r="AP238" i="32" a="1"/>
  <c r="AP238" i="32" s="1"/>
  <c r="AP239" i="32" s="1" a="1"/>
  <c r="AP239" i="32" s="1"/>
  <c r="AP240" i="32" s="1" a="1"/>
  <c r="AP240" i="32" s="1"/>
  <c r="AP241" i="32" s="1" a="1"/>
  <c r="AP241" i="32" s="1"/>
  <c r="AP242" i="32" s="1" a="1"/>
  <c r="AP242" i="32" s="1"/>
  <c r="AP243" i="32" s="1" a="1"/>
  <c r="AP243" i="32" s="1"/>
  <c r="AP244" i="32" s="1" a="1"/>
  <c r="AP244" i="32" s="1"/>
  <c r="AP245" i="32" s="1" a="1"/>
  <c r="AP245" i="32" s="1"/>
  <c r="AP246" i="32" s="1" a="1"/>
  <c r="AP246" i="32" s="1"/>
  <c r="AP247" i="32" s="1" a="1"/>
  <c r="AP247" i="32" s="1"/>
  <c r="AP248" i="32" s="1" a="1"/>
  <c r="AP248" i="32" s="1"/>
  <c r="AP249" i="32" s="1" a="1"/>
  <c r="AP249" i="32" s="1"/>
  <c r="AP250" i="32" s="1" a="1"/>
  <c r="AP250" i="32" s="1"/>
  <c r="AP251" i="32" s="1" a="1"/>
  <c r="AP251" i="32" s="1"/>
  <c r="AP252" i="32" s="1" a="1"/>
  <c r="K238" i="32" a="1"/>
  <c r="K238" i="32" s="1"/>
  <c r="G238" i="32"/>
  <c r="G239" i="32" s="1" a="1"/>
  <c r="G239" i="32" s="1"/>
  <c r="G240" i="32" s="1" a="1"/>
  <c r="AP237" i="32" a="1"/>
  <c r="AP237" i="32"/>
  <c r="G237" i="32" a="1"/>
  <c r="G237" i="32"/>
  <c r="G238" i="32" s="1" a="1"/>
  <c r="K236" i="32"/>
  <c r="AN235" i="32" a="1"/>
  <c r="AN235" i="32" s="1"/>
  <c r="AB235" i="32"/>
  <c r="K235" i="32"/>
  <c r="B235" i="32"/>
  <c r="AN234" i="32"/>
  <c r="AB234" i="32"/>
  <c r="K234" i="32"/>
  <c r="AN234" i="32" s="1" a="1"/>
  <c r="B234" i="32"/>
  <c r="AN233" i="32" a="1"/>
  <c r="AN233" i="32" s="1"/>
  <c r="K233" i="32"/>
  <c r="AB233" i="32" s="1"/>
  <c r="B233" i="32"/>
  <c r="K232" i="32"/>
  <c r="AN231" i="32" a="1"/>
  <c r="AN231" i="32" s="1"/>
  <c r="AB231" i="32"/>
  <c r="K231" i="32"/>
  <c r="B231" i="32"/>
  <c r="AN230" i="32"/>
  <c r="AB230" i="32"/>
  <c r="K230" i="32"/>
  <c r="AN230" i="32" s="1" a="1"/>
  <c r="B230" i="32"/>
  <c r="AN229" i="32" a="1"/>
  <c r="AN229" i="32" s="1"/>
  <c r="K229" i="32"/>
  <c r="AB229" i="32" s="1"/>
  <c r="B229" i="32"/>
  <c r="K228" i="32"/>
  <c r="AN227" i="32" a="1"/>
  <c r="AN227" i="32" s="1"/>
  <c r="AB227" i="32"/>
  <c r="K227" i="32"/>
  <c r="B227" i="32"/>
  <c r="AN226" i="32"/>
  <c r="AB226" i="32"/>
  <c r="K226" i="32"/>
  <c r="AN226" i="32" s="1" a="1"/>
  <c r="B226" i="32"/>
  <c r="AN225" i="32" a="1"/>
  <c r="AN225" i="32" s="1"/>
  <c r="K225" i="32"/>
  <c r="AB225" i="32" s="1"/>
  <c r="B225" i="32"/>
  <c r="K224" i="32"/>
  <c r="AN223" i="32" a="1"/>
  <c r="AN223" i="32" s="1"/>
  <c r="AB223" i="32"/>
  <c r="K223" i="32"/>
  <c r="B223" i="32"/>
  <c r="AN222" i="32"/>
  <c r="AB222" i="32"/>
  <c r="K222" i="32"/>
  <c r="AN222" i="32" s="1" a="1"/>
  <c r="B222" i="32"/>
  <c r="AN221" i="32" a="1"/>
  <c r="AN221" i="32" s="1"/>
  <c r="K221" i="32"/>
  <c r="AB221" i="32" s="1"/>
  <c r="B221" i="32"/>
  <c r="K220" i="32"/>
  <c r="AN219" i="32" a="1"/>
  <c r="AN219" i="32" s="1"/>
  <c r="AB219" i="32"/>
  <c r="K219" i="32"/>
  <c r="B219" i="32"/>
  <c r="AN218" i="32"/>
  <c r="AB218" i="32"/>
  <c r="K218" i="32"/>
  <c r="AN218" i="32" s="1" a="1"/>
  <c r="B218" i="32"/>
  <c r="AN217" i="32" a="1"/>
  <c r="AN217" i="32" s="1"/>
  <c r="K217" i="32"/>
  <c r="AB217" i="32" s="1"/>
  <c r="B217" i="32"/>
  <c r="K216" i="32"/>
  <c r="AN215" i="32" a="1"/>
  <c r="AN215" i="32" s="1"/>
  <c r="AB215" i="32"/>
  <c r="K215" i="32"/>
  <c r="B215" i="32"/>
  <c r="AN214" i="32"/>
  <c r="AB214" i="32"/>
  <c r="K214" i="32"/>
  <c r="AN214" i="32" s="1" a="1"/>
  <c r="B214" i="32"/>
  <c r="AN213" i="32" a="1"/>
  <c r="AN213" i="32" s="1"/>
  <c r="K213" i="32"/>
  <c r="AB213" i="32" s="1"/>
  <c r="B213" i="32"/>
  <c r="K212" i="32"/>
  <c r="AN211" i="32" a="1"/>
  <c r="AN211" i="32" s="1"/>
  <c r="AB211" i="32"/>
  <c r="K211" i="32"/>
  <c r="B211" i="32"/>
  <c r="AN210" i="32"/>
  <c r="AB210" i="32"/>
  <c r="K210" i="32"/>
  <c r="AN210" i="32" s="1" a="1"/>
  <c r="B210" i="32"/>
  <c r="AN209" i="32" a="1"/>
  <c r="AN209" i="32" s="1"/>
  <c r="K209" i="32"/>
  <c r="AB209" i="32" s="1"/>
  <c r="B209" i="32"/>
  <c r="K208" i="32"/>
  <c r="AN207" i="32" a="1"/>
  <c r="AN207" i="32" s="1"/>
  <c r="AB207" i="32"/>
  <c r="K207" i="32"/>
  <c r="B207" i="32"/>
  <c r="AN206" i="32"/>
  <c r="AB206" i="32"/>
  <c r="K206" i="32"/>
  <c r="AN206" i="32" s="1" a="1"/>
  <c r="G206" i="32" a="1"/>
  <c r="G206" i="32" s="1"/>
  <c r="G207" i="32" s="1" a="1"/>
  <c r="G207" i="32" s="1"/>
  <c r="G208" i="32" s="1" a="1"/>
  <c r="G208" i="32" s="1"/>
  <c r="G209" i="32" s="1" a="1"/>
  <c r="G209" i="32" s="1"/>
  <c r="G210" i="32" s="1" a="1"/>
  <c r="G210" i="32" s="1"/>
  <c r="G211" i="32" s="1" a="1"/>
  <c r="G211" i="32" s="1"/>
  <c r="G212" i="32" s="1" a="1"/>
  <c r="G212" i="32" s="1"/>
  <c r="G213" i="32" s="1" a="1"/>
  <c r="G213" i="32" s="1"/>
  <c r="G214" i="32" s="1" a="1"/>
  <c r="G214" i="32" s="1"/>
  <c r="G215" i="32" s="1" a="1"/>
  <c r="G215" i="32" s="1"/>
  <c r="G216" i="32" s="1" a="1"/>
  <c r="G216" i="32" s="1"/>
  <c r="G217" i="32" s="1" a="1"/>
  <c r="G217" i="32" s="1"/>
  <c r="G218" i="32" s="1" a="1"/>
  <c r="G218" i="32" s="1"/>
  <c r="G219" i="32" s="1" a="1"/>
  <c r="G219" i="32" s="1"/>
  <c r="G220" i="32" s="1" a="1"/>
  <c r="G220" i="32" s="1"/>
  <c r="G221" i="32" s="1" a="1"/>
  <c r="G221" i="32" s="1"/>
  <c r="G222" i="32" s="1" a="1"/>
  <c r="G222" i="32" s="1"/>
  <c r="G223" i="32" s="1" a="1"/>
  <c r="G223" i="32" s="1"/>
  <c r="G224" i="32" s="1" a="1"/>
  <c r="G224" i="32" s="1"/>
  <c r="G225" i="32" s="1" a="1"/>
  <c r="G225" i="32" s="1"/>
  <c r="G226" i="32" s="1" a="1"/>
  <c r="G226" i="32" s="1"/>
  <c r="G227" i="32" s="1" a="1"/>
  <c r="G227" i="32" s="1"/>
  <c r="G228" i="32" s="1" a="1"/>
  <c r="G228" i="32" s="1"/>
  <c r="G229" i="32" s="1" a="1"/>
  <c r="G229" i="32" s="1"/>
  <c r="G230" i="32" s="1" a="1"/>
  <c r="G230" i="32" s="1"/>
  <c r="G231" i="32" s="1" a="1"/>
  <c r="G231" i="32" s="1"/>
  <c r="G232" i="32" s="1" a="1"/>
  <c r="G232" i="32" s="1"/>
  <c r="G233" i="32" s="1" a="1"/>
  <c r="G233" i="32" s="1"/>
  <c r="G234" i="32" s="1" a="1"/>
  <c r="G234" i="32" s="1"/>
  <c r="G235" i="32" s="1" a="1"/>
  <c r="G235" i="32" s="1"/>
  <c r="G236" i="32" s="1" a="1"/>
  <c r="G236" i="32" s="1"/>
  <c r="B206" i="32"/>
  <c r="AN205" i="32" a="1"/>
  <c r="AN205" i="32" s="1"/>
  <c r="K205" i="32"/>
  <c r="AN204" i="32" a="1"/>
  <c r="AN204" i="32" s="1"/>
  <c r="K204" i="32"/>
  <c r="AB204" i="32" s="1"/>
  <c r="AN203" i="32" a="1"/>
  <c r="AN203" i="32" s="1"/>
  <c r="AB203" i="32"/>
  <c r="K203" i="32"/>
  <c r="B203" i="32"/>
  <c r="K202" i="32"/>
  <c r="AN201" i="32" a="1"/>
  <c r="AN201" i="32" s="1"/>
  <c r="K201" i="32"/>
  <c r="AN200" i="32" a="1"/>
  <c r="AN200" i="32" s="1"/>
  <c r="K200" i="32"/>
  <c r="AB200" i="32" s="1"/>
  <c r="AN199" i="32" a="1"/>
  <c r="AN199" i="32" s="1"/>
  <c r="AB199" i="32"/>
  <c r="K199" i="32"/>
  <c r="B199" i="32"/>
  <c r="AN198" i="32"/>
  <c r="AB198" i="32"/>
  <c r="K198" i="32"/>
  <c r="AN198" i="32" s="1" a="1"/>
  <c r="B198" i="32"/>
  <c r="K197" i="32"/>
  <c r="AN196" i="32" a="1"/>
  <c r="AN196" i="32" s="1"/>
  <c r="K196" i="32"/>
  <c r="AB196" i="32" s="1"/>
  <c r="AN195" i="32" a="1"/>
  <c r="AN195" i="32" s="1"/>
  <c r="AB195" i="32"/>
  <c r="K195" i="32"/>
  <c r="B195" i="32"/>
  <c r="AN194" i="32"/>
  <c r="K194" i="32"/>
  <c r="AN194" i="32" s="1" a="1"/>
  <c r="AN193" i="32" a="1"/>
  <c r="AN193" i="32"/>
  <c r="K193" i="32"/>
  <c r="AN192" i="32" a="1"/>
  <c r="AN192" i="32" s="1"/>
  <c r="K192" i="32"/>
  <c r="AB192" i="32" s="1"/>
  <c r="AP191" i="32"/>
  <c r="AP192" i="32" s="1" a="1"/>
  <c r="AP192" i="32" s="1"/>
  <c r="AP193" i="32" s="1" a="1"/>
  <c r="AP193" i="32" s="1"/>
  <c r="AP194" i="32" s="1" a="1"/>
  <c r="AP194" i="32" s="1"/>
  <c r="AP195" i="32" s="1" a="1"/>
  <c r="AP195" i="32" s="1"/>
  <c r="AP196" i="32" s="1" a="1"/>
  <c r="AP196" i="32" s="1"/>
  <c r="AP197" i="32" s="1" a="1"/>
  <c r="AP197" i="32" s="1"/>
  <c r="AP198" i="32" s="1" a="1"/>
  <c r="AP198" i="32" s="1"/>
  <c r="AP199" i="32" s="1" a="1"/>
  <c r="AP199" i="32" s="1"/>
  <c r="AP200" i="32" s="1" a="1"/>
  <c r="AP200" i="32" s="1"/>
  <c r="AP201" i="32" s="1" a="1"/>
  <c r="AP201" i="32" s="1"/>
  <c r="AP202" i="32" s="1" a="1"/>
  <c r="AP202" i="32" s="1"/>
  <c r="AP203" i="32" s="1" a="1"/>
  <c r="AP203" i="32" s="1"/>
  <c r="AP204" i="32" s="1" a="1"/>
  <c r="AP204" i="32" s="1"/>
  <c r="AP205" i="32" s="1" a="1"/>
  <c r="AP205" i="32" s="1"/>
  <c r="AP206" i="32" s="1" a="1"/>
  <c r="AP206" i="32" s="1"/>
  <c r="AP207" i="32" s="1" a="1"/>
  <c r="AP207" i="32" s="1"/>
  <c r="AP208" i="32" s="1" a="1"/>
  <c r="AP208" i="32" s="1"/>
  <c r="AP209" i="32" s="1" a="1"/>
  <c r="AP209" i="32" s="1"/>
  <c r="AP210" i="32" s="1" a="1"/>
  <c r="AP210" i="32" s="1"/>
  <c r="AP211" i="32" s="1" a="1"/>
  <c r="AP211" i="32" s="1"/>
  <c r="AP212" i="32" s="1" a="1"/>
  <c r="AP212" i="32" s="1"/>
  <c r="AP213" i="32" s="1" a="1"/>
  <c r="AP213" i="32" s="1"/>
  <c r="AP214" i="32" s="1" a="1"/>
  <c r="AP214" i="32" s="1"/>
  <c r="AP215" i="32" s="1" a="1"/>
  <c r="AP215" i="32" s="1"/>
  <c r="AP216" i="32" s="1" a="1"/>
  <c r="AP216" i="32" s="1"/>
  <c r="AP217" i="32" s="1" a="1"/>
  <c r="AP217" i="32" s="1"/>
  <c r="AP218" i="32" s="1" a="1"/>
  <c r="AP218" i="32" s="1"/>
  <c r="AP219" i="32" s="1" a="1"/>
  <c r="AP219" i="32" s="1"/>
  <c r="AP220" i="32" s="1" a="1"/>
  <c r="AP220" i="32" s="1"/>
  <c r="AP221" i="32" s="1" a="1"/>
  <c r="AP221" i="32" s="1"/>
  <c r="AP222" i="32" s="1" a="1"/>
  <c r="AP222" i="32" s="1"/>
  <c r="AP223" i="32" s="1" a="1"/>
  <c r="AP223" i="32" s="1"/>
  <c r="AP224" i="32" s="1" a="1"/>
  <c r="AP224" i="32" s="1"/>
  <c r="AP225" i="32" s="1" a="1"/>
  <c r="AP225" i="32" s="1"/>
  <c r="AP226" i="32" s="1" a="1"/>
  <c r="AP226" i="32" s="1"/>
  <c r="AP227" i="32" s="1" a="1"/>
  <c r="AP227" i="32" s="1"/>
  <c r="AP228" i="32" s="1" a="1"/>
  <c r="AP228" i="32" s="1"/>
  <c r="AP229" i="32" s="1" a="1"/>
  <c r="AP229" i="32" s="1"/>
  <c r="AP230" i="32" s="1" a="1"/>
  <c r="AP230" i="32" s="1"/>
  <c r="AP231" i="32" s="1" a="1"/>
  <c r="AP231" i="32" s="1"/>
  <c r="AP232" i="32" s="1" a="1"/>
  <c r="AP232" i="32" s="1"/>
  <c r="AP233" i="32" s="1" a="1"/>
  <c r="AP233" i="32" s="1"/>
  <c r="AP234" i="32" s="1" a="1"/>
  <c r="AP234" i="32" s="1"/>
  <c r="AP235" i="32" s="1" a="1"/>
  <c r="AP235" i="32" s="1"/>
  <c r="AP236" i="32" s="1" a="1"/>
  <c r="AP236" i="32" s="1"/>
  <c r="AN191" i="32" a="1"/>
  <c r="AN191" i="32" s="1"/>
  <c r="AB191" i="32"/>
  <c r="K191" i="32"/>
  <c r="B191" i="32"/>
  <c r="AP190" i="32" a="1"/>
  <c r="AP190" i="32" s="1"/>
  <c r="AP191" i="32" s="1" a="1"/>
  <c r="K190" i="32"/>
  <c r="AN190" i="32" s="1" a="1"/>
  <c r="AN190" i="32" s="1"/>
  <c r="AN189" i="32" a="1"/>
  <c r="AN189" i="32"/>
  <c r="K189" i="32"/>
  <c r="AN188" i="32" a="1"/>
  <c r="AN188" i="32" s="1"/>
  <c r="K188" i="32"/>
  <c r="AB188" i="32" s="1"/>
  <c r="AP187" i="32" a="1"/>
  <c r="AP187" i="32" s="1"/>
  <c r="AP188" i="32" s="1" a="1"/>
  <c r="AP188" i="32" s="1"/>
  <c r="AP189" i="32" s="1" a="1"/>
  <c r="AP189" i="32" s="1"/>
  <c r="AB187" i="32"/>
  <c r="K187" i="32" a="1"/>
  <c r="K187" i="32"/>
  <c r="AN187" i="32" s="1" a="1"/>
  <c r="AN187" i="32" s="1"/>
  <c r="B187" i="32"/>
  <c r="AP186" i="32" a="1"/>
  <c r="AP186" i="32" s="1"/>
  <c r="G186" i="32" a="1"/>
  <c r="G186" i="32" s="1"/>
  <c r="G187" i="32" s="1" a="1"/>
  <c r="G187" i="32" s="1"/>
  <c r="G188" i="32" s="1" a="1"/>
  <c r="G188" i="32" s="1"/>
  <c r="G189" i="32" s="1" a="1"/>
  <c r="G189" i="32" s="1"/>
  <c r="G190" i="32" s="1" a="1"/>
  <c r="G190" i="32" s="1"/>
  <c r="G191" i="32" s="1" a="1"/>
  <c r="G191" i="32" s="1"/>
  <c r="G192" i="32" s="1" a="1"/>
  <c r="G192" i="32" s="1"/>
  <c r="G193" i="32" s="1" a="1"/>
  <c r="G193" i="32" s="1"/>
  <c r="G194" i="32" s="1" a="1"/>
  <c r="G194" i="32" s="1"/>
  <c r="G195" i="32" s="1" a="1"/>
  <c r="G195" i="32" s="1"/>
  <c r="G196" i="32" s="1" a="1"/>
  <c r="G196" i="32" s="1"/>
  <c r="G197" i="32" s="1" a="1"/>
  <c r="G197" i="32" s="1"/>
  <c r="G198" i="32" s="1" a="1"/>
  <c r="G198" i="32" s="1"/>
  <c r="G199" i="32" s="1" a="1"/>
  <c r="G199" i="32" s="1"/>
  <c r="G200" i="32" s="1" a="1"/>
  <c r="G200" i="32" s="1"/>
  <c r="G201" i="32" s="1" a="1"/>
  <c r="G201" i="32" s="1"/>
  <c r="G202" i="32" s="1" a="1"/>
  <c r="G202" i="32" s="1"/>
  <c r="G203" i="32" s="1" a="1"/>
  <c r="G203" i="32" s="1"/>
  <c r="G204" i="32" s="1" a="1"/>
  <c r="G204" i="32" s="1"/>
  <c r="G205" i="32" s="1" a="1"/>
  <c r="G205" i="32" s="1"/>
  <c r="T185" i="32"/>
  <c r="F185" i="32" a="1"/>
  <c r="F185" i="32"/>
  <c r="F186" i="32" s="1" a="1"/>
  <c r="F186" i="32" s="1"/>
  <c r="G184" i="32"/>
  <c r="AB183" i="32"/>
  <c r="K183" i="32"/>
  <c r="AN183" i="32" s="1" a="1"/>
  <c r="AN183" i="32" s="1"/>
  <c r="B183" i="32"/>
  <c r="K182" i="32"/>
  <c r="AN182" i="32" s="1" a="1"/>
  <c r="AN182" i="32" s="1"/>
  <c r="AN181" i="32" a="1"/>
  <c r="AN181" i="32"/>
  <c r="K181" i="32"/>
  <c r="AN180" i="32" a="1"/>
  <c r="AN180" i="32" s="1"/>
  <c r="K180" i="32"/>
  <c r="AB180" i="32" s="1"/>
  <c r="B180" i="32"/>
  <c r="AB179" i="32"/>
  <c r="K179" i="32"/>
  <c r="AN179" i="32" s="1" a="1"/>
  <c r="AN179" i="32" s="1"/>
  <c r="B179" i="32"/>
  <c r="K178" i="32"/>
  <c r="AN177" i="32" a="1"/>
  <c r="AN177" i="32" s="1"/>
  <c r="K177" i="32"/>
  <c r="AN176" i="32" a="1"/>
  <c r="AN176" i="32" s="1"/>
  <c r="K176" i="32"/>
  <c r="AB176" i="32" s="1"/>
  <c r="B176" i="32"/>
  <c r="AB175" i="32"/>
  <c r="K175" i="32"/>
  <c r="AN175" i="32" s="1" a="1"/>
  <c r="AN175" i="32" s="1"/>
  <c r="B175" i="32"/>
  <c r="AB174" i="32"/>
  <c r="K174" i="32"/>
  <c r="AN174" i="32" s="1" a="1"/>
  <c r="AN174" i="32" s="1"/>
  <c r="B174" i="32"/>
  <c r="AB173" i="32"/>
  <c r="K173" i="32"/>
  <c r="AN173" i="32" s="1" a="1"/>
  <c r="AN173" i="32" s="1"/>
  <c r="B173" i="32"/>
  <c r="K172" i="32"/>
  <c r="AN171" i="32" a="1"/>
  <c r="AN171" i="32" s="1"/>
  <c r="AB171" i="32"/>
  <c r="K171" i="32"/>
  <c r="B171" i="32"/>
  <c r="AB170" i="32"/>
  <c r="K170" i="32"/>
  <c r="AN170" i="32" s="1" a="1"/>
  <c r="AN170" i="32" s="1"/>
  <c r="B170" i="32"/>
  <c r="AB169" i="32"/>
  <c r="K169" i="32"/>
  <c r="AN169" i="32" s="1" a="1"/>
  <c r="AN169" i="32" s="1"/>
  <c r="B169" i="32"/>
  <c r="K168" i="32"/>
  <c r="AN167" i="32" a="1"/>
  <c r="AN167" i="32" s="1"/>
  <c r="AB167" i="32"/>
  <c r="K167" i="32"/>
  <c r="B167" i="32"/>
  <c r="AB166" i="32"/>
  <c r="K166" i="32"/>
  <c r="AN166" i="32" s="1" a="1"/>
  <c r="AN166" i="32" s="1"/>
  <c r="B166" i="32"/>
  <c r="AB165" i="32"/>
  <c r="K165" i="32"/>
  <c r="AN165" i="32" s="1" a="1"/>
  <c r="AN165" i="32" s="1"/>
  <c r="B165" i="32"/>
  <c r="K164" i="32"/>
  <c r="AN163" i="32" a="1"/>
  <c r="AN163" i="32" s="1"/>
  <c r="AB163" i="32"/>
  <c r="K163" i="32"/>
  <c r="B163" i="32"/>
  <c r="AB162" i="32"/>
  <c r="K162" i="32"/>
  <c r="AN162" i="32" s="1" a="1"/>
  <c r="AN162" i="32" s="1"/>
  <c r="B162" i="32"/>
  <c r="AB161" i="32"/>
  <c r="K161" i="32"/>
  <c r="AN161" i="32" s="1" a="1"/>
  <c r="AN161" i="32" s="1"/>
  <c r="B161" i="32"/>
  <c r="K160" i="32"/>
  <c r="AN159" i="32" a="1"/>
  <c r="AN159" i="32" s="1"/>
  <c r="AB159" i="32"/>
  <c r="K159" i="32"/>
  <c r="B159" i="32"/>
  <c r="AB158" i="32"/>
  <c r="K158" i="32"/>
  <c r="AN158" i="32" s="1" a="1"/>
  <c r="AN158" i="32" s="1"/>
  <c r="B158" i="32"/>
  <c r="AB157" i="32"/>
  <c r="K157" i="32"/>
  <c r="AN157" i="32" s="1" a="1"/>
  <c r="AN157" i="32" s="1"/>
  <c r="B157" i="32"/>
  <c r="K156" i="32"/>
  <c r="AN155" i="32" a="1"/>
  <c r="AN155" i="32" s="1"/>
  <c r="AB155" i="32"/>
  <c r="K155" i="32"/>
  <c r="B155" i="32"/>
  <c r="AB154" i="32"/>
  <c r="K154" i="32"/>
  <c r="AN154" i="32" s="1" a="1"/>
  <c r="AN154" i="32" s="1"/>
  <c r="B154" i="32"/>
  <c r="AB153" i="32"/>
  <c r="K153" i="32"/>
  <c r="AN153" i="32" s="1" a="1"/>
  <c r="AN153" i="32" s="1"/>
  <c r="B153" i="32"/>
  <c r="K152" i="32"/>
  <c r="AN151" i="32" a="1"/>
  <c r="AN151" i="32" s="1"/>
  <c r="AB151" i="32"/>
  <c r="K151" i="32"/>
  <c r="B151" i="32"/>
  <c r="AB150" i="32"/>
  <c r="K150" i="32"/>
  <c r="AN150" i="32" s="1" a="1"/>
  <c r="AN150" i="32" s="1"/>
  <c r="B150" i="32"/>
  <c r="AB149" i="32"/>
  <c r="K149" i="32"/>
  <c r="AN149" i="32" s="1" a="1"/>
  <c r="AN149" i="32" s="1"/>
  <c r="B149" i="32"/>
  <c r="K148" i="32"/>
  <c r="AN147" i="32" a="1"/>
  <c r="AN147" i="32" s="1"/>
  <c r="AB147" i="32"/>
  <c r="K147" i="32"/>
  <c r="B147" i="32"/>
  <c r="AB146" i="32"/>
  <c r="K146" i="32"/>
  <c r="AN146" i="32" s="1" a="1"/>
  <c r="AN146" i="32" s="1"/>
  <c r="B146" i="32"/>
  <c r="AB145" i="32"/>
  <c r="K145" i="32"/>
  <c r="AN145" i="32" s="1" a="1"/>
  <c r="AN145" i="32" s="1"/>
  <c r="B145" i="32"/>
  <c r="K144" i="32"/>
  <c r="AN143" i="32" a="1"/>
  <c r="AN143" i="32" s="1"/>
  <c r="AB143" i="32"/>
  <c r="K143" i="32"/>
  <c r="B143" i="32"/>
  <c r="AB142" i="32"/>
  <c r="K142" i="32"/>
  <c r="AN142" i="32" s="1" a="1"/>
  <c r="AN142" i="32" s="1"/>
  <c r="B142" i="32"/>
  <c r="AB141" i="32"/>
  <c r="K141" i="32"/>
  <c r="AN141" i="32" s="1" a="1"/>
  <c r="AN141" i="32" s="1"/>
  <c r="B141" i="32"/>
  <c r="K140" i="32"/>
  <c r="AN139" i="32" a="1"/>
  <c r="AN139" i="32" s="1"/>
  <c r="AB139" i="32"/>
  <c r="K139" i="32"/>
  <c r="B139" i="32"/>
  <c r="AB138" i="32"/>
  <c r="K138" i="32"/>
  <c r="AN138" i="32" s="1" a="1"/>
  <c r="AN138" i="32" s="1"/>
  <c r="B138" i="32"/>
  <c r="K137" i="32"/>
  <c r="AN136" i="32" a="1"/>
  <c r="AN136" i="32" s="1"/>
  <c r="K136" i="32"/>
  <c r="AN135" i="32" a="1"/>
  <c r="AN135" i="32" s="1"/>
  <c r="AB135" i="32"/>
  <c r="K135" i="32"/>
  <c r="B135" i="32"/>
  <c r="AP134" i="32" a="1"/>
  <c r="AP134" i="32"/>
  <c r="AP135" i="32" s="1" a="1"/>
  <c r="AP135" i="32" s="1"/>
  <c r="AP136" i="32" s="1" a="1"/>
  <c r="AP136" i="32" s="1"/>
  <c r="AP137" i="32" s="1" a="1"/>
  <c r="AP137" i="32" s="1"/>
  <c r="AP138" i="32" s="1" a="1"/>
  <c r="AP138" i="32" s="1"/>
  <c r="AP139" i="32" s="1" a="1"/>
  <c r="AP139" i="32" s="1"/>
  <c r="AP140" i="32" s="1" a="1"/>
  <c r="AP140" i="32" s="1"/>
  <c r="AP141" i="32" s="1" a="1"/>
  <c r="AP141" i="32" s="1"/>
  <c r="AP142" i="32" s="1" a="1"/>
  <c r="AP142" i="32" s="1"/>
  <c r="AP143" i="32" s="1" a="1"/>
  <c r="AP143" i="32" s="1"/>
  <c r="AP144" i="32" s="1" a="1"/>
  <c r="AP144" i="32" s="1"/>
  <c r="AP145" i="32" s="1" a="1"/>
  <c r="AP145" i="32" s="1"/>
  <c r="AP146" i="32" s="1" a="1"/>
  <c r="AP146" i="32" s="1"/>
  <c r="AP147" i="32" s="1" a="1"/>
  <c r="AP147" i="32" s="1"/>
  <c r="AP148" i="32" s="1" a="1"/>
  <c r="AP148" i="32" s="1"/>
  <c r="AP149" i="32" s="1" a="1"/>
  <c r="AP149" i="32" s="1"/>
  <c r="AP150" i="32" s="1" a="1"/>
  <c r="AP150" i="32" s="1"/>
  <c r="AP151" i="32" s="1" a="1"/>
  <c r="AP151" i="32" s="1"/>
  <c r="AP152" i="32" s="1" a="1"/>
  <c r="AP152" i="32" s="1"/>
  <c r="AP153" i="32" s="1" a="1"/>
  <c r="AP153" i="32" s="1"/>
  <c r="AP154" i="32" s="1" a="1"/>
  <c r="AP154" i="32" s="1"/>
  <c r="AP155" i="32" s="1" a="1"/>
  <c r="AP155" i="32" s="1"/>
  <c r="AP156" i="32" s="1" a="1"/>
  <c r="AP156" i="32" s="1"/>
  <c r="AP157" i="32" s="1" a="1"/>
  <c r="AP157" i="32" s="1"/>
  <c r="AP158" i="32" s="1" a="1"/>
  <c r="AP158" i="32" s="1"/>
  <c r="AP159" i="32" s="1" a="1"/>
  <c r="AP159" i="32" s="1"/>
  <c r="AP160" i="32" s="1" a="1"/>
  <c r="AP160" i="32" s="1"/>
  <c r="AP161" i="32" s="1" a="1"/>
  <c r="AP161" i="32" s="1"/>
  <c r="AP162" i="32" s="1" a="1"/>
  <c r="AP162" i="32" s="1"/>
  <c r="AP163" i="32" s="1" a="1"/>
  <c r="AP163" i="32" s="1"/>
  <c r="AP164" i="32" s="1" a="1"/>
  <c r="AP164" i="32" s="1"/>
  <c r="AP165" i="32" s="1" a="1"/>
  <c r="AP165" i="32" s="1"/>
  <c r="AP166" i="32" s="1" a="1"/>
  <c r="AP166" i="32" s="1"/>
  <c r="AP167" i="32" s="1" a="1"/>
  <c r="AP167" i="32" s="1"/>
  <c r="AP168" i="32" s="1" a="1"/>
  <c r="AP168" i="32" s="1"/>
  <c r="AP169" i="32" s="1" a="1"/>
  <c r="AP169" i="32" s="1"/>
  <c r="AP170" i="32" s="1" a="1"/>
  <c r="AP170" i="32" s="1"/>
  <c r="AP171" i="32" s="1" a="1"/>
  <c r="AP171" i="32" s="1"/>
  <c r="AP172" i="32" s="1" a="1"/>
  <c r="AP172" i="32" s="1"/>
  <c r="AP173" i="32" s="1" a="1"/>
  <c r="AP173" i="32" s="1"/>
  <c r="AP174" i="32" s="1" a="1"/>
  <c r="AP174" i="32" s="1"/>
  <c r="AP175" i="32" s="1" a="1"/>
  <c r="AP175" i="32" s="1"/>
  <c r="AP176" i="32" s="1" a="1"/>
  <c r="AP176" i="32" s="1"/>
  <c r="AP177" i="32" s="1" a="1"/>
  <c r="AP177" i="32" s="1"/>
  <c r="AP178" i="32" s="1" a="1"/>
  <c r="AP178" i="32" s="1"/>
  <c r="AP179" i="32" s="1" a="1"/>
  <c r="AP179" i="32" s="1"/>
  <c r="AP180" i="32" s="1" a="1"/>
  <c r="AP180" i="32" s="1"/>
  <c r="AP181" i="32" s="1" a="1"/>
  <c r="AP181" i="32" s="1"/>
  <c r="AP182" i="32" s="1" a="1"/>
  <c r="AP182" i="32" s="1"/>
  <c r="AP183" i="32" s="1" a="1"/>
  <c r="AP183" i="32" s="1"/>
  <c r="K134" i="32" a="1"/>
  <c r="K134" i="32"/>
  <c r="AP133" i="32" a="1"/>
  <c r="AP133" i="32"/>
  <c r="G133" i="32" a="1"/>
  <c r="G133" i="32" s="1"/>
  <c r="G134" i="32" s="1" a="1"/>
  <c r="G134" i="32" s="1"/>
  <c r="G135" i="32" s="1" a="1"/>
  <c r="G135" i="32" s="1"/>
  <c r="G136" i="32" s="1" a="1"/>
  <c r="G136" i="32" s="1"/>
  <c r="G137" i="32" s="1" a="1"/>
  <c r="G137" i="32" s="1"/>
  <c r="G138" i="32" s="1" a="1"/>
  <c r="G138" i="32" s="1"/>
  <c r="G139" i="32" s="1" a="1"/>
  <c r="G139" i="32" s="1"/>
  <c r="G140" i="32" s="1" a="1"/>
  <c r="G140" i="32" s="1"/>
  <c r="G141" i="32" s="1" a="1"/>
  <c r="G141" i="32" s="1"/>
  <c r="G142" i="32" s="1" a="1"/>
  <c r="G142" i="32" s="1"/>
  <c r="G143" i="32" s="1" a="1"/>
  <c r="G143" i="32" s="1"/>
  <c r="G144" i="32" s="1" a="1"/>
  <c r="G144" i="32" s="1"/>
  <c r="G145" i="32" s="1" a="1"/>
  <c r="G145" i="32" s="1"/>
  <c r="G146" i="32" s="1" a="1"/>
  <c r="G146" i="32" s="1"/>
  <c r="G147" i="32" s="1" a="1"/>
  <c r="G147" i="32" s="1"/>
  <c r="G148" i="32" s="1" a="1"/>
  <c r="G148" i="32" s="1"/>
  <c r="G149" i="32" s="1" a="1"/>
  <c r="G149" i="32" s="1"/>
  <c r="G150" i="32" s="1" a="1"/>
  <c r="G150" i="32" s="1"/>
  <c r="G151" i="32" s="1" a="1"/>
  <c r="G151" i="32" s="1"/>
  <c r="G152" i="32" s="1" a="1"/>
  <c r="G152" i="32" s="1"/>
  <c r="G153" i="32" s="1" a="1"/>
  <c r="G153" i="32" s="1"/>
  <c r="G154" i="32" s="1" a="1"/>
  <c r="G154" i="32" s="1"/>
  <c r="G155" i="32" s="1" a="1"/>
  <c r="G155" i="32" s="1"/>
  <c r="G156" i="32" s="1" a="1"/>
  <c r="G156" i="32" s="1"/>
  <c r="G157" i="32" s="1" a="1"/>
  <c r="G157" i="32" s="1"/>
  <c r="G158" i="32" s="1" a="1"/>
  <c r="G158" i="32" s="1"/>
  <c r="G159" i="32" s="1" a="1"/>
  <c r="G159" i="32" s="1"/>
  <c r="G160" i="32" s="1" a="1"/>
  <c r="G160" i="32" s="1"/>
  <c r="G161" i="32" s="1" a="1"/>
  <c r="G161" i="32" s="1"/>
  <c r="G162" i="32" s="1" a="1"/>
  <c r="G162" i="32" s="1"/>
  <c r="G163" i="32" s="1" a="1"/>
  <c r="G163" i="32" s="1"/>
  <c r="G164" i="32" s="1" a="1"/>
  <c r="G164" i="32" s="1"/>
  <c r="G165" i="32" s="1" a="1"/>
  <c r="G165" i="32" s="1"/>
  <c r="G166" i="32" s="1" a="1"/>
  <c r="G166" i="32" s="1"/>
  <c r="G167" i="32" s="1" a="1"/>
  <c r="G167" i="32" s="1"/>
  <c r="G168" i="32" s="1" a="1"/>
  <c r="G168" i="32" s="1"/>
  <c r="G169" i="32" s="1" a="1"/>
  <c r="G169" i="32" s="1"/>
  <c r="G170" i="32" s="1" a="1"/>
  <c r="G170" i="32" s="1"/>
  <c r="G171" i="32" s="1" a="1"/>
  <c r="G171" i="32" s="1"/>
  <c r="G172" i="32" s="1" a="1"/>
  <c r="G172" i="32" s="1"/>
  <c r="G173" i="32" s="1" a="1"/>
  <c r="G173" i="32" s="1"/>
  <c r="G174" i="32" s="1" a="1"/>
  <c r="G174" i="32" s="1"/>
  <c r="G175" i="32" s="1" a="1"/>
  <c r="G175" i="32" s="1"/>
  <c r="G176" i="32" s="1" a="1"/>
  <c r="G176" i="32" s="1"/>
  <c r="G177" i="32" s="1" a="1"/>
  <c r="G177" i="32" s="1"/>
  <c r="G178" i="32" s="1" a="1"/>
  <c r="G178" i="32" s="1"/>
  <c r="G179" i="32" s="1" a="1"/>
  <c r="G179" i="32" s="1"/>
  <c r="G180" i="32" s="1" a="1"/>
  <c r="G180" i="32" s="1"/>
  <c r="G181" i="32" s="1" a="1"/>
  <c r="G181" i="32" s="1"/>
  <c r="G182" i="32" s="1" a="1"/>
  <c r="G182" i="32" s="1"/>
  <c r="G183" i="32" s="1" a="1"/>
  <c r="G183" i="32" s="1"/>
  <c r="K132" i="32"/>
  <c r="AN131" i="32" a="1"/>
  <c r="AN131" i="32" s="1"/>
  <c r="K131" i="32"/>
  <c r="AN130" i="32" a="1"/>
  <c r="AN130" i="32" s="1"/>
  <c r="AB130" i="32"/>
  <c r="K130" i="32"/>
  <c r="B130" i="32"/>
  <c r="AB129" i="32"/>
  <c r="K129" i="32"/>
  <c r="AN129" i="32" s="1" a="1"/>
  <c r="AN129" i="32" s="1"/>
  <c r="B129" i="32"/>
  <c r="AN128" i="32"/>
  <c r="K128" i="32"/>
  <c r="AN128" i="32" s="1" a="1"/>
  <c r="AN127" i="32" a="1"/>
  <c r="AN127" i="32"/>
  <c r="K127" i="32"/>
  <c r="AN126" i="32" a="1"/>
  <c r="AN126" i="32" s="1"/>
  <c r="AB126" i="32"/>
  <c r="K126" i="32"/>
  <c r="B126" i="32"/>
  <c r="AB125" i="32"/>
  <c r="K125" i="32"/>
  <c r="AN125" i="32" s="1" a="1"/>
  <c r="AN125" i="32" s="1"/>
  <c r="B125" i="32"/>
  <c r="K124" i="32"/>
  <c r="AN123" i="32" a="1"/>
  <c r="AN123" i="32" s="1"/>
  <c r="K123" i="32"/>
  <c r="AN122" i="32" a="1"/>
  <c r="AN122" i="32" s="1"/>
  <c r="AB122" i="32"/>
  <c r="K122" i="32"/>
  <c r="B122" i="32"/>
  <c r="AB121" i="32"/>
  <c r="K121" i="32"/>
  <c r="AN121" i="32" s="1" a="1"/>
  <c r="AN121" i="32" s="1"/>
  <c r="B121" i="32"/>
  <c r="AN120" i="32"/>
  <c r="K120" i="32"/>
  <c r="AN120" i="32" s="1" a="1"/>
  <c r="AN119" i="32" a="1"/>
  <c r="AN119" i="32"/>
  <c r="K119" i="32"/>
  <c r="AN118" i="32" a="1"/>
  <c r="AN118" i="32" s="1"/>
  <c r="AB118" i="32"/>
  <c r="K118" i="32"/>
  <c r="B118" i="32"/>
  <c r="AB117" i="32"/>
  <c r="K117" i="32"/>
  <c r="AN117" i="32" s="1" a="1"/>
  <c r="AN117" i="32" s="1"/>
  <c r="B117" i="32"/>
  <c r="K116" i="32"/>
  <c r="AN115" i="32" a="1"/>
  <c r="AN115" i="32" s="1"/>
  <c r="K115" i="32"/>
  <c r="AN114" i="32" a="1"/>
  <c r="AN114" i="32" s="1"/>
  <c r="AB114" i="32"/>
  <c r="K114" i="32"/>
  <c r="B114" i="32"/>
  <c r="AB113" i="32"/>
  <c r="K113" i="32"/>
  <c r="AN113" i="32" s="1" a="1"/>
  <c r="AN113" i="32" s="1"/>
  <c r="B113" i="32"/>
  <c r="AN112" i="32"/>
  <c r="K112" i="32"/>
  <c r="AN112" i="32" s="1" a="1"/>
  <c r="AN111" i="32" a="1"/>
  <c r="AN111" i="32"/>
  <c r="K111" i="32"/>
  <c r="AN110" i="32" a="1"/>
  <c r="AN110" i="32" s="1"/>
  <c r="AB110" i="32"/>
  <c r="K110" i="32"/>
  <c r="B110" i="32"/>
  <c r="AB109" i="32"/>
  <c r="K109" i="32"/>
  <c r="AN109" i="32" s="1" a="1"/>
  <c r="AN109" i="32" s="1"/>
  <c r="B109" i="32"/>
  <c r="K108" i="32"/>
  <c r="AN107" i="32" a="1"/>
  <c r="AN107" i="32" s="1"/>
  <c r="K107" i="32"/>
  <c r="AN106" i="32" a="1"/>
  <c r="AN106" i="32" s="1"/>
  <c r="AB106" i="32"/>
  <c r="K106" i="32"/>
  <c r="B106" i="32"/>
  <c r="K105" i="32"/>
  <c r="B105" i="32"/>
  <c r="K104" i="32"/>
  <c r="AN103" i="32" a="1"/>
  <c r="AN103" i="32" s="1"/>
  <c r="AB103" i="32"/>
  <c r="K103" i="32"/>
  <c r="B103" i="32"/>
  <c r="AB102" i="32"/>
  <c r="K102" i="32"/>
  <c r="AN102" i="32" s="1" a="1"/>
  <c r="AN102" i="32" s="1"/>
  <c r="B102" i="32"/>
  <c r="AB101" i="32"/>
  <c r="K101" i="32"/>
  <c r="AN101" i="32" s="1" a="1"/>
  <c r="AN101" i="32" s="1"/>
  <c r="B101" i="32"/>
  <c r="K100" i="32"/>
  <c r="AN99" i="32" a="1"/>
  <c r="AN99" i="32" s="1"/>
  <c r="AB99" i="32"/>
  <c r="K99" i="32"/>
  <c r="B99" i="32"/>
  <c r="AB98" i="32"/>
  <c r="K98" i="32"/>
  <c r="AN98" i="32" s="1" a="1"/>
  <c r="AN98" i="32" s="1"/>
  <c r="B98" i="32"/>
  <c r="AB97" i="32"/>
  <c r="K97" i="32"/>
  <c r="AN97" i="32" s="1" a="1"/>
  <c r="AN97" i="32" s="1"/>
  <c r="B97" i="32"/>
  <c r="K96" i="32"/>
  <c r="AN95" i="32" a="1"/>
  <c r="AN95" i="32" s="1"/>
  <c r="AB95" i="32"/>
  <c r="K95" i="32"/>
  <c r="B95" i="32"/>
  <c r="AB94" i="32"/>
  <c r="K94" i="32"/>
  <c r="AN94" i="32" s="1" a="1"/>
  <c r="AN94" i="32" s="1"/>
  <c r="B94" i="32"/>
  <c r="AB93" i="32"/>
  <c r="K93" i="32"/>
  <c r="AN93" i="32" s="1" a="1"/>
  <c r="AN93" i="32" s="1"/>
  <c r="B93" i="32"/>
  <c r="K92" i="32"/>
  <c r="AN91" i="32" a="1"/>
  <c r="AN91" i="32" s="1"/>
  <c r="AB91" i="32"/>
  <c r="K91" i="32"/>
  <c r="B91" i="32"/>
  <c r="AB90" i="32"/>
  <c r="K90" i="32"/>
  <c r="AN90" i="32" s="1" a="1"/>
  <c r="AN90" i="32" s="1"/>
  <c r="B90" i="32"/>
  <c r="AP89" i="32" a="1"/>
  <c r="AP89" i="32" s="1"/>
  <c r="AP90" i="32" s="1" a="1"/>
  <c r="AP90" i="32" s="1"/>
  <c r="AP91" i="32" s="1" a="1"/>
  <c r="AP91" i="32" s="1"/>
  <c r="AP92" i="32" s="1" a="1"/>
  <c r="AP92" i="32" s="1"/>
  <c r="AP93" i="32" s="1" a="1"/>
  <c r="AP93" i="32" s="1"/>
  <c r="AP94" i="32" s="1" a="1"/>
  <c r="AP94" i="32" s="1"/>
  <c r="AP95" i="32" s="1" a="1"/>
  <c r="AP95" i="32" s="1"/>
  <c r="AP96" i="32" s="1" a="1"/>
  <c r="AP96" i="32" s="1"/>
  <c r="AP97" i="32" s="1" a="1"/>
  <c r="AP97" i="32" s="1"/>
  <c r="AP98" i="32" s="1" a="1"/>
  <c r="AP98" i="32" s="1"/>
  <c r="AP99" i="32" s="1" a="1"/>
  <c r="AP99" i="32" s="1"/>
  <c r="AP100" i="32" s="1" a="1"/>
  <c r="AP100" i="32" s="1"/>
  <c r="AP101" i="32" s="1" a="1"/>
  <c r="AP101" i="32" s="1"/>
  <c r="AP102" i="32" s="1" a="1"/>
  <c r="AP102" i="32" s="1"/>
  <c r="AP103" i="32" s="1" a="1"/>
  <c r="AP103" i="32" s="1"/>
  <c r="AP104" i="32" s="1" a="1"/>
  <c r="AP104" i="32" s="1"/>
  <c r="AP105" i="32" s="1" a="1"/>
  <c r="AP105" i="32" s="1"/>
  <c r="AP106" i="32" s="1" a="1"/>
  <c r="AP106" i="32" s="1"/>
  <c r="AP107" i="32" s="1" a="1"/>
  <c r="AP107" i="32" s="1"/>
  <c r="AP108" i="32" s="1" a="1"/>
  <c r="AP108" i="32" s="1"/>
  <c r="AP109" i="32" s="1" a="1"/>
  <c r="AP109" i="32" s="1"/>
  <c r="AP110" i="32" s="1" a="1"/>
  <c r="AP110" i="32" s="1"/>
  <c r="AP111" i="32" s="1" a="1"/>
  <c r="AP111" i="32" s="1"/>
  <c r="AP112" i="32" s="1" a="1"/>
  <c r="AP112" i="32" s="1"/>
  <c r="AP113" i="32" s="1" a="1"/>
  <c r="AP113" i="32" s="1"/>
  <c r="AP114" i="32" s="1" a="1"/>
  <c r="AP114" i="32" s="1"/>
  <c r="AP115" i="32" s="1" a="1"/>
  <c r="AP115" i="32" s="1"/>
  <c r="AP116" i="32" s="1" a="1"/>
  <c r="AP116" i="32" s="1"/>
  <c r="AP117" i="32" s="1" a="1"/>
  <c r="AP117" i="32" s="1"/>
  <c r="AP118" i="32" s="1" a="1"/>
  <c r="AP118" i="32" s="1"/>
  <c r="AP119" i="32" s="1" a="1"/>
  <c r="AP119" i="32" s="1"/>
  <c r="AP120" i="32" s="1" a="1"/>
  <c r="AP120" i="32" s="1"/>
  <c r="AP121" i="32" s="1" a="1"/>
  <c r="AP121" i="32" s="1"/>
  <c r="AP122" i="32" s="1" a="1"/>
  <c r="AP122" i="32" s="1"/>
  <c r="AP123" i="32" s="1" a="1"/>
  <c r="AP123" i="32" s="1"/>
  <c r="AP124" i="32" s="1" a="1"/>
  <c r="AP124" i="32" s="1"/>
  <c r="AP125" i="32" s="1" a="1"/>
  <c r="AP125" i="32" s="1"/>
  <c r="AP126" i="32" s="1" a="1"/>
  <c r="AP126" i="32" s="1"/>
  <c r="AP127" i="32" s="1" a="1"/>
  <c r="AP127" i="32" s="1"/>
  <c r="AP128" i="32" s="1" a="1"/>
  <c r="AP128" i="32" s="1"/>
  <c r="AP129" i="32" s="1" a="1"/>
  <c r="AP129" i="32" s="1"/>
  <c r="AP130" i="32" s="1" a="1"/>
  <c r="AP130" i="32" s="1"/>
  <c r="AP131" i="32" s="1" a="1"/>
  <c r="AP131" i="32" s="1"/>
  <c r="AP132" i="32" s="1" a="1"/>
  <c r="AP132" i="32" s="1"/>
  <c r="AB89" i="32"/>
  <c r="K89" i="32"/>
  <c r="AN89" i="32" s="1" a="1"/>
  <c r="AN89" i="32" s="1"/>
  <c r="B89" i="32"/>
  <c r="K88" i="32"/>
  <c r="AN87" i="32" a="1"/>
  <c r="AN87" i="32" s="1"/>
  <c r="AB87" i="32"/>
  <c r="K87" i="32"/>
  <c r="B87" i="32"/>
  <c r="AB86" i="32"/>
  <c r="K86" i="32"/>
  <c r="AN86" i="32" s="1" a="1"/>
  <c r="AN86" i="32" s="1"/>
  <c r="B86" i="32"/>
  <c r="AP85" i="32" a="1"/>
  <c r="AP85" i="32" s="1"/>
  <c r="AP86" i="32" s="1" a="1"/>
  <c r="AP86" i="32" s="1"/>
  <c r="AP87" i="32" s="1" a="1"/>
  <c r="AP87" i="32" s="1"/>
  <c r="AP88" i="32" s="1" a="1"/>
  <c r="AP88" i="32" s="1"/>
  <c r="AB85" i="32"/>
  <c r="K85" i="32"/>
  <c r="AN85" i="32" s="1" a="1"/>
  <c r="AN85" i="32" s="1"/>
  <c r="B85" i="32"/>
  <c r="K84" i="32"/>
  <c r="AN83" i="32" a="1"/>
  <c r="AN83" i="32" s="1"/>
  <c r="K83" i="32" a="1"/>
  <c r="K83" i="32"/>
  <c r="AB83" i="32" s="1"/>
  <c r="B83" i="32"/>
  <c r="AP82" i="32" a="1"/>
  <c r="AP82" i="32" s="1"/>
  <c r="AP83" i="32" s="1" a="1"/>
  <c r="AP83" i="32" s="1"/>
  <c r="AP84" i="32" s="1" a="1"/>
  <c r="AP84" i="32" s="1"/>
  <c r="G82" i="32" a="1"/>
  <c r="G82" i="32"/>
  <c r="G83" i="32" s="1" a="1"/>
  <c r="G83" i="32" s="1"/>
  <c r="G84" i="32" s="1" a="1"/>
  <c r="G84" i="32" s="1"/>
  <c r="G85" i="32" s="1" a="1"/>
  <c r="G85" i="32" s="1"/>
  <c r="G86" i="32" s="1" a="1"/>
  <c r="G86" i="32" s="1"/>
  <c r="G87" i="32" s="1" a="1"/>
  <c r="G87" i="32" s="1"/>
  <c r="G88" i="32" s="1" a="1"/>
  <c r="G88" i="32" s="1"/>
  <c r="G89" i="32" s="1" a="1"/>
  <c r="G89" i="32" s="1"/>
  <c r="G90" i="32" s="1" a="1"/>
  <c r="G90" i="32" s="1"/>
  <c r="G91" i="32" s="1" a="1"/>
  <c r="G91" i="32" s="1"/>
  <c r="G92" i="32" s="1" a="1"/>
  <c r="G92" i="32" s="1"/>
  <c r="G93" i="32" s="1" a="1"/>
  <c r="G93" i="32" s="1"/>
  <c r="G94" i="32" s="1" a="1"/>
  <c r="G94" i="32" s="1"/>
  <c r="G95" i="32" s="1" a="1"/>
  <c r="G95" i="32" s="1"/>
  <c r="G96" i="32" s="1" a="1"/>
  <c r="G96" i="32" s="1"/>
  <c r="G97" i="32" s="1" a="1"/>
  <c r="G97" i="32" s="1"/>
  <c r="G98" i="32" s="1" a="1"/>
  <c r="G98" i="32" s="1"/>
  <c r="G99" i="32" s="1" a="1"/>
  <c r="G99" i="32" s="1"/>
  <c r="G100" i="32" s="1" a="1"/>
  <c r="G100" i="32" s="1"/>
  <c r="G101" i="32" s="1" a="1"/>
  <c r="G101" i="32" s="1"/>
  <c r="G102" i="32" s="1" a="1"/>
  <c r="G102" i="32" s="1"/>
  <c r="G103" i="32" s="1" a="1"/>
  <c r="G103" i="32" s="1"/>
  <c r="G104" i="32" s="1" a="1"/>
  <c r="G104" i="32" s="1"/>
  <c r="G105" i="32" s="1" a="1"/>
  <c r="G105" i="32" s="1"/>
  <c r="G106" i="32" s="1" a="1"/>
  <c r="G106" i="32" s="1"/>
  <c r="G107" i="32" s="1" a="1"/>
  <c r="G107" i="32" s="1"/>
  <c r="G108" i="32" s="1" a="1"/>
  <c r="G108" i="32" s="1"/>
  <c r="G109" i="32" s="1" a="1"/>
  <c r="G109" i="32" s="1"/>
  <c r="G110" i="32" s="1" a="1"/>
  <c r="G110" i="32" s="1"/>
  <c r="G111" i="32" s="1" a="1"/>
  <c r="G111" i="32" s="1"/>
  <c r="G112" i="32" s="1" a="1"/>
  <c r="G112" i="32" s="1"/>
  <c r="G113" i="32" s="1" a="1"/>
  <c r="G113" i="32" s="1"/>
  <c r="G114" i="32" s="1" a="1"/>
  <c r="G114" i="32" s="1"/>
  <c r="G115" i="32" s="1" a="1"/>
  <c r="G115" i="32" s="1"/>
  <c r="G116" i="32" s="1" a="1"/>
  <c r="G116" i="32" s="1"/>
  <c r="G117" i="32" s="1" a="1"/>
  <c r="G117" i="32" s="1"/>
  <c r="G118" i="32" s="1" a="1"/>
  <c r="G118" i="32" s="1"/>
  <c r="G119" i="32" s="1" a="1"/>
  <c r="G119" i="32" s="1"/>
  <c r="G120" i="32" s="1" a="1"/>
  <c r="G120" i="32" s="1"/>
  <c r="G121" i="32" s="1" a="1"/>
  <c r="G121" i="32" s="1"/>
  <c r="G122" i="32" s="1" a="1"/>
  <c r="G122" i="32" s="1"/>
  <c r="G123" i="32" s="1" a="1"/>
  <c r="G123" i="32" s="1"/>
  <c r="G124" i="32" s="1" a="1"/>
  <c r="G124" i="32" s="1"/>
  <c r="G125" i="32" s="1" a="1"/>
  <c r="G125" i="32" s="1"/>
  <c r="G126" i="32" s="1" a="1"/>
  <c r="G126" i="32" s="1"/>
  <c r="G127" i="32" s="1" a="1"/>
  <c r="G127" i="32" s="1"/>
  <c r="G128" i="32" s="1" a="1"/>
  <c r="G128" i="32" s="1"/>
  <c r="G129" i="32" s="1" a="1"/>
  <c r="G129" i="32" s="1"/>
  <c r="G130" i="32" s="1" a="1"/>
  <c r="G130" i="32" s="1"/>
  <c r="G131" i="32" s="1" a="1"/>
  <c r="G131" i="32" s="1"/>
  <c r="G132" i="32" s="1" a="1"/>
  <c r="G132" i="32" s="1"/>
  <c r="T81" i="32"/>
  <c r="F81" i="32" a="1"/>
  <c r="F81" i="32" s="1"/>
  <c r="F82" i="32" s="1" a="1"/>
  <c r="F82" i="32" s="1"/>
  <c r="G80" i="32"/>
  <c r="AN79" i="32" a="1"/>
  <c r="AN79" i="32" s="1"/>
  <c r="AB79" i="32"/>
  <c r="K79" i="32"/>
  <c r="B79" i="32"/>
  <c r="AB78" i="32"/>
  <c r="K78" i="32"/>
  <c r="AN78" i="32" s="1" a="1"/>
  <c r="AN78" i="32" s="1"/>
  <c r="B78" i="32"/>
  <c r="AB77" i="32"/>
  <c r="K77" i="32"/>
  <c r="AN77" i="32" s="1" a="1"/>
  <c r="AN77" i="32" s="1"/>
  <c r="B77" i="32"/>
  <c r="K76" i="32"/>
  <c r="AN75" i="32" a="1"/>
  <c r="AN75" i="32" s="1"/>
  <c r="AB75" i="32"/>
  <c r="K75" i="32"/>
  <c r="B75" i="32"/>
  <c r="AB74" i="32"/>
  <c r="K74" i="32"/>
  <c r="AN74" i="32" s="1" a="1"/>
  <c r="AN74" i="32" s="1"/>
  <c r="B74" i="32"/>
  <c r="AB73" i="32"/>
  <c r="K73" i="32"/>
  <c r="AN73" i="32" s="1" a="1"/>
  <c r="AN73" i="32" s="1"/>
  <c r="B73" i="32"/>
  <c r="K72" i="32"/>
  <c r="AN71" i="32" a="1"/>
  <c r="AN71" i="32" s="1"/>
  <c r="AB71" i="32"/>
  <c r="K71" i="32"/>
  <c r="B71" i="32"/>
  <c r="AP70" i="32"/>
  <c r="AP71" i="32" s="1" a="1"/>
  <c r="AP71" i="32" s="1"/>
  <c r="AP72" i="32" s="1" a="1"/>
  <c r="AP72" i="32" s="1"/>
  <c r="AP73" i="32" s="1" a="1"/>
  <c r="AP73" i="32" s="1"/>
  <c r="AP74" i="32" s="1" a="1"/>
  <c r="AP74" i="32" s="1"/>
  <c r="AP75" i="32" s="1" a="1"/>
  <c r="AP75" i="32" s="1"/>
  <c r="AP76" i="32" s="1" a="1"/>
  <c r="AP76" i="32" s="1"/>
  <c r="AP77" i="32" s="1" a="1"/>
  <c r="AP77" i="32" s="1"/>
  <c r="AP78" i="32" s="1" a="1"/>
  <c r="AP78" i="32" s="1"/>
  <c r="AP79" i="32" s="1" a="1"/>
  <c r="AP79" i="32" s="1"/>
  <c r="AB70" i="32"/>
  <c r="K70" i="32"/>
  <c r="AN70" i="32" s="1" a="1"/>
  <c r="AN70" i="32" s="1"/>
  <c r="B70" i="32"/>
  <c r="AB69" i="32"/>
  <c r="K69" i="32"/>
  <c r="AN69" i="32" s="1" a="1"/>
  <c r="AN69" i="32" s="1"/>
  <c r="B69" i="32"/>
  <c r="K68" i="32"/>
  <c r="AN67" i="32" a="1"/>
  <c r="AN67" i="32" s="1"/>
  <c r="AB67" i="32"/>
  <c r="K67" i="32"/>
  <c r="B67" i="32"/>
  <c r="AB66" i="32"/>
  <c r="K66" i="32"/>
  <c r="AN66" i="32" s="1" a="1"/>
  <c r="AN66" i="32" s="1"/>
  <c r="B66" i="32"/>
  <c r="AB65" i="32"/>
  <c r="K65" i="32"/>
  <c r="AN65" i="32" s="1" a="1"/>
  <c r="AN65" i="32" s="1"/>
  <c r="B65" i="32"/>
  <c r="K64" i="32"/>
  <c r="AN63" i="32" a="1"/>
  <c r="AN63" i="32" s="1"/>
  <c r="AB63" i="32"/>
  <c r="K63" i="32"/>
  <c r="B63" i="32"/>
  <c r="AB62" i="32"/>
  <c r="K62" i="32"/>
  <c r="AN62" i="32" s="1" a="1"/>
  <c r="AN62" i="32" s="1"/>
  <c r="B62" i="32"/>
  <c r="AB61" i="32"/>
  <c r="K61" i="32"/>
  <c r="AN61" i="32" s="1" a="1"/>
  <c r="AN61" i="32" s="1"/>
  <c r="B61" i="32"/>
  <c r="K60" i="32"/>
  <c r="AN59" i="32" a="1"/>
  <c r="AN59" i="32" s="1"/>
  <c r="AB59" i="32"/>
  <c r="K59" i="32"/>
  <c r="B59" i="32"/>
  <c r="AB58" i="32"/>
  <c r="K58" i="32"/>
  <c r="AN58" i="32" s="1" a="1"/>
  <c r="AN58" i="32" s="1"/>
  <c r="B58" i="32"/>
  <c r="AB57" i="32"/>
  <c r="K57" i="32"/>
  <c r="AN57" i="32" s="1" a="1"/>
  <c r="AN57" i="32" s="1"/>
  <c r="B57" i="32"/>
  <c r="K56" i="32"/>
  <c r="AN55" i="32" a="1"/>
  <c r="AN55" i="32" s="1"/>
  <c r="AB55" i="32"/>
  <c r="K55" i="32"/>
  <c r="B55" i="32"/>
  <c r="AB54" i="32"/>
  <c r="K54" i="32"/>
  <c r="AN54" i="32" s="1" a="1"/>
  <c r="AN54" i="32" s="1"/>
  <c r="B54" i="32"/>
  <c r="AB53" i="32"/>
  <c r="K53" i="32"/>
  <c r="AN53" i="32" s="1" a="1"/>
  <c r="AN53" i="32" s="1"/>
  <c r="B53" i="32"/>
  <c r="K52" i="32"/>
  <c r="AN51" i="32" a="1"/>
  <c r="AN51" i="32" s="1"/>
  <c r="AB51" i="32"/>
  <c r="K51" i="32"/>
  <c r="B51" i="32"/>
  <c r="AB50" i="32"/>
  <c r="K50" i="32"/>
  <c r="AN50" i="32" s="1" a="1"/>
  <c r="AN50" i="32" s="1"/>
  <c r="B50" i="32"/>
  <c r="AB49" i="32"/>
  <c r="K49" i="32"/>
  <c r="AN49" i="32" s="1" a="1"/>
  <c r="AN49" i="32" s="1"/>
  <c r="B49" i="32"/>
  <c r="K48" i="32"/>
  <c r="AN47" i="32" a="1"/>
  <c r="AN47" i="32" s="1"/>
  <c r="AB47" i="32"/>
  <c r="K47" i="32"/>
  <c r="B47" i="32"/>
  <c r="AB46" i="32"/>
  <c r="K46" i="32"/>
  <c r="AN46" i="32" s="1" a="1"/>
  <c r="AN46" i="32" s="1"/>
  <c r="B46" i="32"/>
  <c r="AB45" i="32"/>
  <c r="K45" i="32"/>
  <c r="AN45" i="32" s="1" a="1"/>
  <c r="AN45" i="32" s="1"/>
  <c r="B45" i="32"/>
  <c r="K44" i="32"/>
  <c r="AN43" i="32" a="1"/>
  <c r="AN43" i="32" s="1"/>
  <c r="AB43" i="32"/>
  <c r="K43" i="32"/>
  <c r="B43" i="32"/>
  <c r="AB42" i="32"/>
  <c r="K42" i="32"/>
  <c r="AN42" i="32" s="1" a="1"/>
  <c r="AN42" i="32" s="1"/>
  <c r="B42" i="32"/>
  <c r="AB41" i="32"/>
  <c r="K41" i="32"/>
  <c r="AN41" i="32" s="1" a="1"/>
  <c r="AN41" i="32" s="1"/>
  <c r="B41" i="32"/>
  <c r="K40" i="32"/>
  <c r="AN39" i="32" a="1"/>
  <c r="AN39" i="32" s="1"/>
  <c r="AB39" i="32"/>
  <c r="K39" i="32"/>
  <c r="B39" i="32"/>
  <c r="AP38" i="32"/>
  <c r="AP39" i="32" s="1" a="1"/>
  <c r="AP39" i="32" s="1"/>
  <c r="AP40" i="32" s="1" a="1"/>
  <c r="AP40" i="32" s="1"/>
  <c r="AP41" i="32" s="1" a="1"/>
  <c r="AP41" i="32" s="1"/>
  <c r="AP42" i="32" s="1" a="1"/>
  <c r="AP42" i="32" s="1"/>
  <c r="AP43" i="32" s="1" a="1"/>
  <c r="AP43" i="32" s="1"/>
  <c r="AP44" i="32" s="1" a="1"/>
  <c r="AP44" i="32" s="1"/>
  <c r="AP45" i="32" s="1" a="1"/>
  <c r="AP45" i="32" s="1"/>
  <c r="AP46" i="32" s="1" a="1"/>
  <c r="AP46" i="32" s="1"/>
  <c r="AP47" i="32" s="1" a="1"/>
  <c r="AP47" i="32" s="1"/>
  <c r="AP48" i="32" s="1" a="1"/>
  <c r="AP48" i="32" s="1"/>
  <c r="AP49" i="32" s="1" a="1"/>
  <c r="AP49" i="32" s="1"/>
  <c r="AP50" i="32" s="1" a="1"/>
  <c r="AP50" i="32" s="1"/>
  <c r="AP51" i="32" s="1" a="1"/>
  <c r="AP51" i="32" s="1"/>
  <c r="AP52" i="32" s="1" a="1"/>
  <c r="AP52" i="32" s="1"/>
  <c r="AP53" i="32" s="1" a="1"/>
  <c r="AP53" i="32" s="1"/>
  <c r="AP54" i="32" s="1" a="1"/>
  <c r="AP54" i="32" s="1"/>
  <c r="AP55" i="32" s="1" a="1"/>
  <c r="AP55" i="32" s="1"/>
  <c r="AP56" i="32" s="1" a="1"/>
  <c r="AP56" i="32" s="1"/>
  <c r="AP57" i="32" s="1" a="1"/>
  <c r="AP57" i="32" s="1"/>
  <c r="AP58" i="32" s="1" a="1"/>
  <c r="AP58" i="32" s="1"/>
  <c r="AP59" i="32" s="1" a="1"/>
  <c r="AP59" i="32" s="1"/>
  <c r="AP60" i="32" s="1" a="1"/>
  <c r="AP60" i="32" s="1"/>
  <c r="AP61" i="32" s="1" a="1"/>
  <c r="AP61" i="32" s="1"/>
  <c r="AP62" i="32" s="1" a="1"/>
  <c r="AP62" i="32" s="1"/>
  <c r="AP63" i="32" s="1" a="1"/>
  <c r="AP63" i="32" s="1"/>
  <c r="AP64" i="32" s="1" a="1"/>
  <c r="AP64" i="32" s="1"/>
  <c r="AP65" i="32" s="1" a="1"/>
  <c r="AP65" i="32" s="1"/>
  <c r="AP66" i="32" s="1" a="1"/>
  <c r="AP66" i="32" s="1"/>
  <c r="AP67" i="32" s="1" a="1"/>
  <c r="AP67" i="32" s="1"/>
  <c r="AP68" i="32" s="1" a="1"/>
  <c r="AP68" i="32" s="1"/>
  <c r="AP69" i="32" s="1" a="1"/>
  <c r="AP69" i="32" s="1"/>
  <c r="AP70" i="32" s="1" a="1"/>
  <c r="AB38" i="32"/>
  <c r="K38" i="32"/>
  <c r="AN38" i="32" s="1" a="1"/>
  <c r="AN38" i="32" s="1"/>
  <c r="B38" i="32"/>
  <c r="AB37" i="32"/>
  <c r="K37" i="32"/>
  <c r="AN37" i="32" s="1" a="1"/>
  <c r="AN37" i="32" s="1"/>
  <c r="B37" i="32"/>
  <c r="K36" i="32"/>
  <c r="AN35" i="32" a="1"/>
  <c r="AN35" i="32" s="1"/>
  <c r="AB35" i="32"/>
  <c r="K35" i="32"/>
  <c r="B35" i="32"/>
  <c r="AP34" i="32"/>
  <c r="AP35" i="32" s="1" a="1"/>
  <c r="AP35" i="32" s="1"/>
  <c r="AP36" i="32" s="1" a="1"/>
  <c r="AP36" i="32" s="1"/>
  <c r="AP37" i="32" s="1" a="1"/>
  <c r="AP37" i="32" s="1"/>
  <c r="AP38" i="32" s="1" a="1"/>
  <c r="AB34" i="32"/>
  <c r="K34" i="32"/>
  <c r="AN34" i="32" s="1" a="1"/>
  <c r="AN34" i="32" s="1"/>
  <c r="B34" i="32"/>
  <c r="AP33" i="32" a="1"/>
  <c r="AP33" i="32" s="1"/>
  <c r="AP34" i="32" s="1" a="1"/>
  <c r="AB33" i="32"/>
  <c r="K33" i="32"/>
  <c r="AN33" i="32" s="1" a="1"/>
  <c r="AN33" i="32" s="1"/>
  <c r="B33" i="32"/>
  <c r="K32" i="32"/>
  <c r="AN31" i="32" a="1"/>
  <c r="AN31" i="32" s="1"/>
  <c r="AB31" i="32"/>
  <c r="K31" i="32"/>
  <c r="B31" i="32"/>
  <c r="AP30" i="32" a="1"/>
  <c r="AP30" i="32"/>
  <c r="AP31" i="32" s="1" a="1"/>
  <c r="AP31" i="32" s="1"/>
  <c r="AP32" i="32" s="1" a="1"/>
  <c r="AP32" i="32" s="1"/>
  <c r="K30" i="32" a="1"/>
  <c r="K30" i="32"/>
  <c r="AN30" i="32" s="1" a="1"/>
  <c r="AN30" i="32" s="1"/>
  <c r="B30" i="32"/>
  <c r="AP29" i="32" a="1"/>
  <c r="AP29" i="32"/>
  <c r="G29" i="32" a="1"/>
  <c r="G29" i="32" s="1"/>
  <c r="G30" i="32" s="1" a="1"/>
  <c r="G30" i="32" s="1"/>
  <c r="G31" i="32" s="1" a="1"/>
  <c r="G31" i="32" s="1"/>
  <c r="G32" i="32" s="1" a="1"/>
  <c r="G32" i="32" s="1"/>
  <c r="G33" i="32" s="1" a="1"/>
  <c r="G33" i="32" s="1"/>
  <c r="G34" i="32" s="1" a="1"/>
  <c r="G34" i="32" s="1"/>
  <c r="G35" i="32" s="1" a="1"/>
  <c r="G35" i="32" s="1"/>
  <c r="G36" i="32" s="1" a="1"/>
  <c r="G36" i="32" s="1"/>
  <c r="G37" i="32" s="1" a="1"/>
  <c r="G37" i="32" s="1"/>
  <c r="G38" i="32" s="1" a="1"/>
  <c r="G38" i="32" s="1"/>
  <c r="G39" i="32" s="1" a="1"/>
  <c r="G39" i="32" s="1"/>
  <c r="G40" i="32" s="1" a="1"/>
  <c r="G40" i="32" s="1"/>
  <c r="G41" i="32" s="1" a="1"/>
  <c r="G41" i="32" s="1"/>
  <c r="G42" i="32" s="1" a="1"/>
  <c r="G42" i="32" s="1"/>
  <c r="G43" i="32" s="1" a="1"/>
  <c r="G43" i="32" s="1"/>
  <c r="G44" i="32" s="1" a="1"/>
  <c r="G44" i="32" s="1"/>
  <c r="G45" i="32" s="1" a="1"/>
  <c r="G45" i="32" s="1"/>
  <c r="G46" i="32" s="1" a="1"/>
  <c r="G46" i="32" s="1"/>
  <c r="G47" i="32" s="1" a="1"/>
  <c r="G47" i="32" s="1"/>
  <c r="G48" i="32" s="1" a="1"/>
  <c r="G48" i="32" s="1"/>
  <c r="G49" i="32" s="1" a="1"/>
  <c r="G49" i="32" s="1"/>
  <c r="G50" i="32" s="1" a="1"/>
  <c r="G50" i="32" s="1"/>
  <c r="G51" i="32" s="1" a="1"/>
  <c r="G51" i="32" s="1"/>
  <c r="G52" i="32" s="1" a="1"/>
  <c r="G52" i="32" s="1"/>
  <c r="G53" i="32" s="1" a="1"/>
  <c r="G53" i="32" s="1"/>
  <c r="G54" i="32" s="1" a="1"/>
  <c r="G54" i="32" s="1"/>
  <c r="G55" i="32" s="1" a="1"/>
  <c r="G55" i="32" s="1"/>
  <c r="G56" i="32" s="1" a="1"/>
  <c r="G56" i="32" s="1"/>
  <c r="G57" i="32" s="1" a="1"/>
  <c r="G57" i="32" s="1"/>
  <c r="G58" i="32" s="1" a="1"/>
  <c r="G58" i="32" s="1"/>
  <c r="G59" i="32" s="1" a="1"/>
  <c r="G59" i="32" s="1"/>
  <c r="G60" i="32" s="1" a="1"/>
  <c r="G60" i="32" s="1"/>
  <c r="G61" i="32" s="1" a="1"/>
  <c r="G61" i="32" s="1"/>
  <c r="G62" i="32" s="1" a="1"/>
  <c r="G62" i="32" s="1"/>
  <c r="G63" i="32" s="1" a="1"/>
  <c r="G63" i="32" s="1"/>
  <c r="G64" i="32" s="1" a="1"/>
  <c r="G64" i="32" s="1"/>
  <c r="G65" i="32" s="1" a="1"/>
  <c r="G65" i="32" s="1"/>
  <c r="G66" i="32" s="1" a="1"/>
  <c r="G66" i="32" s="1"/>
  <c r="G67" i="32" s="1" a="1"/>
  <c r="G67" i="32" s="1"/>
  <c r="G68" i="32" s="1" a="1"/>
  <c r="G68" i="32" s="1"/>
  <c r="G69" i="32" s="1" a="1"/>
  <c r="G69" i="32" s="1"/>
  <c r="G70" i="32" s="1" a="1"/>
  <c r="G70" i="32" s="1"/>
  <c r="G71" i="32" s="1" a="1"/>
  <c r="G71" i="32" s="1"/>
  <c r="G72" i="32" s="1" a="1"/>
  <c r="G72" i="32" s="1"/>
  <c r="G73" i="32" s="1" a="1"/>
  <c r="G73" i="32" s="1"/>
  <c r="G74" i="32" s="1" a="1"/>
  <c r="G74" i="32" s="1"/>
  <c r="G75" i="32" s="1" a="1"/>
  <c r="G75" i="32" s="1"/>
  <c r="G76" i="32" s="1" a="1"/>
  <c r="G76" i="32" s="1"/>
  <c r="G77" i="32" s="1" a="1"/>
  <c r="G77" i="32" s="1"/>
  <c r="G78" i="32" s="1" a="1"/>
  <c r="G78" i="32" s="1"/>
  <c r="G79" i="32" s="1" a="1"/>
  <c r="G79" i="32" s="1"/>
  <c r="T28" i="32"/>
  <c r="F28" i="32" a="1"/>
  <c r="F28" i="32"/>
  <c r="F29" i="32" s="1" a="1"/>
  <c r="F29" i="32" s="1"/>
  <c r="AK2" i="32"/>
  <c r="AJ2" i="32"/>
  <c r="AI2" i="32"/>
  <c r="AH2" i="32"/>
  <c r="AG2" i="32"/>
  <c r="T187" i="31"/>
  <c r="T186" i="31"/>
  <c r="AB182" i="31"/>
  <c r="K182" i="31"/>
  <c r="AO182" i="31" s="1" a="1"/>
  <c r="AO182" i="31" s="1"/>
  <c r="K181" i="31"/>
  <c r="AO180" i="31" a="1"/>
  <c r="AO180" i="31" s="1"/>
  <c r="AB180" i="31"/>
  <c r="K180" i="31"/>
  <c r="B180" i="31"/>
  <c r="AB179" i="31"/>
  <c r="K179" i="31"/>
  <c r="AO179" i="31" s="1" a="1"/>
  <c r="AO179" i="31" s="1"/>
  <c r="AB178" i="31"/>
  <c r="K178" i="31"/>
  <c r="AO178" i="31" s="1" a="1"/>
  <c r="AO178" i="31" s="1"/>
  <c r="K177" i="31"/>
  <c r="AO176" i="31" a="1"/>
  <c r="AO176" i="31" s="1"/>
  <c r="AB176" i="31"/>
  <c r="K176" i="31"/>
  <c r="B176" i="31"/>
  <c r="AB175" i="31"/>
  <c r="K175" i="31"/>
  <c r="AO175" i="31" s="1" a="1"/>
  <c r="AO175" i="31" s="1"/>
  <c r="AB174" i="31"/>
  <c r="K174" i="31"/>
  <c r="AO174" i="31" s="1" a="1"/>
  <c r="AO174" i="31" s="1"/>
  <c r="K173" i="31"/>
  <c r="AO172" i="31" a="1"/>
  <c r="AO172" i="31" s="1"/>
  <c r="AB172" i="31"/>
  <c r="K172" i="31"/>
  <c r="B172" i="31"/>
  <c r="AB171" i="31"/>
  <c r="K171" i="31"/>
  <c r="AO171" i="31" s="1" a="1"/>
  <c r="AO171" i="31" s="1"/>
  <c r="AB170" i="31"/>
  <c r="K170" i="31"/>
  <c r="AO170" i="31" s="1" a="1"/>
  <c r="AO170" i="31" s="1"/>
  <c r="K169" i="31"/>
  <c r="AO168" i="31" a="1"/>
  <c r="AO168" i="31" s="1"/>
  <c r="AB168" i="31"/>
  <c r="K168" i="31"/>
  <c r="B168" i="31"/>
  <c r="AB167" i="31"/>
  <c r="K167" i="31"/>
  <c r="AO167" i="31" s="1" a="1"/>
  <c r="AO167" i="31" s="1"/>
  <c r="AB166" i="31"/>
  <c r="K166" i="31"/>
  <c r="AO166" i="31" s="1" a="1"/>
  <c r="AO166" i="31" s="1"/>
  <c r="K165" i="31"/>
  <c r="AO164" i="31" a="1"/>
  <c r="AO164" i="31" s="1"/>
  <c r="AB164" i="31"/>
  <c r="K164" i="31"/>
  <c r="B164" i="31"/>
  <c r="AB163" i="31"/>
  <c r="K163" i="31"/>
  <c r="AO163" i="31" s="1" a="1"/>
  <c r="AO163" i="31" s="1"/>
  <c r="AB162" i="31"/>
  <c r="K162" i="31"/>
  <c r="AO162" i="31" s="1" a="1"/>
  <c r="AO162" i="31" s="1"/>
  <c r="K161" i="31"/>
  <c r="AO160" i="31" a="1"/>
  <c r="AO160" i="31" s="1"/>
  <c r="AB160" i="31"/>
  <c r="K160" i="31"/>
  <c r="B160" i="31"/>
  <c r="AB159" i="31"/>
  <c r="K159" i="31"/>
  <c r="AO159" i="31" s="1" a="1"/>
  <c r="AO159" i="31" s="1"/>
  <c r="AB158" i="31"/>
  <c r="K158" i="31"/>
  <c r="AO158" i="31" s="1" a="1"/>
  <c r="AO158" i="31" s="1"/>
  <c r="K157" i="31"/>
  <c r="AO156" i="31" a="1"/>
  <c r="AO156" i="31" s="1"/>
  <c r="AB156" i="31"/>
  <c r="K156" i="31"/>
  <c r="B156" i="31"/>
  <c r="AB155" i="31"/>
  <c r="K155" i="31"/>
  <c r="AO155" i="31" s="1" a="1"/>
  <c r="AO155" i="31" s="1"/>
  <c r="AB154" i="31"/>
  <c r="K154" i="31"/>
  <c r="AO154" i="31" s="1" a="1"/>
  <c r="AO154" i="31" s="1"/>
  <c r="K153" i="31"/>
  <c r="AO152" i="31" a="1"/>
  <c r="AO152" i="31" s="1"/>
  <c r="AB152" i="31"/>
  <c r="K152" i="31"/>
  <c r="B152" i="31"/>
  <c r="AB151" i="31"/>
  <c r="K151" i="31"/>
  <c r="AO151" i="31" s="1" a="1"/>
  <c r="AO151" i="31" s="1"/>
  <c r="AB150" i="31"/>
  <c r="K150" i="31"/>
  <c r="K149" i="31"/>
  <c r="AB149" i="31" s="1"/>
  <c r="AO148" i="31" a="1"/>
  <c r="AO148" i="31" s="1"/>
  <c r="AB148" i="31"/>
  <c r="K148" i="31"/>
  <c r="B148" i="31"/>
  <c r="AB147" i="31"/>
  <c r="K147" i="31"/>
  <c r="AO147" i="31" s="1" a="1"/>
  <c r="AO147" i="31" s="1"/>
  <c r="AO146" i="31"/>
  <c r="K146" i="31"/>
  <c r="AO146" i="31" s="1" a="1"/>
  <c r="K145" i="31"/>
  <c r="AB145" i="31" s="1"/>
  <c r="B145" i="31"/>
  <c r="AO144" i="31" a="1"/>
  <c r="AO144" i="31" s="1"/>
  <c r="AB144" i="31"/>
  <c r="K144" i="31"/>
  <c r="B144" i="31"/>
  <c r="K143" i="31"/>
  <c r="K142" i="31"/>
  <c r="AO141" i="31" a="1"/>
  <c r="AO141" i="31" s="1"/>
  <c r="AB141" i="31"/>
  <c r="K141" i="31"/>
  <c r="B141" i="31"/>
  <c r="K140" i="31"/>
  <c r="AO139" i="31" a="1"/>
  <c r="AO139" i="31" s="1"/>
  <c r="AB139" i="31"/>
  <c r="K139" i="31"/>
  <c r="B139" i="31"/>
  <c r="T138" i="31" a="1"/>
  <c r="T138" i="31" s="1"/>
  <c r="T139" i="31" s="1" a="1"/>
  <c r="T139" i="31" s="1"/>
  <c r="T140" i="31" s="1" a="1"/>
  <c r="T140" i="31" s="1"/>
  <c r="T141" i="31" s="1" a="1"/>
  <c r="T141" i="31" s="1"/>
  <c r="T142" i="31" s="1" a="1"/>
  <c r="T142" i="31" s="1"/>
  <c r="T143" i="31" s="1" a="1"/>
  <c r="T143" i="31" s="1"/>
  <c r="T144" i="31" s="1" a="1"/>
  <c r="T144" i="31" s="1"/>
  <c r="T145" i="31" s="1" a="1"/>
  <c r="T145" i="31" s="1"/>
  <c r="T146" i="31" s="1" a="1"/>
  <c r="T146" i="31" s="1"/>
  <c r="T147" i="31" s="1" a="1"/>
  <c r="T147" i="31" s="1"/>
  <c r="T148" i="31" s="1" a="1"/>
  <c r="T148" i="31" s="1"/>
  <c r="T149" i="31" s="1" a="1"/>
  <c r="T149" i="31" s="1"/>
  <c r="T150" i="31" s="1" a="1"/>
  <c r="T150" i="31" s="1"/>
  <c r="T151" i="31" s="1" a="1"/>
  <c r="T151" i="31" s="1"/>
  <c r="T152" i="31" s="1" a="1"/>
  <c r="T152" i="31" s="1"/>
  <c r="T153" i="31" s="1" a="1"/>
  <c r="T153" i="31" s="1"/>
  <c r="T154" i="31" s="1" a="1"/>
  <c r="T154" i="31" s="1"/>
  <c r="T155" i="31" s="1" a="1"/>
  <c r="T155" i="31" s="1"/>
  <c r="T156" i="31" s="1" a="1"/>
  <c r="T156" i="31" s="1"/>
  <c r="T157" i="31" s="1" a="1"/>
  <c r="T157" i="31" s="1"/>
  <c r="T158" i="31" s="1" a="1"/>
  <c r="T158" i="31" s="1"/>
  <c r="T159" i="31" s="1" a="1"/>
  <c r="T159" i="31" s="1"/>
  <c r="T160" i="31" s="1" a="1"/>
  <c r="T160" i="31" s="1"/>
  <c r="T161" i="31" s="1" a="1"/>
  <c r="T161" i="31" s="1"/>
  <c r="T162" i="31" s="1" a="1"/>
  <c r="T162" i="31" s="1"/>
  <c r="T163" i="31" s="1" a="1"/>
  <c r="T163" i="31" s="1"/>
  <c r="T164" i="31" s="1" a="1"/>
  <c r="T164" i="31" s="1"/>
  <c r="T165" i="31" s="1" a="1"/>
  <c r="T165" i="31" s="1"/>
  <c r="T166" i="31" s="1" a="1"/>
  <c r="T166" i="31" s="1"/>
  <c r="T167" i="31" s="1" a="1"/>
  <c r="T167" i="31" s="1"/>
  <c r="T168" i="31" s="1" a="1"/>
  <c r="T168" i="31" s="1"/>
  <c r="T169" i="31" s="1" a="1"/>
  <c r="T169" i="31" s="1"/>
  <c r="T170" i="31" s="1" a="1"/>
  <c r="T170" i="31" s="1"/>
  <c r="T171" i="31" s="1" a="1"/>
  <c r="T171" i="31" s="1"/>
  <c r="T172" i="31" s="1" a="1"/>
  <c r="T172" i="31" s="1"/>
  <c r="T173" i="31" s="1" a="1"/>
  <c r="T173" i="31" s="1"/>
  <c r="T174" i="31" s="1" a="1"/>
  <c r="T174" i="31" s="1"/>
  <c r="T175" i="31" s="1" a="1"/>
  <c r="T175" i="31" s="1"/>
  <c r="T176" i="31" s="1" a="1"/>
  <c r="T176" i="31" s="1"/>
  <c r="T177" i="31" s="1" a="1"/>
  <c r="T177" i="31" s="1"/>
  <c r="T178" i="31" s="1" a="1"/>
  <c r="T178" i="31" s="1"/>
  <c r="T179" i="31" s="1" a="1"/>
  <c r="T179" i="31" s="1"/>
  <c r="T180" i="31" s="1" a="1"/>
  <c r="T180" i="31" s="1"/>
  <c r="T181" i="31" s="1" a="1"/>
  <c r="T181" i="31" s="1"/>
  <c r="T182" i="31" s="1" a="1"/>
  <c r="T182" i="31" s="1"/>
  <c r="K138" i="31"/>
  <c r="AO137" i="31" a="1"/>
  <c r="AO137" i="31" s="1"/>
  <c r="AB137" i="31"/>
  <c r="K137" i="31"/>
  <c r="B137" i="31"/>
  <c r="K136" i="31"/>
  <c r="AO135" i="31" a="1"/>
  <c r="AO135" i="31" s="1"/>
  <c r="AB135" i="31"/>
  <c r="K135" i="31"/>
  <c r="B135" i="31"/>
  <c r="K134" i="31"/>
  <c r="T133" i="31" a="1"/>
  <c r="T133" i="31" s="1"/>
  <c r="T134" i="31" s="1" a="1"/>
  <c r="T134" i="31" s="1"/>
  <c r="T135" i="31" s="1" a="1"/>
  <c r="T135" i="31" s="1"/>
  <c r="T136" i="31" s="1" a="1"/>
  <c r="T136" i="31" s="1"/>
  <c r="T137" i="31" s="1" a="1"/>
  <c r="T137" i="31" s="1"/>
  <c r="K133" i="31" a="1"/>
  <c r="K133" i="31" s="1"/>
  <c r="T132" i="31"/>
  <c r="F132" i="31" a="1"/>
  <c r="F132" i="31" s="1"/>
  <c r="F133" i="31" s="1" a="1"/>
  <c r="F133" i="31" s="1"/>
  <c r="F134" i="31" s="1" a="1"/>
  <c r="F134" i="31" s="1"/>
  <c r="F135" i="31" s="1" a="1"/>
  <c r="F135" i="31" s="1"/>
  <c r="AO131" i="31" a="1"/>
  <c r="AO131" i="31" s="1"/>
  <c r="AB131" i="31"/>
  <c r="K131" i="31"/>
  <c r="B131" i="31"/>
  <c r="K130" i="31"/>
  <c r="AO129" i="31" a="1"/>
  <c r="AO129" i="31" s="1"/>
  <c r="AB129" i="31"/>
  <c r="K129" i="31"/>
  <c r="B129" i="31"/>
  <c r="K128" i="31"/>
  <c r="AO128" i="31" s="1" a="1"/>
  <c r="AO128" i="31" s="1"/>
  <c r="AO127" i="31" a="1"/>
  <c r="AO127" i="31" s="1"/>
  <c r="AB127" i="31"/>
  <c r="K127" i="31"/>
  <c r="B127" i="31"/>
  <c r="K126" i="31"/>
  <c r="AO125" i="31" a="1"/>
  <c r="AO125" i="31" s="1"/>
  <c r="AB125" i="31"/>
  <c r="K125" i="31"/>
  <c r="B125" i="31"/>
  <c r="K124" i="31"/>
  <c r="AO124" i="31" s="1" a="1"/>
  <c r="AO124" i="31" s="1"/>
  <c r="AO123" i="31" a="1"/>
  <c r="AO123" i="31" s="1"/>
  <c r="AB123" i="31"/>
  <c r="K123" i="31"/>
  <c r="B123" i="31"/>
  <c r="K122" i="31"/>
  <c r="AO121" i="31" a="1"/>
  <c r="AO121" i="31" s="1"/>
  <c r="AB121" i="31"/>
  <c r="K121" i="31"/>
  <c r="B121" i="31"/>
  <c r="K120" i="31"/>
  <c r="AO120" i="31" s="1" a="1"/>
  <c r="AO120" i="31" s="1"/>
  <c r="AO119" i="31" a="1"/>
  <c r="AO119" i="31" s="1"/>
  <c r="AB119" i="31"/>
  <c r="K119" i="31"/>
  <c r="B119" i="31"/>
  <c r="K118" i="31"/>
  <c r="AO117" i="31" a="1"/>
  <c r="AO117" i="31" s="1"/>
  <c r="AB117" i="31"/>
  <c r="K117" i="31"/>
  <c r="B117" i="31"/>
  <c r="K116" i="31"/>
  <c r="AO116" i="31" s="1" a="1"/>
  <c r="AO116" i="31" s="1"/>
  <c r="AO115" i="31" a="1"/>
  <c r="AO115" i="31" s="1"/>
  <c r="AB115" i="31"/>
  <c r="K115" i="31"/>
  <c r="B115" i="31"/>
  <c r="K114" i="31"/>
  <c r="AO113" i="31" a="1"/>
  <c r="AO113" i="31" s="1"/>
  <c r="AB113" i="31"/>
  <c r="K113" i="31"/>
  <c r="B113" i="31"/>
  <c r="K112" i="31"/>
  <c r="AO112" i="31" s="1" a="1"/>
  <c r="AO112" i="31" s="1"/>
  <c r="AO111" i="31" a="1"/>
  <c r="AO111" i="31" s="1"/>
  <c r="AB111" i="31"/>
  <c r="K111" i="31"/>
  <c r="B111" i="31"/>
  <c r="K110" i="31"/>
  <c r="AO109" i="31" a="1"/>
  <c r="AO109" i="31" s="1"/>
  <c r="AB109" i="31"/>
  <c r="K109" i="31"/>
  <c r="B109" i="31"/>
  <c r="K108" i="31"/>
  <c r="AO108" i="31" s="1" a="1"/>
  <c r="AO108" i="31" s="1"/>
  <c r="AO107" i="31" a="1"/>
  <c r="AO107" i="31" s="1"/>
  <c r="AB107" i="31"/>
  <c r="K107" i="31"/>
  <c r="B107" i="31"/>
  <c r="K106" i="31"/>
  <c r="AO105" i="31" a="1"/>
  <c r="AO105" i="31" s="1"/>
  <c r="AB105" i="31"/>
  <c r="K105" i="31"/>
  <c r="B105" i="31"/>
  <c r="K104" i="31"/>
  <c r="AO104" i="31" s="1" a="1"/>
  <c r="AO104" i="31" s="1"/>
  <c r="AO103" i="31" a="1"/>
  <c r="AO103" i="31" s="1"/>
  <c r="AB103" i="31"/>
  <c r="K103" i="31"/>
  <c r="B103" i="31"/>
  <c r="K102" i="31"/>
  <c r="AO101" i="31" a="1"/>
  <c r="AO101" i="31" s="1"/>
  <c r="AB101" i="31"/>
  <c r="K101" i="31"/>
  <c r="B101" i="31"/>
  <c r="T100" i="31" a="1"/>
  <c r="T100" i="31" s="1"/>
  <c r="T101" i="31" s="1" a="1"/>
  <c r="T101" i="31" s="1"/>
  <c r="T102" i="31" s="1" a="1"/>
  <c r="T102" i="31" s="1"/>
  <c r="T103" i="31" s="1" a="1"/>
  <c r="T103" i="31" s="1"/>
  <c r="T104" i="31" s="1" a="1"/>
  <c r="T104" i="31" s="1"/>
  <c r="T105" i="31" s="1" a="1"/>
  <c r="T105" i="31" s="1"/>
  <c r="T106" i="31" s="1" a="1"/>
  <c r="T106" i="31" s="1"/>
  <c r="T107" i="31" s="1" a="1"/>
  <c r="T107" i="31" s="1"/>
  <c r="T108" i="31" s="1" a="1"/>
  <c r="T108" i="31" s="1"/>
  <c r="T109" i="31" s="1" a="1"/>
  <c r="T109" i="31" s="1"/>
  <c r="T110" i="31" s="1" a="1"/>
  <c r="T110" i="31" s="1"/>
  <c r="T111" i="31" s="1" a="1"/>
  <c r="T111" i="31" s="1"/>
  <c r="T112" i="31" s="1" a="1"/>
  <c r="T112" i="31" s="1"/>
  <c r="T113" i="31" s="1" a="1"/>
  <c r="T113" i="31" s="1"/>
  <c r="T114" i="31" s="1" a="1"/>
  <c r="T114" i="31" s="1"/>
  <c r="T115" i="31" s="1" a="1"/>
  <c r="T115" i="31" s="1"/>
  <c r="T116" i="31" s="1" a="1"/>
  <c r="T116" i="31" s="1"/>
  <c r="T117" i="31" s="1" a="1"/>
  <c r="T117" i="31" s="1"/>
  <c r="T118" i="31" s="1" a="1"/>
  <c r="T118" i="31" s="1"/>
  <c r="T119" i="31" s="1" a="1"/>
  <c r="T119" i="31" s="1"/>
  <c r="T120" i="31" s="1" a="1"/>
  <c r="T120" i="31" s="1"/>
  <c r="T121" i="31" s="1" a="1"/>
  <c r="T121" i="31" s="1"/>
  <c r="T122" i="31" s="1" a="1"/>
  <c r="T122" i="31" s="1"/>
  <c r="T123" i="31" s="1" a="1"/>
  <c r="T123" i="31" s="1"/>
  <c r="T124" i="31" s="1" a="1"/>
  <c r="T124" i="31" s="1"/>
  <c r="T125" i="31" s="1" a="1"/>
  <c r="T125" i="31" s="1"/>
  <c r="T126" i="31" s="1" a="1"/>
  <c r="T126" i="31" s="1"/>
  <c r="T127" i="31" s="1" a="1"/>
  <c r="T127" i="31" s="1"/>
  <c r="T128" i="31" s="1" a="1"/>
  <c r="T128" i="31" s="1"/>
  <c r="T129" i="31" s="1" a="1"/>
  <c r="T129" i="31" s="1"/>
  <c r="T130" i="31" s="1" a="1"/>
  <c r="T130" i="31" s="1"/>
  <c r="T131" i="31" s="1" a="1"/>
  <c r="T131" i="31" s="1"/>
  <c r="K100" i="31"/>
  <c r="AO100" i="31" s="1" a="1"/>
  <c r="AO100" i="31" s="1"/>
  <c r="AO99" i="31" a="1"/>
  <c r="AO99" i="31" s="1"/>
  <c r="AB99" i="31"/>
  <c r="K99" i="31"/>
  <c r="B99" i="31"/>
  <c r="K98" i="31"/>
  <c r="AO97" i="31" a="1"/>
  <c r="AO97" i="31" s="1"/>
  <c r="AB97" i="31"/>
  <c r="K97" i="31"/>
  <c r="B97" i="31"/>
  <c r="K96" i="31"/>
  <c r="AO96" i="31" s="1" a="1"/>
  <c r="AO96" i="31" s="1"/>
  <c r="AO95" i="31" a="1"/>
  <c r="AO95" i="31" s="1"/>
  <c r="AB95" i="31"/>
  <c r="K95" i="31"/>
  <c r="B95" i="31"/>
  <c r="K94" i="31"/>
  <c r="AO93" i="31" a="1"/>
  <c r="AO93" i="31" s="1"/>
  <c r="AB93" i="31"/>
  <c r="K93" i="31"/>
  <c r="B93" i="31"/>
  <c r="K92" i="31"/>
  <c r="AO92" i="31" s="1" a="1"/>
  <c r="AO92" i="31" s="1"/>
  <c r="K91" i="31"/>
  <c r="AO90" i="31" a="1"/>
  <c r="AO90" i="31" s="1"/>
  <c r="AB90" i="31"/>
  <c r="K90" i="31"/>
  <c r="B90" i="31"/>
  <c r="K89" i="31"/>
  <c r="AO88" i="31" a="1"/>
  <c r="AO88" i="31" s="1"/>
  <c r="AB88" i="31"/>
  <c r="K88" i="31"/>
  <c r="B88" i="31"/>
  <c r="K87" i="31"/>
  <c r="AO86" i="31" a="1"/>
  <c r="AO86" i="31" s="1"/>
  <c r="AB86" i="31"/>
  <c r="K86" i="31"/>
  <c r="B86" i="31"/>
  <c r="K85" i="31"/>
  <c r="AO84" i="31" a="1"/>
  <c r="AO84" i="31" s="1"/>
  <c r="AB84" i="31"/>
  <c r="K84" i="31"/>
  <c r="B84" i="31"/>
  <c r="K83" i="31"/>
  <c r="T82" i="31" a="1"/>
  <c r="T82" i="31" s="1"/>
  <c r="T83" i="31" s="1" a="1"/>
  <c r="T83" i="31" s="1"/>
  <c r="T84" i="31" s="1" a="1"/>
  <c r="T84" i="31" s="1"/>
  <c r="T85" i="31" s="1" a="1"/>
  <c r="T85" i="31" s="1"/>
  <c r="T86" i="31" s="1" a="1"/>
  <c r="T86" i="31" s="1"/>
  <c r="T87" i="31" s="1" a="1"/>
  <c r="T87" i="31" s="1"/>
  <c r="T88" i="31" s="1" a="1"/>
  <c r="T88" i="31" s="1"/>
  <c r="T89" i="31" s="1" a="1"/>
  <c r="T89" i="31" s="1"/>
  <c r="T90" i="31" s="1" a="1"/>
  <c r="T90" i="31" s="1"/>
  <c r="T91" i="31" s="1" a="1"/>
  <c r="T91" i="31" s="1"/>
  <c r="T92" i="31" s="1" a="1"/>
  <c r="T92" i="31" s="1"/>
  <c r="T93" i="31" s="1" a="1"/>
  <c r="T93" i="31" s="1"/>
  <c r="T94" i="31" s="1" a="1"/>
  <c r="T94" i="31" s="1"/>
  <c r="T95" i="31" s="1" a="1"/>
  <c r="T95" i="31" s="1"/>
  <c r="T96" i="31" s="1" a="1"/>
  <c r="T96" i="31" s="1"/>
  <c r="T97" i="31" s="1" a="1"/>
  <c r="T97" i="31" s="1"/>
  <c r="T98" i="31" s="1" a="1"/>
  <c r="T98" i="31" s="1"/>
  <c r="T99" i="31" s="1" a="1"/>
  <c r="T99" i="31" s="1"/>
  <c r="K82" i="31" a="1"/>
  <c r="K82" i="31" s="1"/>
  <c r="AO82" i="31" s="1" a="1"/>
  <c r="AO82" i="31" s="1"/>
  <c r="T81" i="31"/>
  <c r="F81" i="31" a="1"/>
  <c r="F81" i="31" s="1"/>
  <c r="F82" i="31" s="1" a="1"/>
  <c r="F82" i="31" s="1"/>
  <c r="F83" i="31" s="1" a="1"/>
  <c r="F83" i="31" s="1"/>
  <c r="F84" i="31" s="1" a="1"/>
  <c r="F84" i="31" s="1"/>
  <c r="F85" i="31" s="1" a="1"/>
  <c r="F85" i="31" s="1"/>
  <c r="F86" i="31" s="1" a="1"/>
  <c r="F86" i="31" s="1"/>
  <c r="AO80" i="31" a="1"/>
  <c r="AO80" i="31" s="1"/>
  <c r="AB80" i="31"/>
  <c r="K80" i="31"/>
  <c r="B80" i="31"/>
  <c r="K79" i="31"/>
  <c r="AO79" i="31" s="1" a="1"/>
  <c r="AO79" i="31" s="1"/>
  <c r="AO78" i="31" a="1"/>
  <c r="AO78" i="31" s="1"/>
  <c r="AB78" i="31"/>
  <c r="K78" i="31"/>
  <c r="B78" i="31"/>
  <c r="K77" i="31"/>
  <c r="AO76" i="31" a="1"/>
  <c r="AO76" i="31" s="1"/>
  <c r="AB76" i="31"/>
  <c r="K76" i="31"/>
  <c r="B76" i="31"/>
  <c r="K75" i="31"/>
  <c r="AO75" i="31" s="1" a="1"/>
  <c r="AO75" i="31" s="1"/>
  <c r="AO74" i="31" a="1"/>
  <c r="AO74" i="31" s="1"/>
  <c r="AB74" i="31"/>
  <c r="K74" i="31"/>
  <c r="B74" i="31"/>
  <c r="K73" i="31"/>
  <c r="AO72" i="31" a="1"/>
  <c r="AO72" i="31" s="1"/>
  <c r="AB72" i="31"/>
  <c r="K72" i="31"/>
  <c r="B72" i="31"/>
  <c r="K71" i="31"/>
  <c r="AO71" i="31" s="1" a="1"/>
  <c r="AO71" i="31" s="1"/>
  <c r="AO70" i="31" a="1"/>
  <c r="AO70" i="31" s="1"/>
  <c r="AB70" i="31"/>
  <c r="K70" i="31"/>
  <c r="B70" i="31"/>
  <c r="K69" i="31"/>
  <c r="AO68" i="31" a="1"/>
  <c r="AO68" i="31" s="1"/>
  <c r="AB68" i="31"/>
  <c r="K68" i="31"/>
  <c r="B68" i="31"/>
  <c r="K67" i="31"/>
  <c r="AO67" i="31" s="1" a="1"/>
  <c r="AO67" i="31" s="1"/>
  <c r="AO66" i="31" a="1"/>
  <c r="AO66" i="31" s="1"/>
  <c r="AB66" i="31"/>
  <c r="K66" i="31"/>
  <c r="B66" i="31"/>
  <c r="K65" i="31"/>
  <c r="AO64" i="31" a="1"/>
  <c r="AO64" i="31" s="1"/>
  <c r="AB64" i="31"/>
  <c r="K64" i="31"/>
  <c r="B64" i="31"/>
  <c r="K63" i="31"/>
  <c r="AO62" i="31" a="1"/>
  <c r="AO62" i="31" s="1"/>
  <c r="AB62" i="31"/>
  <c r="K62" i="31"/>
  <c r="B62" i="31"/>
  <c r="K61" i="31"/>
  <c r="AO60" i="31" a="1"/>
  <c r="AO60" i="31" s="1"/>
  <c r="AB60" i="31"/>
  <c r="K60" i="31"/>
  <c r="B60" i="31"/>
  <c r="K59" i="31"/>
  <c r="AO58" i="31" a="1"/>
  <c r="AO58" i="31" s="1"/>
  <c r="AB58" i="31"/>
  <c r="K58" i="31"/>
  <c r="B58" i="31"/>
  <c r="K57" i="31"/>
  <c r="AO56" i="31" a="1"/>
  <c r="AO56" i="31" s="1"/>
  <c r="AB56" i="31"/>
  <c r="K56" i="31"/>
  <c r="B56" i="31"/>
  <c r="K55" i="31"/>
  <c r="AO54" i="31" a="1"/>
  <c r="AO54" i="31" s="1"/>
  <c r="AB54" i="31"/>
  <c r="K54" i="31"/>
  <c r="B54" i="31"/>
  <c r="K53" i="31"/>
  <c r="AO52" i="31" a="1"/>
  <c r="AO52" i="31" s="1"/>
  <c r="AB52" i="31"/>
  <c r="K52" i="31"/>
  <c r="B52" i="31"/>
  <c r="K51" i="31"/>
  <c r="AO50" i="31" a="1"/>
  <c r="AO50" i="31" s="1"/>
  <c r="AB50" i="31"/>
  <c r="K50" i="31"/>
  <c r="B50" i="31"/>
  <c r="K49" i="31"/>
  <c r="AO48" i="31" a="1"/>
  <c r="AO48" i="31" s="1"/>
  <c r="AB48" i="31"/>
  <c r="K48" i="31"/>
  <c r="B48" i="31"/>
  <c r="K47" i="31"/>
  <c r="AO46" i="31" a="1"/>
  <c r="AO46" i="31" s="1"/>
  <c r="AB46" i="31"/>
  <c r="K46" i="31"/>
  <c r="B46" i="31"/>
  <c r="K45" i="31"/>
  <c r="AO44" i="31" a="1"/>
  <c r="AO44" i="31" s="1"/>
  <c r="AB44" i="31"/>
  <c r="K44" i="31"/>
  <c r="B44" i="31"/>
  <c r="K43" i="31"/>
  <c r="AO42" i="31" a="1"/>
  <c r="AO42" i="31" s="1"/>
  <c r="AB42" i="31"/>
  <c r="K42" i="31"/>
  <c r="B42" i="31"/>
  <c r="K41" i="31"/>
  <c r="AO40" i="31" a="1"/>
  <c r="AO40" i="31" s="1"/>
  <c r="K40" i="31"/>
  <c r="AO39" i="31" a="1"/>
  <c r="AO39" i="31" s="1"/>
  <c r="K39" i="31"/>
  <c r="AO38" i="31" a="1"/>
  <c r="AO38" i="31" s="1"/>
  <c r="K38" i="31"/>
  <c r="AO37" i="31" a="1"/>
  <c r="AO37" i="31" s="1"/>
  <c r="K37" i="31"/>
  <c r="AO36" i="31" a="1"/>
  <c r="AO36" i="31" s="1"/>
  <c r="K36" i="31"/>
  <c r="AO35" i="31" a="1"/>
  <c r="AO35" i="31" s="1"/>
  <c r="K35" i="31"/>
  <c r="AO34" i="31" a="1"/>
  <c r="AO34" i="31" s="1"/>
  <c r="K34" i="31"/>
  <c r="K33" i="31"/>
  <c r="AO32" i="31" a="1"/>
  <c r="AO32" i="31" s="1"/>
  <c r="T32" i="31" a="1"/>
  <c r="T32" i="31" s="1"/>
  <c r="T33" i="31" s="1" a="1"/>
  <c r="T33" i="31" s="1"/>
  <c r="T34" i="31" s="1" a="1"/>
  <c r="T34" i="31" s="1"/>
  <c r="T35" i="31" s="1" a="1"/>
  <c r="T35" i="31" s="1"/>
  <c r="T36" i="31" s="1" a="1"/>
  <c r="T36" i="31" s="1"/>
  <c r="T37" i="31" s="1" a="1"/>
  <c r="T37" i="31" s="1"/>
  <c r="T38" i="31" s="1" a="1"/>
  <c r="T38" i="31" s="1"/>
  <c r="T39" i="31" s="1" a="1"/>
  <c r="T39" i="31" s="1"/>
  <c r="T40" i="31" s="1" a="1"/>
  <c r="T40" i="31" s="1"/>
  <c r="T41" i="31" s="1" a="1"/>
  <c r="T41" i="31" s="1"/>
  <c r="T42" i="31" s="1" a="1"/>
  <c r="T42" i="31" s="1"/>
  <c r="T43" i="31" s="1" a="1"/>
  <c r="T43" i="31" s="1"/>
  <c r="T44" i="31" s="1" a="1"/>
  <c r="T44" i="31" s="1"/>
  <c r="T45" i="31" s="1" a="1"/>
  <c r="T45" i="31" s="1"/>
  <c r="T46" i="31" s="1" a="1"/>
  <c r="T46" i="31" s="1"/>
  <c r="T47" i="31" s="1" a="1"/>
  <c r="T47" i="31" s="1"/>
  <c r="T48" i="31" s="1" a="1"/>
  <c r="T48" i="31" s="1"/>
  <c r="T49" i="31" s="1" a="1"/>
  <c r="T49" i="31" s="1"/>
  <c r="T50" i="31" s="1" a="1"/>
  <c r="T50" i="31" s="1"/>
  <c r="T51" i="31" s="1" a="1"/>
  <c r="T51" i="31" s="1"/>
  <c r="T52" i="31" s="1" a="1"/>
  <c r="T52" i="31" s="1"/>
  <c r="T53" i="31" s="1" a="1"/>
  <c r="T53" i="31" s="1"/>
  <c r="T54" i="31" s="1" a="1"/>
  <c r="T54" i="31" s="1"/>
  <c r="T55" i="31" s="1" a="1"/>
  <c r="T55" i="31" s="1"/>
  <c r="T56" i="31" s="1" a="1"/>
  <c r="T56" i="31" s="1"/>
  <c r="T57" i="31" s="1" a="1"/>
  <c r="T57" i="31" s="1"/>
  <c r="T58" i="31" s="1" a="1"/>
  <c r="T58" i="31" s="1"/>
  <c r="T59" i="31" s="1" a="1"/>
  <c r="T59" i="31" s="1"/>
  <c r="T60" i="31" s="1" a="1"/>
  <c r="T60" i="31" s="1"/>
  <c r="T61" i="31" s="1" a="1"/>
  <c r="T61" i="31" s="1"/>
  <c r="T62" i="31" s="1" a="1"/>
  <c r="T62" i="31" s="1"/>
  <c r="T63" i="31" s="1" a="1"/>
  <c r="T63" i="31" s="1"/>
  <c r="T64" i="31" s="1" a="1"/>
  <c r="T64" i="31" s="1"/>
  <c r="T65" i="31" s="1" a="1"/>
  <c r="T65" i="31" s="1"/>
  <c r="T66" i="31" s="1" a="1"/>
  <c r="T66" i="31" s="1"/>
  <c r="T67" i="31" s="1" a="1"/>
  <c r="T67" i="31" s="1"/>
  <c r="T68" i="31" s="1" a="1"/>
  <c r="T68" i="31" s="1"/>
  <c r="T69" i="31" s="1" a="1"/>
  <c r="T69" i="31" s="1"/>
  <c r="T70" i="31" s="1" a="1"/>
  <c r="T70" i="31" s="1"/>
  <c r="T71" i="31" s="1" a="1"/>
  <c r="T71" i="31" s="1"/>
  <c r="T72" i="31" s="1" a="1"/>
  <c r="T72" i="31" s="1"/>
  <c r="T73" i="31" s="1" a="1"/>
  <c r="T73" i="31" s="1"/>
  <c r="T74" i="31" s="1" a="1"/>
  <c r="T74" i="31" s="1"/>
  <c r="T75" i="31" s="1" a="1"/>
  <c r="T75" i="31" s="1"/>
  <c r="T76" i="31" s="1" a="1"/>
  <c r="T76" i="31" s="1"/>
  <c r="T77" i="31" s="1" a="1"/>
  <c r="T77" i="31" s="1"/>
  <c r="T78" i="31" s="1" a="1"/>
  <c r="T78" i="31" s="1"/>
  <c r="T79" i="31" s="1" a="1"/>
  <c r="T79" i="31" s="1"/>
  <c r="T80" i="31" s="1" a="1"/>
  <c r="T80" i="31" s="1"/>
  <c r="K32" i="31"/>
  <c r="AB31" i="31"/>
  <c r="T31" i="31"/>
  <c r="K31" i="31" a="1"/>
  <c r="K31" i="31" s="1"/>
  <c r="T30" i="31"/>
  <c r="T31" i="31" s="1" a="1"/>
  <c r="F30" i="31" a="1"/>
  <c r="F30" i="31" s="1"/>
  <c r="F31" i="31" s="1" a="1"/>
  <c r="F31" i="31" s="1"/>
  <c r="F32" i="31" s="1" a="1"/>
  <c r="F32" i="31" s="1"/>
  <c r="AK2" i="31"/>
  <c r="AJ2" i="31"/>
  <c r="AI2" i="31"/>
  <c r="AH2" i="31"/>
  <c r="AG2" i="31"/>
  <c r="T462" i="30"/>
  <c r="AH458" i="30"/>
  <c r="AH457" i="30"/>
  <c r="AH456" i="30"/>
  <c r="AT447" i="30"/>
  <c r="AS447" i="30"/>
  <c r="AR447" i="30"/>
  <c r="AQ447" i="30"/>
  <c r="AP447" i="30"/>
  <c r="AO447" i="30"/>
  <c r="AN447" i="30"/>
  <c r="AM447" i="30"/>
  <c r="AL447" i="30"/>
  <c r="AK447" i="30"/>
  <c r="AI447" i="30"/>
  <c r="AE447" i="30"/>
  <c r="AU444" i="30" a="1"/>
  <c r="AU444" i="30" s="1"/>
  <c r="AH444" i="30"/>
  <c r="AH441" i="30"/>
  <c r="B441" i="30"/>
  <c r="AH440" i="30"/>
  <c r="B440" i="30"/>
  <c r="AH436" i="30"/>
  <c r="AH435" i="30"/>
  <c r="AH434" i="30"/>
  <c r="AH433" i="30"/>
  <c r="AH432" i="30"/>
  <c r="BL431" i="30"/>
  <c r="BJ431" i="30"/>
  <c r="BH431" i="30"/>
  <c r="BF431" i="30"/>
  <c r="BD431" i="30"/>
  <c r="BC431" i="30"/>
  <c r="BB431" i="30"/>
  <c r="BM431" i="30" s="1"/>
  <c r="BA431" i="30"/>
  <c r="AZ431" i="30"/>
  <c r="BK431" i="30" s="1"/>
  <c r="AY431" i="30"/>
  <c r="AX431" i="30"/>
  <c r="BI431" i="30" s="1"/>
  <c r="AW431" i="30"/>
  <c r="AV431" i="30"/>
  <c r="BG431" i="30" s="1"/>
  <c r="AU431" i="30"/>
  <c r="AS431" i="30"/>
  <c r="AR431" i="30"/>
  <c r="AQ431" i="30"/>
  <c r="AP431" i="30"/>
  <c r="AO431" i="30"/>
  <c r="AN431" i="30"/>
  <c r="AM431" i="30"/>
  <c r="AL431" i="30"/>
  <c r="AK431" i="30"/>
  <c r="AI431" i="30"/>
  <c r="AG431" i="30"/>
  <c r="AF431" i="30"/>
  <c r="AH431" i="30" s="1"/>
  <c r="AE431" i="30"/>
  <c r="AH430" i="30"/>
  <c r="AH429" i="30"/>
  <c r="AH428" i="30"/>
  <c r="AG427" i="30"/>
  <c r="AH427" i="30" s="1"/>
  <c r="AH426" i="30"/>
  <c r="AH425" i="30"/>
  <c r="BM423" i="30"/>
  <c r="BL423" i="30"/>
  <c r="BK423" i="30"/>
  <c r="BJ423" i="30"/>
  <c r="BI423" i="30"/>
  <c r="BH423" i="30"/>
  <c r="BG423" i="30"/>
  <c r="BF423" i="30"/>
  <c r="BD423" i="30"/>
  <c r="AH423" i="30"/>
  <c r="AG423" i="30"/>
  <c r="BM414" i="30"/>
  <c r="BL414" i="30"/>
  <c r="BK414" i="30"/>
  <c r="BJ414" i="30"/>
  <c r="BI414" i="30"/>
  <c r="BH414" i="30"/>
  <c r="BG414" i="30"/>
  <c r="BF414" i="30"/>
  <c r="BE414" i="30"/>
  <c r="BD414" i="30"/>
  <c r="AH414" i="30"/>
  <c r="B413" i="30" a="1"/>
  <c r="B413" i="30" s="1"/>
  <c r="B414" i="30" s="1" a="1"/>
  <c r="B414" i="30" s="1"/>
  <c r="B415" i="30" s="1" a="1"/>
  <c r="B415" i="30" s="1"/>
  <c r="B416" i="30" s="1" a="1"/>
  <c r="B416" i="30" s="1"/>
  <c r="B417" i="30" s="1" a="1"/>
  <c r="B417" i="30" s="1"/>
  <c r="B418" i="30" s="1" a="1"/>
  <c r="B418" i="30" s="1"/>
  <c r="B419" i="30" s="1" a="1"/>
  <c r="B419" i="30" s="1"/>
  <c r="B420" i="30" s="1" a="1"/>
  <c r="B420" i="30" s="1"/>
  <c r="B421" i="30" s="1" a="1"/>
  <c r="B421" i="30" s="1"/>
  <c r="B422" i="30" s="1" a="1"/>
  <c r="B422" i="30" s="1"/>
  <c r="D423" i="30" s="1"/>
  <c r="B412" i="30" a="1"/>
  <c r="B412" i="30" s="1"/>
  <c r="BM411" i="30"/>
  <c r="BL411" i="30"/>
  <c r="BK411" i="30"/>
  <c r="BJ411" i="30"/>
  <c r="BI411" i="30"/>
  <c r="BH411" i="30"/>
  <c r="BG411" i="30"/>
  <c r="BF411" i="30"/>
  <c r="BE411" i="30"/>
  <c r="BD411" i="30"/>
  <c r="AH411" i="30"/>
  <c r="B411" i="30"/>
  <c r="BM410" i="30"/>
  <c r="BL410" i="30"/>
  <c r="BK410" i="30"/>
  <c r="BJ410" i="30"/>
  <c r="BI410" i="30"/>
  <c r="BH410" i="30"/>
  <c r="BG410" i="30"/>
  <c r="BF410" i="30"/>
  <c r="BE410" i="30"/>
  <c r="BD410" i="30"/>
  <c r="AH410" i="30"/>
  <c r="B410" i="30"/>
  <c r="BM409" i="30"/>
  <c r="BL409" i="30"/>
  <c r="BK409" i="30"/>
  <c r="BJ409" i="30"/>
  <c r="BI409" i="30"/>
  <c r="BH409" i="30"/>
  <c r="BG409" i="30"/>
  <c r="BF409" i="30"/>
  <c r="BE409" i="30"/>
  <c r="BD409" i="30"/>
  <c r="AH409" i="30"/>
  <c r="B406" i="30" a="1"/>
  <c r="B406" i="30" s="1"/>
  <c r="B407" i="30" s="1" a="1"/>
  <c r="B407" i="30" s="1"/>
  <c r="B408" i="30" s="1" a="1"/>
  <c r="B408" i="30" s="1"/>
  <c r="B409" i="30" s="1" a="1"/>
  <c r="B409" i="30" s="1"/>
  <c r="B403" i="30"/>
  <c r="B404" i="30" s="1" a="1"/>
  <c r="B404" i="30" s="1"/>
  <c r="B405" i="30" s="1" a="1"/>
  <c r="B405" i="30" s="1"/>
  <c r="BM401" i="30"/>
  <c r="BL401" i="30"/>
  <c r="BK401" i="30"/>
  <c r="BJ401" i="30"/>
  <c r="BI401" i="30"/>
  <c r="BH401" i="30"/>
  <c r="BG401" i="30"/>
  <c r="BF401" i="30"/>
  <c r="BE401" i="30"/>
  <c r="BD401" i="30"/>
  <c r="AH401" i="30"/>
  <c r="BM400" i="30"/>
  <c r="BL400" i="30"/>
  <c r="BK400" i="30"/>
  <c r="BJ400" i="30"/>
  <c r="BI400" i="30"/>
  <c r="BH400" i="30"/>
  <c r="BG400" i="30"/>
  <c r="BF400" i="30"/>
  <c r="BE400" i="30"/>
  <c r="BD400" i="30"/>
  <c r="AH400" i="30"/>
  <c r="BM399" i="30"/>
  <c r="BL399" i="30"/>
  <c r="BK399" i="30"/>
  <c r="BJ399" i="30"/>
  <c r="BI399" i="30"/>
  <c r="BH399" i="30"/>
  <c r="BG399" i="30"/>
  <c r="BF399" i="30"/>
  <c r="BE399" i="30"/>
  <c r="BD399" i="30"/>
  <c r="AH399" i="30"/>
  <c r="BL398" i="30"/>
  <c r="BJ398" i="30"/>
  <c r="BH398" i="30"/>
  <c r="BF398" i="30"/>
  <c r="BD398" i="30"/>
  <c r="BC398" i="30"/>
  <c r="BB398" i="30"/>
  <c r="BM398" i="30" s="1"/>
  <c r="BA398" i="30"/>
  <c r="AZ398" i="30"/>
  <c r="BK398" i="30" s="1"/>
  <c r="AY398" i="30"/>
  <c r="AX398" i="30"/>
  <c r="BI398" i="30" s="1"/>
  <c r="AW398" i="30"/>
  <c r="AV398" i="30"/>
  <c r="BG398" i="30" s="1"/>
  <c r="AU398" i="30"/>
  <c r="AT398" i="30"/>
  <c r="BE398" i="30" s="1"/>
  <c r="AS398" i="30"/>
  <c r="AR398" i="30"/>
  <c r="AQ398" i="30"/>
  <c r="AP398" i="30"/>
  <c r="AO398" i="30"/>
  <c r="AN398" i="30"/>
  <c r="AM398" i="30"/>
  <c r="AL398" i="30"/>
  <c r="AK398" i="30"/>
  <c r="AJ398" i="30"/>
  <c r="AI398" i="30"/>
  <c r="AG398" i="30"/>
  <c r="AF398" i="30"/>
  <c r="AH398" i="30" s="1"/>
  <c r="AE398" i="30"/>
  <c r="BM397" i="30"/>
  <c r="BL397" i="30"/>
  <c r="BK397" i="30"/>
  <c r="BJ397" i="30"/>
  <c r="BI397" i="30"/>
  <c r="BH397" i="30"/>
  <c r="BG397" i="30"/>
  <c r="BF397" i="30"/>
  <c r="BE397" i="30"/>
  <c r="BD397" i="30"/>
  <c r="AH397" i="30"/>
  <c r="BM396" i="30"/>
  <c r="BL396" i="30"/>
  <c r="BK396" i="30"/>
  <c r="BJ396" i="30"/>
  <c r="BI396" i="30"/>
  <c r="BH396" i="30"/>
  <c r="BG396" i="30"/>
  <c r="BF396" i="30"/>
  <c r="BE396" i="30"/>
  <c r="BD396" i="30"/>
  <c r="AH396" i="30"/>
  <c r="BD395" i="30"/>
  <c r="AH395" i="30"/>
  <c r="BM394" i="30"/>
  <c r="BL394" i="30"/>
  <c r="BK394" i="30"/>
  <c r="BJ394" i="30"/>
  <c r="BI394" i="30"/>
  <c r="BH394" i="30"/>
  <c r="BG394" i="30"/>
  <c r="BF394" i="30"/>
  <c r="BE394" i="30"/>
  <c r="BD394" i="30"/>
  <c r="AH394" i="30"/>
  <c r="B394" i="30"/>
  <c r="BM393" i="30"/>
  <c r="BL393" i="30"/>
  <c r="BK393" i="30"/>
  <c r="BJ393" i="30"/>
  <c r="BI393" i="30"/>
  <c r="BH393" i="30"/>
  <c r="BG393" i="30"/>
  <c r="BF393" i="30"/>
  <c r="BE393" i="30"/>
  <c r="BD393" i="30"/>
  <c r="AH393" i="30"/>
  <c r="B393" i="30"/>
  <c r="BM391" i="30"/>
  <c r="BL391" i="30"/>
  <c r="BK391" i="30"/>
  <c r="BJ391" i="30"/>
  <c r="BI391" i="30"/>
  <c r="BH391" i="30"/>
  <c r="BG391" i="30"/>
  <c r="BF391" i="30"/>
  <c r="BE391" i="30"/>
  <c r="BD391" i="30"/>
  <c r="AH391" i="30"/>
  <c r="BM374" i="30"/>
  <c r="BL374" i="30"/>
  <c r="BK374" i="30"/>
  <c r="BJ374" i="30"/>
  <c r="BI374" i="30"/>
  <c r="BH374" i="30"/>
  <c r="BG374" i="30"/>
  <c r="BF374" i="30"/>
  <c r="BE374" i="30"/>
  <c r="BD374" i="30"/>
  <c r="AH374" i="30"/>
  <c r="BM373" i="30"/>
  <c r="BL373" i="30"/>
  <c r="BK373" i="30"/>
  <c r="BJ373" i="30"/>
  <c r="BI373" i="30"/>
  <c r="BH373" i="30"/>
  <c r="BG373" i="30"/>
  <c r="BF373" i="30"/>
  <c r="BE373" i="30"/>
  <c r="BD373" i="30"/>
  <c r="AH373" i="30"/>
  <c r="BU364" i="30" a="1"/>
  <c r="BU364" i="30" s="1"/>
  <c r="AH364" i="30"/>
  <c r="AB364" i="30"/>
  <c r="J364" i="30" a="1"/>
  <c r="J364" i="30"/>
  <c r="AI363" i="30"/>
  <c r="AH363" i="30"/>
  <c r="AG363" i="30"/>
  <c r="AF363" i="30"/>
  <c r="AE363" i="30"/>
  <c r="AH362" i="30"/>
  <c r="AH361" i="30"/>
  <c r="AG361" i="30"/>
  <c r="B361" i="30"/>
  <c r="AH360" i="30"/>
  <c r="AG360" i="30"/>
  <c r="AH359" i="30"/>
  <c r="AH358" i="30"/>
  <c r="AI357" i="30"/>
  <c r="AG357" i="30"/>
  <c r="AF357" i="30"/>
  <c r="AH357" i="30" s="1"/>
  <c r="AE357" i="30"/>
  <c r="AH356" i="30"/>
  <c r="AH355" i="30"/>
  <c r="AH354" i="30"/>
  <c r="AH353" i="30"/>
  <c r="AG352" i="30"/>
  <c r="AH352" i="30" s="1"/>
  <c r="AG351" i="30"/>
  <c r="AH351" i="30" s="1"/>
  <c r="AF350" i="30"/>
  <c r="AE350" i="30"/>
  <c r="AH349" i="30"/>
  <c r="AH348" i="30"/>
  <c r="AH347" i="30"/>
  <c r="AH346" i="30"/>
  <c r="AH345" i="30"/>
  <c r="AH344" i="30"/>
  <c r="AH343" i="30"/>
  <c r="AI342" i="30"/>
  <c r="AG342" i="30"/>
  <c r="AH342" i="30" s="1"/>
  <c r="AF342" i="30"/>
  <c r="AE342" i="30"/>
  <c r="AE341" i="30" s="1"/>
  <c r="AF341" i="30"/>
  <c r="AG340" i="30"/>
  <c r="AH340" i="30" s="1"/>
  <c r="AF340" i="30"/>
  <c r="AG339" i="30"/>
  <c r="AF339" i="30"/>
  <c r="AG338" i="30"/>
  <c r="AH337" i="30"/>
  <c r="AG337" i="30"/>
  <c r="AH336" i="30"/>
  <c r="AG336" i="30"/>
  <c r="AI335" i="30"/>
  <c r="AG335" i="30"/>
  <c r="AE335" i="30"/>
  <c r="AG334" i="30"/>
  <c r="AH334" i="30" s="1"/>
  <c r="AF334" i="30"/>
  <c r="AH333" i="30"/>
  <c r="AG332" i="30"/>
  <c r="AH332" i="30" s="1"/>
  <c r="AH331" i="30"/>
  <c r="AH330" i="30"/>
  <c r="AH329" i="30"/>
  <c r="AH328" i="30"/>
  <c r="AI327" i="30"/>
  <c r="AH327" i="30"/>
  <c r="AG327" i="30"/>
  <c r="AF327" i="30"/>
  <c r="AE327" i="30"/>
  <c r="AH326" i="30"/>
  <c r="AG325" i="30"/>
  <c r="AF325" i="30"/>
  <c r="AG324" i="30"/>
  <c r="AH324" i="30" s="1"/>
  <c r="AF324" i="30"/>
  <c r="AG323" i="30"/>
  <c r="AE323" i="30"/>
  <c r="AE318" i="30" s="1"/>
  <c r="AH322" i="30"/>
  <c r="AH321" i="30"/>
  <c r="AG320" i="30"/>
  <c r="AI319" i="30"/>
  <c r="AF319" i="30"/>
  <c r="AE319" i="30"/>
  <c r="AH317" i="30"/>
  <c r="T317" i="30"/>
  <c r="T318" i="30" s="1" a="1"/>
  <c r="T318" i="30" s="1"/>
  <c r="T319" i="30" s="1" a="1"/>
  <c r="T319" i="30" s="1"/>
  <c r="T320" i="30" s="1" a="1"/>
  <c r="T320" i="30" s="1"/>
  <c r="T321" i="30" s="1" a="1"/>
  <c r="T321" i="30" s="1"/>
  <c r="T322" i="30" s="1" a="1"/>
  <c r="T322" i="30" s="1"/>
  <c r="T323" i="30" s="1" a="1"/>
  <c r="T323" i="30" s="1"/>
  <c r="T324" i="30" s="1" a="1"/>
  <c r="T324" i="30" s="1"/>
  <c r="T325" i="30" s="1" a="1"/>
  <c r="T325" i="30" s="1"/>
  <c r="T326" i="30" s="1" a="1"/>
  <c r="T326" i="30" s="1"/>
  <c r="T327" i="30" s="1" a="1"/>
  <c r="T327" i="30" s="1"/>
  <c r="T328" i="30" s="1" a="1"/>
  <c r="T328" i="30" s="1"/>
  <c r="T329" i="30" s="1" a="1"/>
  <c r="T329" i="30" s="1"/>
  <c r="T330" i="30" s="1" a="1"/>
  <c r="T330" i="30" s="1"/>
  <c r="T331" i="30" s="1" a="1"/>
  <c r="T331" i="30" s="1"/>
  <c r="T332" i="30" s="1" a="1"/>
  <c r="T332" i="30" s="1"/>
  <c r="T333" i="30" s="1" a="1"/>
  <c r="T333" i="30" s="1"/>
  <c r="T334" i="30" s="1" a="1"/>
  <c r="T334" i="30" s="1"/>
  <c r="T335" i="30" s="1" a="1"/>
  <c r="T335" i="30" s="1"/>
  <c r="T336" i="30" s="1" a="1"/>
  <c r="T336" i="30" s="1"/>
  <c r="T337" i="30" s="1" a="1"/>
  <c r="T337" i="30" s="1"/>
  <c r="T338" i="30" s="1" a="1"/>
  <c r="T338" i="30" s="1"/>
  <c r="T339" i="30" s="1" a="1"/>
  <c r="T339" i="30" s="1"/>
  <c r="T340" i="30" s="1" a="1"/>
  <c r="T340" i="30" s="1"/>
  <c r="T341" i="30" s="1" a="1"/>
  <c r="T341" i="30" s="1"/>
  <c r="T342" i="30" s="1" a="1"/>
  <c r="T342" i="30" s="1"/>
  <c r="T343" i="30" s="1" a="1"/>
  <c r="T343" i="30" s="1"/>
  <c r="T344" i="30" s="1" a="1"/>
  <c r="T344" i="30" s="1"/>
  <c r="T345" i="30" s="1" a="1"/>
  <c r="T345" i="30" s="1"/>
  <c r="T346" i="30" s="1" a="1"/>
  <c r="T346" i="30" s="1"/>
  <c r="T347" i="30" s="1" a="1"/>
  <c r="T347" i="30" s="1"/>
  <c r="T348" i="30" s="1" a="1"/>
  <c r="T348" i="30" s="1"/>
  <c r="T349" i="30" s="1" a="1"/>
  <c r="T349" i="30" s="1"/>
  <c r="T350" i="30" s="1" a="1"/>
  <c r="T350" i="30" s="1"/>
  <c r="T351" i="30" s="1" a="1"/>
  <c r="T351" i="30" s="1"/>
  <c r="T352" i="30" s="1" a="1"/>
  <c r="T352" i="30" s="1"/>
  <c r="T353" i="30" s="1" a="1"/>
  <c r="T353" i="30" s="1"/>
  <c r="T354" i="30" s="1" a="1"/>
  <c r="T354" i="30" s="1"/>
  <c r="T355" i="30" s="1" a="1"/>
  <c r="T355" i="30" s="1"/>
  <c r="T356" i="30" s="1" a="1"/>
  <c r="T356" i="30" s="1"/>
  <c r="T357" i="30" s="1" a="1"/>
  <c r="T357" i="30" s="1"/>
  <c r="T358" i="30" s="1" a="1"/>
  <c r="T358" i="30" s="1"/>
  <c r="T359" i="30" s="1" a="1"/>
  <c r="T359" i="30" s="1"/>
  <c r="T360" i="30" s="1" a="1"/>
  <c r="T360" i="30" s="1"/>
  <c r="T361" i="30" s="1" a="1"/>
  <c r="T361" i="30" s="1"/>
  <c r="T362" i="30" s="1" a="1"/>
  <c r="T362" i="30" s="1"/>
  <c r="T363" i="30" s="1" a="1"/>
  <c r="T363" i="30" s="1"/>
  <c r="BD316" i="30"/>
  <c r="T315" i="30"/>
  <c r="T316" i="30" s="1" a="1"/>
  <c r="T316" i="30" s="1"/>
  <c r="T317" i="30" s="1" a="1"/>
  <c r="S315" i="30" a="1"/>
  <c r="S315" i="30" s="1"/>
  <c r="B428" i="30" s="1"/>
  <c r="B429" i="30" s="1" a="1"/>
  <c r="B429" i="30" s="1"/>
  <c r="F315" i="30" a="1"/>
  <c r="F315" i="30" s="1"/>
  <c r="F316" i="30" s="1" a="1"/>
  <c r="F316" i="30" s="1"/>
  <c r="F317" i="30" s="1" a="1"/>
  <c r="F317" i="30" s="1"/>
  <c r="F318" i="30" s="1" a="1"/>
  <c r="F318" i="30" s="1"/>
  <c r="F319" i="30" s="1" a="1"/>
  <c r="F319" i="30" s="1"/>
  <c r="F320" i="30" s="1" a="1"/>
  <c r="F320" i="30" s="1"/>
  <c r="F321" i="30" s="1" a="1"/>
  <c r="F321" i="30" s="1"/>
  <c r="F322" i="30" s="1" a="1"/>
  <c r="F322" i="30" s="1"/>
  <c r="F323" i="30" s="1" a="1"/>
  <c r="F323" i="30" s="1"/>
  <c r="F324" i="30" s="1" a="1"/>
  <c r="F324" i="30" s="1"/>
  <c r="F325" i="30" s="1" a="1"/>
  <c r="F325" i="30" s="1"/>
  <c r="F326" i="30" s="1" a="1"/>
  <c r="F326" i="30" s="1"/>
  <c r="F327" i="30" s="1" a="1"/>
  <c r="F327" i="30" s="1"/>
  <c r="F328" i="30" s="1" a="1"/>
  <c r="F328" i="30" s="1"/>
  <c r="F329" i="30" s="1" a="1"/>
  <c r="F329" i="30" s="1"/>
  <c r="F330" i="30" s="1" a="1"/>
  <c r="F330" i="30" s="1"/>
  <c r="F331" i="30" s="1" a="1"/>
  <c r="F331" i="30" s="1"/>
  <c r="F332" i="30" s="1" a="1"/>
  <c r="F332" i="30" s="1"/>
  <c r="F333" i="30" s="1" a="1"/>
  <c r="F333" i="30" s="1"/>
  <c r="F334" i="30" s="1" a="1"/>
  <c r="F334" i="30" s="1"/>
  <c r="F335" i="30" s="1" a="1"/>
  <c r="F335" i="30" s="1"/>
  <c r="F336" i="30" s="1" a="1"/>
  <c r="F336" i="30" s="1"/>
  <c r="F337" i="30" s="1" a="1"/>
  <c r="F337" i="30" s="1"/>
  <c r="F338" i="30" s="1" a="1"/>
  <c r="F338" i="30" s="1"/>
  <c r="F339" i="30" s="1" a="1"/>
  <c r="F339" i="30" s="1"/>
  <c r="F340" i="30" s="1" a="1"/>
  <c r="F340" i="30" s="1"/>
  <c r="F341" i="30" s="1" a="1"/>
  <c r="F341" i="30" s="1"/>
  <c r="F342" i="30" s="1" a="1"/>
  <c r="F342" i="30" s="1"/>
  <c r="F343" i="30" s="1" a="1"/>
  <c r="F343" i="30" s="1"/>
  <c r="F344" i="30" s="1" a="1"/>
  <c r="F344" i="30" s="1"/>
  <c r="AH314" i="30"/>
  <c r="AH313" i="30"/>
  <c r="AH312" i="30"/>
  <c r="BJ305" i="30"/>
  <c r="BI305" i="30"/>
  <c r="BH305" i="30"/>
  <c r="BG305" i="30"/>
  <c r="BF305" i="30"/>
  <c r="BE305" i="30"/>
  <c r="BD305" i="30"/>
  <c r="AZ303" i="30"/>
  <c r="AY303" i="30"/>
  <c r="AX303" i="30"/>
  <c r="AW303" i="30"/>
  <c r="AV303" i="30"/>
  <c r="AU303" i="30"/>
  <c r="AT303" i="30"/>
  <c r="AS303" i="30"/>
  <c r="AR303" i="30"/>
  <c r="AQ303" i="30"/>
  <c r="AP303" i="30"/>
  <c r="AO303" i="30"/>
  <c r="AN303" i="30"/>
  <c r="AM303" i="30"/>
  <c r="AL303" i="30"/>
  <c r="AK303" i="30"/>
  <c r="AJ303" i="30"/>
  <c r="AI303" i="30"/>
  <c r="AE303" i="30"/>
  <c r="BA300" i="30" a="1"/>
  <c r="BA300" i="30" s="1"/>
  <c r="AH300" i="30"/>
  <c r="AH297" i="30"/>
  <c r="B297" i="30"/>
  <c r="AH296" i="30"/>
  <c r="B296" i="30"/>
  <c r="AH292" i="30"/>
  <c r="AH291" i="30"/>
  <c r="AH290" i="30"/>
  <c r="AH289" i="30"/>
  <c r="AH288" i="30"/>
  <c r="BL287" i="30"/>
  <c r="BJ287" i="30"/>
  <c r="BH287" i="30"/>
  <c r="BF287" i="30"/>
  <c r="BD287" i="30"/>
  <c r="BC287" i="30"/>
  <c r="BB287" i="30"/>
  <c r="BM287" i="30" s="1"/>
  <c r="BA287" i="30"/>
  <c r="AZ287" i="30"/>
  <c r="BK287" i="30" s="1"/>
  <c r="AY287" i="30"/>
  <c r="AX287" i="30"/>
  <c r="BI287" i="30" s="1"/>
  <c r="AW287" i="30"/>
  <c r="AV287" i="30"/>
  <c r="BG287" i="30" s="1"/>
  <c r="AU287" i="30"/>
  <c r="AS287" i="30"/>
  <c r="AR287" i="30"/>
  <c r="AQ287" i="30"/>
  <c r="AP287" i="30"/>
  <c r="AO287" i="30"/>
  <c r="AN287" i="30"/>
  <c r="AM287" i="30"/>
  <c r="AL287" i="30"/>
  <c r="AK287" i="30"/>
  <c r="AI287" i="30"/>
  <c r="AG287" i="30"/>
  <c r="AF287" i="30"/>
  <c r="AH287" i="30" s="1"/>
  <c r="AE287" i="30"/>
  <c r="AH286" i="30"/>
  <c r="AH285" i="30"/>
  <c r="AH284" i="30"/>
  <c r="AH283" i="30"/>
  <c r="AH282" i="30"/>
  <c r="AH281" i="30"/>
  <c r="BM279" i="30"/>
  <c r="BL279" i="30"/>
  <c r="BK279" i="30"/>
  <c r="BJ279" i="30"/>
  <c r="BI279" i="30"/>
  <c r="BH279" i="30"/>
  <c r="BG279" i="30"/>
  <c r="BF279" i="30"/>
  <c r="BD279" i="30"/>
  <c r="AH279" i="30"/>
  <c r="B274" i="30" a="1"/>
  <c r="B274" i="30" s="1"/>
  <c r="B275" i="30" s="1" a="1"/>
  <c r="B275" i="30" s="1"/>
  <c r="B276" i="30" s="1" a="1"/>
  <c r="B276" i="30" s="1"/>
  <c r="B277" i="30" s="1" a="1"/>
  <c r="B277" i="30" s="1"/>
  <c r="B278" i="30" s="1" a="1"/>
  <c r="B278" i="30" s="1"/>
  <c r="D279" i="30" s="1"/>
  <c r="BM270" i="30"/>
  <c r="BL270" i="30"/>
  <c r="BK270" i="30"/>
  <c r="BJ270" i="30"/>
  <c r="BI270" i="30"/>
  <c r="BH270" i="30"/>
  <c r="BG270" i="30"/>
  <c r="BF270" i="30"/>
  <c r="BE270" i="30"/>
  <c r="BD270" i="30"/>
  <c r="AH270" i="30"/>
  <c r="B268" i="30"/>
  <c r="B269" i="30" s="1" a="1"/>
  <c r="B269" i="30" s="1"/>
  <c r="B270" i="30" s="1" a="1"/>
  <c r="B270" i="30" s="1"/>
  <c r="B271" i="30" s="1" a="1"/>
  <c r="B271" i="30" s="1"/>
  <c r="B272" i="30" s="1" a="1"/>
  <c r="B272" i="30" s="1"/>
  <c r="B273" i="30" s="1" a="1"/>
  <c r="B273" i="30" s="1"/>
  <c r="BM267" i="30"/>
  <c r="BL267" i="30"/>
  <c r="BK267" i="30"/>
  <c r="BJ267" i="30"/>
  <c r="BI267" i="30"/>
  <c r="BH267" i="30"/>
  <c r="BG267" i="30"/>
  <c r="BF267" i="30"/>
  <c r="BE267" i="30"/>
  <c r="BD267" i="30"/>
  <c r="AH267" i="30"/>
  <c r="B267" i="30"/>
  <c r="B268" i="30" s="1" a="1"/>
  <c r="BM266" i="30"/>
  <c r="BL266" i="30"/>
  <c r="BK266" i="30"/>
  <c r="BJ266" i="30"/>
  <c r="BI266" i="30"/>
  <c r="BH266" i="30"/>
  <c r="BG266" i="30"/>
  <c r="BF266" i="30"/>
  <c r="BE266" i="30"/>
  <c r="BD266" i="30"/>
  <c r="AH266" i="30"/>
  <c r="B266" i="30"/>
  <c r="BM265" i="30"/>
  <c r="BL265" i="30"/>
  <c r="BK265" i="30"/>
  <c r="BJ265" i="30"/>
  <c r="BI265" i="30"/>
  <c r="BH265" i="30"/>
  <c r="BG265" i="30"/>
  <c r="BF265" i="30"/>
  <c r="BE265" i="30"/>
  <c r="BD265" i="30"/>
  <c r="AH265" i="30"/>
  <c r="B263" i="30" a="1"/>
  <c r="B263" i="30" s="1"/>
  <c r="B264" i="30" s="1" a="1"/>
  <c r="B264" i="30" s="1"/>
  <c r="B265" i="30" s="1" a="1"/>
  <c r="B265" i="30" s="1"/>
  <c r="B261" i="30"/>
  <c r="B262" i="30" s="1" a="1"/>
  <c r="B262" i="30" s="1"/>
  <c r="BJ260" i="30"/>
  <c r="BI260" i="30"/>
  <c r="BH260" i="30"/>
  <c r="BG260" i="30"/>
  <c r="BF260" i="30"/>
  <c r="BE260" i="30"/>
  <c r="BD260" i="30"/>
  <c r="B259" i="30"/>
  <c r="B260" i="30" s="1" a="1"/>
  <c r="B260" i="30" s="1"/>
  <c r="B261" i="30" s="1" a="1"/>
  <c r="BM257" i="30"/>
  <c r="BL257" i="30"/>
  <c r="BK257" i="30"/>
  <c r="BJ257" i="30"/>
  <c r="BI257" i="30"/>
  <c r="BH257" i="30"/>
  <c r="BG257" i="30"/>
  <c r="BF257" i="30"/>
  <c r="BE257" i="30"/>
  <c r="BD257" i="30"/>
  <c r="AH257" i="30"/>
  <c r="BM256" i="30"/>
  <c r="BL256" i="30"/>
  <c r="BK256" i="30"/>
  <c r="BJ256" i="30"/>
  <c r="BI256" i="30"/>
  <c r="BH256" i="30"/>
  <c r="BG256" i="30"/>
  <c r="BF256" i="30"/>
  <c r="BE256" i="30"/>
  <c r="BD256" i="30"/>
  <c r="AH256" i="30"/>
  <c r="BM255" i="30"/>
  <c r="BL255" i="30"/>
  <c r="BK255" i="30"/>
  <c r="BJ255" i="30"/>
  <c r="BI255" i="30"/>
  <c r="BH255" i="30"/>
  <c r="BG255" i="30"/>
  <c r="BF255" i="30"/>
  <c r="BE255" i="30"/>
  <c r="BD255" i="30"/>
  <c r="AH255" i="30"/>
  <c r="BL254" i="30"/>
  <c r="BJ254" i="30"/>
  <c r="BH254" i="30"/>
  <c r="BF254" i="30"/>
  <c r="BD254" i="30"/>
  <c r="BC254" i="30"/>
  <c r="BB254" i="30"/>
  <c r="BM254" i="30" s="1"/>
  <c r="BA254" i="30"/>
  <c r="AZ254" i="30"/>
  <c r="BK254" i="30" s="1"/>
  <c r="AY254" i="30"/>
  <c r="AX254" i="30"/>
  <c r="BI254" i="30" s="1"/>
  <c r="AW254" i="30"/>
  <c r="AV254" i="30"/>
  <c r="BG254" i="30" s="1"/>
  <c r="AU254" i="30"/>
  <c r="AT254" i="30"/>
  <c r="BE254" i="30" s="1"/>
  <c r="AS254" i="30"/>
  <c r="AR254" i="30"/>
  <c r="AQ254" i="30"/>
  <c r="AP254" i="30"/>
  <c r="AO254" i="30"/>
  <c r="AN254" i="30"/>
  <c r="AM254" i="30"/>
  <c r="AL254" i="30"/>
  <c r="AK254" i="30"/>
  <c r="AJ254" i="30"/>
  <c r="AI254" i="30"/>
  <c r="AG254" i="30"/>
  <c r="AF254" i="30"/>
  <c r="AH254" i="30" s="1"/>
  <c r="AE254" i="30"/>
  <c r="BM253" i="30"/>
  <c r="BL253" i="30"/>
  <c r="BK253" i="30"/>
  <c r="BJ253" i="30"/>
  <c r="BI253" i="30"/>
  <c r="BH253" i="30"/>
  <c r="BG253" i="30"/>
  <c r="BF253" i="30"/>
  <c r="BE253" i="30"/>
  <c r="BD253" i="30"/>
  <c r="AH253" i="30"/>
  <c r="BM252" i="30"/>
  <c r="BL252" i="30"/>
  <c r="BK252" i="30"/>
  <c r="BJ252" i="30"/>
  <c r="BI252" i="30"/>
  <c r="BH252" i="30"/>
  <c r="BG252" i="30"/>
  <c r="BF252" i="30"/>
  <c r="BE252" i="30"/>
  <c r="BD252" i="30"/>
  <c r="AH252" i="30"/>
  <c r="BD251" i="30"/>
  <c r="AH251" i="30"/>
  <c r="BM250" i="30"/>
  <c r="BL250" i="30"/>
  <c r="BK250" i="30"/>
  <c r="BJ250" i="30"/>
  <c r="BI250" i="30"/>
  <c r="BH250" i="30"/>
  <c r="BG250" i="30"/>
  <c r="BF250" i="30"/>
  <c r="BE250" i="30"/>
  <c r="BD250" i="30"/>
  <c r="AH250" i="30"/>
  <c r="B250" i="30"/>
  <c r="BM249" i="30"/>
  <c r="BL249" i="30"/>
  <c r="BK249" i="30"/>
  <c r="BJ249" i="30"/>
  <c r="BI249" i="30"/>
  <c r="BH249" i="30"/>
  <c r="BG249" i="30"/>
  <c r="BF249" i="30"/>
  <c r="BE249" i="30"/>
  <c r="BD249" i="30"/>
  <c r="AH249" i="30"/>
  <c r="B249" i="30"/>
  <c r="BM247" i="30"/>
  <c r="BL247" i="30"/>
  <c r="BK247" i="30"/>
  <c r="BJ247" i="30"/>
  <c r="BI247" i="30"/>
  <c r="BH247" i="30"/>
  <c r="BG247" i="30"/>
  <c r="BF247" i="30"/>
  <c r="BE247" i="30"/>
  <c r="BD247" i="30"/>
  <c r="AH247" i="30"/>
  <c r="BM230" i="30"/>
  <c r="BL230" i="30"/>
  <c r="BK230" i="30"/>
  <c r="BJ230" i="30"/>
  <c r="BI230" i="30"/>
  <c r="BH230" i="30"/>
  <c r="BG230" i="30"/>
  <c r="BF230" i="30"/>
  <c r="BE230" i="30"/>
  <c r="BD230" i="30"/>
  <c r="AH230" i="30"/>
  <c r="BM229" i="30"/>
  <c r="BL229" i="30"/>
  <c r="BK229" i="30"/>
  <c r="BJ229" i="30"/>
  <c r="BI229" i="30"/>
  <c r="BH229" i="30"/>
  <c r="BG229" i="30"/>
  <c r="BF229" i="30"/>
  <c r="BE229" i="30"/>
  <c r="BD229" i="30"/>
  <c r="AH229" i="30"/>
  <c r="BU220" i="30" a="1"/>
  <c r="BU220" i="30"/>
  <c r="AH220" i="30"/>
  <c r="AB220" i="30"/>
  <c r="J220" i="30" a="1"/>
  <c r="J220" i="30" s="1"/>
  <c r="AI219" i="30"/>
  <c r="AG219" i="30"/>
  <c r="AH219" i="30" s="1"/>
  <c r="AF219" i="30"/>
  <c r="AE219" i="30"/>
  <c r="AH218" i="30"/>
  <c r="AG217" i="30"/>
  <c r="AF217" i="30"/>
  <c r="AH217" i="30" s="1"/>
  <c r="B217" i="30"/>
  <c r="AG216" i="30"/>
  <c r="AH216" i="30" s="1"/>
  <c r="AH215" i="30"/>
  <c r="AH214" i="30"/>
  <c r="AI213" i="30"/>
  <c r="AG213" i="30"/>
  <c r="AH213" i="30" s="1"/>
  <c r="AF213" i="30"/>
  <c r="AE213" i="30"/>
  <c r="AH212" i="30"/>
  <c r="AH211" i="30"/>
  <c r="AH210" i="30"/>
  <c r="AH209" i="30"/>
  <c r="AH208" i="30"/>
  <c r="AG208" i="30"/>
  <c r="AG207" i="30"/>
  <c r="AF206" i="30"/>
  <c r="AE206" i="30"/>
  <c r="AH205" i="30"/>
  <c r="AH204" i="30"/>
  <c r="AH203" i="30"/>
  <c r="AH202" i="30"/>
  <c r="AH201" i="30"/>
  <c r="AH200" i="30"/>
  <c r="AH199" i="30"/>
  <c r="AI198" i="30"/>
  <c r="AH198" i="30"/>
  <c r="AG198" i="30"/>
  <c r="AF198" i="30"/>
  <c r="AF197" i="30" s="1"/>
  <c r="AE198" i="30"/>
  <c r="AE197" i="30"/>
  <c r="AG196" i="30"/>
  <c r="AF196" i="30"/>
  <c r="AG195" i="30"/>
  <c r="AH195" i="30" s="1"/>
  <c r="AF195" i="30"/>
  <c r="AG194" i="30"/>
  <c r="AG193" i="30"/>
  <c r="AH193" i="30" s="1"/>
  <c r="AG192" i="30"/>
  <c r="AH192" i="30" s="1"/>
  <c r="AI191" i="30"/>
  <c r="AE191" i="30"/>
  <c r="AH190" i="30"/>
  <c r="AG190" i="30"/>
  <c r="AF190" i="30"/>
  <c r="AF183" i="30" s="1"/>
  <c r="AH189" i="30"/>
  <c r="AH188" i="30"/>
  <c r="AG188" i="30"/>
  <c r="AH187" i="30"/>
  <c r="AH186" i="30"/>
  <c r="AH185" i="30"/>
  <c r="AH184" i="30"/>
  <c r="AI183" i="30"/>
  <c r="AG183" i="30"/>
  <c r="AH183" i="30" s="1"/>
  <c r="AE183" i="30"/>
  <c r="AH182" i="30"/>
  <c r="AG181" i="30"/>
  <c r="AH181" i="30" s="1"/>
  <c r="AF181" i="30"/>
  <c r="AH180" i="30"/>
  <c r="AG180" i="30"/>
  <c r="AF180" i="30"/>
  <c r="AF179" i="30"/>
  <c r="AE179" i="30"/>
  <c r="AH178" i="30"/>
  <c r="AH177" i="30"/>
  <c r="AH176" i="30"/>
  <c r="AG176" i="30"/>
  <c r="AI175" i="30"/>
  <c r="AG175" i="30"/>
  <c r="AH175" i="30" s="1"/>
  <c r="AF175" i="30"/>
  <c r="AE175" i="30"/>
  <c r="AE174" i="30" s="1"/>
  <c r="AF174" i="30"/>
  <c r="AH173" i="30"/>
  <c r="BJ172" i="30"/>
  <c r="BI172" i="30"/>
  <c r="BH172" i="30"/>
  <c r="BG172" i="30"/>
  <c r="BF172" i="30"/>
  <c r="BE172" i="30"/>
  <c r="BD172" i="30"/>
  <c r="AE172" i="30"/>
  <c r="T171" i="30"/>
  <c r="T172" i="30" s="1" a="1"/>
  <c r="T172" i="30" s="1"/>
  <c r="T173" i="30" s="1" a="1"/>
  <c r="T173" i="30" s="1"/>
  <c r="T174" i="30" s="1" a="1"/>
  <c r="T174" i="30" s="1"/>
  <c r="T175" i="30" s="1" a="1"/>
  <c r="T175" i="30" s="1"/>
  <c r="T176" i="30" s="1" a="1"/>
  <c r="T176" i="30" s="1"/>
  <c r="T177" i="30" s="1" a="1"/>
  <c r="T177" i="30" s="1"/>
  <c r="T178" i="30" s="1" a="1"/>
  <c r="T178" i="30" s="1"/>
  <c r="T179" i="30" s="1" a="1"/>
  <c r="T179" i="30" s="1"/>
  <c r="T180" i="30" s="1" a="1"/>
  <c r="T180" i="30" s="1"/>
  <c r="T181" i="30" s="1" a="1"/>
  <c r="T181" i="30" s="1"/>
  <c r="T182" i="30" s="1" a="1"/>
  <c r="T182" i="30" s="1"/>
  <c r="T183" i="30" s="1" a="1"/>
  <c r="T183" i="30" s="1"/>
  <c r="T184" i="30" s="1" a="1"/>
  <c r="T184" i="30" s="1"/>
  <c r="T185" i="30" s="1" a="1"/>
  <c r="T185" i="30" s="1"/>
  <c r="T186" i="30" s="1" a="1"/>
  <c r="T186" i="30" s="1"/>
  <c r="T187" i="30" s="1" a="1"/>
  <c r="T187" i="30" s="1"/>
  <c r="T188" i="30" s="1" a="1"/>
  <c r="T188" i="30" s="1"/>
  <c r="T189" i="30" s="1" a="1"/>
  <c r="T189" i="30" s="1"/>
  <c r="T190" i="30" s="1" a="1"/>
  <c r="T190" i="30" s="1"/>
  <c r="T191" i="30" s="1" a="1"/>
  <c r="T191" i="30" s="1"/>
  <c r="T192" i="30" s="1" a="1"/>
  <c r="T192" i="30" s="1"/>
  <c r="T193" i="30" s="1" a="1"/>
  <c r="T193" i="30" s="1"/>
  <c r="T194" i="30" s="1" a="1"/>
  <c r="T194" i="30" s="1"/>
  <c r="T195" i="30" s="1" a="1"/>
  <c r="T195" i="30" s="1"/>
  <c r="T196" i="30" s="1" a="1"/>
  <c r="T196" i="30" s="1"/>
  <c r="T197" i="30" s="1" a="1"/>
  <c r="T197" i="30" s="1"/>
  <c r="T198" i="30" s="1" a="1"/>
  <c r="T198" i="30" s="1"/>
  <c r="T199" i="30" s="1" a="1"/>
  <c r="T199" i="30" s="1"/>
  <c r="T200" i="30" s="1" a="1"/>
  <c r="T200" i="30" s="1"/>
  <c r="T201" i="30" s="1" a="1"/>
  <c r="T201" i="30" s="1"/>
  <c r="T202" i="30" s="1" a="1"/>
  <c r="T202" i="30" s="1"/>
  <c r="T203" i="30" s="1" a="1"/>
  <c r="T203" i="30" s="1"/>
  <c r="T204" i="30" s="1" a="1"/>
  <c r="T204" i="30" s="1"/>
  <c r="T205" i="30" s="1" a="1"/>
  <c r="T205" i="30" s="1"/>
  <c r="T206" i="30" s="1" a="1"/>
  <c r="T206" i="30" s="1"/>
  <c r="T207" i="30" s="1" a="1"/>
  <c r="T207" i="30" s="1"/>
  <c r="T208" i="30" s="1" a="1"/>
  <c r="T208" i="30" s="1"/>
  <c r="T209" i="30" s="1" a="1"/>
  <c r="T209" i="30" s="1"/>
  <c r="T210" i="30" s="1" a="1"/>
  <c r="T210" i="30" s="1"/>
  <c r="T211" i="30" s="1" a="1"/>
  <c r="T211" i="30" s="1"/>
  <c r="T212" i="30" s="1" a="1"/>
  <c r="T212" i="30" s="1"/>
  <c r="T213" i="30" s="1" a="1"/>
  <c r="T213" i="30" s="1"/>
  <c r="T214" i="30" s="1" a="1"/>
  <c r="T214" i="30" s="1"/>
  <c r="T215" i="30" s="1" a="1"/>
  <c r="T215" i="30" s="1"/>
  <c r="T216" i="30" s="1" a="1"/>
  <c r="T216" i="30" s="1"/>
  <c r="T217" i="30" s="1" a="1"/>
  <c r="T217" i="30" s="1"/>
  <c r="T218" i="30" s="1" a="1"/>
  <c r="T218" i="30" s="1"/>
  <c r="T219" i="30" s="1" a="1"/>
  <c r="T219" i="30" s="1"/>
  <c r="S171" i="30" a="1"/>
  <c r="S171" i="30" s="1"/>
  <c r="B284" i="30" s="1"/>
  <c r="B285" i="30" s="1" a="1"/>
  <c r="B285" i="30" s="1"/>
  <c r="F171" i="30" a="1"/>
  <c r="F171" i="30" s="1"/>
  <c r="F172" i="30" s="1" a="1"/>
  <c r="F172" i="30" s="1"/>
  <c r="F173" i="30" s="1" a="1"/>
  <c r="F173" i="30" s="1"/>
  <c r="F174" i="30" s="1" a="1"/>
  <c r="F174" i="30" s="1"/>
  <c r="F175" i="30" s="1" a="1"/>
  <c r="F175" i="30" s="1"/>
  <c r="F176" i="30" s="1" a="1"/>
  <c r="F176" i="30" s="1"/>
  <c r="F177" i="30" s="1" a="1"/>
  <c r="F177" i="30" s="1"/>
  <c r="F178" i="30" s="1" a="1"/>
  <c r="F178" i="30" s="1"/>
  <c r="F179" i="30" s="1" a="1"/>
  <c r="F179" i="30" s="1"/>
  <c r="F180" i="30" s="1" a="1"/>
  <c r="F180" i="30" s="1"/>
  <c r="F181" i="30" s="1" a="1"/>
  <c r="F181" i="30" s="1"/>
  <c r="F182" i="30" s="1" a="1"/>
  <c r="F182" i="30" s="1"/>
  <c r="F183" i="30" s="1" a="1"/>
  <c r="F183" i="30" s="1"/>
  <c r="F184" i="30" s="1" a="1"/>
  <c r="F184" i="30" s="1"/>
  <c r="F185" i="30" s="1" a="1"/>
  <c r="F185" i="30" s="1"/>
  <c r="F186" i="30" s="1" a="1"/>
  <c r="F186" i="30" s="1"/>
  <c r="F187" i="30" s="1" a="1"/>
  <c r="F187" i="30" s="1"/>
  <c r="F188" i="30" s="1" a="1"/>
  <c r="F188" i="30" s="1"/>
  <c r="F189" i="30" s="1" a="1"/>
  <c r="F189" i="30" s="1"/>
  <c r="F190" i="30" s="1" a="1"/>
  <c r="F190" i="30" s="1"/>
  <c r="F191" i="30" s="1" a="1"/>
  <c r="F191" i="30" s="1"/>
  <c r="F192" i="30" s="1" a="1"/>
  <c r="F192" i="30" s="1"/>
  <c r="F193" i="30" s="1" a="1"/>
  <c r="F193" i="30" s="1"/>
  <c r="F194" i="30" s="1" a="1"/>
  <c r="F194" i="30" s="1"/>
  <c r="F195" i="30" s="1" a="1"/>
  <c r="F195" i="30" s="1"/>
  <c r="F196" i="30" s="1" a="1"/>
  <c r="F196" i="30" s="1"/>
  <c r="F197" i="30" s="1" a="1"/>
  <c r="F197" i="30" s="1"/>
  <c r="F198" i="30" s="1" a="1"/>
  <c r="F198" i="30" s="1"/>
  <c r="AH170" i="30"/>
  <c r="AH169" i="30"/>
  <c r="AH168" i="30"/>
  <c r="AT159" i="30"/>
  <c r="AS159" i="30"/>
  <c r="AR159" i="30"/>
  <c r="AQ159" i="30"/>
  <c r="AP159" i="30"/>
  <c r="AO159" i="30"/>
  <c r="AN159" i="30"/>
  <c r="AM159" i="30"/>
  <c r="AL159" i="30"/>
  <c r="AK159" i="30"/>
  <c r="AJ159" i="30"/>
  <c r="AI159" i="30"/>
  <c r="AG159" i="30"/>
  <c r="AF159" i="30"/>
  <c r="AE159" i="30"/>
  <c r="AH156" i="30"/>
  <c r="AH153" i="30"/>
  <c r="B153" i="30"/>
  <c r="AH152" i="30"/>
  <c r="B152" i="30"/>
  <c r="AH148" i="30"/>
  <c r="AH147" i="30"/>
  <c r="AH146" i="30"/>
  <c r="AH145" i="30"/>
  <c r="AH144" i="30"/>
  <c r="BJ143" i="30"/>
  <c r="BF143" i="30"/>
  <c r="BC143" i="30"/>
  <c r="BB143" i="30"/>
  <c r="BM143" i="30" s="1"/>
  <c r="BA143" i="30"/>
  <c r="BL143" i="30" s="1"/>
  <c r="AZ143" i="30"/>
  <c r="BK143" i="30" s="1"/>
  <c r="AY143" i="30"/>
  <c r="AX143" i="30"/>
  <c r="BI143" i="30" s="1"/>
  <c r="AW143" i="30"/>
  <c r="BH143" i="30" s="1"/>
  <c r="AV143" i="30"/>
  <c r="BG143" i="30" s="1"/>
  <c r="AU143" i="30"/>
  <c r="AS143" i="30"/>
  <c r="AR143" i="30"/>
  <c r="AQ143" i="30"/>
  <c r="AP143" i="30"/>
  <c r="AO143" i="30"/>
  <c r="AN143" i="30"/>
  <c r="AM143" i="30"/>
  <c r="AL143" i="30"/>
  <c r="AK143" i="30"/>
  <c r="AI143" i="30"/>
  <c r="BD143" i="30" s="1"/>
  <c r="AH143" i="30"/>
  <c r="AG143" i="30"/>
  <c r="AF143" i="30"/>
  <c r="AE143" i="30"/>
  <c r="AH142" i="30"/>
  <c r="AH141" i="30"/>
  <c r="AH140" i="30"/>
  <c r="AH139" i="30"/>
  <c r="AH138" i="30"/>
  <c r="AH137" i="30"/>
  <c r="BM135" i="30"/>
  <c r="BL135" i="30"/>
  <c r="BK135" i="30"/>
  <c r="BJ135" i="30"/>
  <c r="BI135" i="30"/>
  <c r="BH135" i="30"/>
  <c r="BG135" i="30"/>
  <c r="BF135" i="30"/>
  <c r="BD135" i="30"/>
  <c r="AH135" i="30"/>
  <c r="BM126" i="30"/>
  <c r="BL126" i="30"/>
  <c r="BK126" i="30"/>
  <c r="BJ126" i="30"/>
  <c r="BI126" i="30"/>
  <c r="BH126" i="30"/>
  <c r="BG126" i="30"/>
  <c r="BF126" i="30"/>
  <c r="BE126" i="30"/>
  <c r="BD126" i="30"/>
  <c r="AH126" i="30"/>
  <c r="BM123" i="30"/>
  <c r="BL123" i="30"/>
  <c r="BK123" i="30"/>
  <c r="BJ123" i="30"/>
  <c r="BI123" i="30"/>
  <c r="BH123" i="30"/>
  <c r="BG123" i="30"/>
  <c r="BF123" i="30"/>
  <c r="BE123" i="30"/>
  <c r="BD123" i="30"/>
  <c r="AH123" i="30"/>
  <c r="B123" i="30"/>
  <c r="B124" i="30" s="1" a="1"/>
  <c r="B124" i="30" s="1"/>
  <c r="B125" i="30" s="1" a="1"/>
  <c r="B125" i="30" s="1"/>
  <c r="B126" i="30" s="1" a="1"/>
  <c r="B126" i="30" s="1"/>
  <c r="B127" i="30" s="1" a="1"/>
  <c r="B127" i="30" s="1"/>
  <c r="B128" i="30" s="1" a="1"/>
  <c r="B128" i="30" s="1"/>
  <c r="B129" i="30" s="1" a="1"/>
  <c r="B129" i="30" s="1"/>
  <c r="B130" i="30" s="1" a="1"/>
  <c r="B130" i="30" s="1"/>
  <c r="B131" i="30" s="1" a="1"/>
  <c r="B131" i="30" s="1"/>
  <c r="B132" i="30" s="1" a="1"/>
  <c r="B132" i="30" s="1"/>
  <c r="B133" i="30" s="1" a="1"/>
  <c r="B133" i="30" s="1"/>
  <c r="B134" i="30" s="1" a="1"/>
  <c r="B134" i="30" s="1"/>
  <c r="D135" i="30" s="1"/>
  <c r="BM122" i="30"/>
  <c r="BL122" i="30"/>
  <c r="BK122" i="30"/>
  <c r="BJ122" i="30"/>
  <c r="BI122" i="30"/>
  <c r="BH122" i="30"/>
  <c r="BG122" i="30"/>
  <c r="BF122" i="30"/>
  <c r="BE122" i="30"/>
  <c r="BD122" i="30"/>
  <c r="AH122" i="30"/>
  <c r="B122" i="30"/>
  <c r="BM121" i="30"/>
  <c r="BL121" i="30"/>
  <c r="BK121" i="30"/>
  <c r="BJ121" i="30"/>
  <c r="BI121" i="30"/>
  <c r="BH121" i="30"/>
  <c r="BG121" i="30"/>
  <c r="BF121" i="30"/>
  <c r="BE121" i="30"/>
  <c r="BD121" i="30"/>
  <c r="AH121" i="30"/>
  <c r="B118" i="30" a="1"/>
  <c r="B118" i="30" s="1"/>
  <c r="B119" i="30" s="1" a="1"/>
  <c r="B119" i="30" s="1"/>
  <c r="B120" i="30" s="1" a="1"/>
  <c r="B120" i="30" s="1"/>
  <c r="B121" i="30" s="1" a="1"/>
  <c r="B121" i="30" s="1"/>
  <c r="B115" i="30"/>
  <c r="B116" i="30" s="1" a="1"/>
  <c r="B116" i="30" s="1"/>
  <c r="B117" i="30" s="1" a="1"/>
  <c r="B117" i="30" s="1"/>
  <c r="BM113" i="30"/>
  <c r="BL113" i="30"/>
  <c r="BK113" i="30"/>
  <c r="BJ113" i="30"/>
  <c r="BI113" i="30"/>
  <c r="BH113" i="30"/>
  <c r="BG113" i="30"/>
  <c r="BF113" i="30"/>
  <c r="BE113" i="30"/>
  <c r="BD113" i="30"/>
  <c r="AH113" i="30"/>
  <c r="BM112" i="30"/>
  <c r="BL112" i="30"/>
  <c r="BK112" i="30"/>
  <c r="BJ112" i="30"/>
  <c r="BI112" i="30"/>
  <c r="BH112" i="30"/>
  <c r="BG112" i="30"/>
  <c r="BF112" i="30"/>
  <c r="BE112" i="30"/>
  <c r="BD112" i="30"/>
  <c r="AH112" i="30"/>
  <c r="BM111" i="30"/>
  <c r="BL111" i="30"/>
  <c r="BK111" i="30"/>
  <c r="BJ111" i="30"/>
  <c r="BI111" i="30"/>
  <c r="BH111" i="30"/>
  <c r="BG111" i="30"/>
  <c r="BF111" i="30"/>
  <c r="BE111" i="30"/>
  <c r="BD111" i="30"/>
  <c r="AH111" i="30"/>
  <c r="BK110" i="30"/>
  <c r="BG110" i="30"/>
  <c r="BC110" i="30"/>
  <c r="BB110" i="30"/>
  <c r="BM110" i="30" s="1"/>
  <c r="BA110" i="30"/>
  <c r="BL110" i="30" s="1"/>
  <c r="AZ110" i="30"/>
  <c r="AY110" i="30"/>
  <c r="BJ110" i="30" s="1"/>
  <c r="AX110" i="30"/>
  <c r="BI110" i="30" s="1"/>
  <c r="AW110" i="30"/>
  <c r="BH110" i="30" s="1"/>
  <c r="AV110" i="30"/>
  <c r="AU110" i="30"/>
  <c r="BF110" i="30" s="1"/>
  <c r="AT110" i="30"/>
  <c r="BE110" i="30" s="1"/>
  <c r="AS110" i="30"/>
  <c r="AR110" i="30"/>
  <c r="AQ110" i="30"/>
  <c r="AP110" i="30"/>
  <c r="AO110" i="30"/>
  <c r="AN110" i="30"/>
  <c r="AM110" i="30"/>
  <c r="AL110" i="30"/>
  <c r="AK110" i="30"/>
  <c r="AJ110" i="30"/>
  <c r="AI110" i="30"/>
  <c r="BD110" i="30" s="1"/>
  <c r="AG110" i="30"/>
  <c r="AH110" i="30" s="1"/>
  <c r="AF110" i="30"/>
  <c r="AE110" i="30"/>
  <c r="BM109" i="30"/>
  <c r="BL109" i="30"/>
  <c r="BK109" i="30"/>
  <c r="BJ109" i="30"/>
  <c r="BI109" i="30"/>
  <c r="BH109" i="30"/>
  <c r="BG109" i="30"/>
  <c r="BF109" i="30"/>
  <c r="BE109" i="30"/>
  <c r="BD109" i="30"/>
  <c r="AH109" i="30"/>
  <c r="BM108" i="30"/>
  <c r="BL108" i="30"/>
  <c r="BK108" i="30"/>
  <c r="BJ108" i="30"/>
  <c r="BI108" i="30"/>
  <c r="BH108" i="30"/>
  <c r="BG108" i="30"/>
  <c r="BF108" i="30"/>
  <c r="BE108" i="30"/>
  <c r="BD108" i="30"/>
  <c r="AH108" i="30"/>
  <c r="BD107" i="30"/>
  <c r="AH107" i="30"/>
  <c r="BM106" i="30"/>
  <c r="BL106" i="30"/>
  <c r="BK106" i="30"/>
  <c r="BJ106" i="30"/>
  <c r="BI106" i="30"/>
  <c r="BH106" i="30"/>
  <c r="BG106" i="30"/>
  <c r="BF106" i="30"/>
  <c r="BE106" i="30"/>
  <c r="BD106" i="30"/>
  <c r="AH106" i="30"/>
  <c r="B106" i="30"/>
  <c r="BM105" i="30"/>
  <c r="BL105" i="30"/>
  <c r="BK105" i="30"/>
  <c r="BJ105" i="30"/>
  <c r="BI105" i="30"/>
  <c r="BH105" i="30"/>
  <c r="BG105" i="30"/>
  <c r="BF105" i="30"/>
  <c r="BE105" i="30"/>
  <c r="BD105" i="30"/>
  <c r="AH105" i="30"/>
  <c r="B105" i="30"/>
  <c r="BM103" i="30"/>
  <c r="BL103" i="30"/>
  <c r="BK103" i="30"/>
  <c r="BJ103" i="30"/>
  <c r="BI103" i="30"/>
  <c r="BH103" i="30"/>
  <c r="BG103" i="30"/>
  <c r="BF103" i="30"/>
  <c r="BE103" i="30"/>
  <c r="BD103" i="30"/>
  <c r="AH103" i="30"/>
  <c r="BM86" i="30"/>
  <c r="BL86" i="30"/>
  <c r="BK86" i="30"/>
  <c r="BJ86" i="30"/>
  <c r="BI86" i="30"/>
  <c r="BH86" i="30"/>
  <c r="BG86" i="30"/>
  <c r="BF86" i="30"/>
  <c r="BE86" i="30"/>
  <c r="BD86" i="30"/>
  <c r="AH86" i="30"/>
  <c r="BM85" i="30"/>
  <c r="BL85" i="30"/>
  <c r="BK85" i="30"/>
  <c r="BJ85" i="30"/>
  <c r="BI85" i="30"/>
  <c r="BH85" i="30"/>
  <c r="BG85" i="30"/>
  <c r="BF85" i="30"/>
  <c r="BE85" i="30"/>
  <c r="BD85" i="30"/>
  <c r="AH85" i="30"/>
  <c r="BU76" i="30" a="1"/>
  <c r="BU76" i="30" s="1"/>
  <c r="AH76" i="30"/>
  <c r="AB76" i="30"/>
  <c r="J76" i="30" a="1"/>
  <c r="J76" i="30"/>
  <c r="AI75" i="30"/>
  <c r="AG75" i="30"/>
  <c r="AH75" i="30" s="1"/>
  <c r="AF75" i="30"/>
  <c r="AE75" i="30"/>
  <c r="AH74" i="30"/>
  <c r="AH73" i="30"/>
  <c r="B73" i="30"/>
  <c r="AH72" i="30"/>
  <c r="AH71" i="30"/>
  <c r="AH70" i="30"/>
  <c r="AI69" i="30"/>
  <c r="AG69" i="30"/>
  <c r="AF69" i="30"/>
  <c r="AE69" i="30"/>
  <c r="AH68" i="30"/>
  <c r="AH67" i="30"/>
  <c r="AH66" i="30"/>
  <c r="AH65" i="30"/>
  <c r="AH63" i="30"/>
  <c r="AH61" i="30"/>
  <c r="AH60" i="30"/>
  <c r="AH59" i="30"/>
  <c r="AH58" i="30"/>
  <c r="AH57" i="30"/>
  <c r="AH56" i="30"/>
  <c r="AH55" i="30"/>
  <c r="AI54" i="30"/>
  <c r="AG54" i="30"/>
  <c r="AF54" i="30"/>
  <c r="AE54" i="30"/>
  <c r="AH51" i="30"/>
  <c r="AH50" i="30"/>
  <c r="AH49" i="30"/>
  <c r="AH48" i="30"/>
  <c r="AI47" i="30"/>
  <c r="AH47" i="30"/>
  <c r="AG47" i="30"/>
  <c r="AF47" i="30"/>
  <c r="AE47" i="30"/>
  <c r="AH46" i="30"/>
  <c r="AH45" i="30"/>
  <c r="AH44" i="30"/>
  <c r="AH43" i="30"/>
  <c r="AH42" i="30"/>
  <c r="AH41" i="30"/>
  <c r="AH40" i="30"/>
  <c r="AI39" i="30"/>
  <c r="AH39" i="30"/>
  <c r="AG39" i="30"/>
  <c r="AF39" i="30"/>
  <c r="AE39" i="30"/>
  <c r="AH38" i="30"/>
  <c r="AH36" i="30"/>
  <c r="AH34" i="30"/>
  <c r="AH33" i="30"/>
  <c r="AH32" i="30"/>
  <c r="AI31" i="30"/>
  <c r="AG31" i="30"/>
  <c r="AF31" i="30"/>
  <c r="AE31" i="30"/>
  <c r="T30" i="30"/>
  <c r="T31" i="30" s="1" a="1"/>
  <c r="T31" i="30" s="1"/>
  <c r="T32" i="30" s="1" a="1"/>
  <c r="T32" i="30" s="1"/>
  <c r="T33" i="30" s="1" a="1"/>
  <c r="T33" i="30" s="1"/>
  <c r="T34" i="30" s="1" a="1"/>
  <c r="T34" i="30" s="1"/>
  <c r="T35" i="30" s="1" a="1"/>
  <c r="T35" i="30" s="1"/>
  <c r="T36" i="30" s="1" a="1"/>
  <c r="T36" i="30" s="1"/>
  <c r="T37" i="30" s="1" a="1"/>
  <c r="T37" i="30" s="1"/>
  <c r="T38" i="30" s="1" a="1"/>
  <c r="T38" i="30" s="1"/>
  <c r="T39" i="30" s="1" a="1"/>
  <c r="T39" i="30" s="1"/>
  <c r="T40" i="30" s="1" a="1"/>
  <c r="T40" i="30" s="1"/>
  <c r="T41" i="30" s="1" a="1"/>
  <c r="T41" i="30" s="1"/>
  <c r="T42" i="30" s="1" a="1"/>
  <c r="T42" i="30" s="1"/>
  <c r="T43" i="30" s="1" a="1"/>
  <c r="T43" i="30" s="1"/>
  <c r="T44" i="30" s="1" a="1"/>
  <c r="T44" i="30" s="1"/>
  <c r="T45" i="30" s="1" a="1"/>
  <c r="T45" i="30" s="1"/>
  <c r="T46" i="30" s="1" a="1"/>
  <c r="T46" i="30" s="1"/>
  <c r="T47" i="30" s="1" a="1"/>
  <c r="T47" i="30" s="1"/>
  <c r="T48" i="30" s="1" a="1"/>
  <c r="T48" i="30" s="1"/>
  <c r="T49" i="30" s="1" a="1"/>
  <c r="T49" i="30" s="1"/>
  <c r="T50" i="30" s="1" a="1"/>
  <c r="T50" i="30" s="1"/>
  <c r="T51" i="30" s="1" a="1"/>
  <c r="T51" i="30" s="1"/>
  <c r="T52" i="30" s="1" a="1"/>
  <c r="T52" i="30" s="1"/>
  <c r="T53" i="30" s="1" a="1"/>
  <c r="T53" i="30" s="1"/>
  <c r="T54" i="30" s="1" a="1"/>
  <c r="T54" i="30" s="1"/>
  <c r="T55" i="30" s="1" a="1"/>
  <c r="T55" i="30" s="1"/>
  <c r="T56" i="30" s="1" a="1"/>
  <c r="T56" i="30" s="1"/>
  <c r="T57" i="30" s="1" a="1"/>
  <c r="T57" i="30" s="1"/>
  <c r="T58" i="30" s="1" a="1"/>
  <c r="T58" i="30" s="1"/>
  <c r="T59" i="30" s="1" a="1"/>
  <c r="T59" i="30" s="1"/>
  <c r="T60" i="30" s="1" a="1"/>
  <c r="T60" i="30" s="1"/>
  <c r="T61" i="30" s="1" a="1"/>
  <c r="T61" i="30" s="1"/>
  <c r="T62" i="30" s="1" a="1"/>
  <c r="T62" i="30" s="1"/>
  <c r="T63" i="30" s="1" a="1"/>
  <c r="T63" i="30" s="1"/>
  <c r="T64" i="30" s="1" a="1"/>
  <c r="T64" i="30" s="1"/>
  <c r="T65" i="30" s="1" a="1"/>
  <c r="T65" i="30" s="1"/>
  <c r="T66" i="30" s="1" a="1"/>
  <c r="T66" i="30" s="1"/>
  <c r="T67" i="30" s="1" a="1"/>
  <c r="T67" i="30" s="1"/>
  <c r="T68" i="30" s="1" a="1"/>
  <c r="T68" i="30" s="1"/>
  <c r="T69" i="30" s="1" a="1"/>
  <c r="T69" i="30" s="1"/>
  <c r="T70" i="30" s="1" a="1"/>
  <c r="T70" i="30" s="1"/>
  <c r="T71" i="30" s="1" a="1"/>
  <c r="T71" i="30" s="1"/>
  <c r="T72" i="30" s="1" a="1"/>
  <c r="T72" i="30" s="1"/>
  <c r="T73" i="30" s="1" a="1"/>
  <c r="T73" i="30" s="1"/>
  <c r="T74" i="30" s="1" a="1"/>
  <c r="T74" i="30" s="1"/>
  <c r="T75" i="30" s="1" a="1"/>
  <c r="T75" i="30" s="1"/>
  <c r="AH29" i="30"/>
  <c r="T28" i="30" a="1"/>
  <c r="T28" i="30" s="1"/>
  <c r="T29" i="30" s="1" a="1"/>
  <c r="T29" i="30" s="1"/>
  <c r="T30" i="30" s="1" a="1"/>
  <c r="T27" i="30"/>
  <c r="S27" i="30" a="1"/>
  <c r="S27" i="30"/>
  <c r="B140" i="30" s="1"/>
  <c r="B141" i="30" s="1" a="1"/>
  <c r="B141" i="30" s="1"/>
  <c r="F27" i="30" a="1"/>
  <c r="F27" i="30"/>
  <c r="F28" i="30" s="1" a="1"/>
  <c r="F28" i="30" s="1"/>
  <c r="F29" i="30" s="1" a="1"/>
  <c r="F29" i="30" s="1"/>
  <c r="F30" i="30" s="1" a="1"/>
  <c r="F30" i="30" s="1"/>
  <c r="F31" i="30" s="1" a="1"/>
  <c r="F31" i="30" s="1"/>
  <c r="F32" i="30" s="1" a="1"/>
  <c r="F32" i="30" s="1"/>
  <c r="F33" i="30" s="1" a="1"/>
  <c r="F33" i="30" s="1"/>
  <c r="F34" i="30" s="1" a="1"/>
  <c r="F34" i="30" s="1"/>
  <c r="F35" i="30" s="1" a="1"/>
  <c r="F35" i="30" s="1"/>
  <c r="F36" i="30" s="1" a="1"/>
  <c r="F36" i="30" s="1"/>
  <c r="BM24" i="30"/>
  <c r="BL24" i="30"/>
  <c r="BK24" i="30"/>
  <c r="BJ24" i="30"/>
  <c r="BI24" i="30"/>
  <c r="BH24" i="30"/>
  <c r="BG24" i="30"/>
  <c r="BF24" i="30"/>
  <c r="BE24" i="30"/>
  <c r="BD24" i="30"/>
  <c r="BC24" i="30"/>
  <c r="BB24" i="30"/>
  <c r="BA24" i="30"/>
  <c r="AZ24" i="30"/>
  <c r="AY24" i="30"/>
  <c r="AX24" i="30"/>
  <c r="AW24" i="30"/>
  <c r="AV24" i="30"/>
  <c r="AU24" i="30"/>
  <c r="AT24" i="30"/>
  <c r="AS24" i="30"/>
  <c r="AR24" i="30"/>
  <c r="AQ24" i="30"/>
  <c r="AP24" i="30"/>
  <c r="AO24" i="30"/>
  <c r="AN24" i="30"/>
  <c r="AM24" i="30"/>
  <c r="AL24" i="30"/>
  <c r="AK24" i="30"/>
  <c r="AJ24" i="30"/>
  <c r="AI24" i="30"/>
  <c r="AH24" i="30"/>
  <c r="AG24" i="30"/>
  <c r="AF24" i="30"/>
  <c r="AE24" i="30"/>
  <c r="BP13" i="30" a="1"/>
  <c r="BP13" i="30"/>
  <c r="BO13" i="30" a="1"/>
  <c r="BO13" i="30" s="1"/>
  <c r="BN13" i="30" a="1"/>
  <c r="BN13" i="30"/>
  <c r="BP11" i="30" a="1"/>
  <c r="BP11" i="30" s="1"/>
  <c r="BO11" i="30" a="1"/>
  <c r="BO11" i="30"/>
  <c r="BN11" i="30" a="1"/>
  <c r="BN11" i="30" s="1"/>
  <c r="BM10" i="30" a="1"/>
  <c r="BM10" i="30"/>
  <c r="BL10" i="30" a="1"/>
  <c r="BL10" i="30" s="1"/>
  <c r="BK10" i="30" a="1"/>
  <c r="BK10" i="30"/>
  <c r="BJ10" i="30" a="1"/>
  <c r="BJ10" i="30" s="1"/>
  <c r="BI10" i="30" a="1"/>
  <c r="BI10" i="30"/>
  <c r="BH10" i="30" a="1"/>
  <c r="BH10" i="30" s="1"/>
  <c r="BG10" i="30" a="1"/>
  <c r="BG10" i="30"/>
  <c r="BF10" i="30" a="1"/>
  <c r="BF10" i="30" s="1"/>
  <c r="BE10" i="30" a="1"/>
  <c r="BE10" i="30"/>
  <c r="BD10" i="30" a="1"/>
  <c r="BD10" i="30" s="1"/>
  <c r="BC10" i="30" a="1"/>
  <c r="BC10" i="30"/>
  <c r="BB10" i="30" a="1"/>
  <c r="BB10" i="30" s="1"/>
  <c r="BA10" i="30" a="1"/>
  <c r="BA10" i="30"/>
  <c r="AZ10" i="30" a="1"/>
  <c r="AZ10" i="30" s="1"/>
  <c r="AY10" i="30" a="1"/>
  <c r="AY10" i="30"/>
  <c r="AX10" i="30" a="1"/>
  <c r="AX10" i="30" s="1"/>
  <c r="AW10" i="30" a="1"/>
  <c r="AW10" i="30"/>
  <c r="AV10" i="30" a="1"/>
  <c r="AV10" i="30" s="1"/>
  <c r="AU10" i="30" a="1"/>
  <c r="AU10" i="30"/>
  <c r="AT10" i="30" a="1"/>
  <c r="AT10" i="30" s="1"/>
  <c r="AS10" i="30" a="1"/>
  <c r="AS10" i="30" s="1"/>
  <c r="AR10" i="30" a="1"/>
  <c r="AR10" i="30" s="1"/>
  <c r="AQ10" i="30" a="1"/>
  <c r="AQ10" i="30" s="1"/>
  <c r="AP10" i="30" a="1"/>
  <c r="AP10" i="30" s="1"/>
  <c r="AO10" i="30" a="1"/>
  <c r="AO10" i="30" s="1"/>
  <c r="AN10" i="30" a="1"/>
  <c r="AN10" i="30" s="1"/>
  <c r="AM10" i="30" a="1"/>
  <c r="AM10" i="30" s="1"/>
  <c r="AL10" i="30" a="1"/>
  <c r="AL10" i="30" s="1"/>
  <c r="AK10" i="30" a="1"/>
  <c r="AK10" i="30" s="1"/>
  <c r="AJ10" i="30" a="1"/>
  <c r="AJ10" i="30" s="1"/>
  <c r="AI10" i="30" a="1"/>
  <c r="AI10" i="30" s="1"/>
  <c r="AH10" i="30" a="1"/>
  <c r="AH10" i="30" s="1"/>
  <c r="AG10" i="30" a="1"/>
  <c r="AG10" i="30" s="1"/>
  <c r="AF10" i="30" a="1"/>
  <c r="AF10" i="30" s="1"/>
  <c r="AE10" i="30" a="1"/>
  <c r="AE10" i="30" s="1"/>
  <c r="BM9" i="30" a="1"/>
  <c r="BM9" i="30" s="1"/>
  <c r="BK9" i="30" a="1"/>
  <c r="BK9" i="30" s="1"/>
  <c r="BI9" i="30" a="1"/>
  <c r="BI9" i="30" s="1"/>
  <c r="BG9" i="30" a="1"/>
  <c r="BG9" i="30" s="1"/>
  <c r="BE9" i="30" a="1"/>
  <c r="BE9" i="30" s="1"/>
  <c r="BA9" i="30" a="1"/>
  <c r="BA9" i="30" s="1"/>
  <c r="AY9" i="30" a="1"/>
  <c r="AY9" i="30" s="1"/>
  <c r="AW9" i="30" a="1"/>
  <c r="AW9" i="30" s="1"/>
  <c r="AS9" i="30" a="1"/>
  <c r="AS9" i="30" s="1"/>
  <c r="AQ9" i="30" a="1"/>
  <c r="AQ9" i="30" s="1"/>
  <c r="AO9" i="30" a="1"/>
  <c r="AO9" i="30" s="1"/>
  <c r="AM9" i="30" a="1"/>
  <c r="AM9" i="30" s="1"/>
  <c r="AK9" i="30" a="1"/>
  <c r="AK9" i="30" s="1"/>
  <c r="AI9" i="30" a="1"/>
  <c r="AI9" i="30" s="1"/>
  <c r="AE9" i="30" a="1"/>
  <c r="AE9" i="30" s="1"/>
  <c r="AW8" i="30"/>
  <c r="AG8" i="30"/>
  <c r="BC7" i="30" a="1"/>
  <c r="BC7" i="30"/>
  <c r="BB7" i="30" a="1"/>
  <c r="BB7" i="30"/>
  <c r="BA7" i="30" a="1"/>
  <c r="BA7" i="30"/>
  <c r="BA8" i="30" s="1"/>
  <c r="AZ7" i="30" a="1"/>
  <c r="AZ7" i="30"/>
  <c r="AY7" i="30" a="1"/>
  <c r="AY7" i="30"/>
  <c r="AX7" i="30" a="1"/>
  <c r="AX7" i="30"/>
  <c r="AW7" i="30" a="1"/>
  <c r="AW7" i="30"/>
  <c r="AV7" i="30" a="1"/>
  <c r="AV7" i="30"/>
  <c r="AU7" i="30" a="1"/>
  <c r="AU7" i="30"/>
  <c r="AT7" i="30" a="1"/>
  <c r="AT7" i="30"/>
  <c r="AS7" i="30" a="1"/>
  <c r="AS7" i="30"/>
  <c r="AS8" i="30" s="1"/>
  <c r="AR7" i="30" a="1"/>
  <c r="AR7" i="30"/>
  <c r="AQ7" i="30" a="1"/>
  <c r="AQ7" i="30"/>
  <c r="AQ8" i="30" s="1"/>
  <c r="AP7" i="30" a="1"/>
  <c r="AP7" i="30"/>
  <c r="AO7" i="30" a="1"/>
  <c r="AO7" i="30"/>
  <c r="AO8" i="30" s="1"/>
  <c r="AN7" i="30" a="1"/>
  <c r="AN7" i="30"/>
  <c r="AM7" i="30" a="1"/>
  <c r="AM7" i="30"/>
  <c r="AM8" i="30" s="1"/>
  <c r="AL7" i="30" a="1"/>
  <c r="AL7" i="30"/>
  <c r="AK7" i="30" a="1"/>
  <c r="AK7" i="30"/>
  <c r="AK8" i="30" s="1"/>
  <c r="AJ7" i="30" a="1"/>
  <c r="AJ7" i="30"/>
  <c r="AI7" i="30" a="1"/>
  <c r="AI7" i="30"/>
  <c r="AH7" i="30" a="1"/>
  <c r="AH7" i="30"/>
  <c r="AG7" i="30" a="1"/>
  <c r="AG7" i="30"/>
  <c r="AF7" i="30" a="1"/>
  <c r="AF7" i="30"/>
  <c r="AE7" i="30" a="1"/>
  <c r="AE7" i="30"/>
  <c r="BM6" i="30"/>
  <c r="BL6" i="30"/>
  <c r="BL9" i="30" s="1" a="1"/>
  <c r="BL9" i="30" s="1"/>
  <c r="BK6" i="30"/>
  <c r="BJ6" i="30"/>
  <c r="BI6" i="30"/>
  <c r="BH6" i="30"/>
  <c r="BH9" i="30" s="1" a="1"/>
  <c r="BH9" i="30" s="1"/>
  <c r="BG6" i="30"/>
  <c r="BF6" i="30"/>
  <c r="BE6" i="30"/>
  <c r="BD6" i="30" a="1"/>
  <c r="BD6" i="30"/>
  <c r="BD9" i="30" s="1" a="1"/>
  <c r="BD9" i="30" s="1"/>
  <c r="BC6" i="30"/>
  <c r="BB6" i="30"/>
  <c r="BB9" i="30" s="1" a="1"/>
  <c r="BB9" i="30" s="1"/>
  <c r="BA6" i="30"/>
  <c r="AZ6" i="30"/>
  <c r="AZ8" i="30" s="1"/>
  <c r="AY6" i="30"/>
  <c r="AX6" i="30"/>
  <c r="AX9" i="30" s="1" a="1"/>
  <c r="AX9" i="30" s="1"/>
  <c r="AW6" i="30"/>
  <c r="AV6" i="30"/>
  <c r="AV8" i="30" s="1"/>
  <c r="AU6" i="30"/>
  <c r="AT6" i="30" a="1"/>
  <c r="AT6" i="30"/>
  <c r="AT9" i="30" s="1" a="1"/>
  <c r="AT9" i="30" s="1"/>
  <c r="AS6" i="30"/>
  <c r="AR6" i="30"/>
  <c r="AQ6" i="30"/>
  <c r="AP6" i="30"/>
  <c r="AP9" i="30" s="1" a="1"/>
  <c r="AP9" i="30" s="1"/>
  <c r="AO6" i="30"/>
  <c r="AN6" i="30"/>
  <c r="AM6" i="30"/>
  <c r="AL6" i="30"/>
  <c r="AL9" i="30" s="1" a="1"/>
  <c r="AL9" i="30" s="1"/>
  <c r="AK6" i="30"/>
  <c r="AJ6" i="30" a="1"/>
  <c r="AJ6" i="30" s="1"/>
  <c r="AI6" i="30"/>
  <c r="AH6" i="30"/>
  <c r="AH9" i="30" s="1" a="1"/>
  <c r="AH9" i="30" s="1"/>
  <c r="AG6" i="30"/>
  <c r="AG9" i="30" s="1" a="1"/>
  <c r="AG9" i="30" s="1"/>
  <c r="AF6" i="30"/>
  <c r="AF8" i="30" s="1"/>
  <c r="AE6" i="30"/>
  <c r="T462" i="29"/>
  <c r="AH458" i="29"/>
  <c r="AH457" i="29"/>
  <c r="AH456" i="29"/>
  <c r="AH455" i="29"/>
  <c r="AT447" i="29"/>
  <c r="AS447" i="29"/>
  <c r="AR447" i="29"/>
  <c r="AQ447" i="29"/>
  <c r="AP447" i="29"/>
  <c r="AO447" i="29"/>
  <c r="AN447" i="29"/>
  <c r="AM447" i="29"/>
  <c r="AL447" i="29"/>
  <c r="AK447" i="29"/>
  <c r="AJ447" i="29"/>
  <c r="AI447" i="29"/>
  <c r="AG447" i="29"/>
  <c r="AF447" i="29"/>
  <c r="AE447" i="29"/>
  <c r="AH444" i="29"/>
  <c r="AH441" i="29"/>
  <c r="B441" i="29"/>
  <c r="AH440" i="29"/>
  <c r="B440" i="29"/>
  <c r="AH436" i="29"/>
  <c r="AH435" i="29"/>
  <c r="AH434" i="29"/>
  <c r="AH433" i="29"/>
  <c r="AH432" i="29"/>
  <c r="BK431" i="29"/>
  <c r="BG431" i="29"/>
  <c r="BC431" i="29"/>
  <c r="BB431" i="29"/>
  <c r="BM431" i="29" s="1"/>
  <c r="BA431" i="29"/>
  <c r="BL431" i="29" s="1"/>
  <c r="AZ431" i="29"/>
  <c r="AY431" i="29"/>
  <c r="BJ431" i="29" s="1"/>
  <c r="AX431" i="29"/>
  <c r="BI431" i="29" s="1"/>
  <c r="AW431" i="29"/>
  <c r="BH431" i="29" s="1"/>
  <c r="AV431" i="29"/>
  <c r="AU431" i="29"/>
  <c r="BF431" i="29" s="1"/>
  <c r="AS431" i="29"/>
  <c r="AR431" i="29"/>
  <c r="AQ431" i="29"/>
  <c r="AP431" i="29"/>
  <c r="AO431" i="29"/>
  <c r="AN431" i="29"/>
  <c r="AM431" i="29"/>
  <c r="AL431" i="29"/>
  <c r="AK431" i="29"/>
  <c r="AI431" i="29"/>
  <c r="BD431" i="29" s="1"/>
  <c r="AH431" i="29"/>
  <c r="AG431" i="29"/>
  <c r="AF431" i="29"/>
  <c r="AE431" i="29"/>
  <c r="AH430" i="29"/>
  <c r="AH429" i="29"/>
  <c r="AH428" i="29"/>
  <c r="AH427" i="29"/>
  <c r="AH426" i="29"/>
  <c r="AH425" i="29"/>
  <c r="BM423" i="29"/>
  <c r="BL423" i="29"/>
  <c r="BK423" i="29"/>
  <c r="BJ423" i="29"/>
  <c r="BI423" i="29"/>
  <c r="BH423" i="29"/>
  <c r="BG423" i="29"/>
  <c r="BF423" i="29"/>
  <c r="BD423" i="29"/>
  <c r="AH423" i="29"/>
  <c r="B418" i="29"/>
  <c r="B419" i="29" s="1" a="1"/>
  <c r="B419" i="29" s="1"/>
  <c r="B420" i="29" s="1" a="1"/>
  <c r="B420" i="29" s="1"/>
  <c r="B421" i="29" s="1" a="1"/>
  <c r="B421" i="29" s="1"/>
  <c r="B422" i="29" s="1" a="1"/>
  <c r="B422" i="29" s="1"/>
  <c r="D423" i="29" s="1"/>
  <c r="AB423" i="29" s="1" a="1"/>
  <c r="AB423" i="29" s="1"/>
  <c r="BM414" i="29"/>
  <c r="BL414" i="29"/>
  <c r="BK414" i="29"/>
  <c r="BJ414" i="29"/>
  <c r="BI414" i="29"/>
  <c r="BH414" i="29"/>
  <c r="BG414" i="29"/>
  <c r="BF414" i="29"/>
  <c r="BE414" i="29"/>
  <c r="BD414" i="29"/>
  <c r="AH414" i="29"/>
  <c r="BM411" i="29"/>
  <c r="BL411" i="29"/>
  <c r="BK411" i="29"/>
  <c r="BJ411" i="29"/>
  <c r="BI411" i="29"/>
  <c r="BH411" i="29"/>
  <c r="BG411" i="29"/>
  <c r="BF411" i="29"/>
  <c r="BE411" i="29"/>
  <c r="BD411" i="29"/>
  <c r="AH411" i="29"/>
  <c r="B411" i="29"/>
  <c r="B412" i="29" s="1" a="1"/>
  <c r="B412" i="29" s="1"/>
  <c r="B413" i="29" s="1" a="1"/>
  <c r="B413" i="29" s="1"/>
  <c r="B414" i="29" s="1" a="1"/>
  <c r="B414" i="29" s="1"/>
  <c r="B415" i="29" s="1" a="1"/>
  <c r="B415" i="29" s="1"/>
  <c r="B416" i="29" s="1" a="1"/>
  <c r="B416" i="29" s="1"/>
  <c r="B417" i="29" s="1" a="1"/>
  <c r="B417" i="29" s="1"/>
  <c r="B418" i="29" s="1" a="1"/>
  <c r="BM410" i="29"/>
  <c r="BL410" i="29"/>
  <c r="BK410" i="29"/>
  <c r="BJ410" i="29"/>
  <c r="BI410" i="29"/>
  <c r="BH410" i="29"/>
  <c r="BG410" i="29"/>
  <c r="BF410" i="29"/>
  <c r="BE410" i="29"/>
  <c r="BD410" i="29"/>
  <c r="AH410" i="29"/>
  <c r="B410" i="29"/>
  <c r="BM409" i="29"/>
  <c r="BL409" i="29"/>
  <c r="BK409" i="29"/>
  <c r="BJ409" i="29"/>
  <c r="BI409" i="29"/>
  <c r="BH409" i="29"/>
  <c r="BG409" i="29"/>
  <c r="BF409" i="29"/>
  <c r="BE409" i="29"/>
  <c r="BD409" i="29"/>
  <c r="AH409" i="29"/>
  <c r="B403" i="29"/>
  <c r="B404" i="29" s="1" a="1"/>
  <c r="B404" i="29" s="1"/>
  <c r="B405" i="29" s="1" a="1"/>
  <c r="B405" i="29" s="1"/>
  <c r="B406" i="29" s="1" a="1"/>
  <c r="B406" i="29" s="1"/>
  <c r="B407" i="29" s="1" a="1"/>
  <c r="B407" i="29" s="1"/>
  <c r="B408" i="29" s="1" a="1"/>
  <c r="B408" i="29" s="1"/>
  <c r="B409" i="29" s="1" a="1"/>
  <c r="B409" i="29" s="1"/>
  <c r="BM401" i="29"/>
  <c r="BL401" i="29"/>
  <c r="BK401" i="29"/>
  <c r="BJ401" i="29"/>
  <c r="BI401" i="29"/>
  <c r="BH401" i="29"/>
  <c r="BG401" i="29"/>
  <c r="BF401" i="29"/>
  <c r="BE401" i="29"/>
  <c r="BD401" i="29"/>
  <c r="AH401" i="29"/>
  <c r="BM400" i="29"/>
  <c r="BL400" i="29"/>
  <c r="BK400" i="29"/>
  <c r="BJ400" i="29"/>
  <c r="BI400" i="29"/>
  <c r="BH400" i="29"/>
  <c r="BG400" i="29"/>
  <c r="BF400" i="29"/>
  <c r="BE400" i="29"/>
  <c r="BD400" i="29"/>
  <c r="AH400" i="29"/>
  <c r="BM399" i="29"/>
  <c r="BL399" i="29"/>
  <c r="BK399" i="29"/>
  <c r="BJ399" i="29"/>
  <c r="BI399" i="29"/>
  <c r="BH399" i="29"/>
  <c r="BG399" i="29"/>
  <c r="BF399" i="29"/>
  <c r="BE399" i="29"/>
  <c r="BD399" i="29"/>
  <c r="AH399" i="29"/>
  <c r="BK398" i="29"/>
  <c r="BJ398" i="29"/>
  <c r="BG398" i="29"/>
  <c r="BF398" i="29"/>
  <c r="BC398" i="29"/>
  <c r="BB398" i="29"/>
  <c r="BM398" i="29" s="1"/>
  <c r="BA398" i="29"/>
  <c r="BL398" i="29" s="1"/>
  <c r="AZ398" i="29"/>
  <c r="AY398" i="29"/>
  <c r="AX398" i="29"/>
  <c r="BI398" i="29" s="1"/>
  <c r="AW398" i="29"/>
  <c r="BH398" i="29" s="1"/>
  <c r="AV398" i="29"/>
  <c r="AU398" i="29"/>
  <c r="AT398" i="29"/>
  <c r="BE398" i="29" s="1"/>
  <c r="AS398" i="29"/>
  <c r="AR398" i="29"/>
  <c r="AQ398" i="29"/>
  <c r="AP398" i="29"/>
  <c r="AO398" i="29"/>
  <c r="AN398" i="29"/>
  <c r="AM398" i="29"/>
  <c r="AL398" i="29"/>
  <c r="AK398" i="29"/>
  <c r="AJ398" i="29"/>
  <c r="AI398" i="29"/>
  <c r="BD398" i="29" s="1"/>
  <c r="AH398" i="29"/>
  <c r="AG398" i="29"/>
  <c r="AF398" i="29"/>
  <c r="AE398" i="29"/>
  <c r="BM397" i="29"/>
  <c r="BL397" i="29"/>
  <c r="BK397" i="29"/>
  <c r="BJ397" i="29"/>
  <c r="BI397" i="29"/>
  <c r="BH397" i="29"/>
  <c r="BG397" i="29"/>
  <c r="BF397" i="29"/>
  <c r="BE397" i="29"/>
  <c r="BD397" i="29"/>
  <c r="AH397" i="29"/>
  <c r="BM396" i="29"/>
  <c r="BL396" i="29"/>
  <c r="BK396" i="29"/>
  <c r="BJ396" i="29"/>
  <c r="BI396" i="29"/>
  <c r="BH396" i="29"/>
  <c r="BG396" i="29"/>
  <c r="BF396" i="29"/>
  <c r="BE396" i="29"/>
  <c r="BD396" i="29"/>
  <c r="AH396" i="29"/>
  <c r="BD395" i="29"/>
  <c r="AH395" i="29"/>
  <c r="BM394" i="29"/>
  <c r="BL394" i="29"/>
  <c r="BK394" i="29"/>
  <c r="BJ394" i="29"/>
  <c r="BI394" i="29"/>
  <c r="BH394" i="29"/>
  <c r="BG394" i="29"/>
  <c r="BF394" i="29"/>
  <c r="B394" i="29"/>
  <c r="BC393" i="29" a="1"/>
  <c r="BC393" i="29"/>
  <c r="BB393" i="29" a="1"/>
  <c r="BB393" i="29" s="1"/>
  <c r="BM393" i="29" s="1"/>
  <c r="BA393" i="29" a="1"/>
  <c r="BA393" i="29"/>
  <c r="BL393" i="29" s="1"/>
  <c r="AZ393" i="29" a="1"/>
  <c r="AZ393" i="29" s="1"/>
  <c r="BK393" i="29" s="1"/>
  <c r="AY393" i="29" a="1"/>
  <c r="AY393" i="29"/>
  <c r="BJ393" i="29" s="1"/>
  <c r="AX393" i="29" a="1"/>
  <c r="AX393" i="29" s="1"/>
  <c r="BI393" i="29" s="1"/>
  <c r="AW393" i="29" a="1"/>
  <c r="AW393" i="29"/>
  <c r="BH393" i="29" s="1"/>
  <c r="AV393" i="29" a="1"/>
  <c r="AV393" i="29" s="1"/>
  <c r="BG393" i="29" s="1"/>
  <c r="AU393" i="29" a="1"/>
  <c r="AU393" i="29"/>
  <c r="BF393" i="29" s="1"/>
  <c r="AS393" i="29" a="1"/>
  <c r="AS393" i="29"/>
  <c r="AR393" i="29" a="1"/>
  <c r="AR393" i="29" s="1"/>
  <c r="AQ393" i="29" a="1"/>
  <c r="AQ393" i="29" s="1"/>
  <c r="AP393" i="29" a="1"/>
  <c r="AP393" i="29" s="1"/>
  <c r="AO393" i="29" a="1"/>
  <c r="AO393" i="29" s="1"/>
  <c r="AN393" i="29" a="1"/>
  <c r="AN393" i="29" s="1"/>
  <c r="AM393" i="29" a="1"/>
  <c r="AM393" i="29" s="1"/>
  <c r="AL393" i="29" a="1"/>
  <c r="AL393" i="29" s="1"/>
  <c r="AK393" i="29" a="1"/>
  <c r="AK393" i="29" s="1"/>
  <c r="B393" i="29"/>
  <c r="BM391" i="29"/>
  <c r="BL391" i="29"/>
  <c r="BK391" i="29"/>
  <c r="BJ391" i="29"/>
  <c r="BI391" i="29"/>
  <c r="BH391" i="29"/>
  <c r="BG391" i="29"/>
  <c r="BF391" i="29"/>
  <c r="BE391" i="29"/>
  <c r="BD391" i="29"/>
  <c r="AH391" i="29"/>
  <c r="BM374" i="29"/>
  <c r="BL374" i="29"/>
  <c r="BK374" i="29"/>
  <c r="BJ374" i="29"/>
  <c r="BI374" i="29"/>
  <c r="BH374" i="29"/>
  <c r="BG374" i="29"/>
  <c r="BF374" i="29"/>
  <c r="BE374" i="29"/>
  <c r="BD374" i="29"/>
  <c r="AH374" i="29"/>
  <c r="BM373" i="29"/>
  <c r="BL373" i="29"/>
  <c r="BK373" i="29"/>
  <c r="BJ373" i="29"/>
  <c r="BI373" i="29"/>
  <c r="BH373" i="29"/>
  <c r="BG373" i="29"/>
  <c r="BF373" i="29"/>
  <c r="BE373" i="29"/>
  <c r="BD373" i="29"/>
  <c r="AH373" i="29"/>
  <c r="BU364" i="29" a="1"/>
  <c r="BU364" i="29" s="1"/>
  <c r="BD364" i="29"/>
  <c r="AH364" i="29"/>
  <c r="AB364" i="29"/>
  <c r="J364" i="29" a="1"/>
  <c r="J364" i="29" s="1"/>
  <c r="B364" i="29"/>
  <c r="B365" i="29" s="1" a="1"/>
  <c r="B365" i="29" s="1"/>
  <c r="AT363" i="29"/>
  <c r="AJ363" i="29"/>
  <c r="AI363" i="29"/>
  <c r="BD363" i="29" s="1"/>
  <c r="AG363" i="29"/>
  <c r="AH363" i="29" s="1"/>
  <c r="AF363" i="29"/>
  <c r="AE363" i="29"/>
  <c r="BD362" i="29"/>
  <c r="AH362" i="29"/>
  <c r="B361" i="29"/>
  <c r="BD337" i="29"/>
  <c r="AH337" i="29"/>
  <c r="BD336" i="29"/>
  <c r="AH336" i="29"/>
  <c r="BD334" i="29"/>
  <c r="AH334" i="29"/>
  <c r="BD333" i="29"/>
  <c r="AH333" i="29"/>
  <c r="BD332" i="29"/>
  <c r="AH332" i="29"/>
  <c r="BD331" i="29"/>
  <c r="AH331" i="29"/>
  <c r="BD330" i="29"/>
  <c r="AH330" i="29"/>
  <c r="BD329" i="29"/>
  <c r="AH329" i="29"/>
  <c r="BD328" i="29"/>
  <c r="AH328" i="29"/>
  <c r="BD327" i="29"/>
  <c r="AT327" i="29"/>
  <c r="AJ327" i="29"/>
  <c r="AI327" i="29"/>
  <c r="AG327" i="29"/>
  <c r="AH327" i="29" s="1"/>
  <c r="AF327" i="29"/>
  <c r="AE327" i="29"/>
  <c r="BD326" i="29"/>
  <c r="AH326" i="29"/>
  <c r="BD322" i="29"/>
  <c r="AH322" i="29"/>
  <c r="BD321" i="29"/>
  <c r="AH321" i="29"/>
  <c r="BD320" i="29"/>
  <c r="AH320" i="29"/>
  <c r="AT319" i="29"/>
  <c r="AJ319" i="29"/>
  <c r="AI319" i="29"/>
  <c r="AG319" i="29"/>
  <c r="AF319" i="29"/>
  <c r="AH319" i="29" s="1"/>
  <c r="AE319" i="29"/>
  <c r="BD317" i="29"/>
  <c r="AH317" i="29"/>
  <c r="T315" i="29"/>
  <c r="T316" i="29" s="1" a="1"/>
  <c r="T316" i="29" s="1"/>
  <c r="T317" i="29" s="1" a="1"/>
  <c r="T317" i="29" s="1"/>
  <c r="T318" i="29" s="1" a="1"/>
  <c r="T318" i="29" s="1"/>
  <c r="T319" i="29" s="1" a="1"/>
  <c r="T319" i="29" s="1"/>
  <c r="T320" i="29" s="1" a="1"/>
  <c r="T320" i="29" s="1"/>
  <c r="T321" i="29" s="1" a="1"/>
  <c r="T321" i="29" s="1"/>
  <c r="T322" i="29" s="1" a="1"/>
  <c r="T322" i="29" s="1"/>
  <c r="T323" i="29" s="1" a="1"/>
  <c r="T323" i="29" s="1"/>
  <c r="T324" i="29" s="1" a="1"/>
  <c r="T324" i="29" s="1"/>
  <c r="T325" i="29" s="1" a="1"/>
  <c r="T325" i="29" s="1"/>
  <c r="T326" i="29" s="1" a="1"/>
  <c r="T326" i="29" s="1"/>
  <c r="T327" i="29" s="1" a="1"/>
  <c r="T327" i="29" s="1"/>
  <c r="T328" i="29" s="1" a="1"/>
  <c r="T328" i="29" s="1"/>
  <c r="T329" i="29" s="1" a="1"/>
  <c r="T329" i="29" s="1"/>
  <c r="T330" i="29" s="1" a="1"/>
  <c r="T330" i="29" s="1"/>
  <c r="T331" i="29" s="1" a="1"/>
  <c r="T331" i="29" s="1"/>
  <c r="T332" i="29" s="1" a="1"/>
  <c r="T332" i="29" s="1"/>
  <c r="T333" i="29" s="1" a="1"/>
  <c r="T333" i="29" s="1"/>
  <c r="T334" i="29" s="1" a="1"/>
  <c r="T334" i="29" s="1"/>
  <c r="T335" i="29" s="1" a="1"/>
  <c r="T335" i="29" s="1"/>
  <c r="T336" i="29" s="1" a="1"/>
  <c r="T336" i="29" s="1"/>
  <c r="T337" i="29" s="1" a="1"/>
  <c r="T337" i="29" s="1"/>
  <c r="T338" i="29" s="1" a="1"/>
  <c r="T338" i="29" s="1"/>
  <c r="T339" i="29" s="1" a="1"/>
  <c r="T339" i="29" s="1"/>
  <c r="T340" i="29" s="1" a="1"/>
  <c r="T340" i="29" s="1"/>
  <c r="T341" i="29" s="1" a="1"/>
  <c r="T341" i="29" s="1"/>
  <c r="T342" i="29" s="1" a="1"/>
  <c r="T342" i="29" s="1"/>
  <c r="T343" i="29" s="1" a="1"/>
  <c r="T343" i="29" s="1"/>
  <c r="T344" i="29" s="1" a="1"/>
  <c r="T344" i="29" s="1"/>
  <c r="T345" i="29" s="1" a="1"/>
  <c r="T345" i="29" s="1"/>
  <c r="T346" i="29" s="1" a="1"/>
  <c r="T346" i="29" s="1"/>
  <c r="T347" i="29" s="1" a="1"/>
  <c r="T347" i="29" s="1"/>
  <c r="T348" i="29" s="1" a="1"/>
  <c r="T348" i="29" s="1"/>
  <c r="T349" i="29" s="1" a="1"/>
  <c r="T349" i="29" s="1"/>
  <c r="T350" i="29" s="1" a="1"/>
  <c r="T350" i="29" s="1"/>
  <c r="T351" i="29" s="1" a="1"/>
  <c r="T351" i="29" s="1"/>
  <c r="T352" i="29" s="1" a="1"/>
  <c r="T352" i="29" s="1"/>
  <c r="T353" i="29" s="1" a="1"/>
  <c r="T353" i="29" s="1"/>
  <c r="T354" i="29" s="1" a="1"/>
  <c r="T354" i="29" s="1"/>
  <c r="T355" i="29" s="1" a="1"/>
  <c r="T355" i="29" s="1"/>
  <c r="T356" i="29" s="1" a="1"/>
  <c r="T356" i="29" s="1"/>
  <c r="T357" i="29" s="1" a="1"/>
  <c r="T357" i="29" s="1"/>
  <c r="T358" i="29" s="1" a="1"/>
  <c r="T358" i="29" s="1"/>
  <c r="T359" i="29" s="1" a="1"/>
  <c r="T359" i="29" s="1"/>
  <c r="T360" i="29" s="1" a="1"/>
  <c r="T360" i="29" s="1"/>
  <c r="T361" i="29" s="1" a="1"/>
  <c r="T361" i="29" s="1"/>
  <c r="T362" i="29" s="1" a="1"/>
  <c r="T362" i="29" s="1"/>
  <c r="S315" i="29" a="1"/>
  <c r="S315" i="29" s="1"/>
  <c r="B428" i="29" s="1"/>
  <c r="B429" i="29" s="1" a="1"/>
  <c r="B429" i="29" s="1"/>
  <c r="F315" i="29" a="1"/>
  <c r="F315" i="29" s="1"/>
  <c r="F316" i="29" s="1" a="1"/>
  <c r="F316" i="29" s="1"/>
  <c r="F317" i="29" s="1" a="1"/>
  <c r="F317" i="29" s="1"/>
  <c r="F318" i="29" s="1" a="1"/>
  <c r="F318" i="29" s="1"/>
  <c r="F319" i="29" s="1" a="1"/>
  <c r="F319" i="29" s="1"/>
  <c r="F320" i="29" s="1" a="1"/>
  <c r="F320" i="29" s="1"/>
  <c r="F321" i="29" s="1" a="1"/>
  <c r="F321" i="29" s="1"/>
  <c r="F322" i="29" s="1" a="1"/>
  <c r="F322" i="29" s="1"/>
  <c r="F323" i="29" s="1" a="1"/>
  <c r="F323" i="29" s="1"/>
  <c r="F324" i="29" s="1" a="1"/>
  <c r="F324" i="29" s="1"/>
  <c r="AH314" i="29"/>
  <c r="AH313" i="29"/>
  <c r="AH312" i="29"/>
  <c r="AH311" i="29"/>
  <c r="BJ305" i="29"/>
  <c r="BI305" i="29"/>
  <c r="BH305" i="29"/>
  <c r="BG305" i="29"/>
  <c r="BF305" i="29"/>
  <c r="BE305" i="29"/>
  <c r="BD305" i="29"/>
  <c r="AZ303" i="29"/>
  <c r="AY303" i="29"/>
  <c r="AX303" i="29"/>
  <c r="AW303" i="29"/>
  <c r="AV303" i="29"/>
  <c r="AU303" i="29"/>
  <c r="AT303" i="29"/>
  <c r="AS303" i="29"/>
  <c r="AR303" i="29"/>
  <c r="AQ303" i="29"/>
  <c r="AP303" i="29"/>
  <c r="AO303" i="29"/>
  <c r="AN303" i="29"/>
  <c r="AM303" i="29"/>
  <c r="AL303" i="29"/>
  <c r="AK303" i="29"/>
  <c r="AJ303" i="29"/>
  <c r="AI303" i="29"/>
  <c r="AG303" i="29"/>
  <c r="AF303" i="29"/>
  <c r="AE303" i="29"/>
  <c r="BA300" i="29" a="1"/>
  <c r="BA300" i="29" s="1"/>
  <c r="AH300" i="29"/>
  <c r="AH297" i="29"/>
  <c r="B297" i="29"/>
  <c r="AH296" i="29"/>
  <c r="B296" i="29"/>
  <c r="AH292" i="29"/>
  <c r="AH291" i="29"/>
  <c r="AH290" i="29"/>
  <c r="AH289" i="29"/>
  <c r="AH288" i="29"/>
  <c r="BJ287" i="29"/>
  <c r="BF287" i="29"/>
  <c r="BC287" i="29"/>
  <c r="BB287" i="29"/>
  <c r="BM287" i="29" s="1"/>
  <c r="BA287" i="29"/>
  <c r="BL287" i="29" s="1"/>
  <c r="AZ287" i="29"/>
  <c r="BK287" i="29" s="1"/>
  <c r="AY287" i="29"/>
  <c r="AX287" i="29"/>
  <c r="BI287" i="29" s="1"/>
  <c r="AW287" i="29"/>
  <c r="BH287" i="29" s="1"/>
  <c r="AV287" i="29"/>
  <c r="BG287" i="29" s="1"/>
  <c r="AU287" i="29"/>
  <c r="AS287" i="29"/>
  <c r="AR287" i="29"/>
  <c r="AQ287" i="29"/>
  <c r="AP287" i="29"/>
  <c r="AO287" i="29"/>
  <c r="AN287" i="29"/>
  <c r="AM287" i="29"/>
  <c r="AL287" i="29"/>
  <c r="AK287" i="29"/>
  <c r="AI287" i="29"/>
  <c r="BD287" i="29" s="1"/>
  <c r="AH287" i="29"/>
  <c r="AG287" i="29"/>
  <c r="AF287" i="29"/>
  <c r="AE287" i="29"/>
  <c r="AH286" i="29"/>
  <c r="AH285" i="29"/>
  <c r="AH284" i="29"/>
  <c r="AH283" i="29"/>
  <c r="AH282" i="29"/>
  <c r="AH281" i="29"/>
  <c r="BM279" i="29"/>
  <c r="BL279" i="29"/>
  <c r="BK279" i="29"/>
  <c r="BJ279" i="29"/>
  <c r="BI279" i="29"/>
  <c r="BH279" i="29"/>
  <c r="BG279" i="29"/>
  <c r="BF279" i="29"/>
  <c r="BD279" i="29"/>
  <c r="AH279" i="29"/>
  <c r="BM270" i="29"/>
  <c r="BL270" i="29"/>
  <c r="BK270" i="29"/>
  <c r="BJ270" i="29"/>
  <c r="BI270" i="29"/>
  <c r="BH270" i="29"/>
  <c r="BG270" i="29"/>
  <c r="BF270" i="29"/>
  <c r="BE270" i="29"/>
  <c r="BD270" i="29"/>
  <c r="AH270" i="29"/>
  <c r="B269" i="29"/>
  <c r="B270" i="29" s="1" a="1"/>
  <c r="B270" i="29" s="1"/>
  <c r="B271" i="29" s="1" a="1"/>
  <c r="B271" i="29" s="1"/>
  <c r="B272" i="29" s="1" a="1"/>
  <c r="B272" i="29" s="1"/>
  <c r="B273" i="29" s="1" a="1"/>
  <c r="B273" i="29" s="1"/>
  <c r="B274" i="29" s="1" a="1"/>
  <c r="B274" i="29" s="1"/>
  <c r="B275" i="29" s="1" a="1"/>
  <c r="B275" i="29" s="1"/>
  <c r="B276" i="29" s="1" a="1"/>
  <c r="B276" i="29" s="1"/>
  <c r="B277" i="29" s="1" a="1"/>
  <c r="B277" i="29" s="1"/>
  <c r="B278" i="29" s="1" a="1"/>
  <c r="B278" i="29" s="1"/>
  <c r="D279" i="29" s="1"/>
  <c r="BM267" i="29"/>
  <c r="BL267" i="29"/>
  <c r="BK267" i="29"/>
  <c r="BJ267" i="29"/>
  <c r="BI267" i="29"/>
  <c r="BH267" i="29"/>
  <c r="BG267" i="29"/>
  <c r="BF267" i="29"/>
  <c r="BE267" i="29"/>
  <c r="BD267" i="29"/>
  <c r="AH267" i="29"/>
  <c r="B267" i="29"/>
  <c r="B268" i="29" s="1" a="1"/>
  <c r="B268" i="29" s="1"/>
  <c r="B269" i="29" s="1" a="1"/>
  <c r="BM266" i="29"/>
  <c r="BL266" i="29"/>
  <c r="BK266" i="29"/>
  <c r="BJ266" i="29"/>
  <c r="BI266" i="29"/>
  <c r="BH266" i="29"/>
  <c r="BG266" i="29"/>
  <c r="BF266" i="29"/>
  <c r="BE266" i="29"/>
  <c r="BD266" i="29"/>
  <c r="AH266" i="29"/>
  <c r="B266" i="29"/>
  <c r="BM265" i="29"/>
  <c r="BL265" i="29"/>
  <c r="BK265" i="29"/>
  <c r="BJ265" i="29"/>
  <c r="BI265" i="29"/>
  <c r="BH265" i="29"/>
  <c r="BG265" i="29"/>
  <c r="BF265" i="29"/>
  <c r="BE265" i="29"/>
  <c r="BD265" i="29"/>
  <c r="AH265" i="29"/>
  <c r="BJ260" i="29"/>
  <c r="BI260" i="29"/>
  <c r="BH260" i="29"/>
  <c r="BG260" i="29"/>
  <c r="BF260" i="29"/>
  <c r="BE260" i="29"/>
  <c r="BD260" i="29"/>
  <c r="B259" i="29"/>
  <c r="B260" i="29" s="1" a="1"/>
  <c r="B260" i="29" s="1"/>
  <c r="B261" i="29" s="1" a="1"/>
  <c r="B261" i="29" s="1"/>
  <c r="B262" i="29" s="1" a="1"/>
  <c r="B262" i="29" s="1"/>
  <c r="B263" i="29" s="1" a="1"/>
  <c r="B263" i="29" s="1"/>
  <c r="B264" i="29" s="1" a="1"/>
  <c r="B264" i="29" s="1"/>
  <c r="B265" i="29" s="1" a="1"/>
  <c r="B265" i="29" s="1"/>
  <c r="BM257" i="29"/>
  <c r="BL257" i="29"/>
  <c r="BK257" i="29"/>
  <c r="BJ257" i="29"/>
  <c r="BI257" i="29"/>
  <c r="BH257" i="29"/>
  <c r="BG257" i="29"/>
  <c r="BF257" i="29"/>
  <c r="BE257" i="29"/>
  <c r="BD257" i="29"/>
  <c r="AH257" i="29"/>
  <c r="BM256" i="29"/>
  <c r="BL256" i="29"/>
  <c r="BK256" i="29"/>
  <c r="BJ256" i="29"/>
  <c r="BI256" i="29"/>
  <c r="BH256" i="29"/>
  <c r="BG256" i="29"/>
  <c r="BF256" i="29"/>
  <c r="BE256" i="29"/>
  <c r="BD256" i="29"/>
  <c r="AH256" i="29"/>
  <c r="BM255" i="29"/>
  <c r="BL255" i="29"/>
  <c r="BK255" i="29"/>
  <c r="BJ255" i="29"/>
  <c r="BI255" i="29"/>
  <c r="BH255" i="29"/>
  <c r="BG255" i="29"/>
  <c r="BF255" i="29"/>
  <c r="BE255" i="29"/>
  <c r="BD255" i="29"/>
  <c r="AH255" i="29"/>
  <c r="BK254" i="29"/>
  <c r="BG254" i="29"/>
  <c r="BC254" i="29"/>
  <c r="BB254" i="29"/>
  <c r="BM254" i="29" s="1"/>
  <c r="BA254" i="29"/>
  <c r="BL254" i="29" s="1"/>
  <c r="AZ254" i="29"/>
  <c r="AY254" i="29"/>
  <c r="BJ254" i="29" s="1"/>
  <c r="AX254" i="29"/>
  <c r="BI254" i="29" s="1"/>
  <c r="AW254" i="29"/>
  <c r="BH254" i="29" s="1"/>
  <c r="AV254" i="29"/>
  <c r="AU254" i="29"/>
  <c r="BF254" i="29" s="1"/>
  <c r="AT254" i="29"/>
  <c r="BE254" i="29" s="1"/>
  <c r="AS254" i="29"/>
  <c r="AR254" i="29"/>
  <c r="AQ254" i="29"/>
  <c r="AP254" i="29"/>
  <c r="AO254" i="29"/>
  <c r="AN254" i="29"/>
  <c r="AM254" i="29"/>
  <c r="AL254" i="29"/>
  <c r="AK254" i="29"/>
  <c r="AJ254" i="29"/>
  <c r="AI254" i="29"/>
  <c r="BD254" i="29" s="1"/>
  <c r="AG254" i="29"/>
  <c r="AH254" i="29" s="1"/>
  <c r="AF254" i="29"/>
  <c r="AE254" i="29"/>
  <c r="BM253" i="29"/>
  <c r="BL253" i="29"/>
  <c r="BK253" i="29"/>
  <c r="BJ253" i="29"/>
  <c r="BI253" i="29"/>
  <c r="BH253" i="29"/>
  <c r="BG253" i="29"/>
  <c r="BF253" i="29"/>
  <c r="BE253" i="29"/>
  <c r="BD253" i="29"/>
  <c r="AH253" i="29"/>
  <c r="BM252" i="29"/>
  <c r="BL252" i="29"/>
  <c r="BK252" i="29"/>
  <c r="BJ252" i="29"/>
  <c r="BI252" i="29"/>
  <c r="BH252" i="29"/>
  <c r="BG252" i="29"/>
  <c r="BF252" i="29"/>
  <c r="BE252" i="29"/>
  <c r="BD252" i="29"/>
  <c r="AH252" i="29"/>
  <c r="BD251" i="29"/>
  <c r="AH251" i="29"/>
  <c r="BM250" i="29"/>
  <c r="BL250" i="29"/>
  <c r="BK250" i="29"/>
  <c r="BJ250" i="29"/>
  <c r="BI250" i="29"/>
  <c r="BH250" i="29"/>
  <c r="BG250" i="29"/>
  <c r="BF250" i="29"/>
  <c r="B250" i="29"/>
  <c r="BJ249" i="29"/>
  <c r="BF249" i="29"/>
  <c r="BC249" i="29" a="1"/>
  <c r="BC249" i="29"/>
  <c r="BB249" i="29" a="1"/>
  <c r="BB249" i="29" s="1"/>
  <c r="BM249" i="29" s="1"/>
  <c r="BA249" i="29" a="1"/>
  <c r="BA249" i="29"/>
  <c r="BL249" i="29" s="1"/>
  <c r="AZ249" i="29" a="1"/>
  <c r="AZ249" i="29" s="1"/>
  <c r="BK249" i="29" s="1"/>
  <c r="AY249" i="29" a="1"/>
  <c r="AY249" i="29"/>
  <c r="AX249" i="29" a="1"/>
  <c r="AX249" i="29" s="1"/>
  <c r="BI249" i="29" s="1"/>
  <c r="AW249" i="29" a="1"/>
  <c r="AW249" i="29"/>
  <c r="BH249" i="29" s="1"/>
  <c r="AV249" i="29" a="1"/>
  <c r="AV249" i="29" s="1"/>
  <c r="BG249" i="29" s="1"/>
  <c r="AU249" i="29" a="1"/>
  <c r="AU249" i="29"/>
  <c r="AS249" i="29" a="1"/>
  <c r="AS249" i="29"/>
  <c r="AR249" i="29" a="1"/>
  <c r="AR249" i="29" s="1"/>
  <c r="AQ249" i="29" a="1"/>
  <c r="AQ249" i="29"/>
  <c r="AP249" i="29" a="1"/>
  <c r="AP249" i="29" s="1"/>
  <c r="AO249" i="29" a="1"/>
  <c r="AO249" i="29"/>
  <c r="AN249" i="29" a="1"/>
  <c r="AN249" i="29" s="1"/>
  <c r="AM249" i="29" a="1"/>
  <c r="AM249" i="29"/>
  <c r="AL249" i="29" a="1"/>
  <c r="AL249" i="29" s="1"/>
  <c r="AK249" i="29" a="1"/>
  <c r="AK249" i="29"/>
  <c r="B249" i="29"/>
  <c r="BM247" i="29"/>
  <c r="BL247" i="29"/>
  <c r="BK247" i="29"/>
  <c r="BJ247" i="29"/>
  <c r="BI247" i="29"/>
  <c r="BH247" i="29"/>
  <c r="BG247" i="29"/>
  <c r="BF247" i="29"/>
  <c r="BE247" i="29"/>
  <c r="BD247" i="29"/>
  <c r="AH247" i="29"/>
  <c r="BM230" i="29"/>
  <c r="BL230" i="29"/>
  <c r="BK230" i="29"/>
  <c r="BJ230" i="29"/>
  <c r="BI230" i="29"/>
  <c r="BH230" i="29"/>
  <c r="BG230" i="29"/>
  <c r="BF230" i="29"/>
  <c r="BE230" i="29"/>
  <c r="BD230" i="29"/>
  <c r="AH230" i="29"/>
  <c r="BM229" i="29"/>
  <c r="BL229" i="29"/>
  <c r="BK229" i="29"/>
  <c r="BJ229" i="29"/>
  <c r="BI229" i="29"/>
  <c r="BH229" i="29"/>
  <c r="BG229" i="29"/>
  <c r="BF229" i="29"/>
  <c r="BE229" i="29"/>
  <c r="BD229" i="29"/>
  <c r="AH229" i="29"/>
  <c r="BU220" i="29" a="1"/>
  <c r="BU220" i="29" s="1"/>
  <c r="BD220" i="29"/>
  <c r="AH220" i="29"/>
  <c r="AB220" i="29"/>
  <c r="J220" i="29" a="1"/>
  <c r="J220" i="29" s="1"/>
  <c r="B220" i="29"/>
  <c r="B221" i="29" s="1" a="1"/>
  <c r="B221" i="29" s="1"/>
  <c r="AT219" i="29"/>
  <c r="AJ219" i="29"/>
  <c r="AI219" i="29"/>
  <c r="BD219" i="29" s="1"/>
  <c r="AG219" i="29"/>
  <c r="AH219" i="29" s="1"/>
  <c r="AF219" i="29"/>
  <c r="AE219" i="29"/>
  <c r="BD218" i="29"/>
  <c r="AH218" i="29"/>
  <c r="B217" i="29"/>
  <c r="BD193" i="29"/>
  <c r="AH193" i="29"/>
  <c r="BD192" i="29"/>
  <c r="AH192" i="29"/>
  <c r="BD190" i="29"/>
  <c r="AH190" i="29"/>
  <c r="BD189" i="29"/>
  <c r="AH189" i="29"/>
  <c r="BD188" i="29"/>
  <c r="AH188" i="29"/>
  <c r="BD187" i="29"/>
  <c r="AH187" i="29"/>
  <c r="BD186" i="29"/>
  <c r="AH186" i="29"/>
  <c r="BD185" i="29"/>
  <c r="AH185" i="29"/>
  <c r="BD184" i="29"/>
  <c r="AH184" i="29"/>
  <c r="AT183" i="29"/>
  <c r="AJ183" i="29"/>
  <c r="AI183" i="29"/>
  <c r="BD183" i="29" s="1"/>
  <c r="AH183" i="29"/>
  <c r="AG183" i="29"/>
  <c r="AF183" i="29"/>
  <c r="AE183" i="29"/>
  <c r="BD182" i="29"/>
  <c r="AH182" i="29"/>
  <c r="BD178" i="29"/>
  <c r="AH178" i="29"/>
  <c r="BD177" i="29"/>
  <c r="AH177" i="29"/>
  <c r="BD176" i="29"/>
  <c r="AH176" i="29"/>
  <c r="BD175" i="29"/>
  <c r="AT175" i="29"/>
  <c r="AJ175" i="29"/>
  <c r="AI175" i="29"/>
  <c r="AG175" i="29"/>
  <c r="AH175" i="29" s="1"/>
  <c r="AF175" i="29"/>
  <c r="AE175" i="29"/>
  <c r="BD173" i="29"/>
  <c r="AH173" i="29"/>
  <c r="BJ172" i="29"/>
  <c r="BI172" i="29"/>
  <c r="BH172" i="29"/>
  <c r="BG172" i="29"/>
  <c r="BF172" i="29"/>
  <c r="T171" i="29"/>
  <c r="T172" i="29" s="1" a="1"/>
  <c r="T172" i="29" s="1"/>
  <c r="T173" i="29" s="1" a="1"/>
  <c r="T173" i="29" s="1"/>
  <c r="T174" i="29" s="1" a="1"/>
  <c r="T174" i="29" s="1"/>
  <c r="T175" i="29" s="1" a="1"/>
  <c r="T175" i="29" s="1"/>
  <c r="T176" i="29" s="1" a="1"/>
  <c r="T176" i="29" s="1"/>
  <c r="T177" i="29" s="1" a="1"/>
  <c r="T177" i="29" s="1"/>
  <c r="T178" i="29" s="1" a="1"/>
  <c r="T178" i="29" s="1"/>
  <c r="T179" i="29" s="1" a="1"/>
  <c r="T179" i="29" s="1"/>
  <c r="T180" i="29" s="1" a="1"/>
  <c r="T180" i="29" s="1"/>
  <c r="T181" i="29" s="1" a="1"/>
  <c r="T181" i="29" s="1"/>
  <c r="T182" i="29" s="1" a="1"/>
  <c r="T182" i="29" s="1"/>
  <c r="T183" i="29" s="1" a="1"/>
  <c r="T183" i="29" s="1"/>
  <c r="T184" i="29" s="1" a="1"/>
  <c r="T184" i="29" s="1"/>
  <c r="T185" i="29" s="1" a="1"/>
  <c r="T185" i="29" s="1"/>
  <c r="T186" i="29" s="1" a="1"/>
  <c r="T186" i="29" s="1"/>
  <c r="T187" i="29" s="1" a="1"/>
  <c r="T187" i="29" s="1"/>
  <c r="T188" i="29" s="1" a="1"/>
  <c r="T188" i="29" s="1"/>
  <c r="T189" i="29" s="1" a="1"/>
  <c r="T189" i="29" s="1"/>
  <c r="T190" i="29" s="1" a="1"/>
  <c r="T190" i="29" s="1"/>
  <c r="T191" i="29" s="1" a="1"/>
  <c r="T191" i="29" s="1"/>
  <c r="T192" i="29" s="1" a="1"/>
  <c r="T192" i="29" s="1"/>
  <c r="T193" i="29" s="1" a="1"/>
  <c r="T193" i="29" s="1"/>
  <c r="T194" i="29" s="1" a="1"/>
  <c r="T194" i="29" s="1"/>
  <c r="T195" i="29" s="1" a="1"/>
  <c r="T195" i="29" s="1"/>
  <c r="T196" i="29" s="1" a="1"/>
  <c r="T196" i="29" s="1"/>
  <c r="T197" i="29" s="1" a="1"/>
  <c r="T197" i="29" s="1"/>
  <c r="T198" i="29" s="1" a="1"/>
  <c r="T198" i="29" s="1"/>
  <c r="T199" i="29" s="1" a="1"/>
  <c r="T199" i="29" s="1"/>
  <c r="T200" i="29" s="1" a="1"/>
  <c r="T200" i="29" s="1"/>
  <c r="T201" i="29" s="1" a="1"/>
  <c r="T201" i="29" s="1"/>
  <c r="T202" i="29" s="1" a="1"/>
  <c r="T202" i="29" s="1"/>
  <c r="T203" i="29" s="1" a="1"/>
  <c r="T203" i="29" s="1"/>
  <c r="T204" i="29" s="1" a="1"/>
  <c r="T204" i="29" s="1"/>
  <c r="T205" i="29" s="1" a="1"/>
  <c r="T205" i="29" s="1"/>
  <c r="T206" i="29" s="1" a="1"/>
  <c r="T206" i="29" s="1"/>
  <c r="T207" i="29" s="1" a="1"/>
  <c r="T207" i="29" s="1"/>
  <c r="T208" i="29" s="1" a="1"/>
  <c r="T208" i="29" s="1"/>
  <c r="T209" i="29" s="1" a="1"/>
  <c r="T209" i="29" s="1"/>
  <c r="T210" i="29" s="1" a="1"/>
  <c r="T210" i="29" s="1"/>
  <c r="T211" i="29" s="1" a="1"/>
  <c r="T211" i="29" s="1"/>
  <c r="T212" i="29" s="1" a="1"/>
  <c r="T212" i="29" s="1"/>
  <c r="T213" i="29" s="1" a="1"/>
  <c r="T213" i="29" s="1"/>
  <c r="T214" i="29" s="1" a="1"/>
  <c r="T214" i="29" s="1"/>
  <c r="T215" i="29" s="1" a="1"/>
  <c r="T215" i="29" s="1"/>
  <c r="T216" i="29" s="1" a="1"/>
  <c r="T216" i="29" s="1"/>
  <c r="T217" i="29" s="1" a="1"/>
  <c r="T217" i="29" s="1"/>
  <c r="T218" i="29" s="1" a="1"/>
  <c r="T218" i="29" s="1"/>
  <c r="S171" i="29" a="1"/>
  <c r="S171" i="29"/>
  <c r="B284" i="29" s="1"/>
  <c r="B285" i="29" s="1" a="1"/>
  <c r="B285" i="29" s="1"/>
  <c r="F171" i="29" a="1"/>
  <c r="F171" i="29"/>
  <c r="F172" i="29" s="1" a="1"/>
  <c r="F172" i="29" s="1"/>
  <c r="F173" i="29" s="1" a="1"/>
  <c r="F173" i="29" s="1"/>
  <c r="F174" i="29" s="1" a="1"/>
  <c r="F174" i="29" s="1"/>
  <c r="F175" i="29" s="1" a="1"/>
  <c r="F175" i="29" s="1"/>
  <c r="F176" i="29" s="1" a="1"/>
  <c r="F176" i="29" s="1"/>
  <c r="F177" i="29" s="1" a="1"/>
  <c r="F177" i="29" s="1"/>
  <c r="F178" i="29" s="1" a="1"/>
  <c r="F178" i="29" s="1"/>
  <c r="F179" i="29" s="1" a="1"/>
  <c r="F179" i="29" s="1"/>
  <c r="F180" i="29" s="1" a="1"/>
  <c r="F180" i="29" s="1"/>
  <c r="AH170" i="29"/>
  <c r="AH169" i="29"/>
  <c r="AH168" i="29"/>
  <c r="AH167" i="29"/>
  <c r="AT159" i="29"/>
  <c r="AS159" i="29"/>
  <c r="AR159" i="29"/>
  <c r="AQ159" i="29"/>
  <c r="AP159" i="29"/>
  <c r="AO159" i="29"/>
  <c r="AN159" i="29"/>
  <c r="AM159" i="29"/>
  <c r="AL159" i="29"/>
  <c r="AK159" i="29"/>
  <c r="AJ159" i="29"/>
  <c r="AI159" i="29"/>
  <c r="AG159" i="29"/>
  <c r="AF159" i="29"/>
  <c r="AE159" i="29"/>
  <c r="AH156" i="29"/>
  <c r="AH153" i="29"/>
  <c r="B153" i="29"/>
  <c r="AH152" i="29"/>
  <c r="B152" i="29"/>
  <c r="AH148" i="29"/>
  <c r="AH147" i="29"/>
  <c r="AH146" i="29"/>
  <c r="AH145" i="29"/>
  <c r="AH144" i="29"/>
  <c r="BL143" i="29"/>
  <c r="BH143" i="29"/>
  <c r="BD143" i="29"/>
  <c r="BC143" i="29"/>
  <c r="BB143" i="29"/>
  <c r="BM143" i="29" s="1"/>
  <c r="BA143" i="29"/>
  <c r="AZ143" i="29"/>
  <c r="BK143" i="29" s="1"/>
  <c r="AY143" i="29"/>
  <c r="BJ143" i="29" s="1"/>
  <c r="AX143" i="29"/>
  <c r="BI143" i="29" s="1"/>
  <c r="AW143" i="29"/>
  <c r="AV143" i="29"/>
  <c r="BG143" i="29" s="1"/>
  <c r="AU143" i="29"/>
  <c r="BF143" i="29" s="1"/>
  <c r="AS143" i="29"/>
  <c r="AR143" i="29"/>
  <c r="AQ143" i="29"/>
  <c r="AP143" i="29"/>
  <c r="AO143" i="29"/>
  <c r="AN143" i="29"/>
  <c r="AM143" i="29"/>
  <c r="AL143" i="29"/>
  <c r="AK143" i="29"/>
  <c r="AI143" i="29"/>
  <c r="AG143" i="29"/>
  <c r="AH143" i="29" s="1"/>
  <c r="AF143" i="29"/>
  <c r="AE143" i="29"/>
  <c r="AH142" i="29"/>
  <c r="AH141" i="29"/>
  <c r="AH140" i="29"/>
  <c r="AH139" i="29"/>
  <c r="AH138" i="29"/>
  <c r="AH137" i="29"/>
  <c r="BM135" i="29"/>
  <c r="BL135" i="29"/>
  <c r="BK135" i="29"/>
  <c r="BJ135" i="29"/>
  <c r="BI135" i="29"/>
  <c r="BH135" i="29"/>
  <c r="BG135" i="29"/>
  <c r="BF135" i="29"/>
  <c r="BD135" i="29"/>
  <c r="AH135" i="29"/>
  <c r="BM126" i="29"/>
  <c r="BL126" i="29"/>
  <c r="BK126" i="29"/>
  <c r="BJ126" i="29"/>
  <c r="BI126" i="29"/>
  <c r="BH126" i="29"/>
  <c r="BG126" i="29"/>
  <c r="BF126" i="29"/>
  <c r="BE126" i="29"/>
  <c r="BD126" i="29"/>
  <c r="AH126" i="29"/>
  <c r="BM123" i="29"/>
  <c r="BL123" i="29"/>
  <c r="BK123" i="29"/>
  <c r="BJ123" i="29"/>
  <c r="BI123" i="29"/>
  <c r="BH123" i="29"/>
  <c r="BG123" i="29"/>
  <c r="BF123" i="29"/>
  <c r="BE123" i="29"/>
  <c r="BD123" i="29"/>
  <c r="AH123" i="29"/>
  <c r="B123" i="29"/>
  <c r="B124" i="29" s="1" a="1"/>
  <c r="B124" i="29" s="1"/>
  <c r="B125" i="29" s="1" a="1"/>
  <c r="B125" i="29" s="1"/>
  <c r="B126" i="29" s="1" a="1"/>
  <c r="B126" i="29" s="1"/>
  <c r="B127" i="29" s="1" a="1"/>
  <c r="B127" i="29" s="1"/>
  <c r="B128" i="29" s="1" a="1"/>
  <c r="B128" i="29" s="1"/>
  <c r="B129" i="29" s="1" a="1"/>
  <c r="B129" i="29" s="1"/>
  <c r="B130" i="29" s="1" a="1"/>
  <c r="B130" i="29" s="1"/>
  <c r="B131" i="29" s="1" a="1"/>
  <c r="B131" i="29" s="1"/>
  <c r="B132" i="29" s="1" a="1"/>
  <c r="B132" i="29" s="1"/>
  <c r="B133" i="29" s="1" a="1"/>
  <c r="B133" i="29" s="1"/>
  <c r="B134" i="29" s="1" a="1"/>
  <c r="B134" i="29" s="1"/>
  <c r="D135" i="29" s="1"/>
  <c r="BM122" i="29"/>
  <c r="BL122" i="29"/>
  <c r="BK122" i="29"/>
  <c r="BJ122" i="29"/>
  <c r="BI122" i="29"/>
  <c r="BH122" i="29"/>
  <c r="BG122" i="29"/>
  <c r="BF122" i="29"/>
  <c r="BE122" i="29"/>
  <c r="BD122" i="29"/>
  <c r="AH122" i="29"/>
  <c r="B122" i="29"/>
  <c r="BM121" i="29"/>
  <c r="BL121" i="29"/>
  <c r="BK121" i="29"/>
  <c r="BJ121" i="29"/>
  <c r="BI121" i="29"/>
  <c r="BH121" i="29"/>
  <c r="BG121" i="29"/>
  <c r="BF121" i="29"/>
  <c r="BE121" i="29"/>
  <c r="BD121" i="29"/>
  <c r="AH121" i="29"/>
  <c r="B116" i="29" a="1"/>
  <c r="B116" i="29" s="1"/>
  <c r="B117" i="29" s="1" a="1"/>
  <c r="B117" i="29" s="1"/>
  <c r="B118" i="29" s="1" a="1"/>
  <c r="B118" i="29" s="1"/>
  <c r="B119" i="29" s="1" a="1"/>
  <c r="B119" i="29" s="1"/>
  <c r="B120" i="29" s="1" a="1"/>
  <c r="B120" i="29" s="1"/>
  <c r="B121" i="29" s="1" a="1"/>
  <c r="B121" i="29" s="1"/>
  <c r="B115" i="29"/>
  <c r="BM113" i="29"/>
  <c r="BL113" i="29"/>
  <c r="BK113" i="29"/>
  <c r="BJ113" i="29"/>
  <c r="BI113" i="29"/>
  <c r="BH113" i="29"/>
  <c r="BG113" i="29"/>
  <c r="BF113" i="29"/>
  <c r="BE113" i="29"/>
  <c r="BD113" i="29"/>
  <c r="AH113" i="29"/>
  <c r="BM112" i="29"/>
  <c r="BL112" i="29"/>
  <c r="BK112" i="29"/>
  <c r="BJ112" i="29"/>
  <c r="BI112" i="29"/>
  <c r="BH112" i="29"/>
  <c r="BG112" i="29"/>
  <c r="BF112" i="29"/>
  <c r="BE112" i="29"/>
  <c r="BD112" i="29"/>
  <c r="AH112" i="29"/>
  <c r="BM111" i="29"/>
  <c r="BL111" i="29"/>
  <c r="BK111" i="29"/>
  <c r="BJ111" i="29"/>
  <c r="BI111" i="29"/>
  <c r="BH111" i="29"/>
  <c r="BG111" i="29"/>
  <c r="BF111" i="29"/>
  <c r="BE111" i="29"/>
  <c r="BD111" i="29"/>
  <c r="AH111" i="29"/>
  <c r="BM110" i="29"/>
  <c r="BK110" i="29"/>
  <c r="BI110" i="29"/>
  <c r="BG110" i="29"/>
  <c r="BE110" i="29"/>
  <c r="BC110" i="29"/>
  <c r="BB110" i="29"/>
  <c r="BA110" i="29"/>
  <c r="BL110" i="29" s="1"/>
  <c r="AZ110" i="29"/>
  <c r="AY110" i="29"/>
  <c r="BJ110" i="29" s="1"/>
  <c r="AX110" i="29"/>
  <c r="AW110" i="29"/>
  <c r="BH110" i="29" s="1"/>
  <c r="AV110" i="29"/>
  <c r="AU110" i="29"/>
  <c r="BF110" i="29" s="1"/>
  <c r="AT110" i="29"/>
  <c r="AS110" i="29"/>
  <c r="AR110" i="29"/>
  <c r="AQ110" i="29"/>
  <c r="AP110" i="29"/>
  <c r="AO110" i="29"/>
  <c r="AN110" i="29"/>
  <c r="AM110" i="29"/>
  <c r="AL110" i="29"/>
  <c r="AK110" i="29"/>
  <c r="AJ110" i="29"/>
  <c r="AI110" i="29"/>
  <c r="BD110" i="29" s="1"/>
  <c r="AG110" i="29"/>
  <c r="AH110" i="29" s="1"/>
  <c r="AF110" i="29"/>
  <c r="AE110" i="29"/>
  <c r="BM109" i="29"/>
  <c r="BL109" i="29"/>
  <c r="BK109" i="29"/>
  <c r="BJ109" i="29"/>
  <c r="BI109" i="29"/>
  <c r="BH109" i="29"/>
  <c r="BG109" i="29"/>
  <c r="BF109" i="29"/>
  <c r="BE109" i="29"/>
  <c r="BD109" i="29"/>
  <c r="AH109" i="29"/>
  <c r="BM108" i="29"/>
  <c r="BL108" i="29"/>
  <c r="BK108" i="29"/>
  <c r="BJ108" i="29"/>
  <c r="BI108" i="29"/>
  <c r="BH108" i="29"/>
  <c r="BG108" i="29"/>
  <c r="BF108" i="29"/>
  <c r="BE108" i="29"/>
  <c r="BD108" i="29"/>
  <c r="AH108" i="29"/>
  <c r="BD107" i="29"/>
  <c r="AH107" i="29"/>
  <c r="BM106" i="29"/>
  <c r="BL106" i="29"/>
  <c r="BK106" i="29"/>
  <c r="BJ106" i="29"/>
  <c r="BI106" i="29"/>
  <c r="BH106" i="29"/>
  <c r="BG106" i="29"/>
  <c r="BF106" i="29"/>
  <c r="B106" i="29"/>
  <c r="BC105" i="29" a="1"/>
  <c r="BC105" i="29" s="1"/>
  <c r="BB105" i="29" a="1"/>
  <c r="BB105" i="29"/>
  <c r="BM105" i="29" s="1"/>
  <c r="BA105" i="29" a="1"/>
  <c r="BA105" i="29" s="1"/>
  <c r="BL105" i="29" s="1"/>
  <c r="AZ105" i="29" a="1"/>
  <c r="AZ105" i="29"/>
  <c r="BK105" i="29" s="1"/>
  <c r="AY105" i="29" a="1"/>
  <c r="AY105" i="29" s="1"/>
  <c r="BJ105" i="29" s="1"/>
  <c r="AX105" i="29" a="1"/>
  <c r="AX105" i="29"/>
  <c r="BI105" i="29" s="1"/>
  <c r="AW105" i="29" a="1"/>
  <c r="AW105" i="29" s="1"/>
  <c r="BH105" i="29" s="1"/>
  <c r="AV105" i="29" a="1"/>
  <c r="AV105" i="29"/>
  <c r="BG105" i="29" s="1"/>
  <c r="AU105" i="29" a="1"/>
  <c r="AU105" i="29" s="1"/>
  <c r="BF105" i="29" s="1"/>
  <c r="AS105" i="29" a="1"/>
  <c r="AS105" i="29" s="1"/>
  <c r="AR105" i="29" a="1"/>
  <c r="AR105" i="29"/>
  <c r="AQ105" i="29" a="1"/>
  <c r="AQ105" i="29" s="1"/>
  <c r="AP105" i="29" a="1"/>
  <c r="AP105" i="29"/>
  <c r="AO105" i="29" a="1"/>
  <c r="AO105" i="29" s="1"/>
  <c r="AN105" i="29" a="1"/>
  <c r="AN105" i="29"/>
  <c r="AM105" i="29" a="1"/>
  <c r="AM105" i="29" s="1"/>
  <c r="AL105" i="29" a="1"/>
  <c r="AL105" i="29"/>
  <c r="AK105" i="29" a="1"/>
  <c r="AK105" i="29" s="1"/>
  <c r="B105" i="29"/>
  <c r="BM103" i="29"/>
  <c r="BL103" i="29"/>
  <c r="BK103" i="29"/>
  <c r="BJ103" i="29"/>
  <c r="BI103" i="29"/>
  <c r="BH103" i="29"/>
  <c r="BG103" i="29"/>
  <c r="BF103" i="29"/>
  <c r="BE103" i="29"/>
  <c r="BD103" i="29"/>
  <c r="AH103" i="29"/>
  <c r="BM86" i="29"/>
  <c r="BL86" i="29"/>
  <c r="BK86" i="29"/>
  <c r="BJ86" i="29"/>
  <c r="BI86" i="29"/>
  <c r="BH86" i="29"/>
  <c r="BG86" i="29"/>
  <c r="BF86" i="29"/>
  <c r="BE86" i="29"/>
  <c r="BD86" i="29"/>
  <c r="AH86" i="29"/>
  <c r="BM85" i="29"/>
  <c r="BL85" i="29"/>
  <c r="BK85" i="29"/>
  <c r="BJ85" i="29"/>
  <c r="BI85" i="29"/>
  <c r="BH85" i="29"/>
  <c r="BG85" i="29"/>
  <c r="BF85" i="29"/>
  <c r="BE85" i="29"/>
  <c r="BD85" i="29"/>
  <c r="AH85" i="29"/>
  <c r="BU76" i="29" a="1"/>
  <c r="BU76" i="29" s="1"/>
  <c r="BD76" i="29"/>
  <c r="AH76" i="29"/>
  <c r="AB76" i="29"/>
  <c r="J76" i="29" a="1"/>
  <c r="J76" i="29" s="1"/>
  <c r="B76" i="29"/>
  <c r="B77" i="29" s="1" a="1"/>
  <c r="B77" i="29" s="1"/>
  <c r="AT75" i="29"/>
  <c r="AJ75" i="29"/>
  <c r="AI75" i="29"/>
  <c r="BD75" i="29" s="1"/>
  <c r="AG75" i="29"/>
  <c r="AH75" i="29" s="1"/>
  <c r="AF75" i="29"/>
  <c r="AE75" i="29"/>
  <c r="BD74" i="29"/>
  <c r="AH74" i="29"/>
  <c r="B73" i="29"/>
  <c r="BD49" i="29"/>
  <c r="AH49" i="29"/>
  <c r="BD48" i="29"/>
  <c r="AH48" i="29"/>
  <c r="BD46" i="29"/>
  <c r="AH46" i="29"/>
  <c r="BD45" i="29"/>
  <c r="AH45" i="29"/>
  <c r="BD44" i="29"/>
  <c r="AH44" i="29"/>
  <c r="BD43" i="29"/>
  <c r="AH43" i="29"/>
  <c r="BD42" i="29"/>
  <c r="AH42" i="29"/>
  <c r="BD41" i="29"/>
  <c r="AH41" i="29"/>
  <c r="BD40" i="29"/>
  <c r="AH40" i="29"/>
  <c r="BD39" i="29"/>
  <c r="AT39" i="29"/>
  <c r="AJ39" i="29"/>
  <c r="AI39" i="29"/>
  <c r="AG39" i="29"/>
  <c r="AH39" i="29" s="1"/>
  <c r="AF39" i="29"/>
  <c r="AE39" i="29"/>
  <c r="BD38" i="29"/>
  <c r="AH38" i="29"/>
  <c r="BD34" i="29"/>
  <c r="AH34" i="29"/>
  <c r="BD33" i="29"/>
  <c r="AH33" i="29"/>
  <c r="BD32" i="29"/>
  <c r="AH32" i="29"/>
  <c r="AT31" i="29"/>
  <c r="AJ31" i="29"/>
  <c r="AI31" i="29"/>
  <c r="BD31" i="29" s="1"/>
  <c r="AH31" i="29"/>
  <c r="AG31" i="29"/>
  <c r="AF31" i="29"/>
  <c r="AE31" i="29"/>
  <c r="BD29" i="29"/>
  <c r="AH29" i="29"/>
  <c r="T28" i="29"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T41" i="29" s="1" a="1"/>
  <c r="T41" i="29" s="1"/>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T55" i="29" s="1" a="1"/>
  <c r="T55" i="29" s="1"/>
  <c r="T56" i="29" s="1"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T69" i="29" s="1" a="1"/>
  <c r="T69" i="29" s="1"/>
  <c r="T70" i="29" s="1" a="1"/>
  <c r="T70" i="29" s="1"/>
  <c r="T71" i="29" s="1" a="1"/>
  <c r="T71" i="29" s="1"/>
  <c r="T72" i="29" s="1" a="1"/>
  <c r="T72" i="29" s="1"/>
  <c r="T73" i="29" s="1" a="1"/>
  <c r="T73" i="29" s="1"/>
  <c r="T74" i="29" s="1" a="1"/>
  <c r="T74" i="29" s="1"/>
  <c r="T27" i="29"/>
  <c r="S27" i="29" a="1"/>
  <c r="S27" i="29"/>
  <c r="B140" i="29" s="1"/>
  <c r="B141" i="29" s="1" a="1"/>
  <c r="B141" i="29" s="1"/>
  <c r="F27" i="29" a="1"/>
  <c r="F27" i="29"/>
  <c r="F28" i="29" s="1" a="1"/>
  <c r="F28" i="29" s="1"/>
  <c r="F29" i="29" s="1" a="1"/>
  <c r="F29" i="29" s="1"/>
  <c r="F30" i="29" s="1" a="1"/>
  <c r="F30" i="29" s="1"/>
  <c r="F31" i="29" s="1" a="1"/>
  <c r="F31" i="29" s="1"/>
  <c r="F32" i="29" s="1" a="1"/>
  <c r="F32" i="29" s="1"/>
  <c r="F33" i="29" s="1" a="1"/>
  <c r="F33" i="29" s="1"/>
  <c r="F34" i="29" s="1" a="1"/>
  <c r="F34" i="29" s="1"/>
  <c r="F35" i="29" s="1" a="1"/>
  <c r="F35" i="29" s="1"/>
  <c r="F36" i="29" s="1" a="1"/>
  <c r="F36" i="29" s="1"/>
  <c r="BM24" i="29"/>
  <c r="BL24" i="29"/>
  <c r="BK24" i="29"/>
  <c r="BJ24" i="29"/>
  <c r="BI24" i="29"/>
  <c r="BH24" i="29"/>
  <c r="BG24" i="29"/>
  <c r="BF24" i="29"/>
  <c r="BE24" i="29"/>
  <c r="BD24" i="29"/>
  <c r="BC24" i="29"/>
  <c r="BB24" i="29"/>
  <c r="BA24" i="29"/>
  <c r="AZ24" i="29"/>
  <c r="AY24" i="29"/>
  <c r="AX24" i="29"/>
  <c r="AW24" i="29"/>
  <c r="AV24" i="29"/>
  <c r="AU24" i="29"/>
  <c r="AT24" i="29"/>
  <c r="AS24" i="29"/>
  <c r="AR24" i="29"/>
  <c r="AQ24" i="29"/>
  <c r="AP24" i="29"/>
  <c r="AO24" i="29"/>
  <c r="AN24" i="29"/>
  <c r="AM24" i="29"/>
  <c r="AL24" i="29"/>
  <c r="AK24" i="29"/>
  <c r="AJ24" i="29"/>
  <c r="AI24" i="29"/>
  <c r="AH24" i="29"/>
  <c r="AG24" i="29"/>
  <c r="AF24" i="29"/>
  <c r="AE24" i="29"/>
  <c r="BP13" i="29" a="1"/>
  <c r="BP13" i="29" s="1"/>
  <c r="BO13" i="29" a="1"/>
  <c r="BO13" i="29" s="1"/>
  <c r="BN13" i="29" a="1"/>
  <c r="BN13" i="29" s="1"/>
  <c r="BP11" i="29" a="1"/>
  <c r="BP11" i="29" s="1"/>
  <c r="BO11" i="29" a="1"/>
  <c r="BO11" i="29" s="1"/>
  <c r="BN11" i="29" a="1"/>
  <c r="BN11" i="29" s="1"/>
  <c r="BM10" i="29" a="1"/>
  <c r="BM10" i="29" s="1"/>
  <c r="BL10" i="29" a="1"/>
  <c r="BL10" i="29" s="1"/>
  <c r="BK10" i="29" a="1"/>
  <c r="BK10" i="29" s="1"/>
  <c r="BJ10" i="29" a="1"/>
  <c r="BJ10" i="29" s="1"/>
  <c r="BI10" i="29" a="1"/>
  <c r="BI10" i="29" s="1"/>
  <c r="BH10" i="29" a="1"/>
  <c r="BH10" i="29" s="1"/>
  <c r="BG10" i="29" a="1"/>
  <c r="BG10" i="29" s="1"/>
  <c r="BF10" i="29" a="1"/>
  <c r="BF10" i="29" s="1"/>
  <c r="BE10" i="29" a="1"/>
  <c r="BE10" i="29" s="1"/>
  <c r="BD10" i="29" a="1"/>
  <c r="BD10" i="29" s="1"/>
  <c r="BC10" i="29" a="1"/>
  <c r="BC10" i="29" s="1"/>
  <c r="BB10" i="29" a="1"/>
  <c r="BB10" i="29" s="1"/>
  <c r="BA10" i="29" a="1"/>
  <c r="BA10" i="29" s="1"/>
  <c r="AZ10" i="29" a="1"/>
  <c r="AZ10" i="29" s="1"/>
  <c r="AY10" i="29" a="1"/>
  <c r="AY10" i="29" s="1"/>
  <c r="AX10" i="29" a="1"/>
  <c r="AX10" i="29" s="1"/>
  <c r="AW10" i="29" a="1"/>
  <c r="AW10" i="29" s="1"/>
  <c r="AV10" i="29" a="1"/>
  <c r="AV10" i="29" s="1"/>
  <c r="AU10" i="29" a="1"/>
  <c r="AU10" i="29" s="1"/>
  <c r="AT10" i="29" a="1"/>
  <c r="AT10" i="29" s="1"/>
  <c r="AS10" i="29" a="1"/>
  <c r="AS10" i="29" s="1"/>
  <c r="AR10" i="29" a="1"/>
  <c r="AR10" i="29" s="1"/>
  <c r="AQ10" i="29" a="1"/>
  <c r="AQ10" i="29" s="1"/>
  <c r="AP10" i="29" a="1"/>
  <c r="AP10" i="29" s="1"/>
  <c r="AO10" i="29" a="1"/>
  <c r="AO10" i="29" s="1"/>
  <c r="AN10" i="29" a="1"/>
  <c r="AN10" i="29" s="1"/>
  <c r="AM10" i="29" a="1"/>
  <c r="AM10" i="29" s="1"/>
  <c r="AL10" i="29" a="1"/>
  <c r="AL10" i="29" s="1"/>
  <c r="AK10" i="29" a="1"/>
  <c r="AK10" i="29" s="1"/>
  <c r="AJ10" i="29" a="1"/>
  <c r="AJ10" i="29" s="1"/>
  <c r="AI10" i="29" a="1"/>
  <c r="AI10" i="29" s="1"/>
  <c r="AH10" i="29" a="1"/>
  <c r="AH10" i="29" s="1"/>
  <c r="AG10" i="29" a="1"/>
  <c r="AG10" i="29" s="1"/>
  <c r="AF10" i="29" a="1"/>
  <c r="AF10" i="29" s="1"/>
  <c r="AE10" i="29" a="1"/>
  <c r="AE10" i="29" s="1"/>
  <c r="BM9" i="29" a="1"/>
  <c r="BM9" i="29" s="1"/>
  <c r="BK9" i="29" a="1"/>
  <c r="BK9" i="29" s="1"/>
  <c r="BI9" i="29" a="1"/>
  <c r="BI9" i="29" s="1"/>
  <c r="BG9" i="29" a="1"/>
  <c r="BG9" i="29" s="1"/>
  <c r="BE9" i="29" a="1"/>
  <c r="BE9" i="29" s="1"/>
  <c r="BC9" i="29" a="1"/>
  <c r="BC9" i="29" s="1"/>
  <c r="BB9" i="29" a="1"/>
  <c r="BB9" i="29" s="1"/>
  <c r="AZ9" i="29" a="1"/>
  <c r="AZ9" i="29" s="1"/>
  <c r="AY9" i="29" a="1"/>
  <c r="AY9" i="29" s="1"/>
  <c r="AX9" i="29" a="1"/>
  <c r="AX9" i="29" s="1"/>
  <c r="AV9" i="29" a="1"/>
  <c r="AV9" i="29" s="1"/>
  <c r="AU9" i="29" a="1"/>
  <c r="AU9" i="29" s="1"/>
  <c r="AS9" i="29" a="1"/>
  <c r="AS9" i="29" s="1"/>
  <c r="AQ9" i="29" a="1"/>
  <c r="AQ9" i="29" s="1"/>
  <c r="AO9" i="29" a="1"/>
  <c r="AO9" i="29" s="1"/>
  <c r="AM9" i="29" a="1"/>
  <c r="AM9" i="29" s="1"/>
  <c r="AK9" i="29" a="1"/>
  <c r="AK9" i="29" s="1"/>
  <c r="AH9" i="29" a="1"/>
  <c r="AH9" i="29" s="1"/>
  <c r="AF9" i="29" a="1"/>
  <c r="AF9" i="29" s="1"/>
  <c r="AW8" i="29"/>
  <c r="AS8" i="29"/>
  <c r="AK8" i="29"/>
  <c r="BC7" i="29" a="1"/>
  <c r="BC7" i="29"/>
  <c r="BB7" i="29" a="1"/>
  <c r="BB7" i="29"/>
  <c r="BA7" i="29" a="1"/>
  <c r="BA7" i="29"/>
  <c r="AZ7" i="29" a="1"/>
  <c r="AZ7" i="29"/>
  <c r="AY7" i="29" a="1"/>
  <c r="AY7" i="29"/>
  <c r="AX7" i="29" a="1"/>
  <c r="AX7" i="29"/>
  <c r="AW7" i="29" a="1"/>
  <c r="AW7" i="29"/>
  <c r="AV7" i="29" a="1"/>
  <c r="AV7" i="29"/>
  <c r="AU7" i="29" a="1"/>
  <c r="AU7" i="29"/>
  <c r="AT7" i="29" a="1"/>
  <c r="AT7" i="29"/>
  <c r="AS7" i="29" a="1"/>
  <c r="AS7" i="29"/>
  <c r="AR7" i="29" a="1"/>
  <c r="AR7" i="29"/>
  <c r="AQ7" i="29" a="1"/>
  <c r="AQ7" i="29"/>
  <c r="AQ8" i="29" s="1"/>
  <c r="AP7" i="29" a="1"/>
  <c r="AP7" i="29"/>
  <c r="AO7" i="29" a="1"/>
  <c r="AO7" i="29"/>
  <c r="AO8" i="29" s="1"/>
  <c r="AN7" i="29" a="1"/>
  <c r="AN7" i="29"/>
  <c r="AM7" i="29" a="1"/>
  <c r="AM7" i="29"/>
  <c r="AM8" i="29" s="1"/>
  <c r="AL7" i="29" a="1"/>
  <c r="AL7" i="29"/>
  <c r="AK7" i="29" a="1"/>
  <c r="AK7" i="29"/>
  <c r="AJ7" i="29" a="1"/>
  <c r="AJ7" i="29"/>
  <c r="AI7" i="29" a="1"/>
  <c r="AI7" i="29"/>
  <c r="AH7" i="29" a="1"/>
  <c r="AH7" i="29"/>
  <c r="AG7" i="29" a="1"/>
  <c r="AG7" i="29"/>
  <c r="AF7" i="29" a="1"/>
  <c r="AF7" i="29"/>
  <c r="AE7" i="29" a="1"/>
  <c r="AE7" i="29"/>
  <c r="BM6" i="29"/>
  <c r="BL6" i="29"/>
  <c r="BL9" i="29" s="1" a="1"/>
  <c r="BL9" i="29" s="1"/>
  <c r="BK6" i="29"/>
  <c r="BJ6" i="29"/>
  <c r="BJ9" i="29" s="1" a="1"/>
  <c r="BJ9" i="29" s="1"/>
  <c r="BI6" i="29"/>
  <c r="BH6" i="29"/>
  <c r="BH9" i="29" s="1" a="1"/>
  <c r="BH9" i="29" s="1"/>
  <c r="BG6" i="29"/>
  <c r="BF6" i="29"/>
  <c r="BF9" i="29" s="1" a="1"/>
  <c r="BF9" i="29" s="1"/>
  <c r="BE6" i="29"/>
  <c r="BD6" i="29" a="1"/>
  <c r="BD6" i="29" s="1"/>
  <c r="BD9" i="29" s="1" a="1"/>
  <c r="BD9" i="29" s="1"/>
  <c r="BC6" i="29"/>
  <c r="BB6" i="29"/>
  <c r="BB8" i="29" s="1"/>
  <c r="BA6" i="29"/>
  <c r="BA9" i="29" s="1" a="1"/>
  <c r="BA9" i="29" s="1"/>
  <c r="AZ6" i="29"/>
  <c r="AZ8" i="29" s="1"/>
  <c r="AY6" i="29"/>
  <c r="AX6" i="29"/>
  <c r="AX8" i="29" s="1"/>
  <c r="AW6" i="29"/>
  <c r="AW9" i="29" s="1" a="1"/>
  <c r="AW9" i="29" s="1"/>
  <c r="AV6" i="29"/>
  <c r="AV8" i="29" s="1"/>
  <c r="AU6" i="29"/>
  <c r="AT6" i="29" a="1"/>
  <c r="AT6" i="29"/>
  <c r="AS6" i="29"/>
  <c r="AR6" i="29"/>
  <c r="AQ6" i="29"/>
  <c r="AP6" i="29"/>
  <c r="AO6" i="29"/>
  <c r="AN6" i="29"/>
  <c r="AM6" i="29"/>
  <c r="AL6" i="29"/>
  <c r="AK6" i="29"/>
  <c r="AJ6" i="29" a="1"/>
  <c r="AJ6" i="29" s="1"/>
  <c r="AI6" i="29"/>
  <c r="AI8" i="29" s="1"/>
  <c r="AH6" i="29"/>
  <c r="AH8" i="29" s="1"/>
  <c r="AG6" i="29"/>
  <c r="AG9" i="29" s="1" a="1"/>
  <c r="AG9" i="29" s="1"/>
  <c r="AF6" i="29"/>
  <c r="AE6" i="29"/>
  <c r="AE8" i="29" s="1"/>
  <c r="T285" i="28"/>
  <c r="AH281" i="28"/>
  <c r="AH280" i="28"/>
  <c r="AH279" i="28"/>
  <c r="AK271" i="28"/>
  <c r="AJ271" i="28"/>
  <c r="AI271" i="28"/>
  <c r="AG271" i="28"/>
  <c r="AF271" i="28"/>
  <c r="AE271" i="28"/>
  <c r="AH268" i="28"/>
  <c r="AL265" i="28"/>
  <c r="AH265" i="28"/>
  <c r="AL264" i="28"/>
  <c r="AH264" i="28"/>
  <c r="AL262" i="28"/>
  <c r="AH262" i="28"/>
  <c r="AL261" i="28"/>
  <c r="AH261" i="28"/>
  <c r="AL260" i="28"/>
  <c r="AH260" i="28"/>
  <c r="AL259" i="28"/>
  <c r="AH259" i="28"/>
  <c r="AL258" i="28"/>
  <c r="AK258" i="28"/>
  <c r="AJ258" i="28"/>
  <c r="AI258" i="28"/>
  <c r="AH258" i="28"/>
  <c r="AG258" i="28"/>
  <c r="AF258" i="28"/>
  <c r="AE258" i="28"/>
  <c r="AL257" i="28"/>
  <c r="AH257" i="28"/>
  <c r="AL256" i="28"/>
  <c r="AH256" i="28"/>
  <c r="AL255" i="28"/>
  <c r="AH255" i="28"/>
  <c r="AL254" i="28"/>
  <c r="AL253" i="28"/>
  <c r="AH253" i="28"/>
  <c r="B253" i="28"/>
  <c r="AL252" i="28"/>
  <c r="B244" i="28"/>
  <c r="AL227" i="28"/>
  <c r="AH227" i="28"/>
  <c r="AT224" i="28" a="1"/>
  <c r="AT224" i="28"/>
  <c r="AL224" i="28"/>
  <c r="AH224" i="28"/>
  <c r="AB224" i="28"/>
  <c r="J224" i="28" a="1"/>
  <c r="J224" i="28"/>
  <c r="AL223" i="28"/>
  <c r="AH223" i="28"/>
  <c r="AL222" i="28"/>
  <c r="AH222" i="28"/>
  <c r="AL221" i="28"/>
  <c r="AH221" i="28"/>
  <c r="AL220" i="28"/>
  <c r="AH220" i="28"/>
  <c r="AK219" i="28"/>
  <c r="AJ219" i="28"/>
  <c r="AI219" i="28"/>
  <c r="AL219" i="28" s="1"/>
  <c r="AG219" i="28"/>
  <c r="AH219" i="28" s="1"/>
  <c r="AF219" i="28"/>
  <c r="AE219" i="28"/>
  <c r="AL218" i="28"/>
  <c r="AH218" i="28"/>
  <c r="AL217" i="28"/>
  <c r="AH217" i="28"/>
  <c r="AL213" i="28"/>
  <c r="AH213" i="28"/>
  <c r="AL202" i="28"/>
  <c r="AH202" i="28"/>
  <c r="AL201" i="28"/>
  <c r="AH201" i="28"/>
  <c r="T197" i="28"/>
  <c r="T198" i="28" s="1" a="1"/>
  <c r="T198" i="28" s="1"/>
  <c r="T199" i="28" s="1" a="1"/>
  <c r="T199" i="28" s="1"/>
  <c r="T200" i="28" s="1" a="1"/>
  <c r="T200" i="28" s="1"/>
  <c r="T201" i="28" s="1" a="1"/>
  <c r="T201" i="28" s="1"/>
  <c r="T202" i="28" s="1" a="1"/>
  <c r="T202" i="28" s="1"/>
  <c r="T203" i="28" s="1" a="1"/>
  <c r="T203" i="28" s="1"/>
  <c r="T204" i="28" s="1" a="1"/>
  <c r="T204" i="28" s="1"/>
  <c r="T205" i="28" s="1" a="1"/>
  <c r="T205" i="28" s="1"/>
  <c r="T206" i="28" s="1" a="1"/>
  <c r="T206" i="28" s="1"/>
  <c r="T207" i="28" s="1" a="1"/>
  <c r="T207" i="28" s="1"/>
  <c r="T208" i="28" s="1" a="1"/>
  <c r="T208" i="28" s="1"/>
  <c r="T209" i="28" s="1" a="1"/>
  <c r="T209" i="28" s="1"/>
  <c r="T210" i="28" s="1" a="1"/>
  <c r="T210" i="28" s="1"/>
  <c r="T211" i="28" s="1" a="1"/>
  <c r="T211" i="28" s="1"/>
  <c r="T212" i="28" s="1" a="1"/>
  <c r="T212" i="28" s="1"/>
  <c r="T213" i="28" s="1" a="1"/>
  <c r="T213" i="28" s="1"/>
  <c r="T214" i="28" s="1" a="1"/>
  <c r="T214" i="28" s="1"/>
  <c r="T215" i="28" s="1" a="1"/>
  <c r="T215" i="28" s="1"/>
  <c r="T216" i="28" s="1" a="1"/>
  <c r="T216" i="28" s="1"/>
  <c r="T217" i="28" s="1" a="1"/>
  <c r="T217" i="28" s="1"/>
  <c r="T218" i="28" s="1" a="1"/>
  <c r="T218" i="28" s="1"/>
  <c r="T219" i="28" s="1" a="1"/>
  <c r="T219" i="28" s="1"/>
  <c r="T220" i="28" s="1" a="1"/>
  <c r="T220" i="28" s="1"/>
  <c r="T221" i="28" s="1" a="1"/>
  <c r="T221" i="28" s="1"/>
  <c r="T222" i="28" s="1" a="1"/>
  <c r="T222" i="28" s="1"/>
  <c r="T223" i="28" s="1" a="1"/>
  <c r="T223" i="28" s="1"/>
  <c r="F197" i="28" a="1"/>
  <c r="F197" i="28"/>
  <c r="F198" i="28" s="1" a="1"/>
  <c r="F198" i="28" s="1"/>
  <c r="F199" i="28" s="1" a="1"/>
  <c r="F199" i="28" s="1"/>
  <c r="F200" i="28" s="1" a="1"/>
  <c r="F200" i="28" s="1"/>
  <c r="AH196" i="28"/>
  <c r="AH195" i="28"/>
  <c r="AH194" i="28"/>
  <c r="AK186" i="28"/>
  <c r="AJ186" i="28"/>
  <c r="AI186" i="28"/>
  <c r="AG186" i="28"/>
  <c r="AF186" i="28"/>
  <c r="AE186" i="28"/>
  <c r="AH183" i="28"/>
  <c r="AL180" i="28"/>
  <c r="AH180" i="28"/>
  <c r="AL179" i="28"/>
  <c r="AH179" i="28"/>
  <c r="AL177" i="28"/>
  <c r="AH177" i="28"/>
  <c r="AL176" i="28"/>
  <c r="AH176" i="28"/>
  <c r="AL175" i="28"/>
  <c r="AH175" i="28"/>
  <c r="AL174" i="28"/>
  <c r="AH174" i="28"/>
  <c r="AL173" i="28"/>
  <c r="AK173" i="28"/>
  <c r="AJ173" i="28"/>
  <c r="AI173" i="28"/>
  <c r="AG173" i="28"/>
  <c r="AF173" i="28"/>
  <c r="AH173" i="28" s="1"/>
  <c r="AE173" i="28"/>
  <c r="AL172" i="28"/>
  <c r="AH172" i="28"/>
  <c r="AL171" i="28"/>
  <c r="AH171" i="28"/>
  <c r="AL170" i="28"/>
  <c r="AH170" i="28"/>
  <c r="AL169" i="28"/>
  <c r="AL168" i="28"/>
  <c r="AH168" i="28"/>
  <c r="B168" i="28"/>
  <c r="AL167" i="28"/>
  <c r="B159" i="28"/>
  <c r="AL142" i="28"/>
  <c r="AH142" i="28"/>
  <c r="AT139" i="28" a="1"/>
  <c r="AT139" i="28" s="1"/>
  <c r="AL139" i="28"/>
  <c r="AH139" i="28"/>
  <c r="AB139" i="28"/>
  <c r="J139" i="28" a="1"/>
  <c r="J139" i="28"/>
  <c r="AL138" i="28"/>
  <c r="AH138" i="28"/>
  <c r="AL137" i="28"/>
  <c r="AH137" i="28"/>
  <c r="AL136" i="28"/>
  <c r="AH136" i="28"/>
  <c r="AL135" i="28"/>
  <c r="AH135" i="28"/>
  <c r="AL134" i="28"/>
  <c r="AK134" i="28"/>
  <c r="AJ134" i="28"/>
  <c r="AI134" i="28"/>
  <c r="AG134" i="28"/>
  <c r="AH134" i="28" s="1"/>
  <c r="AF134" i="28"/>
  <c r="AE134" i="28"/>
  <c r="AL133" i="28"/>
  <c r="AH133" i="28"/>
  <c r="AL132" i="28"/>
  <c r="AH132" i="28"/>
  <c r="AL128" i="28"/>
  <c r="AH128" i="28"/>
  <c r="AL117" i="28"/>
  <c r="AH117" i="28"/>
  <c r="AL116" i="28"/>
  <c r="AH116" i="28"/>
  <c r="T112" i="28"/>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F112" i="28" a="1"/>
  <c r="F112" i="28" s="1"/>
  <c r="F113" i="28" s="1" a="1"/>
  <c r="F113" i="28" s="1"/>
  <c r="F114" i="28" s="1" a="1"/>
  <c r="F114" i="28" s="1"/>
  <c r="F115" i="28" s="1" a="1"/>
  <c r="F115" i="28" s="1"/>
  <c r="AH111" i="28"/>
  <c r="AH110" i="28"/>
  <c r="AH109" i="28"/>
  <c r="AK101" i="28"/>
  <c r="AJ101" i="28"/>
  <c r="AI101" i="28"/>
  <c r="AG101" i="28"/>
  <c r="AF101" i="28"/>
  <c r="AE101" i="28"/>
  <c r="AH98" i="28"/>
  <c r="AL95" i="28"/>
  <c r="AH95" i="28"/>
  <c r="AL94" i="28"/>
  <c r="AH94" i="28"/>
  <c r="AL92" i="28"/>
  <c r="AH92" i="28"/>
  <c r="AL91" i="28"/>
  <c r="AH91" i="28"/>
  <c r="AL90" i="28"/>
  <c r="AH90" i="28"/>
  <c r="AL89" i="28"/>
  <c r="AH89" i="28"/>
  <c r="AL88" i="28"/>
  <c r="AK88" i="28"/>
  <c r="AJ88" i="28"/>
  <c r="AI88" i="28"/>
  <c r="AH88" i="28"/>
  <c r="AG88" i="28"/>
  <c r="AF88" i="28"/>
  <c r="AE88" i="28"/>
  <c r="AL87" i="28"/>
  <c r="AH87" i="28"/>
  <c r="AL86" i="28"/>
  <c r="AH86" i="28"/>
  <c r="AL85" i="28"/>
  <c r="AH85" i="28"/>
  <c r="AL84" i="28"/>
  <c r="AL83" i="28"/>
  <c r="AH83" i="28"/>
  <c r="B83" i="28"/>
  <c r="AL82" i="28"/>
  <c r="B74" i="28"/>
  <c r="AL57" i="28"/>
  <c r="AH57" i="28"/>
  <c r="AT54" i="28" a="1"/>
  <c r="AT54" i="28"/>
  <c r="AL54" i="28"/>
  <c r="AH54" i="28"/>
  <c r="AB54" i="28"/>
  <c r="J54" i="28" a="1"/>
  <c r="J54" i="28" s="1"/>
  <c r="AL53" i="28"/>
  <c r="AH53" i="28"/>
  <c r="AL52" i="28"/>
  <c r="AH52" i="28"/>
  <c r="AL51" i="28"/>
  <c r="AH51" i="28"/>
  <c r="AL50" i="28"/>
  <c r="AH50" i="28"/>
  <c r="AK49" i="28"/>
  <c r="AJ49" i="28"/>
  <c r="AI49" i="28"/>
  <c r="AL49" i="28" s="1"/>
  <c r="AG49" i="28"/>
  <c r="AF49" i="28"/>
  <c r="AH49" i="28" s="1"/>
  <c r="AE49" i="28"/>
  <c r="AL48" i="28"/>
  <c r="AH48" i="28"/>
  <c r="AL47" i="28"/>
  <c r="AH47" i="28"/>
  <c r="AL43" i="28"/>
  <c r="AH43" i="28"/>
  <c r="AL32" i="28"/>
  <c r="AH32" i="28"/>
  <c r="AL31" i="28"/>
  <c r="AH31" i="28"/>
  <c r="T28" i="28" a="1"/>
  <c r="T28" i="28"/>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27" i="28"/>
  <c r="F27" i="28" a="1"/>
  <c r="F27" i="28" s="1"/>
  <c r="F28" i="28" s="1" a="1"/>
  <c r="F28" i="28" s="1"/>
  <c r="F29" i="28" s="1" a="1"/>
  <c r="F29" i="28" s="1"/>
  <c r="F30" i="28" s="1" a="1"/>
  <c r="F30" i="28" s="1"/>
  <c r="AK24" i="28"/>
  <c r="AJ24" i="28"/>
  <c r="AI24" i="28"/>
  <c r="AH24" i="28"/>
  <c r="AG24" i="28"/>
  <c r="AF24" i="28"/>
  <c r="AE24" i="28"/>
  <c r="AO12" i="28" a="1"/>
  <c r="AO12" i="28"/>
  <c r="AN12" i="28" a="1"/>
  <c r="AN12" i="28" s="1"/>
  <c r="AM12" i="28" a="1"/>
  <c r="AM12" i="28"/>
  <c r="AL11" i="28" a="1"/>
  <c r="AL11" i="28" s="1"/>
  <c r="AK11" i="28" a="1"/>
  <c r="AK11" i="28"/>
  <c r="AJ11" i="28" a="1"/>
  <c r="AJ11" i="28" s="1"/>
  <c r="AI11" i="28" a="1"/>
  <c r="AI11" i="28"/>
  <c r="AH11" i="28" a="1"/>
  <c r="AH11" i="28" s="1"/>
  <c r="AG11" i="28" a="1"/>
  <c r="AG11" i="28"/>
  <c r="AF11" i="28" a="1"/>
  <c r="AF11" i="28" s="1"/>
  <c r="AE11" i="28" a="1"/>
  <c r="AE11" i="28"/>
  <c r="AH10" i="28" a="1"/>
  <c r="AH10" i="28"/>
  <c r="AK8" i="28" a="1"/>
  <c r="AK8" i="28"/>
  <c r="AJ8" i="28" a="1"/>
  <c r="AJ8" i="28" s="1"/>
  <c r="AJ9" i="28" s="1"/>
  <c r="AI8" i="28" a="1"/>
  <c r="AI8" i="28"/>
  <c r="AH8" i="28" a="1"/>
  <c r="AH8" i="28" s="1"/>
  <c r="AG8" i="28" a="1"/>
  <c r="AG8" i="28"/>
  <c r="AG9" i="28" s="1"/>
  <c r="AF8" i="28" a="1"/>
  <c r="AF8" i="28" s="1"/>
  <c r="AF9" i="28" s="1"/>
  <c r="AE8" i="28" a="1"/>
  <c r="AE8" i="28"/>
  <c r="AK7" i="28" a="1"/>
  <c r="AK7" i="28" s="1"/>
  <c r="AJ7" i="28" a="1"/>
  <c r="AJ7" i="28"/>
  <c r="AJ10" i="28" s="1" a="1"/>
  <c r="AJ10" i="28" s="1"/>
  <c r="AI7" i="28"/>
  <c r="AI10" i="28" s="1" a="1"/>
  <c r="AI10" i="28" s="1"/>
  <c r="AH7" i="28"/>
  <c r="AH9" i="28" s="1"/>
  <c r="AG7" i="28"/>
  <c r="AG10" i="28" s="1" a="1"/>
  <c r="AG10" i="28" s="1"/>
  <c r="AF7" i="28"/>
  <c r="AF10" i="28" s="1" a="1"/>
  <c r="AF10" i="28" s="1"/>
  <c r="AE7" i="28"/>
  <c r="AE10" i="28" s="1" a="1"/>
  <c r="AE10" i="28" s="1"/>
  <c r="AO6" i="28" a="1"/>
  <c r="AO6" i="28" s="1"/>
  <c r="AN6" i="28" a="1"/>
  <c r="AN6" i="28"/>
  <c r="AM6" i="28" a="1"/>
  <c r="AM6" i="28" s="1"/>
  <c r="AI2" i="28"/>
  <c r="AH2" i="28"/>
  <c r="AG2" i="28"/>
  <c r="AF2" i="28"/>
  <c r="AE2" i="28"/>
  <c r="T200" i="27"/>
  <c r="GB194" i="27" a="1"/>
  <c r="GB194" i="27" s="1"/>
  <c r="FW194" i="27"/>
  <c r="FT194" i="27"/>
  <c r="FQ194" i="27"/>
  <c r="FN194" i="27"/>
  <c r="FK194" i="27"/>
  <c r="FH194" i="27"/>
  <c r="FE194" i="27"/>
  <c r="FB194" i="27"/>
  <c r="EY194" i="27"/>
  <c r="EV194" i="27"/>
  <c r="ES194" i="27"/>
  <c r="EP194" i="27"/>
  <c r="EM194" i="27"/>
  <c r="EJ194" i="27"/>
  <c r="EG194" i="27"/>
  <c r="ED194" i="27"/>
  <c r="EA194" i="27"/>
  <c r="DX194" i="27"/>
  <c r="DU194" i="27"/>
  <c r="DR194" i="27"/>
  <c r="DO194" i="27"/>
  <c r="DL194" i="27"/>
  <c r="DI194" i="27"/>
  <c r="DF194" i="27"/>
  <c r="DC194" i="27"/>
  <c r="CZ194" i="27"/>
  <c r="CW194" i="27"/>
  <c r="CT194" i="27"/>
  <c r="CQ194" i="27"/>
  <c r="CN194" i="27"/>
  <c r="CK194" i="27"/>
  <c r="CH194" i="27"/>
  <c r="CE194" i="27"/>
  <c r="CB194" i="27"/>
  <c r="BY194" i="27"/>
  <c r="BV194" i="27"/>
  <c r="BS194" i="27"/>
  <c r="BP194" i="27"/>
  <c r="BM194" i="27"/>
  <c r="BJ194" i="27"/>
  <c r="BG194" i="27"/>
  <c r="BD194" i="27"/>
  <c r="BA194" i="27"/>
  <c r="AX194" i="27"/>
  <c r="AU194" i="27"/>
  <c r="AR194" i="27"/>
  <c r="AO194" i="27"/>
  <c r="AL194" i="27"/>
  <c r="AI194" i="27"/>
  <c r="AF194" i="27"/>
  <c r="I194" i="27" a="1"/>
  <c r="I194" i="27" s="1"/>
  <c r="FW193" i="27"/>
  <c r="FT193" i="27"/>
  <c r="FQ193" i="27"/>
  <c r="FN193" i="27"/>
  <c r="FK193" i="27"/>
  <c r="FH193" i="27"/>
  <c r="FE193" i="27"/>
  <c r="FB193" i="27"/>
  <c r="EY193" i="27"/>
  <c r="EV193" i="27"/>
  <c r="ES193" i="27"/>
  <c r="EP193" i="27"/>
  <c r="EM193" i="27"/>
  <c r="EJ193" i="27"/>
  <c r="EG193" i="27"/>
  <c r="ED193" i="27"/>
  <c r="EA193" i="27"/>
  <c r="DX193" i="27"/>
  <c r="DU193" i="27"/>
  <c r="DR193" i="27"/>
  <c r="DO193" i="27"/>
  <c r="DL193" i="27"/>
  <c r="DI193" i="27"/>
  <c r="DF193" i="27"/>
  <c r="DC193" i="27"/>
  <c r="CZ193" i="27"/>
  <c r="CW193" i="27"/>
  <c r="CT193" i="27"/>
  <c r="CQ193" i="27"/>
  <c r="CN193" i="27"/>
  <c r="CK193" i="27"/>
  <c r="CH193" i="27"/>
  <c r="CE193" i="27"/>
  <c r="CB193" i="27"/>
  <c r="BY193" i="27"/>
  <c r="BV193" i="27"/>
  <c r="BS193" i="27"/>
  <c r="BP193" i="27"/>
  <c r="BM193" i="27"/>
  <c r="BJ193" i="27"/>
  <c r="FV192" i="27"/>
  <c r="FU192" i="27"/>
  <c r="FS192" i="27"/>
  <c r="FR192" i="27"/>
  <c r="FP192" i="27"/>
  <c r="FO192" i="27"/>
  <c r="FM192" i="27"/>
  <c r="FL192" i="27"/>
  <c r="FJ192" i="27"/>
  <c r="FI192" i="27"/>
  <c r="FG192" i="27"/>
  <c r="FF192" i="27"/>
  <c r="FD192" i="27"/>
  <c r="FC192" i="27"/>
  <c r="FA192" i="27"/>
  <c r="EZ192" i="27"/>
  <c r="EX192" i="27"/>
  <c r="EW192" i="27"/>
  <c r="EU192" i="27"/>
  <c r="ET192" i="27"/>
  <c r="ER192" i="27"/>
  <c r="EQ192" i="27"/>
  <c r="EO192" i="27"/>
  <c r="EN192" i="27"/>
  <c r="EL192" i="27"/>
  <c r="EK192" i="27"/>
  <c r="EI192" i="27"/>
  <c r="EH192" i="27"/>
  <c r="EF192" i="27"/>
  <c r="EE192" i="27"/>
  <c r="EC192" i="27"/>
  <c r="EB192" i="27"/>
  <c r="DZ192" i="27"/>
  <c r="DY192" i="27"/>
  <c r="DW192" i="27"/>
  <c r="DV192" i="27"/>
  <c r="DT192" i="27"/>
  <c r="DS192" i="27"/>
  <c r="DQ192" i="27"/>
  <c r="DP192" i="27"/>
  <c r="DN192" i="27"/>
  <c r="DM192" i="27"/>
  <c r="DK192" i="27"/>
  <c r="DJ192" i="27"/>
  <c r="DH192" i="27"/>
  <c r="DG192" i="27"/>
  <c r="DE192" i="27"/>
  <c r="DD192" i="27"/>
  <c r="DB192" i="27"/>
  <c r="DA192" i="27"/>
  <c r="CY192" i="27"/>
  <c r="CX192" i="27"/>
  <c r="CV192" i="27"/>
  <c r="CU192" i="27"/>
  <c r="CS192" i="27"/>
  <c r="CR192" i="27"/>
  <c r="CP192" i="27"/>
  <c r="CO192" i="27"/>
  <c r="CM192" i="27"/>
  <c r="CL192" i="27"/>
  <c r="CJ192" i="27"/>
  <c r="CI192" i="27"/>
  <c r="CG192" i="27"/>
  <c r="CF192" i="27"/>
  <c r="CD192" i="27"/>
  <c r="CC192" i="27"/>
  <c r="CA192" i="27"/>
  <c r="BZ192" i="27"/>
  <c r="BX192" i="27"/>
  <c r="BW192" i="27"/>
  <c r="BU192" i="27"/>
  <c r="BT192" i="27"/>
  <c r="BR192" i="27"/>
  <c r="BQ192" i="27"/>
  <c r="BO192" i="27"/>
  <c r="BN192" i="27"/>
  <c r="BL192" i="27"/>
  <c r="BK192" i="27"/>
  <c r="BI192" i="27"/>
  <c r="BH192" i="27"/>
  <c r="FW191" i="27"/>
  <c r="FT191" i="27"/>
  <c r="FQ191" i="27"/>
  <c r="FN191" i="27"/>
  <c r="FK191" i="27"/>
  <c r="FH191" i="27"/>
  <c r="FE191" i="27"/>
  <c r="FB191" i="27"/>
  <c r="EY191" i="27"/>
  <c r="EV191" i="27"/>
  <c r="ES191" i="27"/>
  <c r="EP191" i="27"/>
  <c r="EM191" i="27"/>
  <c r="EJ191" i="27"/>
  <c r="EG191" i="27"/>
  <c r="ED191" i="27"/>
  <c r="EA191" i="27"/>
  <c r="DX191" i="27"/>
  <c r="DU191" i="27"/>
  <c r="DR191" i="27"/>
  <c r="DO191" i="27"/>
  <c r="DL191" i="27"/>
  <c r="DI191" i="27"/>
  <c r="DF191" i="27"/>
  <c r="DC191" i="27"/>
  <c r="CZ191" i="27"/>
  <c r="CW191" i="27"/>
  <c r="CT191" i="27"/>
  <c r="CQ191" i="27"/>
  <c r="CN191" i="27"/>
  <c r="CK191" i="27"/>
  <c r="CH191" i="27"/>
  <c r="CE191" i="27"/>
  <c r="CB191" i="27"/>
  <c r="BY191" i="27"/>
  <c r="BV191" i="27"/>
  <c r="BS191" i="27"/>
  <c r="BP191" i="27"/>
  <c r="BM191" i="27"/>
  <c r="BJ191" i="27"/>
  <c r="FW190" i="27"/>
  <c r="FT190" i="27"/>
  <c r="FQ190" i="27"/>
  <c r="FN190" i="27"/>
  <c r="FK190" i="27"/>
  <c r="FH190" i="27"/>
  <c r="FE190" i="27"/>
  <c r="FB190" i="27"/>
  <c r="EY190" i="27"/>
  <c r="EV190" i="27"/>
  <c r="ES190" i="27"/>
  <c r="EP190" i="27"/>
  <c r="EM190" i="27"/>
  <c r="EJ190" i="27"/>
  <c r="EG190" i="27"/>
  <c r="ED190" i="27"/>
  <c r="EA190" i="27"/>
  <c r="DX190" i="27"/>
  <c r="DU190" i="27"/>
  <c r="DR190" i="27"/>
  <c r="DO190" i="27"/>
  <c r="DL190" i="27"/>
  <c r="DI190" i="27"/>
  <c r="DF190" i="27"/>
  <c r="DC190" i="27"/>
  <c r="CZ190" i="27"/>
  <c r="CW190" i="27"/>
  <c r="CT190" i="27"/>
  <c r="CQ190" i="27"/>
  <c r="CN190" i="27"/>
  <c r="CK190" i="27"/>
  <c r="CH190" i="27"/>
  <c r="CE190" i="27"/>
  <c r="CB190" i="27"/>
  <c r="BY190" i="27"/>
  <c r="BV190" i="27"/>
  <c r="BS190" i="27"/>
  <c r="BP190" i="27"/>
  <c r="BM190" i="27"/>
  <c r="BJ190" i="27"/>
  <c r="FW187" i="27"/>
  <c r="FT187" i="27"/>
  <c r="FQ187" i="27"/>
  <c r="FN187" i="27"/>
  <c r="FK187" i="27"/>
  <c r="FH187" i="27"/>
  <c r="FE187" i="27"/>
  <c r="FB187" i="27"/>
  <c r="EY187" i="27"/>
  <c r="EV187" i="27"/>
  <c r="ES187" i="27"/>
  <c r="EP187" i="27"/>
  <c r="EM187" i="27"/>
  <c r="EJ187" i="27"/>
  <c r="EG187" i="27"/>
  <c r="ED187" i="27"/>
  <c r="EA187" i="27"/>
  <c r="DX187" i="27"/>
  <c r="DU187" i="27"/>
  <c r="DR187" i="27"/>
  <c r="DO187" i="27"/>
  <c r="DL187" i="27"/>
  <c r="DI187" i="27"/>
  <c r="DF187" i="27"/>
  <c r="DC187" i="27"/>
  <c r="CZ187" i="27"/>
  <c r="CW187" i="27"/>
  <c r="CT187" i="27"/>
  <c r="CQ187" i="27"/>
  <c r="CN187" i="27"/>
  <c r="CK187" i="27"/>
  <c r="CH187" i="27"/>
  <c r="CE187" i="27"/>
  <c r="CB187" i="27"/>
  <c r="BY187" i="27"/>
  <c r="BV187" i="27"/>
  <c r="BS187" i="27"/>
  <c r="BP187" i="27"/>
  <c r="BM187" i="27"/>
  <c r="BJ187" i="27"/>
  <c r="BG187" i="27"/>
  <c r="BD187" i="27"/>
  <c r="BA187" i="27"/>
  <c r="AX187" i="27"/>
  <c r="AU187" i="27"/>
  <c r="AR187" i="27"/>
  <c r="AO187" i="27"/>
  <c r="AL187" i="27"/>
  <c r="AI187" i="27"/>
  <c r="AF187" i="27"/>
  <c r="FW186" i="27"/>
  <c r="FT186" i="27"/>
  <c r="FQ186" i="27"/>
  <c r="FN186" i="27"/>
  <c r="FK186" i="27"/>
  <c r="FH186" i="27"/>
  <c r="FE186" i="27"/>
  <c r="FB186" i="27"/>
  <c r="EY186" i="27"/>
  <c r="EV186" i="27"/>
  <c r="ES186" i="27"/>
  <c r="EP186" i="27"/>
  <c r="EM186" i="27"/>
  <c r="EJ186" i="27"/>
  <c r="EG186" i="27"/>
  <c r="ED186" i="27"/>
  <c r="EA186" i="27"/>
  <c r="DX186" i="27"/>
  <c r="DU186" i="27"/>
  <c r="DR186" i="27"/>
  <c r="DO186" i="27"/>
  <c r="DL186" i="27"/>
  <c r="DI186" i="27"/>
  <c r="DF186" i="27"/>
  <c r="DC186" i="27"/>
  <c r="CZ186" i="27"/>
  <c r="CW186" i="27"/>
  <c r="CT186" i="27"/>
  <c r="CQ186" i="27"/>
  <c r="CN186" i="27"/>
  <c r="CK186" i="27"/>
  <c r="CH186" i="27"/>
  <c r="CE186" i="27"/>
  <c r="CB186" i="27"/>
  <c r="BY186" i="27"/>
  <c r="BV186" i="27"/>
  <c r="BS186" i="27"/>
  <c r="BP186" i="27"/>
  <c r="BM186" i="27"/>
  <c r="BJ186" i="27"/>
  <c r="BG186" i="27"/>
  <c r="BD186" i="27"/>
  <c r="BA186" i="27"/>
  <c r="AX186" i="27"/>
  <c r="AU186" i="27"/>
  <c r="AR186" i="27"/>
  <c r="AO186" i="27"/>
  <c r="AL186" i="27"/>
  <c r="AI186" i="27"/>
  <c r="AF186" i="27"/>
  <c r="FW185" i="27"/>
  <c r="FT185" i="27"/>
  <c r="FQ185" i="27"/>
  <c r="FN185" i="27"/>
  <c r="FK185" i="27"/>
  <c r="FH185" i="27"/>
  <c r="FE185" i="27"/>
  <c r="FB185" i="27"/>
  <c r="EY185" i="27"/>
  <c r="EV185" i="27"/>
  <c r="ES185" i="27"/>
  <c r="EP185" i="27"/>
  <c r="EM185" i="27"/>
  <c r="EJ185" i="27"/>
  <c r="EG185" i="27"/>
  <c r="ED185" i="27"/>
  <c r="EA185" i="27"/>
  <c r="DX185" i="27"/>
  <c r="DU185" i="27"/>
  <c r="DR185" i="27"/>
  <c r="DO185" i="27"/>
  <c r="DL185" i="27"/>
  <c r="DI185" i="27"/>
  <c r="DF185" i="27"/>
  <c r="DC185" i="27"/>
  <c r="CZ185" i="27"/>
  <c r="CW185" i="27"/>
  <c r="CT185" i="27"/>
  <c r="CQ185" i="27"/>
  <c r="CN185" i="27"/>
  <c r="CK185" i="27"/>
  <c r="CH185" i="27"/>
  <c r="CE185" i="27"/>
  <c r="CB185" i="27"/>
  <c r="BY185" i="27"/>
  <c r="BV185" i="27"/>
  <c r="BS185" i="27"/>
  <c r="BP185" i="27"/>
  <c r="BM185" i="27"/>
  <c r="BJ185" i="27"/>
  <c r="BG185" i="27"/>
  <c r="BD185" i="27"/>
  <c r="BA185" i="27"/>
  <c r="AX185" i="27"/>
  <c r="AU185" i="27"/>
  <c r="AR185" i="27"/>
  <c r="AO185" i="27"/>
  <c r="AL185" i="27"/>
  <c r="AI185" i="27"/>
  <c r="AF185" i="27"/>
  <c r="FW184" i="27"/>
  <c r="FT184" i="27"/>
  <c r="FQ184" i="27"/>
  <c r="FN184" i="27"/>
  <c r="FK184" i="27"/>
  <c r="FH184" i="27"/>
  <c r="FE184" i="27"/>
  <c r="FB184" i="27"/>
  <c r="EY184" i="27"/>
  <c r="EV184" i="27"/>
  <c r="ES184" i="27"/>
  <c r="EP184" i="27"/>
  <c r="EM184" i="27"/>
  <c r="EJ184" i="27"/>
  <c r="EG184" i="27"/>
  <c r="ED184" i="27"/>
  <c r="EA184" i="27"/>
  <c r="DX184" i="27"/>
  <c r="DU184" i="27"/>
  <c r="DR184" i="27"/>
  <c r="DO184" i="27"/>
  <c r="DL184" i="27"/>
  <c r="DI184" i="27"/>
  <c r="DF184" i="27"/>
  <c r="DC184" i="27"/>
  <c r="CZ184" i="27"/>
  <c r="CW184" i="27"/>
  <c r="CT184" i="27"/>
  <c r="CQ184" i="27"/>
  <c r="CN184" i="27"/>
  <c r="CK184" i="27"/>
  <c r="CH184" i="27"/>
  <c r="CE184" i="27"/>
  <c r="CB184" i="27"/>
  <c r="BY184" i="27"/>
  <c r="BV184" i="27"/>
  <c r="BS184" i="27"/>
  <c r="BP184" i="27"/>
  <c r="BM184" i="27"/>
  <c r="BJ184" i="27"/>
  <c r="BG184" i="27"/>
  <c r="BD184" i="27"/>
  <c r="BA184" i="27"/>
  <c r="AX184" i="27"/>
  <c r="AU184" i="27"/>
  <c r="AR184" i="27"/>
  <c r="AO184" i="27"/>
  <c r="AL184" i="27"/>
  <c r="AI184" i="27"/>
  <c r="AF184" i="27"/>
  <c r="GB183" i="27" a="1"/>
  <c r="GB183" i="27"/>
  <c r="GB184" i="27" s="1" a="1"/>
  <c r="GB184" i="27" s="1"/>
  <c r="GB185" i="27" s="1" a="1"/>
  <c r="GB185" i="27" s="1"/>
  <c r="GB186" i="27" s="1" a="1"/>
  <c r="GB186" i="27" s="1"/>
  <c r="GB187" i="27" s="1" a="1"/>
  <c r="GB187" i="27" s="1"/>
  <c r="FV183" i="27"/>
  <c r="FU183" i="27"/>
  <c r="FW183" i="27" s="1"/>
  <c r="FT183" i="27"/>
  <c r="FS183" i="27"/>
  <c r="FR183" i="27"/>
  <c r="FQ183" i="27"/>
  <c r="FP183" i="27"/>
  <c r="FO183" i="27"/>
  <c r="FM183" i="27"/>
  <c r="FL183" i="27"/>
  <c r="FN183" i="27" s="1"/>
  <c r="FJ183" i="27"/>
  <c r="FI183" i="27"/>
  <c r="FK183" i="27" s="1"/>
  <c r="FH183" i="27"/>
  <c r="FG183" i="27"/>
  <c r="FF183" i="27"/>
  <c r="FE183" i="27"/>
  <c r="FD183" i="27"/>
  <c r="FC183" i="27"/>
  <c r="FA183" i="27"/>
  <c r="EZ183" i="27"/>
  <c r="FB183" i="27" s="1"/>
  <c r="EX183" i="27"/>
  <c r="EW183" i="27"/>
  <c r="EY183" i="27" s="1"/>
  <c r="EV183" i="27"/>
  <c r="EU183" i="27"/>
  <c r="ET183" i="27"/>
  <c r="ES183" i="27"/>
  <c r="ER183" i="27"/>
  <c r="EQ183" i="27"/>
  <c r="EO183" i="27"/>
  <c r="EN183" i="27"/>
  <c r="EP183" i="27" s="1"/>
  <c r="EL183" i="27"/>
  <c r="EK183" i="27"/>
  <c r="EM183" i="27" s="1"/>
  <c r="EJ183" i="27"/>
  <c r="EI183" i="27"/>
  <c r="EH183" i="27"/>
  <c r="EG183" i="27"/>
  <c r="EF183" i="27"/>
  <c r="EE183" i="27"/>
  <c r="EC183" i="27"/>
  <c r="EB183" i="27"/>
  <c r="ED183" i="27" s="1"/>
  <c r="DZ183" i="27"/>
  <c r="DY183" i="27"/>
  <c r="EA183" i="27" s="1"/>
  <c r="DX183" i="27"/>
  <c r="DW183" i="27"/>
  <c r="DV183" i="27"/>
  <c r="DU183" i="27"/>
  <c r="DT183" i="27"/>
  <c r="DS183" i="27"/>
  <c r="DQ183" i="27"/>
  <c r="DP183" i="27"/>
  <c r="DR183" i="27" s="1"/>
  <c r="DN183" i="27"/>
  <c r="DM183" i="27"/>
  <c r="DO183" i="27" s="1"/>
  <c r="DL183" i="27"/>
  <c r="DK183" i="27"/>
  <c r="DJ183" i="27"/>
  <c r="DI183" i="27"/>
  <c r="DH183" i="27"/>
  <c r="DG183" i="27"/>
  <c r="DE183" i="27"/>
  <c r="DD183" i="27"/>
  <c r="DF183" i="27" s="1"/>
  <c r="DB183" i="27"/>
  <c r="DA183" i="27"/>
  <c r="DC183" i="27" s="1"/>
  <c r="CZ183" i="27"/>
  <c r="CY183" i="27"/>
  <c r="CX183" i="27"/>
  <c r="CW183" i="27"/>
  <c r="CV183" i="27"/>
  <c r="CU183" i="27"/>
  <c r="CS183" i="27"/>
  <c r="CR183" i="27"/>
  <c r="CT183" i="27" s="1"/>
  <c r="CP183" i="27"/>
  <c r="CO183" i="27"/>
  <c r="CQ183" i="27" s="1"/>
  <c r="CN183" i="27"/>
  <c r="CM183" i="27"/>
  <c r="CL183" i="27"/>
  <c r="CK183" i="27"/>
  <c r="CJ183" i="27"/>
  <c r="CI183" i="27"/>
  <c r="CG183" i="27"/>
  <c r="CF183" i="27"/>
  <c r="CH183" i="27" s="1"/>
  <c r="CD183" i="27"/>
  <c r="CC183" i="27"/>
  <c r="CE183" i="27" s="1"/>
  <c r="CB183" i="27"/>
  <c r="CA183" i="27"/>
  <c r="BZ183" i="27"/>
  <c r="BY183" i="27"/>
  <c r="BX183" i="27"/>
  <c r="BW183" i="27"/>
  <c r="BU183" i="27"/>
  <c r="BT183" i="27"/>
  <c r="BV183" i="27" s="1"/>
  <c r="BR183" i="27"/>
  <c r="BQ183" i="27"/>
  <c r="BS183" i="27" s="1"/>
  <c r="BP183" i="27"/>
  <c r="BO183" i="27"/>
  <c r="BN183" i="27"/>
  <c r="BM183" i="27"/>
  <c r="BL183" i="27"/>
  <c r="BK183" i="27"/>
  <c r="BI183" i="27"/>
  <c r="BH183" i="27"/>
  <c r="BJ183" i="27" s="1"/>
  <c r="BF183" i="27"/>
  <c r="BE183" i="27"/>
  <c r="BG183" i="27" s="1"/>
  <c r="BD183" i="27"/>
  <c r="BC183" i="27"/>
  <c r="BB183" i="27"/>
  <c r="BA183" i="27"/>
  <c r="AZ183" i="27"/>
  <c r="AY183" i="27"/>
  <c r="AW183" i="27"/>
  <c r="AV183" i="27"/>
  <c r="AX183" i="27" s="1"/>
  <c r="AT183" i="27"/>
  <c r="AS183" i="27"/>
  <c r="AU183" i="27" s="1"/>
  <c r="AR183" i="27"/>
  <c r="AQ183" i="27"/>
  <c r="AP183" i="27"/>
  <c r="AO183" i="27"/>
  <c r="AN183" i="27"/>
  <c r="AM183" i="27"/>
  <c r="AK183" i="27"/>
  <c r="AJ183" i="27"/>
  <c r="AL183" i="27" s="1"/>
  <c r="AH183" i="27"/>
  <c r="AG183" i="27"/>
  <c r="AI183" i="27" s="1"/>
  <c r="AF183" i="27"/>
  <c r="AE183" i="27"/>
  <c r="AD183" i="27"/>
  <c r="I183" i="27" a="1"/>
  <c r="I183" i="27" s="1"/>
  <c r="I184" i="27" s="1" a="1"/>
  <c r="I184" i="27" s="1"/>
  <c r="I185" i="27" s="1" a="1"/>
  <c r="I185" i="27" s="1"/>
  <c r="I186" i="27" s="1" a="1"/>
  <c r="I186" i="27" s="1"/>
  <c r="I187" i="27" s="1" a="1"/>
  <c r="I187" i="27" s="1"/>
  <c r="FW181" i="27"/>
  <c r="FT181" i="27"/>
  <c r="FQ181" i="27"/>
  <c r="FN181" i="27"/>
  <c r="FK181" i="27"/>
  <c r="FH181" i="27"/>
  <c r="FE181" i="27"/>
  <c r="FB181" i="27"/>
  <c r="EY181" i="27"/>
  <c r="EV181" i="27"/>
  <c r="ES181" i="27"/>
  <c r="EP181" i="27"/>
  <c r="EM181" i="27"/>
  <c r="EJ181" i="27"/>
  <c r="EG181" i="27"/>
  <c r="ED181" i="27"/>
  <c r="EA181" i="27"/>
  <c r="DX181" i="27"/>
  <c r="DU181" i="27"/>
  <c r="DR181" i="27"/>
  <c r="DO181" i="27"/>
  <c r="DL181" i="27"/>
  <c r="DI181" i="27"/>
  <c r="DF181" i="27"/>
  <c r="DC181" i="27"/>
  <c r="CZ181" i="27"/>
  <c r="CW181" i="27"/>
  <c r="CT181" i="27"/>
  <c r="CQ181" i="27"/>
  <c r="CN181" i="27"/>
  <c r="CK181" i="27"/>
  <c r="CH181" i="27"/>
  <c r="CE181" i="27"/>
  <c r="CB181" i="27"/>
  <c r="BY181" i="27"/>
  <c r="BV181" i="27"/>
  <c r="BS181" i="27"/>
  <c r="BP181" i="27"/>
  <c r="BM181" i="27"/>
  <c r="BJ181" i="27"/>
  <c r="BG181" i="27"/>
  <c r="BD181" i="27"/>
  <c r="BA181" i="27"/>
  <c r="AX181" i="27"/>
  <c r="AU181" i="27"/>
  <c r="AR181" i="27"/>
  <c r="AO181" i="27"/>
  <c r="AL181" i="27"/>
  <c r="AI181" i="27"/>
  <c r="AF181" i="27"/>
  <c r="FW180" i="27"/>
  <c r="FT180" i="27"/>
  <c r="FQ180" i="27"/>
  <c r="FN180" i="27"/>
  <c r="FK180" i="27"/>
  <c r="FH180" i="27"/>
  <c r="FE180" i="27"/>
  <c r="FB180" i="27"/>
  <c r="EY180" i="27"/>
  <c r="EV180" i="27"/>
  <c r="ES180" i="27"/>
  <c r="EP180" i="27"/>
  <c r="EM180" i="27"/>
  <c r="EJ180" i="27"/>
  <c r="EG180" i="27"/>
  <c r="ED180" i="27"/>
  <c r="EA180" i="27"/>
  <c r="DX180" i="27"/>
  <c r="DU180" i="27"/>
  <c r="DR180" i="27"/>
  <c r="DO180" i="27"/>
  <c r="DL180" i="27"/>
  <c r="DI180" i="27"/>
  <c r="DF180" i="27"/>
  <c r="DC180" i="27"/>
  <c r="CZ180" i="27"/>
  <c r="CW180" i="27"/>
  <c r="CT180" i="27"/>
  <c r="CQ180" i="27"/>
  <c r="CN180" i="27"/>
  <c r="CK180" i="27"/>
  <c r="CH180" i="27"/>
  <c r="CE180" i="27"/>
  <c r="CB180" i="27"/>
  <c r="BY180" i="27"/>
  <c r="BV180" i="27"/>
  <c r="BS180" i="27"/>
  <c r="BP180" i="27"/>
  <c r="BM180" i="27"/>
  <c r="BJ180" i="27"/>
  <c r="BG180" i="27"/>
  <c r="BD180" i="27"/>
  <c r="BA180" i="27"/>
  <c r="AX180" i="27"/>
  <c r="AU180" i="27"/>
  <c r="AR180" i="27"/>
  <c r="AO180" i="27"/>
  <c r="AL180" i="27"/>
  <c r="AI180" i="27"/>
  <c r="AF180" i="27"/>
  <c r="FW179" i="27"/>
  <c r="FT179" i="27"/>
  <c r="FQ179" i="27"/>
  <c r="FN179" i="27"/>
  <c r="FK179" i="27"/>
  <c r="FH179" i="27"/>
  <c r="FE179" i="27"/>
  <c r="FB179" i="27"/>
  <c r="EY179" i="27"/>
  <c r="EV179" i="27"/>
  <c r="ES179" i="27"/>
  <c r="EP179" i="27"/>
  <c r="EM179" i="27"/>
  <c r="EJ179" i="27"/>
  <c r="EG179" i="27"/>
  <c r="ED179" i="27"/>
  <c r="EA179" i="27"/>
  <c r="DX179" i="27"/>
  <c r="DU179" i="27"/>
  <c r="DR179" i="27"/>
  <c r="DO179" i="27"/>
  <c r="DL179" i="27"/>
  <c r="DI179" i="27"/>
  <c r="DF179" i="27"/>
  <c r="DC179" i="27"/>
  <c r="CZ179" i="27"/>
  <c r="CW179" i="27"/>
  <c r="CT179" i="27"/>
  <c r="CQ179" i="27"/>
  <c r="CN179" i="27"/>
  <c r="CK179" i="27"/>
  <c r="CH179" i="27"/>
  <c r="CE179" i="27"/>
  <c r="CB179" i="27"/>
  <c r="BY179" i="27"/>
  <c r="BV179" i="27"/>
  <c r="BS179" i="27"/>
  <c r="BP179" i="27"/>
  <c r="BM179" i="27"/>
  <c r="BJ179" i="27"/>
  <c r="FW178" i="27"/>
  <c r="FT178" i="27"/>
  <c r="FQ178" i="27"/>
  <c r="FN178" i="27"/>
  <c r="FK178" i="27"/>
  <c r="FH178" i="27"/>
  <c r="FE178" i="27"/>
  <c r="FB178" i="27"/>
  <c r="EY178" i="27"/>
  <c r="EV178" i="27"/>
  <c r="ES178" i="27"/>
  <c r="EP178" i="27"/>
  <c r="EM178" i="27"/>
  <c r="EJ178" i="27"/>
  <c r="EG178" i="27"/>
  <c r="ED178" i="27"/>
  <c r="EA178" i="27"/>
  <c r="DX178" i="27"/>
  <c r="DU178" i="27"/>
  <c r="DR178" i="27"/>
  <c r="DO178" i="27"/>
  <c r="DL178" i="27"/>
  <c r="DI178" i="27"/>
  <c r="DF178" i="27"/>
  <c r="DC178" i="27"/>
  <c r="CZ178" i="27"/>
  <c r="CW178" i="27"/>
  <c r="CT178" i="27"/>
  <c r="CQ178" i="27"/>
  <c r="CN178" i="27"/>
  <c r="CK178" i="27"/>
  <c r="CH178" i="27"/>
  <c r="CE178" i="27"/>
  <c r="CB178" i="27"/>
  <c r="BY178" i="27"/>
  <c r="BV178" i="27"/>
  <c r="BS178" i="27"/>
  <c r="BP178" i="27"/>
  <c r="BM178" i="27"/>
  <c r="BJ178" i="27"/>
  <c r="BG178" i="27"/>
  <c r="BD178" i="27"/>
  <c r="BA178" i="27"/>
  <c r="AX178" i="27"/>
  <c r="AU178" i="27"/>
  <c r="AR178" i="27"/>
  <c r="AO178" i="27"/>
  <c r="AL178" i="27"/>
  <c r="AI178" i="27"/>
  <c r="AF178" i="27"/>
  <c r="AB178" i="27"/>
  <c r="FW177" i="27"/>
  <c r="FV177" i="27"/>
  <c r="FU177" i="27"/>
  <c r="FS177" i="27"/>
  <c r="FR177" i="27"/>
  <c r="FT177" i="27" s="1"/>
  <c r="FP177" i="27"/>
  <c r="FO177" i="27"/>
  <c r="FQ177" i="27" s="1"/>
  <c r="FN177" i="27"/>
  <c r="FM177" i="27"/>
  <c r="FL177" i="27"/>
  <c r="FK177" i="27"/>
  <c r="FJ177" i="27"/>
  <c r="FI177" i="27"/>
  <c r="FG177" i="27"/>
  <c r="FF177" i="27"/>
  <c r="FH177" i="27" s="1"/>
  <c r="FD177" i="27"/>
  <c r="FC177" i="27"/>
  <c r="FE177" i="27" s="1"/>
  <c r="FB177" i="27"/>
  <c r="FA177" i="27"/>
  <c r="EZ177" i="27"/>
  <c r="EY177" i="27"/>
  <c r="EX177" i="27"/>
  <c r="EW177" i="27"/>
  <c r="EU177" i="27"/>
  <c r="ET177" i="27"/>
  <c r="EV177" i="27" s="1"/>
  <c r="ER177" i="27"/>
  <c r="EQ177" i="27"/>
  <c r="ES177" i="27" s="1"/>
  <c r="EP177" i="27"/>
  <c r="EO177" i="27"/>
  <c r="EN177" i="27"/>
  <c r="EM177" i="27"/>
  <c r="EL177" i="27"/>
  <c r="EK177" i="27"/>
  <c r="EI177" i="27"/>
  <c r="EH177" i="27"/>
  <c r="EJ177" i="27" s="1"/>
  <c r="EF177" i="27"/>
  <c r="EE177" i="27"/>
  <c r="EG177" i="27" s="1"/>
  <c r="ED177" i="27"/>
  <c r="EC177" i="27"/>
  <c r="EB177" i="27"/>
  <c r="EA177" i="27"/>
  <c r="DZ177" i="27"/>
  <c r="DY177" i="27"/>
  <c r="DW177" i="27"/>
  <c r="DV177" i="27"/>
  <c r="DX177" i="27" s="1"/>
  <c r="DT177" i="27"/>
  <c r="DS177" i="27"/>
  <c r="DU177" i="27" s="1"/>
  <c r="DR177" i="27"/>
  <c r="DQ177" i="27"/>
  <c r="DP177" i="27"/>
  <c r="DO177" i="27"/>
  <c r="DN177" i="27"/>
  <c r="DM177" i="27"/>
  <c r="DK177" i="27"/>
  <c r="DJ177" i="27"/>
  <c r="DL177" i="27" s="1"/>
  <c r="DH177" i="27"/>
  <c r="DG177" i="27"/>
  <c r="DI177" i="27" s="1"/>
  <c r="DF177" i="27"/>
  <c r="DE177" i="27"/>
  <c r="DD177" i="27"/>
  <c r="DC177" i="27"/>
  <c r="DB177" i="27"/>
  <c r="DA177" i="27"/>
  <c r="CY177" i="27"/>
  <c r="CX177" i="27"/>
  <c r="CZ177" i="27" s="1"/>
  <c r="CV177" i="27"/>
  <c r="CU177" i="27"/>
  <c r="CW177" i="27" s="1"/>
  <c r="CT177" i="27"/>
  <c r="CS177" i="27"/>
  <c r="CR177" i="27"/>
  <c r="CQ177" i="27"/>
  <c r="CP177" i="27"/>
  <c r="CO177" i="27"/>
  <c r="CM177" i="27"/>
  <c r="CL177" i="27"/>
  <c r="CN177" i="27" s="1"/>
  <c r="CJ177" i="27"/>
  <c r="CI177" i="27"/>
  <c r="CK177" i="27" s="1"/>
  <c r="CH177" i="27"/>
  <c r="CG177" i="27"/>
  <c r="CF177" i="27"/>
  <c r="CE177" i="27"/>
  <c r="CD177" i="27"/>
  <c r="CC177" i="27"/>
  <c r="CA177" i="27"/>
  <c r="BZ177" i="27"/>
  <c r="CB177" i="27" s="1"/>
  <c r="BX177" i="27"/>
  <c r="BW177" i="27"/>
  <c r="BY177" i="27" s="1"/>
  <c r="BV177" i="27"/>
  <c r="BU177" i="27"/>
  <c r="BT177" i="27"/>
  <c r="BS177" i="27"/>
  <c r="BR177" i="27"/>
  <c r="BQ177" i="27"/>
  <c r="BO177" i="27"/>
  <c r="BN177" i="27"/>
  <c r="BP177" i="27" s="1"/>
  <c r="BL177" i="27"/>
  <c r="BK177" i="27"/>
  <c r="BM177" i="27" s="1"/>
  <c r="BJ177" i="27"/>
  <c r="BI177" i="27"/>
  <c r="BH177" i="27"/>
  <c r="FW175" i="27"/>
  <c r="FT175" i="27"/>
  <c r="FQ175" i="27"/>
  <c r="FN175" i="27"/>
  <c r="FK175" i="27"/>
  <c r="FH175" i="27"/>
  <c r="FE175" i="27"/>
  <c r="FB175" i="27"/>
  <c r="EY175" i="27"/>
  <c r="EV175" i="27"/>
  <c r="ES175" i="27"/>
  <c r="EP175" i="27"/>
  <c r="EM175" i="27"/>
  <c r="EJ175" i="27"/>
  <c r="EG175" i="27"/>
  <c r="ED175" i="27"/>
  <c r="EA175" i="27"/>
  <c r="DX175" i="27"/>
  <c r="DU175" i="27"/>
  <c r="DR175" i="27"/>
  <c r="DO175" i="27"/>
  <c r="DL175" i="27"/>
  <c r="DI175" i="27"/>
  <c r="DF175" i="27"/>
  <c r="DC175" i="27"/>
  <c r="CZ175" i="27"/>
  <c r="CW175" i="27"/>
  <c r="CT175" i="27"/>
  <c r="CQ175" i="27"/>
  <c r="CN175" i="27"/>
  <c r="CK175" i="27"/>
  <c r="CH175" i="27"/>
  <c r="CE175" i="27"/>
  <c r="CB175" i="27"/>
  <c r="BY175" i="27"/>
  <c r="BV175" i="27"/>
  <c r="BS175" i="27"/>
  <c r="BP175" i="27"/>
  <c r="BM175" i="27"/>
  <c r="BJ175" i="27"/>
  <c r="BG175" i="27"/>
  <c r="BD175" i="27"/>
  <c r="BA175" i="27"/>
  <c r="AX175" i="27"/>
  <c r="AU175" i="27"/>
  <c r="AR175" i="27"/>
  <c r="AO175" i="27"/>
  <c r="AL175" i="27"/>
  <c r="AI175" i="27"/>
  <c r="AF175" i="27"/>
  <c r="FW174" i="27"/>
  <c r="FT174" i="27"/>
  <c r="FQ174" i="27"/>
  <c r="FN174" i="27"/>
  <c r="FK174" i="27"/>
  <c r="FH174" i="27"/>
  <c r="FE174" i="27"/>
  <c r="FB174" i="27"/>
  <c r="EY174" i="27"/>
  <c r="EV174" i="27"/>
  <c r="ES174" i="27"/>
  <c r="EP174" i="27"/>
  <c r="EM174" i="27"/>
  <c r="EJ174" i="27"/>
  <c r="EG174" i="27"/>
  <c r="ED174" i="27"/>
  <c r="EA174" i="27"/>
  <c r="DX174" i="27"/>
  <c r="DU174" i="27"/>
  <c r="DR174" i="27"/>
  <c r="DO174" i="27"/>
  <c r="DL174" i="27"/>
  <c r="DI174" i="27"/>
  <c r="DF174" i="27"/>
  <c r="DC174" i="27"/>
  <c r="CZ174" i="27"/>
  <c r="CW174" i="27"/>
  <c r="CT174" i="27"/>
  <c r="CQ174" i="27"/>
  <c r="CN174" i="27"/>
  <c r="CK174" i="27"/>
  <c r="CH174" i="27"/>
  <c r="CE174" i="27"/>
  <c r="CB174" i="27"/>
  <c r="BY174" i="27"/>
  <c r="BV174" i="27"/>
  <c r="BS174" i="27"/>
  <c r="BP174" i="27"/>
  <c r="BM174" i="27"/>
  <c r="BJ174" i="27"/>
  <c r="BG174" i="27"/>
  <c r="BD174" i="27"/>
  <c r="BA174" i="27"/>
  <c r="AX174" i="27"/>
  <c r="AU174" i="27"/>
  <c r="AR174" i="27"/>
  <c r="AO174" i="27"/>
  <c r="AL174" i="27"/>
  <c r="AI174" i="27"/>
  <c r="AF174" i="27"/>
  <c r="FW173" i="27"/>
  <c r="FT173" i="27"/>
  <c r="FQ173" i="27"/>
  <c r="FN173" i="27"/>
  <c r="FK173" i="27"/>
  <c r="FH173" i="27"/>
  <c r="FE173" i="27"/>
  <c r="FB173" i="27"/>
  <c r="EY173" i="27"/>
  <c r="EV173" i="27"/>
  <c r="ES173" i="27"/>
  <c r="EP173" i="27"/>
  <c r="EM173" i="27"/>
  <c r="EJ173" i="27"/>
  <c r="EG173" i="27"/>
  <c r="ED173" i="27"/>
  <c r="EA173" i="27"/>
  <c r="DX173" i="27"/>
  <c r="DU173" i="27"/>
  <c r="DR173" i="27"/>
  <c r="DO173" i="27"/>
  <c r="DL173" i="27"/>
  <c r="DI173" i="27"/>
  <c r="DF173" i="27"/>
  <c r="DC173" i="27"/>
  <c r="CZ173" i="27"/>
  <c r="CW173" i="27"/>
  <c r="CT173" i="27"/>
  <c r="CQ173" i="27"/>
  <c r="CN173" i="27"/>
  <c r="CK173" i="27"/>
  <c r="CH173" i="27"/>
  <c r="CE173" i="27"/>
  <c r="CB173" i="27"/>
  <c r="BY173" i="27"/>
  <c r="BV173" i="27"/>
  <c r="BS173" i="27"/>
  <c r="BP173" i="27"/>
  <c r="BM173" i="27"/>
  <c r="BJ173" i="27"/>
  <c r="AB173" i="27"/>
  <c r="FW172" i="27"/>
  <c r="FT172" i="27"/>
  <c r="FQ172" i="27"/>
  <c r="FN172" i="27"/>
  <c r="FK172" i="27"/>
  <c r="FH172" i="27"/>
  <c r="FE172" i="27"/>
  <c r="FB172" i="27"/>
  <c r="EY172" i="27"/>
  <c r="EV172" i="27"/>
  <c r="ES172" i="27"/>
  <c r="EP172" i="27"/>
  <c r="EM172" i="27"/>
  <c r="EJ172" i="27"/>
  <c r="EG172" i="27"/>
  <c r="ED172" i="27"/>
  <c r="EA172" i="27"/>
  <c r="DX172" i="27"/>
  <c r="DU172" i="27"/>
  <c r="DR172" i="27"/>
  <c r="DO172" i="27"/>
  <c r="DL172" i="27"/>
  <c r="DI172" i="27"/>
  <c r="DF172" i="27"/>
  <c r="DC172" i="27"/>
  <c r="CZ172" i="27"/>
  <c r="CW172" i="27"/>
  <c r="CT172" i="27"/>
  <c r="CQ172" i="27"/>
  <c r="CN172" i="27"/>
  <c r="CK172" i="27"/>
  <c r="CH172" i="27"/>
  <c r="CE172" i="27"/>
  <c r="CB172" i="27"/>
  <c r="BY172" i="27"/>
  <c r="BV172" i="27"/>
  <c r="BS172" i="27"/>
  <c r="BP172" i="27"/>
  <c r="BM172" i="27"/>
  <c r="BJ172" i="27"/>
  <c r="BG172" i="27"/>
  <c r="BD172" i="27"/>
  <c r="BA172" i="27"/>
  <c r="AX172" i="27"/>
  <c r="AU172" i="27"/>
  <c r="AR172" i="27"/>
  <c r="AO172" i="27"/>
  <c r="AL172" i="27"/>
  <c r="AI172" i="27"/>
  <c r="AF172" i="27"/>
  <c r="FW171" i="27"/>
  <c r="FV171" i="27"/>
  <c r="FU171" i="27"/>
  <c r="FT171" i="27"/>
  <c r="FS171" i="27"/>
  <c r="FR171" i="27"/>
  <c r="FP171" i="27"/>
  <c r="FO171" i="27"/>
  <c r="FQ171" i="27" s="1"/>
  <c r="FM171" i="27"/>
  <c r="FL171" i="27"/>
  <c r="FN171" i="27" s="1"/>
  <c r="FK171" i="27"/>
  <c r="FJ171" i="27"/>
  <c r="FI171" i="27"/>
  <c r="FH171" i="27"/>
  <c r="FG171" i="27"/>
  <c r="FF171" i="27"/>
  <c r="FD171" i="27"/>
  <c r="FC171" i="27"/>
  <c r="FE171" i="27" s="1"/>
  <c r="FA171" i="27"/>
  <c r="EZ171" i="27"/>
  <c r="FB171" i="27" s="1"/>
  <c r="EY171" i="27"/>
  <c r="EX171" i="27"/>
  <c r="EW171" i="27"/>
  <c r="EV171" i="27"/>
  <c r="EU171" i="27"/>
  <c r="ET171" i="27"/>
  <c r="ER171" i="27"/>
  <c r="EQ171" i="27"/>
  <c r="ES171" i="27" s="1"/>
  <c r="EO171" i="27"/>
  <c r="EN171" i="27"/>
  <c r="EP171" i="27" s="1"/>
  <c r="EM171" i="27"/>
  <c r="EL171" i="27"/>
  <c r="EK171" i="27"/>
  <c r="EJ171" i="27"/>
  <c r="EI171" i="27"/>
  <c r="EH171" i="27"/>
  <c r="EF171" i="27"/>
  <c r="EE171" i="27"/>
  <c r="EG171" i="27" s="1"/>
  <c r="EC171" i="27"/>
  <c r="EB171" i="27"/>
  <c r="ED171" i="27" s="1"/>
  <c r="EA171" i="27"/>
  <c r="DZ171" i="27"/>
  <c r="DY171" i="27"/>
  <c r="DX171" i="27"/>
  <c r="DW171" i="27"/>
  <c r="DV171" i="27"/>
  <c r="DT171" i="27"/>
  <c r="DS171" i="27"/>
  <c r="DU171" i="27" s="1"/>
  <c r="DQ171" i="27"/>
  <c r="DP171" i="27"/>
  <c r="DR171" i="27" s="1"/>
  <c r="DO171" i="27"/>
  <c r="DN171" i="27"/>
  <c r="DM171" i="27"/>
  <c r="DL171" i="27"/>
  <c r="DK171" i="27"/>
  <c r="DJ171" i="27"/>
  <c r="DH171" i="27"/>
  <c r="DG171" i="27"/>
  <c r="DI171" i="27" s="1"/>
  <c r="DE171" i="27"/>
  <c r="DD171" i="27"/>
  <c r="DF171" i="27" s="1"/>
  <c r="DC171" i="27"/>
  <c r="DB171" i="27"/>
  <c r="DA171" i="27"/>
  <c r="CZ171" i="27"/>
  <c r="CY171" i="27"/>
  <c r="CX171" i="27"/>
  <c r="CV171" i="27"/>
  <c r="CU171" i="27"/>
  <c r="CW171" i="27" s="1"/>
  <c r="CS171" i="27"/>
  <c r="CR171" i="27"/>
  <c r="CT171" i="27" s="1"/>
  <c r="CQ171" i="27"/>
  <c r="CP171" i="27"/>
  <c r="CO171" i="27"/>
  <c r="CN171" i="27"/>
  <c r="CM171" i="27"/>
  <c r="CL171" i="27"/>
  <c r="CJ171" i="27"/>
  <c r="CI171" i="27"/>
  <c r="CK171" i="27" s="1"/>
  <c r="CG171" i="27"/>
  <c r="CF171" i="27"/>
  <c r="CH171" i="27" s="1"/>
  <c r="CE171" i="27"/>
  <c r="CD171" i="27"/>
  <c r="CC171" i="27"/>
  <c r="CB171" i="27"/>
  <c r="CA171" i="27"/>
  <c r="BZ171" i="27"/>
  <c r="BX171" i="27"/>
  <c r="BW171" i="27"/>
  <c r="BY171" i="27" s="1"/>
  <c r="BU171" i="27"/>
  <c r="BT171" i="27"/>
  <c r="BV171" i="27" s="1"/>
  <c r="BS171" i="27"/>
  <c r="BR171" i="27"/>
  <c r="BQ171" i="27"/>
  <c r="BP171" i="27"/>
  <c r="BO171" i="27"/>
  <c r="BN171" i="27"/>
  <c r="BL171" i="27"/>
  <c r="BK171" i="27"/>
  <c r="BM171" i="27" s="1"/>
  <c r="BI171" i="27"/>
  <c r="BH171" i="27"/>
  <c r="BJ171" i="27" s="1"/>
  <c r="FW169" i="27"/>
  <c r="FT169" i="27"/>
  <c r="FQ169" i="27"/>
  <c r="FN169" i="27"/>
  <c r="FK169" i="27"/>
  <c r="FH169" i="27"/>
  <c r="FE169" i="27"/>
  <c r="FB169" i="27"/>
  <c r="EY169" i="27"/>
  <c r="EV169" i="27"/>
  <c r="ES169" i="27"/>
  <c r="EP169" i="27"/>
  <c r="EM169" i="27"/>
  <c r="EJ169" i="27"/>
  <c r="EG169" i="27"/>
  <c r="ED169" i="27"/>
  <c r="EA169" i="27"/>
  <c r="DX169" i="27"/>
  <c r="DU169" i="27"/>
  <c r="DR169" i="27"/>
  <c r="DO169" i="27"/>
  <c r="DL169" i="27"/>
  <c r="DI169" i="27"/>
  <c r="DF169" i="27"/>
  <c r="DC169" i="27"/>
  <c r="CZ169" i="27"/>
  <c r="CW169" i="27"/>
  <c r="CT169" i="27"/>
  <c r="CQ169" i="27"/>
  <c r="CN169" i="27"/>
  <c r="CK169" i="27"/>
  <c r="CH169" i="27"/>
  <c r="CE169" i="27"/>
  <c r="CB169" i="27"/>
  <c r="BY169" i="27"/>
  <c r="BV169" i="27"/>
  <c r="BS169" i="27"/>
  <c r="BP169" i="27"/>
  <c r="BM169" i="27"/>
  <c r="BJ169" i="27"/>
  <c r="BG169" i="27"/>
  <c r="BD169" i="27"/>
  <c r="BA169" i="27"/>
  <c r="AX169" i="27"/>
  <c r="AU169" i="27"/>
  <c r="AR169" i="27"/>
  <c r="AO169" i="27"/>
  <c r="AL169" i="27"/>
  <c r="AI169" i="27"/>
  <c r="AF169" i="27"/>
  <c r="FW168" i="27"/>
  <c r="FT168" i="27"/>
  <c r="FQ168" i="27"/>
  <c r="FN168" i="27"/>
  <c r="FK168" i="27"/>
  <c r="FH168" i="27"/>
  <c r="FE168" i="27"/>
  <c r="FB168" i="27"/>
  <c r="EY168" i="27"/>
  <c r="EV168" i="27"/>
  <c r="ES168" i="27"/>
  <c r="EP168" i="27"/>
  <c r="EM168" i="27"/>
  <c r="EJ168" i="27"/>
  <c r="EG168" i="27"/>
  <c r="ED168" i="27"/>
  <c r="EA168" i="27"/>
  <c r="DX168" i="27"/>
  <c r="DU168" i="27"/>
  <c r="DR168" i="27"/>
  <c r="DO168" i="27"/>
  <c r="DL168" i="27"/>
  <c r="DI168" i="27"/>
  <c r="DF168" i="27"/>
  <c r="DC168" i="27"/>
  <c r="CZ168" i="27"/>
  <c r="CW168" i="27"/>
  <c r="CT168" i="27"/>
  <c r="CQ168" i="27"/>
  <c r="CN168" i="27"/>
  <c r="CK168" i="27"/>
  <c r="CH168" i="27"/>
  <c r="CE168" i="27"/>
  <c r="CB168" i="27"/>
  <c r="BY168" i="27"/>
  <c r="BV168" i="27"/>
  <c r="BS168" i="27"/>
  <c r="BP168" i="27"/>
  <c r="BM168" i="27"/>
  <c r="BJ168" i="27"/>
  <c r="BG168" i="27"/>
  <c r="BD168" i="27"/>
  <c r="BA168" i="27"/>
  <c r="AX168" i="27"/>
  <c r="AU168" i="27"/>
  <c r="AR168" i="27"/>
  <c r="AO168" i="27"/>
  <c r="AL168" i="27"/>
  <c r="AI168" i="27"/>
  <c r="AF168" i="27"/>
  <c r="AB168" i="27"/>
  <c r="FW167" i="27"/>
  <c r="FT167" i="27"/>
  <c r="FQ167" i="27"/>
  <c r="FN167" i="27"/>
  <c r="FK167" i="27"/>
  <c r="FH167" i="27"/>
  <c r="FE167" i="27"/>
  <c r="FB167" i="27"/>
  <c r="EY167" i="27"/>
  <c r="EV167" i="27"/>
  <c r="ES167" i="27"/>
  <c r="EP167" i="27"/>
  <c r="EM167" i="27"/>
  <c r="EJ167" i="27"/>
  <c r="EG167" i="27"/>
  <c r="ED167" i="27"/>
  <c r="EA167" i="27"/>
  <c r="DX167" i="27"/>
  <c r="DU167" i="27"/>
  <c r="DR167" i="27"/>
  <c r="DO167" i="27"/>
  <c r="DL167" i="27"/>
  <c r="DI167" i="27"/>
  <c r="DF167" i="27"/>
  <c r="DC167" i="27"/>
  <c r="CZ167" i="27"/>
  <c r="CW167" i="27"/>
  <c r="CT167" i="27"/>
  <c r="CQ167" i="27"/>
  <c r="CN167" i="27"/>
  <c r="CK167" i="27"/>
  <c r="CH167" i="27"/>
  <c r="CE167" i="27"/>
  <c r="CB167" i="27"/>
  <c r="BY167" i="27"/>
  <c r="BV167" i="27"/>
  <c r="BS167" i="27"/>
  <c r="BP167" i="27"/>
  <c r="BM167" i="27"/>
  <c r="BJ167" i="27"/>
  <c r="FW166" i="27"/>
  <c r="FT166" i="27"/>
  <c r="FQ166" i="27"/>
  <c r="FN166" i="27"/>
  <c r="FK166" i="27"/>
  <c r="FH166" i="27"/>
  <c r="FE166" i="27"/>
  <c r="FB166" i="27"/>
  <c r="EY166" i="27"/>
  <c r="EV166" i="27"/>
  <c r="ES166" i="27"/>
  <c r="EP166" i="27"/>
  <c r="EM166" i="27"/>
  <c r="EJ166" i="27"/>
  <c r="EG166" i="27"/>
  <c r="ED166" i="27"/>
  <c r="EA166" i="27"/>
  <c r="DX166" i="27"/>
  <c r="DU166" i="27"/>
  <c r="DR166" i="27"/>
  <c r="DO166" i="27"/>
  <c r="DL166" i="27"/>
  <c r="DI166" i="27"/>
  <c r="DF166" i="27"/>
  <c r="DC166" i="27"/>
  <c r="CZ166" i="27"/>
  <c r="CW166" i="27"/>
  <c r="CT166" i="27"/>
  <c r="CQ166" i="27"/>
  <c r="CN166" i="27"/>
  <c r="CK166" i="27"/>
  <c r="CH166" i="27"/>
  <c r="CE166" i="27"/>
  <c r="CB166" i="27"/>
  <c r="BY166" i="27"/>
  <c r="BV166" i="27"/>
  <c r="BS166" i="27"/>
  <c r="BP166" i="27"/>
  <c r="BM166" i="27"/>
  <c r="BJ166" i="27"/>
  <c r="BG166" i="27"/>
  <c r="BD166" i="27"/>
  <c r="BA166" i="27"/>
  <c r="AX166" i="27"/>
  <c r="AU166" i="27"/>
  <c r="AR166" i="27"/>
  <c r="AO166" i="27"/>
  <c r="AL166" i="27"/>
  <c r="AI166" i="27"/>
  <c r="AF166" i="27"/>
  <c r="FV165" i="27"/>
  <c r="FU165" i="27"/>
  <c r="FW165" i="27" s="1"/>
  <c r="FT165" i="27"/>
  <c r="FS165" i="27"/>
  <c r="FR165" i="27"/>
  <c r="FQ165" i="27"/>
  <c r="FP165" i="27"/>
  <c r="FO165" i="27"/>
  <c r="FM165" i="27"/>
  <c r="FL165" i="27"/>
  <c r="FN165" i="27" s="1"/>
  <c r="FJ165" i="27"/>
  <c r="FI165" i="27"/>
  <c r="FK165" i="27" s="1"/>
  <c r="FH165" i="27"/>
  <c r="FG165" i="27"/>
  <c r="FF165" i="27"/>
  <c r="FE165" i="27"/>
  <c r="FD165" i="27"/>
  <c r="FC165" i="27"/>
  <c r="FA165" i="27"/>
  <c r="EZ165" i="27"/>
  <c r="FB165" i="27" s="1"/>
  <c r="EX165" i="27"/>
  <c r="EW165" i="27"/>
  <c r="EY165" i="27" s="1"/>
  <c r="EV165" i="27"/>
  <c r="EU165" i="27"/>
  <c r="ET165" i="27"/>
  <c r="ES165" i="27"/>
  <c r="ER165" i="27"/>
  <c r="EQ165" i="27"/>
  <c r="EO165" i="27"/>
  <c r="EN165" i="27"/>
  <c r="EP165" i="27" s="1"/>
  <c r="EL165" i="27"/>
  <c r="EK165" i="27"/>
  <c r="EM165" i="27" s="1"/>
  <c r="EJ165" i="27"/>
  <c r="EI165" i="27"/>
  <c r="EH165" i="27"/>
  <c r="EG165" i="27"/>
  <c r="EF165" i="27"/>
  <c r="EE165" i="27"/>
  <c r="EC165" i="27"/>
  <c r="EB165" i="27"/>
  <c r="ED165" i="27" s="1"/>
  <c r="DZ165" i="27"/>
  <c r="DY165" i="27"/>
  <c r="EA165" i="27" s="1"/>
  <c r="DX165" i="27"/>
  <c r="DW165" i="27"/>
  <c r="DV165" i="27"/>
  <c r="DU165" i="27"/>
  <c r="DT165" i="27"/>
  <c r="DS165" i="27"/>
  <c r="DQ165" i="27"/>
  <c r="DP165" i="27"/>
  <c r="DR165" i="27" s="1"/>
  <c r="DN165" i="27"/>
  <c r="DM165" i="27"/>
  <c r="DO165" i="27" s="1"/>
  <c r="DL165" i="27"/>
  <c r="DK165" i="27"/>
  <c r="DJ165" i="27"/>
  <c r="DI165" i="27"/>
  <c r="DH165" i="27"/>
  <c r="DG165" i="27"/>
  <c r="DE165" i="27"/>
  <c r="DD165" i="27"/>
  <c r="DF165" i="27" s="1"/>
  <c r="DB165" i="27"/>
  <c r="DA165" i="27"/>
  <c r="DC165" i="27" s="1"/>
  <c r="CZ165" i="27"/>
  <c r="CY165" i="27"/>
  <c r="CX165" i="27"/>
  <c r="CW165" i="27"/>
  <c r="CV165" i="27"/>
  <c r="CU165" i="27"/>
  <c r="CS165" i="27"/>
  <c r="CR165" i="27"/>
  <c r="CT165" i="27" s="1"/>
  <c r="CP165" i="27"/>
  <c r="CO165" i="27"/>
  <c r="CQ165" i="27" s="1"/>
  <c r="CN165" i="27"/>
  <c r="CM165" i="27"/>
  <c r="CL165" i="27"/>
  <c r="CK165" i="27"/>
  <c r="CJ165" i="27"/>
  <c r="CI165" i="27"/>
  <c r="CG165" i="27"/>
  <c r="CF165" i="27"/>
  <c r="CH165" i="27" s="1"/>
  <c r="CD165" i="27"/>
  <c r="CC165" i="27"/>
  <c r="CE165" i="27" s="1"/>
  <c r="CB165" i="27"/>
  <c r="CA165" i="27"/>
  <c r="BZ165" i="27"/>
  <c r="BY165" i="27"/>
  <c r="BX165" i="27"/>
  <c r="BW165" i="27"/>
  <c r="BU165" i="27"/>
  <c r="BT165" i="27"/>
  <c r="BV165" i="27" s="1"/>
  <c r="BR165" i="27"/>
  <c r="BQ165" i="27"/>
  <c r="BS165" i="27" s="1"/>
  <c r="BP165" i="27"/>
  <c r="BO165" i="27"/>
  <c r="BN165" i="27"/>
  <c r="BM165" i="27"/>
  <c r="BL165" i="27"/>
  <c r="BK165" i="27"/>
  <c r="BI165" i="27"/>
  <c r="BH165" i="27"/>
  <c r="BJ165" i="27" s="1"/>
  <c r="FW163" i="27"/>
  <c r="FT163" i="27"/>
  <c r="FQ163" i="27"/>
  <c r="FN163" i="27"/>
  <c r="FK163" i="27"/>
  <c r="FH163" i="27"/>
  <c r="FE163" i="27"/>
  <c r="FB163" i="27"/>
  <c r="EY163" i="27"/>
  <c r="EV163" i="27"/>
  <c r="ES163" i="27"/>
  <c r="EP163" i="27"/>
  <c r="EM163" i="27"/>
  <c r="EJ163" i="27"/>
  <c r="EG163" i="27"/>
  <c r="ED163" i="27"/>
  <c r="EA163" i="27"/>
  <c r="DX163" i="27"/>
  <c r="DU163" i="27"/>
  <c r="DR163" i="27"/>
  <c r="DO163" i="27"/>
  <c r="DL163" i="27"/>
  <c r="DI163" i="27"/>
  <c r="DF163" i="27"/>
  <c r="DC163" i="27"/>
  <c r="CZ163" i="27"/>
  <c r="CW163" i="27"/>
  <c r="CT163" i="27"/>
  <c r="CQ163" i="27"/>
  <c r="CN163" i="27"/>
  <c r="CK163" i="27"/>
  <c r="CH163" i="27"/>
  <c r="CE163" i="27"/>
  <c r="CB163" i="27"/>
  <c r="BY163" i="27"/>
  <c r="BV163" i="27"/>
  <c r="BS163" i="27"/>
  <c r="BP163" i="27"/>
  <c r="BM163" i="27"/>
  <c r="BJ163" i="27"/>
  <c r="BG163" i="27"/>
  <c r="BD163" i="27"/>
  <c r="BA163" i="27"/>
  <c r="AX163" i="27"/>
  <c r="AU163" i="27"/>
  <c r="AR163" i="27"/>
  <c r="AO163" i="27"/>
  <c r="AL163" i="27"/>
  <c r="AI163" i="27"/>
  <c r="AF163" i="27"/>
  <c r="FW162" i="27"/>
  <c r="FT162" i="27"/>
  <c r="FQ162" i="27"/>
  <c r="FN162" i="27"/>
  <c r="FK162" i="27"/>
  <c r="FH162" i="27"/>
  <c r="FE162" i="27"/>
  <c r="FB162" i="27"/>
  <c r="EY162" i="27"/>
  <c r="EV162" i="27"/>
  <c r="ES162" i="27"/>
  <c r="EP162" i="27"/>
  <c r="EM162" i="27"/>
  <c r="EJ162" i="27"/>
  <c r="EG162" i="27"/>
  <c r="ED162" i="27"/>
  <c r="EA162" i="27"/>
  <c r="DX162" i="27"/>
  <c r="DU162" i="27"/>
  <c r="DR162" i="27"/>
  <c r="DO162" i="27"/>
  <c r="DL162" i="27"/>
  <c r="DI162" i="27"/>
  <c r="DF162" i="27"/>
  <c r="DC162" i="27"/>
  <c r="CZ162" i="27"/>
  <c r="CW162" i="27"/>
  <c r="CT162" i="27"/>
  <c r="CQ162" i="27"/>
  <c r="CN162" i="27"/>
  <c r="CK162" i="27"/>
  <c r="CH162" i="27"/>
  <c r="CE162" i="27"/>
  <c r="CB162" i="27"/>
  <c r="BY162" i="27"/>
  <c r="BV162" i="27"/>
  <c r="BS162" i="27"/>
  <c r="BP162" i="27"/>
  <c r="BM162" i="27"/>
  <c r="BJ162" i="27"/>
  <c r="BG162" i="27"/>
  <c r="BD162" i="27"/>
  <c r="BA162" i="27"/>
  <c r="AX162" i="27"/>
  <c r="AU162" i="27"/>
  <c r="AR162" i="27"/>
  <c r="AO162" i="27"/>
  <c r="AL162" i="27"/>
  <c r="AI162" i="27"/>
  <c r="AF162" i="27"/>
  <c r="FW161" i="27"/>
  <c r="FT161" i="27"/>
  <c r="FQ161" i="27"/>
  <c r="FN161" i="27"/>
  <c r="FK161" i="27"/>
  <c r="FH161" i="27"/>
  <c r="FE161" i="27"/>
  <c r="FB161" i="27"/>
  <c r="EY161" i="27"/>
  <c r="EV161" i="27"/>
  <c r="ES161" i="27"/>
  <c r="EP161" i="27"/>
  <c r="EM161" i="27"/>
  <c r="EJ161" i="27"/>
  <c r="EG161" i="27"/>
  <c r="ED161" i="27"/>
  <c r="EA161" i="27"/>
  <c r="DX161" i="27"/>
  <c r="DU161" i="27"/>
  <c r="DR161" i="27"/>
  <c r="DO161" i="27"/>
  <c r="DL161" i="27"/>
  <c r="DI161" i="27"/>
  <c r="DF161" i="27"/>
  <c r="DC161" i="27"/>
  <c r="CZ161" i="27"/>
  <c r="CW161" i="27"/>
  <c r="CT161" i="27"/>
  <c r="CQ161" i="27"/>
  <c r="CN161" i="27"/>
  <c r="CK161" i="27"/>
  <c r="CH161" i="27"/>
  <c r="CE161" i="27"/>
  <c r="CB161" i="27"/>
  <c r="BY161" i="27"/>
  <c r="BV161" i="27"/>
  <c r="BS161" i="27"/>
  <c r="BP161" i="27"/>
  <c r="BM161" i="27"/>
  <c r="BJ161" i="27"/>
  <c r="FW160" i="27"/>
  <c r="FT160" i="27"/>
  <c r="FQ160" i="27"/>
  <c r="FN160" i="27"/>
  <c r="FK160" i="27"/>
  <c r="FH160" i="27"/>
  <c r="FE160" i="27"/>
  <c r="FB160" i="27"/>
  <c r="EY160" i="27"/>
  <c r="EV160" i="27"/>
  <c r="ES160" i="27"/>
  <c r="EP160" i="27"/>
  <c r="EM160" i="27"/>
  <c r="EJ160" i="27"/>
  <c r="EG160" i="27"/>
  <c r="ED160" i="27"/>
  <c r="EA160" i="27"/>
  <c r="DX160" i="27"/>
  <c r="DU160" i="27"/>
  <c r="DR160" i="27"/>
  <c r="DO160" i="27"/>
  <c r="DL160" i="27"/>
  <c r="DI160" i="27"/>
  <c r="DF160" i="27"/>
  <c r="DC160" i="27"/>
  <c r="CZ160" i="27"/>
  <c r="CW160" i="27"/>
  <c r="CT160" i="27"/>
  <c r="CQ160" i="27"/>
  <c r="CN160" i="27"/>
  <c r="CK160" i="27"/>
  <c r="CH160" i="27"/>
  <c r="CE160" i="27"/>
  <c r="CB160" i="27"/>
  <c r="BY160" i="27"/>
  <c r="BV160" i="27"/>
  <c r="BS160" i="27"/>
  <c r="BP160" i="27"/>
  <c r="BM160" i="27"/>
  <c r="BJ160" i="27"/>
  <c r="BG160" i="27"/>
  <c r="BD160" i="27"/>
  <c r="BA160" i="27"/>
  <c r="AX160" i="27"/>
  <c r="AU160" i="27"/>
  <c r="AR160" i="27"/>
  <c r="AO160" i="27"/>
  <c r="AL160" i="27"/>
  <c r="AI160" i="27"/>
  <c r="AF160" i="27"/>
  <c r="FV159" i="27"/>
  <c r="FU159" i="27"/>
  <c r="FW159" i="27" s="1"/>
  <c r="FS159" i="27"/>
  <c r="FR159" i="27"/>
  <c r="FT159" i="27" s="1"/>
  <c r="FQ159" i="27"/>
  <c r="FP159" i="27"/>
  <c r="FO159" i="27"/>
  <c r="FN159" i="27"/>
  <c r="FM159" i="27"/>
  <c r="FL159" i="27"/>
  <c r="FJ159" i="27"/>
  <c r="FI159" i="27"/>
  <c r="FK159" i="27" s="1"/>
  <c r="FG159" i="27"/>
  <c r="FF159" i="27"/>
  <c r="FH159" i="27" s="1"/>
  <c r="FE159" i="27"/>
  <c r="FD159" i="27"/>
  <c r="FC159" i="27"/>
  <c r="FB159" i="27"/>
  <c r="FA159" i="27"/>
  <c r="EZ159" i="27"/>
  <c r="EX159" i="27"/>
  <c r="EW159" i="27"/>
  <c r="EY159" i="27" s="1"/>
  <c r="EU159" i="27"/>
  <c r="ET159" i="27"/>
  <c r="EV159" i="27" s="1"/>
  <c r="ES159" i="27"/>
  <c r="ER159" i="27"/>
  <c r="EQ159" i="27"/>
  <c r="EP159" i="27"/>
  <c r="EO159" i="27"/>
  <c r="EN159" i="27"/>
  <c r="EL159" i="27"/>
  <c r="EK159" i="27"/>
  <c r="EM159" i="27" s="1"/>
  <c r="EI159" i="27"/>
  <c r="EH159" i="27"/>
  <c r="EJ159" i="27" s="1"/>
  <c r="EG159" i="27"/>
  <c r="EF159" i="27"/>
  <c r="EE159" i="27"/>
  <c r="ED159" i="27"/>
  <c r="EC159" i="27"/>
  <c r="EB159" i="27"/>
  <c r="DZ159" i="27"/>
  <c r="DY159" i="27"/>
  <c r="EA159" i="27" s="1"/>
  <c r="DW159" i="27"/>
  <c r="DV159" i="27"/>
  <c r="DX159" i="27" s="1"/>
  <c r="DU159" i="27"/>
  <c r="DT159" i="27"/>
  <c r="DS159" i="27"/>
  <c r="DR159" i="27"/>
  <c r="DQ159" i="27"/>
  <c r="DP159" i="27"/>
  <c r="DN159" i="27"/>
  <c r="DM159" i="27"/>
  <c r="DO159" i="27" s="1"/>
  <c r="DK159" i="27"/>
  <c r="DJ159" i="27"/>
  <c r="DL159" i="27" s="1"/>
  <c r="DI159" i="27"/>
  <c r="DH159" i="27"/>
  <c r="DG159" i="27"/>
  <c r="DF159" i="27"/>
  <c r="DE159" i="27"/>
  <c r="DD159" i="27"/>
  <c r="DB159" i="27"/>
  <c r="DA159" i="27"/>
  <c r="DC159" i="27" s="1"/>
  <c r="CY159" i="27"/>
  <c r="CX159" i="27"/>
  <c r="CZ159" i="27" s="1"/>
  <c r="CW159" i="27"/>
  <c r="CV159" i="27"/>
  <c r="CU159" i="27"/>
  <c r="CT159" i="27"/>
  <c r="CS159" i="27"/>
  <c r="CR159" i="27"/>
  <c r="CP159" i="27"/>
  <c r="CO159" i="27"/>
  <c r="CQ159" i="27" s="1"/>
  <c r="CM159" i="27"/>
  <c r="CL159" i="27"/>
  <c r="CN159" i="27" s="1"/>
  <c r="CK159" i="27"/>
  <c r="CJ159" i="27"/>
  <c r="CI159" i="27"/>
  <c r="CH159" i="27"/>
  <c r="CG159" i="27"/>
  <c r="CF159" i="27"/>
  <c r="CD159" i="27"/>
  <c r="CC159" i="27"/>
  <c r="CE159" i="27" s="1"/>
  <c r="CA159" i="27"/>
  <c r="BZ159" i="27"/>
  <c r="CB159" i="27" s="1"/>
  <c r="BY159" i="27"/>
  <c r="BX159" i="27"/>
  <c r="BW159" i="27"/>
  <c r="BV159" i="27"/>
  <c r="BU159" i="27"/>
  <c r="BT159" i="27"/>
  <c r="BR159" i="27"/>
  <c r="BQ159" i="27"/>
  <c r="BS159" i="27" s="1"/>
  <c r="BO159" i="27"/>
  <c r="BN159" i="27"/>
  <c r="BP159" i="27" s="1"/>
  <c r="BM159" i="27"/>
  <c r="BL159" i="27"/>
  <c r="BK159" i="27"/>
  <c r="BJ159" i="27"/>
  <c r="BI159" i="27"/>
  <c r="BH159" i="27"/>
  <c r="FW155" i="27"/>
  <c r="FT155" i="27"/>
  <c r="FQ155" i="27"/>
  <c r="FN155" i="27"/>
  <c r="FK155" i="27"/>
  <c r="FH155" i="27"/>
  <c r="FE155" i="27"/>
  <c r="FB155" i="27"/>
  <c r="EY155" i="27"/>
  <c r="EV155" i="27"/>
  <c r="ES155" i="27"/>
  <c r="EP155" i="27"/>
  <c r="EM155" i="27"/>
  <c r="EJ155" i="27"/>
  <c r="EG155" i="27"/>
  <c r="ED155" i="27"/>
  <c r="EA155" i="27"/>
  <c r="DX155" i="27"/>
  <c r="DU155" i="27"/>
  <c r="DR155" i="27"/>
  <c r="DO155" i="27"/>
  <c r="DL155" i="27"/>
  <c r="DI155" i="27"/>
  <c r="DF155" i="27"/>
  <c r="DC155" i="27"/>
  <c r="CZ155" i="27"/>
  <c r="CW155" i="27"/>
  <c r="CT155" i="27"/>
  <c r="CQ155" i="27"/>
  <c r="CN155" i="27"/>
  <c r="CK155" i="27"/>
  <c r="CH155" i="27"/>
  <c r="CE155" i="27"/>
  <c r="CB155" i="27"/>
  <c r="BY155" i="27"/>
  <c r="BV155" i="27"/>
  <c r="BS155" i="27"/>
  <c r="BP155" i="27"/>
  <c r="BM155" i="27"/>
  <c r="BJ155" i="27"/>
  <c r="BG155" i="27"/>
  <c r="BD155" i="27"/>
  <c r="BA155" i="27"/>
  <c r="AX155" i="27"/>
  <c r="AU155" i="27"/>
  <c r="AR155" i="27"/>
  <c r="AO155" i="27"/>
  <c r="AL155" i="27"/>
  <c r="AI155" i="27"/>
  <c r="AF155" i="27"/>
  <c r="GB154" i="27" a="1"/>
  <c r="GB154" i="27"/>
  <c r="GB155" i="27" s="1" a="1"/>
  <c r="GB155" i="27" s="1"/>
  <c r="FW154" i="27"/>
  <c r="FT154" i="27"/>
  <c r="FQ154" i="27"/>
  <c r="FN154" i="27"/>
  <c r="FK154" i="27"/>
  <c r="FH154" i="27"/>
  <c r="FE154" i="27"/>
  <c r="FB154" i="27"/>
  <c r="EY154" i="27"/>
  <c r="EV154" i="27"/>
  <c r="ES154" i="27"/>
  <c r="EP154" i="27"/>
  <c r="EM154" i="27"/>
  <c r="EJ154" i="27"/>
  <c r="EG154" i="27"/>
  <c r="ED154" i="27"/>
  <c r="EA154" i="27"/>
  <c r="DX154" i="27"/>
  <c r="DU154" i="27"/>
  <c r="DR154" i="27"/>
  <c r="DO154" i="27"/>
  <c r="DL154" i="27"/>
  <c r="DI154" i="27"/>
  <c r="DF154" i="27"/>
  <c r="DC154" i="27"/>
  <c r="CZ154" i="27"/>
  <c r="CW154" i="27"/>
  <c r="CT154" i="27"/>
  <c r="CQ154" i="27"/>
  <c r="CN154" i="27"/>
  <c r="CK154" i="27"/>
  <c r="CH154" i="27"/>
  <c r="CE154" i="27"/>
  <c r="CB154" i="27"/>
  <c r="BY154" i="27"/>
  <c r="BV154" i="27"/>
  <c r="BS154" i="27"/>
  <c r="BP154" i="27"/>
  <c r="BM154" i="27"/>
  <c r="BJ154" i="27"/>
  <c r="BG154" i="27"/>
  <c r="BD154" i="27"/>
  <c r="BA154" i="27"/>
  <c r="AX154" i="27"/>
  <c r="AU154" i="27"/>
  <c r="AR154" i="27"/>
  <c r="AO154" i="27"/>
  <c r="AL154" i="27"/>
  <c r="AI154" i="27"/>
  <c r="AF154" i="27"/>
  <c r="I154" i="27" a="1"/>
  <c r="I154" i="27"/>
  <c r="I155" i="27" s="1" a="1"/>
  <c r="I155" i="27" s="1"/>
  <c r="FW153" i="27"/>
  <c r="FT153" i="27"/>
  <c r="FQ153" i="27"/>
  <c r="FN153" i="27"/>
  <c r="FK153" i="27"/>
  <c r="FH153" i="27"/>
  <c r="FE153" i="27"/>
  <c r="FB153" i="27"/>
  <c r="EY153" i="27"/>
  <c r="EV153" i="27"/>
  <c r="ES153" i="27"/>
  <c r="EP153" i="27"/>
  <c r="EM153" i="27"/>
  <c r="EJ153" i="27"/>
  <c r="EG153" i="27"/>
  <c r="ED153" i="27"/>
  <c r="EA153" i="27"/>
  <c r="DX153" i="27"/>
  <c r="DU153" i="27"/>
  <c r="DR153" i="27"/>
  <c r="DO153" i="27"/>
  <c r="DL153" i="27"/>
  <c r="DI153" i="27"/>
  <c r="DF153" i="27"/>
  <c r="DC153" i="27"/>
  <c r="CZ153" i="27"/>
  <c r="CW153" i="27"/>
  <c r="CT153" i="27"/>
  <c r="CQ153" i="27"/>
  <c r="CN153" i="27"/>
  <c r="CK153" i="27"/>
  <c r="CH153" i="27"/>
  <c r="CE153" i="27"/>
  <c r="CB153" i="27"/>
  <c r="BY153" i="27"/>
  <c r="BV153" i="27"/>
  <c r="BS153" i="27"/>
  <c r="BP153" i="27"/>
  <c r="BM153" i="27"/>
  <c r="BJ153" i="27"/>
  <c r="FV152" i="27"/>
  <c r="FU152" i="27"/>
  <c r="FS152" i="27"/>
  <c r="FR152" i="27"/>
  <c r="FP152" i="27"/>
  <c r="FO152" i="27"/>
  <c r="FM152" i="27"/>
  <c r="FL152" i="27"/>
  <c r="FJ152" i="27"/>
  <c r="FI152" i="27"/>
  <c r="FG152" i="27"/>
  <c r="FF152" i="27"/>
  <c r="FD152" i="27"/>
  <c r="FC152" i="27"/>
  <c r="FA152" i="27"/>
  <c r="EZ152" i="27"/>
  <c r="EX152" i="27"/>
  <c r="EW152" i="27"/>
  <c r="EU152" i="27"/>
  <c r="ET152" i="27"/>
  <c r="ER152" i="27"/>
  <c r="EQ152" i="27"/>
  <c r="EO152" i="27"/>
  <c r="EN152" i="27"/>
  <c r="EL152" i="27"/>
  <c r="EK152" i="27"/>
  <c r="EI152" i="27"/>
  <c r="EH152" i="27"/>
  <c r="EF152" i="27"/>
  <c r="EE152" i="27"/>
  <c r="EC152" i="27"/>
  <c r="EB152" i="27"/>
  <c r="DZ152" i="27"/>
  <c r="DY152" i="27"/>
  <c r="DW152" i="27"/>
  <c r="DV152" i="27"/>
  <c r="DT152" i="27"/>
  <c r="DS152" i="27"/>
  <c r="DQ152" i="27"/>
  <c r="DP152" i="27"/>
  <c r="DN152" i="27"/>
  <c r="DM152" i="27"/>
  <c r="DK152" i="27"/>
  <c r="DJ152" i="27"/>
  <c r="DH152" i="27"/>
  <c r="DG152" i="27"/>
  <c r="DE152" i="27"/>
  <c r="DD152" i="27"/>
  <c r="DB152" i="27"/>
  <c r="DA152" i="27"/>
  <c r="CY152" i="27"/>
  <c r="CX152" i="27"/>
  <c r="CV152" i="27"/>
  <c r="CU152" i="27"/>
  <c r="CS152" i="27"/>
  <c r="CR152" i="27"/>
  <c r="CP152" i="27"/>
  <c r="CO152" i="27"/>
  <c r="CM152" i="27"/>
  <c r="CL152" i="27"/>
  <c r="CJ152" i="27"/>
  <c r="CI152" i="27"/>
  <c r="CG152" i="27"/>
  <c r="CF152" i="27"/>
  <c r="CD152" i="27"/>
  <c r="CC152" i="27"/>
  <c r="CA152" i="27"/>
  <c r="BZ152" i="27"/>
  <c r="BX152" i="27"/>
  <c r="BW152" i="27"/>
  <c r="BU152" i="27"/>
  <c r="BT152" i="27"/>
  <c r="BR152" i="27"/>
  <c r="BQ152" i="27"/>
  <c r="BO152" i="27"/>
  <c r="BN152" i="27"/>
  <c r="BL152" i="27"/>
  <c r="BK152" i="27"/>
  <c r="BI152" i="27"/>
  <c r="BH152" i="27"/>
  <c r="FW151" i="27"/>
  <c r="FT151" i="27"/>
  <c r="FQ151" i="27"/>
  <c r="FN151" i="27"/>
  <c r="FK151" i="27"/>
  <c r="FH151" i="27"/>
  <c r="FE151" i="27"/>
  <c r="FB151" i="27"/>
  <c r="EY151" i="27"/>
  <c r="EV151" i="27"/>
  <c r="ES151" i="27"/>
  <c r="EP151" i="27"/>
  <c r="EM151" i="27"/>
  <c r="EJ151" i="27"/>
  <c r="EG151" i="27"/>
  <c r="ED151" i="27"/>
  <c r="EA151" i="27"/>
  <c r="DX151" i="27"/>
  <c r="DU151" i="27"/>
  <c r="DR151" i="27"/>
  <c r="DO151" i="27"/>
  <c r="DL151" i="27"/>
  <c r="DI151" i="27"/>
  <c r="DF151" i="27"/>
  <c r="DC151" i="27"/>
  <c r="CZ151" i="27"/>
  <c r="CW151" i="27"/>
  <c r="CT151" i="27"/>
  <c r="CQ151" i="27"/>
  <c r="CN151" i="27"/>
  <c r="CK151" i="27"/>
  <c r="CH151" i="27"/>
  <c r="CE151" i="27"/>
  <c r="CB151" i="27"/>
  <c r="BY151" i="27"/>
  <c r="BV151" i="27"/>
  <c r="BS151" i="27"/>
  <c r="BP151" i="27"/>
  <c r="BM151" i="27"/>
  <c r="BJ151" i="27"/>
  <c r="FW150" i="27"/>
  <c r="FT150" i="27"/>
  <c r="FQ150" i="27"/>
  <c r="FN150" i="27"/>
  <c r="FK150" i="27"/>
  <c r="FH150" i="27"/>
  <c r="FE150" i="27"/>
  <c r="FB150" i="27"/>
  <c r="EY150" i="27"/>
  <c r="EV150" i="27"/>
  <c r="ES150" i="27"/>
  <c r="EP150" i="27"/>
  <c r="EM150" i="27"/>
  <c r="EJ150" i="27"/>
  <c r="EG150" i="27"/>
  <c r="ED150" i="27"/>
  <c r="EA150" i="27"/>
  <c r="DX150" i="27"/>
  <c r="DU150" i="27"/>
  <c r="DR150" i="27"/>
  <c r="DO150" i="27"/>
  <c r="DL150" i="27"/>
  <c r="DI150" i="27"/>
  <c r="DF150" i="27"/>
  <c r="DC150" i="27"/>
  <c r="CZ150" i="27"/>
  <c r="CW150" i="27"/>
  <c r="CT150" i="27"/>
  <c r="CQ150" i="27"/>
  <c r="CN150" i="27"/>
  <c r="CK150" i="27"/>
  <c r="CH150" i="27"/>
  <c r="CE150" i="27"/>
  <c r="CB150" i="27"/>
  <c r="BY150" i="27"/>
  <c r="BV150" i="27"/>
  <c r="BS150" i="27"/>
  <c r="BP150" i="27"/>
  <c r="BM150" i="27"/>
  <c r="BJ150" i="27"/>
  <c r="FW149" i="27"/>
  <c r="FT149" i="27"/>
  <c r="FQ149" i="27"/>
  <c r="FN149" i="27"/>
  <c r="FK149" i="27"/>
  <c r="FH149" i="27"/>
  <c r="FE149" i="27"/>
  <c r="FB149" i="27"/>
  <c r="EY149" i="27"/>
  <c r="EV149" i="27"/>
  <c r="ES149" i="27"/>
  <c r="EP149" i="27"/>
  <c r="EM149" i="27"/>
  <c r="EJ149" i="27"/>
  <c r="EG149" i="27"/>
  <c r="ED149" i="27"/>
  <c r="EA149" i="27"/>
  <c r="DX149" i="27"/>
  <c r="DU149" i="27"/>
  <c r="DR149" i="27"/>
  <c r="DO149" i="27"/>
  <c r="DL149" i="27"/>
  <c r="DI149" i="27"/>
  <c r="DF149" i="27"/>
  <c r="DC149" i="27"/>
  <c r="CZ149" i="27"/>
  <c r="CW149" i="27"/>
  <c r="CT149" i="27"/>
  <c r="CQ149" i="27"/>
  <c r="CN149" i="27"/>
  <c r="CK149" i="27"/>
  <c r="CH149" i="27"/>
  <c r="CE149" i="27"/>
  <c r="CB149" i="27"/>
  <c r="BY149" i="27"/>
  <c r="BV149" i="27"/>
  <c r="BS149" i="27"/>
  <c r="BP149" i="27"/>
  <c r="BM149" i="27"/>
  <c r="BJ149" i="27"/>
  <c r="FV148" i="27"/>
  <c r="FU148" i="27"/>
  <c r="FS148" i="27"/>
  <c r="FR148" i="27"/>
  <c r="FP148" i="27"/>
  <c r="FO148" i="27"/>
  <c r="FM148" i="27"/>
  <c r="FL148" i="27"/>
  <c r="FJ148" i="27"/>
  <c r="FI148" i="27"/>
  <c r="FG148" i="27"/>
  <c r="FF148" i="27"/>
  <c r="FD148" i="27"/>
  <c r="FC148" i="27"/>
  <c r="FA148" i="27"/>
  <c r="EZ148" i="27"/>
  <c r="EX148" i="27"/>
  <c r="EW148" i="27"/>
  <c r="EU148" i="27"/>
  <c r="ET148" i="27"/>
  <c r="ER148" i="27"/>
  <c r="EQ148" i="27"/>
  <c r="EO148" i="27"/>
  <c r="EN148" i="27"/>
  <c r="EL148" i="27"/>
  <c r="EK148" i="27"/>
  <c r="EI148" i="27"/>
  <c r="EH148" i="27"/>
  <c r="EF148" i="27"/>
  <c r="EE148" i="27"/>
  <c r="EC148" i="27"/>
  <c r="EB148" i="27"/>
  <c r="DZ148" i="27"/>
  <c r="DY148" i="27"/>
  <c r="DW148" i="27"/>
  <c r="DV148" i="27"/>
  <c r="DT148" i="27"/>
  <c r="DS148" i="27"/>
  <c r="DQ148" i="27"/>
  <c r="DP148" i="27"/>
  <c r="DN148" i="27"/>
  <c r="DM148" i="27"/>
  <c r="DK148" i="27"/>
  <c r="DJ148" i="27"/>
  <c r="DH148" i="27"/>
  <c r="DG148" i="27"/>
  <c r="DE148" i="27"/>
  <c r="DD148" i="27"/>
  <c r="DB148" i="27"/>
  <c r="DA148" i="27"/>
  <c r="CY148" i="27"/>
  <c r="CX148" i="27"/>
  <c r="CV148" i="27"/>
  <c r="CU148" i="27"/>
  <c r="CS148" i="27"/>
  <c r="CR148" i="27"/>
  <c r="CP148" i="27"/>
  <c r="CO148" i="27"/>
  <c r="CM148" i="27"/>
  <c r="CL148" i="27"/>
  <c r="CJ148" i="27"/>
  <c r="CI148" i="27"/>
  <c r="CG148" i="27"/>
  <c r="CF148" i="27"/>
  <c r="CD148" i="27"/>
  <c r="CC148" i="27"/>
  <c r="CA148" i="27"/>
  <c r="BZ148" i="27"/>
  <c r="BX148" i="27"/>
  <c r="BW148" i="27"/>
  <c r="BU148" i="27"/>
  <c r="BT148" i="27"/>
  <c r="BR148" i="27"/>
  <c r="BQ148" i="27"/>
  <c r="BO148" i="27"/>
  <c r="BN148" i="27"/>
  <c r="BL148" i="27"/>
  <c r="BK148" i="27"/>
  <c r="BI148" i="27"/>
  <c r="BH148" i="27"/>
  <c r="FW147" i="27"/>
  <c r="FT147" i="27"/>
  <c r="FQ147" i="27"/>
  <c r="FN147" i="27"/>
  <c r="FK147" i="27"/>
  <c r="FH147" i="27"/>
  <c r="FE147" i="27"/>
  <c r="FB147" i="27"/>
  <c r="EY147" i="27"/>
  <c r="EV147" i="27"/>
  <c r="ES147" i="27"/>
  <c r="EP147" i="27"/>
  <c r="EM147" i="27"/>
  <c r="EJ147" i="27"/>
  <c r="EG147" i="27"/>
  <c r="ED147" i="27"/>
  <c r="EA147" i="27"/>
  <c r="DX147" i="27"/>
  <c r="DU147" i="27"/>
  <c r="DR147" i="27"/>
  <c r="DO147" i="27"/>
  <c r="DL147" i="27"/>
  <c r="DI147" i="27"/>
  <c r="DF147" i="27"/>
  <c r="DC147" i="27"/>
  <c r="CZ147" i="27"/>
  <c r="CW147" i="27"/>
  <c r="CT147" i="27"/>
  <c r="CQ147" i="27"/>
  <c r="CN147" i="27"/>
  <c r="CK147" i="27"/>
  <c r="CH147" i="27"/>
  <c r="CE147" i="27"/>
  <c r="CB147" i="27"/>
  <c r="BY147" i="27"/>
  <c r="BV147" i="27"/>
  <c r="BS147" i="27"/>
  <c r="BP147" i="27"/>
  <c r="BM147" i="27"/>
  <c r="BJ147" i="27"/>
  <c r="FW146" i="27"/>
  <c r="FT146" i="27"/>
  <c r="FQ146" i="27"/>
  <c r="FN146" i="27"/>
  <c r="FK146" i="27"/>
  <c r="FH146" i="27"/>
  <c r="FE146" i="27"/>
  <c r="FB146" i="27"/>
  <c r="EY146" i="27"/>
  <c r="EV146" i="27"/>
  <c r="ES146" i="27"/>
  <c r="EP146" i="27"/>
  <c r="EM146" i="27"/>
  <c r="EJ146" i="27"/>
  <c r="EG146" i="27"/>
  <c r="ED146" i="27"/>
  <c r="EA146" i="27"/>
  <c r="DX146" i="27"/>
  <c r="DU146" i="27"/>
  <c r="DR146" i="27"/>
  <c r="DO146" i="27"/>
  <c r="DL146" i="27"/>
  <c r="DI146" i="27"/>
  <c r="DF146" i="27"/>
  <c r="DC146" i="27"/>
  <c r="CZ146" i="27"/>
  <c r="CW146" i="27"/>
  <c r="CT146" i="27"/>
  <c r="CQ146" i="27"/>
  <c r="CN146" i="27"/>
  <c r="CK146" i="27"/>
  <c r="CH146" i="27"/>
  <c r="CE146" i="27"/>
  <c r="CB146" i="27"/>
  <c r="BY146" i="27"/>
  <c r="BV146" i="27"/>
  <c r="BS146" i="27"/>
  <c r="BP146" i="27"/>
  <c r="BM146" i="27"/>
  <c r="BJ146" i="27"/>
  <c r="T141" i="27"/>
  <c r="T142" i="27" s="1" a="1"/>
  <c r="T142" i="27" s="1"/>
  <c r="T143" i="27" s="1" a="1"/>
  <c r="T143" i="27" s="1"/>
  <c r="T144" i="27" s="1" a="1"/>
  <c r="T144" i="27" s="1"/>
  <c r="T145" i="27" s="1" a="1"/>
  <c r="T145" i="27" s="1"/>
  <c r="T146" i="27" s="1" a="1"/>
  <c r="T146" i="27" s="1"/>
  <c r="T147" i="27" s="1" a="1"/>
  <c r="T147" i="27" s="1"/>
  <c r="T148" i="27" s="1" a="1"/>
  <c r="T148" i="27" s="1"/>
  <c r="T149" i="27" s="1" a="1"/>
  <c r="T149" i="27" s="1"/>
  <c r="T150" i="27" s="1" a="1"/>
  <c r="T150" i="27" s="1"/>
  <c r="T151" i="27" s="1" a="1"/>
  <c r="T151" i="27" s="1"/>
  <c r="T152" i="27" s="1" a="1"/>
  <c r="T152" i="27" s="1"/>
  <c r="T153" i="27" s="1" a="1"/>
  <c r="T153" i="27" s="1"/>
  <c r="Q141" i="27" a="1"/>
  <c r="Q141" i="27"/>
  <c r="AB179" i="27" s="1"/>
  <c r="F141" i="27" a="1"/>
  <c r="F141" i="27"/>
  <c r="F142" i="27" s="1" a="1"/>
  <c r="F142" i="27" s="1"/>
  <c r="F143" i="27" s="1" a="1"/>
  <c r="F143" i="27" s="1"/>
  <c r="F144" i="27" s="1" a="1"/>
  <c r="F144" i="27" s="1"/>
  <c r="F145" i="27" s="1" a="1"/>
  <c r="F145" i="27" s="1"/>
  <c r="F146" i="27" s="1" a="1"/>
  <c r="F146" i="27" s="1"/>
  <c r="F147" i="27" s="1" a="1"/>
  <c r="F147" i="27" s="1"/>
  <c r="F148" i="27" s="1" a="1"/>
  <c r="F148" i="27" s="1"/>
  <c r="F149" i="27" s="1" a="1"/>
  <c r="F149" i="27" s="1"/>
  <c r="F150" i="27" s="1" a="1"/>
  <c r="F150" i="27" s="1"/>
  <c r="F151" i="27" s="1" a="1"/>
  <c r="F151" i="27" s="1"/>
  <c r="F152" i="27" s="1" a="1"/>
  <c r="F152" i="27" s="1"/>
  <c r="F153" i="27" s="1" a="1"/>
  <c r="F153" i="27" s="1"/>
  <c r="F154" i="27" s="1" a="1"/>
  <c r="F154" i="27" s="1"/>
  <c r="GB138" i="27" a="1"/>
  <c r="GB138" i="27"/>
  <c r="FW138" i="27"/>
  <c r="FT138" i="27"/>
  <c r="FQ138" i="27"/>
  <c r="FN138" i="27"/>
  <c r="FK138" i="27"/>
  <c r="FH138" i="27"/>
  <c r="FE138" i="27"/>
  <c r="FB138" i="27"/>
  <c r="EY138" i="27"/>
  <c r="EV138" i="27"/>
  <c r="ES138" i="27"/>
  <c r="EP138" i="27"/>
  <c r="EM138" i="27"/>
  <c r="EJ138" i="27"/>
  <c r="EG138" i="27"/>
  <c r="ED138" i="27"/>
  <c r="EA138" i="27"/>
  <c r="DX138" i="27"/>
  <c r="DU138" i="27"/>
  <c r="DR138" i="27"/>
  <c r="DO138" i="27"/>
  <c r="DL138" i="27"/>
  <c r="DI138" i="27"/>
  <c r="DF138" i="27"/>
  <c r="DC138" i="27"/>
  <c r="CZ138" i="27"/>
  <c r="CW138" i="27"/>
  <c r="CT138" i="27"/>
  <c r="CQ138" i="27"/>
  <c r="CN138" i="27"/>
  <c r="CK138" i="27"/>
  <c r="CH138" i="27"/>
  <c r="CE138" i="27"/>
  <c r="CB138" i="27"/>
  <c r="BY138" i="27"/>
  <c r="BV138" i="27"/>
  <c r="BS138" i="27"/>
  <c r="BP138" i="27"/>
  <c r="BM138" i="27"/>
  <c r="BJ138" i="27"/>
  <c r="BG138" i="27"/>
  <c r="BD138" i="27"/>
  <c r="BA138" i="27"/>
  <c r="AX138" i="27"/>
  <c r="AU138" i="27"/>
  <c r="AR138" i="27"/>
  <c r="AO138" i="27"/>
  <c r="AL138" i="27"/>
  <c r="AI138" i="27"/>
  <c r="AF138" i="27"/>
  <c r="I138" i="27" a="1"/>
  <c r="I138" i="27" s="1"/>
  <c r="FW137" i="27"/>
  <c r="FT137" i="27"/>
  <c r="FQ137" i="27"/>
  <c r="FN137" i="27"/>
  <c r="FK137" i="27"/>
  <c r="FH137" i="27"/>
  <c r="FE137" i="27"/>
  <c r="FB137" i="27"/>
  <c r="EY137" i="27"/>
  <c r="EV137" i="27"/>
  <c r="ES137" i="27"/>
  <c r="EP137" i="27"/>
  <c r="EM137" i="27"/>
  <c r="EJ137" i="27"/>
  <c r="EG137" i="27"/>
  <c r="ED137" i="27"/>
  <c r="EA137" i="27"/>
  <c r="DX137" i="27"/>
  <c r="DU137" i="27"/>
  <c r="DR137" i="27"/>
  <c r="DO137" i="27"/>
  <c r="DL137" i="27"/>
  <c r="DI137" i="27"/>
  <c r="DF137" i="27"/>
  <c r="DC137" i="27"/>
  <c r="CZ137" i="27"/>
  <c r="CW137" i="27"/>
  <c r="CT137" i="27"/>
  <c r="CQ137" i="27"/>
  <c r="CN137" i="27"/>
  <c r="CK137" i="27"/>
  <c r="CH137" i="27"/>
  <c r="CE137" i="27"/>
  <c r="CB137" i="27"/>
  <c r="BY137" i="27"/>
  <c r="BV137" i="27"/>
  <c r="BS137" i="27"/>
  <c r="BP137" i="27"/>
  <c r="BM137" i="27"/>
  <c r="BJ137" i="27"/>
  <c r="FV136" i="27"/>
  <c r="FU136" i="27"/>
  <c r="FS136" i="27"/>
  <c r="FR136" i="27"/>
  <c r="FP136" i="27"/>
  <c r="FO136" i="27"/>
  <c r="FM136" i="27"/>
  <c r="FL136" i="27"/>
  <c r="FJ136" i="27"/>
  <c r="FI136" i="27"/>
  <c r="FG136" i="27"/>
  <c r="FF136" i="27"/>
  <c r="FD136" i="27"/>
  <c r="FC136" i="27"/>
  <c r="FA136" i="27"/>
  <c r="EZ136" i="27"/>
  <c r="EX136" i="27"/>
  <c r="EW136" i="27"/>
  <c r="EU136" i="27"/>
  <c r="ET136" i="27"/>
  <c r="ER136" i="27"/>
  <c r="EQ136" i="27"/>
  <c r="EO136" i="27"/>
  <c r="EN136" i="27"/>
  <c r="EL136" i="27"/>
  <c r="EK136" i="27"/>
  <c r="EI136" i="27"/>
  <c r="EH136" i="27"/>
  <c r="EF136" i="27"/>
  <c r="EE136" i="27"/>
  <c r="EC136" i="27"/>
  <c r="EB136" i="27"/>
  <c r="DZ136" i="27"/>
  <c r="DY136" i="27"/>
  <c r="DW136" i="27"/>
  <c r="DV136" i="27"/>
  <c r="DT136" i="27"/>
  <c r="DS136" i="27"/>
  <c r="DQ136" i="27"/>
  <c r="DP136" i="27"/>
  <c r="DN136" i="27"/>
  <c r="DM136" i="27"/>
  <c r="DK136" i="27"/>
  <c r="DJ136" i="27"/>
  <c r="DH136" i="27"/>
  <c r="DG136" i="27"/>
  <c r="DE136" i="27"/>
  <c r="DD136" i="27"/>
  <c r="DB136" i="27"/>
  <c r="DA136" i="27"/>
  <c r="CY136" i="27"/>
  <c r="CX136" i="27"/>
  <c r="CV136" i="27"/>
  <c r="CU136" i="27"/>
  <c r="CS136" i="27"/>
  <c r="CR136" i="27"/>
  <c r="CP136" i="27"/>
  <c r="CO136" i="27"/>
  <c r="CM136" i="27"/>
  <c r="CL136" i="27"/>
  <c r="CJ136" i="27"/>
  <c r="CI136" i="27"/>
  <c r="CG136" i="27"/>
  <c r="CF136" i="27"/>
  <c r="CD136" i="27"/>
  <c r="CC136" i="27"/>
  <c r="CA136" i="27"/>
  <c r="BZ136" i="27"/>
  <c r="BX136" i="27"/>
  <c r="BW136" i="27"/>
  <c r="BU136" i="27"/>
  <c r="BT136" i="27"/>
  <c r="BR136" i="27"/>
  <c r="BQ136" i="27"/>
  <c r="BO136" i="27"/>
  <c r="BN136" i="27"/>
  <c r="BL136" i="27"/>
  <c r="BK136" i="27"/>
  <c r="BI136" i="27"/>
  <c r="BH136" i="27"/>
  <c r="FW135" i="27"/>
  <c r="FT135" i="27"/>
  <c r="FQ135" i="27"/>
  <c r="FN135" i="27"/>
  <c r="FK135" i="27"/>
  <c r="FH135" i="27"/>
  <c r="FE135" i="27"/>
  <c r="FB135" i="27"/>
  <c r="EY135" i="27"/>
  <c r="EV135" i="27"/>
  <c r="ES135" i="27"/>
  <c r="EP135" i="27"/>
  <c r="EM135" i="27"/>
  <c r="EJ135" i="27"/>
  <c r="EG135" i="27"/>
  <c r="ED135" i="27"/>
  <c r="EA135" i="27"/>
  <c r="DX135" i="27"/>
  <c r="DU135" i="27"/>
  <c r="DR135" i="27"/>
  <c r="DO135" i="27"/>
  <c r="DL135" i="27"/>
  <c r="DI135" i="27"/>
  <c r="DF135" i="27"/>
  <c r="DC135" i="27"/>
  <c r="CZ135" i="27"/>
  <c r="CW135" i="27"/>
  <c r="CT135" i="27"/>
  <c r="CQ135" i="27"/>
  <c r="CN135" i="27"/>
  <c r="CK135" i="27"/>
  <c r="CH135" i="27"/>
  <c r="CE135" i="27"/>
  <c r="CB135" i="27"/>
  <c r="BY135" i="27"/>
  <c r="BV135" i="27"/>
  <c r="BS135" i="27"/>
  <c r="BP135" i="27"/>
  <c r="BM135" i="27"/>
  <c r="BJ135" i="27"/>
  <c r="FW134" i="27"/>
  <c r="FT134" i="27"/>
  <c r="FQ134" i="27"/>
  <c r="FN134" i="27"/>
  <c r="FK134" i="27"/>
  <c r="FH134" i="27"/>
  <c r="FE134" i="27"/>
  <c r="FB134" i="27"/>
  <c r="EY134" i="27"/>
  <c r="EV134" i="27"/>
  <c r="ES134" i="27"/>
  <c r="EP134" i="27"/>
  <c r="EM134" i="27"/>
  <c r="EJ134" i="27"/>
  <c r="EG134" i="27"/>
  <c r="ED134" i="27"/>
  <c r="EA134" i="27"/>
  <c r="DX134" i="27"/>
  <c r="DU134" i="27"/>
  <c r="DR134" i="27"/>
  <c r="DO134" i="27"/>
  <c r="DL134" i="27"/>
  <c r="DI134" i="27"/>
  <c r="DF134" i="27"/>
  <c r="DC134" i="27"/>
  <c r="CZ134" i="27"/>
  <c r="CW134" i="27"/>
  <c r="CT134" i="27"/>
  <c r="CQ134" i="27"/>
  <c r="CN134" i="27"/>
  <c r="CK134" i="27"/>
  <c r="CH134" i="27"/>
  <c r="CE134" i="27"/>
  <c r="CB134" i="27"/>
  <c r="BY134" i="27"/>
  <c r="BV134" i="27"/>
  <c r="BS134" i="27"/>
  <c r="BP134" i="27"/>
  <c r="BM134" i="27"/>
  <c r="BJ134" i="27"/>
  <c r="FW131" i="27"/>
  <c r="FT131" i="27"/>
  <c r="FQ131" i="27"/>
  <c r="FN131" i="27"/>
  <c r="FK131" i="27"/>
  <c r="FH131" i="27"/>
  <c r="FE131" i="27"/>
  <c r="FB131" i="27"/>
  <c r="EY131" i="27"/>
  <c r="EV131" i="27"/>
  <c r="ES131" i="27"/>
  <c r="EP131" i="27"/>
  <c r="EM131" i="27"/>
  <c r="EJ131" i="27"/>
  <c r="EG131" i="27"/>
  <c r="ED131" i="27"/>
  <c r="EA131" i="27"/>
  <c r="DX131" i="27"/>
  <c r="DU131" i="27"/>
  <c r="DR131" i="27"/>
  <c r="DO131" i="27"/>
  <c r="DL131" i="27"/>
  <c r="DI131" i="27"/>
  <c r="DF131" i="27"/>
  <c r="DC131" i="27"/>
  <c r="CZ131" i="27"/>
  <c r="CW131" i="27"/>
  <c r="CT131" i="27"/>
  <c r="CQ131" i="27"/>
  <c r="CN131" i="27"/>
  <c r="CK131" i="27"/>
  <c r="CH131" i="27"/>
  <c r="CE131" i="27"/>
  <c r="CB131" i="27"/>
  <c r="BY131" i="27"/>
  <c r="BV131" i="27"/>
  <c r="BS131" i="27"/>
  <c r="BP131" i="27"/>
  <c r="BM131" i="27"/>
  <c r="BJ131" i="27"/>
  <c r="BG131" i="27"/>
  <c r="BD131" i="27"/>
  <c r="BA131" i="27"/>
  <c r="AX131" i="27"/>
  <c r="AU131" i="27"/>
  <c r="AR131" i="27"/>
  <c r="AO131" i="27"/>
  <c r="AL131" i="27"/>
  <c r="AI131" i="27"/>
  <c r="AF131" i="27"/>
  <c r="FW130" i="27"/>
  <c r="FT130" i="27"/>
  <c r="FQ130" i="27"/>
  <c r="FN130" i="27"/>
  <c r="FK130" i="27"/>
  <c r="FH130" i="27"/>
  <c r="FE130" i="27"/>
  <c r="FB130" i="27"/>
  <c r="EY130" i="27"/>
  <c r="EV130" i="27"/>
  <c r="ES130" i="27"/>
  <c r="EP130" i="27"/>
  <c r="EM130" i="27"/>
  <c r="EJ130" i="27"/>
  <c r="EG130" i="27"/>
  <c r="ED130" i="27"/>
  <c r="EA130" i="27"/>
  <c r="DX130" i="27"/>
  <c r="DU130" i="27"/>
  <c r="DR130" i="27"/>
  <c r="DO130" i="27"/>
  <c r="DL130" i="27"/>
  <c r="DI130" i="27"/>
  <c r="DF130" i="27"/>
  <c r="DC130" i="27"/>
  <c r="CZ130" i="27"/>
  <c r="CW130" i="27"/>
  <c r="CT130" i="27"/>
  <c r="CQ130" i="27"/>
  <c r="CN130" i="27"/>
  <c r="CK130" i="27"/>
  <c r="CH130" i="27"/>
  <c r="CE130" i="27"/>
  <c r="CB130" i="27"/>
  <c r="BY130" i="27"/>
  <c r="BV130" i="27"/>
  <c r="BS130" i="27"/>
  <c r="BP130" i="27"/>
  <c r="BM130" i="27"/>
  <c r="BJ130" i="27"/>
  <c r="BG130" i="27"/>
  <c r="BD130" i="27"/>
  <c r="BA130" i="27"/>
  <c r="AX130" i="27"/>
  <c r="AU130" i="27"/>
  <c r="AR130" i="27"/>
  <c r="AO130" i="27"/>
  <c r="AL130" i="27"/>
  <c r="AI130" i="27"/>
  <c r="AF130" i="27"/>
  <c r="FW129" i="27"/>
  <c r="FT129" i="27"/>
  <c r="FQ129" i="27"/>
  <c r="FN129" i="27"/>
  <c r="FK129" i="27"/>
  <c r="FH129" i="27"/>
  <c r="FE129" i="27"/>
  <c r="FB129" i="27"/>
  <c r="EY129" i="27"/>
  <c r="EV129" i="27"/>
  <c r="ES129" i="27"/>
  <c r="EP129" i="27"/>
  <c r="EM129" i="27"/>
  <c r="EJ129" i="27"/>
  <c r="EG129" i="27"/>
  <c r="ED129" i="27"/>
  <c r="EA129" i="27"/>
  <c r="DX129" i="27"/>
  <c r="DU129" i="27"/>
  <c r="DR129" i="27"/>
  <c r="DO129" i="27"/>
  <c r="DL129" i="27"/>
  <c r="DI129" i="27"/>
  <c r="DF129" i="27"/>
  <c r="DC129" i="27"/>
  <c r="CZ129" i="27"/>
  <c r="CW129" i="27"/>
  <c r="CT129" i="27"/>
  <c r="CQ129" i="27"/>
  <c r="CN129" i="27"/>
  <c r="CK129" i="27"/>
  <c r="CH129" i="27"/>
  <c r="CE129" i="27"/>
  <c r="CB129" i="27"/>
  <c r="BY129" i="27"/>
  <c r="BV129" i="27"/>
  <c r="BS129" i="27"/>
  <c r="BP129" i="27"/>
  <c r="BM129" i="27"/>
  <c r="BJ129" i="27"/>
  <c r="BG129" i="27"/>
  <c r="BD129" i="27"/>
  <c r="BA129" i="27"/>
  <c r="AX129" i="27"/>
  <c r="AU129" i="27"/>
  <c r="AR129" i="27"/>
  <c r="AO129" i="27"/>
  <c r="AL129" i="27"/>
  <c r="AI129" i="27"/>
  <c r="AF129" i="27"/>
  <c r="FW128" i="27"/>
  <c r="FT128" i="27"/>
  <c r="FQ128" i="27"/>
  <c r="FN128" i="27"/>
  <c r="FK128" i="27"/>
  <c r="FH128" i="27"/>
  <c r="FE128" i="27"/>
  <c r="FB128" i="27"/>
  <c r="EY128" i="27"/>
  <c r="EV128" i="27"/>
  <c r="ES128" i="27"/>
  <c r="EP128" i="27"/>
  <c r="EM128" i="27"/>
  <c r="EJ128" i="27"/>
  <c r="EG128" i="27"/>
  <c r="ED128" i="27"/>
  <c r="EA128" i="27"/>
  <c r="DX128" i="27"/>
  <c r="DU128" i="27"/>
  <c r="DR128" i="27"/>
  <c r="DO128" i="27"/>
  <c r="DL128" i="27"/>
  <c r="DI128" i="27"/>
  <c r="DF128" i="27"/>
  <c r="DC128" i="27"/>
  <c r="CZ128" i="27"/>
  <c r="CW128" i="27"/>
  <c r="CT128" i="27"/>
  <c r="CQ128" i="27"/>
  <c r="CN128" i="27"/>
  <c r="CK128" i="27"/>
  <c r="CH128" i="27"/>
  <c r="CE128" i="27"/>
  <c r="CB128" i="27"/>
  <c r="BY128" i="27"/>
  <c r="BV128" i="27"/>
  <c r="BS128" i="27"/>
  <c r="BP128" i="27"/>
  <c r="BM128" i="27"/>
  <c r="BJ128" i="27"/>
  <c r="BG128" i="27"/>
  <c r="BD128" i="27"/>
  <c r="BA128" i="27"/>
  <c r="AX128" i="27"/>
  <c r="AU128" i="27"/>
  <c r="AR128" i="27"/>
  <c r="AO128" i="27"/>
  <c r="AL128" i="27"/>
  <c r="AI128" i="27"/>
  <c r="AF128" i="27"/>
  <c r="GB127" i="27" a="1"/>
  <c r="GB127" i="27"/>
  <c r="GB128" i="27" s="1" a="1"/>
  <c r="GB128" i="27" s="1"/>
  <c r="GB129" i="27" s="1" a="1"/>
  <c r="GB129" i="27" s="1"/>
  <c r="GB130" i="27" s="1" a="1"/>
  <c r="GB130" i="27" s="1"/>
  <c r="GB131" i="27" s="1" a="1"/>
  <c r="GB131" i="27" s="1"/>
  <c r="FW127" i="27"/>
  <c r="FV127" i="27"/>
  <c r="FU127" i="27"/>
  <c r="FT127" i="27"/>
  <c r="FS127" i="27"/>
  <c r="FR127" i="27"/>
  <c r="FP127" i="27"/>
  <c r="FO127" i="27"/>
  <c r="FQ127" i="27" s="1"/>
  <c r="FM127" i="27"/>
  <c r="FL127" i="27"/>
  <c r="FN127" i="27" s="1"/>
  <c r="FK127" i="27"/>
  <c r="FJ127" i="27"/>
  <c r="FI127" i="27"/>
  <c r="FH127" i="27"/>
  <c r="FG127" i="27"/>
  <c r="FF127" i="27"/>
  <c r="FD127" i="27"/>
  <c r="FC127" i="27"/>
  <c r="FE127" i="27" s="1"/>
  <c r="FA127" i="27"/>
  <c r="EZ127" i="27"/>
  <c r="FB127" i="27" s="1"/>
  <c r="EY127" i="27"/>
  <c r="EX127" i="27"/>
  <c r="EW127" i="27"/>
  <c r="EV127" i="27"/>
  <c r="EU127" i="27"/>
  <c r="ET127" i="27"/>
  <c r="ER127" i="27"/>
  <c r="EQ127" i="27"/>
  <c r="ES127" i="27" s="1"/>
  <c r="EO127" i="27"/>
  <c r="EN127" i="27"/>
  <c r="EP127" i="27" s="1"/>
  <c r="EM127" i="27"/>
  <c r="EL127" i="27"/>
  <c r="EK127" i="27"/>
  <c r="EJ127" i="27"/>
  <c r="EI127" i="27"/>
  <c r="EH127" i="27"/>
  <c r="EF127" i="27"/>
  <c r="EE127" i="27"/>
  <c r="EG127" i="27" s="1"/>
  <c r="EC127" i="27"/>
  <c r="EB127" i="27"/>
  <c r="ED127" i="27" s="1"/>
  <c r="EA127" i="27"/>
  <c r="DZ127" i="27"/>
  <c r="DY127" i="27"/>
  <c r="DX127" i="27"/>
  <c r="DW127" i="27"/>
  <c r="DV127" i="27"/>
  <c r="DT127" i="27"/>
  <c r="DS127" i="27"/>
  <c r="DU127" i="27" s="1"/>
  <c r="DQ127" i="27"/>
  <c r="DP127" i="27"/>
  <c r="DR127" i="27" s="1"/>
  <c r="DN127" i="27"/>
  <c r="DM127" i="27"/>
  <c r="DO127" i="27" s="1"/>
  <c r="DK127" i="27"/>
  <c r="DJ127" i="27"/>
  <c r="DL127" i="27" s="1"/>
  <c r="DI127" i="27"/>
  <c r="DH127" i="27"/>
  <c r="DG127" i="27"/>
  <c r="DF127" i="27"/>
  <c r="DE127" i="27"/>
  <c r="DD127" i="27"/>
  <c r="DB127" i="27"/>
  <c r="DA127" i="27"/>
  <c r="DC127" i="27" s="1"/>
  <c r="CY127" i="27"/>
  <c r="CX127" i="27"/>
  <c r="CZ127" i="27" s="1"/>
  <c r="CW127" i="27"/>
  <c r="CV127" i="27"/>
  <c r="CU127" i="27"/>
  <c r="CT127" i="27"/>
  <c r="CS127" i="27"/>
  <c r="CR127" i="27"/>
  <c r="CP127" i="27"/>
  <c r="CO127" i="27"/>
  <c r="CQ127" i="27" s="1"/>
  <c r="CM127" i="27"/>
  <c r="CL127" i="27"/>
  <c r="CN127" i="27" s="1"/>
  <c r="CK127" i="27"/>
  <c r="CJ127" i="27"/>
  <c r="CI127" i="27"/>
  <c r="CH127" i="27"/>
  <c r="CG127" i="27"/>
  <c r="CF127" i="27"/>
  <c r="CD127" i="27"/>
  <c r="CC127" i="27"/>
  <c r="CE127" i="27" s="1"/>
  <c r="CA127" i="27"/>
  <c r="BZ127" i="27"/>
  <c r="CB127" i="27" s="1"/>
  <c r="BY127" i="27"/>
  <c r="BX127" i="27"/>
  <c r="BW127" i="27"/>
  <c r="BV127" i="27"/>
  <c r="BU127" i="27"/>
  <c r="BT127" i="27"/>
  <c r="BR127" i="27"/>
  <c r="BQ127" i="27"/>
  <c r="BS127" i="27" s="1"/>
  <c r="BO127" i="27"/>
  <c r="BN127" i="27"/>
  <c r="BP127" i="27" s="1"/>
  <c r="BM127" i="27"/>
  <c r="BL127" i="27"/>
  <c r="BK127" i="27"/>
  <c r="BJ127" i="27"/>
  <c r="BI127" i="27"/>
  <c r="BH127" i="27"/>
  <c r="BF127" i="27"/>
  <c r="BE127" i="27"/>
  <c r="BG127" i="27" s="1"/>
  <c r="BC127" i="27"/>
  <c r="BB127" i="27"/>
  <c r="BD127" i="27" s="1"/>
  <c r="BA127" i="27"/>
  <c r="AZ127" i="27"/>
  <c r="AY127" i="27"/>
  <c r="AX127" i="27"/>
  <c r="AW127" i="27"/>
  <c r="AV127" i="27"/>
  <c r="AT127" i="27"/>
  <c r="AS127" i="27"/>
  <c r="AU127" i="27" s="1"/>
  <c r="AQ127" i="27"/>
  <c r="AP127" i="27"/>
  <c r="AR127" i="27" s="1"/>
  <c r="AO127" i="27"/>
  <c r="AN127" i="27"/>
  <c r="AM127" i="27"/>
  <c r="AL127" i="27"/>
  <c r="AK127" i="27"/>
  <c r="AJ127" i="27"/>
  <c r="AH127" i="27"/>
  <c r="AG127" i="27"/>
  <c r="AI127" i="27" s="1"/>
  <c r="AE127" i="27"/>
  <c r="AD127" i="27"/>
  <c r="AF127" i="27" s="1"/>
  <c r="I127" i="27" a="1"/>
  <c r="I127" i="27"/>
  <c r="I128" i="27" s="1" a="1"/>
  <c r="I128" i="27" s="1"/>
  <c r="I129" i="27" s="1" a="1"/>
  <c r="I129" i="27" s="1"/>
  <c r="I130" i="27" s="1" a="1"/>
  <c r="I130" i="27" s="1"/>
  <c r="I131" i="27" s="1" a="1"/>
  <c r="I131" i="27" s="1"/>
  <c r="FW125" i="27"/>
  <c r="FT125" i="27"/>
  <c r="FQ125" i="27"/>
  <c r="FN125" i="27"/>
  <c r="FK125" i="27"/>
  <c r="FH125" i="27"/>
  <c r="FE125" i="27"/>
  <c r="FB125" i="27"/>
  <c r="EY125" i="27"/>
  <c r="EV125" i="27"/>
  <c r="ES125" i="27"/>
  <c r="EP125" i="27"/>
  <c r="EM125" i="27"/>
  <c r="EJ125" i="27"/>
  <c r="EG125" i="27"/>
  <c r="ED125" i="27"/>
  <c r="EA125" i="27"/>
  <c r="DX125" i="27"/>
  <c r="DU125" i="27"/>
  <c r="DR125" i="27"/>
  <c r="DO125" i="27"/>
  <c r="DL125" i="27"/>
  <c r="DI125" i="27"/>
  <c r="DF125" i="27"/>
  <c r="DC125" i="27"/>
  <c r="CZ125" i="27"/>
  <c r="CW125" i="27"/>
  <c r="CT125" i="27"/>
  <c r="CQ125" i="27"/>
  <c r="CN125" i="27"/>
  <c r="CK125" i="27"/>
  <c r="CH125" i="27"/>
  <c r="CE125" i="27"/>
  <c r="CB125" i="27"/>
  <c r="BY125" i="27"/>
  <c r="BV125" i="27"/>
  <c r="BS125" i="27"/>
  <c r="BP125" i="27"/>
  <c r="BM125" i="27"/>
  <c r="BJ125" i="27"/>
  <c r="BG125" i="27"/>
  <c r="BD125" i="27"/>
  <c r="BA125" i="27"/>
  <c r="AX125" i="27"/>
  <c r="AU125" i="27"/>
  <c r="AR125" i="27"/>
  <c r="AO125" i="27"/>
  <c r="AL125" i="27"/>
  <c r="AI125" i="27"/>
  <c r="AF125" i="27"/>
  <c r="FW124" i="27"/>
  <c r="FT124" i="27"/>
  <c r="FQ124" i="27"/>
  <c r="FN124" i="27"/>
  <c r="FK124" i="27"/>
  <c r="FH124" i="27"/>
  <c r="FE124" i="27"/>
  <c r="FB124" i="27"/>
  <c r="EY124" i="27"/>
  <c r="EV124" i="27"/>
  <c r="ES124" i="27"/>
  <c r="EP124" i="27"/>
  <c r="EM124" i="27"/>
  <c r="EJ124" i="27"/>
  <c r="EG124" i="27"/>
  <c r="ED124" i="27"/>
  <c r="EA124" i="27"/>
  <c r="DX124" i="27"/>
  <c r="DU124" i="27"/>
  <c r="DR124" i="27"/>
  <c r="DO124" i="27"/>
  <c r="DL124" i="27"/>
  <c r="DI124" i="27"/>
  <c r="DF124" i="27"/>
  <c r="DC124" i="27"/>
  <c r="CZ124" i="27"/>
  <c r="CW124" i="27"/>
  <c r="CT124" i="27"/>
  <c r="CQ124" i="27"/>
  <c r="CN124" i="27"/>
  <c r="CK124" i="27"/>
  <c r="CH124" i="27"/>
  <c r="CE124" i="27"/>
  <c r="CB124" i="27"/>
  <c r="BY124" i="27"/>
  <c r="BV124" i="27"/>
  <c r="BS124" i="27"/>
  <c r="BP124" i="27"/>
  <c r="BM124" i="27"/>
  <c r="BJ124" i="27"/>
  <c r="BG124" i="27"/>
  <c r="BD124" i="27"/>
  <c r="BA124" i="27"/>
  <c r="AX124" i="27"/>
  <c r="AU124" i="27"/>
  <c r="AR124" i="27"/>
  <c r="AO124" i="27"/>
  <c r="AL124" i="27"/>
  <c r="AI124" i="27"/>
  <c r="AF124" i="27"/>
  <c r="FW123" i="27"/>
  <c r="FT123" i="27"/>
  <c r="FQ123" i="27"/>
  <c r="FN123" i="27"/>
  <c r="FK123" i="27"/>
  <c r="FH123" i="27"/>
  <c r="FE123" i="27"/>
  <c r="FB123" i="27"/>
  <c r="EY123" i="27"/>
  <c r="EV123" i="27"/>
  <c r="ES123" i="27"/>
  <c r="EP123" i="27"/>
  <c r="EM123" i="27"/>
  <c r="EJ123" i="27"/>
  <c r="EG123" i="27"/>
  <c r="ED123" i="27"/>
  <c r="EA123" i="27"/>
  <c r="DX123" i="27"/>
  <c r="DU123" i="27"/>
  <c r="DR123" i="27"/>
  <c r="DO123" i="27"/>
  <c r="DL123" i="27"/>
  <c r="DI123" i="27"/>
  <c r="DF123" i="27"/>
  <c r="DC123" i="27"/>
  <c r="CZ123" i="27"/>
  <c r="CW123" i="27"/>
  <c r="CT123" i="27"/>
  <c r="CQ123" i="27"/>
  <c r="CN123" i="27"/>
  <c r="CK123" i="27"/>
  <c r="CH123" i="27"/>
  <c r="CE123" i="27"/>
  <c r="CB123" i="27"/>
  <c r="BY123" i="27"/>
  <c r="BV123" i="27"/>
  <c r="BS123" i="27"/>
  <c r="BP123" i="27"/>
  <c r="BM123" i="27"/>
  <c r="BJ123" i="27"/>
  <c r="FW122" i="27"/>
  <c r="FT122" i="27"/>
  <c r="FQ122" i="27"/>
  <c r="FN122" i="27"/>
  <c r="FK122" i="27"/>
  <c r="FH122" i="27"/>
  <c r="FE122" i="27"/>
  <c r="FB122" i="27"/>
  <c r="EY122" i="27"/>
  <c r="EV122" i="27"/>
  <c r="ES122" i="27"/>
  <c r="EP122" i="27"/>
  <c r="EM122" i="27"/>
  <c r="EJ122" i="27"/>
  <c r="EG122" i="27"/>
  <c r="ED122" i="27"/>
  <c r="EA122" i="27"/>
  <c r="DX122" i="27"/>
  <c r="DU122" i="27"/>
  <c r="DR122" i="27"/>
  <c r="DO122" i="27"/>
  <c r="DL122" i="27"/>
  <c r="DI122" i="27"/>
  <c r="DF122" i="27"/>
  <c r="DC122" i="27"/>
  <c r="CZ122" i="27"/>
  <c r="CW122" i="27"/>
  <c r="CT122" i="27"/>
  <c r="CQ122" i="27"/>
  <c r="CN122" i="27"/>
  <c r="CK122" i="27"/>
  <c r="CH122" i="27"/>
  <c r="CE122" i="27"/>
  <c r="CB122" i="27"/>
  <c r="BY122" i="27"/>
  <c r="BV122" i="27"/>
  <c r="BS122" i="27"/>
  <c r="BP122" i="27"/>
  <c r="BM122" i="27"/>
  <c r="BJ122" i="27"/>
  <c r="BG122" i="27"/>
  <c r="BD122" i="27"/>
  <c r="BA122" i="27"/>
  <c r="AX122" i="27"/>
  <c r="AU122" i="27"/>
  <c r="AR122" i="27"/>
  <c r="AO122" i="27"/>
  <c r="AL122" i="27"/>
  <c r="AI122" i="27"/>
  <c r="AF122" i="27"/>
  <c r="FW121" i="27"/>
  <c r="FV121" i="27"/>
  <c r="FU121" i="27"/>
  <c r="FT121" i="27"/>
  <c r="FS121" i="27"/>
  <c r="FR121" i="27"/>
  <c r="FP121" i="27"/>
  <c r="FO121" i="27"/>
  <c r="FQ121" i="27" s="1"/>
  <c r="FM121" i="27"/>
  <c r="FL121" i="27"/>
  <c r="FN121" i="27" s="1"/>
  <c r="FK121" i="27"/>
  <c r="FJ121" i="27"/>
  <c r="FI121" i="27"/>
  <c r="FH121" i="27"/>
  <c r="FG121" i="27"/>
  <c r="FF121" i="27"/>
  <c r="FD121" i="27"/>
  <c r="FC121" i="27"/>
  <c r="FE121" i="27" s="1"/>
  <c r="FA121" i="27"/>
  <c r="EZ121" i="27"/>
  <c r="FB121" i="27" s="1"/>
  <c r="EY121" i="27"/>
  <c r="EX121" i="27"/>
  <c r="EW121" i="27"/>
  <c r="EV121" i="27"/>
  <c r="EU121" i="27"/>
  <c r="ET121" i="27"/>
  <c r="ER121" i="27"/>
  <c r="EQ121" i="27"/>
  <c r="ES121" i="27" s="1"/>
  <c r="EO121" i="27"/>
  <c r="EN121" i="27"/>
  <c r="EP121" i="27" s="1"/>
  <c r="EM121" i="27"/>
  <c r="EL121" i="27"/>
  <c r="EK121" i="27"/>
  <c r="EJ121" i="27"/>
  <c r="EI121" i="27"/>
  <c r="EH121" i="27"/>
  <c r="EF121" i="27"/>
  <c r="EE121" i="27"/>
  <c r="EG121" i="27" s="1"/>
  <c r="EC121" i="27"/>
  <c r="EB121" i="27"/>
  <c r="ED121" i="27" s="1"/>
  <c r="EA121" i="27"/>
  <c r="DZ121" i="27"/>
  <c r="DY121" i="27"/>
  <c r="DX121" i="27"/>
  <c r="DW121" i="27"/>
  <c r="DV121" i="27"/>
  <c r="DT121" i="27"/>
  <c r="DS121" i="27"/>
  <c r="DU121" i="27" s="1"/>
  <c r="DQ121" i="27"/>
  <c r="DP121" i="27"/>
  <c r="DR121" i="27" s="1"/>
  <c r="DO121" i="27"/>
  <c r="DN121" i="27"/>
  <c r="DM121" i="27"/>
  <c r="DL121" i="27"/>
  <c r="DK121" i="27"/>
  <c r="DJ121" i="27"/>
  <c r="DH121" i="27"/>
  <c r="DG121" i="27"/>
  <c r="DI121" i="27" s="1"/>
  <c r="DE121" i="27"/>
  <c r="DD121" i="27"/>
  <c r="DF121" i="27" s="1"/>
  <c r="DC121" i="27"/>
  <c r="DB121" i="27"/>
  <c r="DA121" i="27"/>
  <c r="CZ121" i="27"/>
  <c r="CY121" i="27"/>
  <c r="CX121" i="27"/>
  <c r="CV121" i="27"/>
  <c r="CU121" i="27"/>
  <c r="CW121" i="27" s="1"/>
  <c r="CS121" i="27"/>
  <c r="CR121" i="27"/>
  <c r="CT121" i="27" s="1"/>
  <c r="CQ121" i="27"/>
  <c r="CP121" i="27"/>
  <c r="CO121" i="27"/>
  <c r="CN121" i="27"/>
  <c r="CM121" i="27"/>
  <c r="CL121" i="27"/>
  <c r="CJ121" i="27"/>
  <c r="CI121" i="27"/>
  <c r="CK121" i="27" s="1"/>
  <c r="CG121" i="27"/>
  <c r="CF121" i="27"/>
  <c r="CH121" i="27" s="1"/>
  <c r="CE121" i="27"/>
  <c r="CD121" i="27"/>
  <c r="CC121" i="27"/>
  <c r="CB121" i="27"/>
  <c r="CA121" i="27"/>
  <c r="BZ121" i="27"/>
  <c r="BX121" i="27"/>
  <c r="BW121" i="27"/>
  <c r="BY121" i="27" s="1"/>
  <c r="BU121" i="27"/>
  <c r="BT121" i="27"/>
  <c r="BV121" i="27" s="1"/>
  <c r="BS121" i="27"/>
  <c r="BR121" i="27"/>
  <c r="BQ121" i="27"/>
  <c r="BP121" i="27"/>
  <c r="BO121" i="27"/>
  <c r="BN121" i="27"/>
  <c r="BL121" i="27"/>
  <c r="BK121" i="27"/>
  <c r="BM121" i="27" s="1"/>
  <c r="BI121" i="27"/>
  <c r="BH121" i="27"/>
  <c r="BJ121" i="27" s="1"/>
  <c r="FW119" i="27"/>
  <c r="FT119" i="27"/>
  <c r="FQ119" i="27"/>
  <c r="FN119" i="27"/>
  <c r="FK119" i="27"/>
  <c r="FH119" i="27"/>
  <c r="FE119" i="27"/>
  <c r="FB119" i="27"/>
  <c r="EY119" i="27"/>
  <c r="EV119" i="27"/>
  <c r="ES119" i="27"/>
  <c r="EP119" i="27"/>
  <c r="EM119" i="27"/>
  <c r="EJ119" i="27"/>
  <c r="EG119" i="27"/>
  <c r="ED119" i="27"/>
  <c r="EA119" i="27"/>
  <c r="DX119" i="27"/>
  <c r="DU119" i="27"/>
  <c r="DR119" i="27"/>
  <c r="DO119" i="27"/>
  <c r="DL119" i="27"/>
  <c r="DI119" i="27"/>
  <c r="DF119" i="27"/>
  <c r="DC119" i="27"/>
  <c r="CZ119" i="27"/>
  <c r="CW119" i="27"/>
  <c r="CT119" i="27"/>
  <c r="CQ119" i="27"/>
  <c r="CN119" i="27"/>
  <c r="CK119" i="27"/>
  <c r="CH119" i="27"/>
  <c r="CE119" i="27"/>
  <c r="CB119" i="27"/>
  <c r="BY119" i="27"/>
  <c r="BV119" i="27"/>
  <c r="BS119" i="27"/>
  <c r="BP119" i="27"/>
  <c r="BM119" i="27"/>
  <c r="BJ119" i="27"/>
  <c r="BG119" i="27"/>
  <c r="BD119" i="27"/>
  <c r="BA119" i="27"/>
  <c r="AX119" i="27"/>
  <c r="AU119" i="27"/>
  <c r="AR119" i="27"/>
  <c r="AO119" i="27"/>
  <c r="AL119" i="27"/>
  <c r="AI119" i="27"/>
  <c r="AF119" i="27"/>
  <c r="FW118" i="27"/>
  <c r="FT118" i="27"/>
  <c r="FQ118" i="27"/>
  <c r="FN118" i="27"/>
  <c r="FK118" i="27"/>
  <c r="FH118" i="27"/>
  <c r="FE118" i="27"/>
  <c r="FB118" i="27"/>
  <c r="EY118" i="27"/>
  <c r="EV118" i="27"/>
  <c r="ES118" i="27"/>
  <c r="EP118" i="27"/>
  <c r="EM118" i="27"/>
  <c r="EJ118" i="27"/>
  <c r="EG118" i="27"/>
  <c r="ED118" i="27"/>
  <c r="EA118" i="27"/>
  <c r="DX118" i="27"/>
  <c r="DU118" i="27"/>
  <c r="DR118" i="27"/>
  <c r="DO118" i="27"/>
  <c r="DL118" i="27"/>
  <c r="DI118" i="27"/>
  <c r="DF118" i="27"/>
  <c r="DC118" i="27"/>
  <c r="CZ118" i="27"/>
  <c r="CW118" i="27"/>
  <c r="CT118" i="27"/>
  <c r="CQ118" i="27"/>
  <c r="CN118" i="27"/>
  <c r="CK118" i="27"/>
  <c r="CH118" i="27"/>
  <c r="CE118" i="27"/>
  <c r="CB118" i="27"/>
  <c r="BY118" i="27"/>
  <c r="BV118" i="27"/>
  <c r="BS118" i="27"/>
  <c r="BP118" i="27"/>
  <c r="BM118" i="27"/>
  <c r="BJ118" i="27"/>
  <c r="BG118" i="27"/>
  <c r="BD118" i="27"/>
  <c r="BA118" i="27"/>
  <c r="AX118" i="27"/>
  <c r="AU118" i="27"/>
  <c r="AR118" i="27"/>
  <c r="AO118" i="27"/>
  <c r="AL118" i="27"/>
  <c r="AI118" i="27"/>
  <c r="AF118" i="27"/>
  <c r="FW117" i="27"/>
  <c r="FT117" i="27"/>
  <c r="FQ117" i="27"/>
  <c r="FN117" i="27"/>
  <c r="FK117" i="27"/>
  <c r="FH117" i="27"/>
  <c r="FE117" i="27"/>
  <c r="FB117" i="27"/>
  <c r="EY117" i="27"/>
  <c r="EV117" i="27"/>
  <c r="ES117" i="27"/>
  <c r="EP117" i="27"/>
  <c r="EM117" i="27"/>
  <c r="EJ117" i="27"/>
  <c r="EG117" i="27"/>
  <c r="ED117" i="27"/>
  <c r="EA117" i="27"/>
  <c r="DX117" i="27"/>
  <c r="DU117" i="27"/>
  <c r="DR117" i="27"/>
  <c r="DO117" i="27"/>
  <c r="DL117" i="27"/>
  <c r="DI117" i="27"/>
  <c r="DF117" i="27"/>
  <c r="DC117" i="27"/>
  <c r="CZ117" i="27"/>
  <c r="CW117" i="27"/>
  <c r="CT117" i="27"/>
  <c r="CQ117" i="27"/>
  <c r="CN117" i="27"/>
  <c r="CK117" i="27"/>
  <c r="CH117" i="27"/>
  <c r="CE117" i="27"/>
  <c r="CB117" i="27"/>
  <c r="BY117" i="27"/>
  <c r="BV117" i="27"/>
  <c r="BS117" i="27"/>
  <c r="BP117" i="27"/>
  <c r="BM117" i="27"/>
  <c r="BJ117" i="27"/>
  <c r="FW116" i="27"/>
  <c r="FT116" i="27"/>
  <c r="FQ116" i="27"/>
  <c r="FN116" i="27"/>
  <c r="FK116" i="27"/>
  <c r="FH116" i="27"/>
  <c r="FE116" i="27"/>
  <c r="FB116" i="27"/>
  <c r="EY116" i="27"/>
  <c r="EV116" i="27"/>
  <c r="ES116" i="27"/>
  <c r="EP116" i="27"/>
  <c r="EM116" i="27"/>
  <c r="EJ116" i="27"/>
  <c r="EG116" i="27"/>
  <c r="ED116" i="27"/>
  <c r="EA116" i="27"/>
  <c r="DX116" i="27"/>
  <c r="DU116" i="27"/>
  <c r="DR116" i="27"/>
  <c r="DO116" i="27"/>
  <c r="DL116" i="27"/>
  <c r="DI116" i="27"/>
  <c r="DF116" i="27"/>
  <c r="DC116" i="27"/>
  <c r="CZ116" i="27"/>
  <c r="CW116" i="27"/>
  <c r="CT116" i="27"/>
  <c r="CQ116" i="27"/>
  <c r="CN116" i="27"/>
  <c r="CK116" i="27"/>
  <c r="CH116" i="27"/>
  <c r="CE116" i="27"/>
  <c r="CB116" i="27"/>
  <c r="BY116" i="27"/>
  <c r="BV116" i="27"/>
  <c r="BS116" i="27"/>
  <c r="BP116" i="27"/>
  <c r="BM116" i="27"/>
  <c r="BJ116" i="27"/>
  <c r="BG116" i="27"/>
  <c r="BD116" i="27"/>
  <c r="BA116" i="27"/>
  <c r="AX116" i="27"/>
  <c r="AU116" i="27"/>
  <c r="AR116" i="27"/>
  <c r="AO116" i="27"/>
  <c r="AL116" i="27"/>
  <c r="AI116" i="27"/>
  <c r="AF116" i="27"/>
  <c r="FV115" i="27"/>
  <c r="FU115" i="27"/>
  <c r="FW115" i="27" s="1"/>
  <c r="FT115" i="27"/>
  <c r="FS115" i="27"/>
  <c r="FR115" i="27"/>
  <c r="FQ115" i="27"/>
  <c r="FP115" i="27"/>
  <c r="FO115" i="27"/>
  <c r="FM115" i="27"/>
  <c r="FL115" i="27"/>
  <c r="FN115" i="27" s="1"/>
  <c r="FJ115" i="27"/>
  <c r="FI115" i="27"/>
  <c r="FK115" i="27" s="1"/>
  <c r="FH115" i="27"/>
  <c r="FG115" i="27"/>
  <c r="FF115" i="27"/>
  <c r="FE115" i="27"/>
  <c r="FD115" i="27"/>
  <c r="FC115" i="27"/>
  <c r="FA115" i="27"/>
  <c r="EZ115" i="27"/>
  <c r="FB115" i="27" s="1"/>
  <c r="EX115" i="27"/>
  <c r="EW115" i="27"/>
  <c r="EY115" i="27" s="1"/>
  <c r="EV115" i="27"/>
  <c r="EU115" i="27"/>
  <c r="ET115" i="27"/>
  <c r="ES115" i="27"/>
  <c r="ER115" i="27"/>
  <c r="EQ115" i="27"/>
  <c r="EO115" i="27"/>
  <c r="EN115" i="27"/>
  <c r="EP115" i="27" s="1"/>
  <c r="EL115" i="27"/>
  <c r="EK115" i="27"/>
  <c r="EM115" i="27" s="1"/>
  <c r="EJ115" i="27"/>
  <c r="EI115" i="27"/>
  <c r="EH115" i="27"/>
  <c r="EG115" i="27"/>
  <c r="EF115" i="27"/>
  <c r="EE115" i="27"/>
  <c r="EC115" i="27"/>
  <c r="EB115" i="27"/>
  <c r="ED115" i="27" s="1"/>
  <c r="DZ115" i="27"/>
  <c r="DY115" i="27"/>
  <c r="EA115" i="27" s="1"/>
  <c r="DX115" i="27"/>
  <c r="DW115" i="27"/>
  <c r="DV115" i="27"/>
  <c r="DU115" i="27"/>
  <c r="DT115" i="27"/>
  <c r="DS115" i="27"/>
  <c r="DQ115" i="27"/>
  <c r="DP115" i="27"/>
  <c r="DR115" i="27" s="1"/>
  <c r="DN115" i="27"/>
  <c r="DM115" i="27"/>
  <c r="DO115" i="27" s="1"/>
  <c r="DL115" i="27"/>
  <c r="DK115" i="27"/>
  <c r="DJ115" i="27"/>
  <c r="DI115" i="27"/>
  <c r="DH115" i="27"/>
  <c r="DG115" i="27"/>
  <c r="DE115" i="27"/>
  <c r="DD115" i="27"/>
  <c r="DF115" i="27" s="1"/>
  <c r="DB115" i="27"/>
  <c r="DA115" i="27"/>
  <c r="DC115" i="27" s="1"/>
  <c r="CZ115" i="27"/>
  <c r="CY115" i="27"/>
  <c r="CX115" i="27"/>
  <c r="CW115" i="27"/>
  <c r="CV115" i="27"/>
  <c r="CU115" i="27"/>
  <c r="CS115" i="27"/>
  <c r="CR115" i="27"/>
  <c r="CT115" i="27" s="1"/>
  <c r="CP115" i="27"/>
  <c r="CO115" i="27"/>
  <c r="CQ115" i="27" s="1"/>
  <c r="CN115" i="27"/>
  <c r="CM115" i="27"/>
  <c r="CL115" i="27"/>
  <c r="CK115" i="27"/>
  <c r="CJ115" i="27"/>
  <c r="CI115" i="27"/>
  <c r="CG115" i="27"/>
  <c r="CF115" i="27"/>
  <c r="CH115" i="27" s="1"/>
  <c r="CD115" i="27"/>
  <c r="CC115" i="27"/>
  <c r="CE115" i="27" s="1"/>
  <c r="CB115" i="27"/>
  <c r="CA115" i="27"/>
  <c r="BZ115" i="27"/>
  <c r="BY115" i="27"/>
  <c r="BX115" i="27"/>
  <c r="BW115" i="27"/>
  <c r="BU115" i="27"/>
  <c r="BT115" i="27"/>
  <c r="BV115" i="27" s="1"/>
  <c r="BR115" i="27"/>
  <c r="BQ115" i="27"/>
  <c r="BS115" i="27" s="1"/>
  <c r="BP115" i="27"/>
  <c r="BO115" i="27"/>
  <c r="BN115" i="27"/>
  <c r="BM115" i="27"/>
  <c r="BL115" i="27"/>
  <c r="BK115" i="27"/>
  <c r="BI115" i="27"/>
  <c r="BH115" i="27"/>
  <c r="BJ115" i="27" s="1"/>
  <c r="FW113" i="27"/>
  <c r="FT113" i="27"/>
  <c r="FQ113" i="27"/>
  <c r="FN113" i="27"/>
  <c r="FK113" i="27"/>
  <c r="FH113" i="27"/>
  <c r="FE113" i="27"/>
  <c r="FB113" i="27"/>
  <c r="EY113" i="27"/>
  <c r="EV113" i="27"/>
  <c r="ES113" i="27"/>
  <c r="EP113" i="27"/>
  <c r="EM113" i="27"/>
  <c r="EJ113" i="27"/>
  <c r="EG113" i="27"/>
  <c r="ED113" i="27"/>
  <c r="EA113" i="27"/>
  <c r="DX113" i="27"/>
  <c r="DU113" i="27"/>
  <c r="DR113" i="27"/>
  <c r="DO113" i="27"/>
  <c r="DL113" i="27"/>
  <c r="DI113" i="27"/>
  <c r="DF113" i="27"/>
  <c r="DC113" i="27"/>
  <c r="CZ113" i="27"/>
  <c r="CW113" i="27"/>
  <c r="CT113" i="27"/>
  <c r="CQ113" i="27"/>
  <c r="CN113" i="27"/>
  <c r="CK113" i="27"/>
  <c r="CH113" i="27"/>
  <c r="CE113" i="27"/>
  <c r="CB113" i="27"/>
  <c r="BY113" i="27"/>
  <c r="BV113" i="27"/>
  <c r="BS113" i="27"/>
  <c r="BP113" i="27"/>
  <c r="BM113" i="27"/>
  <c r="BJ113" i="27"/>
  <c r="BG113" i="27"/>
  <c r="BD113" i="27"/>
  <c r="BA113" i="27"/>
  <c r="AX113" i="27"/>
  <c r="AU113" i="27"/>
  <c r="AR113" i="27"/>
  <c r="AO113" i="27"/>
  <c r="AL113" i="27"/>
  <c r="AI113" i="27"/>
  <c r="AF113" i="27"/>
  <c r="FW112" i="27"/>
  <c r="FT112" i="27"/>
  <c r="FQ112" i="27"/>
  <c r="FN112" i="27"/>
  <c r="FK112" i="27"/>
  <c r="FH112" i="27"/>
  <c r="FE112" i="27"/>
  <c r="FB112" i="27"/>
  <c r="EY112" i="27"/>
  <c r="EV112" i="27"/>
  <c r="ES112" i="27"/>
  <c r="EP112" i="27"/>
  <c r="EM112" i="27"/>
  <c r="EJ112" i="27"/>
  <c r="EG112" i="27"/>
  <c r="ED112" i="27"/>
  <c r="EA112" i="27"/>
  <c r="DX112" i="27"/>
  <c r="DU112" i="27"/>
  <c r="DR112" i="27"/>
  <c r="DO112" i="27"/>
  <c r="DL112" i="27"/>
  <c r="DI112" i="27"/>
  <c r="DF112" i="27"/>
  <c r="DC112" i="27"/>
  <c r="CZ112" i="27"/>
  <c r="CW112" i="27"/>
  <c r="CT112" i="27"/>
  <c r="CQ112" i="27"/>
  <c r="CN112" i="27"/>
  <c r="CK112" i="27"/>
  <c r="CH112" i="27"/>
  <c r="CE112" i="27"/>
  <c r="CB112" i="27"/>
  <c r="BY112" i="27"/>
  <c r="BV112" i="27"/>
  <c r="BS112" i="27"/>
  <c r="BP112" i="27"/>
  <c r="BM112" i="27"/>
  <c r="BJ112" i="27"/>
  <c r="BG112" i="27"/>
  <c r="BD112" i="27"/>
  <c r="BA112" i="27"/>
  <c r="AX112" i="27"/>
  <c r="AU112" i="27"/>
  <c r="AR112" i="27"/>
  <c r="AO112" i="27"/>
  <c r="AL112" i="27"/>
  <c r="AI112" i="27"/>
  <c r="AF112" i="27"/>
  <c r="FW111" i="27"/>
  <c r="FT111" i="27"/>
  <c r="FQ111" i="27"/>
  <c r="FN111" i="27"/>
  <c r="FK111" i="27"/>
  <c r="FH111" i="27"/>
  <c r="FE111" i="27"/>
  <c r="FB111" i="27"/>
  <c r="EY111" i="27"/>
  <c r="EV111" i="27"/>
  <c r="ES111" i="27"/>
  <c r="EP111" i="27"/>
  <c r="EM111" i="27"/>
  <c r="EJ111" i="27"/>
  <c r="EG111" i="27"/>
  <c r="ED111" i="27"/>
  <c r="EA111" i="27"/>
  <c r="DX111" i="27"/>
  <c r="DU111" i="27"/>
  <c r="DR111" i="27"/>
  <c r="DO111" i="27"/>
  <c r="DL111" i="27"/>
  <c r="DI111" i="27"/>
  <c r="DF111" i="27"/>
  <c r="DC111" i="27"/>
  <c r="CZ111" i="27"/>
  <c r="CW111" i="27"/>
  <c r="CT111" i="27"/>
  <c r="CQ111" i="27"/>
  <c r="CN111" i="27"/>
  <c r="CK111" i="27"/>
  <c r="CH111" i="27"/>
  <c r="CE111" i="27"/>
  <c r="CB111" i="27"/>
  <c r="BY111" i="27"/>
  <c r="BV111" i="27"/>
  <c r="BS111" i="27"/>
  <c r="BP111" i="27"/>
  <c r="BM111" i="27"/>
  <c r="BJ111" i="27"/>
  <c r="FW110" i="27"/>
  <c r="FT110" i="27"/>
  <c r="FQ110" i="27"/>
  <c r="FN110" i="27"/>
  <c r="FK110" i="27"/>
  <c r="FH110" i="27"/>
  <c r="FE110" i="27"/>
  <c r="FB110" i="27"/>
  <c r="EY110" i="27"/>
  <c r="EV110" i="27"/>
  <c r="ES110" i="27"/>
  <c r="EP110" i="27"/>
  <c r="EM110" i="27"/>
  <c r="EJ110" i="27"/>
  <c r="EG110" i="27"/>
  <c r="ED110" i="27"/>
  <c r="EA110" i="27"/>
  <c r="DX110" i="27"/>
  <c r="DU110" i="27"/>
  <c r="DR110" i="27"/>
  <c r="DO110" i="27"/>
  <c r="DL110" i="27"/>
  <c r="DI110" i="27"/>
  <c r="DF110" i="27"/>
  <c r="DC110" i="27"/>
  <c r="CZ110" i="27"/>
  <c r="CW110" i="27"/>
  <c r="CT110" i="27"/>
  <c r="CQ110" i="27"/>
  <c r="CN110" i="27"/>
  <c r="CK110" i="27"/>
  <c r="CH110" i="27"/>
  <c r="CE110" i="27"/>
  <c r="CB110" i="27"/>
  <c r="BY110" i="27"/>
  <c r="BV110" i="27"/>
  <c r="BS110" i="27"/>
  <c r="BP110" i="27"/>
  <c r="BM110" i="27"/>
  <c r="BJ110" i="27"/>
  <c r="BG110" i="27"/>
  <c r="BD110" i="27"/>
  <c r="BA110" i="27"/>
  <c r="AX110" i="27"/>
  <c r="AU110" i="27"/>
  <c r="AR110" i="27"/>
  <c r="AO110" i="27"/>
  <c r="AL110" i="27"/>
  <c r="AI110" i="27"/>
  <c r="AF110" i="27"/>
  <c r="FV109" i="27"/>
  <c r="FU109" i="27"/>
  <c r="FW109" i="27" s="1"/>
  <c r="FS109" i="27"/>
  <c r="FR109" i="27"/>
  <c r="FT109" i="27" s="1"/>
  <c r="FQ109" i="27"/>
  <c r="FP109" i="27"/>
  <c r="FO109" i="27"/>
  <c r="FN109" i="27"/>
  <c r="FM109" i="27"/>
  <c r="FL109" i="27"/>
  <c r="FJ109" i="27"/>
  <c r="FI109" i="27"/>
  <c r="FK109" i="27" s="1"/>
  <c r="FG109" i="27"/>
  <c r="FF109" i="27"/>
  <c r="FH109" i="27" s="1"/>
  <c r="FE109" i="27"/>
  <c r="FD109" i="27"/>
  <c r="FC109" i="27"/>
  <c r="FB109" i="27"/>
  <c r="FA109" i="27"/>
  <c r="EZ109" i="27"/>
  <c r="EX109" i="27"/>
  <c r="EW109" i="27"/>
  <c r="EY109" i="27" s="1"/>
  <c r="EU109" i="27"/>
  <c r="ET109" i="27"/>
  <c r="EV109" i="27" s="1"/>
  <c r="ES109" i="27"/>
  <c r="ER109" i="27"/>
  <c r="EQ109" i="27"/>
  <c r="EP109" i="27"/>
  <c r="EO109" i="27"/>
  <c r="EN109" i="27"/>
  <c r="EL109" i="27"/>
  <c r="EK109" i="27"/>
  <c r="EM109" i="27" s="1"/>
  <c r="EI109" i="27"/>
  <c r="EH109" i="27"/>
  <c r="EJ109" i="27" s="1"/>
  <c r="EG109" i="27"/>
  <c r="EF109" i="27"/>
  <c r="EE109" i="27"/>
  <c r="ED109" i="27"/>
  <c r="EC109" i="27"/>
  <c r="EB109" i="27"/>
  <c r="DZ109" i="27"/>
  <c r="DY109" i="27"/>
  <c r="EA109" i="27" s="1"/>
  <c r="DW109" i="27"/>
  <c r="DV109" i="27"/>
  <c r="DX109" i="27" s="1"/>
  <c r="DU109" i="27"/>
  <c r="DT109" i="27"/>
  <c r="DS109" i="27"/>
  <c r="DR109" i="27"/>
  <c r="DQ109" i="27"/>
  <c r="DP109" i="27"/>
  <c r="DN109" i="27"/>
  <c r="DM109" i="27"/>
  <c r="DO109" i="27" s="1"/>
  <c r="DK109" i="27"/>
  <c r="DJ109" i="27"/>
  <c r="DL109" i="27" s="1"/>
  <c r="DI109" i="27"/>
  <c r="DH109" i="27"/>
  <c r="DG109" i="27"/>
  <c r="DF109" i="27"/>
  <c r="DE109" i="27"/>
  <c r="DD109" i="27"/>
  <c r="DB109" i="27"/>
  <c r="DA109" i="27"/>
  <c r="DC109" i="27" s="1"/>
  <c r="CY109" i="27"/>
  <c r="CX109" i="27"/>
  <c r="CZ109" i="27" s="1"/>
  <c r="CW109" i="27"/>
  <c r="CV109" i="27"/>
  <c r="CU109" i="27"/>
  <c r="CT109" i="27"/>
  <c r="CS109" i="27"/>
  <c r="CR109" i="27"/>
  <c r="CP109" i="27"/>
  <c r="CO109" i="27"/>
  <c r="CQ109" i="27" s="1"/>
  <c r="CM109" i="27"/>
  <c r="CL109" i="27"/>
  <c r="CN109" i="27" s="1"/>
  <c r="CK109" i="27"/>
  <c r="CJ109" i="27"/>
  <c r="CI109" i="27"/>
  <c r="CH109" i="27"/>
  <c r="CG109" i="27"/>
  <c r="CF109" i="27"/>
  <c r="CD109" i="27"/>
  <c r="CC109" i="27"/>
  <c r="CE109" i="27" s="1"/>
  <c r="CA109" i="27"/>
  <c r="BZ109" i="27"/>
  <c r="CB109" i="27" s="1"/>
  <c r="BY109" i="27"/>
  <c r="BX109" i="27"/>
  <c r="BW109" i="27"/>
  <c r="BV109" i="27"/>
  <c r="BU109" i="27"/>
  <c r="BT109" i="27"/>
  <c r="BR109" i="27"/>
  <c r="BQ109" i="27"/>
  <c r="BS109" i="27" s="1"/>
  <c r="BO109" i="27"/>
  <c r="BN109" i="27"/>
  <c r="BP109" i="27" s="1"/>
  <c r="BM109" i="27"/>
  <c r="BL109" i="27"/>
  <c r="BK109" i="27"/>
  <c r="BJ109" i="27"/>
  <c r="BI109" i="27"/>
  <c r="BH109" i="27"/>
  <c r="FW107" i="27"/>
  <c r="FT107" i="27"/>
  <c r="FQ107" i="27"/>
  <c r="FN107" i="27"/>
  <c r="FK107" i="27"/>
  <c r="FH107" i="27"/>
  <c r="FE107" i="27"/>
  <c r="FB107" i="27"/>
  <c r="EY107" i="27"/>
  <c r="EV107" i="27"/>
  <c r="ES107" i="27"/>
  <c r="EP107" i="27"/>
  <c r="EM107" i="27"/>
  <c r="EJ107" i="27"/>
  <c r="EG107" i="27"/>
  <c r="ED107" i="27"/>
  <c r="EA107" i="27"/>
  <c r="DX107" i="27"/>
  <c r="DU107" i="27"/>
  <c r="DR107" i="27"/>
  <c r="DO107" i="27"/>
  <c r="DL107" i="27"/>
  <c r="DI107" i="27"/>
  <c r="DF107" i="27"/>
  <c r="DC107" i="27"/>
  <c r="CZ107" i="27"/>
  <c r="CW107" i="27"/>
  <c r="CT107" i="27"/>
  <c r="CQ107" i="27"/>
  <c r="CN107" i="27"/>
  <c r="CK107" i="27"/>
  <c r="CH107" i="27"/>
  <c r="CE107" i="27"/>
  <c r="CB107" i="27"/>
  <c r="BY107" i="27"/>
  <c r="BV107" i="27"/>
  <c r="BS107" i="27"/>
  <c r="BP107" i="27"/>
  <c r="BM107" i="27"/>
  <c r="BJ107" i="27"/>
  <c r="BG107" i="27"/>
  <c r="BD107" i="27"/>
  <c r="BA107" i="27"/>
  <c r="AX107" i="27"/>
  <c r="AU107" i="27"/>
  <c r="AR107" i="27"/>
  <c r="AO107" i="27"/>
  <c r="AL107" i="27"/>
  <c r="AI107" i="27"/>
  <c r="AF107" i="27"/>
  <c r="FW106" i="27"/>
  <c r="FT106" i="27"/>
  <c r="FQ106" i="27"/>
  <c r="FN106" i="27"/>
  <c r="FK106" i="27"/>
  <c r="FH106" i="27"/>
  <c r="FE106" i="27"/>
  <c r="FB106" i="27"/>
  <c r="EY106" i="27"/>
  <c r="EV106" i="27"/>
  <c r="ES106" i="27"/>
  <c r="EP106" i="27"/>
  <c r="EM106" i="27"/>
  <c r="EJ106" i="27"/>
  <c r="EG106" i="27"/>
  <c r="ED106" i="27"/>
  <c r="EA106" i="27"/>
  <c r="DX106" i="27"/>
  <c r="DU106" i="27"/>
  <c r="DR106" i="27"/>
  <c r="DO106" i="27"/>
  <c r="DL106" i="27"/>
  <c r="DI106" i="27"/>
  <c r="DF106" i="27"/>
  <c r="DC106" i="27"/>
  <c r="CZ106" i="27"/>
  <c r="CW106" i="27"/>
  <c r="CT106" i="27"/>
  <c r="CQ106" i="27"/>
  <c r="CN106" i="27"/>
  <c r="CK106" i="27"/>
  <c r="CH106" i="27"/>
  <c r="CE106" i="27"/>
  <c r="CB106" i="27"/>
  <c r="BY106" i="27"/>
  <c r="BV106" i="27"/>
  <c r="BS106" i="27"/>
  <c r="BP106" i="27"/>
  <c r="BM106" i="27"/>
  <c r="BJ106" i="27"/>
  <c r="BG106" i="27"/>
  <c r="BD106" i="27"/>
  <c r="BA106" i="27"/>
  <c r="AX106" i="27"/>
  <c r="AU106" i="27"/>
  <c r="AR106" i="27"/>
  <c r="AO106" i="27"/>
  <c r="AL106" i="27"/>
  <c r="AI106" i="27"/>
  <c r="AF106" i="27"/>
  <c r="FW105" i="27"/>
  <c r="FT105" i="27"/>
  <c r="FQ105" i="27"/>
  <c r="FN105" i="27"/>
  <c r="FK105" i="27"/>
  <c r="FH105" i="27"/>
  <c r="FE105" i="27"/>
  <c r="FB105" i="27"/>
  <c r="EY105" i="27"/>
  <c r="EV105" i="27"/>
  <c r="ES105" i="27"/>
  <c r="EP105" i="27"/>
  <c r="EM105" i="27"/>
  <c r="EJ105" i="27"/>
  <c r="EG105" i="27"/>
  <c r="ED105" i="27"/>
  <c r="EA105" i="27"/>
  <c r="DX105" i="27"/>
  <c r="DU105" i="27"/>
  <c r="DR105" i="27"/>
  <c r="DO105" i="27"/>
  <c r="DL105" i="27"/>
  <c r="DI105" i="27"/>
  <c r="DF105" i="27"/>
  <c r="DC105" i="27"/>
  <c r="CZ105" i="27"/>
  <c r="CW105" i="27"/>
  <c r="CT105" i="27"/>
  <c r="CQ105" i="27"/>
  <c r="CN105" i="27"/>
  <c r="CK105" i="27"/>
  <c r="CH105" i="27"/>
  <c r="CE105" i="27"/>
  <c r="CB105" i="27"/>
  <c r="BY105" i="27"/>
  <c r="BV105" i="27"/>
  <c r="BS105" i="27"/>
  <c r="BP105" i="27"/>
  <c r="BM105" i="27"/>
  <c r="BJ105" i="27"/>
  <c r="FW104" i="27"/>
  <c r="FT104" i="27"/>
  <c r="FQ104" i="27"/>
  <c r="FN104" i="27"/>
  <c r="FK104" i="27"/>
  <c r="FH104" i="27"/>
  <c r="FE104" i="27"/>
  <c r="FB104" i="27"/>
  <c r="EY104" i="27"/>
  <c r="EV104" i="27"/>
  <c r="ES104" i="27"/>
  <c r="EP104" i="27"/>
  <c r="EM104" i="27"/>
  <c r="EJ104" i="27"/>
  <c r="EG104" i="27"/>
  <c r="ED104" i="27"/>
  <c r="EA104" i="27"/>
  <c r="DX104" i="27"/>
  <c r="DU104" i="27"/>
  <c r="DR104" i="27"/>
  <c r="DO104" i="27"/>
  <c r="DL104" i="27"/>
  <c r="DI104" i="27"/>
  <c r="DF104" i="27"/>
  <c r="DC104" i="27"/>
  <c r="CZ104" i="27"/>
  <c r="CW104" i="27"/>
  <c r="CT104" i="27"/>
  <c r="CQ104" i="27"/>
  <c r="CN104" i="27"/>
  <c r="CK104" i="27"/>
  <c r="CH104" i="27"/>
  <c r="CE104" i="27"/>
  <c r="CB104" i="27"/>
  <c r="BY104" i="27"/>
  <c r="BV104" i="27"/>
  <c r="BS104" i="27"/>
  <c r="BP104" i="27"/>
  <c r="BM104" i="27"/>
  <c r="BJ104" i="27"/>
  <c r="BG104" i="27"/>
  <c r="BD104" i="27"/>
  <c r="BA104" i="27"/>
  <c r="AX104" i="27"/>
  <c r="AU104" i="27"/>
  <c r="AR104" i="27"/>
  <c r="AO104" i="27"/>
  <c r="AL104" i="27"/>
  <c r="AI104" i="27"/>
  <c r="AF104" i="27"/>
  <c r="FW103" i="27"/>
  <c r="FV103" i="27"/>
  <c r="FU103" i="27"/>
  <c r="FS103" i="27"/>
  <c r="FR103" i="27"/>
  <c r="FT103" i="27" s="1"/>
  <c r="FP103" i="27"/>
  <c r="FO103" i="27"/>
  <c r="FQ103" i="27" s="1"/>
  <c r="FN103" i="27"/>
  <c r="FM103" i="27"/>
  <c r="FL103" i="27"/>
  <c r="FK103" i="27"/>
  <c r="FJ103" i="27"/>
  <c r="FI103" i="27"/>
  <c r="FG103" i="27"/>
  <c r="FF103" i="27"/>
  <c r="FH103" i="27" s="1"/>
  <c r="FD103" i="27"/>
  <c r="FC103" i="27"/>
  <c r="FE103" i="27" s="1"/>
  <c r="FB103" i="27"/>
  <c r="FA103" i="27"/>
  <c r="EZ103" i="27"/>
  <c r="EY103" i="27"/>
  <c r="EX103" i="27"/>
  <c r="EW103" i="27"/>
  <c r="EU103" i="27"/>
  <c r="ET103" i="27"/>
  <c r="EV103" i="27" s="1"/>
  <c r="ER103" i="27"/>
  <c r="EQ103" i="27"/>
  <c r="ES103" i="27" s="1"/>
  <c r="EP103" i="27"/>
  <c r="EO103" i="27"/>
  <c r="EN103" i="27"/>
  <c r="EM103" i="27"/>
  <c r="EL103" i="27"/>
  <c r="EK103" i="27"/>
  <c r="EI103" i="27"/>
  <c r="EH103" i="27"/>
  <c r="EJ103" i="27" s="1"/>
  <c r="EF103" i="27"/>
  <c r="EE103" i="27"/>
  <c r="EG103" i="27" s="1"/>
  <c r="ED103" i="27"/>
  <c r="EC103" i="27"/>
  <c r="EB103" i="27"/>
  <c r="EA103" i="27"/>
  <c r="DZ103" i="27"/>
  <c r="DY103" i="27"/>
  <c r="DW103" i="27"/>
  <c r="DV103" i="27"/>
  <c r="DX103" i="27" s="1"/>
  <c r="DT103" i="27"/>
  <c r="DS103" i="27"/>
  <c r="DU103" i="27" s="1"/>
  <c r="DR103" i="27"/>
  <c r="DQ103" i="27"/>
  <c r="DP103" i="27"/>
  <c r="DO103" i="27"/>
  <c r="DN103" i="27"/>
  <c r="DM103" i="27"/>
  <c r="DK103" i="27"/>
  <c r="DJ103" i="27"/>
  <c r="DL103" i="27" s="1"/>
  <c r="DH103" i="27"/>
  <c r="DG103" i="27"/>
  <c r="DI103" i="27" s="1"/>
  <c r="DF103" i="27"/>
  <c r="DE103" i="27"/>
  <c r="DD103" i="27"/>
  <c r="DC103" i="27"/>
  <c r="DB103" i="27"/>
  <c r="DA103" i="27"/>
  <c r="CY103" i="27"/>
  <c r="CX103" i="27"/>
  <c r="CZ103" i="27" s="1"/>
  <c r="CV103" i="27"/>
  <c r="CU103" i="27"/>
  <c r="CW103" i="27" s="1"/>
  <c r="CT103" i="27"/>
  <c r="CS103" i="27"/>
  <c r="CR103" i="27"/>
  <c r="CQ103" i="27"/>
  <c r="CP103" i="27"/>
  <c r="CO103" i="27"/>
  <c r="CM103" i="27"/>
  <c r="CL103" i="27"/>
  <c r="CN103" i="27" s="1"/>
  <c r="CJ103" i="27"/>
  <c r="CI103" i="27"/>
  <c r="CK103" i="27" s="1"/>
  <c r="CH103" i="27"/>
  <c r="CG103" i="27"/>
  <c r="CF103" i="27"/>
  <c r="CE103" i="27"/>
  <c r="CD103" i="27"/>
  <c r="CC103" i="27"/>
  <c r="CA103" i="27"/>
  <c r="BZ103" i="27"/>
  <c r="CB103" i="27" s="1"/>
  <c r="BX103" i="27"/>
  <c r="BW103" i="27"/>
  <c r="BY103" i="27" s="1"/>
  <c r="BV103" i="27"/>
  <c r="BU103" i="27"/>
  <c r="BT103" i="27"/>
  <c r="BS103" i="27"/>
  <c r="BR103" i="27"/>
  <c r="BQ103" i="27"/>
  <c r="BO103" i="27"/>
  <c r="BN103" i="27"/>
  <c r="BP103" i="27" s="1"/>
  <c r="BL103" i="27"/>
  <c r="BK103" i="27"/>
  <c r="BM103" i="27" s="1"/>
  <c r="BJ103" i="27"/>
  <c r="BI103" i="27"/>
  <c r="BH103" i="27"/>
  <c r="GB99" i="27" a="1"/>
  <c r="GB99" i="27" s="1"/>
  <c r="FW99" i="27"/>
  <c r="FT99" i="27"/>
  <c r="FQ99" i="27"/>
  <c r="FN99" i="27"/>
  <c r="FK99" i="27"/>
  <c r="FH99" i="27"/>
  <c r="FE99" i="27"/>
  <c r="FB99" i="27"/>
  <c r="EY99" i="27"/>
  <c r="EV99" i="27"/>
  <c r="ES99" i="27"/>
  <c r="EP99" i="27"/>
  <c r="EM99" i="27"/>
  <c r="EJ99" i="27"/>
  <c r="EG99" i="27"/>
  <c r="ED99" i="27"/>
  <c r="EA99" i="27"/>
  <c r="DX99" i="27"/>
  <c r="DU99" i="27"/>
  <c r="DR99" i="27"/>
  <c r="DO99" i="27"/>
  <c r="DL99" i="27"/>
  <c r="DI99" i="27"/>
  <c r="DF99" i="27"/>
  <c r="DC99" i="27"/>
  <c r="CZ99" i="27"/>
  <c r="CW99" i="27"/>
  <c r="CT99" i="27"/>
  <c r="CQ99" i="27"/>
  <c r="CN99" i="27"/>
  <c r="CK99" i="27"/>
  <c r="CH99" i="27"/>
  <c r="CE99" i="27"/>
  <c r="CB99" i="27"/>
  <c r="BY99" i="27"/>
  <c r="BV99" i="27"/>
  <c r="BS99" i="27"/>
  <c r="BP99" i="27"/>
  <c r="BM99" i="27"/>
  <c r="BJ99" i="27"/>
  <c r="BG99" i="27"/>
  <c r="BD99" i="27"/>
  <c r="BA99" i="27"/>
  <c r="AX99" i="27"/>
  <c r="AU99" i="27"/>
  <c r="AR99" i="27"/>
  <c r="AO99" i="27"/>
  <c r="AL99" i="27"/>
  <c r="AI99" i="27"/>
  <c r="AF99" i="27"/>
  <c r="GB98" i="27" a="1"/>
  <c r="GB98" i="27" s="1"/>
  <c r="FW98" i="27"/>
  <c r="FT98" i="27"/>
  <c r="FQ98" i="27"/>
  <c r="FN98" i="27"/>
  <c r="FK98" i="27"/>
  <c r="FH98" i="27"/>
  <c r="FE98" i="27"/>
  <c r="FB98" i="27"/>
  <c r="EY98" i="27"/>
  <c r="EV98" i="27"/>
  <c r="ES98" i="27"/>
  <c r="EP98" i="27"/>
  <c r="EM98" i="27"/>
  <c r="EJ98" i="27"/>
  <c r="EG98" i="27"/>
  <c r="ED98" i="27"/>
  <c r="EA98" i="27"/>
  <c r="DX98" i="27"/>
  <c r="DU98" i="27"/>
  <c r="DR98" i="27"/>
  <c r="DO98" i="27"/>
  <c r="DL98" i="27"/>
  <c r="DI98" i="27"/>
  <c r="DF98" i="27"/>
  <c r="DC98" i="27"/>
  <c r="CZ98" i="27"/>
  <c r="CW98" i="27"/>
  <c r="CT98" i="27"/>
  <c r="CQ98" i="27"/>
  <c r="CN98" i="27"/>
  <c r="CK98" i="27"/>
  <c r="CH98" i="27"/>
  <c r="CE98" i="27"/>
  <c r="CB98" i="27"/>
  <c r="BY98" i="27"/>
  <c r="BV98" i="27"/>
  <c r="BS98" i="27"/>
  <c r="BP98" i="27"/>
  <c r="BM98" i="27"/>
  <c r="BJ98" i="27"/>
  <c r="BG98" i="27"/>
  <c r="BD98" i="27"/>
  <c r="BA98" i="27"/>
  <c r="AX98" i="27"/>
  <c r="AU98" i="27"/>
  <c r="AR98" i="27"/>
  <c r="AO98" i="27"/>
  <c r="AL98" i="27"/>
  <c r="AI98" i="27"/>
  <c r="AF98" i="27"/>
  <c r="I98" i="27" a="1"/>
  <c r="I98" i="27" s="1"/>
  <c r="I99" i="27" s="1" a="1"/>
  <c r="I99" i="27" s="1"/>
  <c r="FW97" i="27"/>
  <c r="FT97" i="27"/>
  <c r="FQ97" i="27"/>
  <c r="FN97" i="27"/>
  <c r="FK97" i="27"/>
  <c r="FH97" i="27"/>
  <c r="FE97" i="27"/>
  <c r="FB97" i="27"/>
  <c r="EY97" i="27"/>
  <c r="EV97" i="27"/>
  <c r="ES97" i="27"/>
  <c r="EP97" i="27"/>
  <c r="EM97" i="27"/>
  <c r="EJ97" i="27"/>
  <c r="EG97" i="27"/>
  <c r="ED97" i="27"/>
  <c r="EA97" i="27"/>
  <c r="DX97" i="27"/>
  <c r="DU97" i="27"/>
  <c r="DR97" i="27"/>
  <c r="DO97" i="27"/>
  <c r="DL97" i="27"/>
  <c r="DI97" i="27"/>
  <c r="DF97" i="27"/>
  <c r="DC97" i="27"/>
  <c r="CZ97" i="27"/>
  <c r="CW97" i="27"/>
  <c r="CT97" i="27"/>
  <c r="CQ97" i="27"/>
  <c r="CN97" i="27"/>
  <c r="CK97" i="27"/>
  <c r="CH97" i="27"/>
  <c r="CE97" i="27"/>
  <c r="CB97" i="27"/>
  <c r="BY97" i="27"/>
  <c r="BV97" i="27"/>
  <c r="BS97" i="27"/>
  <c r="BP97" i="27"/>
  <c r="BM97" i="27"/>
  <c r="BJ97" i="27"/>
  <c r="FV96" i="27"/>
  <c r="FU96" i="27"/>
  <c r="FS96" i="27"/>
  <c r="FR96" i="27"/>
  <c r="FP96" i="27"/>
  <c r="FO96" i="27"/>
  <c r="FM96" i="27"/>
  <c r="FL96" i="27"/>
  <c r="FJ96" i="27"/>
  <c r="FI96" i="27"/>
  <c r="FG96" i="27"/>
  <c r="FF96" i="27"/>
  <c r="FD96" i="27"/>
  <c r="FC96" i="27"/>
  <c r="FA96" i="27"/>
  <c r="EZ96" i="27"/>
  <c r="EX96" i="27"/>
  <c r="EW96" i="27"/>
  <c r="EU96" i="27"/>
  <c r="ET96" i="27"/>
  <c r="ER96" i="27"/>
  <c r="EQ96" i="27"/>
  <c r="EO96" i="27"/>
  <c r="EN96" i="27"/>
  <c r="EL96" i="27"/>
  <c r="EK96" i="27"/>
  <c r="EI96" i="27"/>
  <c r="EH96" i="27"/>
  <c r="EF96" i="27"/>
  <c r="EE96" i="27"/>
  <c r="EC96" i="27"/>
  <c r="EB96" i="27"/>
  <c r="DZ96" i="27"/>
  <c r="DY96" i="27"/>
  <c r="DW96" i="27"/>
  <c r="DV96" i="27"/>
  <c r="DT96" i="27"/>
  <c r="DS96" i="27"/>
  <c r="DQ96" i="27"/>
  <c r="DP96" i="27"/>
  <c r="DN96" i="27"/>
  <c r="DM96" i="27"/>
  <c r="DK96" i="27"/>
  <c r="DJ96" i="27"/>
  <c r="DH96" i="27"/>
  <c r="DG96" i="27"/>
  <c r="DE96" i="27"/>
  <c r="DD96" i="27"/>
  <c r="DB96" i="27"/>
  <c r="DA96" i="27"/>
  <c r="CY96" i="27"/>
  <c r="CX96" i="27"/>
  <c r="CV96" i="27"/>
  <c r="CU96" i="27"/>
  <c r="CS96" i="27"/>
  <c r="CR96" i="27"/>
  <c r="CP96" i="27"/>
  <c r="CO96" i="27"/>
  <c r="CM96" i="27"/>
  <c r="CL96" i="27"/>
  <c r="CJ96" i="27"/>
  <c r="CI96" i="27"/>
  <c r="CG96" i="27"/>
  <c r="CF96" i="27"/>
  <c r="CD96" i="27"/>
  <c r="CC96" i="27"/>
  <c r="CA96" i="27"/>
  <c r="BZ96" i="27"/>
  <c r="BX96" i="27"/>
  <c r="BW96" i="27"/>
  <c r="BU96" i="27"/>
  <c r="BT96" i="27"/>
  <c r="BR96" i="27"/>
  <c r="BQ96" i="27"/>
  <c r="BO96" i="27"/>
  <c r="BN96" i="27"/>
  <c r="BL96" i="27"/>
  <c r="BK96" i="27"/>
  <c r="BI96" i="27"/>
  <c r="BH96" i="27"/>
  <c r="FW95" i="27"/>
  <c r="FT95" i="27"/>
  <c r="FQ95" i="27"/>
  <c r="FN95" i="27"/>
  <c r="FK95" i="27"/>
  <c r="FH95" i="27"/>
  <c r="FE95" i="27"/>
  <c r="FB95" i="27"/>
  <c r="EY95" i="27"/>
  <c r="EV95" i="27"/>
  <c r="ES95" i="27"/>
  <c r="EP95" i="27"/>
  <c r="EM95" i="27"/>
  <c r="EJ95" i="27"/>
  <c r="EG95" i="27"/>
  <c r="ED95" i="27"/>
  <c r="EA95" i="27"/>
  <c r="DX95" i="27"/>
  <c r="DU95" i="27"/>
  <c r="DR95" i="27"/>
  <c r="DO95" i="27"/>
  <c r="DL95" i="27"/>
  <c r="DI95" i="27"/>
  <c r="DF95" i="27"/>
  <c r="DC95" i="27"/>
  <c r="CZ95" i="27"/>
  <c r="CW95" i="27"/>
  <c r="CT95" i="27"/>
  <c r="CQ95" i="27"/>
  <c r="CN95" i="27"/>
  <c r="CK95" i="27"/>
  <c r="CH95" i="27"/>
  <c r="CE95" i="27"/>
  <c r="CB95" i="27"/>
  <c r="BY95" i="27"/>
  <c r="BV95" i="27"/>
  <c r="BS95" i="27"/>
  <c r="BP95" i="27"/>
  <c r="BM95" i="27"/>
  <c r="BJ95" i="27"/>
  <c r="FW94" i="27"/>
  <c r="FT94" i="27"/>
  <c r="FQ94" i="27"/>
  <c r="FN94" i="27"/>
  <c r="FK94" i="27"/>
  <c r="FH94" i="27"/>
  <c r="FE94" i="27"/>
  <c r="FB94" i="27"/>
  <c r="EY94" i="27"/>
  <c r="EV94" i="27"/>
  <c r="ES94" i="27"/>
  <c r="EP94" i="27"/>
  <c r="EM94" i="27"/>
  <c r="EJ94" i="27"/>
  <c r="EG94" i="27"/>
  <c r="ED94" i="27"/>
  <c r="EA94" i="27"/>
  <c r="DX94" i="27"/>
  <c r="DU94" i="27"/>
  <c r="DR94" i="27"/>
  <c r="DO94" i="27"/>
  <c r="DL94" i="27"/>
  <c r="DI94" i="27"/>
  <c r="DF94" i="27"/>
  <c r="DC94" i="27"/>
  <c r="CZ94" i="27"/>
  <c r="CW94" i="27"/>
  <c r="CT94" i="27"/>
  <c r="CQ94" i="27"/>
  <c r="CN94" i="27"/>
  <c r="CK94" i="27"/>
  <c r="CH94" i="27"/>
  <c r="CE94" i="27"/>
  <c r="CB94" i="27"/>
  <c r="BY94" i="27"/>
  <c r="BV94" i="27"/>
  <c r="BS94" i="27"/>
  <c r="BP94" i="27"/>
  <c r="BM94" i="27"/>
  <c r="BJ94" i="27"/>
  <c r="FW93" i="27"/>
  <c r="FT93" i="27"/>
  <c r="FQ93" i="27"/>
  <c r="FN93" i="27"/>
  <c r="FK93" i="27"/>
  <c r="FH93" i="27"/>
  <c r="FE93" i="27"/>
  <c r="FB93" i="27"/>
  <c r="EY93" i="27"/>
  <c r="EV93" i="27"/>
  <c r="ES93" i="27"/>
  <c r="EP93" i="27"/>
  <c r="EM93" i="27"/>
  <c r="EJ93" i="27"/>
  <c r="EG93" i="27"/>
  <c r="ED93" i="27"/>
  <c r="EA93" i="27"/>
  <c r="DX93" i="27"/>
  <c r="DU93" i="27"/>
  <c r="DR93" i="27"/>
  <c r="DO93" i="27"/>
  <c r="DL93" i="27"/>
  <c r="DI93" i="27"/>
  <c r="DF93" i="27"/>
  <c r="DC93" i="27"/>
  <c r="CZ93" i="27"/>
  <c r="CW93" i="27"/>
  <c r="CT93" i="27"/>
  <c r="CQ93" i="27"/>
  <c r="CN93" i="27"/>
  <c r="CK93" i="27"/>
  <c r="CH93" i="27"/>
  <c r="CE93" i="27"/>
  <c r="CB93" i="27"/>
  <c r="BY93" i="27"/>
  <c r="BV93" i="27"/>
  <c r="BS93" i="27"/>
  <c r="BP93" i="27"/>
  <c r="BM93" i="27"/>
  <c r="BJ93" i="27"/>
  <c r="FV92" i="27"/>
  <c r="FU92" i="27"/>
  <c r="FS92" i="27"/>
  <c r="FR92" i="27"/>
  <c r="FP92" i="27"/>
  <c r="FO92" i="27"/>
  <c r="FM92" i="27"/>
  <c r="FL92" i="27"/>
  <c r="FJ92" i="27"/>
  <c r="FI92" i="27"/>
  <c r="FG92" i="27"/>
  <c r="FF92" i="27"/>
  <c r="FD92" i="27"/>
  <c r="FC92" i="27"/>
  <c r="FA92" i="27"/>
  <c r="EZ92" i="27"/>
  <c r="EX92" i="27"/>
  <c r="EW92" i="27"/>
  <c r="EU92" i="27"/>
  <c r="ET92" i="27"/>
  <c r="ER92" i="27"/>
  <c r="EQ92" i="27"/>
  <c r="EO92" i="27"/>
  <c r="EN92" i="27"/>
  <c r="EL92" i="27"/>
  <c r="EK92" i="27"/>
  <c r="EI92" i="27"/>
  <c r="EH92" i="27"/>
  <c r="EF92" i="27"/>
  <c r="EE92" i="27"/>
  <c r="EC92" i="27"/>
  <c r="EB92" i="27"/>
  <c r="DZ92" i="27"/>
  <c r="DY92" i="27"/>
  <c r="DW92" i="27"/>
  <c r="DV92" i="27"/>
  <c r="DT92" i="27"/>
  <c r="DS92" i="27"/>
  <c r="DQ92" i="27"/>
  <c r="DP92" i="27"/>
  <c r="DN92" i="27"/>
  <c r="DM92" i="27"/>
  <c r="DK92" i="27"/>
  <c r="DJ92" i="27"/>
  <c r="DH92" i="27"/>
  <c r="DG92" i="27"/>
  <c r="DE92" i="27"/>
  <c r="DD92" i="27"/>
  <c r="DB92" i="27"/>
  <c r="DA92" i="27"/>
  <c r="CY92" i="27"/>
  <c r="CX92" i="27"/>
  <c r="CV92" i="27"/>
  <c r="CU92" i="27"/>
  <c r="CS92" i="27"/>
  <c r="CR92" i="27"/>
  <c r="CP92" i="27"/>
  <c r="CO92" i="27"/>
  <c r="CM92" i="27"/>
  <c r="CL92" i="27"/>
  <c r="CJ92" i="27"/>
  <c r="CI92" i="27"/>
  <c r="CG92" i="27"/>
  <c r="CF92" i="27"/>
  <c r="CD92" i="27"/>
  <c r="CC92" i="27"/>
  <c r="CA92" i="27"/>
  <c r="BZ92" i="27"/>
  <c r="BX92" i="27"/>
  <c r="BW92" i="27"/>
  <c r="BU92" i="27"/>
  <c r="BT92" i="27"/>
  <c r="BR92" i="27"/>
  <c r="BQ92" i="27"/>
  <c r="BO92" i="27"/>
  <c r="BN92" i="27"/>
  <c r="BL92" i="27"/>
  <c r="BK92" i="27"/>
  <c r="BI92" i="27"/>
  <c r="BH92" i="27"/>
  <c r="FW91" i="27"/>
  <c r="FT91" i="27"/>
  <c r="FQ91" i="27"/>
  <c r="FN91" i="27"/>
  <c r="FK91" i="27"/>
  <c r="FH91" i="27"/>
  <c r="FE91" i="27"/>
  <c r="FB91" i="27"/>
  <c r="EY91" i="27"/>
  <c r="EV91" i="27"/>
  <c r="ES91" i="27"/>
  <c r="EP91" i="27"/>
  <c r="EM91" i="27"/>
  <c r="EJ91" i="27"/>
  <c r="EG91" i="27"/>
  <c r="ED91" i="27"/>
  <c r="EA91" i="27"/>
  <c r="DX91" i="27"/>
  <c r="DU91" i="27"/>
  <c r="DR91" i="27"/>
  <c r="DO91" i="27"/>
  <c r="DL91" i="27"/>
  <c r="DI91" i="27"/>
  <c r="DF91" i="27"/>
  <c r="DC91" i="27"/>
  <c r="CZ91" i="27"/>
  <c r="CW91" i="27"/>
  <c r="CT91" i="27"/>
  <c r="CQ91" i="27"/>
  <c r="CN91" i="27"/>
  <c r="CK91" i="27"/>
  <c r="CH91" i="27"/>
  <c r="CE91" i="27"/>
  <c r="CB91" i="27"/>
  <c r="BY91" i="27"/>
  <c r="BV91" i="27"/>
  <c r="BS91" i="27"/>
  <c r="BP91" i="27"/>
  <c r="BM91" i="27"/>
  <c r="BJ91" i="27"/>
  <c r="FW90" i="27"/>
  <c r="FT90" i="27"/>
  <c r="FQ90" i="27"/>
  <c r="FN90" i="27"/>
  <c r="FK90" i="27"/>
  <c r="FH90" i="27"/>
  <c r="FE90" i="27"/>
  <c r="FB90" i="27"/>
  <c r="EY90" i="27"/>
  <c r="EV90" i="27"/>
  <c r="ES90" i="27"/>
  <c r="EP90" i="27"/>
  <c r="EM90" i="27"/>
  <c r="EJ90" i="27"/>
  <c r="EG90" i="27"/>
  <c r="ED90" i="27"/>
  <c r="EA90" i="27"/>
  <c r="DX90" i="27"/>
  <c r="DU90" i="27"/>
  <c r="DR90" i="27"/>
  <c r="DO90" i="27"/>
  <c r="DL90" i="27"/>
  <c r="DI90" i="27"/>
  <c r="DF90" i="27"/>
  <c r="DC90" i="27"/>
  <c r="CZ90" i="27"/>
  <c r="CW90" i="27"/>
  <c r="CT90" i="27"/>
  <c r="CQ90" i="27"/>
  <c r="CN90" i="27"/>
  <c r="CK90" i="27"/>
  <c r="CH90" i="27"/>
  <c r="CE90" i="27"/>
  <c r="CB90" i="27"/>
  <c r="BY90" i="27"/>
  <c r="BV90" i="27"/>
  <c r="BS90" i="27"/>
  <c r="BP90" i="27"/>
  <c r="BM90" i="27"/>
  <c r="BJ90" i="27"/>
  <c r="T86" i="27"/>
  <c r="T87" i="27" s="1" a="1"/>
  <c r="T87" i="27" s="1"/>
  <c r="T88" i="27" s="1" a="1"/>
  <c r="T88" i="27" s="1"/>
  <c r="T89" i="27" s="1" a="1"/>
  <c r="T89" i="27" s="1"/>
  <c r="T90" i="27" s="1" a="1"/>
  <c r="T90" i="27" s="1"/>
  <c r="T91" i="27" s="1" a="1"/>
  <c r="T91" i="27" s="1"/>
  <c r="T92" i="27" s="1" a="1"/>
  <c r="T92" i="27" s="1"/>
  <c r="T93" i="27" s="1" a="1"/>
  <c r="T93" i="27" s="1"/>
  <c r="T94" i="27" s="1" a="1"/>
  <c r="T94" i="27" s="1"/>
  <c r="T95" i="27" s="1" a="1"/>
  <c r="T95" i="27" s="1"/>
  <c r="T96" i="27" s="1" a="1"/>
  <c r="T96" i="27" s="1"/>
  <c r="T97" i="27" s="1" a="1"/>
  <c r="T97" i="27" s="1"/>
  <c r="T85" i="27"/>
  <c r="T86" i="27" s="1" a="1"/>
  <c r="Q85" i="27" a="1"/>
  <c r="Q85" i="27" s="1"/>
  <c r="F85" i="27" a="1"/>
  <c r="F85" i="27" s="1"/>
  <c r="F86" i="27" s="1" a="1"/>
  <c r="F86" i="27" s="1"/>
  <c r="F87" i="27" s="1" a="1"/>
  <c r="F87" i="27" s="1"/>
  <c r="F88" i="27" s="1" a="1"/>
  <c r="F88" i="27" s="1"/>
  <c r="F89" i="27" s="1" a="1"/>
  <c r="F89" i="27" s="1"/>
  <c r="F90" i="27" s="1" a="1"/>
  <c r="F90" i="27" s="1"/>
  <c r="F91" i="27" s="1" a="1"/>
  <c r="F91" i="27" s="1"/>
  <c r="F92" i="27" s="1" a="1"/>
  <c r="F92" i="27" s="1"/>
  <c r="F93" i="27" s="1" a="1"/>
  <c r="F93" i="27" s="1"/>
  <c r="F94" i="27" s="1" a="1"/>
  <c r="F94" i="27" s="1"/>
  <c r="F95" i="27" s="1" a="1"/>
  <c r="F95" i="27" s="1"/>
  <c r="F96" i="27" s="1" a="1"/>
  <c r="F96" i="27" s="1"/>
  <c r="F97" i="27" s="1" a="1"/>
  <c r="F97" i="27" s="1"/>
  <c r="F98" i="27" s="1" a="1"/>
  <c r="F98" i="27" s="1"/>
  <c r="GB82" i="27" a="1"/>
  <c r="GB82" i="27" s="1"/>
  <c r="FW82" i="27"/>
  <c r="FT82" i="27"/>
  <c r="FQ82" i="27"/>
  <c r="FN82" i="27"/>
  <c r="FK82" i="27"/>
  <c r="FH82" i="27"/>
  <c r="FE82" i="27"/>
  <c r="FB82" i="27"/>
  <c r="EY82" i="27"/>
  <c r="EV82" i="27"/>
  <c r="ES82" i="27"/>
  <c r="EP82" i="27"/>
  <c r="EM82" i="27"/>
  <c r="EJ82" i="27"/>
  <c r="EG82" i="27"/>
  <c r="ED82" i="27"/>
  <c r="EA82" i="27"/>
  <c r="DX82" i="27"/>
  <c r="DU82" i="27"/>
  <c r="DR82" i="27"/>
  <c r="DO82" i="27"/>
  <c r="DL82" i="27"/>
  <c r="DI82" i="27"/>
  <c r="DF82" i="27"/>
  <c r="DC82" i="27"/>
  <c r="CZ82" i="27"/>
  <c r="CW82" i="27"/>
  <c r="CT82" i="27"/>
  <c r="CQ82" i="27"/>
  <c r="CN82" i="27"/>
  <c r="CK82" i="27"/>
  <c r="CH82" i="27"/>
  <c r="CE82" i="27"/>
  <c r="CB82" i="27"/>
  <c r="BY82" i="27"/>
  <c r="BV82" i="27"/>
  <c r="BS82" i="27"/>
  <c r="BP82" i="27"/>
  <c r="BM82" i="27"/>
  <c r="BJ82" i="27"/>
  <c r="BG82" i="27"/>
  <c r="BD82" i="27"/>
  <c r="BA82" i="27"/>
  <c r="AX82" i="27"/>
  <c r="AU82" i="27"/>
  <c r="AR82" i="27"/>
  <c r="AO82" i="27"/>
  <c r="AL82" i="27"/>
  <c r="AI82" i="27"/>
  <c r="AF82" i="27"/>
  <c r="I82" i="27" a="1"/>
  <c r="I82" i="27" s="1"/>
  <c r="FW81" i="27"/>
  <c r="FT81" i="27"/>
  <c r="FQ81" i="27"/>
  <c r="FN81" i="27"/>
  <c r="FK81" i="27"/>
  <c r="FH81" i="27"/>
  <c r="FE81" i="27"/>
  <c r="FB81" i="27"/>
  <c r="EY81" i="27"/>
  <c r="EV81" i="27"/>
  <c r="ES81" i="27"/>
  <c r="EP81" i="27"/>
  <c r="EM81" i="27"/>
  <c r="EJ81" i="27"/>
  <c r="EG81" i="27"/>
  <c r="ED81" i="27"/>
  <c r="EA81" i="27"/>
  <c r="DX81" i="27"/>
  <c r="DU81" i="27"/>
  <c r="DR81" i="27"/>
  <c r="DO81" i="27"/>
  <c r="DL81" i="27"/>
  <c r="DI81" i="27"/>
  <c r="DF81" i="27"/>
  <c r="DC81" i="27"/>
  <c r="CZ81" i="27"/>
  <c r="CW81" i="27"/>
  <c r="CT81" i="27"/>
  <c r="CQ81" i="27"/>
  <c r="CN81" i="27"/>
  <c r="CK81" i="27"/>
  <c r="CH81" i="27"/>
  <c r="CE81" i="27"/>
  <c r="CB81" i="27"/>
  <c r="BY81" i="27"/>
  <c r="BV81" i="27"/>
  <c r="BS81" i="27"/>
  <c r="BP81" i="27"/>
  <c r="BM81" i="27"/>
  <c r="BJ81" i="27"/>
  <c r="FV80" i="27"/>
  <c r="FU80" i="27"/>
  <c r="FS80" i="27"/>
  <c r="FR80" i="27"/>
  <c r="FP80" i="27"/>
  <c r="FO80" i="27"/>
  <c r="FM80" i="27"/>
  <c r="FL80" i="27"/>
  <c r="FJ80" i="27"/>
  <c r="FI80" i="27"/>
  <c r="FG80" i="27"/>
  <c r="FF80" i="27"/>
  <c r="FD80" i="27"/>
  <c r="FC80" i="27"/>
  <c r="FA80" i="27"/>
  <c r="EZ80" i="27"/>
  <c r="EX80" i="27"/>
  <c r="EW80" i="27"/>
  <c r="EU80" i="27"/>
  <c r="ET80" i="27"/>
  <c r="ER80" i="27"/>
  <c r="EQ80" i="27"/>
  <c r="EO80" i="27"/>
  <c r="EN80" i="27"/>
  <c r="EL80" i="27"/>
  <c r="EK80" i="27"/>
  <c r="EI80" i="27"/>
  <c r="EH80" i="27"/>
  <c r="EF80" i="27"/>
  <c r="EE80" i="27"/>
  <c r="EC80" i="27"/>
  <c r="EB80" i="27"/>
  <c r="DZ80" i="27"/>
  <c r="DY80" i="27"/>
  <c r="DW80" i="27"/>
  <c r="DV80" i="27"/>
  <c r="DT80" i="27"/>
  <c r="DS80" i="27"/>
  <c r="DQ80" i="27"/>
  <c r="DP80" i="27"/>
  <c r="DN80" i="27"/>
  <c r="DM80" i="27"/>
  <c r="DK80" i="27"/>
  <c r="DJ80" i="27"/>
  <c r="DH80" i="27"/>
  <c r="DG80" i="27"/>
  <c r="DE80" i="27"/>
  <c r="DD80" i="27"/>
  <c r="DB80" i="27"/>
  <c r="DA80" i="27"/>
  <c r="CY80" i="27"/>
  <c r="CX80" i="27"/>
  <c r="CV80" i="27"/>
  <c r="CU80" i="27"/>
  <c r="CS80" i="27"/>
  <c r="CR80" i="27"/>
  <c r="CP80" i="27"/>
  <c r="CO80" i="27"/>
  <c r="CM80" i="27"/>
  <c r="CL80" i="27"/>
  <c r="CJ80" i="27"/>
  <c r="CI80" i="27"/>
  <c r="CG80" i="27"/>
  <c r="CF80" i="27"/>
  <c r="CD80" i="27"/>
  <c r="CC80" i="27"/>
  <c r="CA80" i="27"/>
  <c r="BZ80" i="27"/>
  <c r="BX80" i="27"/>
  <c r="BW80" i="27"/>
  <c r="BU80" i="27"/>
  <c r="BT80" i="27"/>
  <c r="BR80" i="27"/>
  <c r="BQ80" i="27"/>
  <c r="BO80" i="27"/>
  <c r="BN80" i="27"/>
  <c r="BL80" i="27"/>
  <c r="BK80" i="27"/>
  <c r="BI80" i="27"/>
  <c r="BH80" i="27"/>
  <c r="FW79" i="27"/>
  <c r="FT79" i="27"/>
  <c r="FQ79" i="27"/>
  <c r="FN79" i="27"/>
  <c r="FK79" i="27"/>
  <c r="FH79" i="27"/>
  <c r="FE79" i="27"/>
  <c r="FB79" i="27"/>
  <c r="EY79" i="27"/>
  <c r="EV79" i="27"/>
  <c r="ES79" i="27"/>
  <c r="EP79" i="27"/>
  <c r="EM79" i="27"/>
  <c r="EJ79" i="27"/>
  <c r="EG79" i="27"/>
  <c r="ED79" i="27"/>
  <c r="EA79" i="27"/>
  <c r="DX79" i="27"/>
  <c r="DU79" i="27"/>
  <c r="DR79" i="27"/>
  <c r="DO79" i="27"/>
  <c r="DL79" i="27"/>
  <c r="DI79" i="27"/>
  <c r="DF79" i="27"/>
  <c r="DC79" i="27"/>
  <c r="CZ79" i="27"/>
  <c r="CW79" i="27"/>
  <c r="CT79" i="27"/>
  <c r="CQ79" i="27"/>
  <c r="CN79" i="27"/>
  <c r="CK79" i="27"/>
  <c r="CH79" i="27"/>
  <c r="CE79" i="27"/>
  <c r="CB79" i="27"/>
  <c r="BY79" i="27"/>
  <c r="BV79" i="27"/>
  <c r="BS79" i="27"/>
  <c r="BP79" i="27"/>
  <c r="BM79" i="27"/>
  <c r="BJ79" i="27"/>
  <c r="FW78" i="27"/>
  <c r="FT78" i="27"/>
  <c r="FQ78" i="27"/>
  <c r="FN78" i="27"/>
  <c r="FK78" i="27"/>
  <c r="FH78" i="27"/>
  <c r="FE78" i="27"/>
  <c r="FB78" i="27"/>
  <c r="EY78" i="27"/>
  <c r="EV78" i="27"/>
  <c r="ES78" i="27"/>
  <c r="EP78" i="27"/>
  <c r="EM78" i="27"/>
  <c r="EJ78" i="27"/>
  <c r="EG78" i="27"/>
  <c r="ED78" i="27"/>
  <c r="EA78" i="27"/>
  <c r="DX78" i="27"/>
  <c r="DU78" i="27"/>
  <c r="DR78" i="27"/>
  <c r="DO78" i="27"/>
  <c r="DL78" i="27"/>
  <c r="DI78" i="27"/>
  <c r="DF78" i="27"/>
  <c r="DC78" i="27"/>
  <c r="CZ78" i="27"/>
  <c r="CW78" i="27"/>
  <c r="CT78" i="27"/>
  <c r="CQ78" i="27"/>
  <c r="CN78" i="27"/>
  <c r="CK78" i="27"/>
  <c r="CH78" i="27"/>
  <c r="CE78" i="27"/>
  <c r="CB78" i="27"/>
  <c r="BY78" i="27"/>
  <c r="BV78" i="27"/>
  <c r="BS78" i="27"/>
  <c r="BP78" i="27"/>
  <c r="BM78" i="27"/>
  <c r="BJ78" i="27"/>
  <c r="FW75" i="27"/>
  <c r="FT75" i="27"/>
  <c r="FQ75" i="27"/>
  <c r="FN75" i="27"/>
  <c r="FK75" i="27"/>
  <c r="FH75" i="27"/>
  <c r="FE75" i="27"/>
  <c r="FB75" i="27"/>
  <c r="EY75" i="27"/>
  <c r="EV75" i="27"/>
  <c r="ES75" i="27"/>
  <c r="EP75" i="27"/>
  <c r="EM75" i="27"/>
  <c r="EJ75" i="27"/>
  <c r="EG75" i="27"/>
  <c r="ED75" i="27"/>
  <c r="EA75" i="27"/>
  <c r="DX75" i="27"/>
  <c r="DU75" i="27"/>
  <c r="DR75" i="27"/>
  <c r="DO75" i="27"/>
  <c r="DL75" i="27"/>
  <c r="DI75" i="27"/>
  <c r="DF75" i="27"/>
  <c r="DC75" i="27"/>
  <c r="CZ75" i="27"/>
  <c r="CW75" i="27"/>
  <c r="CT75" i="27"/>
  <c r="CQ75" i="27"/>
  <c r="CN75" i="27"/>
  <c r="CK75" i="27"/>
  <c r="CH75" i="27"/>
  <c r="CE75" i="27"/>
  <c r="CB75" i="27"/>
  <c r="BY75" i="27"/>
  <c r="BV75" i="27"/>
  <c r="BS75" i="27"/>
  <c r="BP75" i="27"/>
  <c r="BM75" i="27"/>
  <c r="BJ75" i="27"/>
  <c r="BG75" i="27"/>
  <c r="BD75" i="27"/>
  <c r="BA75" i="27"/>
  <c r="AX75" i="27"/>
  <c r="AU75" i="27"/>
  <c r="AR75" i="27"/>
  <c r="AO75" i="27"/>
  <c r="AL75" i="27"/>
  <c r="AI75" i="27"/>
  <c r="AF75" i="27"/>
  <c r="FW74" i="27"/>
  <c r="FT74" i="27"/>
  <c r="FQ74" i="27"/>
  <c r="FN74" i="27"/>
  <c r="FK74" i="27"/>
  <c r="FH74" i="27"/>
  <c r="FE74" i="27"/>
  <c r="FB74" i="27"/>
  <c r="EY74" i="27"/>
  <c r="EV74" i="27"/>
  <c r="ES74" i="27"/>
  <c r="EP74" i="27"/>
  <c r="EM74" i="27"/>
  <c r="EJ74" i="27"/>
  <c r="EG74" i="27"/>
  <c r="ED74" i="27"/>
  <c r="EA74" i="27"/>
  <c r="DX74" i="27"/>
  <c r="DU74" i="27"/>
  <c r="DR74" i="27"/>
  <c r="DO74" i="27"/>
  <c r="DL74" i="27"/>
  <c r="DI74" i="27"/>
  <c r="DF74" i="27"/>
  <c r="DC74" i="27"/>
  <c r="CZ74" i="27"/>
  <c r="CW74" i="27"/>
  <c r="CT74" i="27"/>
  <c r="CQ74" i="27"/>
  <c r="CN74" i="27"/>
  <c r="CK74" i="27"/>
  <c r="CH74" i="27"/>
  <c r="CE74" i="27"/>
  <c r="CB74" i="27"/>
  <c r="BY74" i="27"/>
  <c r="BV74" i="27"/>
  <c r="BS74" i="27"/>
  <c r="BP74" i="27"/>
  <c r="BM74" i="27"/>
  <c r="BJ74" i="27"/>
  <c r="BG74" i="27"/>
  <c r="BD74" i="27"/>
  <c r="BA74" i="27"/>
  <c r="AX74" i="27"/>
  <c r="AU74" i="27"/>
  <c r="AR74" i="27"/>
  <c r="AO74" i="27"/>
  <c r="AL74" i="27"/>
  <c r="AI74" i="27"/>
  <c r="AF74" i="27"/>
  <c r="FW73" i="27"/>
  <c r="FT73" i="27"/>
  <c r="FQ73" i="27"/>
  <c r="FN73" i="27"/>
  <c r="FK73" i="27"/>
  <c r="FH73" i="27"/>
  <c r="FE73" i="27"/>
  <c r="FB73" i="27"/>
  <c r="EY73" i="27"/>
  <c r="EV73" i="27"/>
  <c r="ES73" i="27"/>
  <c r="EP73" i="27"/>
  <c r="EM73" i="27"/>
  <c r="EJ73" i="27"/>
  <c r="EG73" i="27"/>
  <c r="ED73" i="27"/>
  <c r="EA73" i="27"/>
  <c r="DX73" i="27"/>
  <c r="DU73" i="27"/>
  <c r="DR73" i="27"/>
  <c r="DO73" i="27"/>
  <c r="DL73" i="27"/>
  <c r="DI73" i="27"/>
  <c r="DF73" i="27"/>
  <c r="DC73" i="27"/>
  <c r="CZ73" i="27"/>
  <c r="CW73" i="27"/>
  <c r="CT73" i="27"/>
  <c r="CQ73" i="27"/>
  <c r="CN73" i="27"/>
  <c r="CK73" i="27"/>
  <c r="CH73" i="27"/>
  <c r="CE73" i="27"/>
  <c r="CB73" i="27"/>
  <c r="BY73" i="27"/>
  <c r="BV73" i="27"/>
  <c r="BS73" i="27"/>
  <c r="BP73" i="27"/>
  <c r="BM73" i="27"/>
  <c r="BJ73" i="27"/>
  <c r="BG73" i="27"/>
  <c r="BD73" i="27"/>
  <c r="BA73" i="27"/>
  <c r="AX73" i="27"/>
  <c r="AU73" i="27"/>
  <c r="AR73" i="27"/>
  <c r="AO73" i="27"/>
  <c r="AL73" i="27"/>
  <c r="AI73" i="27"/>
  <c r="AF73" i="27"/>
  <c r="GB72" i="27"/>
  <c r="GB73" i="27" s="1" a="1"/>
  <c r="GB73" i="27" s="1"/>
  <c r="GB74" i="27" s="1" a="1"/>
  <c r="GB74" i="27" s="1"/>
  <c r="GB75" i="27" s="1" a="1"/>
  <c r="GB75" i="27" s="1"/>
  <c r="FW72" i="27"/>
  <c r="FT72" i="27"/>
  <c r="FQ72" i="27"/>
  <c r="FN72" i="27"/>
  <c r="FK72" i="27"/>
  <c r="FH72" i="27"/>
  <c r="FE72" i="27"/>
  <c r="FB72" i="27"/>
  <c r="EY72" i="27"/>
  <c r="EV72" i="27"/>
  <c r="ES72" i="27"/>
  <c r="EP72" i="27"/>
  <c r="EM72" i="27"/>
  <c r="EJ72" i="27"/>
  <c r="EG72" i="27"/>
  <c r="ED72" i="27"/>
  <c r="EA72" i="27"/>
  <c r="DX72" i="27"/>
  <c r="DU72" i="27"/>
  <c r="DR72" i="27"/>
  <c r="DO72" i="27"/>
  <c r="DL72" i="27"/>
  <c r="DI72" i="27"/>
  <c r="DF72" i="27"/>
  <c r="DC72" i="27"/>
  <c r="CZ72" i="27"/>
  <c r="CW72" i="27"/>
  <c r="CT72" i="27"/>
  <c r="CQ72" i="27"/>
  <c r="CN72" i="27"/>
  <c r="CK72" i="27"/>
  <c r="CH72" i="27"/>
  <c r="CE72" i="27"/>
  <c r="CB72" i="27"/>
  <c r="BY72" i="27"/>
  <c r="BV72" i="27"/>
  <c r="BS72" i="27"/>
  <c r="BP72" i="27"/>
  <c r="BM72" i="27"/>
  <c r="BJ72" i="27"/>
  <c r="BG72" i="27"/>
  <c r="BD72" i="27"/>
  <c r="BA72" i="27"/>
  <c r="AX72" i="27"/>
  <c r="AU72" i="27"/>
  <c r="AR72" i="27"/>
  <c r="AO72" i="27"/>
  <c r="AL72" i="27"/>
  <c r="AI72" i="27"/>
  <c r="AF72" i="27"/>
  <c r="GB71" i="27" a="1"/>
  <c r="GB71" i="27" s="1"/>
  <c r="GB72" i="27" s="1" a="1"/>
  <c r="FV71" i="27"/>
  <c r="FU71" i="27"/>
  <c r="FW71" i="27" s="1"/>
  <c r="FT71" i="27"/>
  <c r="FS71" i="27"/>
  <c r="FR71" i="27"/>
  <c r="FQ71" i="27"/>
  <c r="FP71" i="27"/>
  <c r="FO71" i="27"/>
  <c r="FM71" i="27"/>
  <c r="FL71" i="27"/>
  <c r="FN71" i="27" s="1"/>
  <c r="FJ71" i="27"/>
  <c r="FI71" i="27"/>
  <c r="FK71" i="27" s="1"/>
  <c r="FH71" i="27"/>
  <c r="FG71" i="27"/>
  <c r="FF71" i="27"/>
  <c r="FE71" i="27"/>
  <c r="FD71" i="27"/>
  <c r="FC71" i="27"/>
  <c r="FA71" i="27"/>
  <c r="EZ71" i="27"/>
  <c r="FB71" i="27" s="1"/>
  <c r="EX71" i="27"/>
  <c r="EW71" i="27"/>
  <c r="EY71" i="27" s="1"/>
  <c r="EV71" i="27"/>
  <c r="EU71" i="27"/>
  <c r="ET71" i="27"/>
  <c r="ES71" i="27"/>
  <c r="ER71" i="27"/>
  <c r="EQ71" i="27"/>
  <c r="EO71" i="27"/>
  <c r="EN71" i="27"/>
  <c r="EP71" i="27" s="1"/>
  <c r="EL71" i="27"/>
  <c r="EK71" i="27"/>
  <c r="EM71" i="27" s="1"/>
  <c r="EJ71" i="27"/>
  <c r="EI71" i="27"/>
  <c r="EH71" i="27"/>
  <c r="EG71" i="27"/>
  <c r="EF71" i="27"/>
  <c r="EE71" i="27"/>
  <c r="EC71" i="27"/>
  <c r="EB71" i="27"/>
  <c r="ED71" i="27" s="1"/>
  <c r="DZ71" i="27"/>
  <c r="DY71" i="27"/>
  <c r="EA71" i="27" s="1"/>
  <c r="DX71" i="27"/>
  <c r="DW71" i="27"/>
  <c r="DV71" i="27"/>
  <c r="DU71" i="27"/>
  <c r="DT71" i="27"/>
  <c r="DS71" i="27"/>
  <c r="DQ71" i="27"/>
  <c r="DP71" i="27"/>
  <c r="DR71" i="27" s="1"/>
  <c r="DN71" i="27"/>
  <c r="DM71" i="27"/>
  <c r="DO71" i="27" s="1"/>
  <c r="DL71" i="27"/>
  <c r="DK71" i="27"/>
  <c r="DJ71" i="27"/>
  <c r="DI71" i="27"/>
  <c r="DH71" i="27"/>
  <c r="DG71" i="27"/>
  <c r="DE71" i="27"/>
  <c r="DD71" i="27"/>
  <c r="DF71" i="27" s="1"/>
  <c r="DB71" i="27"/>
  <c r="DA71" i="27"/>
  <c r="DC71" i="27" s="1"/>
  <c r="CZ71" i="27"/>
  <c r="CY71" i="27"/>
  <c r="CX71" i="27"/>
  <c r="CW71" i="27"/>
  <c r="CV71" i="27"/>
  <c r="CU71" i="27"/>
  <c r="CS71" i="27"/>
  <c r="CR71" i="27"/>
  <c r="CT71" i="27" s="1"/>
  <c r="CP71" i="27"/>
  <c r="CO71" i="27"/>
  <c r="CQ71" i="27" s="1"/>
  <c r="CN71" i="27"/>
  <c r="CM71" i="27"/>
  <c r="CL71" i="27"/>
  <c r="CK71" i="27"/>
  <c r="CJ71" i="27"/>
  <c r="CI71" i="27"/>
  <c r="CG71" i="27"/>
  <c r="CF71" i="27"/>
  <c r="CH71" i="27" s="1"/>
  <c r="CD71" i="27"/>
  <c r="CC71" i="27"/>
  <c r="CE71" i="27" s="1"/>
  <c r="CB71" i="27"/>
  <c r="CA71" i="27"/>
  <c r="BZ71" i="27"/>
  <c r="BY71" i="27"/>
  <c r="BX71" i="27"/>
  <c r="BW71" i="27"/>
  <c r="BU71" i="27"/>
  <c r="BT71" i="27"/>
  <c r="BV71" i="27" s="1"/>
  <c r="BR71" i="27"/>
  <c r="BQ71" i="27"/>
  <c r="BS71" i="27" s="1"/>
  <c r="BP71" i="27"/>
  <c r="BO71" i="27"/>
  <c r="BN71" i="27"/>
  <c r="BM71" i="27"/>
  <c r="BL71" i="27"/>
  <c r="BK71" i="27"/>
  <c r="BI71" i="27"/>
  <c r="BH71" i="27"/>
  <c r="BJ71" i="27" s="1"/>
  <c r="BF71" i="27"/>
  <c r="BE71" i="27"/>
  <c r="BG71" i="27" s="1"/>
  <c r="BD71" i="27"/>
  <c r="BC71" i="27"/>
  <c r="BB71" i="27"/>
  <c r="BA71" i="27"/>
  <c r="AZ71" i="27"/>
  <c r="AY71" i="27"/>
  <c r="AW71" i="27"/>
  <c r="AV71" i="27"/>
  <c r="AX71" i="27" s="1"/>
  <c r="AT71" i="27"/>
  <c r="AS71" i="27"/>
  <c r="AU71" i="27" s="1"/>
  <c r="AR71" i="27"/>
  <c r="AQ71" i="27"/>
  <c r="AP71" i="27"/>
  <c r="AO71" i="27"/>
  <c r="AN71" i="27"/>
  <c r="AM71" i="27"/>
  <c r="AK71" i="27"/>
  <c r="AJ71" i="27"/>
  <c r="AL71" i="27" s="1"/>
  <c r="AH71" i="27"/>
  <c r="AG71" i="27"/>
  <c r="AI71" i="27" s="1"/>
  <c r="AF71" i="27"/>
  <c r="AE71" i="27"/>
  <c r="AD71" i="27"/>
  <c r="I71" i="27" a="1"/>
  <c r="I71" i="27" s="1"/>
  <c r="I72" i="27" s="1" a="1"/>
  <c r="I72" i="27" s="1"/>
  <c r="I73" i="27" s="1" a="1"/>
  <c r="I73" i="27" s="1"/>
  <c r="I74" i="27" s="1" a="1"/>
  <c r="I74" i="27" s="1"/>
  <c r="I75" i="27" s="1" a="1"/>
  <c r="I75" i="27" s="1"/>
  <c r="FW69" i="27"/>
  <c r="FT69" i="27"/>
  <c r="FQ69" i="27"/>
  <c r="FN69" i="27"/>
  <c r="FK69" i="27"/>
  <c r="FH69" i="27"/>
  <c r="FE69" i="27"/>
  <c r="FB69" i="27"/>
  <c r="EY69" i="27"/>
  <c r="EV69" i="27"/>
  <c r="ES69" i="27"/>
  <c r="EP69" i="27"/>
  <c r="EM69" i="27"/>
  <c r="EJ69" i="27"/>
  <c r="EG69" i="27"/>
  <c r="ED69" i="27"/>
  <c r="EA69" i="27"/>
  <c r="DX69" i="27"/>
  <c r="DU69" i="27"/>
  <c r="DR69" i="27"/>
  <c r="DO69" i="27"/>
  <c r="DL69" i="27"/>
  <c r="DI69" i="27"/>
  <c r="DF69" i="27"/>
  <c r="DC69" i="27"/>
  <c r="CZ69" i="27"/>
  <c r="CW69" i="27"/>
  <c r="CT69" i="27"/>
  <c r="CQ69" i="27"/>
  <c r="CN69" i="27"/>
  <c r="CK69" i="27"/>
  <c r="CH69" i="27"/>
  <c r="CE69" i="27"/>
  <c r="CB69" i="27"/>
  <c r="BY69" i="27"/>
  <c r="BV69" i="27"/>
  <c r="BS69" i="27"/>
  <c r="BP69" i="27"/>
  <c r="BM69" i="27"/>
  <c r="BJ69" i="27"/>
  <c r="BG69" i="27"/>
  <c r="BD69" i="27"/>
  <c r="BA69" i="27"/>
  <c r="AX69" i="27"/>
  <c r="AU69" i="27"/>
  <c r="AR69" i="27"/>
  <c r="AO69" i="27"/>
  <c r="AL69" i="27"/>
  <c r="AI69" i="27"/>
  <c r="AF69" i="27"/>
  <c r="FW68" i="27"/>
  <c r="FT68" i="27"/>
  <c r="FQ68" i="27"/>
  <c r="FN68" i="27"/>
  <c r="FK68" i="27"/>
  <c r="FH68" i="27"/>
  <c r="FE68" i="27"/>
  <c r="FB68" i="27"/>
  <c r="EY68" i="27"/>
  <c r="EV68" i="27"/>
  <c r="ES68" i="27"/>
  <c r="EP68" i="27"/>
  <c r="EM68" i="27"/>
  <c r="EJ68" i="27"/>
  <c r="EG68" i="27"/>
  <c r="ED68" i="27"/>
  <c r="EA68" i="27"/>
  <c r="DX68" i="27"/>
  <c r="DU68" i="27"/>
  <c r="DR68" i="27"/>
  <c r="DO68" i="27"/>
  <c r="DL68" i="27"/>
  <c r="DI68" i="27"/>
  <c r="DF68" i="27"/>
  <c r="DC68" i="27"/>
  <c r="CZ68" i="27"/>
  <c r="CW68" i="27"/>
  <c r="CT68" i="27"/>
  <c r="CQ68" i="27"/>
  <c r="CN68" i="27"/>
  <c r="CK68" i="27"/>
  <c r="CH68" i="27"/>
  <c r="CE68" i="27"/>
  <c r="CB68" i="27"/>
  <c r="BY68" i="27"/>
  <c r="BV68" i="27"/>
  <c r="BS68" i="27"/>
  <c r="BP68" i="27"/>
  <c r="BM68" i="27"/>
  <c r="BJ68" i="27"/>
  <c r="BG68" i="27"/>
  <c r="BD68" i="27"/>
  <c r="BA68" i="27"/>
  <c r="AX68" i="27"/>
  <c r="AU68" i="27"/>
  <c r="AR68" i="27"/>
  <c r="AO68" i="27"/>
  <c r="AL68" i="27"/>
  <c r="AI68" i="27"/>
  <c r="AF68" i="27"/>
  <c r="FW67" i="27"/>
  <c r="FT67" i="27"/>
  <c r="FQ67" i="27"/>
  <c r="FN67" i="27"/>
  <c r="FK67" i="27"/>
  <c r="FH67" i="27"/>
  <c r="FE67" i="27"/>
  <c r="FB67" i="27"/>
  <c r="EY67" i="27"/>
  <c r="EV67" i="27"/>
  <c r="ES67" i="27"/>
  <c r="EP67" i="27"/>
  <c r="EM67" i="27"/>
  <c r="EJ67" i="27"/>
  <c r="EG67" i="27"/>
  <c r="ED67" i="27"/>
  <c r="EA67" i="27"/>
  <c r="DX67" i="27"/>
  <c r="DU67" i="27"/>
  <c r="DR67" i="27"/>
  <c r="DO67" i="27"/>
  <c r="DL67" i="27"/>
  <c r="DI67" i="27"/>
  <c r="DF67" i="27"/>
  <c r="DC67" i="27"/>
  <c r="CZ67" i="27"/>
  <c r="CW67" i="27"/>
  <c r="CT67" i="27"/>
  <c r="CQ67" i="27"/>
  <c r="CN67" i="27"/>
  <c r="CK67" i="27"/>
  <c r="CH67" i="27"/>
  <c r="CE67" i="27"/>
  <c r="CB67" i="27"/>
  <c r="BY67" i="27"/>
  <c r="BV67" i="27"/>
  <c r="BS67" i="27"/>
  <c r="BP67" i="27"/>
  <c r="BM67" i="27"/>
  <c r="BJ67" i="27"/>
  <c r="FW66" i="27"/>
  <c r="FT66" i="27"/>
  <c r="FQ66" i="27"/>
  <c r="FN66" i="27"/>
  <c r="FK66" i="27"/>
  <c r="FH66" i="27"/>
  <c r="FE66" i="27"/>
  <c r="FB66" i="27"/>
  <c r="EY66" i="27"/>
  <c r="EV66" i="27"/>
  <c r="ES66" i="27"/>
  <c r="EP66" i="27"/>
  <c r="EM66" i="27"/>
  <c r="EJ66" i="27"/>
  <c r="EG66" i="27"/>
  <c r="ED66" i="27"/>
  <c r="EA66" i="27"/>
  <c r="DX66" i="27"/>
  <c r="DU66" i="27"/>
  <c r="DR66" i="27"/>
  <c r="DO66" i="27"/>
  <c r="DL66" i="27"/>
  <c r="DI66" i="27"/>
  <c r="DF66" i="27"/>
  <c r="DC66" i="27"/>
  <c r="CZ66" i="27"/>
  <c r="CW66" i="27"/>
  <c r="CT66" i="27"/>
  <c r="CQ66" i="27"/>
  <c r="CN66" i="27"/>
  <c r="CK66" i="27"/>
  <c r="CH66" i="27"/>
  <c r="CE66" i="27"/>
  <c r="CB66" i="27"/>
  <c r="BY66" i="27"/>
  <c r="BV66" i="27"/>
  <c r="BS66" i="27"/>
  <c r="BP66" i="27"/>
  <c r="BM66" i="27"/>
  <c r="BJ66" i="27"/>
  <c r="BG66" i="27"/>
  <c r="BD66" i="27"/>
  <c r="BA66" i="27"/>
  <c r="AX66" i="27"/>
  <c r="AU66" i="27"/>
  <c r="AR66" i="27"/>
  <c r="AO66" i="27"/>
  <c r="AL66" i="27"/>
  <c r="AI66" i="27"/>
  <c r="AF66" i="27"/>
  <c r="FW65" i="27"/>
  <c r="FV65" i="27"/>
  <c r="FU65" i="27"/>
  <c r="FS65" i="27"/>
  <c r="FR65" i="27"/>
  <c r="FT65" i="27" s="1"/>
  <c r="FP65" i="27"/>
  <c r="FO65" i="27"/>
  <c r="FQ65" i="27" s="1"/>
  <c r="FN65" i="27"/>
  <c r="FM65" i="27"/>
  <c r="FL65" i="27"/>
  <c r="FK65" i="27"/>
  <c r="FJ65" i="27"/>
  <c r="FI65" i="27"/>
  <c r="FG65" i="27"/>
  <c r="FF65" i="27"/>
  <c r="FH65" i="27" s="1"/>
  <c r="FD65" i="27"/>
  <c r="FC65" i="27"/>
  <c r="FE65" i="27" s="1"/>
  <c r="FB65" i="27"/>
  <c r="FA65" i="27"/>
  <c r="EZ65" i="27"/>
  <c r="EY65" i="27"/>
  <c r="EX65" i="27"/>
  <c r="EW65" i="27"/>
  <c r="EU65" i="27"/>
  <c r="ET65" i="27"/>
  <c r="EV65" i="27" s="1"/>
  <c r="ER65" i="27"/>
  <c r="EQ65" i="27"/>
  <c r="ES65" i="27" s="1"/>
  <c r="EP65" i="27"/>
  <c r="EO65" i="27"/>
  <c r="EN65" i="27"/>
  <c r="EM65" i="27"/>
  <c r="EL65" i="27"/>
  <c r="EK65" i="27"/>
  <c r="EI65" i="27"/>
  <c r="EH65" i="27"/>
  <c r="EJ65" i="27" s="1"/>
  <c r="EF65" i="27"/>
  <c r="EE65" i="27"/>
  <c r="EG65" i="27" s="1"/>
  <c r="ED65" i="27"/>
  <c r="EC65" i="27"/>
  <c r="EB65" i="27"/>
  <c r="EA65" i="27"/>
  <c r="DZ65" i="27"/>
  <c r="DY65" i="27"/>
  <c r="DW65" i="27"/>
  <c r="DV65" i="27"/>
  <c r="DX65" i="27" s="1"/>
  <c r="DT65" i="27"/>
  <c r="DS65" i="27"/>
  <c r="DU65" i="27" s="1"/>
  <c r="DR65" i="27"/>
  <c r="DQ65" i="27"/>
  <c r="DP65" i="27"/>
  <c r="DO65" i="27"/>
  <c r="DN65" i="27"/>
  <c r="DM65" i="27"/>
  <c r="DK65" i="27"/>
  <c r="DJ65" i="27"/>
  <c r="DL65" i="27" s="1"/>
  <c r="DH65" i="27"/>
  <c r="DG65" i="27"/>
  <c r="DI65" i="27" s="1"/>
  <c r="DF65" i="27"/>
  <c r="DE65" i="27"/>
  <c r="DD65" i="27"/>
  <c r="DC65" i="27"/>
  <c r="DB65" i="27"/>
  <c r="DA65" i="27"/>
  <c r="CY65" i="27"/>
  <c r="CX65" i="27"/>
  <c r="CZ65" i="27" s="1"/>
  <c r="CV65" i="27"/>
  <c r="CU65" i="27"/>
  <c r="CW65" i="27" s="1"/>
  <c r="CT65" i="27"/>
  <c r="CS65" i="27"/>
  <c r="CR65" i="27"/>
  <c r="CQ65" i="27"/>
  <c r="CP65" i="27"/>
  <c r="CO65" i="27"/>
  <c r="CM65" i="27"/>
  <c r="CL65" i="27"/>
  <c r="CN65" i="27" s="1"/>
  <c r="CJ65" i="27"/>
  <c r="CI65" i="27"/>
  <c r="CK65" i="27" s="1"/>
  <c r="CH65" i="27"/>
  <c r="CG65" i="27"/>
  <c r="CF65" i="27"/>
  <c r="CE65" i="27"/>
  <c r="CD65" i="27"/>
  <c r="CC65" i="27"/>
  <c r="CA65" i="27"/>
  <c r="BZ65" i="27"/>
  <c r="CB65" i="27" s="1"/>
  <c r="BX65" i="27"/>
  <c r="BW65" i="27"/>
  <c r="BY65" i="27" s="1"/>
  <c r="BV65" i="27"/>
  <c r="BU65" i="27"/>
  <c r="BT65" i="27"/>
  <c r="BS65" i="27"/>
  <c r="BR65" i="27"/>
  <c r="BQ65" i="27"/>
  <c r="BO65" i="27"/>
  <c r="BN65" i="27"/>
  <c r="BP65" i="27" s="1"/>
  <c r="BL65" i="27"/>
  <c r="BK65" i="27"/>
  <c r="BM65" i="27" s="1"/>
  <c r="BJ65" i="27"/>
  <c r="BI65" i="27"/>
  <c r="BH65" i="27"/>
  <c r="FW63" i="27"/>
  <c r="FT63" i="27"/>
  <c r="FQ63" i="27"/>
  <c r="FN63" i="27"/>
  <c r="FK63" i="27"/>
  <c r="FH63" i="27"/>
  <c r="FE63" i="27"/>
  <c r="FB63" i="27"/>
  <c r="EY63" i="27"/>
  <c r="EV63" i="27"/>
  <c r="ES63" i="27"/>
  <c r="EP63" i="27"/>
  <c r="EM63" i="27"/>
  <c r="EJ63" i="27"/>
  <c r="EG63" i="27"/>
  <c r="ED63" i="27"/>
  <c r="EA63" i="27"/>
  <c r="DX63" i="27"/>
  <c r="DU63" i="27"/>
  <c r="DR63" i="27"/>
  <c r="DO63" i="27"/>
  <c r="DL63" i="27"/>
  <c r="DI63" i="27"/>
  <c r="DF63" i="27"/>
  <c r="DC63" i="27"/>
  <c r="CZ63" i="27"/>
  <c r="CW63" i="27"/>
  <c r="CT63" i="27"/>
  <c r="CQ63" i="27"/>
  <c r="CN63" i="27"/>
  <c r="CK63" i="27"/>
  <c r="CH63" i="27"/>
  <c r="CE63" i="27"/>
  <c r="CB63" i="27"/>
  <c r="BY63" i="27"/>
  <c r="BV63" i="27"/>
  <c r="BS63" i="27"/>
  <c r="BP63" i="27"/>
  <c r="BM63" i="27"/>
  <c r="BJ63" i="27"/>
  <c r="BG63" i="27"/>
  <c r="BD63" i="27"/>
  <c r="BA63" i="27"/>
  <c r="AX63" i="27"/>
  <c r="AU63" i="27"/>
  <c r="AR63" i="27"/>
  <c r="AO63" i="27"/>
  <c r="AL63" i="27"/>
  <c r="AI63" i="27"/>
  <c r="AF63" i="27"/>
  <c r="FW62" i="27"/>
  <c r="FT62" i="27"/>
  <c r="FQ62" i="27"/>
  <c r="FN62" i="27"/>
  <c r="FK62" i="27"/>
  <c r="FH62" i="27"/>
  <c r="FE62" i="27"/>
  <c r="FB62" i="27"/>
  <c r="EY62" i="27"/>
  <c r="EV62" i="27"/>
  <c r="ES62" i="27"/>
  <c r="EP62" i="27"/>
  <c r="EM62" i="27"/>
  <c r="EJ62" i="27"/>
  <c r="EG62" i="27"/>
  <c r="ED62" i="27"/>
  <c r="EA62" i="27"/>
  <c r="DX62" i="27"/>
  <c r="DU62" i="27"/>
  <c r="DR62" i="27"/>
  <c r="DO62" i="27"/>
  <c r="DL62" i="27"/>
  <c r="DI62" i="27"/>
  <c r="DF62" i="27"/>
  <c r="DC62" i="27"/>
  <c r="CZ62" i="27"/>
  <c r="CW62" i="27"/>
  <c r="CT62" i="27"/>
  <c r="CQ62" i="27"/>
  <c r="CN62" i="27"/>
  <c r="CK62" i="27"/>
  <c r="CH62" i="27"/>
  <c r="CE62" i="27"/>
  <c r="CB62" i="27"/>
  <c r="BY62" i="27"/>
  <c r="BV62" i="27"/>
  <c r="BS62" i="27"/>
  <c r="BP62" i="27"/>
  <c r="BM62" i="27"/>
  <c r="BJ62" i="27"/>
  <c r="BG62" i="27"/>
  <c r="BD62" i="27"/>
  <c r="BA62" i="27"/>
  <c r="AX62" i="27"/>
  <c r="AU62" i="27"/>
  <c r="AR62" i="27"/>
  <c r="AO62" i="27"/>
  <c r="AL62" i="27"/>
  <c r="AI62" i="27"/>
  <c r="AF62" i="27"/>
  <c r="FW61" i="27"/>
  <c r="FT61" i="27"/>
  <c r="FQ61" i="27"/>
  <c r="FN61" i="27"/>
  <c r="FK61" i="27"/>
  <c r="FH61" i="27"/>
  <c r="FE61" i="27"/>
  <c r="FB61" i="27"/>
  <c r="EY61" i="27"/>
  <c r="EV61" i="27"/>
  <c r="ES61" i="27"/>
  <c r="EP61" i="27"/>
  <c r="EM61" i="27"/>
  <c r="EJ61" i="27"/>
  <c r="EG61" i="27"/>
  <c r="ED61" i="27"/>
  <c r="EA61" i="27"/>
  <c r="DX61" i="27"/>
  <c r="DU61" i="27"/>
  <c r="DR61" i="27"/>
  <c r="DO61" i="27"/>
  <c r="DL61" i="27"/>
  <c r="DI61" i="27"/>
  <c r="DF61" i="27"/>
  <c r="DC61" i="27"/>
  <c r="CZ61" i="27"/>
  <c r="CW61" i="27"/>
  <c r="CT61" i="27"/>
  <c r="CQ61" i="27"/>
  <c r="CN61" i="27"/>
  <c r="CK61" i="27"/>
  <c r="CH61" i="27"/>
  <c r="CE61" i="27"/>
  <c r="CB61" i="27"/>
  <c r="BY61" i="27"/>
  <c r="BV61" i="27"/>
  <c r="BS61" i="27"/>
  <c r="BP61" i="27"/>
  <c r="BM61" i="27"/>
  <c r="BJ61" i="27"/>
  <c r="FW60" i="27"/>
  <c r="FT60" i="27"/>
  <c r="FQ60" i="27"/>
  <c r="FN60" i="27"/>
  <c r="FK60" i="27"/>
  <c r="FH60" i="27"/>
  <c r="FE60" i="27"/>
  <c r="FB60" i="27"/>
  <c r="EY60" i="27"/>
  <c r="EV60" i="27"/>
  <c r="ES60" i="27"/>
  <c r="EP60" i="27"/>
  <c r="EM60" i="27"/>
  <c r="EJ60" i="27"/>
  <c r="EG60" i="27"/>
  <c r="ED60" i="27"/>
  <c r="EA60" i="27"/>
  <c r="DX60" i="27"/>
  <c r="DU60" i="27"/>
  <c r="DR60" i="27"/>
  <c r="DO60" i="27"/>
  <c r="DL60" i="27"/>
  <c r="DI60" i="27"/>
  <c r="DF60" i="27"/>
  <c r="DC60" i="27"/>
  <c r="CZ60" i="27"/>
  <c r="CW60" i="27"/>
  <c r="CT60" i="27"/>
  <c r="CQ60" i="27"/>
  <c r="CN60" i="27"/>
  <c r="CK60" i="27"/>
  <c r="CH60" i="27"/>
  <c r="CE60" i="27"/>
  <c r="CB60" i="27"/>
  <c r="BY60" i="27"/>
  <c r="BV60" i="27"/>
  <c r="BS60" i="27"/>
  <c r="BP60" i="27"/>
  <c r="BM60" i="27"/>
  <c r="BJ60" i="27"/>
  <c r="BG60" i="27"/>
  <c r="BD60" i="27"/>
  <c r="BA60" i="27"/>
  <c r="AX60" i="27"/>
  <c r="AU60" i="27"/>
  <c r="AR60" i="27"/>
  <c r="AO60" i="27"/>
  <c r="AL60" i="27"/>
  <c r="AI60" i="27"/>
  <c r="AF60" i="27"/>
  <c r="FW59" i="27"/>
  <c r="FV59" i="27"/>
  <c r="FU59" i="27"/>
  <c r="FT59" i="27"/>
  <c r="FS59" i="27"/>
  <c r="FR59" i="27"/>
  <c r="FP59" i="27"/>
  <c r="FO59" i="27"/>
  <c r="FQ59" i="27" s="1"/>
  <c r="FM59" i="27"/>
  <c r="FL59" i="27"/>
  <c r="FN59" i="27" s="1"/>
  <c r="FK59" i="27"/>
  <c r="FJ59" i="27"/>
  <c r="FI59" i="27"/>
  <c r="FH59" i="27"/>
  <c r="FG59" i="27"/>
  <c r="FF59" i="27"/>
  <c r="FD59" i="27"/>
  <c r="FC59" i="27"/>
  <c r="FE59" i="27" s="1"/>
  <c r="FA59" i="27"/>
  <c r="EZ59" i="27"/>
  <c r="FB59" i="27" s="1"/>
  <c r="EY59" i="27"/>
  <c r="EX59" i="27"/>
  <c r="EW59" i="27"/>
  <c r="EV59" i="27"/>
  <c r="EU59" i="27"/>
  <c r="ET59" i="27"/>
  <c r="ER59" i="27"/>
  <c r="EQ59" i="27"/>
  <c r="ES59" i="27" s="1"/>
  <c r="EO59" i="27"/>
  <c r="EN59" i="27"/>
  <c r="EP59" i="27" s="1"/>
  <c r="EM59" i="27"/>
  <c r="EL59" i="27"/>
  <c r="EK59" i="27"/>
  <c r="EJ59" i="27"/>
  <c r="EI59" i="27"/>
  <c r="EH59" i="27"/>
  <c r="EF59" i="27"/>
  <c r="EE59" i="27"/>
  <c r="EG59" i="27" s="1"/>
  <c r="EC59" i="27"/>
  <c r="EB59" i="27"/>
  <c r="ED59" i="27" s="1"/>
  <c r="EA59" i="27"/>
  <c r="DZ59" i="27"/>
  <c r="DY59" i="27"/>
  <c r="DX59" i="27"/>
  <c r="DW59" i="27"/>
  <c r="DV59" i="27"/>
  <c r="DT59" i="27"/>
  <c r="DS59" i="27"/>
  <c r="DU59" i="27" s="1"/>
  <c r="DQ59" i="27"/>
  <c r="DP59" i="27"/>
  <c r="DR59" i="27" s="1"/>
  <c r="DO59" i="27"/>
  <c r="DN59" i="27"/>
  <c r="DM59" i="27"/>
  <c r="DL59" i="27"/>
  <c r="DK59" i="27"/>
  <c r="DJ59" i="27"/>
  <c r="DH59" i="27"/>
  <c r="DG59" i="27"/>
  <c r="DI59" i="27" s="1"/>
  <c r="DE59" i="27"/>
  <c r="DD59" i="27"/>
  <c r="DF59" i="27" s="1"/>
  <c r="DC59" i="27"/>
  <c r="DB59" i="27"/>
  <c r="DA59" i="27"/>
  <c r="CZ59" i="27"/>
  <c r="CY59" i="27"/>
  <c r="CX59" i="27"/>
  <c r="CV59" i="27"/>
  <c r="CU59" i="27"/>
  <c r="CW59" i="27" s="1"/>
  <c r="CS59" i="27"/>
  <c r="CR59" i="27"/>
  <c r="CT59" i="27" s="1"/>
  <c r="CQ59" i="27"/>
  <c r="CP59" i="27"/>
  <c r="CO59" i="27"/>
  <c r="CN59" i="27"/>
  <c r="CM59" i="27"/>
  <c r="CL59" i="27"/>
  <c r="CJ59" i="27"/>
  <c r="CI59" i="27"/>
  <c r="CK59" i="27" s="1"/>
  <c r="CG59" i="27"/>
  <c r="CF59" i="27"/>
  <c r="CH59" i="27" s="1"/>
  <c r="CE59" i="27"/>
  <c r="CD59" i="27"/>
  <c r="CC59" i="27"/>
  <c r="CB59" i="27"/>
  <c r="CA59" i="27"/>
  <c r="BZ59" i="27"/>
  <c r="BX59" i="27"/>
  <c r="BW59" i="27"/>
  <c r="BY59" i="27" s="1"/>
  <c r="BU59" i="27"/>
  <c r="BT59" i="27"/>
  <c r="BV59" i="27" s="1"/>
  <c r="BS59" i="27"/>
  <c r="BR59" i="27"/>
  <c r="BQ59" i="27"/>
  <c r="BP59" i="27"/>
  <c r="BO59" i="27"/>
  <c r="BN59" i="27"/>
  <c r="BL59" i="27"/>
  <c r="BK59" i="27"/>
  <c r="BM59" i="27" s="1"/>
  <c r="BI59" i="27"/>
  <c r="BH59" i="27"/>
  <c r="BJ59" i="27" s="1"/>
  <c r="FW57" i="27"/>
  <c r="FT57" i="27"/>
  <c r="FQ57" i="27"/>
  <c r="FN57" i="27"/>
  <c r="FK57" i="27"/>
  <c r="FH57" i="27"/>
  <c r="FE57" i="27"/>
  <c r="FB57" i="27"/>
  <c r="EY57" i="27"/>
  <c r="EV57" i="27"/>
  <c r="ES57" i="27"/>
  <c r="EP57" i="27"/>
  <c r="EM57" i="27"/>
  <c r="EJ57" i="27"/>
  <c r="EG57" i="27"/>
  <c r="ED57" i="27"/>
  <c r="EA57" i="27"/>
  <c r="DX57" i="27"/>
  <c r="DU57" i="27"/>
  <c r="DR57" i="27"/>
  <c r="DO57" i="27"/>
  <c r="DL57" i="27"/>
  <c r="DI57" i="27"/>
  <c r="DF57" i="27"/>
  <c r="DC57" i="27"/>
  <c r="CZ57" i="27"/>
  <c r="CW57" i="27"/>
  <c r="CT57" i="27"/>
  <c r="CQ57" i="27"/>
  <c r="CN57" i="27"/>
  <c r="CK57" i="27"/>
  <c r="CH57" i="27"/>
  <c r="CE57" i="27"/>
  <c r="CB57" i="27"/>
  <c r="BY57" i="27"/>
  <c r="BV57" i="27"/>
  <c r="BS57" i="27"/>
  <c r="BP57" i="27"/>
  <c r="BM57" i="27"/>
  <c r="BJ57" i="27"/>
  <c r="BG57" i="27"/>
  <c r="BD57" i="27"/>
  <c r="BA57" i="27"/>
  <c r="AX57" i="27"/>
  <c r="AU57" i="27"/>
  <c r="AR57" i="27"/>
  <c r="AO57" i="27"/>
  <c r="AL57" i="27"/>
  <c r="AI57" i="27"/>
  <c r="AF57" i="27"/>
  <c r="FW56" i="27"/>
  <c r="FT56" i="27"/>
  <c r="FQ56" i="27"/>
  <c r="FN56" i="27"/>
  <c r="FK56" i="27"/>
  <c r="FH56" i="27"/>
  <c r="FE56" i="27"/>
  <c r="FB56" i="27"/>
  <c r="EY56" i="27"/>
  <c r="EV56" i="27"/>
  <c r="ES56" i="27"/>
  <c r="EP56" i="27"/>
  <c r="EM56" i="27"/>
  <c r="EJ56" i="27"/>
  <c r="EG56" i="27"/>
  <c r="ED56" i="27"/>
  <c r="EA56" i="27"/>
  <c r="DX56" i="27"/>
  <c r="DU56" i="27"/>
  <c r="DR56" i="27"/>
  <c r="DO56" i="27"/>
  <c r="DL56" i="27"/>
  <c r="DI56" i="27"/>
  <c r="DF56" i="27"/>
  <c r="DC56" i="27"/>
  <c r="CZ56" i="27"/>
  <c r="CW56" i="27"/>
  <c r="CT56" i="27"/>
  <c r="CQ56" i="27"/>
  <c r="CN56" i="27"/>
  <c r="CK56" i="27"/>
  <c r="CH56" i="27"/>
  <c r="CE56" i="27"/>
  <c r="CB56" i="27"/>
  <c r="BY56" i="27"/>
  <c r="BV56" i="27"/>
  <c r="BS56" i="27"/>
  <c r="BP56" i="27"/>
  <c r="BM56" i="27"/>
  <c r="BJ56" i="27"/>
  <c r="BG56" i="27"/>
  <c r="BD56" i="27"/>
  <c r="BA56" i="27"/>
  <c r="AX56" i="27"/>
  <c r="AU56" i="27"/>
  <c r="AR56" i="27"/>
  <c r="AO56" i="27"/>
  <c r="AL56" i="27"/>
  <c r="AI56" i="27"/>
  <c r="AF56" i="27"/>
  <c r="FW55" i="27"/>
  <c r="FT55" i="27"/>
  <c r="FQ55" i="27"/>
  <c r="FN55" i="27"/>
  <c r="FK55" i="27"/>
  <c r="FH55" i="27"/>
  <c r="FE55" i="27"/>
  <c r="FB55" i="27"/>
  <c r="EY55" i="27"/>
  <c r="EV55" i="27"/>
  <c r="ES55" i="27"/>
  <c r="EP55" i="27"/>
  <c r="EM55" i="27"/>
  <c r="EJ55" i="27"/>
  <c r="EG55" i="27"/>
  <c r="ED55" i="27"/>
  <c r="EA55" i="27"/>
  <c r="DX55" i="27"/>
  <c r="DU55" i="27"/>
  <c r="DR55" i="27"/>
  <c r="DO55" i="27"/>
  <c r="DL55" i="27"/>
  <c r="DI55" i="27"/>
  <c r="DF55" i="27"/>
  <c r="DC55" i="27"/>
  <c r="CZ55" i="27"/>
  <c r="CW55" i="27"/>
  <c r="CT55" i="27"/>
  <c r="CQ55" i="27"/>
  <c r="CN55" i="27"/>
  <c r="CK55" i="27"/>
  <c r="CH55" i="27"/>
  <c r="CE55" i="27"/>
  <c r="CB55" i="27"/>
  <c r="BY55" i="27"/>
  <c r="BV55" i="27"/>
  <c r="BS55" i="27"/>
  <c r="BP55" i="27"/>
  <c r="BM55" i="27"/>
  <c r="BJ55" i="27"/>
  <c r="FW54" i="27"/>
  <c r="FT54" i="27"/>
  <c r="FQ54" i="27"/>
  <c r="FN54" i="27"/>
  <c r="FK54" i="27"/>
  <c r="FH54" i="27"/>
  <c r="FE54" i="27"/>
  <c r="FB54" i="27"/>
  <c r="EY54" i="27"/>
  <c r="EV54" i="27"/>
  <c r="ES54" i="27"/>
  <c r="EP54" i="27"/>
  <c r="EM54" i="27"/>
  <c r="EJ54" i="27"/>
  <c r="EG54" i="27"/>
  <c r="ED54" i="27"/>
  <c r="EA54" i="27"/>
  <c r="DX54" i="27"/>
  <c r="DU54" i="27"/>
  <c r="DR54" i="27"/>
  <c r="DO54" i="27"/>
  <c r="DL54" i="27"/>
  <c r="DI54" i="27"/>
  <c r="DF54" i="27"/>
  <c r="DC54" i="27"/>
  <c r="CZ54" i="27"/>
  <c r="CW54" i="27"/>
  <c r="CT54" i="27"/>
  <c r="CQ54" i="27"/>
  <c r="CN54" i="27"/>
  <c r="CK54" i="27"/>
  <c r="CH54" i="27"/>
  <c r="CE54" i="27"/>
  <c r="CB54" i="27"/>
  <c r="BY54" i="27"/>
  <c r="BV54" i="27"/>
  <c r="BS54" i="27"/>
  <c r="BP54" i="27"/>
  <c r="BM54" i="27"/>
  <c r="BJ54" i="27"/>
  <c r="BG54" i="27"/>
  <c r="BD54" i="27"/>
  <c r="BA54" i="27"/>
  <c r="AX54" i="27"/>
  <c r="AU54" i="27"/>
  <c r="AR54" i="27"/>
  <c r="AO54" i="27"/>
  <c r="AL54" i="27"/>
  <c r="AI54" i="27"/>
  <c r="AF54" i="27"/>
  <c r="FV53" i="27"/>
  <c r="FU53" i="27"/>
  <c r="FW53" i="27" s="1"/>
  <c r="FT53" i="27"/>
  <c r="FS53" i="27"/>
  <c r="FR53" i="27"/>
  <c r="FQ53" i="27"/>
  <c r="FP53" i="27"/>
  <c r="FO53" i="27"/>
  <c r="FM53" i="27"/>
  <c r="FL53" i="27"/>
  <c r="FN53" i="27" s="1"/>
  <c r="FJ53" i="27"/>
  <c r="FI53" i="27"/>
  <c r="FK53" i="27" s="1"/>
  <c r="FH53" i="27"/>
  <c r="FG53" i="27"/>
  <c r="FF53" i="27"/>
  <c r="FE53" i="27"/>
  <c r="FD53" i="27"/>
  <c r="FC53" i="27"/>
  <c r="FA53" i="27"/>
  <c r="EZ53" i="27"/>
  <c r="FB53" i="27" s="1"/>
  <c r="EX53" i="27"/>
  <c r="EW53" i="27"/>
  <c r="EY53" i="27" s="1"/>
  <c r="EV53" i="27"/>
  <c r="EU53" i="27"/>
  <c r="ET53" i="27"/>
  <c r="ES53" i="27"/>
  <c r="ER53" i="27"/>
  <c r="EQ53" i="27"/>
  <c r="EO53" i="27"/>
  <c r="EN53" i="27"/>
  <c r="EP53" i="27" s="1"/>
  <c r="EL53" i="27"/>
  <c r="EK53" i="27"/>
  <c r="EM53" i="27" s="1"/>
  <c r="EJ53" i="27"/>
  <c r="EI53" i="27"/>
  <c r="EH53" i="27"/>
  <c r="EG53" i="27"/>
  <c r="EF53" i="27"/>
  <c r="EE53" i="27"/>
  <c r="EC53" i="27"/>
  <c r="EB53" i="27"/>
  <c r="ED53" i="27" s="1"/>
  <c r="DZ53" i="27"/>
  <c r="DY53" i="27"/>
  <c r="EA53" i="27" s="1"/>
  <c r="DX53" i="27"/>
  <c r="DW53" i="27"/>
  <c r="DV53" i="27"/>
  <c r="DU53" i="27"/>
  <c r="DT53" i="27"/>
  <c r="DS53" i="27"/>
  <c r="DQ53" i="27"/>
  <c r="DP53" i="27"/>
  <c r="DR53" i="27" s="1"/>
  <c r="DN53" i="27"/>
  <c r="DM53" i="27"/>
  <c r="DO53" i="27" s="1"/>
  <c r="DL53" i="27"/>
  <c r="DK53" i="27"/>
  <c r="DJ53" i="27"/>
  <c r="DI53" i="27"/>
  <c r="DH53" i="27"/>
  <c r="DG53" i="27"/>
  <c r="DE53" i="27"/>
  <c r="DD53" i="27"/>
  <c r="DF53" i="27" s="1"/>
  <c r="DB53" i="27"/>
  <c r="DA53" i="27"/>
  <c r="DC53" i="27" s="1"/>
  <c r="CZ53" i="27"/>
  <c r="CY53" i="27"/>
  <c r="CX53" i="27"/>
  <c r="CW53" i="27"/>
  <c r="CV53" i="27"/>
  <c r="CU53" i="27"/>
  <c r="CS53" i="27"/>
  <c r="CR53" i="27"/>
  <c r="CT53" i="27" s="1"/>
  <c r="CP53" i="27"/>
  <c r="CO53" i="27"/>
  <c r="CQ53" i="27" s="1"/>
  <c r="CN53" i="27"/>
  <c r="CM53" i="27"/>
  <c r="CL53" i="27"/>
  <c r="CK53" i="27"/>
  <c r="CJ53" i="27"/>
  <c r="CI53" i="27"/>
  <c r="CG53" i="27"/>
  <c r="CF53" i="27"/>
  <c r="CH53" i="27" s="1"/>
  <c r="CD53" i="27"/>
  <c r="CC53" i="27"/>
  <c r="CE53" i="27" s="1"/>
  <c r="CB53" i="27"/>
  <c r="CA53" i="27"/>
  <c r="BZ53" i="27"/>
  <c r="BY53" i="27"/>
  <c r="BX53" i="27"/>
  <c r="BW53" i="27"/>
  <c r="BU53" i="27"/>
  <c r="BT53" i="27"/>
  <c r="BV53" i="27" s="1"/>
  <c r="BR53" i="27"/>
  <c r="BQ53" i="27"/>
  <c r="BS53" i="27" s="1"/>
  <c r="BP53" i="27"/>
  <c r="BO53" i="27"/>
  <c r="BN53" i="27"/>
  <c r="BM53" i="27"/>
  <c r="BL53" i="27"/>
  <c r="BK53" i="27"/>
  <c r="BI53" i="27"/>
  <c r="BH53" i="27"/>
  <c r="BJ53" i="27" s="1"/>
  <c r="FW51" i="27"/>
  <c r="FT51" i="27"/>
  <c r="FQ51" i="27"/>
  <c r="FN51" i="27"/>
  <c r="FK51" i="27"/>
  <c r="FH51" i="27"/>
  <c r="FE51" i="27"/>
  <c r="FB51" i="27"/>
  <c r="EY51" i="27"/>
  <c r="EV51" i="27"/>
  <c r="ES51" i="27"/>
  <c r="EP51" i="27"/>
  <c r="EM51" i="27"/>
  <c r="EJ51" i="27"/>
  <c r="EG51" i="27"/>
  <c r="ED51" i="27"/>
  <c r="EA51" i="27"/>
  <c r="DX51" i="27"/>
  <c r="DU51" i="27"/>
  <c r="DR51" i="27"/>
  <c r="DO51" i="27"/>
  <c r="DL51" i="27"/>
  <c r="DI51" i="27"/>
  <c r="DF51" i="27"/>
  <c r="DC51" i="27"/>
  <c r="CZ51" i="27"/>
  <c r="CW51" i="27"/>
  <c r="CT51" i="27"/>
  <c r="CQ51" i="27"/>
  <c r="CN51" i="27"/>
  <c r="CK51" i="27"/>
  <c r="CH51" i="27"/>
  <c r="CE51" i="27"/>
  <c r="CB51" i="27"/>
  <c r="BY51" i="27"/>
  <c r="BV51" i="27"/>
  <c r="BS51" i="27"/>
  <c r="BP51" i="27"/>
  <c r="BM51" i="27"/>
  <c r="BJ51" i="27"/>
  <c r="BG51" i="27"/>
  <c r="BD51" i="27"/>
  <c r="BA51" i="27"/>
  <c r="AX51" i="27"/>
  <c r="AU51" i="27"/>
  <c r="AR51" i="27"/>
  <c r="AO51" i="27"/>
  <c r="AL51" i="27"/>
  <c r="AI51" i="27"/>
  <c r="AF51" i="27"/>
  <c r="FW50" i="27"/>
  <c r="FT50" i="27"/>
  <c r="FQ50" i="27"/>
  <c r="FN50" i="27"/>
  <c r="FK50" i="27"/>
  <c r="FH50" i="27"/>
  <c r="FE50" i="27"/>
  <c r="FB50" i="27"/>
  <c r="EY50" i="27"/>
  <c r="EV50" i="27"/>
  <c r="ES50" i="27"/>
  <c r="EP50" i="27"/>
  <c r="EM50" i="27"/>
  <c r="EJ50" i="27"/>
  <c r="EG50" i="27"/>
  <c r="ED50" i="27"/>
  <c r="EA50" i="27"/>
  <c r="DX50" i="27"/>
  <c r="DU50" i="27"/>
  <c r="DR50" i="27"/>
  <c r="DO50" i="27"/>
  <c r="DL50" i="27"/>
  <c r="DI50" i="27"/>
  <c r="DF50" i="27"/>
  <c r="DC50" i="27"/>
  <c r="CZ50" i="27"/>
  <c r="CW50" i="27"/>
  <c r="CT50" i="27"/>
  <c r="CQ50" i="27"/>
  <c r="CN50" i="27"/>
  <c r="CK50" i="27"/>
  <c r="CH50" i="27"/>
  <c r="CE50" i="27"/>
  <c r="CB50" i="27"/>
  <c r="BY50" i="27"/>
  <c r="BV50" i="27"/>
  <c r="BS50" i="27"/>
  <c r="BP50" i="27"/>
  <c r="BM50" i="27"/>
  <c r="BJ50" i="27"/>
  <c r="BG50" i="27"/>
  <c r="BD50" i="27"/>
  <c r="BA50" i="27"/>
  <c r="AX50" i="27"/>
  <c r="AU50" i="27"/>
  <c r="AR50" i="27"/>
  <c r="AO50" i="27"/>
  <c r="AL50" i="27"/>
  <c r="AI50" i="27"/>
  <c r="AF50" i="27"/>
  <c r="FW49" i="27"/>
  <c r="FT49" i="27"/>
  <c r="FQ49" i="27"/>
  <c r="FN49" i="27"/>
  <c r="FK49" i="27"/>
  <c r="FH49" i="27"/>
  <c r="FE49" i="27"/>
  <c r="FB49" i="27"/>
  <c r="EY49" i="27"/>
  <c r="EV49" i="27"/>
  <c r="ES49" i="27"/>
  <c r="EP49" i="27"/>
  <c r="EM49" i="27"/>
  <c r="EJ49" i="27"/>
  <c r="EG49" i="27"/>
  <c r="ED49" i="27"/>
  <c r="EA49" i="27"/>
  <c r="DX49" i="27"/>
  <c r="DU49" i="27"/>
  <c r="DR49" i="27"/>
  <c r="DO49" i="27"/>
  <c r="DL49" i="27"/>
  <c r="DI49" i="27"/>
  <c r="DF49" i="27"/>
  <c r="DC49" i="27"/>
  <c r="CZ49" i="27"/>
  <c r="CW49" i="27"/>
  <c r="CT49" i="27"/>
  <c r="CQ49" i="27"/>
  <c r="CN49" i="27"/>
  <c r="CK49" i="27"/>
  <c r="CH49" i="27"/>
  <c r="CE49" i="27"/>
  <c r="CB49" i="27"/>
  <c r="BY49" i="27"/>
  <c r="BV49" i="27"/>
  <c r="BS49" i="27"/>
  <c r="BP49" i="27"/>
  <c r="BM49" i="27"/>
  <c r="BJ49" i="27"/>
  <c r="FW48" i="27"/>
  <c r="FT48" i="27"/>
  <c r="FQ48" i="27"/>
  <c r="FN48" i="27"/>
  <c r="FK48" i="27"/>
  <c r="FH48" i="27"/>
  <c r="FE48" i="27"/>
  <c r="FB48" i="27"/>
  <c r="EY48" i="27"/>
  <c r="EV48" i="27"/>
  <c r="ES48" i="27"/>
  <c r="EP48" i="27"/>
  <c r="EM48" i="27"/>
  <c r="EJ48" i="27"/>
  <c r="EG48" i="27"/>
  <c r="ED48" i="27"/>
  <c r="EA48" i="27"/>
  <c r="DX48" i="27"/>
  <c r="DU48" i="27"/>
  <c r="DR48" i="27"/>
  <c r="DO48" i="27"/>
  <c r="DL48" i="27"/>
  <c r="DI48" i="27"/>
  <c r="DF48" i="27"/>
  <c r="DC48" i="27"/>
  <c r="CZ48" i="27"/>
  <c r="CW48" i="27"/>
  <c r="CT48" i="27"/>
  <c r="CQ48" i="27"/>
  <c r="CN48" i="27"/>
  <c r="CK48" i="27"/>
  <c r="CH48" i="27"/>
  <c r="CE48" i="27"/>
  <c r="CB48" i="27"/>
  <c r="BY48" i="27"/>
  <c r="BV48" i="27"/>
  <c r="BS48" i="27"/>
  <c r="BP48" i="27"/>
  <c r="BM48" i="27"/>
  <c r="BJ48" i="27"/>
  <c r="BG48" i="27"/>
  <c r="BD48" i="27"/>
  <c r="BA48" i="27"/>
  <c r="AX48" i="27"/>
  <c r="AU48" i="27"/>
  <c r="AR48" i="27"/>
  <c r="AO48" i="27"/>
  <c r="AL48" i="27"/>
  <c r="AI48" i="27"/>
  <c r="AF48" i="27"/>
  <c r="FW47" i="27"/>
  <c r="FV47" i="27"/>
  <c r="FU47" i="27"/>
  <c r="FS47" i="27"/>
  <c r="FR47" i="27"/>
  <c r="FT47" i="27" s="1"/>
  <c r="FP47" i="27"/>
  <c r="FO47" i="27"/>
  <c r="FQ47" i="27" s="1"/>
  <c r="FN47" i="27"/>
  <c r="FM47" i="27"/>
  <c r="FL47" i="27"/>
  <c r="FK47" i="27"/>
  <c r="FJ47" i="27"/>
  <c r="FI47" i="27"/>
  <c r="FG47" i="27"/>
  <c r="FF47" i="27"/>
  <c r="FH47" i="27" s="1"/>
  <c r="FD47" i="27"/>
  <c r="FC47" i="27"/>
  <c r="FE47" i="27" s="1"/>
  <c r="FB47" i="27"/>
  <c r="FA47" i="27"/>
  <c r="EZ47" i="27"/>
  <c r="EY47" i="27"/>
  <c r="EX47" i="27"/>
  <c r="EW47" i="27"/>
  <c r="EU47" i="27"/>
  <c r="ET47" i="27"/>
  <c r="EV47" i="27" s="1"/>
  <c r="ER47" i="27"/>
  <c r="EQ47" i="27"/>
  <c r="ES47" i="27" s="1"/>
  <c r="EP47" i="27"/>
  <c r="EO47" i="27"/>
  <c r="EN47" i="27"/>
  <c r="EM47" i="27"/>
  <c r="EL47" i="27"/>
  <c r="EK47" i="27"/>
  <c r="EI47" i="27"/>
  <c r="EH47" i="27"/>
  <c r="EJ47" i="27" s="1"/>
  <c r="EF47" i="27"/>
  <c r="EE47" i="27"/>
  <c r="EG47" i="27" s="1"/>
  <c r="ED47" i="27"/>
  <c r="EC47" i="27"/>
  <c r="EB47" i="27"/>
  <c r="EA47" i="27"/>
  <c r="DZ47" i="27"/>
  <c r="DY47" i="27"/>
  <c r="DW47" i="27"/>
  <c r="DV47" i="27"/>
  <c r="DX47" i="27" s="1"/>
  <c r="DT47" i="27"/>
  <c r="DS47" i="27"/>
  <c r="DU47" i="27" s="1"/>
  <c r="DR47" i="27"/>
  <c r="DQ47" i="27"/>
  <c r="DP47" i="27"/>
  <c r="DO47" i="27"/>
  <c r="DN47" i="27"/>
  <c r="DM47" i="27"/>
  <c r="DK47" i="27"/>
  <c r="DJ47" i="27"/>
  <c r="DL47" i="27" s="1"/>
  <c r="DH47" i="27"/>
  <c r="DG47" i="27"/>
  <c r="DI47" i="27" s="1"/>
  <c r="DF47" i="27"/>
  <c r="DE47" i="27"/>
  <c r="DD47" i="27"/>
  <c r="DC47" i="27"/>
  <c r="DB47" i="27"/>
  <c r="DA47" i="27"/>
  <c r="CY47" i="27"/>
  <c r="CX47" i="27"/>
  <c r="CZ47" i="27" s="1"/>
  <c r="CV47" i="27"/>
  <c r="CU47" i="27"/>
  <c r="CW47" i="27" s="1"/>
  <c r="CT47" i="27"/>
  <c r="CS47" i="27"/>
  <c r="CR47" i="27"/>
  <c r="CQ47" i="27"/>
  <c r="CP47" i="27"/>
  <c r="CO47" i="27"/>
  <c r="CM47" i="27"/>
  <c r="CL47" i="27"/>
  <c r="CN47" i="27" s="1"/>
  <c r="CJ47" i="27"/>
  <c r="CI47" i="27"/>
  <c r="CK47" i="27" s="1"/>
  <c r="CH47" i="27"/>
  <c r="CG47" i="27"/>
  <c r="CF47" i="27"/>
  <c r="CE47" i="27"/>
  <c r="CD47" i="27"/>
  <c r="CC47" i="27"/>
  <c r="CA47" i="27"/>
  <c r="BZ47" i="27"/>
  <c r="CB47" i="27" s="1"/>
  <c r="BX47" i="27"/>
  <c r="BW47" i="27"/>
  <c r="BY47" i="27" s="1"/>
  <c r="BV47" i="27"/>
  <c r="BU47" i="27"/>
  <c r="BT47" i="27"/>
  <c r="BS47" i="27"/>
  <c r="BR47" i="27"/>
  <c r="BQ47" i="27"/>
  <c r="BO47" i="27"/>
  <c r="BN47" i="27"/>
  <c r="BP47" i="27" s="1"/>
  <c r="BL47" i="27"/>
  <c r="BK47" i="27"/>
  <c r="BM47" i="27" s="1"/>
  <c r="BJ47" i="27"/>
  <c r="BI47" i="27"/>
  <c r="BH47" i="27"/>
  <c r="FW43" i="27"/>
  <c r="FT43" i="27"/>
  <c r="FQ43" i="27"/>
  <c r="FN43" i="27"/>
  <c r="FK43" i="27"/>
  <c r="FH43" i="27"/>
  <c r="FE43" i="27"/>
  <c r="FB43" i="27"/>
  <c r="EY43" i="27"/>
  <c r="EV43" i="27"/>
  <c r="ES43" i="27"/>
  <c r="EP43" i="27"/>
  <c r="EM43" i="27"/>
  <c r="EJ43" i="27"/>
  <c r="EG43" i="27"/>
  <c r="ED43" i="27"/>
  <c r="EA43" i="27"/>
  <c r="DX43" i="27"/>
  <c r="DU43" i="27"/>
  <c r="DR43" i="27"/>
  <c r="DO43" i="27"/>
  <c r="DL43" i="27"/>
  <c r="DI43" i="27"/>
  <c r="DF43" i="27"/>
  <c r="DC43" i="27"/>
  <c r="CZ43" i="27"/>
  <c r="CW43" i="27"/>
  <c r="CT43" i="27"/>
  <c r="CQ43" i="27"/>
  <c r="CN43" i="27"/>
  <c r="CK43" i="27"/>
  <c r="CH43" i="27"/>
  <c r="CE43" i="27"/>
  <c r="CB43" i="27"/>
  <c r="BY43" i="27"/>
  <c r="BV43" i="27"/>
  <c r="BS43" i="27"/>
  <c r="BP43" i="27"/>
  <c r="BM43" i="27"/>
  <c r="BJ43" i="27"/>
  <c r="BG43" i="27"/>
  <c r="BD43" i="27"/>
  <c r="BA43" i="27"/>
  <c r="AX43" i="27"/>
  <c r="AU43" i="27"/>
  <c r="AR43" i="27"/>
  <c r="AO43" i="27"/>
  <c r="AL43" i="27"/>
  <c r="AI43" i="27"/>
  <c r="AF43" i="27"/>
  <c r="GB42" i="27" a="1"/>
  <c r="GB42" i="27"/>
  <c r="GB43" i="27" s="1" a="1"/>
  <c r="GB43" i="27" s="1"/>
  <c r="FW42" i="27"/>
  <c r="FT42" i="27"/>
  <c r="FQ42" i="27"/>
  <c r="FN42" i="27"/>
  <c r="FK42" i="27"/>
  <c r="FH42" i="27"/>
  <c r="FE42" i="27"/>
  <c r="FB42" i="27"/>
  <c r="EY42" i="27"/>
  <c r="EV42" i="27"/>
  <c r="ES42" i="27"/>
  <c r="EP42" i="27"/>
  <c r="EM42" i="27"/>
  <c r="EJ42" i="27"/>
  <c r="EG42" i="27"/>
  <c r="ED42" i="27"/>
  <c r="EA42" i="27"/>
  <c r="DX42" i="27"/>
  <c r="DU42" i="27"/>
  <c r="DR42" i="27"/>
  <c r="DO42" i="27"/>
  <c r="DL42" i="27"/>
  <c r="DI42" i="27"/>
  <c r="DF42" i="27"/>
  <c r="DC42" i="27"/>
  <c r="CZ42" i="27"/>
  <c r="CW42" i="27"/>
  <c r="CT42" i="27"/>
  <c r="CQ42" i="27"/>
  <c r="CN42" i="27"/>
  <c r="CK42" i="27"/>
  <c r="CH42" i="27"/>
  <c r="CE42" i="27"/>
  <c r="CB42" i="27"/>
  <c r="BY42" i="27"/>
  <c r="BV42" i="27"/>
  <c r="BS42" i="27"/>
  <c r="BP42" i="27"/>
  <c r="BM42" i="27"/>
  <c r="BJ42" i="27"/>
  <c r="BG42" i="27"/>
  <c r="BD42" i="27"/>
  <c r="BA42" i="27"/>
  <c r="AX42" i="27"/>
  <c r="AU42" i="27"/>
  <c r="AR42" i="27"/>
  <c r="AO42" i="27"/>
  <c r="AL42" i="27"/>
  <c r="AI42" i="27"/>
  <c r="AF42" i="27"/>
  <c r="I42" i="27" a="1"/>
  <c r="I42" i="27" s="1"/>
  <c r="I43" i="27" s="1" a="1"/>
  <c r="I43" i="27" s="1"/>
  <c r="FW41" i="27"/>
  <c r="FT41" i="27"/>
  <c r="FQ41" i="27"/>
  <c r="FN41" i="27"/>
  <c r="FK41" i="27"/>
  <c r="FH41" i="27"/>
  <c r="FE41" i="27"/>
  <c r="FB41" i="27"/>
  <c r="EY41" i="27"/>
  <c r="EV41" i="27"/>
  <c r="ES41" i="27"/>
  <c r="EP41" i="27"/>
  <c r="EM41" i="27"/>
  <c r="EJ41" i="27"/>
  <c r="EG41" i="27"/>
  <c r="ED41" i="27"/>
  <c r="EA41" i="27"/>
  <c r="DX41" i="27"/>
  <c r="DU41" i="27"/>
  <c r="DR41" i="27"/>
  <c r="DO41" i="27"/>
  <c r="DL41" i="27"/>
  <c r="DI41" i="27"/>
  <c r="DF41" i="27"/>
  <c r="DC41" i="27"/>
  <c r="CZ41" i="27"/>
  <c r="CW41" i="27"/>
  <c r="CT41" i="27"/>
  <c r="CQ41" i="27"/>
  <c r="CN41" i="27"/>
  <c r="CK41" i="27"/>
  <c r="CH41" i="27"/>
  <c r="CE41" i="27"/>
  <c r="CB41" i="27"/>
  <c r="BY41" i="27"/>
  <c r="BV41" i="27"/>
  <c r="BS41" i="27"/>
  <c r="BP41" i="27"/>
  <c r="BM41" i="27"/>
  <c r="BJ41" i="27"/>
  <c r="FV40" i="27"/>
  <c r="FU40" i="27"/>
  <c r="FS40" i="27"/>
  <c r="FR40" i="27"/>
  <c r="FP40" i="27"/>
  <c r="FO40" i="27"/>
  <c r="FM40" i="27"/>
  <c r="FL40" i="27"/>
  <c r="FJ40" i="27"/>
  <c r="FI40" i="27"/>
  <c r="FG40" i="27"/>
  <c r="FF40" i="27"/>
  <c r="FD40" i="27"/>
  <c r="FC40" i="27"/>
  <c r="FA40" i="27"/>
  <c r="EZ40" i="27"/>
  <c r="EX40" i="27"/>
  <c r="EW40" i="27"/>
  <c r="EU40" i="27"/>
  <c r="ET40" i="27"/>
  <c r="ER40" i="27"/>
  <c r="EQ40" i="27"/>
  <c r="EO40" i="27"/>
  <c r="EN40" i="27"/>
  <c r="EL40" i="27"/>
  <c r="EK40" i="27"/>
  <c r="EI40" i="27"/>
  <c r="EH40" i="27"/>
  <c r="EF40" i="27"/>
  <c r="EE40" i="27"/>
  <c r="EC40" i="27"/>
  <c r="EB40" i="27"/>
  <c r="DZ40" i="27"/>
  <c r="DY40" i="27"/>
  <c r="DW40" i="27"/>
  <c r="DV40" i="27"/>
  <c r="DT40" i="27"/>
  <c r="DS40" i="27"/>
  <c r="DQ40" i="27"/>
  <c r="DP40" i="27"/>
  <c r="DN40" i="27"/>
  <c r="DM40" i="27"/>
  <c r="DK40" i="27"/>
  <c r="DJ40" i="27"/>
  <c r="DH40" i="27"/>
  <c r="DG40" i="27"/>
  <c r="DE40" i="27"/>
  <c r="DD40" i="27"/>
  <c r="DB40" i="27"/>
  <c r="DA40" i="27"/>
  <c r="CY40" i="27"/>
  <c r="CX40" i="27"/>
  <c r="CV40" i="27"/>
  <c r="CU40" i="27"/>
  <c r="CS40" i="27"/>
  <c r="CR40" i="27"/>
  <c r="CP40" i="27"/>
  <c r="CO40" i="27"/>
  <c r="CM40" i="27"/>
  <c r="CL40" i="27"/>
  <c r="CJ40" i="27"/>
  <c r="CI40" i="27"/>
  <c r="CG40" i="27"/>
  <c r="CF40" i="27"/>
  <c r="CD40" i="27"/>
  <c r="CC40" i="27"/>
  <c r="CA40" i="27"/>
  <c r="BZ40" i="27"/>
  <c r="BX40" i="27"/>
  <c r="BW40" i="27"/>
  <c r="BU40" i="27"/>
  <c r="BT40" i="27"/>
  <c r="BR40" i="27"/>
  <c r="BQ40" i="27"/>
  <c r="BO40" i="27"/>
  <c r="BN40" i="27"/>
  <c r="BL40" i="27"/>
  <c r="BK40" i="27"/>
  <c r="BI40" i="27"/>
  <c r="BH40" i="27"/>
  <c r="FW39" i="27"/>
  <c r="FT39" i="27"/>
  <c r="FQ39" i="27"/>
  <c r="FN39" i="27"/>
  <c r="FK39" i="27"/>
  <c r="FH39" i="27"/>
  <c r="FE39" i="27"/>
  <c r="FB39" i="27"/>
  <c r="EY39" i="27"/>
  <c r="EV39" i="27"/>
  <c r="ES39" i="27"/>
  <c r="EP39" i="27"/>
  <c r="EM39" i="27"/>
  <c r="EJ39" i="27"/>
  <c r="EG39" i="27"/>
  <c r="ED39" i="27"/>
  <c r="EA39" i="27"/>
  <c r="DX39" i="27"/>
  <c r="DU39" i="27"/>
  <c r="DR39" i="27"/>
  <c r="DO39" i="27"/>
  <c r="DL39" i="27"/>
  <c r="DI39" i="27"/>
  <c r="DF39" i="27"/>
  <c r="DC39" i="27"/>
  <c r="CZ39" i="27"/>
  <c r="CW39" i="27"/>
  <c r="CT39" i="27"/>
  <c r="CQ39" i="27"/>
  <c r="CN39" i="27"/>
  <c r="CK39" i="27"/>
  <c r="CH39" i="27"/>
  <c r="CE39" i="27"/>
  <c r="CB39" i="27"/>
  <c r="BY39" i="27"/>
  <c r="BV39" i="27"/>
  <c r="BS39" i="27"/>
  <c r="BP39" i="27"/>
  <c r="BM39" i="27"/>
  <c r="BJ39" i="27"/>
  <c r="FW38" i="27"/>
  <c r="FT38" i="27"/>
  <c r="FQ38" i="27"/>
  <c r="FN38" i="27"/>
  <c r="FK38" i="27"/>
  <c r="FH38" i="27"/>
  <c r="FE38" i="27"/>
  <c r="FB38" i="27"/>
  <c r="EY38" i="27"/>
  <c r="EV38" i="27"/>
  <c r="ES38" i="27"/>
  <c r="EP38" i="27"/>
  <c r="EM38" i="27"/>
  <c r="EJ38" i="27"/>
  <c r="EG38" i="27"/>
  <c r="ED38" i="27"/>
  <c r="EA38" i="27"/>
  <c r="DX38" i="27"/>
  <c r="DU38" i="27"/>
  <c r="DR38" i="27"/>
  <c r="DO38" i="27"/>
  <c r="DL38" i="27"/>
  <c r="DI38" i="27"/>
  <c r="DF38" i="27"/>
  <c r="DC38" i="27"/>
  <c r="CZ38" i="27"/>
  <c r="CW38" i="27"/>
  <c r="CT38" i="27"/>
  <c r="CQ38" i="27"/>
  <c r="CN38" i="27"/>
  <c r="CK38" i="27"/>
  <c r="CH38" i="27"/>
  <c r="CE38" i="27"/>
  <c r="CB38" i="27"/>
  <c r="BY38" i="27"/>
  <c r="BV38" i="27"/>
  <c r="BS38" i="27"/>
  <c r="BP38" i="27"/>
  <c r="BM38" i="27"/>
  <c r="BJ38" i="27"/>
  <c r="FW37" i="27"/>
  <c r="FT37" i="27"/>
  <c r="FQ37" i="27"/>
  <c r="FN37" i="27"/>
  <c r="FK37" i="27"/>
  <c r="FH37" i="27"/>
  <c r="FE37" i="27"/>
  <c r="FB37" i="27"/>
  <c r="EY37" i="27"/>
  <c r="EV37" i="27"/>
  <c r="ES37" i="27"/>
  <c r="EP37" i="27"/>
  <c r="EM37" i="27"/>
  <c r="EJ37" i="27"/>
  <c r="EG37" i="27"/>
  <c r="ED37" i="27"/>
  <c r="EA37" i="27"/>
  <c r="DX37" i="27"/>
  <c r="DU37" i="27"/>
  <c r="DR37" i="27"/>
  <c r="DO37" i="27"/>
  <c r="DL37" i="27"/>
  <c r="DI37" i="27"/>
  <c r="DF37" i="27"/>
  <c r="DC37" i="27"/>
  <c r="CZ37" i="27"/>
  <c r="CW37" i="27"/>
  <c r="CT37" i="27"/>
  <c r="CQ37" i="27"/>
  <c r="CN37" i="27"/>
  <c r="CK37" i="27"/>
  <c r="CH37" i="27"/>
  <c r="CE37" i="27"/>
  <c r="CB37" i="27"/>
  <c r="BY37" i="27"/>
  <c r="BV37" i="27"/>
  <c r="BS37" i="27"/>
  <c r="BP37" i="27"/>
  <c r="BM37" i="27"/>
  <c r="BJ37" i="27"/>
  <c r="FV36" i="27"/>
  <c r="FU36" i="27"/>
  <c r="FS36" i="27"/>
  <c r="FR36" i="27"/>
  <c r="FP36" i="27"/>
  <c r="FO36" i="27"/>
  <c r="FM36" i="27"/>
  <c r="FL36" i="27"/>
  <c r="FJ36" i="27"/>
  <c r="FI36" i="27"/>
  <c r="FG36" i="27"/>
  <c r="FF36" i="27"/>
  <c r="FD36" i="27"/>
  <c r="FC36" i="27"/>
  <c r="FA36" i="27"/>
  <c r="EZ36" i="27"/>
  <c r="EX36" i="27"/>
  <c r="EW36" i="27"/>
  <c r="EU36" i="27"/>
  <c r="ET36" i="27"/>
  <c r="ER36" i="27"/>
  <c r="EQ36" i="27"/>
  <c r="EO36" i="27"/>
  <c r="EN36" i="27"/>
  <c r="EL36" i="27"/>
  <c r="EK36" i="27"/>
  <c r="EI36" i="27"/>
  <c r="EH36" i="27"/>
  <c r="EF36" i="27"/>
  <c r="EE36" i="27"/>
  <c r="EC36" i="27"/>
  <c r="EB36" i="27"/>
  <c r="DZ36" i="27"/>
  <c r="DY36" i="27"/>
  <c r="DW36" i="27"/>
  <c r="DV36" i="27"/>
  <c r="DT36" i="27"/>
  <c r="DS36" i="27"/>
  <c r="DQ36" i="27"/>
  <c r="DP36" i="27"/>
  <c r="DN36" i="27"/>
  <c r="DM36" i="27"/>
  <c r="DK36" i="27"/>
  <c r="DJ36" i="27"/>
  <c r="DH36" i="27"/>
  <c r="DG36" i="27"/>
  <c r="DE36" i="27"/>
  <c r="DD36" i="27"/>
  <c r="DB36" i="27"/>
  <c r="DA36" i="27"/>
  <c r="CY36" i="27"/>
  <c r="CX36" i="27"/>
  <c r="CV36" i="27"/>
  <c r="CU36" i="27"/>
  <c r="CS36" i="27"/>
  <c r="CR36" i="27"/>
  <c r="CP36" i="27"/>
  <c r="CO36" i="27"/>
  <c r="CM36" i="27"/>
  <c r="CL36" i="27"/>
  <c r="CJ36" i="27"/>
  <c r="CI36" i="27"/>
  <c r="CG36" i="27"/>
  <c r="CF36" i="27"/>
  <c r="CD36" i="27"/>
  <c r="CC36" i="27"/>
  <c r="CA36" i="27"/>
  <c r="BZ36" i="27"/>
  <c r="BX36" i="27"/>
  <c r="BW36" i="27"/>
  <c r="BU36" i="27"/>
  <c r="BT36" i="27"/>
  <c r="BR36" i="27"/>
  <c r="BQ36" i="27"/>
  <c r="BO36" i="27"/>
  <c r="BN36" i="27"/>
  <c r="BL36" i="27"/>
  <c r="BK36" i="27"/>
  <c r="BI36" i="27"/>
  <c r="BH36" i="27"/>
  <c r="FW35" i="27"/>
  <c r="FT35" i="27"/>
  <c r="FQ35" i="27"/>
  <c r="FN35" i="27"/>
  <c r="FK35" i="27"/>
  <c r="FH35" i="27"/>
  <c r="FE35" i="27"/>
  <c r="FB35" i="27"/>
  <c r="EY35" i="27"/>
  <c r="EV35" i="27"/>
  <c r="ES35" i="27"/>
  <c r="EP35" i="27"/>
  <c r="EM35" i="27"/>
  <c r="EJ35" i="27"/>
  <c r="EG35" i="27"/>
  <c r="ED35" i="27"/>
  <c r="EA35" i="27"/>
  <c r="DX35" i="27"/>
  <c r="DU35" i="27"/>
  <c r="DR35" i="27"/>
  <c r="DO35" i="27"/>
  <c r="DL35" i="27"/>
  <c r="DI35" i="27"/>
  <c r="DF35" i="27"/>
  <c r="DC35" i="27"/>
  <c r="CZ35" i="27"/>
  <c r="CW35" i="27"/>
  <c r="CT35" i="27"/>
  <c r="CQ35" i="27"/>
  <c r="CN35" i="27"/>
  <c r="CK35" i="27"/>
  <c r="CH35" i="27"/>
  <c r="CE35" i="27"/>
  <c r="CB35" i="27"/>
  <c r="BY35" i="27"/>
  <c r="BV35" i="27"/>
  <c r="BS35" i="27"/>
  <c r="BP35" i="27"/>
  <c r="BM35" i="27"/>
  <c r="BJ35" i="27"/>
  <c r="FW34" i="27"/>
  <c r="FT34" i="27"/>
  <c r="FQ34" i="27"/>
  <c r="FN34" i="27"/>
  <c r="FK34" i="27"/>
  <c r="FH34" i="27"/>
  <c r="FE34" i="27"/>
  <c r="FB34" i="27"/>
  <c r="EY34" i="27"/>
  <c r="EV34" i="27"/>
  <c r="ES34" i="27"/>
  <c r="EP34" i="27"/>
  <c r="EM34" i="27"/>
  <c r="EJ34" i="27"/>
  <c r="EG34" i="27"/>
  <c r="ED34" i="27"/>
  <c r="EA34" i="27"/>
  <c r="DX34" i="27"/>
  <c r="DU34" i="27"/>
  <c r="DR34" i="27"/>
  <c r="DO34" i="27"/>
  <c r="DL34" i="27"/>
  <c r="DI34" i="27"/>
  <c r="DF34" i="27"/>
  <c r="DC34" i="27"/>
  <c r="CZ34" i="27"/>
  <c r="CW34" i="27"/>
  <c r="CT34" i="27"/>
  <c r="CQ34" i="27"/>
  <c r="CN34" i="27"/>
  <c r="CK34" i="27"/>
  <c r="CH34" i="27"/>
  <c r="CE34" i="27"/>
  <c r="CB34" i="27"/>
  <c r="BY34" i="27"/>
  <c r="BV34" i="27"/>
  <c r="BS34" i="27"/>
  <c r="BP34" i="27"/>
  <c r="BM34" i="27"/>
  <c r="BJ34" i="27"/>
  <c r="F30" i="27" a="1"/>
  <c r="F30" i="27" s="1"/>
  <c r="F31" i="27" s="1" a="1"/>
  <c r="F31" i="27" s="1"/>
  <c r="F32" i="27" s="1" a="1"/>
  <c r="F32" i="27" s="1"/>
  <c r="F33" i="27" s="1" a="1"/>
  <c r="F33" i="27" s="1"/>
  <c r="F34" i="27" s="1" a="1"/>
  <c r="F34" i="27" s="1"/>
  <c r="F35" i="27" s="1" a="1"/>
  <c r="F35" i="27" s="1"/>
  <c r="F36" i="27" s="1" a="1"/>
  <c r="F36" i="27" s="1"/>
  <c r="F37" i="27" s="1" a="1"/>
  <c r="F37" i="27" s="1"/>
  <c r="F38" i="27" s="1" a="1"/>
  <c r="F38" i="27" s="1"/>
  <c r="F39" i="27" s="1" a="1"/>
  <c r="F39" i="27" s="1"/>
  <c r="F40" i="27" s="1" a="1"/>
  <c r="F40" i="27" s="1"/>
  <c r="F41" i="27" s="1" a="1"/>
  <c r="F41" i="27" s="1"/>
  <c r="F42" i="27" s="1" a="1"/>
  <c r="F42" i="27" s="1"/>
  <c r="T29" i="27"/>
  <c r="T30" i="27" s="1" a="1"/>
  <c r="T30" i="27" s="1"/>
  <c r="T31" i="27" s="1" a="1"/>
  <c r="T31" i="27" s="1"/>
  <c r="T32" i="27" s="1" a="1"/>
  <c r="T32" i="27" s="1"/>
  <c r="T33" i="27" s="1" a="1"/>
  <c r="T33" i="27" s="1"/>
  <c r="T34" i="27" s="1" a="1"/>
  <c r="T34" i="27" s="1"/>
  <c r="T35" i="27" s="1" a="1"/>
  <c r="T35" i="27" s="1"/>
  <c r="T36" i="27" s="1" a="1"/>
  <c r="T36" i="27" s="1"/>
  <c r="T37" i="27" s="1" a="1"/>
  <c r="T37" i="27" s="1"/>
  <c r="T38" i="27" s="1" a="1"/>
  <c r="T38" i="27" s="1"/>
  <c r="T39" i="27" s="1" a="1"/>
  <c r="T39" i="27" s="1"/>
  <c r="T40" i="27" s="1" a="1"/>
  <c r="T40" i="27" s="1"/>
  <c r="T41" i="27" s="1" a="1"/>
  <c r="T41" i="27" s="1"/>
  <c r="Q29" i="27" a="1"/>
  <c r="Q29" i="27" s="1"/>
  <c r="F29" i="27" a="1"/>
  <c r="F29" i="27" s="1"/>
  <c r="FW10" i="27" a="1"/>
  <c r="FW10" i="27"/>
  <c r="FV10" i="27" a="1"/>
  <c r="FV10" i="27" s="1"/>
  <c r="FU10" i="27" a="1"/>
  <c r="FU10" i="27"/>
  <c r="FT10" i="27" a="1"/>
  <c r="FT10" i="27" s="1"/>
  <c r="FS10" i="27" a="1"/>
  <c r="FS10" i="27"/>
  <c r="FR10" i="27" a="1"/>
  <c r="FR10" i="27" s="1"/>
  <c r="FQ10" i="27" a="1"/>
  <c r="FQ10" i="27"/>
  <c r="FP10" i="27" a="1"/>
  <c r="FP10" i="27" s="1"/>
  <c r="FO10" i="27" a="1"/>
  <c r="FO10" i="27"/>
  <c r="FN10" i="27" a="1"/>
  <c r="FN10" i="27" s="1"/>
  <c r="FM10" i="27" a="1"/>
  <c r="FM10" i="27"/>
  <c r="FL10" i="27" a="1"/>
  <c r="FL10" i="27" s="1"/>
  <c r="FK10" i="27" a="1"/>
  <c r="FK10" i="27"/>
  <c r="FJ10" i="27" a="1"/>
  <c r="FJ10" i="27" s="1"/>
  <c r="FI10" i="27" a="1"/>
  <c r="FI10" i="27"/>
  <c r="FH10" i="27" a="1"/>
  <c r="FH10" i="27" s="1"/>
  <c r="FG10" i="27" a="1"/>
  <c r="FG10" i="27"/>
  <c r="FF10" i="27" a="1"/>
  <c r="FF10" i="27" s="1"/>
  <c r="FE10" i="27" a="1"/>
  <c r="FE10" i="27"/>
  <c r="FD10" i="27" a="1"/>
  <c r="FD10" i="27" s="1"/>
  <c r="FC10" i="27" a="1"/>
  <c r="FC10" i="27"/>
  <c r="FB10" i="27" a="1"/>
  <c r="FB10" i="27" s="1"/>
  <c r="FA10" i="27" a="1"/>
  <c r="FA10" i="27"/>
  <c r="EZ10" i="27" a="1"/>
  <c r="EZ10" i="27" s="1"/>
  <c r="EY10" i="27" a="1"/>
  <c r="EY10" i="27"/>
  <c r="EX10" i="27" a="1"/>
  <c r="EX10" i="27" s="1"/>
  <c r="EW10" i="27" a="1"/>
  <c r="EW10" i="27"/>
  <c r="EV10" i="27" a="1"/>
  <c r="EV10" i="27" s="1"/>
  <c r="EU10" i="27" a="1"/>
  <c r="EU10" i="27"/>
  <c r="ET10" i="27" a="1"/>
  <c r="ET10" i="27" s="1"/>
  <c r="ES10" i="27" a="1"/>
  <c r="ES10" i="27"/>
  <c r="ER10" i="27" a="1"/>
  <c r="ER10" i="27" s="1"/>
  <c r="EQ10" i="27" a="1"/>
  <c r="EQ10" i="27"/>
  <c r="EP10" i="27" a="1"/>
  <c r="EP10" i="27" s="1"/>
  <c r="EO10" i="27" a="1"/>
  <c r="EO10" i="27"/>
  <c r="EN10" i="27" a="1"/>
  <c r="EN10" i="27" s="1"/>
  <c r="EM10" i="27" a="1"/>
  <c r="EM10" i="27"/>
  <c r="EL10" i="27" a="1"/>
  <c r="EL10" i="27" s="1"/>
  <c r="EK10" i="27" a="1"/>
  <c r="EK10" i="27"/>
  <c r="EJ10" i="27" a="1"/>
  <c r="EJ10" i="27" s="1"/>
  <c r="EI10" i="27" a="1"/>
  <c r="EI10" i="27"/>
  <c r="EH10" i="27" a="1"/>
  <c r="EH10" i="27" s="1"/>
  <c r="EG10" i="27" a="1"/>
  <c r="EG10" i="27"/>
  <c r="EF10" i="27" a="1"/>
  <c r="EF10" i="27" s="1"/>
  <c r="EE10" i="27" a="1"/>
  <c r="EE10" i="27"/>
  <c r="ED10" i="27" a="1"/>
  <c r="ED10" i="27" s="1"/>
  <c r="EC10" i="27" a="1"/>
  <c r="EC10" i="27"/>
  <c r="EB10" i="27" a="1"/>
  <c r="EB10" i="27" s="1"/>
  <c r="EA10" i="27" a="1"/>
  <c r="EA10" i="27"/>
  <c r="DZ10" i="27" a="1"/>
  <c r="DZ10" i="27" s="1"/>
  <c r="DY10" i="27" a="1"/>
  <c r="DY10" i="27"/>
  <c r="DX10" i="27" a="1"/>
  <c r="DX10" i="27" s="1"/>
  <c r="DW10" i="27" a="1"/>
  <c r="DW10" i="27"/>
  <c r="DV10" i="27" a="1"/>
  <c r="DV10" i="27" s="1"/>
  <c r="DU10" i="27" a="1"/>
  <c r="DU10" i="27"/>
  <c r="DT10" i="27" a="1"/>
  <c r="DT10" i="27" s="1"/>
  <c r="DS10" i="27" a="1"/>
  <c r="DS10" i="27"/>
  <c r="DR10" i="27" a="1"/>
  <c r="DR10" i="27" s="1"/>
  <c r="DQ10" i="27" a="1"/>
  <c r="DQ10" i="27"/>
  <c r="DP10" i="27" a="1"/>
  <c r="DP10" i="27" s="1"/>
  <c r="DO10" i="27" a="1"/>
  <c r="DO10" i="27"/>
  <c r="DN10" i="27" a="1"/>
  <c r="DN10" i="27" s="1"/>
  <c r="DM10" i="27" a="1"/>
  <c r="DM10" i="27"/>
  <c r="DL10" i="27" a="1"/>
  <c r="DL10" i="27" s="1"/>
  <c r="DK10" i="27" a="1"/>
  <c r="DK10" i="27"/>
  <c r="DJ10" i="27" a="1"/>
  <c r="DJ10" i="27" s="1"/>
  <c r="DI10" i="27" a="1"/>
  <c r="DI10" i="27"/>
  <c r="DH10" i="27" a="1"/>
  <c r="DH10" i="27" s="1"/>
  <c r="DG10" i="27" a="1"/>
  <c r="DG10" i="27"/>
  <c r="DF10" i="27" a="1"/>
  <c r="DF10" i="27" s="1"/>
  <c r="DE10" i="27" a="1"/>
  <c r="DE10" i="27"/>
  <c r="DD10" i="27" a="1"/>
  <c r="DD10" i="27" s="1"/>
  <c r="DC10" i="27" a="1"/>
  <c r="DC10" i="27"/>
  <c r="DB10" i="27" a="1"/>
  <c r="DB10" i="27" s="1"/>
  <c r="DA10" i="27" a="1"/>
  <c r="DA10" i="27"/>
  <c r="CZ10" i="27" a="1"/>
  <c r="CZ10" i="27" s="1"/>
  <c r="CY10" i="27" a="1"/>
  <c r="CY10" i="27"/>
  <c r="CX10" i="27" a="1"/>
  <c r="CX10" i="27" s="1"/>
  <c r="CW10" i="27" a="1"/>
  <c r="CW10" i="27"/>
  <c r="CV10" i="27" a="1"/>
  <c r="CV10" i="27" s="1"/>
  <c r="CU10" i="27" a="1"/>
  <c r="CU10" i="27"/>
  <c r="CT10" i="27" a="1"/>
  <c r="CT10" i="27" s="1"/>
  <c r="CS10" i="27" a="1"/>
  <c r="CS10" i="27"/>
  <c r="CR10" i="27" a="1"/>
  <c r="CR10" i="27" s="1"/>
  <c r="CQ10" i="27" a="1"/>
  <c r="CQ10" i="27"/>
  <c r="CP10" i="27" a="1"/>
  <c r="CP10" i="27" s="1"/>
  <c r="CO10" i="27" a="1"/>
  <c r="CO10" i="27"/>
  <c r="CN10" i="27" a="1"/>
  <c r="CN10" i="27" s="1"/>
  <c r="CM10" i="27" a="1"/>
  <c r="CM10" i="27"/>
  <c r="CL10" i="27" a="1"/>
  <c r="CL10" i="27" s="1"/>
  <c r="CK10" i="27" a="1"/>
  <c r="CK10" i="27"/>
  <c r="CJ10" i="27" a="1"/>
  <c r="CJ10" i="27" s="1"/>
  <c r="CI10" i="27" a="1"/>
  <c r="CI10" i="27"/>
  <c r="CH10" i="27" a="1"/>
  <c r="CH10" i="27" s="1"/>
  <c r="CG10" i="27" a="1"/>
  <c r="CG10" i="27"/>
  <c r="CF10" i="27" a="1"/>
  <c r="CF10" i="27" s="1"/>
  <c r="CE10" i="27" a="1"/>
  <c r="CE10" i="27"/>
  <c r="CD10" i="27" a="1"/>
  <c r="CD10" i="27" s="1"/>
  <c r="CC10" i="27" a="1"/>
  <c r="CC10" i="27"/>
  <c r="CB10" i="27" a="1"/>
  <c r="CB10" i="27" s="1"/>
  <c r="CA10" i="27" a="1"/>
  <c r="CA10" i="27"/>
  <c r="BZ10" i="27" a="1"/>
  <c r="BZ10" i="27" s="1"/>
  <c r="BY10" i="27" a="1"/>
  <c r="BY10" i="27"/>
  <c r="BX10" i="27" a="1"/>
  <c r="BX10" i="27" s="1"/>
  <c r="BW10" i="27" a="1"/>
  <c r="BW10" i="27"/>
  <c r="BV10" i="27" a="1"/>
  <c r="BV10" i="27" s="1"/>
  <c r="BU10" i="27" a="1"/>
  <c r="BU10" i="27"/>
  <c r="BT10" i="27" a="1"/>
  <c r="BT10" i="27" s="1"/>
  <c r="BS10" i="27" a="1"/>
  <c r="BS10" i="27"/>
  <c r="BR10" i="27" a="1"/>
  <c r="BR10" i="27" s="1"/>
  <c r="BQ10" i="27" a="1"/>
  <c r="BQ10" i="27"/>
  <c r="BP10" i="27" a="1"/>
  <c r="BP10" i="27" s="1"/>
  <c r="BO10" i="27" a="1"/>
  <c r="BO10" i="27"/>
  <c r="BN10" i="27" a="1"/>
  <c r="BN10" i="27" s="1"/>
  <c r="BM10" i="27" a="1"/>
  <c r="BM10" i="27"/>
  <c r="BL10" i="27" a="1"/>
  <c r="BL10" i="27" s="1"/>
  <c r="BK10" i="27" a="1"/>
  <c r="BK10" i="27"/>
  <c r="BJ10" i="27" a="1"/>
  <c r="BJ10" i="27" s="1"/>
  <c r="BI10" i="27" a="1"/>
  <c r="BI10" i="27"/>
  <c r="BH10" i="27" a="1"/>
  <c r="BH10" i="27" s="1"/>
  <c r="BG10" i="27" a="1"/>
  <c r="BG10" i="27"/>
  <c r="BF10" i="27" a="1"/>
  <c r="BF10" i="27" s="1"/>
  <c r="BE10" i="27" a="1"/>
  <c r="BE10" i="27"/>
  <c r="BD10" i="27" a="1"/>
  <c r="BD10" i="27" s="1"/>
  <c r="BC10" i="27" a="1"/>
  <c r="BC10" i="27"/>
  <c r="BB10" i="27" a="1"/>
  <c r="BB10" i="27" s="1"/>
  <c r="BA10" i="27" a="1"/>
  <c r="BA10" i="27"/>
  <c r="AZ10" i="27" a="1"/>
  <c r="AZ10" i="27" s="1"/>
  <c r="AY10" i="27" a="1"/>
  <c r="AY10" i="27"/>
  <c r="AX10" i="27" a="1"/>
  <c r="AX10" i="27" s="1"/>
  <c r="AW10" i="27" a="1"/>
  <c r="AW10" i="27"/>
  <c r="AV10" i="27" a="1"/>
  <c r="AV10" i="27" s="1"/>
  <c r="AU10" i="27" a="1"/>
  <c r="AU10" i="27"/>
  <c r="AT10" i="27" a="1"/>
  <c r="AT10" i="27" s="1"/>
  <c r="AS10" i="27" a="1"/>
  <c r="AS10" i="27"/>
  <c r="AR10" i="27" a="1"/>
  <c r="AR10" i="27" s="1"/>
  <c r="AQ10" i="27" a="1"/>
  <c r="AQ10" i="27"/>
  <c r="AP10" i="27" a="1"/>
  <c r="AP10" i="27" s="1"/>
  <c r="AO10" i="27" a="1"/>
  <c r="AO10" i="27"/>
  <c r="AN10" i="27" a="1"/>
  <c r="AN10" i="27" s="1"/>
  <c r="AM10" i="27" a="1"/>
  <c r="AM10" i="27"/>
  <c r="AL10" i="27" a="1"/>
  <c r="AL10" i="27" s="1"/>
  <c r="AK10" i="27" a="1"/>
  <c r="AK10" i="27"/>
  <c r="AJ10" i="27" a="1"/>
  <c r="AJ10" i="27" s="1"/>
  <c r="AI10" i="27" a="1"/>
  <c r="AI10" i="27"/>
  <c r="AH10" i="27" a="1"/>
  <c r="AH10" i="27" s="1"/>
  <c r="AG10" i="27" a="1"/>
  <c r="AG10" i="27"/>
  <c r="AF10" i="27" a="1"/>
  <c r="AF10" i="27" s="1"/>
  <c r="AE10" i="27" a="1"/>
  <c r="AE10" i="27"/>
  <c r="AD10" i="27" a="1"/>
  <c r="AD10" i="27" s="1"/>
  <c r="FV9" i="27" a="1"/>
  <c r="FV9" i="27" s="1"/>
  <c r="FR9" i="27" a="1"/>
  <c r="FR9" i="27" s="1"/>
  <c r="FN9" i="27" a="1"/>
  <c r="FN9" i="27" s="1"/>
  <c r="FJ9" i="27" a="1"/>
  <c r="FJ9" i="27" s="1"/>
  <c r="FF9" i="27" a="1"/>
  <c r="FF9" i="27" s="1"/>
  <c r="FB9" i="27" a="1"/>
  <c r="FB9" i="27" s="1"/>
  <c r="EX9" i="27" a="1"/>
  <c r="EX9" i="27" s="1"/>
  <c r="ET9" i="27" a="1"/>
  <c r="ET9" i="27" s="1"/>
  <c r="EP9" i="27" a="1"/>
  <c r="EP9" i="27" s="1"/>
  <c r="EL9" i="27" a="1"/>
  <c r="EL9" i="27" s="1"/>
  <c r="EH9" i="27" a="1"/>
  <c r="EH9" i="27" s="1"/>
  <c r="ED9" i="27" a="1"/>
  <c r="ED9" i="27" s="1"/>
  <c r="DZ9" i="27" a="1"/>
  <c r="DZ9" i="27" s="1"/>
  <c r="DV9" i="27" a="1"/>
  <c r="DV9" i="27" s="1"/>
  <c r="DR9" i="27" a="1"/>
  <c r="DR9" i="27" s="1"/>
  <c r="DN9" i="27" a="1"/>
  <c r="DN9" i="27" s="1"/>
  <c r="DJ9" i="27" a="1"/>
  <c r="DJ9" i="27" s="1"/>
  <c r="DF9" i="27" a="1"/>
  <c r="DF9" i="27" s="1"/>
  <c r="DB9" i="27" a="1"/>
  <c r="DB9" i="27" s="1"/>
  <c r="CX9" i="27" a="1"/>
  <c r="CX9" i="27" s="1"/>
  <c r="CT9" i="27" a="1"/>
  <c r="CT9" i="27" s="1"/>
  <c r="CP9" i="27" a="1"/>
  <c r="CP9" i="27" s="1"/>
  <c r="CL9" i="27" a="1"/>
  <c r="CL9" i="27" s="1"/>
  <c r="CH9" i="27" a="1"/>
  <c r="CH9" i="27" s="1"/>
  <c r="CD9" i="27" a="1"/>
  <c r="CD9" i="27" s="1"/>
  <c r="BZ9" i="27" a="1"/>
  <c r="BZ9" i="27" s="1"/>
  <c r="BV9" i="27" a="1"/>
  <c r="BV9" i="27" s="1"/>
  <c r="BR9" i="27" a="1"/>
  <c r="BR9" i="27" s="1"/>
  <c r="BN9" i="27" a="1"/>
  <c r="BN9" i="27" s="1"/>
  <c r="BJ9" i="27" a="1"/>
  <c r="BJ9" i="27" s="1"/>
  <c r="BF9" i="27" a="1"/>
  <c r="BF9" i="27" s="1"/>
  <c r="BB9" i="27" a="1"/>
  <c r="BB9" i="27" s="1"/>
  <c r="AX9" i="27" a="1"/>
  <c r="AX9" i="27" s="1"/>
  <c r="AT9" i="27" a="1"/>
  <c r="AT9" i="27" s="1"/>
  <c r="AP9" i="27" a="1"/>
  <c r="AP9" i="27" s="1"/>
  <c r="AL9" i="27" a="1"/>
  <c r="AL9" i="27" s="1"/>
  <c r="AH9" i="27" a="1"/>
  <c r="AH9" i="27" s="1"/>
  <c r="AE9" i="27"/>
  <c r="FN8" i="27"/>
  <c r="FJ8" i="27"/>
  <c r="EX8" i="27"/>
  <c r="ET8" i="27"/>
  <c r="EH8" i="27"/>
  <c r="ED8" i="27"/>
  <c r="DR8" i="27"/>
  <c r="DN8" i="27"/>
  <c r="DB8" i="27"/>
  <c r="CX8" i="27"/>
  <c r="CL8" i="27"/>
  <c r="CH8" i="27"/>
  <c r="BV8" i="27"/>
  <c r="BR8" i="27"/>
  <c r="BF8" i="27"/>
  <c r="BB8" i="27"/>
  <c r="AP8" i="27"/>
  <c r="AL8" i="27"/>
  <c r="FW7" i="27" a="1"/>
  <c r="FW7" i="27" s="1"/>
  <c r="FV7" i="27" a="1"/>
  <c r="FV7" i="27"/>
  <c r="FV8" i="27" s="1"/>
  <c r="FU7" i="27" a="1"/>
  <c r="FU7" i="27" s="1"/>
  <c r="FT7" i="27" a="1"/>
  <c r="FT7" i="27"/>
  <c r="FS7" i="27" a="1"/>
  <c r="FS7" i="27" s="1"/>
  <c r="FR7" i="27" a="1"/>
  <c r="FR7" i="27"/>
  <c r="FR8" i="27" s="1"/>
  <c r="FQ7" i="27" a="1"/>
  <c r="FQ7" i="27" s="1"/>
  <c r="FP7" i="27" a="1"/>
  <c r="FP7" i="27"/>
  <c r="FO7" i="27" a="1"/>
  <c r="FO7" i="27" s="1"/>
  <c r="FN7" i="27" a="1"/>
  <c r="FN7" i="27"/>
  <c r="FM7" i="27" a="1"/>
  <c r="FM7" i="27" s="1"/>
  <c r="FL7" i="27" a="1"/>
  <c r="FL7" i="27"/>
  <c r="FK7" i="27" a="1"/>
  <c r="FK7" i="27" s="1"/>
  <c r="FJ7" i="27" a="1"/>
  <c r="FJ7" i="27"/>
  <c r="FI7" i="27" a="1"/>
  <c r="FI7" i="27" s="1"/>
  <c r="FH7" i="27" a="1"/>
  <c r="FH7" i="27"/>
  <c r="FG7" i="27" a="1"/>
  <c r="FG7" i="27" s="1"/>
  <c r="FF7" i="27" a="1"/>
  <c r="FF7" i="27"/>
  <c r="FF8" i="27" s="1"/>
  <c r="FE7" i="27" a="1"/>
  <c r="FE7" i="27" s="1"/>
  <c r="FD7" i="27" a="1"/>
  <c r="FD7" i="27"/>
  <c r="FC7" i="27" a="1"/>
  <c r="FC7" i="27" s="1"/>
  <c r="FB7" i="27" a="1"/>
  <c r="FB7" i="27"/>
  <c r="FB8" i="27" s="1"/>
  <c r="FA7" i="27" a="1"/>
  <c r="FA7" i="27" s="1"/>
  <c r="EZ7" i="27" a="1"/>
  <c r="EZ7" i="27"/>
  <c r="EY7" i="27" a="1"/>
  <c r="EY7" i="27" s="1"/>
  <c r="EX7" i="27" a="1"/>
  <c r="EX7" i="27"/>
  <c r="EW7" i="27" a="1"/>
  <c r="EW7" i="27" s="1"/>
  <c r="EV7" i="27" a="1"/>
  <c r="EV7" i="27"/>
  <c r="EU7" i="27" a="1"/>
  <c r="EU7" i="27" s="1"/>
  <c r="ET7" i="27" a="1"/>
  <c r="ET7" i="27"/>
  <c r="ES7" i="27" a="1"/>
  <c r="ES7" i="27" s="1"/>
  <c r="ER7" i="27" a="1"/>
  <c r="ER7" i="27"/>
  <c r="EQ7" i="27" a="1"/>
  <c r="EQ7" i="27" s="1"/>
  <c r="EP7" i="27" a="1"/>
  <c r="EP7" i="27"/>
  <c r="EP8" i="27" s="1"/>
  <c r="EO7" i="27" a="1"/>
  <c r="EO7" i="27" s="1"/>
  <c r="EN7" i="27" a="1"/>
  <c r="EN7" i="27"/>
  <c r="EM7" i="27" a="1"/>
  <c r="EM7" i="27" s="1"/>
  <c r="EL7" i="27" a="1"/>
  <c r="EL7" i="27"/>
  <c r="EL8" i="27" s="1"/>
  <c r="EK7" i="27" a="1"/>
  <c r="EK7" i="27" s="1"/>
  <c r="EJ7" i="27" a="1"/>
  <c r="EJ7" i="27"/>
  <c r="EI7" i="27" a="1"/>
  <c r="EI7" i="27" s="1"/>
  <c r="EH7" i="27" a="1"/>
  <c r="EH7" i="27"/>
  <c r="EG7" i="27" a="1"/>
  <c r="EG7" i="27" s="1"/>
  <c r="EF7" i="27" a="1"/>
  <c r="EF7" i="27"/>
  <c r="EE7" i="27" a="1"/>
  <c r="EE7" i="27" s="1"/>
  <c r="ED7" i="27" a="1"/>
  <c r="ED7" i="27"/>
  <c r="EC7" i="27" a="1"/>
  <c r="EC7" i="27" s="1"/>
  <c r="EB7" i="27" a="1"/>
  <c r="EB7" i="27"/>
  <c r="EA7" i="27" a="1"/>
  <c r="EA7" i="27" s="1"/>
  <c r="DZ7" i="27" a="1"/>
  <c r="DZ7" i="27"/>
  <c r="DZ8" i="27" s="1"/>
  <c r="DY7" i="27" a="1"/>
  <c r="DY7" i="27" s="1"/>
  <c r="DX7" i="27" a="1"/>
  <c r="DX7" i="27"/>
  <c r="DW7" i="27" a="1"/>
  <c r="DW7" i="27" s="1"/>
  <c r="DV7" i="27" a="1"/>
  <c r="DV7" i="27"/>
  <c r="DV8" i="27" s="1"/>
  <c r="DU7" i="27" a="1"/>
  <c r="DU7" i="27" s="1"/>
  <c r="DT7" i="27" a="1"/>
  <c r="DT7" i="27"/>
  <c r="DS7" i="27" a="1"/>
  <c r="DS7" i="27" s="1"/>
  <c r="DR7" i="27" a="1"/>
  <c r="DR7" i="27"/>
  <c r="DQ7" i="27" a="1"/>
  <c r="DQ7" i="27" s="1"/>
  <c r="DP7" i="27" a="1"/>
  <c r="DP7" i="27"/>
  <c r="DO7" i="27" a="1"/>
  <c r="DO7" i="27" s="1"/>
  <c r="DN7" i="27" a="1"/>
  <c r="DN7" i="27"/>
  <c r="DM7" i="27" a="1"/>
  <c r="DM7" i="27" s="1"/>
  <c r="DL7" i="27" a="1"/>
  <c r="DL7" i="27"/>
  <c r="DK7" i="27" a="1"/>
  <c r="DK7" i="27" s="1"/>
  <c r="DJ7" i="27" a="1"/>
  <c r="DJ7" i="27"/>
  <c r="DJ8" i="27" s="1"/>
  <c r="DI7" i="27" a="1"/>
  <c r="DI7" i="27" s="1"/>
  <c r="DH7" i="27" a="1"/>
  <c r="DH7" i="27"/>
  <c r="DG7" i="27" a="1"/>
  <c r="DG7" i="27" s="1"/>
  <c r="DF7" i="27" a="1"/>
  <c r="DF7" i="27"/>
  <c r="DF8" i="27" s="1"/>
  <c r="DE7" i="27" a="1"/>
  <c r="DE7" i="27" s="1"/>
  <c r="DD7" i="27" a="1"/>
  <c r="DD7" i="27"/>
  <c r="DC7" i="27" a="1"/>
  <c r="DC7" i="27" s="1"/>
  <c r="DB7" i="27" a="1"/>
  <c r="DB7" i="27"/>
  <c r="DA7" i="27" a="1"/>
  <c r="DA7" i="27" s="1"/>
  <c r="CZ7" i="27" a="1"/>
  <c r="CZ7" i="27"/>
  <c r="CY7" i="27" a="1"/>
  <c r="CY7" i="27" s="1"/>
  <c r="CX7" i="27" a="1"/>
  <c r="CX7" i="27"/>
  <c r="CW7" i="27" a="1"/>
  <c r="CW7" i="27" s="1"/>
  <c r="CV7" i="27" a="1"/>
  <c r="CV7" i="27"/>
  <c r="CU7" i="27" a="1"/>
  <c r="CU7" i="27" s="1"/>
  <c r="CT7" i="27" a="1"/>
  <c r="CT7" i="27"/>
  <c r="CT8" i="27" s="1"/>
  <c r="CS7" i="27" a="1"/>
  <c r="CS7" i="27" s="1"/>
  <c r="CR7" i="27" a="1"/>
  <c r="CR7" i="27"/>
  <c r="CQ7" i="27" a="1"/>
  <c r="CQ7" i="27" s="1"/>
  <c r="CP7" i="27" a="1"/>
  <c r="CP7" i="27"/>
  <c r="CP8" i="27" s="1"/>
  <c r="CO7" i="27" a="1"/>
  <c r="CO7" i="27" s="1"/>
  <c r="CN7" i="27" a="1"/>
  <c r="CN7" i="27"/>
  <c r="CM7" i="27" a="1"/>
  <c r="CM7" i="27" s="1"/>
  <c r="CL7" i="27" a="1"/>
  <c r="CL7" i="27"/>
  <c r="CK7" i="27" a="1"/>
  <c r="CK7" i="27" s="1"/>
  <c r="CJ7" i="27" a="1"/>
  <c r="CJ7" i="27"/>
  <c r="CI7" i="27" a="1"/>
  <c r="CI7" i="27" s="1"/>
  <c r="CH7" i="27" a="1"/>
  <c r="CH7" i="27"/>
  <c r="CG7" i="27" a="1"/>
  <c r="CG7" i="27" s="1"/>
  <c r="CF7" i="27" a="1"/>
  <c r="CF7" i="27"/>
  <c r="CE7" i="27" a="1"/>
  <c r="CE7" i="27" s="1"/>
  <c r="CD7" i="27" a="1"/>
  <c r="CD7" i="27"/>
  <c r="CD8" i="27" s="1"/>
  <c r="CC7" i="27" a="1"/>
  <c r="CC7" i="27" s="1"/>
  <c r="CB7" i="27" a="1"/>
  <c r="CB7" i="27"/>
  <c r="CA7" i="27" a="1"/>
  <c r="CA7" i="27" s="1"/>
  <c r="BZ7" i="27" a="1"/>
  <c r="BZ7" i="27"/>
  <c r="BZ8" i="27" s="1"/>
  <c r="BY7" i="27" a="1"/>
  <c r="BY7" i="27" s="1"/>
  <c r="BX7" i="27" a="1"/>
  <c r="BX7" i="27"/>
  <c r="BW7" i="27" a="1"/>
  <c r="BW7" i="27" s="1"/>
  <c r="BV7" i="27" a="1"/>
  <c r="BV7" i="27"/>
  <c r="BU7" i="27" a="1"/>
  <c r="BU7" i="27" s="1"/>
  <c r="BT7" i="27" a="1"/>
  <c r="BT7" i="27"/>
  <c r="BS7" i="27" a="1"/>
  <c r="BS7" i="27" s="1"/>
  <c r="BR7" i="27" a="1"/>
  <c r="BR7" i="27"/>
  <c r="BQ7" i="27" a="1"/>
  <c r="BQ7" i="27" s="1"/>
  <c r="BP7" i="27" a="1"/>
  <c r="BP7" i="27"/>
  <c r="BO7" i="27" a="1"/>
  <c r="BO7" i="27" s="1"/>
  <c r="BN7" i="27" a="1"/>
  <c r="BN7" i="27"/>
  <c r="BN8" i="27" s="1"/>
  <c r="BM7" i="27" a="1"/>
  <c r="BM7" i="27" s="1"/>
  <c r="BL7" i="27" a="1"/>
  <c r="BL7" i="27"/>
  <c r="BK7" i="27" a="1"/>
  <c r="BK7" i="27" s="1"/>
  <c r="BJ7" i="27" a="1"/>
  <c r="BJ7" i="27"/>
  <c r="BJ8" i="27" s="1"/>
  <c r="BI7" i="27" a="1"/>
  <c r="BI7" i="27" s="1"/>
  <c r="BH7" i="27" a="1"/>
  <c r="BH7" i="27"/>
  <c r="BG7" i="27" a="1"/>
  <c r="BG7" i="27" s="1"/>
  <c r="BF7" i="27" a="1"/>
  <c r="BF7" i="27"/>
  <c r="BE7" i="27" a="1"/>
  <c r="BE7" i="27" s="1"/>
  <c r="BD7" i="27" a="1"/>
  <c r="BD7" i="27"/>
  <c r="BC7" i="27" a="1"/>
  <c r="BC7" i="27" s="1"/>
  <c r="BB7" i="27" a="1"/>
  <c r="BB7" i="27"/>
  <c r="BA7" i="27" a="1"/>
  <c r="BA7" i="27" s="1"/>
  <c r="AZ7" i="27" a="1"/>
  <c r="AZ7" i="27"/>
  <c r="AY7" i="27" a="1"/>
  <c r="AY7" i="27" s="1"/>
  <c r="AX7" i="27" a="1"/>
  <c r="AX7" i="27"/>
  <c r="AX8" i="27" s="1"/>
  <c r="AW7" i="27" a="1"/>
  <c r="AW7" i="27" s="1"/>
  <c r="AV7" i="27" a="1"/>
  <c r="AV7" i="27"/>
  <c r="AU7" i="27" a="1"/>
  <c r="AU7" i="27" s="1"/>
  <c r="AT7" i="27" a="1"/>
  <c r="AT7" i="27"/>
  <c r="AT8" i="27" s="1"/>
  <c r="AS7" i="27" a="1"/>
  <c r="AS7" i="27" s="1"/>
  <c r="AR7" i="27" a="1"/>
  <c r="AR7" i="27"/>
  <c r="AQ7" i="27" a="1"/>
  <c r="AQ7" i="27" s="1"/>
  <c r="AP7" i="27" a="1"/>
  <c r="AP7" i="27"/>
  <c r="AO7" i="27" a="1"/>
  <c r="AO7" i="27" s="1"/>
  <c r="AN7" i="27" a="1"/>
  <c r="AN7" i="27"/>
  <c r="AM7" i="27" a="1"/>
  <c r="AM7" i="27" s="1"/>
  <c r="AL7" i="27" a="1"/>
  <c r="AL7" i="27"/>
  <c r="AK7" i="27" a="1"/>
  <c r="AK7" i="27" s="1"/>
  <c r="AJ7" i="27" a="1"/>
  <c r="AJ7" i="27"/>
  <c r="AI7" i="27" a="1"/>
  <c r="AI7" i="27" s="1"/>
  <c r="AH7" i="27" a="1"/>
  <c r="AH7" i="27"/>
  <c r="AH8" i="27" s="1"/>
  <c r="AG7" i="27" a="1"/>
  <c r="AG7" i="27" s="1"/>
  <c r="AF7" i="27" a="1"/>
  <c r="AF7" i="27"/>
  <c r="AE7" i="27" a="1"/>
  <c r="AE7" i="27" s="1"/>
  <c r="AD7" i="27" a="1"/>
  <c r="AD7" i="27"/>
  <c r="FW6" i="27"/>
  <c r="FV6" i="27"/>
  <c r="FU6" i="27"/>
  <c r="FU25" i="27" s="1"/>
  <c r="FT6" i="27"/>
  <c r="FS6" i="27"/>
  <c r="FR6" i="27"/>
  <c r="FR25" i="27" s="1"/>
  <c r="FQ6" i="27"/>
  <c r="FP6" i="27"/>
  <c r="FO6" i="27"/>
  <c r="FN6" i="27"/>
  <c r="FM6" i="27"/>
  <c r="FM8" i="27" s="1"/>
  <c r="FL6" i="27"/>
  <c r="FK6" i="27"/>
  <c r="FJ6" i="27"/>
  <c r="FI6" i="27"/>
  <c r="FI25" i="27" s="1"/>
  <c r="FH6" i="27"/>
  <c r="FG6" i="27"/>
  <c r="FF6" i="27"/>
  <c r="FF25" i="27" s="1"/>
  <c r="FE6" i="27"/>
  <c r="FE8" i="27" s="1"/>
  <c r="FD6" i="27"/>
  <c r="FC6" i="27"/>
  <c r="FB6" i="27"/>
  <c r="FA6" i="27"/>
  <c r="EZ6" i="27"/>
  <c r="EZ25" i="27" s="1"/>
  <c r="EY6" i="27"/>
  <c r="EX6" i="27"/>
  <c r="EW6" i="27"/>
  <c r="EW25" i="27" s="1"/>
  <c r="EV6" i="27"/>
  <c r="EU6" i="27"/>
  <c r="ET6" i="27"/>
  <c r="ET25" i="27" s="1"/>
  <c r="ES6" i="27"/>
  <c r="ER6" i="27"/>
  <c r="EQ6" i="27"/>
  <c r="EP6" i="27"/>
  <c r="EO6" i="27"/>
  <c r="EO8" i="27" s="1"/>
  <c r="EN6" i="27"/>
  <c r="EM6" i="27"/>
  <c r="EL6" i="27"/>
  <c r="EK6" i="27"/>
  <c r="EK25" i="27" s="1"/>
  <c r="EJ6" i="27"/>
  <c r="EI6" i="27"/>
  <c r="EH6" i="27"/>
  <c r="EH25" i="27" s="1"/>
  <c r="EG6" i="27"/>
  <c r="EG8" i="27" s="1"/>
  <c r="EF6" i="27"/>
  <c r="EE6" i="27"/>
  <c r="ED6" i="27"/>
  <c r="EC6" i="27"/>
  <c r="EB6" i="27"/>
  <c r="EA6" i="27"/>
  <c r="DZ6" i="27"/>
  <c r="DY6" i="27"/>
  <c r="DY25" i="27" s="1"/>
  <c r="DX6" i="27"/>
  <c r="DW6" i="27"/>
  <c r="DV6" i="27"/>
  <c r="DV25" i="27" s="1"/>
  <c r="DU6" i="27"/>
  <c r="DT6" i="27"/>
  <c r="DS6" i="27"/>
  <c r="DR6" i="27"/>
  <c r="DQ6" i="27"/>
  <c r="DQ8" i="27" s="1"/>
  <c r="DP6" i="27"/>
  <c r="DO6" i="27"/>
  <c r="DN6" i="27"/>
  <c r="DM6" i="27"/>
  <c r="DM25" i="27" s="1"/>
  <c r="DL6" i="27"/>
  <c r="DK6" i="27"/>
  <c r="DJ6" i="27"/>
  <c r="DJ25" i="27" s="1"/>
  <c r="DI6" i="27"/>
  <c r="DI8" i="27" s="1"/>
  <c r="DH6" i="27"/>
  <c r="DG6" i="27"/>
  <c r="DF6" i="27"/>
  <c r="DE6" i="27"/>
  <c r="DD6" i="27"/>
  <c r="DD25" i="27" s="1"/>
  <c r="DC6" i="27"/>
  <c r="DB6" i="27"/>
  <c r="DA6" i="27"/>
  <c r="DA25" i="27" s="1"/>
  <c r="CZ6" i="27"/>
  <c r="CY6" i="27"/>
  <c r="CX6" i="27"/>
  <c r="CX25" i="27" s="1"/>
  <c r="CW6" i="27"/>
  <c r="CV6" i="27"/>
  <c r="CU6" i="27"/>
  <c r="CT6" i="27"/>
  <c r="CS6" i="27"/>
  <c r="CS8" i="27" s="1"/>
  <c r="CR6" i="27"/>
  <c r="CQ6" i="27"/>
  <c r="CP6" i="27"/>
  <c r="CO6" i="27"/>
  <c r="CO25" i="27" s="1"/>
  <c r="CN6" i="27"/>
  <c r="CM6" i="27"/>
  <c r="CL6" i="27"/>
  <c r="CL25" i="27" s="1"/>
  <c r="CK6" i="27"/>
  <c r="CK8" i="27" s="1"/>
  <c r="CJ6" i="27"/>
  <c r="CI6" i="27"/>
  <c r="CH6" i="27"/>
  <c r="CG6" i="27"/>
  <c r="CF6" i="27"/>
  <c r="CE6" i="27"/>
  <c r="CD6" i="27"/>
  <c r="CC6" i="27"/>
  <c r="CC25" i="27" s="1"/>
  <c r="CB6" i="27"/>
  <c r="CA6" i="27"/>
  <c r="BZ6" i="27"/>
  <c r="BZ25" i="27" s="1"/>
  <c r="BY6" i="27"/>
  <c r="BX6" i="27"/>
  <c r="BW6" i="27"/>
  <c r="BV6" i="27"/>
  <c r="BU6" i="27"/>
  <c r="BU8" i="27" s="1"/>
  <c r="BT6" i="27"/>
  <c r="BS6" i="27"/>
  <c r="BR6" i="27"/>
  <c r="BQ6" i="27"/>
  <c r="BQ25" i="27" s="1"/>
  <c r="BP6" i="27"/>
  <c r="BO6" i="27"/>
  <c r="BN6" i="27"/>
  <c r="BN25" i="27" s="1"/>
  <c r="BM6" i="27"/>
  <c r="BM8" i="27" s="1"/>
  <c r="BL6" i="27"/>
  <c r="BK6" i="27"/>
  <c r="BJ6" i="27"/>
  <c r="BI6" i="27"/>
  <c r="BH6" i="27"/>
  <c r="BH25" i="27" s="1"/>
  <c r="BG6" i="27"/>
  <c r="BF6" i="27"/>
  <c r="BE6" i="27"/>
  <c r="BE25" i="27" s="1"/>
  <c r="BD6" i="27"/>
  <c r="BC6" i="27"/>
  <c r="BB6" i="27"/>
  <c r="BB25" i="27" s="1"/>
  <c r="BA6" i="27"/>
  <c r="AZ6" i="27"/>
  <c r="AY6" i="27"/>
  <c r="AX6" i="27"/>
  <c r="AW6" i="27"/>
  <c r="AW8" i="27" s="1"/>
  <c r="AV6" i="27"/>
  <c r="AU6" i="27"/>
  <c r="AT6" i="27"/>
  <c r="AS6" i="27"/>
  <c r="AS25" i="27" s="1"/>
  <c r="AR6" i="27"/>
  <c r="AQ6" i="27"/>
  <c r="AP6" i="27"/>
  <c r="AP25" i="27" s="1"/>
  <c r="AO6" i="27"/>
  <c r="AO8" i="27" s="1"/>
  <c r="AN6" i="27"/>
  <c r="AM6" i="27"/>
  <c r="AL6" i="27"/>
  <c r="AK6" i="27"/>
  <c r="AJ6" i="27"/>
  <c r="AI6" i="27"/>
  <c r="AH6" i="27"/>
  <c r="AG6" i="27"/>
  <c r="AG25" i="27" s="1"/>
  <c r="AF6" i="27" a="1"/>
  <c r="AF6" i="27" s="1"/>
  <c r="AE6" i="27" a="1"/>
  <c r="AE6" i="27"/>
  <c r="AE9" i="27" s="1" a="1"/>
  <c r="AD6" i="27" a="1"/>
  <c r="AD6" i="27" s="1"/>
  <c r="T183" i="26"/>
  <c r="L179" i="26" a="1"/>
  <c r="L179" i="26"/>
  <c r="L178" i="26" a="1"/>
  <c r="L178" i="26"/>
  <c r="L177" i="26" a="1"/>
  <c r="L177" i="26"/>
  <c r="L176" i="26" a="1"/>
  <c r="L176" i="26"/>
  <c r="L175" i="26" a="1"/>
  <c r="L175" i="26" s="1"/>
  <c r="AG174" i="26"/>
  <c r="AF174" i="26"/>
  <c r="L174" i="26" a="1"/>
  <c r="L174" i="26"/>
  <c r="L173" i="26" a="1"/>
  <c r="L173" i="26"/>
  <c r="L172" i="26" a="1"/>
  <c r="L172" i="26"/>
  <c r="B172" i="26" a="1"/>
  <c r="B172" i="26" s="1"/>
  <c r="AB179" i="26" s="1"/>
  <c r="L171" i="26" a="1"/>
  <c r="L171" i="26" s="1"/>
  <c r="L170" i="26" a="1"/>
  <c r="L170" i="26" s="1"/>
  <c r="L169" i="26" a="1"/>
  <c r="L169" i="26" s="1"/>
  <c r="AG166" i="26"/>
  <c r="AG165" i="26" s="1" a="1"/>
  <c r="AG165" i="26" s="1"/>
  <c r="AF166" i="26"/>
  <c r="AF165" i="26" a="1"/>
  <c r="AF165" i="26" s="1"/>
  <c r="AG160" i="26"/>
  <c r="AF160" i="26"/>
  <c r="B158" i="26"/>
  <c r="B159" i="26" s="1" a="1"/>
  <c r="B159" i="26" s="1"/>
  <c r="AG153" i="26"/>
  <c r="AF153" i="26"/>
  <c r="AF134" i="26"/>
  <c r="AF132" i="26"/>
  <c r="AF130" i="26" s="1"/>
  <c r="AF179" i="26" s="1"/>
  <c r="T130" i="26"/>
  <c r="T131" i="26" s="1" a="1"/>
  <c r="T131" i="26" s="1"/>
  <c r="T132" i="26" s="1" a="1"/>
  <c r="T132" i="26" s="1"/>
  <c r="T133" i="26" s="1" a="1"/>
  <c r="T133" i="26" s="1"/>
  <c r="T134" i="26" s="1" a="1"/>
  <c r="T134" i="26" s="1"/>
  <c r="T135" i="26" s="1" a="1"/>
  <c r="T135" i="26" s="1"/>
  <c r="T136" i="26" s="1" a="1"/>
  <c r="T136" i="26" s="1"/>
  <c r="T137" i="26" s="1" a="1"/>
  <c r="T137" i="26" s="1"/>
  <c r="T138" i="26" s="1" a="1"/>
  <c r="T138" i="26" s="1"/>
  <c r="T139" i="26" s="1" a="1"/>
  <c r="T139" i="26" s="1"/>
  <c r="T140" i="26" s="1" a="1"/>
  <c r="T140" i="26" s="1"/>
  <c r="T141" i="26" s="1" a="1"/>
  <c r="T141" i="26" s="1"/>
  <c r="T142" i="26" s="1" a="1"/>
  <c r="T142" i="26" s="1"/>
  <c r="T143" i="26" s="1" a="1"/>
  <c r="T143" i="26" s="1"/>
  <c r="T144" i="26" s="1" a="1"/>
  <c r="T144" i="26" s="1"/>
  <c r="T145" i="26" s="1" a="1"/>
  <c r="T145" i="26" s="1"/>
  <c r="T146" i="26" s="1" a="1"/>
  <c r="T146" i="26" s="1"/>
  <c r="T147" i="26" s="1" a="1"/>
  <c r="T147" i="26" s="1"/>
  <c r="T148" i="26" s="1" a="1"/>
  <c r="T148" i="26" s="1"/>
  <c r="T149" i="26" s="1" a="1"/>
  <c r="T149" i="26" s="1"/>
  <c r="T150" i="26" s="1" a="1"/>
  <c r="T150" i="26" s="1"/>
  <c r="T151" i="26" s="1" a="1"/>
  <c r="T151" i="26" s="1"/>
  <c r="T152" i="26" s="1" a="1"/>
  <c r="T152" i="26" s="1"/>
  <c r="T153" i="26" s="1" a="1"/>
  <c r="T153" i="26" s="1"/>
  <c r="T154" i="26" s="1" a="1"/>
  <c r="T154" i="26" s="1"/>
  <c r="T155" i="26" s="1" a="1"/>
  <c r="T155" i="26" s="1"/>
  <c r="T156" i="26" s="1" a="1"/>
  <c r="T156" i="26" s="1"/>
  <c r="T157" i="26" s="1" a="1"/>
  <c r="T157" i="26" s="1"/>
  <c r="T158" i="26" s="1" a="1"/>
  <c r="T158" i="26" s="1"/>
  <c r="T159" i="26" s="1" a="1"/>
  <c r="T159" i="26" s="1"/>
  <c r="T160" i="26" s="1" a="1"/>
  <c r="T160" i="26" s="1"/>
  <c r="T161" i="26" s="1" a="1"/>
  <c r="T161" i="26" s="1"/>
  <c r="T162" i="26" s="1" a="1"/>
  <c r="T162" i="26" s="1"/>
  <c r="T163" i="26" s="1" a="1"/>
  <c r="T163" i="26" s="1"/>
  <c r="T164" i="26" s="1" a="1"/>
  <c r="T164" i="26" s="1"/>
  <c r="T165" i="26" s="1" a="1"/>
  <c r="T165" i="26" s="1"/>
  <c r="T166" i="26" s="1" a="1"/>
  <c r="T166" i="26" s="1"/>
  <c r="T167" i="26" s="1" a="1"/>
  <c r="T167" i="26" s="1"/>
  <c r="T168" i="26" s="1" a="1"/>
  <c r="T168" i="26" s="1"/>
  <c r="T169" i="26" s="1" a="1"/>
  <c r="T169" i="26" s="1"/>
  <c r="T170" i="26" s="1" a="1"/>
  <c r="T170" i="26" s="1"/>
  <c r="T171" i="26" s="1" a="1"/>
  <c r="T171" i="26" s="1"/>
  <c r="T172" i="26" s="1" a="1"/>
  <c r="T172" i="26" s="1"/>
  <c r="T173" i="26" s="1" a="1"/>
  <c r="T173" i="26" s="1"/>
  <c r="T174" i="26" s="1" a="1"/>
  <c r="T174" i="26" s="1"/>
  <c r="T175" i="26" s="1" a="1"/>
  <c r="T175" i="26" s="1"/>
  <c r="T176" i="26" s="1" a="1"/>
  <c r="T176" i="26" s="1"/>
  <c r="T177" i="26" s="1" a="1"/>
  <c r="T177" i="26" s="1"/>
  <c r="T178" i="26" s="1" a="1"/>
  <c r="T178" i="26" s="1"/>
  <c r="T179" i="26" s="1" a="1"/>
  <c r="T179" i="26" s="1"/>
  <c r="F130" i="26" a="1"/>
  <c r="F130" i="26" s="1"/>
  <c r="F131" i="26" s="1" a="1"/>
  <c r="F131" i="26" s="1"/>
  <c r="F132" i="26" s="1" a="1"/>
  <c r="F132" i="26" s="1"/>
  <c r="F133" i="26" s="1" a="1"/>
  <c r="F133" i="26" s="1"/>
  <c r="F134" i="26" s="1" a="1"/>
  <c r="F134" i="26" s="1"/>
  <c r="F135" i="26" s="1" a="1"/>
  <c r="F135" i="26" s="1"/>
  <c r="F136" i="26" s="1" a="1"/>
  <c r="F136" i="26" s="1"/>
  <c r="F137" i="26" s="1" a="1"/>
  <c r="F137" i="26" s="1"/>
  <c r="F138" i="26" s="1" a="1"/>
  <c r="F138" i="26" s="1"/>
  <c r="T129" i="26"/>
  <c r="T130" i="26" s="1" a="1"/>
  <c r="S129" i="26" a="1"/>
  <c r="S129" i="26" s="1"/>
  <c r="B171" i="26" s="1"/>
  <c r="F129" i="26" a="1"/>
  <c r="F129" i="26"/>
  <c r="L128" i="26" a="1"/>
  <c r="L128" i="26" s="1"/>
  <c r="L127" i="26" a="1"/>
  <c r="L127" i="26" s="1"/>
  <c r="L126" i="26" a="1"/>
  <c r="L126" i="26" s="1"/>
  <c r="L125" i="26" a="1"/>
  <c r="L125" i="26" s="1"/>
  <c r="L124" i="26" a="1"/>
  <c r="L124" i="26"/>
  <c r="AG123" i="26"/>
  <c r="AF123" i="26"/>
  <c r="L123" i="26" a="1"/>
  <c r="L123" i="26" s="1"/>
  <c r="L122" i="26" a="1"/>
  <c r="L122" i="26" s="1"/>
  <c r="L121" i="26" a="1"/>
  <c r="L121" i="26" s="1"/>
  <c r="L120" i="26" a="1"/>
  <c r="L120" i="26"/>
  <c r="L119" i="26" a="1"/>
  <c r="L119" i="26"/>
  <c r="L118" i="26" a="1"/>
  <c r="L118" i="26"/>
  <c r="AG115" i="26"/>
  <c r="AF115" i="26"/>
  <c r="AF114" i="26" s="1" a="1"/>
  <c r="AF114" i="26" s="1"/>
  <c r="AG114" i="26" a="1"/>
  <c r="AG114" i="26" s="1"/>
  <c r="AF109" i="26"/>
  <c r="AG102" i="26"/>
  <c r="AF102" i="26"/>
  <c r="F79" i="26" a="1"/>
  <c r="F79" i="26" s="1"/>
  <c r="F80" i="26" s="1" a="1"/>
  <c r="F80" i="26" s="1"/>
  <c r="F81" i="26" s="1" a="1"/>
  <c r="F81" i="26" s="1"/>
  <c r="F82" i="26" s="1" a="1"/>
  <c r="F82" i="26" s="1"/>
  <c r="F83" i="26" s="1" a="1"/>
  <c r="F83" i="26" s="1"/>
  <c r="F84" i="26" s="1" a="1"/>
  <c r="F84" i="26" s="1"/>
  <c r="F85" i="26" s="1" a="1"/>
  <c r="F85" i="26" s="1"/>
  <c r="F86" i="26" s="1" a="1"/>
  <c r="F86" i="26" s="1"/>
  <c r="T78" i="26"/>
  <c r="T79" i="26" s="1" a="1"/>
  <c r="T79" i="26" s="1"/>
  <c r="T80" i="26" s="1" a="1"/>
  <c r="T80" i="26" s="1"/>
  <c r="T81" i="26" s="1" a="1"/>
  <c r="T81" i="26" s="1"/>
  <c r="T82" i="26" s="1" a="1"/>
  <c r="T82" i="26" s="1"/>
  <c r="T83" i="26" s="1" a="1"/>
  <c r="T83" i="26" s="1"/>
  <c r="T84" i="26" s="1" a="1"/>
  <c r="T84" i="26" s="1"/>
  <c r="T85" i="26" s="1" a="1"/>
  <c r="T85" i="26" s="1"/>
  <c r="T86" i="26" s="1" a="1"/>
  <c r="T86" i="26" s="1"/>
  <c r="T87" i="26" s="1" a="1"/>
  <c r="T87" i="26" s="1"/>
  <c r="T88" i="26" s="1" a="1"/>
  <c r="T88" i="26" s="1"/>
  <c r="T89" i="26" s="1" a="1"/>
  <c r="T89" i="26" s="1"/>
  <c r="T90" i="26" s="1" a="1"/>
  <c r="T90" i="26" s="1"/>
  <c r="T91" i="26" s="1" a="1"/>
  <c r="T91" i="26" s="1"/>
  <c r="T92" i="26" s="1" a="1"/>
  <c r="T92" i="26" s="1"/>
  <c r="T93" i="26" s="1" a="1"/>
  <c r="T93" i="26" s="1"/>
  <c r="T94" i="26" s="1" a="1"/>
  <c r="T94" i="26" s="1"/>
  <c r="T95" i="26" s="1" a="1"/>
  <c r="T95" i="26" s="1"/>
  <c r="T96" i="26" s="1" a="1"/>
  <c r="T96" i="26" s="1"/>
  <c r="T97" i="26" s="1" a="1"/>
  <c r="T97" i="26" s="1"/>
  <c r="T98" i="26" s="1" a="1"/>
  <c r="T98" i="26" s="1"/>
  <c r="T99" i="26" s="1" a="1"/>
  <c r="T99" i="26" s="1"/>
  <c r="T100" i="26" s="1" a="1"/>
  <c r="T100" i="26" s="1"/>
  <c r="T101" i="26" s="1" a="1"/>
  <c r="T101" i="26" s="1"/>
  <c r="T102" i="26" s="1" a="1"/>
  <c r="T102" i="26" s="1"/>
  <c r="T103" i="26" s="1" a="1"/>
  <c r="T103" i="26" s="1"/>
  <c r="T104" i="26" s="1" a="1"/>
  <c r="T104" i="26" s="1"/>
  <c r="T105" i="26" s="1" a="1"/>
  <c r="T105" i="26" s="1"/>
  <c r="T106" i="26" s="1" a="1"/>
  <c r="T106" i="26" s="1"/>
  <c r="T107" i="26" s="1" a="1"/>
  <c r="T107" i="26" s="1"/>
  <c r="T108" i="26" s="1" a="1"/>
  <c r="T108" i="26" s="1"/>
  <c r="T109" i="26" s="1" a="1"/>
  <c r="T109" i="26" s="1"/>
  <c r="T110" i="26" s="1" a="1"/>
  <c r="T110" i="26" s="1"/>
  <c r="T111" i="26" s="1" a="1"/>
  <c r="T111" i="26" s="1"/>
  <c r="T112" i="26" s="1" a="1"/>
  <c r="T112" i="26" s="1"/>
  <c r="T113" i="26" s="1" a="1"/>
  <c r="T113" i="26" s="1"/>
  <c r="T114" i="26" s="1" a="1"/>
  <c r="T114" i="26" s="1"/>
  <c r="T115" i="26" s="1" a="1"/>
  <c r="T115" i="26" s="1"/>
  <c r="T116" i="26" s="1" a="1"/>
  <c r="T116" i="26" s="1"/>
  <c r="T117" i="26" s="1" a="1"/>
  <c r="T117" i="26" s="1"/>
  <c r="T118" i="26" s="1" a="1"/>
  <c r="T118" i="26" s="1"/>
  <c r="T119" i="26" s="1" a="1"/>
  <c r="T119" i="26" s="1"/>
  <c r="T120" i="26" s="1" a="1"/>
  <c r="T120" i="26" s="1"/>
  <c r="T121" i="26" s="1" a="1"/>
  <c r="T121" i="26" s="1"/>
  <c r="T122" i="26" s="1" a="1"/>
  <c r="T122" i="26" s="1"/>
  <c r="T123" i="26" s="1" a="1"/>
  <c r="T123" i="26" s="1"/>
  <c r="T124" i="26" s="1" a="1"/>
  <c r="T124" i="26" s="1"/>
  <c r="T125" i="26" s="1" a="1"/>
  <c r="T125" i="26" s="1"/>
  <c r="T126" i="26" s="1" a="1"/>
  <c r="T126" i="26" s="1"/>
  <c r="T127" i="26" s="1" a="1"/>
  <c r="T127" i="26" s="1"/>
  <c r="T128" i="26" s="1" a="1"/>
  <c r="T128" i="26" s="1"/>
  <c r="S78" i="26" a="1"/>
  <c r="S78" i="26"/>
  <c r="B107" i="26" s="1"/>
  <c r="B108" i="26" s="1" a="1"/>
  <c r="B108" i="26" s="1"/>
  <c r="F78" i="26" a="1"/>
  <c r="F78" i="26" s="1"/>
  <c r="L77" i="26" a="1"/>
  <c r="L77" i="26" s="1"/>
  <c r="L76" i="26" a="1"/>
  <c r="L76" i="26" s="1"/>
  <c r="L75" i="26" a="1"/>
  <c r="L75" i="26" s="1"/>
  <c r="L74" i="26" a="1"/>
  <c r="L74" i="26"/>
  <c r="L73" i="26" a="1"/>
  <c r="L73" i="26"/>
  <c r="AG72" i="26"/>
  <c r="AF72" i="26"/>
  <c r="L72" i="26" a="1"/>
  <c r="L72" i="26" s="1"/>
  <c r="L71" i="26" a="1"/>
  <c r="L71" i="26" s="1"/>
  <c r="L70" i="26" a="1"/>
  <c r="L70" i="26" s="1"/>
  <c r="L69" i="26" a="1"/>
  <c r="L69" i="26"/>
  <c r="L68" i="26" a="1"/>
  <c r="L68" i="26"/>
  <c r="L67" i="26" a="1"/>
  <c r="L67" i="26" s="1"/>
  <c r="AG64" i="26"/>
  <c r="AF64" i="26"/>
  <c r="AF63" i="26" s="1" a="1"/>
  <c r="AF63" i="26" s="1"/>
  <c r="AG63" i="26" a="1"/>
  <c r="AG63" i="26" s="1"/>
  <c r="AG58" i="26"/>
  <c r="AF58" i="26"/>
  <c r="B56" i="26"/>
  <c r="B57" i="26" s="1" a="1"/>
  <c r="B57" i="26" s="1"/>
  <c r="AG51" i="26"/>
  <c r="AF51" i="26"/>
  <c r="AF44" i="26"/>
  <c r="T27" i="26"/>
  <c r="T28" i="26" s="1" a="1"/>
  <c r="T28" i="26" s="1"/>
  <c r="T29" i="26" s="1" a="1"/>
  <c r="T29" i="26" s="1"/>
  <c r="T30" i="26" s="1" a="1"/>
  <c r="T30" i="26" s="1"/>
  <c r="T31" i="26" s="1" a="1"/>
  <c r="T31" i="26" s="1"/>
  <c r="T32" i="26" s="1" a="1"/>
  <c r="T32" i="26" s="1"/>
  <c r="T33" i="26" s="1" a="1"/>
  <c r="T33" i="26" s="1"/>
  <c r="T34" i="26" s="1" a="1"/>
  <c r="T34" i="26" s="1"/>
  <c r="T35" i="26" s="1" a="1"/>
  <c r="T35" i="26" s="1"/>
  <c r="T36" i="26" s="1" a="1"/>
  <c r="T36" i="26" s="1"/>
  <c r="T37" i="26" s="1" a="1"/>
  <c r="T37" i="26" s="1"/>
  <c r="T38" i="26" s="1" a="1"/>
  <c r="T38" i="26" s="1"/>
  <c r="T39" i="26" s="1" a="1"/>
  <c r="T39" i="26" s="1"/>
  <c r="T40" i="26" s="1" a="1"/>
  <c r="T40" i="26" s="1"/>
  <c r="T41" i="26" s="1" a="1"/>
  <c r="T41" i="26" s="1"/>
  <c r="T42" i="26" s="1" a="1"/>
  <c r="T42" i="26" s="1"/>
  <c r="T43" i="26" s="1" a="1"/>
  <c r="T43" i="26" s="1"/>
  <c r="T44" i="26" s="1" a="1"/>
  <c r="T44" i="26" s="1"/>
  <c r="T45" i="26" s="1" a="1"/>
  <c r="T45" i="26" s="1"/>
  <c r="T46" i="26" s="1" a="1"/>
  <c r="T46" i="26" s="1"/>
  <c r="T47" i="26" s="1" a="1"/>
  <c r="T47" i="26" s="1"/>
  <c r="T48" i="26" s="1" a="1"/>
  <c r="T48" i="26" s="1"/>
  <c r="T49" i="26" s="1" a="1"/>
  <c r="T49" i="26" s="1"/>
  <c r="T50" i="26" s="1" a="1"/>
  <c r="T50" i="26" s="1"/>
  <c r="T51" i="26" s="1" a="1"/>
  <c r="T51" i="26" s="1"/>
  <c r="T52" i="26" s="1" a="1"/>
  <c r="T52" i="26" s="1"/>
  <c r="T53" i="26" s="1" a="1"/>
  <c r="T53" i="26" s="1"/>
  <c r="T54" i="26" s="1" a="1"/>
  <c r="T54" i="26" s="1"/>
  <c r="T55" i="26" s="1" a="1"/>
  <c r="T55" i="26" s="1"/>
  <c r="T56" i="26" s="1" a="1"/>
  <c r="T56" i="26" s="1"/>
  <c r="T57" i="26" s="1" a="1"/>
  <c r="T57" i="26" s="1"/>
  <c r="T58" i="26" s="1" a="1"/>
  <c r="T58" i="26" s="1"/>
  <c r="T59" i="26" s="1" a="1"/>
  <c r="T59" i="26" s="1"/>
  <c r="T60" i="26" s="1" a="1"/>
  <c r="T60" i="26" s="1"/>
  <c r="T61" i="26" s="1" a="1"/>
  <c r="T61" i="26" s="1"/>
  <c r="T62" i="26" s="1" a="1"/>
  <c r="T62" i="26" s="1"/>
  <c r="T63" i="26" s="1" a="1"/>
  <c r="T63" i="26" s="1"/>
  <c r="T64" i="26" s="1" a="1"/>
  <c r="T64" i="26" s="1"/>
  <c r="T65" i="26" s="1" a="1"/>
  <c r="T65" i="26" s="1"/>
  <c r="T66" i="26" s="1" a="1"/>
  <c r="T66" i="26" s="1"/>
  <c r="T67" i="26" s="1" a="1"/>
  <c r="T67" i="26" s="1"/>
  <c r="T68" i="26" s="1" a="1"/>
  <c r="T68" i="26" s="1"/>
  <c r="T69" i="26" s="1" a="1"/>
  <c r="T69" i="26" s="1"/>
  <c r="T70" i="26" s="1" a="1"/>
  <c r="T70" i="26" s="1"/>
  <c r="T71" i="26" s="1" a="1"/>
  <c r="T71" i="26" s="1"/>
  <c r="T72" i="26" s="1" a="1"/>
  <c r="T72" i="26" s="1"/>
  <c r="T73" i="26" s="1" a="1"/>
  <c r="T73" i="26" s="1"/>
  <c r="T74" i="26" s="1" a="1"/>
  <c r="T74" i="26" s="1"/>
  <c r="T75" i="26" s="1" a="1"/>
  <c r="T75" i="26" s="1"/>
  <c r="T76" i="26" s="1" a="1"/>
  <c r="T76" i="26" s="1"/>
  <c r="T77" i="26" s="1" a="1"/>
  <c r="T77" i="26" s="1"/>
  <c r="S27" i="26" a="1"/>
  <c r="S27" i="26"/>
  <c r="B69" i="26" s="1"/>
  <c r="B70" i="26" s="1" a="1"/>
  <c r="B70" i="26" s="1"/>
  <c r="F27" i="26" a="1"/>
  <c r="F27" i="26" s="1"/>
  <c r="F28" i="26" s="1" a="1"/>
  <c r="F28" i="26" s="1"/>
  <c r="F29" i="26" s="1" a="1"/>
  <c r="F29" i="26" s="1"/>
  <c r="F30" i="26" s="1" a="1"/>
  <c r="F30" i="26" s="1"/>
  <c r="F31" i="26" s="1" a="1"/>
  <c r="F31" i="26" s="1"/>
  <c r="F32" i="26" s="1" a="1"/>
  <c r="F32" i="26" s="1"/>
  <c r="F33" i="26" s="1" a="1"/>
  <c r="F33" i="26" s="1"/>
  <c r="AG24" i="26"/>
  <c r="AF24" i="26"/>
  <c r="AH11" i="26" a="1"/>
  <c r="AH11" i="26"/>
  <c r="AG10" i="26" a="1"/>
  <c r="AG10" i="26" s="1"/>
  <c r="AF10" i="26" a="1"/>
  <c r="AF10" i="26"/>
  <c r="AG7" i="26" a="1"/>
  <c r="AG7" i="26" s="1"/>
  <c r="AF7" i="26" a="1"/>
  <c r="AF7" i="26"/>
  <c r="AG6" i="26"/>
  <c r="AG9" i="26" s="1" a="1"/>
  <c r="AG9" i="26" s="1"/>
  <c r="AF6" i="26"/>
  <c r="AF9" i="26" s="1" a="1"/>
  <c r="AF9" i="26" s="1"/>
  <c r="T38" i="25"/>
  <c r="AL34" i="25"/>
  <c r="T34" i="25" a="1"/>
  <c r="T34" i="25" s="1"/>
  <c r="AL33" i="25"/>
  <c r="T33" i="25"/>
  <c r="AL32" i="25"/>
  <c r="AK32" i="25"/>
  <c r="AJ32" i="25"/>
  <c r="AI32" i="25"/>
  <c r="AH32" i="25"/>
  <c r="AG32" i="25"/>
  <c r="AF32" i="25"/>
  <c r="AE32" i="25"/>
  <c r="T32" i="25"/>
  <c r="T33" i="25" s="1" a="1"/>
  <c r="F32" i="25" a="1"/>
  <c r="F32" i="25" s="1"/>
  <c r="F33" i="25" s="1" a="1"/>
  <c r="F33" i="25" s="1"/>
  <c r="F34" i="25" s="1" a="1"/>
  <c r="F34" i="25" s="1"/>
  <c r="AL31" i="25"/>
  <c r="T31" i="25" a="1"/>
  <c r="T31" i="25" s="1"/>
  <c r="AL30" i="25"/>
  <c r="T30" i="25"/>
  <c r="AL29" i="25"/>
  <c r="AK29" i="25"/>
  <c r="AJ29" i="25"/>
  <c r="AI29" i="25"/>
  <c r="AH29" i="25"/>
  <c r="AG29" i="25"/>
  <c r="AF29" i="25"/>
  <c r="AE29" i="25"/>
  <c r="T29" i="25"/>
  <c r="T30" i="25" s="1" a="1"/>
  <c r="F29" i="25" a="1"/>
  <c r="F29" i="25" s="1"/>
  <c r="F30" i="25" s="1" a="1"/>
  <c r="F30" i="25" s="1"/>
  <c r="F31" i="25" s="1" a="1"/>
  <c r="F31" i="25" s="1"/>
  <c r="AL28" i="25"/>
  <c r="AL27" i="25"/>
  <c r="T27" i="25" a="1"/>
  <c r="T27" i="25"/>
  <c r="T28" i="25" s="1" a="1"/>
  <c r="T28" i="25" s="1"/>
  <c r="AL26" i="25"/>
  <c r="AK26" i="25"/>
  <c r="AJ26" i="25"/>
  <c r="AI26" i="25"/>
  <c r="AH26" i="25"/>
  <c r="AG26" i="25"/>
  <c r="AF26" i="25"/>
  <c r="AE26" i="25"/>
  <c r="T26" i="25"/>
  <c r="F26" i="25" a="1"/>
  <c r="F26" i="25"/>
  <c r="F27" i="25" s="1" a="1"/>
  <c r="F27" i="25" s="1"/>
  <c r="F28" i="25" s="1" a="1"/>
  <c r="F28" i="25" s="1"/>
  <c r="AL9" i="25" a="1"/>
  <c r="AL9" i="25" s="1"/>
  <c r="AK9" i="25" a="1"/>
  <c r="AK9" i="25"/>
  <c r="AJ9" i="25" a="1"/>
  <c r="AJ9" i="25" s="1"/>
  <c r="AI9" i="25" a="1"/>
  <c r="AI9" i="25"/>
  <c r="AH9" i="25" a="1"/>
  <c r="AH9" i="25" s="1"/>
  <c r="AG9" i="25" a="1"/>
  <c r="AG9" i="25"/>
  <c r="AF9" i="25" a="1"/>
  <c r="AF9" i="25" s="1"/>
  <c r="AE9" i="25" a="1"/>
  <c r="AE9" i="25"/>
  <c r="AL6" i="25" a="1"/>
  <c r="AL6" i="25" s="1"/>
  <c r="AK6" i="25" a="1"/>
  <c r="AK6" i="25"/>
  <c r="AJ6" i="25" a="1"/>
  <c r="AJ6" i="25" s="1"/>
  <c r="AI6" i="25" a="1"/>
  <c r="AI6" i="25"/>
  <c r="AH6" i="25" a="1"/>
  <c r="AH6" i="25" s="1"/>
  <c r="AG6" i="25" a="1"/>
  <c r="AG6" i="25"/>
  <c r="AF6" i="25" a="1"/>
  <c r="AF6" i="25" s="1"/>
  <c r="AE6" i="25" a="1"/>
  <c r="AE6" i="25"/>
  <c r="T54" i="24"/>
  <c r="AX44" i="24"/>
  <c r="AW44" i="24"/>
  <c r="AV44" i="24"/>
  <c r="AU44" i="24"/>
  <c r="AT44" i="24"/>
  <c r="AS44" i="24"/>
  <c r="AR44" i="24"/>
  <c r="AQ44" i="24"/>
  <c r="AP44" i="24"/>
  <c r="AO44" i="24"/>
  <c r="AN44" i="24"/>
  <c r="AM44" i="24"/>
  <c r="AL44" i="24"/>
  <c r="AK44" i="24"/>
  <c r="AJ44" i="24"/>
  <c r="AI44" i="24"/>
  <c r="AH44" i="24"/>
  <c r="AG44" i="24"/>
  <c r="AF44" i="24"/>
  <c r="AE44" i="24"/>
  <c r="T44" i="24"/>
  <c r="T45" i="24" s="1" a="1"/>
  <c r="T45" i="24" s="1"/>
  <c r="T46" i="24" s="1" a="1"/>
  <c r="T46" i="24" s="1"/>
  <c r="T47" i="24" s="1" a="1"/>
  <c r="T47" i="24" s="1"/>
  <c r="T48" i="24" s="1" a="1"/>
  <c r="T48" i="24" s="1"/>
  <c r="T49" i="24" s="1" a="1"/>
  <c r="T49" i="24" s="1"/>
  <c r="T50" i="24" s="1" a="1"/>
  <c r="T50" i="24" s="1"/>
  <c r="T43" i="24"/>
  <c r="T44" i="24" s="1" a="1"/>
  <c r="F43" i="24" a="1"/>
  <c r="F43" i="24" s="1"/>
  <c r="F44" i="24" s="1" a="1"/>
  <c r="F44" i="24" s="1"/>
  <c r="F45" i="24" s="1" a="1"/>
  <c r="F45" i="24" s="1"/>
  <c r="F46" i="24" s="1" a="1"/>
  <c r="F46" i="24" s="1"/>
  <c r="F47" i="24" s="1" a="1"/>
  <c r="F47" i="24" s="1"/>
  <c r="F48" i="24" s="1" a="1"/>
  <c r="F48" i="24" s="1"/>
  <c r="AJ42" i="24"/>
  <c r="AI42" i="24"/>
  <c r="AF42" i="24"/>
  <c r="AE42" i="24"/>
  <c r="AX36" i="24"/>
  <c r="AW36" i="24"/>
  <c r="AV36" i="24"/>
  <c r="AU36" i="24"/>
  <c r="AT36" i="24"/>
  <c r="AS36" i="24"/>
  <c r="AR36" i="24"/>
  <c r="AQ36" i="24"/>
  <c r="AP36" i="24"/>
  <c r="AO36" i="24"/>
  <c r="AN36" i="24"/>
  <c r="AM36" i="24"/>
  <c r="AL36" i="24"/>
  <c r="AK36" i="24"/>
  <c r="AK42" i="24" s="1"/>
  <c r="AJ36" i="24"/>
  <c r="AI36" i="24"/>
  <c r="AH36" i="24"/>
  <c r="AH42" i="24" s="1"/>
  <c r="AG36" i="24"/>
  <c r="AG42" i="24" s="1"/>
  <c r="AF36" i="24"/>
  <c r="AE36" i="24"/>
  <c r="T36" i="24"/>
  <c r="T37" i="24" s="1" a="1"/>
  <c r="T37" i="24" s="1"/>
  <c r="T38" i="24" s="1" a="1"/>
  <c r="T38" i="24" s="1"/>
  <c r="T39" i="24" s="1" a="1"/>
  <c r="T39" i="24" s="1"/>
  <c r="T40" i="24" s="1" a="1"/>
  <c r="T40" i="24" s="1"/>
  <c r="T41" i="24" s="1" a="1"/>
  <c r="T41" i="24" s="1"/>
  <c r="T42" i="24" s="1" a="1"/>
  <c r="T42" i="24" s="1"/>
  <c r="T35" i="24"/>
  <c r="T36" i="24" s="1" a="1"/>
  <c r="F35" i="24" a="1"/>
  <c r="F35" i="24" s="1"/>
  <c r="F36" i="24" s="1" a="1"/>
  <c r="F36" i="24" s="1"/>
  <c r="F37" i="24" s="1" a="1"/>
  <c r="F37" i="24" s="1"/>
  <c r="F38" i="24" s="1" a="1"/>
  <c r="F38" i="24" s="1"/>
  <c r="F39" i="24" s="1" a="1"/>
  <c r="F39" i="24" s="1"/>
  <c r="F40" i="24" s="1" a="1"/>
  <c r="F40" i="24" s="1"/>
  <c r="AX28" i="24"/>
  <c r="AW28" i="24"/>
  <c r="AV28" i="24"/>
  <c r="AU28" i="24"/>
  <c r="AT28" i="24"/>
  <c r="AS28" i="24"/>
  <c r="AR28" i="24"/>
  <c r="AQ28" i="24"/>
  <c r="AP28" i="24"/>
  <c r="AO28" i="24"/>
  <c r="AN28" i="24"/>
  <c r="AM28" i="24"/>
  <c r="AL28" i="24"/>
  <c r="AK28" i="24"/>
  <c r="AJ28" i="24"/>
  <c r="AI28" i="24"/>
  <c r="AH28" i="24"/>
  <c r="AG28" i="24"/>
  <c r="AF28" i="24"/>
  <c r="AE28" i="24"/>
  <c r="F28" i="24" a="1"/>
  <c r="F28" i="24" s="1"/>
  <c r="F29" i="24" s="1" a="1"/>
  <c r="F29" i="24" s="1"/>
  <c r="F30" i="24" s="1" a="1"/>
  <c r="F30" i="24" s="1"/>
  <c r="F31" i="24" s="1" a="1"/>
  <c r="F31" i="24" s="1"/>
  <c r="F32" i="24" s="1" a="1"/>
  <c r="F32" i="24" s="1"/>
  <c r="T27" i="24"/>
  <c r="T28" i="24" s="1" a="1"/>
  <c r="T28" i="24" s="1"/>
  <c r="T29" i="24" s="1" a="1"/>
  <c r="T29" i="24" s="1"/>
  <c r="T30" i="24" s="1" a="1"/>
  <c r="T30" i="24" s="1"/>
  <c r="T31" i="24" s="1" a="1"/>
  <c r="T31" i="24" s="1"/>
  <c r="T32" i="24" s="1" a="1"/>
  <c r="T32" i="24" s="1"/>
  <c r="T33" i="24" s="1" a="1"/>
  <c r="T33" i="24" s="1"/>
  <c r="T34" i="24" s="1" a="1"/>
  <c r="T34" i="24" s="1"/>
  <c r="F27" i="24" a="1"/>
  <c r="F27" i="24"/>
  <c r="AX24" i="24"/>
  <c r="AW24" i="24"/>
  <c r="AV24" i="24"/>
  <c r="AU24" i="24"/>
  <c r="AT24" i="24"/>
  <c r="AS24" i="24"/>
  <c r="AR24" i="24"/>
  <c r="AQ24" i="24"/>
  <c r="AP24" i="24"/>
  <c r="AO24" i="24"/>
  <c r="AN24" i="24"/>
  <c r="AM24" i="24"/>
  <c r="AL24" i="24"/>
  <c r="AK24" i="24"/>
  <c r="AJ24" i="24"/>
  <c r="AI24" i="24"/>
  <c r="AH24" i="24"/>
  <c r="AG24" i="24"/>
  <c r="AF24" i="24"/>
  <c r="AE24" i="24"/>
  <c r="AY11" i="24" a="1"/>
  <c r="AY11" i="24"/>
  <c r="AX10" i="24" a="1"/>
  <c r="AX10" i="24" s="1"/>
  <c r="AW10" i="24" a="1"/>
  <c r="AW10" i="24"/>
  <c r="AV10" i="24" a="1"/>
  <c r="AV10" i="24" s="1"/>
  <c r="AU10" i="24" a="1"/>
  <c r="AU10" i="24"/>
  <c r="AT10" i="24" a="1"/>
  <c r="AT10" i="24" s="1"/>
  <c r="AS10" i="24" a="1"/>
  <c r="AS10" i="24"/>
  <c r="AR10" i="24" a="1"/>
  <c r="AR10" i="24" s="1"/>
  <c r="AQ10" i="24" a="1"/>
  <c r="AQ10" i="24"/>
  <c r="AP10" i="24" a="1"/>
  <c r="AP10" i="24" s="1"/>
  <c r="AO10" i="24" a="1"/>
  <c r="AO10" i="24"/>
  <c r="AN10" i="24" a="1"/>
  <c r="AN10" i="24" s="1"/>
  <c r="AM10" i="24" a="1"/>
  <c r="AM10" i="24"/>
  <c r="AL10" i="24" a="1"/>
  <c r="AL10" i="24" s="1"/>
  <c r="AK10" i="24" a="1"/>
  <c r="AK10" i="24"/>
  <c r="AJ10" i="24" a="1"/>
  <c r="AJ10" i="24" s="1"/>
  <c r="AI10" i="24" a="1"/>
  <c r="AI10" i="24"/>
  <c r="AH10" i="24" a="1"/>
  <c r="AH10" i="24" s="1"/>
  <c r="AG10" i="24" a="1"/>
  <c r="AG10" i="24"/>
  <c r="AF10" i="24" a="1"/>
  <c r="AF10" i="24" s="1"/>
  <c r="AE10" i="24" a="1"/>
  <c r="AE10" i="24"/>
  <c r="AV9" i="24" a="1"/>
  <c r="AV9" i="24" s="1"/>
  <c r="AR9" i="24" a="1"/>
  <c r="AR9" i="24" s="1"/>
  <c r="AN9" i="24" a="1"/>
  <c r="AN9" i="24" s="1"/>
  <c r="AL9" i="24" a="1"/>
  <c r="AL9" i="24" s="1"/>
  <c r="AJ9" i="24" a="1"/>
  <c r="AJ9" i="24" s="1"/>
  <c r="AH9" i="24" a="1"/>
  <c r="AH9" i="24" s="1"/>
  <c r="AF9" i="24" a="1"/>
  <c r="AF9" i="24" s="1"/>
  <c r="AX7" i="24" a="1"/>
  <c r="AX7" i="24" s="1"/>
  <c r="AW7" i="24" a="1"/>
  <c r="AW7" i="24"/>
  <c r="AV7" i="24" a="1"/>
  <c r="AV7" i="24" s="1"/>
  <c r="AU7" i="24" a="1"/>
  <c r="AU7" i="24"/>
  <c r="AT7" i="24" a="1"/>
  <c r="AT7" i="24" s="1"/>
  <c r="AS7" i="24" a="1"/>
  <c r="AS7" i="24"/>
  <c r="AR7" i="24" a="1"/>
  <c r="AR7" i="24" s="1"/>
  <c r="AQ7" i="24" a="1"/>
  <c r="AQ7" i="24"/>
  <c r="AP7" i="24" a="1"/>
  <c r="AP7" i="24" s="1"/>
  <c r="AO7" i="24" a="1"/>
  <c r="AO7" i="24"/>
  <c r="AN7" i="24" a="1"/>
  <c r="AN7" i="24" s="1"/>
  <c r="AM7" i="24" a="1"/>
  <c r="AM7" i="24"/>
  <c r="AL7" i="24" a="1"/>
  <c r="AL7" i="24" s="1"/>
  <c r="AK7" i="24" a="1"/>
  <c r="AK7" i="24"/>
  <c r="AJ7" i="24" a="1"/>
  <c r="AJ7" i="24" s="1"/>
  <c r="AI7" i="24" a="1"/>
  <c r="AI7" i="24"/>
  <c r="AH7" i="24" a="1"/>
  <c r="AH7" i="24" s="1"/>
  <c r="AG7" i="24" a="1"/>
  <c r="AG7" i="24"/>
  <c r="AF7" i="24" a="1"/>
  <c r="AF7" i="24" s="1"/>
  <c r="AE7" i="24" a="1"/>
  <c r="AE7" i="24"/>
  <c r="AX6" i="24"/>
  <c r="AW6" i="24"/>
  <c r="AW9" i="24" s="1" a="1"/>
  <c r="AW9" i="24" s="1"/>
  <c r="AV6" i="24"/>
  <c r="AU6" i="24"/>
  <c r="AU9" i="24" s="1" a="1"/>
  <c r="AU9" i="24" s="1"/>
  <c r="AT6" i="24"/>
  <c r="AS6" i="24"/>
  <c r="AS9" i="24" s="1" a="1"/>
  <c r="AS9" i="24" s="1"/>
  <c r="AR6" i="24"/>
  <c r="AQ6" i="24"/>
  <c r="AQ9" i="24" s="1" a="1"/>
  <c r="AQ9" i="24" s="1"/>
  <c r="AP6" i="24"/>
  <c r="AO6" i="24" a="1"/>
  <c r="AO6" i="24" s="1"/>
  <c r="AN6" i="24"/>
  <c r="AM6" i="24"/>
  <c r="AL6" i="24"/>
  <c r="AK6" i="24"/>
  <c r="AK9" i="24" s="1" a="1"/>
  <c r="AK9" i="24" s="1"/>
  <c r="AJ6" i="24"/>
  <c r="AI6" i="24"/>
  <c r="AH6" i="24"/>
  <c r="AG6" i="24"/>
  <c r="AG9" i="24" s="1" a="1"/>
  <c r="AG9" i="24" s="1"/>
  <c r="AF6" i="24"/>
  <c r="AE6" i="24" a="1"/>
  <c r="AE6" i="24" s="1"/>
  <c r="T119" i="23"/>
  <c r="L114" i="23" a="1"/>
  <c r="L114" i="23" s="1"/>
  <c r="L113" i="23" a="1"/>
  <c r="L113" i="23" s="1"/>
  <c r="BD112" i="23"/>
  <c r="BC112" i="23"/>
  <c r="BB112" i="23"/>
  <c r="BA112" i="23"/>
  <c r="AZ112" i="23"/>
  <c r="AY112" i="23"/>
  <c r="AX112" i="23"/>
  <c r="AW112" i="23"/>
  <c r="AV112" i="23"/>
  <c r="AU112" i="23"/>
  <c r="AT112" i="23"/>
  <c r="AS112" i="23"/>
  <c r="AR112" i="23"/>
  <c r="AQ112" i="23"/>
  <c r="AP112" i="23"/>
  <c r="AO112" i="23"/>
  <c r="AN112" i="23"/>
  <c r="AM112" i="23"/>
  <c r="AL112" i="23"/>
  <c r="AK112" i="23"/>
  <c r="AJ112" i="23"/>
  <c r="AI112" i="23"/>
  <c r="AH112" i="23"/>
  <c r="AG112" i="23"/>
  <c r="AF112" i="23"/>
  <c r="AE112" i="23"/>
  <c r="BD107" i="23"/>
  <c r="BC107" i="23"/>
  <c r="BB107" i="23"/>
  <c r="BA107" i="23"/>
  <c r="AZ107" i="23"/>
  <c r="AY107" i="23"/>
  <c r="AX107" i="23"/>
  <c r="AW107" i="23"/>
  <c r="AV107" i="23"/>
  <c r="AU107" i="23"/>
  <c r="AT107" i="23"/>
  <c r="AS107" i="23"/>
  <c r="AR107" i="23"/>
  <c r="AQ107" i="23"/>
  <c r="AP107" i="23"/>
  <c r="AO107" i="23"/>
  <c r="AN107" i="23"/>
  <c r="AM107" i="23"/>
  <c r="AL107" i="23"/>
  <c r="AK107" i="23"/>
  <c r="AJ107" i="23"/>
  <c r="AI107" i="23"/>
  <c r="AH107" i="23"/>
  <c r="AG107" i="23"/>
  <c r="AF107" i="23"/>
  <c r="AE107" i="23"/>
  <c r="BD103" i="23"/>
  <c r="BC103" i="23"/>
  <c r="BB103" i="23"/>
  <c r="BA103" i="23"/>
  <c r="AZ103" i="23"/>
  <c r="AY103" i="23"/>
  <c r="AX103" i="23"/>
  <c r="AW103" i="23"/>
  <c r="AV103" i="23"/>
  <c r="AU103" i="23"/>
  <c r="AT103" i="23"/>
  <c r="AS103" i="23"/>
  <c r="AR103" i="23"/>
  <c r="AQ103" i="23"/>
  <c r="AP103" i="23"/>
  <c r="AO103" i="23"/>
  <c r="AN103" i="23"/>
  <c r="AM103" i="23"/>
  <c r="AL103" i="23"/>
  <c r="AK103" i="23"/>
  <c r="AJ103" i="23"/>
  <c r="AI103" i="23"/>
  <c r="AH103" i="23"/>
  <c r="AG103" i="23"/>
  <c r="AF103" i="23"/>
  <c r="AE103" i="23"/>
  <c r="BD99" i="23"/>
  <c r="BC99" i="23"/>
  <c r="BC88" i="23" s="1"/>
  <c r="BB99" i="23"/>
  <c r="BA99" i="23"/>
  <c r="AZ99" i="23"/>
  <c r="AY99" i="23"/>
  <c r="AY88" i="23" s="1"/>
  <c r="AX99" i="23"/>
  <c r="AW99" i="23"/>
  <c r="AV99" i="23"/>
  <c r="AU99" i="23"/>
  <c r="AU88" i="23" s="1"/>
  <c r="AT99" i="23"/>
  <c r="AS99" i="23"/>
  <c r="AR99" i="23"/>
  <c r="AQ99" i="23"/>
  <c r="AQ88" i="23" s="1"/>
  <c r="AP99" i="23"/>
  <c r="AO99" i="23"/>
  <c r="AN99" i="23"/>
  <c r="AM99" i="23"/>
  <c r="AM88" i="23" s="1"/>
  <c r="AL99" i="23"/>
  <c r="AK99" i="23"/>
  <c r="AJ99" i="23"/>
  <c r="AI99" i="23"/>
  <c r="AI88" i="23" s="1"/>
  <c r="AH99" i="23"/>
  <c r="AG99" i="23"/>
  <c r="AF99" i="23"/>
  <c r="AE99" i="23"/>
  <c r="AE88" i="23" s="1"/>
  <c r="BD94" i="23"/>
  <c r="BD89" i="23" s="1"/>
  <c r="BC94" i="23"/>
  <c r="BB94" i="23"/>
  <c r="BA94" i="23"/>
  <c r="BA89" i="23" s="1"/>
  <c r="AZ94" i="23"/>
  <c r="AZ89" i="23" s="1"/>
  <c r="AY94" i="23"/>
  <c r="AX94" i="23"/>
  <c r="AW94" i="23"/>
  <c r="AW89" i="23" s="1"/>
  <c r="AV94" i="23"/>
  <c r="AV89" i="23" s="1"/>
  <c r="AU94" i="23"/>
  <c r="AT94" i="23"/>
  <c r="AS94" i="23"/>
  <c r="AS89" i="23" s="1"/>
  <c r="AR94" i="23"/>
  <c r="AR89" i="23" s="1"/>
  <c r="AQ94" i="23"/>
  <c r="AP94" i="23"/>
  <c r="AO94" i="23"/>
  <c r="AO89" i="23" s="1"/>
  <c r="AN94" i="23"/>
  <c r="AN89" i="23" s="1"/>
  <c r="AM94" i="23"/>
  <c r="AL94" i="23"/>
  <c r="AK94" i="23"/>
  <c r="AK89" i="23" s="1"/>
  <c r="AJ94" i="23"/>
  <c r="AJ89" i="23" s="1"/>
  <c r="AI94" i="23"/>
  <c r="AH94" i="23"/>
  <c r="AG94" i="23"/>
  <c r="AG89" i="23" s="1"/>
  <c r="AF94" i="23"/>
  <c r="AF89" i="23" s="1"/>
  <c r="AE94" i="23"/>
  <c r="L91" i="23" a="1"/>
  <c r="L91" i="23" s="1"/>
  <c r="BC89" i="23"/>
  <c r="BB89" i="23"/>
  <c r="BB88" i="23" s="1"/>
  <c r="AY89" i="23"/>
  <c r="AX89" i="23"/>
  <c r="AX88" i="23" s="1"/>
  <c r="AU89" i="23"/>
  <c r="AT89" i="23"/>
  <c r="AT88" i="23" s="1"/>
  <c r="AQ89" i="23"/>
  <c r="AP89" i="23"/>
  <c r="AP88" i="23" s="1"/>
  <c r="AM89" i="23"/>
  <c r="AL89" i="23"/>
  <c r="AL88" i="23" s="1"/>
  <c r="AI89" i="23"/>
  <c r="AH89" i="23"/>
  <c r="AH88" i="23" s="1"/>
  <c r="AE89" i="23"/>
  <c r="T89" i="23" a="1"/>
  <c r="T89" i="23" s="1"/>
  <c r="T90" i="23" s="1" a="1"/>
  <c r="T90" i="23" s="1"/>
  <c r="T91" i="23" s="1" a="1"/>
  <c r="T91" i="23" s="1"/>
  <c r="T92" i="23" s="1" a="1"/>
  <c r="T92" i="23" s="1"/>
  <c r="T93" i="23" s="1" a="1"/>
  <c r="T93" i="23" s="1"/>
  <c r="T94" i="23" s="1" a="1"/>
  <c r="T94" i="23" s="1"/>
  <c r="T95" i="23" s="1" a="1"/>
  <c r="T95" i="23" s="1"/>
  <c r="T96" i="23" s="1" a="1"/>
  <c r="T96" i="23" s="1"/>
  <c r="T97" i="23" s="1" a="1"/>
  <c r="T97" i="23" s="1"/>
  <c r="T98" i="23" s="1" a="1"/>
  <c r="T98" i="23" s="1"/>
  <c r="T99" i="23" s="1" a="1"/>
  <c r="T99" i="23" s="1"/>
  <c r="T100" i="23" s="1" a="1"/>
  <c r="T100" i="23" s="1"/>
  <c r="T101" i="23" s="1" a="1"/>
  <c r="T101" i="23" s="1"/>
  <c r="T102" i="23" s="1" a="1"/>
  <c r="T102" i="23" s="1"/>
  <c r="T103" i="23" s="1" a="1"/>
  <c r="T103" i="23" s="1"/>
  <c r="T104" i="23" s="1" a="1"/>
  <c r="T104" i="23" s="1"/>
  <c r="T105" i="23" s="1" a="1"/>
  <c r="T105" i="23" s="1"/>
  <c r="T106" i="23" s="1" a="1"/>
  <c r="T106" i="23" s="1"/>
  <c r="T107" i="23" s="1" a="1"/>
  <c r="T107" i="23" s="1"/>
  <c r="T108" i="23" s="1" a="1"/>
  <c r="T108" i="23" s="1"/>
  <c r="T109" i="23" s="1" a="1"/>
  <c r="T109" i="23" s="1"/>
  <c r="T110" i="23" s="1" a="1"/>
  <c r="T110" i="23" s="1"/>
  <c r="T111" i="23" s="1" a="1"/>
  <c r="T111" i="23" s="1"/>
  <c r="T112" i="23" s="1" a="1"/>
  <c r="T112" i="23" s="1"/>
  <c r="T113" i="23" s="1" a="1"/>
  <c r="T113" i="23" s="1"/>
  <c r="T114" i="23" s="1" a="1"/>
  <c r="T114" i="23" s="1"/>
  <c r="T115" i="23" s="1" a="1"/>
  <c r="T115" i="23" s="1"/>
  <c r="BD88" i="23"/>
  <c r="AZ88" i="23"/>
  <c r="AV88" i="23"/>
  <c r="AR88" i="23"/>
  <c r="AN88" i="23"/>
  <c r="AJ88" i="23"/>
  <c r="AF88" i="23"/>
  <c r="T87" i="23"/>
  <c r="T88" i="23" s="1" a="1"/>
  <c r="T88" i="23" s="1"/>
  <c r="F87" i="23" a="1"/>
  <c r="F87" i="23"/>
  <c r="F88" i="23" s="1" a="1"/>
  <c r="F88" i="23" s="1"/>
  <c r="F89" i="23" s="1" a="1"/>
  <c r="F89" i="23" s="1"/>
  <c r="F90" i="23" s="1" a="1"/>
  <c r="F90" i="23" s="1"/>
  <c r="F91" i="23" s="1" a="1"/>
  <c r="F91" i="23" s="1"/>
  <c r="L85" i="23" a="1"/>
  <c r="L85" i="23"/>
  <c r="L84" i="23" a="1"/>
  <c r="L84" i="23"/>
  <c r="BD83" i="23"/>
  <c r="BC83" i="23"/>
  <c r="BB83" i="23"/>
  <c r="BA83" i="23"/>
  <c r="AZ83" i="23"/>
  <c r="AY83" i="23"/>
  <c r="AX83" i="23"/>
  <c r="AW83" i="23"/>
  <c r="AV83" i="23"/>
  <c r="AU83" i="23"/>
  <c r="AT83" i="23"/>
  <c r="AS83" i="23"/>
  <c r="AR83" i="23"/>
  <c r="AQ83" i="23"/>
  <c r="AP83" i="23"/>
  <c r="AO83" i="23"/>
  <c r="AN83" i="23"/>
  <c r="AM83" i="23"/>
  <c r="AL83" i="23"/>
  <c r="AK83" i="23"/>
  <c r="AJ83" i="23"/>
  <c r="AI83" i="23"/>
  <c r="AH83" i="23"/>
  <c r="AG83" i="23"/>
  <c r="AF83" i="23"/>
  <c r="AE83" i="23"/>
  <c r="BD78" i="23"/>
  <c r="BC78" i="23"/>
  <c r="BB78" i="23"/>
  <c r="BA78" i="23"/>
  <c r="AZ78" i="23"/>
  <c r="AY78" i="23"/>
  <c r="AX78" i="23"/>
  <c r="AW78" i="23"/>
  <c r="AV78" i="23"/>
  <c r="AU78" i="23"/>
  <c r="AT78" i="23"/>
  <c r="AS78" i="23"/>
  <c r="AR78" i="23"/>
  <c r="AQ78" i="23"/>
  <c r="AP78" i="23"/>
  <c r="AO78" i="23"/>
  <c r="AN78" i="23"/>
  <c r="AM78" i="23"/>
  <c r="AL78" i="23"/>
  <c r="AK78" i="23"/>
  <c r="AJ78" i="23"/>
  <c r="AI78" i="23"/>
  <c r="AH78" i="23"/>
  <c r="AG78" i="23"/>
  <c r="AF78" i="23"/>
  <c r="AE78" i="23"/>
  <c r="BD74" i="23"/>
  <c r="BC74" i="23"/>
  <c r="BB74" i="23"/>
  <c r="BA74" i="23"/>
  <c r="AZ74" i="23"/>
  <c r="AY74" i="23"/>
  <c r="AX74" i="23"/>
  <c r="AW74" i="23"/>
  <c r="AV74" i="23"/>
  <c r="AU74" i="23"/>
  <c r="AT74" i="23"/>
  <c r="AS74" i="23"/>
  <c r="AR74" i="23"/>
  <c r="AQ74" i="23"/>
  <c r="AP74" i="23"/>
  <c r="AO74" i="23"/>
  <c r="AN74" i="23"/>
  <c r="AM74" i="23"/>
  <c r="AL74" i="23"/>
  <c r="AK74" i="23"/>
  <c r="AJ74" i="23"/>
  <c r="AI74" i="23"/>
  <c r="AH74" i="23"/>
  <c r="AG74" i="23"/>
  <c r="AF74" i="23"/>
  <c r="AE74" i="23"/>
  <c r="BD70" i="23"/>
  <c r="BC70" i="23"/>
  <c r="BB70" i="23"/>
  <c r="BA70" i="23"/>
  <c r="BA59" i="23" s="1"/>
  <c r="AZ70" i="23"/>
  <c r="AY70" i="23"/>
  <c r="AX70" i="23"/>
  <c r="AW70" i="23"/>
  <c r="AW59" i="23" s="1"/>
  <c r="AV70" i="23"/>
  <c r="AU70" i="23"/>
  <c r="AT70" i="23"/>
  <c r="AS70" i="23"/>
  <c r="AS59" i="23" s="1"/>
  <c r="AR70" i="23"/>
  <c r="AQ70" i="23"/>
  <c r="AP70" i="23"/>
  <c r="AO70" i="23"/>
  <c r="AO59" i="23" s="1"/>
  <c r="AN70" i="23"/>
  <c r="AM70" i="23"/>
  <c r="AL70" i="23"/>
  <c r="AK70" i="23"/>
  <c r="AK59" i="23" s="1"/>
  <c r="AJ70" i="23"/>
  <c r="AI70" i="23"/>
  <c r="AH70" i="23"/>
  <c r="AG70" i="23"/>
  <c r="AG59" i="23" s="1"/>
  <c r="AF70" i="23"/>
  <c r="AE70" i="23"/>
  <c r="BD65" i="23"/>
  <c r="BC65" i="23"/>
  <c r="BC60" i="23" s="1"/>
  <c r="BC59" i="23" s="1"/>
  <c r="BB65" i="23"/>
  <c r="BB60" i="23" s="1"/>
  <c r="BA65" i="23"/>
  <c r="AZ65" i="23"/>
  <c r="AY65" i="23"/>
  <c r="AY60" i="23" s="1"/>
  <c r="AY59" i="23" s="1"/>
  <c r="AX65" i="23"/>
  <c r="AX60" i="23" s="1"/>
  <c r="AX59" i="23" s="1"/>
  <c r="AW65" i="23"/>
  <c r="AV65" i="23"/>
  <c r="AU65" i="23"/>
  <c r="AU60" i="23" s="1"/>
  <c r="AU59" i="23" s="1"/>
  <c r="AT65" i="23"/>
  <c r="AT60" i="23" s="1"/>
  <c r="AT59" i="23" s="1"/>
  <c r="AS65" i="23"/>
  <c r="AR65" i="23"/>
  <c r="AQ65" i="23"/>
  <c r="AQ60" i="23" s="1"/>
  <c r="AQ59" i="23" s="1"/>
  <c r="AP65" i="23"/>
  <c r="AP60" i="23" s="1"/>
  <c r="AP59" i="23" s="1"/>
  <c r="AO65" i="23"/>
  <c r="AN65" i="23"/>
  <c r="AM65" i="23"/>
  <c r="AM60" i="23" s="1"/>
  <c r="AM59" i="23" s="1"/>
  <c r="AL65" i="23"/>
  <c r="AL60" i="23" s="1"/>
  <c r="AK65" i="23"/>
  <c r="AJ65" i="23"/>
  <c r="AI65" i="23"/>
  <c r="AI60" i="23" s="1"/>
  <c r="AI59" i="23" s="1"/>
  <c r="AH65" i="23"/>
  <c r="AH60" i="23" s="1"/>
  <c r="AH59" i="23" s="1"/>
  <c r="AG65" i="23"/>
  <c r="AF65" i="23"/>
  <c r="AE65" i="23"/>
  <c r="AE60" i="23" s="1"/>
  <c r="AE59" i="23" s="1"/>
  <c r="L62" i="23" a="1"/>
  <c r="L62" i="23"/>
  <c r="BD60" i="23"/>
  <c r="BD59" i="23" s="1"/>
  <c r="BA60" i="23"/>
  <c r="AZ60" i="23"/>
  <c r="AZ59" i="23" s="1"/>
  <c r="AW60" i="23"/>
  <c r="AV60" i="23"/>
  <c r="AV59" i="23" s="1"/>
  <c r="AS60" i="23"/>
  <c r="AR60" i="23"/>
  <c r="AR59" i="23" s="1"/>
  <c r="AO60" i="23"/>
  <c r="AN60" i="23"/>
  <c r="AN59" i="23" s="1"/>
  <c r="AK60" i="23"/>
  <c r="AJ60" i="23"/>
  <c r="AJ59" i="23" s="1"/>
  <c r="AG60" i="23"/>
  <c r="AF60" i="23"/>
  <c r="AF59" i="23" s="1"/>
  <c r="BB59" i="23"/>
  <c r="AL59" i="23"/>
  <c r="T58" i="23"/>
  <c r="T59" i="23" s="1" a="1"/>
  <c r="T59" i="23" s="1"/>
  <c r="T60" i="23" s="1" a="1"/>
  <c r="T60" i="23" s="1"/>
  <c r="T61" i="23" s="1" a="1"/>
  <c r="T61" i="23" s="1"/>
  <c r="T62" i="23" s="1" a="1"/>
  <c r="T62" i="23" s="1"/>
  <c r="T63" i="23" s="1" a="1"/>
  <c r="T63" i="23" s="1"/>
  <c r="T64" i="23" s="1" a="1"/>
  <c r="T64" i="23" s="1"/>
  <c r="T65" i="23" s="1" a="1"/>
  <c r="T65" i="23" s="1"/>
  <c r="T66" i="23" s="1" a="1"/>
  <c r="T66" i="23" s="1"/>
  <c r="T67" i="23" s="1" a="1"/>
  <c r="T67" i="23" s="1"/>
  <c r="T68" i="23" s="1" a="1"/>
  <c r="T68" i="23" s="1"/>
  <c r="T69" i="23" s="1" a="1"/>
  <c r="T69" i="23" s="1"/>
  <c r="T70" i="23" s="1" a="1"/>
  <c r="T70" i="23" s="1"/>
  <c r="T71" i="23" s="1" a="1"/>
  <c r="T71" i="23" s="1"/>
  <c r="T72" i="23" s="1" a="1"/>
  <c r="T72" i="23" s="1"/>
  <c r="T73" i="23" s="1" a="1"/>
  <c r="T73" i="23" s="1"/>
  <c r="T74" i="23" s="1" a="1"/>
  <c r="T74" i="23" s="1"/>
  <c r="T75" i="23" s="1" a="1"/>
  <c r="T75" i="23" s="1"/>
  <c r="T76" i="23" s="1" a="1"/>
  <c r="T76" i="23" s="1"/>
  <c r="T77" i="23" s="1" a="1"/>
  <c r="T77" i="23" s="1"/>
  <c r="T78" i="23" s="1" a="1"/>
  <c r="T78" i="23" s="1"/>
  <c r="T79" i="23" s="1" a="1"/>
  <c r="T79" i="23" s="1"/>
  <c r="T80" i="23" s="1" a="1"/>
  <c r="T80" i="23" s="1"/>
  <c r="T81" i="23" s="1" a="1"/>
  <c r="T81" i="23" s="1"/>
  <c r="T82" i="23" s="1" a="1"/>
  <c r="T82" i="23" s="1"/>
  <c r="T83" i="23" s="1" a="1"/>
  <c r="T83" i="23" s="1"/>
  <c r="T84" i="23" s="1" a="1"/>
  <c r="T84" i="23" s="1"/>
  <c r="T85" i="23" s="1" a="1"/>
  <c r="T85" i="23" s="1"/>
  <c r="T86" i="23" s="1" a="1"/>
  <c r="T86" i="23" s="1"/>
  <c r="F58" i="23" a="1"/>
  <c r="F58" i="23" s="1"/>
  <c r="F59" i="23" s="1" a="1"/>
  <c r="F59" i="23" s="1"/>
  <c r="F60" i="23" s="1" a="1"/>
  <c r="F60" i="23" s="1"/>
  <c r="F61" i="23" s="1" a="1"/>
  <c r="F61" i="23" s="1"/>
  <c r="F62" i="23" s="1" a="1"/>
  <c r="F62" i="23" s="1"/>
  <c r="L56" i="23" a="1"/>
  <c r="L56" i="23" s="1"/>
  <c r="L55" i="23" a="1"/>
  <c r="L55" i="23" s="1"/>
  <c r="BD54" i="23"/>
  <c r="BC54" i="23"/>
  <c r="BB54" i="23"/>
  <c r="BA54" i="23"/>
  <c r="AZ54" i="23"/>
  <c r="AY54" i="23"/>
  <c r="AX54" i="23"/>
  <c r="AW54" i="23"/>
  <c r="AV54" i="23"/>
  <c r="AU54" i="23"/>
  <c r="AT54" i="23"/>
  <c r="AS54" i="23"/>
  <c r="AR54" i="23"/>
  <c r="AQ54" i="23"/>
  <c r="AP54" i="23"/>
  <c r="AO54" i="23"/>
  <c r="AN54" i="23"/>
  <c r="AM54" i="23"/>
  <c r="AL54" i="23"/>
  <c r="AK54" i="23"/>
  <c r="AJ54" i="23"/>
  <c r="AI54" i="23"/>
  <c r="AH54" i="23"/>
  <c r="AG54" i="23"/>
  <c r="AF54" i="23"/>
  <c r="AE54" i="23"/>
  <c r="BD49" i="23"/>
  <c r="BC49" i="23"/>
  <c r="BB49" i="23"/>
  <c r="BA49" i="23"/>
  <c r="AZ49" i="23"/>
  <c r="AY49" i="23"/>
  <c r="AX49" i="23"/>
  <c r="AW49" i="23"/>
  <c r="AV49" i="23"/>
  <c r="AU49" i="23"/>
  <c r="AT49" i="23"/>
  <c r="AS49" i="23"/>
  <c r="AR49" i="23"/>
  <c r="AQ49" i="23"/>
  <c r="AP49" i="23"/>
  <c r="AO49" i="23"/>
  <c r="AN49" i="23"/>
  <c r="AM49" i="23"/>
  <c r="AL49" i="23"/>
  <c r="AK49" i="23"/>
  <c r="AJ49" i="23"/>
  <c r="AI49" i="23"/>
  <c r="AH49" i="23"/>
  <c r="AG49" i="23"/>
  <c r="AF49" i="23"/>
  <c r="AE49" i="23"/>
  <c r="BD45" i="23"/>
  <c r="BC45" i="23"/>
  <c r="BB45" i="23"/>
  <c r="BA45" i="23"/>
  <c r="AZ45" i="23"/>
  <c r="AY45" i="23"/>
  <c r="AX45" i="23"/>
  <c r="AW45" i="23"/>
  <c r="AV45" i="23"/>
  <c r="AU45" i="23"/>
  <c r="AT45" i="23"/>
  <c r="AS45" i="23"/>
  <c r="AR45" i="23"/>
  <c r="AQ45" i="23"/>
  <c r="AP45" i="23"/>
  <c r="AO45" i="23"/>
  <c r="AN45" i="23"/>
  <c r="AM45" i="23"/>
  <c r="AL45" i="23"/>
  <c r="AK45" i="23"/>
  <c r="AJ45" i="23"/>
  <c r="AI45" i="23"/>
  <c r="AH45" i="23"/>
  <c r="AG45" i="23"/>
  <c r="AF45" i="23"/>
  <c r="AE45" i="23"/>
  <c r="BD41" i="23"/>
  <c r="BC41" i="23"/>
  <c r="BC30" i="23" s="1"/>
  <c r="BB41" i="23"/>
  <c r="BA41" i="23"/>
  <c r="AZ41" i="23"/>
  <c r="AY41" i="23"/>
  <c r="AY30" i="23" s="1"/>
  <c r="AX41" i="23"/>
  <c r="AW41" i="23"/>
  <c r="AV41" i="23"/>
  <c r="AU41" i="23"/>
  <c r="AU30" i="23" s="1"/>
  <c r="AT41" i="23"/>
  <c r="AS41" i="23"/>
  <c r="AR41" i="23"/>
  <c r="AQ41" i="23"/>
  <c r="AQ30" i="23" s="1"/>
  <c r="AP41" i="23"/>
  <c r="AO41" i="23"/>
  <c r="AN41" i="23"/>
  <c r="AM41" i="23"/>
  <c r="AM30" i="23" s="1"/>
  <c r="AL41" i="23"/>
  <c r="AK41" i="23"/>
  <c r="AJ41" i="23"/>
  <c r="AI41" i="23"/>
  <c r="AI30" i="23" s="1"/>
  <c r="AH41" i="23"/>
  <c r="AG41" i="23"/>
  <c r="AF41" i="23"/>
  <c r="AE41" i="23"/>
  <c r="AE30" i="23" s="1"/>
  <c r="BD36" i="23"/>
  <c r="BD31" i="23" s="1"/>
  <c r="BC36" i="23"/>
  <c r="BB36" i="23"/>
  <c r="BA36" i="23"/>
  <c r="BA31" i="23" s="1"/>
  <c r="AZ36" i="23"/>
  <c r="AZ31" i="23" s="1"/>
  <c r="AY36" i="23"/>
  <c r="AX36" i="23"/>
  <c r="AW36" i="23"/>
  <c r="AW31" i="23" s="1"/>
  <c r="AV36" i="23"/>
  <c r="AV31" i="23" s="1"/>
  <c r="AU36" i="23"/>
  <c r="AT36" i="23"/>
  <c r="AS36" i="23"/>
  <c r="AS31" i="23" s="1"/>
  <c r="AR36" i="23"/>
  <c r="AR31" i="23" s="1"/>
  <c r="AQ36" i="23"/>
  <c r="AP36" i="23"/>
  <c r="AO36" i="23"/>
  <c r="AO31" i="23" s="1"/>
  <c r="AN36" i="23"/>
  <c r="AN31" i="23" s="1"/>
  <c r="AM36" i="23"/>
  <c r="AL36" i="23"/>
  <c r="AK36" i="23"/>
  <c r="AK31" i="23" s="1"/>
  <c r="AJ36" i="23"/>
  <c r="AJ31" i="23" s="1"/>
  <c r="AI36" i="23"/>
  <c r="AH36" i="23"/>
  <c r="AG36" i="23"/>
  <c r="AG31" i="23" s="1"/>
  <c r="AF36" i="23"/>
  <c r="AF31" i="23" s="1"/>
  <c r="AE36" i="23"/>
  <c r="L33" i="23" a="1"/>
  <c r="L33" i="23" s="1"/>
  <c r="BC31" i="23"/>
  <c r="BB31" i="23"/>
  <c r="BB30" i="23" s="1"/>
  <c r="AY31" i="23"/>
  <c r="AX31" i="23"/>
  <c r="AX30" i="23" s="1"/>
  <c r="AU31" i="23"/>
  <c r="AT31" i="23"/>
  <c r="AT30" i="23" s="1"/>
  <c r="AQ31" i="23"/>
  <c r="AP31" i="23"/>
  <c r="AP30" i="23" s="1"/>
  <c r="AM31" i="23"/>
  <c r="AL31" i="23"/>
  <c r="AL30" i="23" s="1"/>
  <c r="AI31" i="23"/>
  <c r="AH31" i="23"/>
  <c r="AH30" i="23" s="1"/>
  <c r="AE31" i="23"/>
  <c r="T31" i="23" a="1"/>
  <c r="T31" i="23" s="1"/>
  <c r="T32" i="23" s="1" a="1"/>
  <c r="T32" i="23" s="1"/>
  <c r="T33" i="23" s="1" a="1"/>
  <c r="T33" i="23" s="1"/>
  <c r="T34" i="23" s="1" a="1"/>
  <c r="T34" i="23" s="1"/>
  <c r="T35" i="23" s="1" a="1"/>
  <c r="T35" i="23" s="1"/>
  <c r="T36" i="23" s="1" a="1"/>
  <c r="T36" i="23" s="1"/>
  <c r="T37" i="23" s="1" a="1"/>
  <c r="T37" i="23" s="1"/>
  <c r="T38" i="23" s="1" a="1"/>
  <c r="T38" i="23" s="1"/>
  <c r="T39" i="23" s="1" a="1"/>
  <c r="T39" i="23" s="1"/>
  <c r="T40" i="23" s="1" a="1"/>
  <c r="T40" i="23" s="1"/>
  <c r="T41" i="23" s="1" a="1"/>
  <c r="T41" i="23" s="1"/>
  <c r="T42" i="23" s="1" a="1"/>
  <c r="T42" i="23" s="1"/>
  <c r="T43" i="23" s="1" a="1"/>
  <c r="T43" i="23" s="1"/>
  <c r="T44" i="23" s="1" a="1"/>
  <c r="T44" i="23" s="1"/>
  <c r="T45" i="23" s="1" a="1"/>
  <c r="T45" i="23" s="1"/>
  <c r="T46" i="23" s="1" a="1"/>
  <c r="T46" i="23" s="1"/>
  <c r="T47" i="23" s="1" a="1"/>
  <c r="T47" i="23" s="1"/>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T57" i="23" s="1" a="1"/>
  <c r="T57" i="23" s="1"/>
  <c r="BD30" i="23"/>
  <c r="AZ30" i="23"/>
  <c r="AV30" i="23"/>
  <c r="AR30" i="23"/>
  <c r="AN30" i="23"/>
  <c r="AJ30" i="23"/>
  <c r="AF30" i="23"/>
  <c r="F30" i="23" a="1"/>
  <c r="F30" i="23" s="1"/>
  <c r="F31" i="23" s="1" a="1"/>
  <c r="F31" i="23" s="1"/>
  <c r="F32" i="23" s="1" a="1"/>
  <c r="F32" i="23" s="1"/>
  <c r="F33" i="23" s="1" a="1"/>
  <c r="F33" i="23" s="1"/>
  <c r="T29" i="23"/>
  <c r="T30" i="23" s="1" a="1"/>
  <c r="T30" i="23" s="1"/>
  <c r="F29" i="23" a="1"/>
  <c r="F29" i="23" s="1"/>
  <c r="BD26" i="23"/>
  <c r="BC26" i="23"/>
  <c r="BB26" i="23"/>
  <c r="BA26" i="23"/>
  <c r="AZ26" i="23"/>
  <c r="AY26" i="23"/>
  <c r="AX26" i="23"/>
  <c r="AW26" i="23"/>
  <c r="AV26" i="23"/>
  <c r="AU26" i="23"/>
  <c r="AT26" i="23"/>
  <c r="AS26" i="23"/>
  <c r="AR26" i="23"/>
  <c r="AQ26" i="23"/>
  <c r="AP26" i="23"/>
  <c r="AO26" i="23"/>
  <c r="AN26" i="23"/>
  <c r="AM26" i="23"/>
  <c r="AL26" i="23"/>
  <c r="AK26" i="23"/>
  <c r="AJ26" i="23"/>
  <c r="AI26" i="23"/>
  <c r="AH26" i="23"/>
  <c r="AG26" i="23"/>
  <c r="AF26" i="23"/>
  <c r="AE26" i="23"/>
  <c r="AD24" i="23"/>
  <c r="BE11" i="23" a="1"/>
  <c r="BE11" i="23" s="1"/>
  <c r="BD10" i="23" a="1"/>
  <c r="BD10" i="23"/>
  <c r="BC10" i="23" a="1"/>
  <c r="BC10" i="23" s="1"/>
  <c r="BB10" i="23" a="1"/>
  <c r="BB10" i="23"/>
  <c r="BA10" i="23" a="1"/>
  <c r="BA10" i="23" s="1"/>
  <c r="AZ10" i="23" a="1"/>
  <c r="AZ10" i="23"/>
  <c r="AY10" i="23" a="1"/>
  <c r="AY10" i="23" s="1"/>
  <c r="AX10" i="23" a="1"/>
  <c r="AX10" i="23"/>
  <c r="AW10" i="23" a="1"/>
  <c r="AW10" i="23" s="1"/>
  <c r="AV10" i="23" a="1"/>
  <c r="AV10" i="23"/>
  <c r="AU10" i="23" a="1"/>
  <c r="AU10" i="23" s="1"/>
  <c r="AT10" i="23" a="1"/>
  <c r="AT10" i="23"/>
  <c r="AS10" i="23" a="1"/>
  <c r="AS10" i="23" s="1"/>
  <c r="AR10" i="23" a="1"/>
  <c r="AR10" i="23"/>
  <c r="AQ10" i="23" a="1"/>
  <c r="AQ10" i="23" s="1"/>
  <c r="AP10" i="23" a="1"/>
  <c r="AP10" i="23"/>
  <c r="AO10" i="23" a="1"/>
  <c r="AO10" i="23" s="1"/>
  <c r="AN10" i="23" a="1"/>
  <c r="AN10" i="23"/>
  <c r="AM10" i="23" a="1"/>
  <c r="AM10" i="23" s="1"/>
  <c r="AL10" i="23" a="1"/>
  <c r="AL10" i="23"/>
  <c r="AK10" i="23" a="1"/>
  <c r="AK10" i="23" s="1"/>
  <c r="AJ10" i="23" a="1"/>
  <c r="AJ10" i="23"/>
  <c r="AI10" i="23" a="1"/>
  <c r="AI10" i="23" s="1"/>
  <c r="AH10" i="23" a="1"/>
  <c r="AH10" i="23"/>
  <c r="AG10" i="23" a="1"/>
  <c r="AG10" i="23" s="1"/>
  <c r="AF10" i="23" a="1"/>
  <c r="AF10" i="23"/>
  <c r="AE10" i="23" a="1"/>
  <c r="AE10" i="23" s="1"/>
  <c r="BC9" i="23" a="1"/>
  <c r="BC9" i="23" s="1"/>
  <c r="BA9" i="23" a="1"/>
  <c r="BA9" i="23" s="1"/>
  <c r="AY9" i="23" a="1"/>
  <c r="AY9" i="23" s="1"/>
  <c r="AW9" i="23" a="1"/>
  <c r="AW9" i="23" s="1"/>
  <c r="AS9" i="23" a="1"/>
  <c r="AS9" i="23" s="1"/>
  <c r="AO9" i="23" a="1"/>
  <c r="AO9" i="23" s="1"/>
  <c r="AK9" i="23" a="1"/>
  <c r="AK9" i="23" s="1"/>
  <c r="AI9" i="23" a="1"/>
  <c r="AI9" i="23" s="1"/>
  <c r="AG9" i="23" a="1"/>
  <c r="AG9" i="23" s="1"/>
  <c r="AE9" i="23" a="1"/>
  <c r="AE9" i="23" s="1"/>
  <c r="BD7" i="23" a="1"/>
  <c r="BD7" i="23"/>
  <c r="BC7" i="23" a="1"/>
  <c r="BC7" i="23" s="1"/>
  <c r="BB7" i="23" a="1"/>
  <c r="BB7" i="23"/>
  <c r="BA7" i="23" a="1"/>
  <c r="BA7" i="23" s="1"/>
  <c r="AZ7" i="23" a="1"/>
  <c r="AZ7" i="23"/>
  <c r="AY7" i="23" a="1"/>
  <c r="AY7" i="23" s="1"/>
  <c r="AX7" i="23" a="1"/>
  <c r="AX7" i="23"/>
  <c r="AW7" i="23" a="1"/>
  <c r="AW7" i="23" s="1"/>
  <c r="AV7" i="23" a="1"/>
  <c r="AV7" i="23"/>
  <c r="AU7" i="23" a="1"/>
  <c r="AU7" i="23" s="1"/>
  <c r="AT7" i="23" a="1"/>
  <c r="AT7" i="23"/>
  <c r="AS7" i="23" a="1"/>
  <c r="AS7" i="23" s="1"/>
  <c r="AR7" i="23" a="1"/>
  <c r="AR7" i="23"/>
  <c r="AQ7" i="23" a="1"/>
  <c r="AQ7" i="23" s="1"/>
  <c r="AP7" i="23" a="1"/>
  <c r="AP7" i="23"/>
  <c r="AO7" i="23" a="1"/>
  <c r="AO7" i="23" s="1"/>
  <c r="AN7" i="23" a="1"/>
  <c r="AN7" i="23"/>
  <c r="AM7" i="23" a="1"/>
  <c r="AM7" i="23" s="1"/>
  <c r="AL7" i="23" a="1"/>
  <c r="AL7" i="23"/>
  <c r="AK7" i="23" a="1"/>
  <c r="AK7" i="23" s="1"/>
  <c r="AJ7" i="23" a="1"/>
  <c r="AJ7" i="23"/>
  <c r="AI7" i="23" a="1"/>
  <c r="AI7" i="23" s="1"/>
  <c r="AH7" i="23" a="1"/>
  <c r="AH7" i="23"/>
  <c r="AG7" i="23" a="1"/>
  <c r="AG7" i="23" s="1"/>
  <c r="AF7" i="23" a="1"/>
  <c r="AF7" i="23"/>
  <c r="AE7" i="23" a="1"/>
  <c r="AE7" i="23" s="1"/>
  <c r="BD6" i="23"/>
  <c r="BD9" i="23" s="1" a="1"/>
  <c r="BD9" i="23" s="1"/>
  <c r="BC6" i="23"/>
  <c r="BB6" i="23"/>
  <c r="BB9" i="23" s="1" a="1"/>
  <c r="BB9" i="23" s="1"/>
  <c r="BA6" i="23"/>
  <c r="AZ6" i="23"/>
  <c r="AZ9" i="23" s="1" a="1"/>
  <c r="AZ9" i="23" s="1"/>
  <c r="AY6" i="23"/>
  <c r="AX6" i="23"/>
  <c r="AX9" i="23" s="1" a="1"/>
  <c r="AX9" i="23" s="1"/>
  <c r="AW6" i="23"/>
  <c r="AV6" i="23"/>
  <c r="AV9" i="23" s="1" a="1"/>
  <c r="AV9" i="23" s="1"/>
  <c r="AU6" i="23" a="1"/>
  <c r="AU6" i="23"/>
  <c r="AT6" i="23"/>
  <c r="AT9" i="23" s="1" a="1"/>
  <c r="AT9" i="23" s="1"/>
  <c r="AS6" i="23"/>
  <c r="AR6" i="23"/>
  <c r="AR9" i="23" s="1" a="1"/>
  <c r="AR9" i="23" s="1"/>
  <c r="AQ6" i="23"/>
  <c r="AP6" i="23"/>
  <c r="AP9" i="23" s="1" a="1"/>
  <c r="AP9" i="23" s="1"/>
  <c r="AO6" i="23"/>
  <c r="AN6" i="23"/>
  <c r="AN9" i="23" s="1" a="1"/>
  <c r="AN9" i="23" s="1"/>
  <c r="AM6" i="23"/>
  <c r="AL6" i="23"/>
  <c r="AL9" i="23" s="1" a="1"/>
  <c r="AL9" i="23" s="1"/>
  <c r="AK6" i="23" a="1"/>
  <c r="AK6" i="23"/>
  <c r="AJ6" i="23"/>
  <c r="AJ9" i="23" s="1" a="1"/>
  <c r="AJ9" i="23" s="1"/>
  <c r="AI6" i="23"/>
  <c r="AH6" i="23"/>
  <c r="AH9" i="23" s="1" a="1"/>
  <c r="AH9" i="23" s="1"/>
  <c r="AG6" i="23"/>
  <c r="AF6" i="23"/>
  <c r="AF9" i="23" s="1" a="1"/>
  <c r="AF9" i="23" s="1"/>
  <c r="AE6" i="23"/>
  <c r="T72" i="22"/>
  <c r="I68" i="22"/>
  <c r="BH67" i="22" a="1"/>
  <c r="BH67" i="22"/>
  <c r="AB67" i="22"/>
  <c r="I67" i="22" a="1"/>
  <c r="I67" i="22"/>
  <c r="BB66" i="22"/>
  <c r="BB56" i="22" s="1"/>
  <c r="BA66" i="22"/>
  <c r="BA56" i="22" s="1"/>
  <c r="AZ66" i="22"/>
  <c r="AY66" i="22"/>
  <c r="AX66" i="22"/>
  <c r="AX56" i="22" s="1"/>
  <c r="AW66" i="22"/>
  <c r="AW56" i="22" s="1"/>
  <c r="AV66" i="22"/>
  <c r="AU66" i="22"/>
  <c r="AT66" i="22"/>
  <c r="AT56" i="22" s="1"/>
  <c r="AS66" i="22"/>
  <c r="AS56" i="22" s="1"/>
  <c r="AR66" i="22"/>
  <c r="AQ66" i="22"/>
  <c r="AP66" i="22"/>
  <c r="AP56" i="22" s="1"/>
  <c r="AO66" i="22"/>
  <c r="AO56" i="22" s="1"/>
  <c r="AN66" i="22"/>
  <c r="AM66" i="22"/>
  <c r="AL66" i="22"/>
  <c r="AL56" i="22" s="1"/>
  <c r="AK66" i="22"/>
  <c r="AK56" i="22" s="1"/>
  <c r="AJ66" i="22"/>
  <c r="AI66" i="22"/>
  <c r="AH66" i="22"/>
  <c r="AH56" i="22" s="1"/>
  <c r="AG66" i="22"/>
  <c r="AG56" i="22" s="1"/>
  <c r="AF66" i="22"/>
  <c r="AE66" i="22"/>
  <c r="L66" i="22" a="1"/>
  <c r="L66" i="22" s="1"/>
  <c r="L65" i="22" a="1"/>
  <c r="L65" i="22" s="1"/>
  <c r="L64" i="22" a="1"/>
  <c r="L64" i="22"/>
  <c r="L63" i="22" a="1"/>
  <c r="L63" i="22"/>
  <c r="AS62" i="22"/>
  <c r="L62" i="22" a="1"/>
  <c r="L62" i="22"/>
  <c r="L61" i="22" a="1"/>
  <c r="L61" i="22" s="1"/>
  <c r="L60" i="22" a="1"/>
  <c r="L60" i="22" s="1"/>
  <c r="L59" i="22" a="1"/>
  <c r="L59" i="22"/>
  <c r="L58" i="22" a="1"/>
  <c r="L58" i="22"/>
  <c r="L57" i="22" a="1"/>
  <c r="L57" i="22" s="1"/>
  <c r="AZ56" i="22"/>
  <c r="AY56" i="22"/>
  <c r="AV56" i="22"/>
  <c r="AU56" i="22"/>
  <c r="AR56" i="22"/>
  <c r="AQ56" i="22"/>
  <c r="AN56" i="22"/>
  <c r="AM56" i="22"/>
  <c r="AJ56" i="22"/>
  <c r="AI56" i="22"/>
  <c r="AF56" i="22"/>
  <c r="AE56" i="22"/>
  <c r="L56" i="22" a="1"/>
  <c r="L56" i="22" s="1"/>
  <c r="T55" i="22"/>
  <c r="T56" i="22" s="1" a="1"/>
  <c r="T56" i="22" s="1"/>
  <c r="T57" i="22" s="1" a="1"/>
  <c r="T57" i="22" s="1"/>
  <c r="T58" i="22" s="1" a="1"/>
  <c r="T58" i="22" s="1"/>
  <c r="T59" i="22" s="1" a="1"/>
  <c r="T59" i="22" s="1"/>
  <c r="T60" i="22" s="1" a="1"/>
  <c r="T60" i="22" s="1"/>
  <c r="T61" i="22" s="1" a="1"/>
  <c r="T61" i="22" s="1"/>
  <c r="T62" i="22" s="1" a="1"/>
  <c r="T62" i="22" s="1"/>
  <c r="T63" i="22" s="1" a="1"/>
  <c r="T63" i="22" s="1"/>
  <c r="T64" i="22" s="1" a="1"/>
  <c r="T64" i="22" s="1"/>
  <c r="T65" i="22" s="1" a="1"/>
  <c r="T65" i="22" s="1"/>
  <c r="T66" i="22" s="1" a="1"/>
  <c r="T66" i="22" s="1"/>
  <c r="F55" i="22" a="1"/>
  <c r="F55" i="22"/>
  <c r="F56" i="22" s="1" a="1"/>
  <c r="F56" i="22" s="1"/>
  <c r="I54" i="22"/>
  <c r="BH53" i="22" a="1"/>
  <c r="BH53" i="22" s="1"/>
  <c r="AB53" i="22"/>
  <c r="I53" i="22" a="1"/>
  <c r="I53" i="22" s="1"/>
  <c r="BB52" i="22"/>
  <c r="BB42" i="22" s="1"/>
  <c r="BA52" i="22"/>
  <c r="AZ52" i="22"/>
  <c r="AY52" i="22"/>
  <c r="AX52" i="22"/>
  <c r="AX42" i="22" s="1"/>
  <c r="AW52" i="22"/>
  <c r="AV52" i="22"/>
  <c r="AU52" i="22"/>
  <c r="AT52" i="22"/>
  <c r="AT42" i="22" s="1"/>
  <c r="AS52" i="22"/>
  <c r="AR52" i="22"/>
  <c r="AQ52" i="22"/>
  <c r="AP52" i="22"/>
  <c r="AP42" i="22" s="1"/>
  <c r="AO52" i="22"/>
  <c r="AN52" i="22"/>
  <c r="AM52" i="22"/>
  <c r="AL52" i="22"/>
  <c r="AL42" i="22" s="1"/>
  <c r="AK52" i="22"/>
  <c r="AJ52" i="22"/>
  <c r="AI52" i="22"/>
  <c r="AH52" i="22"/>
  <c r="AH42" i="22" s="1"/>
  <c r="AG52" i="22"/>
  <c r="AF52" i="22"/>
  <c r="AE52" i="22"/>
  <c r="L52" i="22" a="1"/>
  <c r="L52" i="22"/>
  <c r="L51" i="22" a="1"/>
  <c r="L51" i="22" s="1"/>
  <c r="L50" i="22" a="1"/>
  <c r="L50" i="22" s="1"/>
  <c r="L49" i="22" a="1"/>
  <c r="L49" i="22"/>
  <c r="AS48" i="22"/>
  <c r="L48" i="22" a="1"/>
  <c r="L48" i="22"/>
  <c r="L47" i="22" a="1"/>
  <c r="L47" i="22"/>
  <c r="L46" i="22" a="1"/>
  <c r="L46" i="22" s="1"/>
  <c r="L45" i="22" a="1"/>
  <c r="L45" i="22" s="1"/>
  <c r="L44" i="22" a="1"/>
  <c r="L44" i="22"/>
  <c r="L43" i="22" a="1"/>
  <c r="L43" i="22" s="1"/>
  <c r="BA42" i="22"/>
  <c r="AZ42" i="22"/>
  <c r="AY42" i="22"/>
  <c r="AW42" i="22"/>
  <c r="AV42" i="22"/>
  <c r="AU42" i="22"/>
  <c r="AS42" i="22"/>
  <c r="AR42" i="22"/>
  <c r="AQ42" i="22"/>
  <c r="AO42" i="22"/>
  <c r="AN42" i="22"/>
  <c r="AM42" i="22"/>
  <c r="AK42" i="22"/>
  <c r="AJ42" i="22"/>
  <c r="AI42" i="22"/>
  <c r="AG42" i="22"/>
  <c r="AF42" i="22"/>
  <c r="AE42" i="22"/>
  <c r="L42" i="22" a="1"/>
  <c r="L42" i="22" s="1"/>
  <c r="T41" i="22"/>
  <c r="T42" i="22" s="1" a="1"/>
  <c r="T42" i="22" s="1"/>
  <c r="T43" i="22" s="1" a="1"/>
  <c r="T43" i="22" s="1"/>
  <c r="T44" i="22" s="1" a="1"/>
  <c r="T44" i="22" s="1"/>
  <c r="T45" i="22" s="1" a="1"/>
  <c r="T45" i="22" s="1"/>
  <c r="T46" i="22" s="1" a="1"/>
  <c r="T46" i="22" s="1"/>
  <c r="T47" i="22" s="1" a="1"/>
  <c r="T47" i="22" s="1"/>
  <c r="T48" i="22" s="1" a="1"/>
  <c r="T48" i="22" s="1"/>
  <c r="T49" i="22" s="1" a="1"/>
  <c r="T49" i="22" s="1"/>
  <c r="T50" i="22" s="1" a="1"/>
  <c r="T50" i="22" s="1"/>
  <c r="T51" i="22" s="1" a="1"/>
  <c r="T51" i="22" s="1"/>
  <c r="T52" i="22" s="1" a="1"/>
  <c r="T52" i="22" s="1"/>
  <c r="F41" i="22" a="1"/>
  <c r="F41" i="22"/>
  <c r="F42" i="22" s="1" a="1"/>
  <c r="F42" i="22" s="1"/>
  <c r="I40" i="22"/>
  <c r="BH39" i="22" a="1"/>
  <c r="BH39" i="22" s="1"/>
  <c r="AB39" i="22"/>
  <c r="I39" i="22" a="1"/>
  <c r="I39" i="22" s="1"/>
  <c r="BB38" i="22"/>
  <c r="BB28" i="22" s="1"/>
  <c r="BA38" i="22"/>
  <c r="AZ38" i="22"/>
  <c r="AY38" i="22"/>
  <c r="AY28" i="22" s="1"/>
  <c r="AX38" i="22"/>
  <c r="AX28" i="22" s="1"/>
  <c r="AW38" i="22"/>
  <c r="AV38" i="22"/>
  <c r="AU38" i="22"/>
  <c r="AU28" i="22" s="1"/>
  <c r="AT38" i="22"/>
  <c r="AT28" i="22" s="1"/>
  <c r="AS38" i="22"/>
  <c r="AR38" i="22"/>
  <c r="AQ38" i="22"/>
  <c r="AQ28" i="22" s="1"/>
  <c r="AP38" i="22"/>
  <c r="AP28" i="22" s="1"/>
  <c r="AO38" i="22"/>
  <c r="AN38" i="22"/>
  <c r="AM38" i="22"/>
  <c r="AM28" i="22" s="1"/>
  <c r="AL38" i="22"/>
  <c r="AL28" i="22" s="1"/>
  <c r="AK38" i="22"/>
  <c r="AJ38" i="22"/>
  <c r="AI38" i="22"/>
  <c r="AI28" i="22" s="1"/>
  <c r="AH38" i="22"/>
  <c r="AH28" i="22" s="1"/>
  <c r="AG38" i="22"/>
  <c r="AF38" i="22"/>
  <c r="AE38" i="22"/>
  <c r="AE28" i="22" s="1"/>
  <c r="L38" i="22" a="1"/>
  <c r="L38" i="22"/>
  <c r="L37" i="22" a="1"/>
  <c r="L37" i="22" s="1"/>
  <c r="L36" i="22" a="1"/>
  <c r="L36" i="22" s="1"/>
  <c r="L35" i="22" a="1"/>
  <c r="L35" i="22" s="1"/>
  <c r="L34" i="22" a="1"/>
  <c r="L34" i="22"/>
  <c r="L33" i="22" a="1"/>
  <c r="L33" i="22" s="1"/>
  <c r="L32" i="22" a="1"/>
  <c r="L32" i="22" s="1"/>
  <c r="L31" i="22" a="1"/>
  <c r="L31" i="22" s="1"/>
  <c r="L30" i="22" a="1"/>
  <c r="L30" i="22"/>
  <c r="L29" i="22" a="1"/>
  <c r="L29" i="22" s="1"/>
  <c r="BA28" i="22"/>
  <c r="AZ28" i="22"/>
  <c r="AW28" i="22"/>
  <c r="AV28" i="22"/>
  <c r="AS28" i="22"/>
  <c r="AR28" i="22"/>
  <c r="AO28" i="22"/>
  <c r="AN28" i="22"/>
  <c r="AK28" i="22"/>
  <c r="AJ28" i="22"/>
  <c r="AG28" i="22"/>
  <c r="AF28" i="22"/>
  <c r="T28" i="22"/>
  <c r="T29" i="22" s="1" a="1"/>
  <c r="T29" i="22" s="1"/>
  <c r="T30" i="22" s="1" a="1"/>
  <c r="T30" i="22" s="1"/>
  <c r="T31" i="22" s="1" a="1"/>
  <c r="T31" i="22" s="1"/>
  <c r="T32" i="22" s="1" a="1"/>
  <c r="T32" i="22" s="1"/>
  <c r="T33" i="22" s="1" a="1"/>
  <c r="T33" i="22" s="1"/>
  <c r="T34" i="22" s="1" a="1"/>
  <c r="T34" i="22" s="1"/>
  <c r="T35" i="22" s="1" a="1"/>
  <c r="T35" i="22" s="1"/>
  <c r="T36" i="22" s="1" a="1"/>
  <c r="T36" i="22" s="1"/>
  <c r="T37" i="22" s="1" a="1"/>
  <c r="T37" i="22" s="1"/>
  <c r="T38" i="22" s="1" a="1"/>
  <c r="T38" i="22" s="1"/>
  <c r="L28" i="22" a="1"/>
  <c r="L28" i="22" s="1"/>
  <c r="T27" i="22"/>
  <c r="T28" i="22" s="1" a="1"/>
  <c r="F27" i="22" a="1"/>
  <c r="F27" i="22" s="1"/>
  <c r="F28" i="22" s="1" a="1"/>
  <c r="F28" i="22" s="1"/>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C11" i="22" a="1"/>
  <c r="BC11" i="22" s="1"/>
  <c r="BB10" i="22" a="1"/>
  <c r="BB10" i="22"/>
  <c r="BA10" i="22" a="1"/>
  <c r="BA10" i="22" s="1"/>
  <c r="AZ10" i="22" a="1"/>
  <c r="AZ10" i="22"/>
  <c r="AY10" i="22" a="1"/>
  <c r="AY10" i="22" s="1"/>
  <c r="AX10" i="22" a="1"/>
  <c r="AX10" i="22"/>
  <c r="AW10" i="22" a="1"/>
  <c r="AW10" i="22" s="1"/>
  <c r="AV10" i="22" a="1"/>
  <c r="AV10" i="22"/>
  <c r="AU10" i="22" a="1"/>
  <c r="AU10" i="22" s="1"/>
  <c r="AT10" i="22" a="1"/>
  <c r="AT10" i="22"/>
  <c r="AS10" i="22" a="1"/>
  <c r="AS10" i="22" s="1"/>
  <c r="AR10" i="22" a="1"/>
  <c r="AR10" i="22"/>
  <c r="AQ10" i="22" a="1"/>
  <c r="AQ10" i="22" s="1"/>
  <c r="AP10" i="22" a="1"/>
  <c r="AP10" i="22"/>
  <c r="AO10" i="22" a="1"/>
  <c r="AO10" i="22" s="1"/>
  <c r="AN10" i="22" a="1"/>
  <c r="AN10" i="22"/>
  <c r="AM10" i="22" a="1"/>
  <c r="AM10" i="22" s="1"/>
  <c r="AL10" i="22" a="1"/>
  <c r="AL10" i="22"/>
  <c r="AK10" i="22" a="1"/>
  <c r="AK10" i="22" s="1"/>
  <c r="AJ10" i="22" a="1"/>
  <c r="AJ10" i="22"/>
  <c r="AI10" i="22" a="1"/>
  <c r="AI10" i="22" s="1"/>
  <c r="AH10" i="22" a="1"/>
  <c r="AH10" i="22"/>
  <c r="AG10" i="22" a="1"/>
  <c r="AG10" i="22" s="1"/>
  <c r="AF10" i="22" a="1"/>
  <c r="AF10" i="22"/>
  <c r="AE10" i="22" a="1"/>
  <c r="AE10" i="22" s="1"/>
  <c r="AZ9" i="22"/>
  <c r="AY9" i="22" a="1"/>
  <c r="AY9" i="22" s="1"/>
  <c r="AV9" i="22"/>
  <c r="AU9" i="22" a="1"/>
  <c r="AU9" i="22" s="1"/>
  <c r="AR9" i="22" a="1"/>
  <c r="AR9" i="22"/>
  <c r="AQ9" i="22" a="1"/>
  <c r="AQ9" i="22" s="1"/>
  <c r="AN9" i="22" a="1"/>
  <c r="AN9" i="22"/>
  <c r="AM9" i="22" a="1"/>
  <c r="AM9" i="22" s="1"/>
  <c r="AJ9" i="22" a="1"/>
  <c r="AJ9" i="22"/>
  <c r="AG9" i="22" a="1"/>
  <c r="AG9" i="22" s="1"/>
  <c r="BB7" i="22" a="1"/>
  <c r="BB7" i="22"/>
  <c r="BA7" i="22" a="1"/>
  <c r="BA7" i="22" s="1"/>
  <c r="AZ7" i="22" a="1"/>
  <c r="AZ7" i="22"/>
  <c r="AY7" i="22" a="1"/>
  <c r="AY7" i="22" s="1"/>
  <c r="AX7" i="22" a="1"/>
  <c r="AX7" i="22"/>
  <c r="AW7" i="22" a="1"/>
  <c r="AW7" i="22" s="1"/>
  <c r="AV7" i="22" a="1"/>
  <c r="AV7" i="22"/>
  <c r="AU7" i="22" a="1"/>
  <c r="AU7" i="22" s="1"/>
  <c r="AT7" i="22" a="1"/>
  <c r="AT7" i="22"/>
  <c r="AS7" i="22" a="1"/>
  <c r="AS7" i="22" s="1"/>
  <c r="AR7" i="22" a="1"/>
  <c r="AR7" i="22"/>
  <c r="AQ7" i="22" a="1"/>
  <c r="AQ7" i="22" s="1"/>
  <c r="AP7" i="22" a="1"/>
  <c r="AP7" i="22"/>
  <c r="AO7" i="22" a="1"/>
  <c r="AO7" i="22" s="1"/>
  <c r="AN7" i="22" a="1"/>
  <c r="AN7" i="22"/>
  <c r="AM7" i="22" a="1"/>
  <c r="AM7" i="22" s="1"/>
  <c r="AL7" i="22" a="1"/>
  <c r="AL7" i="22"/>
  <c r="AK7" i="22" a="1"/>
  <c r="AK7" i="22" s="1"/>
  <c r="AJ7" i="22" a="1"/>
  <c r="AJ7" i="22"/>
  <c r="AI7" i="22" a="1"/>
  <c r="AI7" i="22" s="1"/>
  <c r="AH7" i="22" a="1"/>
  <c r="AH7" i="22"/>
  <c r="AG7" i="22" a="1"/>
  <c r="AG7" i="22" s="1"/>
  <c r="AF7" i="22" a="1"/>
  <c r="AF7" i="22"/>
  <c r="AE7" i="22" a="1"/>
  <c r="AE7" i="22" s="1"/>
  <c r="BB6" i="22"/>
  <c r="BB9" i="22" s="1" a="1"/>
  <c r="BB9" i="22" s="1"/>
  <c r="BA6" i="22"/>
  <c r="AZ6" i="22"/>
  <c r="AZ9" i="22" s="1" a="1"/>
  <c r="AY6" i="22"/>
  <c r="AX6" i="22"/>
  <c r="AX9" i="22" s="1" a="1"/>
  <c r="AX9" i="22" s="1"/>
  <c r="AW6" i="22"/>
  <c r="AV6" i="22"/>
  <c r="AV9" i="22" s="1" a="1"/>
  <c r="AU6" i="22"/>
  <c r="AT6" i="22"/>
  <c r="AT9" i="22" s="1" a="1"/>
  <c r="AT9" i="22" s="1"/>
  <c r="AS6" i="22" a="1"/>
  <c r="AS6" i="22" s="1"/>
  <c r="AR6" i="22"/>
  <c r="AQ6" i="22"/>
  <c r="AP6" i="22"/>
  <c r="AO6" i="22"/>
  <c r="AO9" i="22" s="1" a="1"/>
  <c r="AO9" i="22" s="1"/>
  <c r="AN6" i="22"/>
  <c r="AM6" i="22"/>
  <c r="AL6" i="22"/>
  <c r="AK6" i="22"/>
  <c r="AK9" i="22" s="1" a="1"/>
  <c r="AK9" i="22" s="1"/>
  <c r="AJ6" i="22"/>
  <c r="AI6" i="22" a="1"/>
  <c r="AI6" i="22"/>
  <c r="AI9" i="22" s="1" a="1"/>
  <c r="AI9" i="22" s="1"/>
  <c r="AH6" i="22"/>
  <c r="AH9" i="22" s="1" a="1"/>
  <c r="AH9" i="22" s="1"/>
  <c r="AG6" i="22"/>
  <c r="AF6" i="22"/>
  <c r="AF9" i="22" s="1" a="1"/>
  <c r="AF9" i="22" s="1"/>
  <c r="AE6" i="22"/>
  <c r="AE9" i="22" s="1" a="1"/>
  <c r="AE9" i="22" s="1"/>
  <c r="T68" i="21"/>
  <c r="H64" i="21"/>
  <c r="AP63" i="21" a="1"/>
  <c r="AP63" i="21"/>
  <c r="AB63" i="21"/>
  <c r="H63" i="21" a="1"/>
  <c r="H63" i="21"/>
  <c r="AJ62" i="21"/>
  <c r="AI62" i="21"/>
  <c r="AH62" i="21"/>
  <c r="AG62" i="21"/>
  <c r="AF62" i="21"/>
  <c r="AE62" i="21"/>
  <c r="T58" i="21" a="1"/>
  <c r="T58" i="21" s="1"/>
  <c r="T59" i="21" s="1" a="1"/>
  <c r="T59" i="21" s="1"/>
  <c r="T60" i="21" s="1" a="1"/>
  <c r="T60" i="21" s="1"/>
  <c r="T61" i="21" s="1" a="1"/>
  <c r="T61" i="21" s="1"/>
  <c r="T62" i="21" s="1" a="1"/>
  <c r="T62" i="21" s="1"/>
  <c r="L54" i="21" a="1"/>
  <c r="L54" i="21" s="1"/>
  <c r="T53" i="21"/>
  <c r="T54" i="21" s="1" a="1"/>
  <c r="T54" i="21" s="1"/>
  <c r="T55" i="21" s="1" a="1"/>
  <c r="T55" i="21" s="1"/>
  <c r="T56" i="21" s="1" a="1"/>
  <c r="T56" i="21" s="1"/>
  <c r="T57" i="21" s="1" a="1"/>
  <c r="T57" i="21" s="1"/>
  <c r="F53" i="21" a="1"/>
  <c r="F53" i="21" s="1"/>
  <c r="F54" i="21" s="1" a="1"/>
  <c r="F54" i="21" s="1"/>
  <c r="H52" i="21"/>
  <c r="AP51" i="21" a="1"/>
  <c r="AP51" i="21"/>
  <c r="AB51" i="21"/>
  <c r="H51" i="21" a="1"/>
  <c r="H51" i="21"/>
  <c r="AP50" i="21" a="1"/>
  <c r="AP50" i="21"/>
  <c r="AB50" i="21"/>
  <c r="H50" i="21" a="1"/>
  <c r="H50" i="21"/>
  <c r="AP49" i="21" a="1"/>
  <c r="AP49" i="21"/>
  <c r="AB49" i="21"/>
  <c r="H49" i="21" a="1"/>
  <c r="H49" i="21"/>
  <c r="AJ48" i="21"/>
  <c r="AI48" i="21"/>
  <c r="AH48" i="21"/>
  <c r="AG48" i="21"/>
  <c r="AF48" i="21"/>
  <c r="AE48" i="21"/>
  <c r="L40" i="21" a="1"/>
  <c r="L40" i="21" s="1"/>
  <c r="T39" i="21"/>
  <c r="T40" i="21" s="1" a="1"/>
  <c r="T40" i="21" s="1"/>
  <c r="T41" i="21" s="1" a="1"/>
  <c r="T41" i="21" s="1"/>
  <c r="T42" i="21" s="1" a="1"/>
  <c r="T42" i="21" s="1"/>
  <c r="T43" i="21" s="1" a="1"/>
  <c r="T43" i="21" s="1"/>
  <c r="T44" i="21" s="1" a="1"/>
  <c r="T44" i="21" s="1"/>
  <c r="T45" i="21" s="1" a="1"/>
  <c r="T45" i="21" s="1"/>
  <c r="T46" i="21" s="1" a="1"/>
  <c r="T46" i="21" s="1"/>
  <c r="T47" i="21" s="1" a="1"/>
  <c r="T47" i="21" s="1"/>
  <c r="T48" i="21" s="1" a="1"/>
  <c r="T48" i="21" s="1"/>
  <c r="F39" i="21" a="1"/>
  <c r="F39" i="21" s="1"/>
  <c r="F40" i="21" s="1" a="1"/>
  <c r="F40" i="21" s="1"/>
  <c r="H38" i="21"/>
  <c r="AP37" i="21" a="1"/>
  <c r="AP37" i="21"/>
  <c r="AB37" i="21"/>
  <c r="H37" i="21" a="1"/>
  <c r="H37" i="21"/>
  <c r="AJ36" i="21"/>
  <c r="AI36" i="21"/>
  <c r="AH36" i="21"/>
  <c r="AG36" i="21"/>
  <c r="AF36" i="21"/>
  <c r="AE36" i="21"/>
  <c r="T32" i="21" a="1"/>
  <c r="T32" i="21" s="1"/>
  <c r="T33" i="21" s="1" a="1"/>
  <c r="T33" i="21" s="1"/>
  <c r="T34" i="21" s="1" a="1"/>
  <c r="T34" i="21" s="1"/>
  <c r="T35" i="21" s="1" a="1"/>
  <c r="T35" i="21" s="1"/>
  <c r="T36" i="21" s="1" a="1"/>
  <c r="T36" i="21" s="1"/>
  <c r="L28" i="21" a="1"/>
  <c r="L28" i="21" s="1"/>
  <c r="T27" i="21"/>
  <c r="T28" i="21" s="1" a="1"/>
  <c r="T28" i="21" s="1"/>
  <c r="T29" i="21" s="1" a="1"/>
  <c r="T29" i="21" s="1"/>
  <c r="T30" i="21" s="1" a="1"/>
  <c r="T30" i="21" s="1"/>
  <c r="T31" i="21" s="1" a="1"/>
  <c r="T31" i="21" s="1"/>
  <c r="F27" i="21" a="1"/>
  <c r="F27" i="21"/>
  <c r="F28" i="21" s="1" a="1"/>
  <c r="F28" i="21" s="1"/>
  <c r="AJ24" i="21"/>
  <c r="AI24" i="21"/>
  <c r="AH24" i="21"/>
  <c r="AG24" i="21"/>
  <c r="AF24" i="21"/>
  <c r="AE24" i="21"/>
  <c r="AK11" i="21" a="1"/>
  <c r="AK11" i="21" s="1"/>
  <c r="AJ10" i="21" a="1"/>
  <c r="AJ10" i="21"/>
  <c r="AI10" i="21" a="1"/>
  <c r="AI10" i="21" s="1"/>
  <c r="AH10" i="21" a="1"/>
  <c r="AH10" i="21"/>
  <c r="AG10" i="21" a="1"/>
  <c r="AG10" i="21" s="1"/>
  <c r="AF10" i="21" a="1"/>
  <c r="AF10" i="21"/>
  <c r="AE10" i="21" a="1"/>
  <c r="AE10" i="21" s="1"/>
  <c r="AG9" i="21" a="1"/>
  <c r="AG9" i="21" s="1"/>
  <c r="AE9" i="21" a="1"/>
  <c r="AE9" i="21" s="1"/>
  <c r="AJ7" i="21" a="1"/>
  <c r="AJ7" i="21"/>
  <c r="AI7" i="21" a="1"/>
  <c r="AI7" i="21" s="1"/>
  <c r="AH7" i="21" a="1"/>
  <c r="AH7" i="21"/>
  <c r="AG7" i="21" a="1"/>
  <c r="AG7" i="21" s="1"/>
  <c r="AF7" i="21" a="1"/>
  <c r="AF7" i="21"/>
  <c r="AE7" i="21" a="1"/>
  <c r="AE7" i="21" s="1"/>
  <c r="AJ6" i="21" a="1"/>
  <c r="AJ6" i="21"/>
  <c r="AJ9" i="21" s="1" a="1"/>
  <c r="AJ9" i="21" s="1"/>
  <c r="AI6" i="21" a="1"/>
  <c r="AI6" i="21" s="1"/>
  <c r="AH6" i="21"/>
  <c r="AH9" i="21" s="1" a="1"/>
  <c r="AH9" i="21" s="1"/>
  <c r="AG6" i="21"/>
  <c r="AF6" i="21"/>
  <c r="AF9" i="21" s="1" a="1"/>
  <c r="AF9" i="21" s="1"/>
  <c r="AE6" i="21"/>
  <c r="T87" i="20"/>
  <c r="L83" i="20" a="1"/>
  <c r="L83" i="20"/>
  <c r="L82" i="20" a="1"/>
  <c r="L82" i="20"/>
  <c r="L81" i="20" a="1"/>
  <c r="L81" i="20" s="1"/>
  <c r="AJ80" i="20"/>
  <c r="AI80" i="20"/>
  <c r="AH80" i="20"/>
  <c r="AG80" i="20"/>
  <c r="AF80" i="20"/>
  <c r="AE80" i="20"/>
  <c r="L80" i="20" a="1"/>
  <c r="L80" i="20"/>
  <c r="L79" i="20" a="1"/>
  <c r="L79" i="20" s="1"/>
  <c r="L78" i="20" a="1"/>
  <c r="L78" i="20" s="1"/>
  <c r="L77" i="20" a="1"/>
  <c r="L77" i="20"/>
  <c r="L76" i="20" a="1"/>
  <c r="L76" i="20"/>
  <c r="L75" i="20" a="1"/>
  <c r="L75" i="20" s="1"/>
  <c r="L74" i="20" a="1"/>
  <c r="L74" i="20" s="1"/>
  <c r="L73" i="20" a="1"/>
  <c r="L73" i="20"/>
  <c r="L72" i="20" a="1"/>
  <c r="L72" i="20"/>
  <c r="L71" i="20" a="1"/>
  <c r="L71" i="20" s="1"/>
  <c r="L70" i="20" a="1"/>
  <c r="L70" i="20" s="1"/>
  <c r="L69" i="20" a="1"/>
  <c r="L69" i="20"/>
  <c r="AJ68" i="20"/>
  <c r="AI68" i="20"/>
  <c r="AH68" i="20"/>
  <c r="AG68" i="20"/>
  <c r="AF68" i="20"/>
  <c r="AE68" i="20"/>
  <c r="L68" i="20" a="1"/>
  <c r="L68" i="20" s="1"/>
  <c r="T66" i="20" a="1"/>
  <c r="T66" i="20" s="1"/>
  <c r="T67" i="20" s="1" a="1"/>
  <c r="T67" i="20" s="1"/>
  <c r="T68" i="20" s="1" a="1"/>
  <c r="T68" i="20" s="1"/>
  <c r="T69" i="20" s="1" a="1"/>
  <c r="T69" i="20" s="1"/>
  <c r="T70" i="20" s="1" a="1"/>
  <c r="T70" i="20" s="1"/>
  <c r="T71" i="20" s="1" a="1"/>
  <c r="T71" i="20" s="1"/>
  <c r="T72" i="20" s="1" a="1"/>
  <c r="T72" i="20" s="1"/>
  <c r="T73" i="20" s="1" a="1"/>
  <c r="T73" i="20" s="1"/>
  <c r="T74" i="20" s="1" a="1"/>
  <c r="T74" i="20" s="1"/>
  <c r="T75" i="20" s="1" a="1"/>
  <c r="T75" i="20" s="1"/>
  <c r="T76" i="20" s="1" a="1"/>
  <c r="T76" i="20" s="1"/>
  <c r="T77" i="20" s="1" a="1"/>
  <c r="T77" i="20" s="1"/>
  <c r="T78" i="20" s="1" a="1"/>
  <c r="T78" i="20" s="1"/>
  <c r="T79" i="20" s="1" a="1"/>
  <c r="T79" i="20" s="1"/>
  <c r="T80" i="20" s="1" a="1"/>
  <c r="T80" i="20" s="1"/>
  <c r="T81" i="20" s="1" a="1"/>
  <c r="T81" i="20" s="1"/>
  <c r="T82" i="20" s="1" a="1"/>
  <c r="T82" i="20" s="1"/>
  <c r="T83" i="20" s="1" a="1"/>
  <c r="T83" i="20" s="1"/>
  <c r="T65" i="20"/>
  <c r="F65" i="20" a="1"/>
  <c r="F65" i="20" s="1"/>
  <c r="F66" i="20" s="1" a="1"/>
  <c r="F66" i="20" s="1"/>
  <c r="L64" i="20" a="1"/>
  <c r="L64" i="20" s="1"/>
  <c r="L63" i="20" a="1"/>
  <c r="L63" i="20"/>
  <c r="L62" i="20" a="1"/>
  <c r="L62" i="20"/>
  <c r="AJ61" i="20"/>
  <c r="AI61" i="20"/>
  <c r="AH61" i="20"/>
  <c r="AG61" i="20"/>
  <c r="AF61" i="20"/>
  <c r="AE61" i="20"/>
  <c r="L61" i="20" a="1"/>
  <c r="L61" i="20"/>
  <c r="L60" i="20" a="1"/>
  <c r="L60" i="20"/>
  <c r="L59" i="20" a="1"/>
  <c r="L59" i="20" s="1"/>
  <c r="L58" i="20" a="1"/>
  <c r="L58" i="20" s="1"/>
  <c r="L57" i="20" a="1"/>
  <c r="L57" i="20"/>
  <c r="L56" i="20" a="1"/>
  <c r="L56" i="20"/>
  <c r="L55" i="20" a="1"/>
  <c r="L55" i="20" s="1"/>
  <c r="L54" i="20" a="1"/>
  <c r="L54" i="20" s="1"/>
  <c r="L53" i="20" a="1"/>
  <c r="L53" i="20"/>
  <c r="L52" i="20" a="1"/>
  <c r="L52" i="20"/>
  <c r="L51" i="20" a="1"/>
  <c r="L51" i="20" s="1"/>
  <c r="L50" i="20" a="1"/>
  <c r="L50" i="20" s="1"/>
  <c r="AJ49" i="20"/>
  <c r="AI49" i="20"/>
  <c r="AH49" i="20"/>
  <c r="AG49" i="20"/>
  <c r="AF49" i="20"/>
  <c r="AE49" i="20"/>
  <c r="L49" i="20" a="1"/>
  <c r="L49" i="20" s="1"/>
  <c r="T48" i="20" a="1"/>
  <c r="T48" i="20" s="1"/>
  <c r="T49" i="20" s="1" a="1"/>
  <c r="T49" i="20" s="1"/>
  <c r="T50" i="20" s="1" a="1"/>
  <c r="T50" i="20" s="1"/>
  <c r="T51" i="20" s="1" a="1"/>
  <c r="T51" i="20" s="1"/>
  <c r="T52" i="20" s="1" a="1"/>
  <c r="T52" i="20" s="1"/>
  <c r="T53" i="20" s="1" a="1"/>
  <c r="T53" i="20" s="1"/>
  <c r="T54" i="20" s="1" a="1"/>
  <c r="T54" i="20" s="1"/>
  <c r="T55" i="20" s="1" a="1"/>
  <c r="T55" i="20" s="1"/>
  <c r="T56" i="20" s="1" a="1"/>
  <c r="T56" i="20" s="1"/>
  <c r="T57" i="20" s="1" a="1"/>
  <c r="T57" i="20" s="1"/>
  <c r="T58" i="20" s="1" a="1"/>
  <c r="T58" i="20" s="1"/>
  <c r="T59" i="20" s="1" a="1"/>
  <c r="T59" i="20" s="1"/>
  <c r="T60" i="20" s="1" a="1"/>
  <c r="T60" i="20" s="1"/>
  <c r="T61" i="20" s="1" a="1"/>
  <c r="T61" i="20" s="1"/>
  <c r="T62" i="20" s="1" a="1"/>
  <c r="T62" i="20" s="1"/>
  <c r="T63" i="20" s="1" a="1"/>
  <c r="T63" i="20" s="1"/>
  <c r="T64" i="20" s="1" a="1"/>
  <c r="T64" i="20" s="1"/>
  <c r="T46" i="20"/>
  <c r="T47" i="20" s="1" a="1"/>
  <c r="T47" i="20" s="1"/>
  <c r="F46" i="20" a="1"/>
  <c r="F46" i="20" s="1"/>
  <c r="F47" i="20" s="1" a="1"/>
  <c r="F47" i="20" s="1"/>
  <c r="L45" i="20" a="1"/>
  <c r="L45" i="20" s="1"/>
  <c r="L44" i="20" a="1"/>
  <c r="L44" i="20" s="1"/>
  <c r="L43" i="20" a="1"/>
  <c r="L43" i="20"/>
  <c r="AJ42" i="20"/>
  <c r="AI42" i="20"/>
  <c r="AH42" i="20"/>
  <c r="AG42" i="20"/>
  <c r="AF42" i="20"/>
  <c r="AE42" i="20"/>
  <c r="L42" i="20" a="1"/>
  <c r="L42" i="20" s="1"/>
  <c r="L41" i="20" a="1"/>
  <c r="L41" i="20"/>
  <c r="L40" i="20" a="1"/>
  <c r="L40" i="20"/>
  <c r="L39" i="20" a="1"/>
  <c r="L39" i="20" s="1"/>
  <c r="L38" i="20" a="1"/>
  <c r="L38" i="20" s="1"/>
  <c r="L37" i="20" a="1"/>
  <c r="L37" i="20"/>
  <c r="L36" i="20" a="1"/>
  <c r="L36" i="20"/>
  <c r="L35" i="20" a="1"/>
  <c r="L35" i="20" s="1"/>
  <c r="L34" i="20" a="1"/>
  <c r="L34" i="20" s="1"/>
  <c r="L33" i="20" a="1"/>
  <c r="L33" i="20"/>
  <c r="L32" i="20" a="1"/>
  <c r="L32" i="20"/>
  <c r="L31" i="20" a="1"/>
  <c r="L31" i="20" s="1"/>
  <c r="AJ30" i="20"/>
  <c r="AI30" i="20"/>
  <c r="AH30" i="20"/>
  <c r="AG30" i="20"/>
  <c r="AF30" i="20"/>
  <c r="AE30" i="20"/>
  <c r="L30" i="20" a="1"/>
  <c r="L30" i="20"/>
  <c r="T27" i="20"/>
  <c r="T28" i="20" s="1" a="1"/>
  <c r="T28" i="20" s="1"/>
  <c r="T29" i="20" s="1" a="1"/>
  <c r="T29" i="20" s="1"/>
  <c r="T30" i="20" s="1" a="1"/>
  <c r="T30" i="20" s="1"/>
  <c r="T31" i="20" s="1" a="1"/>
  <c r="T31" i="20" s="1"/>
  <c r="T32" i="20" s="1" a="1"/>
  <c r="T32" i="20" s="1"/>
  <c r="T33" i="20" s="1" a="1"/>
  <c r="T33" i="20" s="1"/>
  <c r="T34" i="20" s="1" a="1"/>
  <c r="T34" i="20" s="1"/>
  <c r="T35" i="20" s="1" a="1"/>
  <c r="T35" i="20" s="1"/>
  <c r="T36" i="20" s="1" a="1"/>
  <c r="T36" i="20" s="1"/>
  <c r="T37" i="20" s="1" a="1"/>
  <c r="T37" i="20" s="1"/>
  <c r="T38" i="20" s="1" a="1"/>
  <c r="T38" i="20" s="1"/>
  <c r="T39" i="20" s="1" a="1"/>
  <c r="T39" i="20" s="1"/>
  <c r="T40" i="20" s="1" a="1"/>
  <c r="T40" i="20" s="1"/>
  <c r="T41" i="20" s="1" a="1"/>
  <c r="T41" i="20" s="1"/>
  <c r="T42" i="20" s="1" a="1"/>
  <c r="T42" i="20" s="1"/>
  <c r="T43" i="20" s="1" a="1"/>
  <c r="T43" i="20" s="1"/>
  <c r="T44" i="20" s="1" a="1"/>
  <c r="T44" i="20" s="1"/>
  <c r="T45" i="20" s="1" a="1"/>
  <c r="T45" i="20" s="1"/>
  <c r="F27" i="20" a="1"/>
  <c r="F27" i="20" s="1"/>
  <c r="F28" i="20" s="1" a="1"/>
  <c r="F28" i="20" s="1"/>
  <c r="AJ24" i="20"/>
  <c r="AI24" i="20"/>
  <c r="AH24" i="20"/>
  <c r="AG24" i="20"/>
  <c r="AF24" i="20"/>
  <c r="AE24" i="20"/>
  <c r="AK11" i="20" a="1"/>
  <c r="AK11" i="20"/>
  <c r="AJ10" i="20" a="1"/>
  <c r="AJ10" i="20" s="1"/>
  <c r="AI10" i="20" a="1"/>
  <c r="AI10" i="20"/>
  <c r="AH10" i="20" a="1"/>
  <c r="AH10" i="20" s="1"/>
  <c r="AG10" i="20" a="1"/>
  <c r="AG10" i="20"/>
  <c r="AF10" i="20" a="1"/>
  <c r="AF10" i="20" s="1"/>
  <c r="AE10" i="20" a="1"/>
  <c r="AE10" i="20"/>
  <c r="AH9" i="20" a="1"/>
  <c r="AH9" i="20" s="1"/>
  <c r="AF9" i="20" a="1"/>
  <c r="AF9" i="20" s="1"/>
  <c r="AJ7" i="20" a="1"/>
  <c r="AJ7" i="20" s="1"/>
  <c r="AI7" i="20" a="1"/>
  <c r="AI7" i="20"/>
  <c r="AH7" i="20" a="1"/>
  <c r="AH7" i="20" s="1"/>
  <c r="AG7" i="20" a="1"/>
  <c r="AG7" i="20"/>
  <c r="AF7" i="20" a="1"/>
  <c r="AF7" i="20" s="1"/>
  <c r="AE7" i="20" a="1"/>
  <c r="AE7" i="20"/>
  <c r="AJ6" i="20" a="1"/>
  <c r="AJ6" i="20" s="1"/>
  <c r="AJ2" i="20" s="1"/>
  <c r="AI6" i="20" a="1"/>
  <c r="AI6" i="20"/>
  <c r="AI9" i="20" s="1" a="1"/>
  <c r="AI9" i="20" s="1"/>
  <c r="AH6" i="20"/>
  <c r="AG6" i="20"/>
  <c r="AG9" i="20" s="1" a="1"/>
  <c r="AG9" i="20" s="1"/>
  <c r="AF6" i="20"/>
  <c r="AE6" i="20"/>
  <c r="AE9" i="20" s="1" a="1"/>
  <c r="AE9" i="20" s="1"/>
  <c r="T141" i="19"/>
  <c r="L137" i="19" a="1"/>
  <c r="L137" i="19"/>
  <c r="I136" i="19"/>
  <c r="AB135" i="19"/>
  <c r="H135" i="19"/>
  <c r="H134" i="19"/>
  <c r="AP133" i="19" a="1"/>
  <c r="AP133" i="19"/>
  <c r="AP134" i="19" s="1" a="1"/>
  <c r="AP134" i="19" s="1"/>
  <c r="AP135" i="19" s="1" a="1"/>
  <c r="AP135" i="19" s="1"/>
  <c r="AJ133" i="19"/>
  <c r="AJ129" i="19" s="1"/>
  <c r="AI133" i="19"/>
  <c r="AB133" i="19"/>
  <c r="AB134" i="19" s="1"/>
  <c r="I133" i="19" a="1"/>
  <c r="I133" i="19" s="1"/>
  <c r="I134" i="19" s="1" a="1"/>
  <c r="I134" i="19" s="1"/>
  <c r="I135" i="19" s="1" a="1"/>
  <c r="I135" i="19" s="1"/>
  <c r="H132" i="19"/>
  <c r="H131" i="19"/>
  <c r="AP130" i="19" a="1"/>
  <c r="AP130" i="19" s="1"/>
  <c r="AP131" i="19" s="1" a="1"/>
  <c r="AP131" i="19" s="1"/>
  <c r="AP132" i="19" s="1" a="1"/>
  <c r="AP132" i="19" s="1"/>
  <c r="AJ130" i="19"/>
  <c r="AI130" i="19"/>
  <c r="AB130" i="19"/>
  <c r="AB131" i="19" s="1"/>
  <c r="I130" i="19" a="1"/>
  <c r="I130" i="19"/>
  <c r="I131" i="19" s="1" a="1"/>
  <c r="I131" i="19" s="1"/>
  <c r="I132" i="19" s="1" a="1"/>
  <c r="I132" i="19" s="1"/>
  <c r="AI129" i="19"/>
  <c r="L129" i="19" a="1"/>
  <c r="L129" i="19"/>
  <c r="L128" i="19" a="1"/>
  <c r="L128" i="19"/>
  <c r="I127" i="19"/>
  <c r="H126" i="19"/>
  <c r="H125" i="19"/>
  <c r="AP124" i="19" a="1"/>
  <c r="AP124" i="19" s="1"/>
  <c r="AP125" i="19" s="1" a="1"/>
  <c r="AP125" i="19" s="1"/>
  <c r="AP126" i="19" s="1" a="1"/>
  <c r="AP126" i="19" s="1"/>
  <c r="AJ124" i="19"/>
  <c r="AI124" i="19"/>
  <c r="AB124" i="19"/>
  <c r="AB126" i="19" s="1"/>
  <c r="I124" i="19" a="1"/>
  <c r="I124" i="19"/>
  <c r="I125" i="19" s="1" a="1"/>
  <c r="I125" i="19" s="1"/>
  <c r="I126" i="19" s="1" a="1"/>
  <c r="I126" i="19" s="1"/>
  <c r="AB123" i="19"/>
  <c r="H123" i="19"/>
  <c r="AP122" i="19" a="1"/>
  <c r="AP122" i="19"/>
  <c r="AP123" i="19" s="1" a="1"/>
  <c r="AP123" i="19" s="1"/>
  <c r="H122" i="19"/>
  <c r="AP121" i="19" a="1"/>
  <c r="AP121" i="19"/>
  <c r="AJ121" i="19"/>
  <c r="AJ120" i="19" s="1"/>
  <c r="AI121" i="19"/>
  <c r="AI120" i="19" s="1"/>
  <c r="AB121" i="19"/>
  <c r="AB122" i="19" s="1"/>
  <c r="I121" i="19" a="1"/>
  <c r="I121" i="19"/>
  <c r="I122" i="19" s="1" a="1"/>
  <c r="I122" i="19" s="1"/>
  <c r="I123" i="19" s="1" a="1"/>
  <c r="I123" i="19" s="1"/>
  <c r="L120" i="19" a="1"/>
  <c r="L120" i="19"/>
  <c r="L119" i="19" a="1"/>
  <c r="L119" i="19" s="1"/>
  <c r="I118" i="19"/>
  <c r="H117" i="19"/>
  <c r="AP116" i="19"/>
  <c r="AP117" i="19" s="1" a="1"/>
  <c r="AP117" i="19" s="1"/>
  <c r="I116" i="19" a="1"/>
  <c r="I116" i="19" s="1"/>
  <c r="I117" i="19" s="1" a="1"/>
  <c r="I117" i="19" s="1"/>
  <c r="H116" i="19"/>
  <c r="AP115" i="19" a="1"/>
  <c r="AP115" i="19" s="1"/>
  <c r="AP116" i="19" s="1" a="1"/>
  <c r="AJ115" i="19"/>
  <c r="AI115" i="19"/>
  <c r="AB115" i="19"/>
  <c r="AB117" i="19" s="1"/>
  <c r="I115" i="19" a="1"/>
  <c r="I115" i="19"/>
  <c r="AB114" i="19"/>
  <c r="H114" i="19"/>
  <c r="H113" i="19"/>
  <c r="AP112" i="19" a="1"/>
  <c r="AP112" i="19"/>
  <c r="AP113" i="19" s="1" a="1"/>
  <c r="AP113" i="19" s="1"/>
  <c r="AP114" i="19" s="1" a="1"/>
  <c r="AP114" i="19" s="1"/>
  <c r="AJ112" i="19"/>
  <c r="AJ108" i="19" s="1"/>
  <c r="AI112" i="19"/>
  <c r="AB112" i="19"/>
  <c r="AB113" i="19" s="1"/>
  <c r="I112" i="19" a="1"/>
  <c r="I112" i="19" s="1"/>
  <c r="I113" i="19" s="1" a="1"/>
  <c r="I113" i="19" s="1"/>
  <c r="I114" i="19" s="1" a="1"/>
  <c r="I114" i="19" s="1"/>
  <c r="AP111" i="19" a="1"/>
  <c r="AP111" i="19" s="1"/>
  <c r="H111" i="19"/>
  <c r="AP110" i="19"/>
  <c r="H110" i="19"/>
  <c r="AP109" i="19" a="1"/>
  <c r="AP109" i="19" s="1"/>
  <c r="AP110" i="19" s="1" a="1"/>
  <c r="AJ109" i="19"/>
  <c r="AI109" i="19"/>
  <c r="AI108" i="19" s="1"/>
  <c r="AB109" i="19"/>
  <c r="AB111" i="19" s="1"/>
  <c r="I109" i="19" a="1"/>
  <c r="I109" i="19"/>
  <c r="I110" i="19" s="1" a="1"/>
  <c r="I110" i="19" s="1"/>
  <c r="I111" i="19" s="1" a="1"/>
  <c r="I111" i="19" s="1"/>
  <c r="L108" i="19" a="1"/>
  <c r="L108" i="19"/>
  <c r="L107" i="19" a="1"/>
  <c r="L107" i="19"/>
  <c r="I106" i="19"/>
  <c r="H105" i="19"/>
  <c r="I104" i="19"/>
  <c r="I105" i="19" s="1" a="1"/>
  <c r="I105" i="19" s="1"/>
  <c r="H104" i="19"/>
  <c r="AP103" i="19" a="1"/>
  <c r="AP103" i="19"/>
  <c r="AP104" i="19" s="1" a="1"/>
  <c r="AP104" i="19" s="1"/>
  <c r="AP105" i="19" s="1" a="1"/>
  <c r="AP105" i="19" s="1"/>
  <c r="AJ103" i="19"/>
  <c r="AI103" i="19"/>
  <c r="AB103" i="19"/>
  <c r="AB105" i="19" s="1"/>
  <c r="I103" i="19" a="1"/>
  <c r="I103" i="19"/>
  <c r="I104" i="19" s="1" a="1"/>
  <c r="AB102" i="19"/>
  <c r="H102" i="19"/>
  <c r="AP101" i="19" a="1"/>
  <c r="AP101" i="19" s="1"/>
  <c r="AP102" i="19" s="1" a="1"/>
  <c r="AP102" i="19" s="1"/>
  <c r="H101" i="19"/>
  <c r="AP100" i="19" a="1"/>
  <c r="AP100" i="19"/>
  <c r="AJ100" i="19"/>
  <c r="AJ96" i="19" s="1"/>
  <c r="AI100" i="19"/>
  <c r="AI96" i="19" s="1"/>
  <c r="AB100" i="19"/>
  <c r="AB101" i="19" s="1"/>
  <c r="I100" i="19" a="1"/>
  <c r="I100" i="19" s="1"/>
  <c r="I101" i="19" s="1" a="1"/>
  <c r="I101" i="19" s="1"/>
  <c r="I102" i="19" s="1" a="1"/>
  <c r="I102" i="19" s="1"/>
  <c r="H99" i="19"/>
  <c r="I98" i="19"/>
  <c r="I99" i="19" s="1" a="1"/>
  <c r="I99" i="19" s="1"/>
  <c r="H98" i="19"/>
  <c r="AP97" i="19" a="1"/>
  <c r="AP97" i="19" s="1"/>
  <c r="AP98" i="19" s="1" a="1"/>
  <c r="AP98" i="19" s="1"/>
  <c r="AP99" i="19" s="1" a="1"/>
  <c r="AP99" i="19" s="1"/>
  <c r="AJ97" i="19"/>
  <c r="AI97" i="19"/>
  <c r="AB97" i="19"/>
  <c r="AB99" i="19" s="1"/>
  <c r="I97" i="19" a="1"/>
  <c r="I97" i="19"/>
  <c r="I98" i="19" s="1" a="1"/>
  <c r="T96" i="19" a="1"/>
  <c r="T96" i="19" s="1"/>
  <c r="L96" i="19" a="1"/>
  <c r="L96" i="19"/>
  <c r="F96" i="19" a="1"/>
  <c r="F96" i="19" s="1"/>
  <c r="F97" i="19" s="1" a="1"/>
  <c r="F97" i="19" s="1"/>
  <c r="AE95" i="19"/>
  <c r="T95" i="19"/>
  <c r="F95" i="19" a="1"/>
  <c r="F95" i="19"/>
  <c r="L94" i="19" a="1"/>
  <c r="L94" i="19"/>
  <c r="I93" i="19"/>
  <c r="H92" i="19"/>
  <c r="I91" i="19"/>
  <c r="I92" i="19" s="1" a="1"/>
  <c r="I92" i="19" s="1"/>
  <c r="H91" i="19"/>
  <c r="AP90" i="19" a="1"/>
  <c r="AP90" i="19" s="1"/>
  <c r="AP91" i="19" s="1" a="1"/>
  <c r="AP91" i="19" s="1"/>
  <c r="AP92" i="19" s="1" a="1"/>
  <c r="AP92" i="19" s="1"/>
  <c r="AJ90" i="19"/>
  <c r="AI90" i="19"/>
  <c r="AB90" i="19"/>
  <c r="AB92" i="19" s="1"/>
  <c r="I90" i="19" a="1"/>
  <c r="I90" i="19"/>
  <c r="I91" i="19" s="1" a="1"/>
  <c r="AB89" i="19"/>
  <c r="H89" i="19"/>
  <c r="AP88" i="19" a="1"/>
  <c r="AP88" i="19" s="1"/>
  <c r="AP89" i="19" s="1" a="1"/>
  <c r="AP89" i="19" s="1"/>
  <c r="H88" i="19"/>
  <c r="AP87" i="19" a="1"/>
  <c r="AP87" i="19"/>
  <c r="AJ87" i="19"/>
  <c r="AJ86" i="19" s="1"/>
  <c r="AI87" i="19"/>
  <c r="AI86" i="19" s="1"/>
  <c r="AB87" i="19"/>
  <c r="AB88" i="19" s="1"/>
  <c r="I87" i="19" a="1"/>
  <c r="I87" i="19" s="1"/>
  <c r="I88" i="19" s="1" a="1"/>
  <c r="I88" i="19" s="1"/>
  <c r="I89" i="19" s="1" a="1"/>
  <c r="I89" i="19" s="1"/>
  <c r="L86" i="19" a="1"/>
  <c r="L86" i="19" s="1"/>
  <c r="L85" i="19" a="1"/>
  <c r="L85" i="19" s="1"/>
  <c r="I84" i="19"/>
  <c r="AP83" i="19" a="1"/>
  <c r="AP83" i="19" s="1"/>
  <c r="H83" i="19"/>
  <c r="AP82" i="19"/>
  <c r="H82" i="19"/>
  <c r="AP81" i="19" a="1"/>
  <c r="AP81" i="19" s="1"/>
  <c r="AP82" i="19" s="1" a="1"/>
  <c r="AJ81" i="19"/>
  <c r="AI81" i="19"/>
  <c r="AI77" i="19" s="1"/>
  <c r="AB81" i="19"/>
  <c r="AB83" i="19" s="1"/>
  <c r="I81" i="19" a="1"/>
  <c r="I81" i="19"/>
  <c r="I82" i="19" s="1" a="1"/>
  <c r="I82" i="19" s="1"/>
  <c r="I83" i="19" s="1" a="1"/>
  <c r="I83" i="19" s="1"/>
  <c r="AB80" i="19"/>
  <c r="I80" i="19" a="1"/>
  <c r="I80" i="19" s="1"/>
  <c r="H80" i="19"/>
  <c r="AP79" i="19" a="1"/>
  <c r="AP79" i="19" s="1"/>
  <c r="AP80" i="19" s="1" a="1"/>
  <c r="AP80" i="19" s="1"/>
  <c r="H79" i="19"/>
  <c r="AP78" i="19" a="1"/>
  <c r="AP78" i="19"/>
  <c r="AJ78" i="19"/>
  <c r="AI78" i="19"/>
  <c r="AB78" i="19"/>
  <c r="AB79" i="19" s="1"/>
  <c r="I78" i="19" a="1"/>
  <c r="I78" i="19" s="1"/>
  <c r="I79" i="19" s="1" a="1"/>
  <c r="I79" i="19" s="1"/>
  <c r="AJ77" i="19"/>
  <c r="L77" i="19" a="1"/>
  <c r="L77" i="19" s="1"/>
  <c r="L76" i="19" a="1"/>
  <c r="L76" i="19" s="1"/>
  <c r="I75" i="19"/>
  <c r="AB74" i="19"/>
  <c r="H74" i="19"/>
  <c r="AP73" i="19" a="1"/>
  <c r="AP73" i="19"/>
  <c r="AP74" i="19" s="1" a="1"/>
  <c r="AP74" i="19" s="1"/>
  <c r="H73" i="19"/>
  <c r="AP72" i="19" a="1"/>
  <c r="AP72" i="19"/>
  <c r="AJ72" i="19"/>
  <c r="AI72" i="19"/>
  <c r="AB72" i="19"/>
  <c r="AB73" i="19" s="1"/>
  <c r="I72" i="19" a="1"/>
  <c r="I72" i="19"/>
  <c r="I73" i="19" s="1" a="1"/>
  <c r="I73" i="19" s="1"/>
  <c r="I74" i="19" s="1" a="1"/>
  <c r="I74" i="19" s="1"/>
  <c r="I71" i="19" a="1"/>
  <c r="I71" i="19" s="1"/>
  <c r="H71" i="19"/>
  <c r="I70" i="19"/>
  <c r="H70" i="19"/>
  <c r="AP69" i="19" a="1"/>
  <c r="AP69" i="19" s="1"/>
  <c r="AP70" i="19" s="1" a="1"/>
  <c r="AP70" i="19" s="1"/>
  <c r="AP71" i="19" s="1" a="1"/>
  <c r="AP71" i="19" s="1"/>
  <c r="AJ69" i="19"/>
  <c r="AI69" i="19"/>
  <c r="AB69" i="19"/>
  <c r="AB71" i="19" s="1"/>
  <c r="I69" i="19" a="1"/>
  <c r="I69" i="19"/>
  <c r="I70" i="19" s="1" a="1"/>
  <c r="AB68" i="19"/>
  <c r="H68" i="19"/>
  <c r="AP67" i="19" a="1"/>
  <c r="AP67" i="19" s="1"/>
  <c r="AP68" i="19" s="1" a="1"/>
  <c r="AP68" i="19" s="1"/>
  <c r="H67" i="19"/>
  <c r="AP66" i="19" a="1"/>
  <c r="AP66" i="19"/>
  <c r="AJ66" i="19"/>
  <c r="AI66" i="19"/>
  <c r="AI65" i="19" s="1"/>
  <c r="AB66" i="19"/>
  <c r="AB67" i="19" s="1"/>
  <c r="I66" i="19" a="1"/>
  <c r="I66" i="19" s="1"/>
  <c r="I67" i="19" s="1" a="1"/>
  <c r="I67" i="19" s="1"/>
  <c r="I68" i="19" s="1" a="1"/>
  <c r="I68" i="19" s="1"/>
  <c r="AJ65" i="19"/>
  <c r="L65" i="19" a="1"/>
  <c r="L65" i="19" s="1"/>
  <c r="L64" i="19" a="1"/>
  <c r="L64" i="19" s="1"/>
  <c r="I63" i="19"/>
  <c r="H62" i="19"/>
  <c r="I61" i="19" a="1"/>
  <c r="I61" i="19" s="1"/>
  <c r="I62" i="19" s="1" a="1"/>
  <c r="I62" i="19" s="1"/>
  <c r="H61" i="19"/>
  <c r="AP60" i="19" a="1"/>
  <c r="AP60" i="19" s="1"/>
  <c r="AP61" i="19" s="1" a="1"/>
  <c r="AP61" i="19" s="1"/>
  <c r="AP62" i="19" s="1" a="1"/>
  <c r="AP62" i="19" s="1"/>
  <c r="AJ60" i="19"/>
  <c r="AI60" i="19"/>
  <c r="AB60" i="19"/>
  <c r="AB62" i="19" s="1"/>
  <c r="I60" i="19" a="1"/>
  <c r="I60" i="19"/>
  <c r="AB59" i="19"/>
  <c r="H59" i="19"/>
  <c r="H58" i="19"/>
  <c r="AP57" i="19" a="1"/>
  <c r="AP57" i="19"/>
  <c r="AP58" i="19" s="1" a="1"/>
  <c r="AP58" i="19" s="1"/>
  <c r="AP59" i="19" s="1" a="1"/>
  <c r="AP59" i="19" s="1"/>
  <c r="AJ57" i="19"/>
  <c r="AJ53" i="19" s="1"/>
  <c r="AI57" i="19"/>
  <c r="AB57" i="19"/>
  <c r="AB58" i="19" s="1"/>
  <c r="I57" i="19" a="1"/>
  <c r="I57" i="19" s="1"/>
  <c r="I58" i="19" s="1" a="1"/>
  <c r="I58" i="19" s="1"/>
  <c r="I59" i="19" s="1" a="1"/>
  <c r="I59" i="19" s="1"/>
  <c r="H56" i="19"/>
  <c r="AP55" i="19"/>
  <c r="AP56" i="19" s="1" a="1"/>
  <c r="AP56" i="19" s="1"/>
  <c r="I55" i="19" a="1"/>
  <c r="I55" i="19" s="1"/>
  <c r="I56" i="19" s="1" a="1"/>
  <c r="I56" i="19" s="1"/>
  <c r="H55" i="19"/>
  <c r="AP54" i="19" a="1"/>
  <c r="AP54" i="19" s="1"/>
  <c r="AP55" i="19" s="1" a="1"/>
  <c r="AJ54" i="19"/>
  <c r="AI54" i="19"/>
  <c r="AI53" i="19" s="1"/>
  <c r="AB54" i="19"/>
  <c r="AB56" i="19" s="1"/>
  <c r="I54" i="19" a="1"/>
  <c r="I54" i="19"/>
  <c r="T53" i="19" a="1"/>
  <c r="T53" i="19" s="1"/>
  <c r="L53" i="19" a="1"/>
  <c r="L53" i="19"/>
  <c r="AE52" i="19"/>
  <c r="T52" i="19"/>
  <c r="F52" i="19" a="1"/>
  <c r="F52" i="19"/>
  <c r="F53" i="19" s="1" a="1"/>
  <c r="F53" i="19" s="1"/>
  <c r="F54" i="19" s="1" a="1"/>
  <c r="F54" i="19" s="1"/>
  <c r="L51" i="19" a="1"/>
  <c r="L51" i="19" s="1"/>
  <c r="I50" i="19"/>
  <c r="AB49" i="19"/>
  <c r="H49" i="19"/>
  <c r="AP48" i="19" a="1"/>
  <c r="AP48" i="19" s="1"/>
  <c r="AP49" i="19" s="1" a="1"/>
  <c r="AP49" i="19" s="1"/>
  <c r="H48" i="19"/>
  <c r="AP47" i="19" a="1"/>
  <c r="AP47" i="19"/>
  <c r="AJ47" i="19"/>
  <c r="AJ46" i="19" s="1"/>
  <c r="AI47" i="19"/>
  <c r="AB47" i="19"/>
  <c r="AB48" i="19" s="1"/>
  <c r="I47" i="19" a="1"/>
  <c r="I47" i="19" s="1"/>
  <c r="I48" i="19" s="1" a="1"/>
  <c r="I48" i="19" s="1"/>
  <c r="I49" i="19" s="1" a="1"/>
  <c r="I49" i="19" s="1"/>
  <c r="AI46" i="19"/>
  <c r="L46" i="19" a="1"/>
  <c r="L46" i="19" s="1"/>
  <c r="L45" i="19" a="1"/>
  <c r="L45" i="19" s="1"/>
  <c r="I44" i="19"/>
  <c r="AB43" i="19"/>
  <c r="H43" i="19"/>
  <c r="AP42" i="19" a="1"/>
  <c r="AP42" i="19" s="1"/>
  <c r="AP43" i="19" s="1" a="1"/>
  <c r="AP43" i="19" s="1"/>
  <c r="H42" i="19"/>
  <c r="AP41" i="19" a="1"/>
  <c r="AP41" i="19"/>
  <c r="AJ41" i="19"/>
  <c r="AI41" i="19"/>
  <c r="AI40" i="19" s="1"/>
  <c r="AB41" i="19"/>
  <c r="AB42" i="19" s="1"/>
  <c r="I41" i="19" a="1"/>
  <c r="I41" i="19" s="1"/>
  <c r="I42" i="19" s="1" a="1"/>
  <c r="I42" i="19" s="1"/>
  <c r="I43" i="19" s="1" a="1"/>
  <c r="I43" i="19" s="1"/>
  <c r="AJ40" i="19"/>
  <c r="L40" i="19" a="1"/>
  <c r="L40" i="19" s="1"/>
  <c r="L39" i="19" a="1"/>
  <c r="L39" i="19" s="1"/>
  <c r="I38" i="19"/>
  <c r="AB37" i="19"/>
  <c r="H37" i="19"/>
  <c r="AP36" i="19" a="1"/>
  <c r="AP36" i="19"/>
  <c r="AP37" i="19" s="1" a="1"/>
  <c r="AP37" i="19" s="1"/>
  <c r="H36" i="19"/>
  <c r="AP35" i="19" a="1"/>
  <c r="AP35" i="19"/>
  <c r="AJ35" i="19"/>
  <c r="AJ34" i="19" s="1"/>
  <c r="AI35" i="19"/>
  <c r="AI34" i="19" s="1"/>
  <c r="AB35" i="19"/>
  <c r="AB36" i="19" s="1"/>
  <c r="I35" i="19" a="1"/>
  <c r="I35" i="19"/>
  <c r="I36" i="19" s="1" a="1"/>
  <c r="I36" i="19" s="1"/>
  <c r="I37" i="19" s="1" a="1"/>
  <c r="I37" i="19" s="1"/>
  <c r="L34" i="19" a="1"/>
  <c r="L34" i="19"/>
  <c r="L33" i="19" a="1"/>
  <c r="L33" i="19" s="1"/>
  <c r="I32" i="19"/>
  <c r="AB31" i="19"/>
  <c r="H31" i="19"/>
  <c r="AP30" i="19" a="1"/>
  <c r="AP30" i="19" s="1"/>
  <c r="AP31" i="19" s="1" a="1"/>
  <c r="AP31" i="19" s="1"/>
  <c r="H30" i="19"/>
  <c r="AP29" i="19" a="1"/>
  <c r="AP29" i="19"/>
  <c r="AJ29" i="19"/>
  <c r="AJ28" i="19" s="1"/>
  <c r="AI29" i="19"/>
  <c r="AB29" i="19"/>
  <c r="AB30" i="19" s="1"/>
  <c r="I29" i="19" a="1"/>
  <c r="I29" i="19" s="1"/>
  <c r="I30" i="19" s="1" a="1"/>
  <c r="I30" i="19" s="1"/>
  <c r="I31" i="19" s="1" a="1"/>
  <c r="I31" i="19" s="1"/>
  <c r="AI28" i="19"/>
  <c r="L28" i="19" a="1"/>
  <c r="L28" i="19" s="1"/>
  <c r="T27" i="19"/>
  <c r="T28" i="19" s="1" a="1"/>
  <c r="T28" i="19" s="1"/>
  <c r="F27" i="19" a="1"/>
  <c r="F27" i="19"/>
  <c r="F28" i="19" s="1" a="1"/>
  <c r="F28" i="19" s="1"/>
  <c r="AJ24" i="19"/>
  <c r="AI24" i="19"/>
  <c r="AH24" i="19"/>
  <c r="AG24" i="19"/>
  <c r="AF24" i="19"/>
  <c r="AE24" i="19"/>
  <c r="AJ13" i="19"/>
  <c r="AJ12" i="19" a="1"/>
  <c r="AJ12" i="19"/>
  <c r="AI12" i="19" a="1"/>
  <c r="AI12" i="19" s="1"/>
  <c r="AH12" i="19" a="1"/>
  <c r="AH12" i="19"/>
  <c r="AG12" i="19" a="1"/>
  <c r="AG12" i="19" s="1"/>
  <c r="AF12" i="19" a="1"/>
  <c r="AF12" i="19"/>
  <c r="AE12" i="19" a="1"/>
  <c r="AE12" i="19" s="1"/>
  <c r="AJ11" i="19" a="1"/>
  <c r="AJ11" i="19"/>
  <c r="AI11" i="19" a="1"/>
  <c r="AI11" i="19" s="1"/>
  <c r="AH11" i="19"/>
  <c r="AH13" i="19" s="1"/>
  <c r="AG11" i="19"/>
  <c r="AG7" i="19" s="1" a="1"/>
  <c r="AG7" i="19" s="1"/>
  <c r="AF11" i="19"/>
  <c r="AF13" i="19" s="1"/>
  <c r="AE11" i="19"/>
  <c r="AE7" i="19" s="1" a="1"/>
  <c r="AE7" i="19" s="1"/>
  <c r="AK9" i="19" a="1"/>
  <c r="AK9" i="19"/>
  <c r="AJ8" i="19" a="1"/>
  <c r="AJ8" i="19" s="1"/>
  <c r="AI8" i="19" a="1"/>
  <c r="AI8" i="19"/>
  <c r="AH8" i="19" a="1"/>
  <c r="AH8" i="19" s="1"/>
  <c r="AG8" i="19" a="1"/>
  <c r="AG8" i="19"/>
  <c r="AF8" i="19" a="1"/>
  <c r="AF8" i="19" s="1"/>
  <c r="AE8" i="19" a="1"/>
  <c r="AE8" i="19"/>
  <c r="AJ7" i="19" a="1"/>
  <c r="AJ7" i="19" s="1"/>
  <c r="AH7" i="19" a="1"/>
  <c r="AH7" i="19" s="1"/>
  <c r="AF7" i="19" a="1"/>
  <c r="AF7" i="19" s="1"/>
  <c r="T120" i="18"/>
  <c r="L116" i="18" a="1"/>
  <c r="L116" i="18" s="1"/>
  <c r="L115" i="18" a="1"/>
  <c r="L115" i="18"/>
  <c r="L114" i="18" a="1"/>
  <c r="L114" i="18"/>
  <c r="L113" i="18" a="1"/>
  <c r="L113" i="18"/>
  <c r="H112" i="18"/>
  <c r="AB111" i="18"/>
  <c r="BH110" i="18" a="1"/>
  <c r="BH110" i="18" s="1"/>
  <c r="BH111" i="18" s="1" a="1"/>
  <c r="BH111" i="18" s="1"/>
  <c r="AB110" i="18"/>
  <c r="H110" i="18" a="1"/>
  <c r="H110" i="18" s="1"/>
  <c r="H111" i="18" s="1" a="1"/>
  <c r="H111" i="18" s="1"/>
  <c r="BB109" i="18"/>
  <c r="BA109" i="18"/>
  <c r="AZ109" i="18"/>
  <c r="AY109" i="18"/>
  <c r="AX109" i="18"/>
  <c r="AW109" i="18"/>
  <c r="AV109" i="18"/>
  <c r="AU109" i="18"/>
  <c r="AT109" i="18"/>
  <c r="AS109" i="18"/>
  <c r="AR109" i="18"/>
  <c r="AQ109" i="18"/>
  <c r="AP109" i="18"/>
  <c r="AO109" i="18"/>
  <c r="AN109" i="18"/>
  <c r="AM109" i="18"/>
  <c r="AL109" i="18"/>
  <c r="AK109" i="18"/>
  <c r="AJ109" i="18"/>
  <c r="AI109" i="18"/>
  <c r="AH109" i="18"/>
  <c r="AG109" i="18"/>
  <c r="AF109" i="18"/>
  <c r="AE109" i="18"/>
  <c r="BB108" i="18"/>
  <c r="BA108" i="18"/>
  <c r="AZ108" i="18"/>
  <c r="AY108" i="18"/>
  <c r="AY87" i="18" s="1"/>
  <c r="AX108" i="18"/>
  <c r="AW108" i="18"/>
  <c r="AV108" i="18"/>
  <c r="AU108" i="18"/>
  <c r="AT108" i="18"/>
  <c r="AS108" i="18"/>
  <c r="AR108" i="18"/>
  <c r="AQ108" i="18"/>
  <c r="AQ87" i="18" s="1"/>
  <c r="AP108" i="18"/>
  <c r="AO108" i="18"/>
  <c r="AN108" i="18"/>
  <c r="AM108" i="18"/>
  <c r="AL108" i="18"/>
  <c r="AK108" i="18"/>
  <c r="AJ108" i="18"/>
  <c r="AI108" i="18"/>
  <c r="AI87" i="18" s="1"/>
  <c r="AH108" i="18"/>
  <c r="AG108" i="18"/>
  <c r="AF108" i="18"/>
  <c r="AE108" i="18"/>
  <c r="L108" i="18" a="1"/>
  <c r="L108" i="18" s="1"/>
  <c r="H107" i="18"/>
  <c r="BH106" i="18" a="1"/>
  <c r="BH106" i="18" s="1"/>
  <c r="BH105" i="18" a="1"/>
  <c r="BH105" i="18"/>
  <c r="AB105" i="18"/>
  <c r="AB106" i="18" s="1"/>
  <c r="H105" i="18" a="1"/>
  <c r="H105" i="18"/>
  <c r="H106" i="18" s="1" a="1"/>
  <c r="H106" i="18" s="1"/>
  <c r="BB104" i="18"/>
  <c r="BA104" i="18"/>
  <c r="AZ104" i="18"/>
  <c r="AY104" i="18"/>
  <c r="AX104" i="18"/>
  <c r="AW104" i="18"/>
  <c r="AV104" i="18"/>
  <c r="AU104" i="18"/>
  <c r="AT104" i="18"/>
  <c r="AS104" i="18"/>
  <c r="AR104" i="18"/>
  <c r="AQ104" i="18"/>
  <c r="AP104" i="18"/>
  <c r="AO104" i="18"/>
  <c r="AN104" i="18"/>
  <c r="AM104" i="18"/>
  <c r="AL104" i="18"/>
  <c r="AK104" i="18"/>
  <c r="AJ104" i="18"/>
  <c r="AI104" i="18"/>
  <c r="AH104" i="18"/>
  <c r="AG104" i="18"/>
  <c r="AF104" i="18"/>
  <c r="AE104" i="18"/>
  <c r="BB103" i="18"/>
  <c r="BA103" i="18"/>
  <c r="AZ103" i="18"/>
  <c r="AY103" i="18"/>
  <c r="AX103" i="18"/>
  <c r="AW103" i="18"/>
  <c r="AV103" i="18"/>
  <c r="AU103" i="18"/>
  <c r="AT103" i="18"/>
  <c r="AS103" i="18"/>
  <c r="AR103" i="18"/>
  <c r="AQ103" i="18"/>
  <c r="AP103" i="18"/>
  <c r="AO103" i="18"/>
  <c r="AN103" i="18"/>
  <c r="AM103" i="18"/>
  <c r="AL103" i="18"/>
  <c r="AK103" i="18"/>
  <c r="AJ103" i="18"/>
  <c r="AI103" i="18"/>
  <c r="AH103" i="18"/>
  <c r="AG103" i="18"/>
  <c r="AF103" i="18"/>
  <c r="AE103" i="18"/>
  <c r="L103" i="18" a="1"/>
  <c r="L103" i="18"/>
  <c r="H102" i="18"/>
  <c r="AB101" i="18"/>
  <c r="BH100" i="18" a="1"/>
  <c r="BH100" i="18" s="1"/>
  <c r="BH101" i="18" s="1" a="1"/>
  <c r="BH101" i="18" s="1"/>
  <c r="AB100" i="18"/>
  <c r="H100" i="18" a="1"/>
  <c r="H100" i="18"/>
  <c r="H101" i="18" s="1" a="1"/>
  <c r="H101" i="18" s="1"/>
  <c r="BB99" i="18"/>
  <c r="BA99" i="18"/>
  <c r="AZ99" i="18"/>
  <c r="AY99" i="18"/>
  <c r="AX99" i="18"/>
  <c r="AW99" i="18"/>
  <c r="AV99" i="18"/>
  <c r="AU99" i="18"/>
  <c r="AT99" i="18"/>
  <c r="AS99" i="18"/>
  <c r="AR99" i="18"/>
  <c r="AQ99" i="18"/>
  <c r="AP99" i="18"/>
  <c r="AO99" i="18"/>
  <c r="AN99" i="18"/>
  <c r="AM99" i="18"/>
  <c r="AL99" i="18"/>
  <c r="AK99" i="18"/>
  <c r="AJ99" i="18"/>
  <c r="AI99" i="18"/>
  <c r="AH99" i="18"/>
  <c r="AG99" i="18"/>
  <c r="AF99" i="18"/>
  <c r="AE99" i="18"/>
  <c r="BB98" i="18"/>
  <c r="BA98" i="18"/>
  <c r="AZ98" i="18"/>
  <c r="AY98" i="18"/>
  <c r="AX98" i="18"/>
  <c r="AW98" i="18"/>
  <c r="AV98" i="18"/>
  <c r="AU98" i="18"/>
  <c r="AT98" i="18"/>
  <c r="AS98" i="18"/>
  <c r="AR98" i="18"/>
  <c r="AQ98" i="18"/>
  <c r="AP98" i="18"/>
  <c r="AO98" i="18"/>
  <c r="AN98" i="18"/>
  <c r="AM98" i="18"/>
  <c r="AL98" i="18"/>
  <c r="AK98" i="18"/>
  <c r="AJ98" i="18"/>
  <c r="AI98" i="18"/>
  <c r="AH98" i="18"/>
  <c r="AG98" i="18"/>
  <c r="AF98" i="18"/>
  <c r="AE98" i="18"/>
  <c r="L98" i="18" a="1"/>
  <c r="L98" i="18"/>
  <c r="H97" i="18"/>
  <c r="BH96" i="18" a="1"/>
  <c r="BH96" i="18" s="1"/>
  <c r="BH95" i="18" a="1"/>
  <c r="BH95" i="18" s="1"/>
  <c r="AB95" i="18"/>
  <c r="AB96" i="18" s="1"/>
  <c r="H95" i="18" a="1"/>
  <c r="H95" i="18" s="1"/>
  <c r="H96" i="18" s="1" a="1"/>
  <c r="H96" i="18" s="1"/>
  <c r="BB94" i="18"/>
  <c r="BA94" i="18"/>
  <c r="AZ94" i="18"/>
  <c r="AY94" i="18"/>
  <c r="AX94" i="18"/>
  <c r="AW94" i="18"/>
  <c r="AV94" i="18"/>
  <c r="AU94" i="18"/>
  <c r="AT94" i="18"/>
  <c r="AS94" i="18"/>
  <c r="AR94" i="18"/>
  <c r="AQ94" i="18"/>
  <c r="AP94" i="18"/>
  <c r="AO94" i="18"/>
  <c r="AN94" i="18"/>
  <c r="AM94" i="18"/>
  <c r="AL94" i="18"/>
  <c r="AK94" i="18"/>
  <c r="AJ94" i="18"/>
  <c r="AI94" i="18"/>
  <c r="AH94" i="18"/>
  <c r="AG94" i="18"/>
  <c r="AF94" i="18"/>
  <c r="AE94" i="18"/>
  <c r="BB93" i="18"/>
  <c r="BB87" i="18" s="1"/>
  <c r="BA93" i="18"/>
  <c r="BA87" i="18" s="1"/>
  <c r="AZ93" i="18"/>
  <c r="AY93" i="18"/>
  <c r="AX93" i="18"/>
  <c r="AX87" i="18" s="1"/>
  <c r="AW93" i="18"/>
  <c r="AW87" i="18" s="1"/>
  <c r="AV93" i="18"/>
  <c r="AU93" i="18"/>
  <c r="AT93" i="18"/>
  <c r="AT87" i="18" s="1"/>
  <c r="AS93" i="18"/>
  <c r="AS87" i="18" s="1"/>
  <c r="AR93" i="18"/>
  <c r="AQ93" i="18"/>
  <c r="AP93" i="18"/>
  <c r="AP87" i="18" s="1"/>
  <c r="AO93" i="18"/>
  <c r="AO87" i="18" s="1"/>
  <c r="AN93" i="18"/>
  <c r="AM93" i="18"/>
  <c r="AL93" i="18"/>
  <c r="AL87" i="18" s="1"/>
  <c r="AK93" i="18"/>
  <c r="AK87" i="18" s="1"/>
  <c r="AJ93" i="18"/>
  <c r="AI93" i="18"/>
  <c r="AH93" i="18"/>
  <c r="AH87" i="18" s="1"/>
  <c r="AG93" i="18"/>
  <c r="AG87" i="18" s="1"/>
  <c r="AF93" i="18"/>
  <c r="AE93" i="18"/>
  <c r="L93" i="18" a="1"/>
  <c r="L93" i="18" s="1"/>
  <c r="H92" i="18"/>
  <c r="AB91" i="18"/>
  <c r="BH90" i="18" a="1"/>
  <c r="BH90" i="18"/>
  <c r="BH91" i="18" s="1" a="1"/>
  <c r="BH91" i="18" s="1"/>
  <c r="AB90" i="18"/>
  <c r="H90" i="18" a="1"/>
  <c r="H90" i="18" s="1"/>
  <c r="H91" i="18" s="1" a="1"/>
  <c r="H91" i="18" s="1"/>
  <c r="BB89" i="18"/>
  <c r="BA89" i="18"/>
  <c r="AZ89" i="18"/>
  <c r="AY89" i="18"/>
  <c r="AX89" i="18"/>
  <c r="AW89" i="18"/>
  <c r="AV89" i="18"/>
  <c r="AU89" i="18"/>
  <c r="AT89" i="18"/>
  <c r="AS89" i="18"/>
  <c r="AR89" i="18"/>
  <c r="AQ89" i="18"/>
  <c r="AP89" i="18"/>
  <c r="AO89" i="18"/>
  <c r="AN89" i="18"/>
  <c r="AM89" i="18"/>
  <c r="AL89" i="18"/>
  <c r="AK89" i="18"/>
  <c r="AJ89" i="18"/>
  <c r="AI89" i="18"/>
  <c r="AH89" i="18"/>
  <c r="AG89" i="18"/>
  <c r="AF89" i="18"/>
  <c r="AE89" i="18"/>
  <c r="BB88" i="18"/>
  <c r="BA88" i="18"/>
  <c r="AZ88" i="18"/>
  <c r="AY88" i="18"/>
  <c r="AX88" i="18"/>
  <c r="AW88" i="18"/>
  <c r="AV88" i="18"/>
  <c r="AU88" i="18"/>
  <c r="AT88" i="18"/>
  <c r="AS88" i="18"/>
  <c r="AR88" i="18"/>
  <c r="AQ88" i="18"/>
  <c r="AP88" i="18"/>
  <c r="AO88" i="18"/>
  <c r="AN88" i="18"/>
  <c r="AM88" i="18"/>
  <c r="AL88" i="18"/>
  <c r="AK88" i="18"/>
  <c r="AJ88" i="18"/>
  <c r="AI88" i="18"/>
  <c r="AH88" i="18"/>
  <c r="AG88" i="18"/>
  <c r="AF88" i="18"/>
  <c r="AE88" i="18"/>
  <c r="L88" i="18" a="1"/>
  <c r="L88" i="18" s="1"/>
  <c r="AU87" i="18"/>
  <c r="AM87" i="18"/>
  <c r="AE87" i="18"/>
  <c r="T87" i="18"/>
  <c r="T88" i="18" s="1" a="1"/>
  <c r="T88" i="18" s="1"/>
  <c r="F87" i="18" a="1"/>
  <c r="F87" i="18"/>
  <c r="F88" i="18" s="1" a="1"/>
  <c r="F88" i="18" s="1"/>
  <c r="K114" i="18" s="1"/>
  <c r="L86" i="18" a="1"/>
  <c r="L86" i="18" s="1"/>
  <c r="L85" i="18" a="1"/>
  <c r="L85" i="18" s="1"/>
  <c r="L84" i="18" a="1"/>
  <c r="L84" i="18"/>
  <c r="L83" i="18" a="1"/>
  <c r="L83" i="18"/>
  <c r="H82" i="18"/>
  <c r="BH81" i="18" a="1"/>
  <c r="BH81" i="18" s="1"/>
  <c r="BH80" i="18" a="1"/>
  <c r="BH80" i="18" s="1"/>
  <c r="AB80" i="18"/>
  <c r="AB81" i="18" s="1"/>
  <c r="H80" i="18" a="1"/>
  <c r="H80" i="18" s="1"/>
  <c r="H81" i="18" s="1" a="1"/>
  <c r="H81" i="18" s="1"/>
  <c r="BB79" i="18"/>
  <c r="BA79" i="18"/>
  <c r="AZ79" i="18"/>
  <c r="AY79" i="18"/>
  <c r="AX79" i="18"/>
  <c r="AW79" i="18"/>
  <c r="AV79" i="18"/>
  <c r="AU79" i="18"/>
  <c r="AT79" i="18"/>
  <c r="AS79" i="18"/>
  <c r="AR79" i="18"/>
  <c r="AQ79" i="18"/>
  <c r="AP79" i="18"/>
  <c r="AO79" i="18"/>
  <c r="AN79" i="18"/>
  <c r="AM79" i="18"/>
  <c r="AL79" i="18"/>
  <c r="AK79" i="18"/>
  <c r="AJ79" i="18"/>
  <c r="AI79" i="18"/>
  <c r="AH79" i="18"/>
  <c r="AG79" i="18"/>
  <c r="AF79" i="18"/>
  <c r="AE79" i="18"/>
  <c r="BB78" i="18"/>
  <c r="BA78" i="18"/>
  <c r="AZ78" i="18"/>
  <c r="AY78" i="18"/>
  <c r="AX78" i="18"/>
  <c r="AW78" i="18"/>
  <c r="AV78" i="18"/>
  <c r="AU78" i="18"/>
  <c r="AT78" i="18"/>
  <c r="AS78" i="18"/>
  <c r="AR78" i="18"/>
  <c r="AQ78" i="18"/>
  <c r="AP78" i="18"/>
  <c r="AO78" i="18"/>
  <c r="AN78" i="18"/>
  <c r="AM78" i="18"/>
  <c r="AL78" i="18"/>
  <c r="AK78" i="18"/>
  <c r="AJ78" i="18"/>
  <c r="AI78" i="18"/>
  <c r="AH78" i="18"/>
  <c r="AG78" i="18"/>
  <c r="AF78" i="18"/>
  <c r="AE78" i="18"/>
  <c r="L78" i="18" a="1"/>
  <c r="L78" i="18" s="1"/>
  <c r="H77" i="18"/>
  <c r="H76" i="18"/>
  <c r="BH75" i="18" a="1"/>
  <c r="BH75" i="18"/>
  <c r="BH76" i="18" s="1" a="1"/>
  <c r="BH76" i="18" s="1"/>
  <c r="AB75" i="18"/>
  <c r="AB76" i="18" s="1"/>
  <c r="H75" i="18" a="1"/>
  <c r="H75" i="18"/>
  <c r="H76" i="18" s="1" a="1"/>
  <c r="BB74" i="18"/>
  <c r="BA74" i="18"/>
  <c r="AZ74" i="18"/>
  <c r="AY74" i="18"/>
  <c r="AX74" i="18"/>
  <c r="AW74" i="18"/>
  <c r="AV74" i="18"/>
  <c r="AU74" i="18"/>
  <c r="AT74" i="18"/>
  <c r="AS74" i="18"/>
  <c r="AR74" i="18"/>
  <c r="AQ74" i="18"/>
  <c r="AP74" i="18"/>
  <c r="AO74" i="18"/>
  <c r="AN74" i="18"/>
  <c r="AM74" i="18"/>
  <c r="AL74" i="18"/>
  <c r="AK74" i="18"/>
  <c r="AJ74" i="18"/>
  <c r="AI74" i="18"/>
  <c r="AH74" i="18"/>
  <c r="AG74" i="18"/>
  <c r="AF74" i="18"/>
  <c r="AE74" i="18"/>
  <c r="BB73" i="18"/>
  <c r="BA73" i="18"/>
  <c r="AZ73" i="18"/>
  <c r="AY73" i="18"/>
  <c r="AY57" i="18" s="1"/>
  <c r="AX73" i="18"/>
  <c r="AW73" i="18"/>
  <c r="AV73" i="18"/>
  <c r="AU73" i="18"/>
  <c r="AT73" i="18"/>
  <c r="AS73" i="18"/>
  <c r="AR73" i="18"/>
  <c r="AQ73" i="18"/>
  <c r="AQ57" i="18" s="1"/>
  <c r="AP73" i="18"/>
  <c r="AO73" i="18"/>
  <c r="AN73" i="18"/>
  <c r="AM73" i="18"/>
  <c r="AL73" i="18"/>
  <c r="AK73" i="18"/>
  <c r="AJ73" i="18"/>
  <c r="AI73" i="18"/>
  <c r="AI57" i="18" s="1"/>
  <c r="AH73" i="18"/>
  <c r="AG73" i="18"/>
  <c r="AF73" i="18"/>
  <c r="AE73" i="18"/>
  <c r="L73" i="18" a="1"/>
  <c r="L73" i="18"/>
  <c r="H72" i="18"/>
  <c r="H71" i="18" a="1"/>
  <c r="H71" i="18" s="1"/>
  <c r="BH70" i="18" a="1"/>
  <c r="BH70" i="18" s="1"/>
  <c r="BH71" i="18" s="1" a="1"/>
  <c r="BH71" i="18" s="1"/>
  <c r="AB70" i="18"/>
  <c r="AB71" i="18" s="1"/>
  <c r="H70" i="18" a="1"/>
  <c r="H70" i="18" s="1"/>
  <c r="BB69" i="18"/>
  <c r="BA69" i="18"/>
  <c r="AZ69" i="18"/>
  <c r="AY69" i="18"/>
  <c r="AX69" i="18"/>
  <c r="AW69" i="18"/>
  <c r="AV69" i="18"/>
  <c r="AU69" i="18"/>
  <c r="AT69" i="18"/>
  <c r="AS69" i="18"/>
  <c r="AR69" i="18"/>
  <c r="AQ69" i="18"/>
  <c r="AP69" i="18"/>
  <c r="AO69" i="18"/>
  <c r="AN69" i="18"/>
  <c r="AM69" i="18"/>
  <c r="AL69" i="18"/>
  <c r="AK69" i="18"/>
  <c r="AJ69" i="18"/>
  <c r="AI69" i="18"/>
  <c r="AH69" i="18"/>
  <c r="AG69" i="18"/>
  <c r="AF69" i="18"/>
  <c r="AE69" i="18"/>
  <c r="BB68" i="18"/>
  <c r="BA68" i="18"/>
  <c r="AZ68" i="18"/>
  <c r="AZ57" i="18" s="1"/>
  <c r="AY68" i="18"/>
  <c r="AX68" i="18"/>
  <c r="AW68" i="18"/>
  <c r="AV68" i="18"/>
  <c r="AV57" i="18" s="1"/>
  <c r="AU68" i="18"/>
  <c r="AT68" i="18"/>
  <c r="AS68" i="18"/>
  <c r="AR68" i="18"/>
  <c r="AR57" i="18" s="1"/>
  <c r="AQ68" i="18"/>
  <c r="AP68" i="18"/>
  <c r="AO68" i="18"/>
  <c r="AN68" i="18"/>
  <c r="AN57" i="18" s="1"/>
  <c r="AM68" i="18"/>
  <c r="AL68" i="18"/>
  <c r="AK68" i="18"/>
  <c r="AJ68" i="18"/>
  <c r="AJ57" i="18" s="1"/>
  <c r="AI68" i="18"/>
  <c r="AH68" i="18"/>
  <c r="AG68" i="18"/>
  <c r="AF68" i="18"/>
  <c r="AF57" i="18" s="1"/>
  <c r="AE68" i="18"/>
  <c r="L68" i="18" a="1"/>
  <c r="L68" i="18" s="1"/>
  <c r="H67" i="18"/>
  <c r="AB66" i="18"/>
  <c r="BH65" i="18" a="1"/>
  <c r="BH65" i="18"/>
  <c r="BH66" i="18" s="1" a="1"/>
  <c r="BH66" i="18" s="1"/>
  <c r="AB65" i="18"/>
  <c r="H65" i="18" a="1"/>
  <c r="H65" i="18"/>
  <c r="H66" i="18" s="1" a="1"/>
  <c r="H66" i="18" s="1"/>
  <c r="BB64" i="18"/>
  <c r="BA64" i="18"/>
  <c r="AZ64" i="18"/>
  <c r="AY64" i="18"/>
  <c r="AX64" i="18"/>
  <c r="AW64" i="18"/>
  <c r="AV64" i="18"/>
  <c r="AU64" i="18"/>
  <c r="AT64" i="18"/>
  <c r="AS64" i="18"/>
  <c r="AR64" i="18"/>
  <c r="AQ64" i="18"/>
  <c r="AP64" i="18"/>
  <c r="AO64" i="18"/>
  <c r="AN64" i="18"/>
  <c r="AM64" i="18"/>
  <c r="AL64" i="18"/>
  <c r="AK64" i="18"/>
  <c r="AJ64" i="18"/>
  <c r="AI64" i="18"/>
  <c r="AH64" i="18"/>
  <c r="AG64" i="18"/>
  <c r="AF64" i="18"/>
  <c r="AE64" i="18"/>
  <c r="BB63" i="18"/>
  <c r="BB57" i="18" s="1"/>
  <c r="BA63" i="18"/>
  <c r="AZ63" i="18"/>
  <c r="AY63" i="18"/>
  <c r="AX63" i="18"/>
  <c r="AX57" i="18" s="1"/>
  <c r="AW63" i="18"/>
  <c r="AV63" i="18"/>
  <c r="AU63" i="18"/>
  <c r="AT63" i="18"/>
  <c r="AT57" i="18" s="1"/>
  <c r="AS63" i="18"/>
  <c r="AR63" i="18"/>
  <c r="AQ63" i="18"/>
  <c r="AP63" i="18"/>
  <c r="AP57" i="18" s="1"/>
  <c r="AO63" i="18"/>
  <c r="AN63" i="18"/>
  <c r="AM63" i="18"/>
  <c r="AL63" i="18"/>
  <c r="AL57" i="18" s="1"/>
  <c r="AK63" i="18"/>
  <c r="AJ63" i="18"/>
  <c r="AI63" i="18"/>
  <c r="AH63" i="18"/>
  <c r="AH57" i="18" s="1"/>
  <c r="AG63" i="18"/>
  <c r="AF63" i="18"/>
  <c r="AE63" i="18"/>
  <c r="L63" i="18" a="1"/>
  <c r="L63" i="18"/>
  <c r="H62" i="18"/>
  <c r="H61" i="18" a="1"/>
  <c r="H61" i="18" s="1"/>
  <c r="BH60" i="18" a="1"/>
  <c r="BH60" i="18" s="1"/>
  <c r="BH61" i="18" s="1" a="1"/>
  <c r="BH61" i="18" s="1"/>
  <c r="AB60" i="18"/>
  <c r="AB61" i="18" s="1"/>
  <c r="H60" i="18" a="1"/>
  <c r="H60" i="18" s="1"/>
  <c r="BB59" i="18"/>
  <c r="BA59" i="18"/>
  <c r="AZ59" i="18"/>
  <c r="AY59" i="18"/>
  <c r="AX59" i="18"/>
  <c r="AW59" i="18"/>
  <c r="AV59" i="18"/>
  <c r="AU59" i="18"/>
  <c r="AT59" i="18"/>
  <c r="AS59" i="18"/>
  <c r="AR59" i="18"/>
  <c r="AQ59" i="18"/>
  <c r="AP59" i="18"/>
  <c r="AO59" i="18"/>
  <c r="AN59" i="18"/>
  <c r="AM59" i="18"/>
  <c r="AL59" i="18"/>
  <c r="AK59" i="18"/>
  <c r="AJ59" i="18"/>
  <c r="AI59" i="18"/>
  <c r="AH59" i="18"/>
  <c r="AG59" i="18"/>
  <c r="AF59" i="18"/>
  <c r="AE59" i="18"/>
  <c r="BB58" i="18"/>
  <c r="BA58" i="18"/>
  <c r="AZ58" i="18"/>
  <c r="AY58" i="18"/>
  <c r="AX58" i="18"/>
  <c r="AW58" i="18"/>
  <c r="AV58" i="18"/>
  <c r="AU58" i="18"/>
  <c r="AT58" i="18"/>
  <c r="AS58" i="18"/>
  <c r="AR58" i="18"/>
  <c r="AQ58" i="18"/>
  <c r="AP58" i="18"/>
  <c r="AO58" i="18"/>
  <c r="AN58" i="18"/>
  <c r="AM58" i="18"/>
  <c r="AL58" i="18"/>
  <c r="AK58" i="18"/>
  <c r="AJ58" i="18"/>
  <c r="AI58" i="18"/>
  <c r="AH58" i="18"/>
  <c r="AG58" i="18"/>
  <c r="AF58" i="18"/>
  <c r="AE58" i="18"/>
  <c r="T58" i="18"/>
  <c r="L58" i="18" a="1"/>
  <c r="L58" i="18" s="1"/>
  <c r="AU57" i="18"/>
  <c r="AM57" i="18"/>
  <c r="AE57" i="18"/>
  <c r="T57" i="18"/>
  <c r="T58" i="18" s="1" a="1"/>
  <c r="F57" i="18" a="1"/>
  <c r="F57" i="18"/>
  <c r="F58" i="18" s="1" a="1"/>
  <c r="F58" i="18" s="1"/>
  <c r="L56" i="18" a="1"/>
  <c r="L56" i="18"/>
  <c r="L55" i="18" a="1"/>
  <c r="L55" i="18"/>
  <c r="L54" i="18" a="1"/>
  <c r="L54" i="18" s="1"/>
  <c r="L53" i="18" a="1"/>
  <c r="L53" i="18" s="1"/>
  <c r="H52" i="18"/>
  <c r="BH51" i="18" a="1"/>
  <c r="BH51" i="18" s="1"/>
  <c r="BH50" i="18" a="1"/>
  <c r="BH50" i="18"/>
  <c r="AB50" i="18"/>
  <c r="AB51" i="18" s="1"/>
  <c r="H50" i="18" a="1"/>
  <c r="H50" i="18" s="1"/>
  <c r="H51" i="18" s="1" a="1"/>
  <c r="H51" i="18" s="1"/>
  <c r="BB49" i="18"/>
  <c r="BA49" i="18"/>
  <c r="AZ49" i="18"/>
  <c r="AY49" i="18"/>
  <c r="AX49" i="18"/>
  <c r="AW49" i="18"/>
  <c r="AV49" i="18"/>
  <c r="AU49" i="18"/>
  <c r="AT49" i="18"/>
  <c r="AS49" i="18"/>
  <c r="AR49" i="18"/>
  <c r="AQ49" i="18"/>
  <c r="AP49" i="18"/>
  <c r="AO49" i="18"/>
  <c r="AN49" i="18"/>
  <c r="AM49" i="18"/>
  <c r="AL49" i="18"/>
  <c r="AK49" i="18"/>
  <c r="AJ49" i="18"/>
  <c r="AI49" i="18"/>
  <c r="AH49" i="18"/>
  <c r="AG49" i="18"/>
  <c r="AF49" i="18"/>
  <c r="AE49" i="18"/>
  <c r="BB48" i="18"/>
  <c r="BA48" i="18"/>
  <c r="AZ48" i="18"/>
  <c r="AY48" i="18"/>
  <c r="AX48" i="18"/>
  <c r="AW48" i="18"/>
  <c r="AV48" i="18"/>
  <c r="AU48" i="18"/>
  <c r="AT48" i="18"/>
  <c r="AS48" i="18"/>
  <c r="AR48" i="18"/>
  <c r="AQ48" i="18"/>
  <c r="AP48" i="18"/>
  <c r="AO48" i="18"/>
  <c r="AN48" i="18"/>
  <c r="AM48" i="18"/>
  <c r="AL48" i="18"/>
  <c r="AK48" i="18"/>
  <c r="AJ48" i="18"/>
  <c r="AI48" i="18"/>
  <c r="AH48" i="18"/>
  <c r="AG48" i="18"/>
  <c r="AF48" i="18"/>
  <c r="AE48" i="18"/>
  <c r="L48" i="18" a="1"/>
  <c r="L48" i="18" s="1"/>
  <c r="H47" i="18"/>
  <c r="AB46" i="18"/>
  <c r="BH45" i="18" a="1"/>
  <c r="BH45" i="18" s="1"/>
  <c r="BH46" i="18" s="1" a="1"/>
  <c r="BH46" i="18" s="1"/>
  <c r="AB45" i="18"/>
  <c r="H45" i="18" a="1"/>
  <c r="H45" i="18" s="1"/>
  <c r="H46" i="18" s="1" a="1"/>
  <c r="H46" i="18" s="1"/>
  <c r="BB44" i="18"/>
  <c r="BA44" i="18"/>
  <c r="AZ44" i="18"/>
  <c r="AY44" i="18"/>
  <c r="AX44" i="18"/>
  <c r="AW44" i="18"/>
  <c r="AV44" i="18"/>
  <c r="AU44" i="18"/>
  <c r="AT44" i="18"/>
  <c r="AS44" i="18"/>
  <c r="AR44" i="18"/>
  <c r="AQ44" i="18"/>
  <c r="AP44" i="18"/>
  <c r="AO44" i="18"/>
  <c r="AN44" i="18"/>
  <c r="AM44" i="18"/>
  <c r="AL44" i="18"/>
  <c r="AK44" i="18"/>
  <c r="AJ44" i="18"/>
  <c r="AI44" i="18"/>
  <c r="AH44" i="18"/>
  <c r="AG44" i="18"/>
  <c r="AF44" i="18"/>
  <c r="AE44" i="18"/>
  <c r="BB43" i="18"/>
  <c r="BA43" i="18"/>
  <c r="AZ43" i="18"/>
  <c r="AY43" i="18"/>
  <c r="AX43" i="18"/>
  <c r="AW43" i="18"/>
  <c r="AV43" i="18"/>
  <c r="AU43" i="18"/>
  <c r="AT43" i="18"/>
  <c r="AS43" i="18"/>
  <c r="AR43" i="18"/>
  <c r="AQ43" i="18"/>
  <c r="AP43" i="18"/>
  <c r="AO43" i="18"/>
  <c r="AN43" i="18"/>
  <c r="AM43" i="18"/>
  <c r="AL43" i="18"/>
  <c r="AK43" i="18"/>
  <c r="AJ43" i="18"/>
  <c r="AI43" i="18"/>
  <c r="AH43" i="18"/>
  <c r="AG43" i="18"/>
  <c r="AF43" i="18"/>
  <c r="AE43" i="18"/>
  <c r="L43" i="18" a="1"/>
  <c r="L43" i="18" s="1"/>
  <c r="H42" i="18"/>
  <c r="BH40" i="18" a="1"/>
  <c r="BH40" i="18" s="1"/>
  <c r="BH41" i="18" s="1" a="1"/>
  <c r="BH41" i="18" s="1"/>
  <c r="AB40" i="18"/>
  <c r="AB41" i="18" s="1"/>
  <c r="H40" i="18" a="1"/>
  <c r="H40" i="18" s="1"/>
  <c r="H41" i="18" s="1" a="1"/>
  <c r="H41" i="18" s="1"/>
  <c r="BB39" i="18"/>
  <c r="BA39" i="18"/>
  <c r="AZ39" i="18"/>
  <c r="AY39" i="18"/>
  <c r="AX39" i="18"/>
  <c r="AW39" i="18"/>
  <c r="AV39" i="18"/>
  <c r="AU39" i="18"/>
  <c r="AT39" i="18"/>
  <c r="AS39" i="18"/>
  <c r="AR39" i="18"/>
  <c r="AQ39" i="18"/>
  <c r="AP39" i="18"/>
  <c r="AO39" i="18"/>
  <c r="AN39" i="18"/>
  <c r="AM39" i="18"/>
  <c r="AL39" i="18"/>
  <c r="AK39" i="18"/>
  <c r="AJ39" i="18"/>
  <c r="AI39" i="18"/>
  <c r="AH39" i="18"/>
  <c r="AG39" i="18"/>
  <c r="AF39" i="18"/>
  <c r="AE39" i="18"/>
  <c r="BB38" i="18"/>
  <c r="BA38" i="18"/>
  <c r="AZ38" i="18"/>
  <c r="AY38" i="18"/>
  <c r="AX38" i="18"/>
  <c r="AW38" i="18"/>
  <c r="AV38" i="18"/>
  <c r="AU38" i="18"/>
  <c r="AT38" i="18"/>
  <c r="AS38" i="18"/>
  <c r="AR38" i="18"/>
  <c r="AQ38" i="18"/>
  <c r="AP38" i="18"/>
  <c r="AO38" i="18"/>
  <c r="AN38" i="18"/>
  <c r="AM38" i="18"/>
  <c r="AL38" i="18"/>
  <c r="AK38" i="18"/>
  <c r="AJ38" i="18"/>
  <c r="AI38" i="18"/>
  <c r="AH38" i="18"/>
  <c r="AG38" i="18"/>
  <c r="AF38" i="18"/>
  <c r="AE38" i="18"/>
  <c r="L38" i="18" a="1"/>
  <c r="L38" i="18" s="1"/>
  <c r="H37" i="18"/>
  <c r="AB36" i="18"/>
  <c r="BH35" i="18" a="1"/>
  <c r="BH35" i="18" s="1"/>
  <c r="BH36" i="18" s="1" a="1"/>
  <c r="BH36" i="18" s="1"/>
  <c r="AB35" i="18"/>
  <c r="H35" i="18" a="1"/>
  <c r="H35" i="18"/>
  <c r="H36" i="18" s="1" a="1"/>
  <c r="H36" i="18" s="1"/>
  <c r="BB34" i="18"/>
  <c r="BA34" i="18"/>
  <c r="AZ34" i="18"/>
  <c r="AY34" i="18"/>
  <c r="AX34" i="18"/>
  <c r="AW34" i="18"/>
  <c r="AV34" i="18"/>
  <c r="AU34" i="18"/>
  <c r="AT34" i="18"/>
  <c r="AS34" i="18"/>
  <c r="AR34" i="18"/>
  <c r="AQ34" i="18"/>
  <c r="AP34" i="18"/>
  <c r="AO34" i="18"/>
  <c r="AN34" i="18"/>
  <c r="AM34" i="18"/>
  <c r="AL34" i="18"/>
  <c r="AK34" i="18"/>
  <c r="AJ34" i="18"/>
  <c r="AI34" i="18"/>
  <c r="AH34" i="18"/>
  <c r="AG34" i="18"/>
  <c r="AF34" i="18"/>
  <c r="AE34" i="18"/>
  <c r="BB33" i="18"/>
  <c r="BA33" i="18"/>
  <c r="AZ33" i="18"/>
  <c r="AZ27" i="18" s="1"/>
  <c r="AY33" i="18"/>
  <c r="AY27" i="18" s="1"/>
  <c r="AX33" i="18"/>
  <c r="AW33" i="18"/>
  <c r="AV33" i="18"/>
  <c r="AU33" i="18"/>
  <c r="AU27" i="18" s="1"/>
  <c r="AT33" i="18"/>
  <c r="AS33" i="18"/>
  <c r="AR33" i="18"/>
  <c r="AR27" i="18" s="1"/>
  <c r="AQ33" i="18"/>
  <c r="AQ27" i="18" s="1"/>
  <c r="AP33" i="18"/>
  <c r="AO33" i="18"/>
  <c r="AN33" i="18"/>
  <c r="AM33" i="18"/>
  <c r="AM27" i="18" s="1"/>
  <c r="AL33" i="18"/>
  <c r="AK33" i="18"/>
  <c r="AJ33" i="18"/>
  <c r="AJ27" i="18" s="1"/>
  <c r="AI33" i="18"/>
  <c r="AI27" i="18" s="1"/>
  <c r="AH33" i="18"/>
  <c r="AG33" i="18"/>
  <c r="AF33" i="18"/>
  <c r="AE33" i="18"/>
  <c r="AE27" i="18" s="1"/>
  <c r="L33" i="18" a="1"/>
  <c r="L33" i="18"/>
  <c r="H32" i="18"/>
  <c r="BH31" i="18" a="1"/>
  <c r="BH31" i="18" s="1"/>
  <c r="BH30" i="18" a="1"/>
  <c r="BH30" i="18" s="1"/>
  <c r="AB30" i="18"/>
  <c r="AB31" i="18" s="1"/>
  <c r="H30" i="18" a="1"/>
  <c r="H30" i="18" s="1"/>
  <c r="H31" i="18" s="1" a="1"/>
  <c r="H31" i="18" s="1"/>
  <c r="BB29" i="18"/>
  <c r="BA29" i="18"/>
  <c r="AZ29" i="18"/>
  <c r="AY29" i="18"/>
  <c r="AX29" i="18"/>
  <c r="AW29" i="18"/>
  <c r="AV29" i="18"/>
  <c r="AU29" i="18"/>
  <c r="AT29" i="18"/>
  <c r="AS29" i="18"/>
  <c r="AR29" i="18"/>
  <c r="AQ29" i="18"/>
  <c r="AP29" i="18"/>
  <c r="AO29" i="18"/>
  <c r="AN29" i="18"/>
  <c r="AM29" i="18"/>
  <c r="AL29" i="18"/>
  <c r="AK29" i="18"/>
  <c r="AJ29" i="18"/>
  <c r="AI29" i="18"/>
  <c r="AH29" i="18"/>
  <c r="AG29" i="18"/>
  <c r="AF29" i="18"/>
  <c r="AE29" i="18"/>
  <c r="BB28" i="18"/>
  <c r="BA28" i="18"/>
  <c r="AZ28" i="18"/>
  <c r="AY28" i="18"/>
  <c r="AX28" i="18"/>
  <c r="AW28" i="18"/>
  <c r="AW27" i="18" s="1"/>
  <c r="AV28" i="18"/>
  <c r="AU28" i="18"/>
  <c r="AT28" i="18"/>
  <c r="AS28" i="18"/>
  <c r="AR28" i="18"/>
  <c r="AQ28" i="18"/>
  <c r="AP28" i="18"/>
  <c r="AO28" i="18"/>
  <c r="AO27" i="18" s="1"/>
  <c r="AN28" i="18"/>
  <c r="AM28" i="18"/>
  <c r="AL28" i="18"/>
  <c r="AK28" i="18"/>
  <c r="AJ28" i="18"/>
  <c r="AI28" i="18"/>
  <c r="AH28" i="18"/>
  <c r="AG28" i="18"/>
  <c r="AG27" i="18" s="1"/>
  <c r="AF28" i="18"/>
  <c r="AE28" i="18"/>
  <c r="T28" i="18" a="1"/>
  <c r="T28" i="18" s="1"/>
  <c r="L28" i="18" a="1"/>
  <c r="L28" i="18" s="1"/>
  <c r="F28" i="18" a="1"/>
  <c r="F28" i="18" s="1"/>
  <c r="K56" i="18" s="1"/>
  <c r="BA27" i="18"/>
  <c r="AV27" i="18"/>
  <c r="AS27" i="18"/>
  <c r="AN27" i="18"/>
  <c r="AK27" i="18"/>
  <c r="AF27" i="18"/>
  <c r="T27" i="18"/>
  <c r="F27" i="18" a="1"/>
  <c r="F27" i="18" s="1"/>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a="1"/>
  <c r="BC11" i="18" s="1"/>
  <c r="BB10" i="18" a="1"/>
  <c r="BB10" i="18" s="1"/>
  <c r="BA10" i="18" a="1"/>
  <c r="BA10" i="18" s="1"/>
  <c r="AZ10" i="18" a="1"/>
  <c r="AZ10" i="18" s="1"/>
  <c r="AY10" i="18" a="1"/>
  <c r="AY10" i="18" s="1"/>
  <c r="AX10" i="18" a="1"/>
  <c r="AX10" i="18" s="1"/>
  <c r="AW10" i="18" a="1"/>
  <c r="AW10" i="18" s="1"/>
  <c r="AV10" i="18" a="1"/>
  <c r="AV10" i="18" s="1"/>
  <c r="AU10" i="18" a="1"/>
  <c r="AU10" i="18" s="1"/>
  <c r="AT10" i="18" a="1"/>
  <c r="AT10" i="18" s="1"/>
  <c r="AS10" i="18" a="1"/>
  <c r="AS10" i="18" s="1"/>
  <c r="AR10" i="18" a="1"/>
  <c r="AR10" i="18" s="1"/>
  <c r="AQ10" i="18" a="1"/>
  <c r="AQ10" i="18" s="1"/>
  <c r="AP10" i="18" a="1"/>
  <c r="AP10" i="18" s="1"/>
  <c r="AO10" i="18" a="1"/>
  <c r="AO10" i="18" s="1"/>
  <c r="AN10" i="18" a="1"/>
  <c r="AN10" i="18" s="1"/>
  <c r="AM10" i="18" a="1"/>
  <c r="AM10" i="18" s="1"/>
  <c r="AL10" i="18" a="1"/>
  <c r="AL10" i="18" s="1"/>
  <c r="AK10" i="18" a="1"/>
  <c r="AK10" i="18" s="1"/>
  <c r="AJ10" i="18" a="1"/>
  <c r="AJ10" i="18" s="1"/>
  <c r="AI10" i="18" a="1"/>
  <c r="AI10" i="18" s="1"/>
  <c r="AH10" i="18" a="1"/>
  <c r="AH10" i="18" s="1"/>
  <c r="AG10" i="18" a="1"/>
  <c r="AG10" i="18" s="1"/>
  <c r="AF10" i="18" a="1"/>
  <c r="AF10" i="18" s="1"/>
  <c r="AE10" i="18" a="1"/>
  <c r="AE10" i="18" s="1"/>
  <c r="AZ9" i="18" a="1"/>
  <c r="AZ9" i="18" s="1"/>
  <c r="AY9" i="18" a="1"/>
  <c r="AY9" i="18" s="1"/>
  <c r="AV9" i="18" a="1"/>
  <c r="AV9" i="18" s="1"/>
  <c r="AU9" i="18" a="1"/>
  <c r="AU9" i="18" s="1"/>
  <c r="AR9" i="18" a="1"/>
  <c r="AR9" i="18" s="1"/>
  <c r="AP9" i="18" a="1"/>
  <c r="AP9" i="18" s="1"/>
  <c r="AN9" i="18" a="1"/>
  <c r="AN9" i="18" s="1"/>
  <c r="AL9" i="18" a="1"/>
  <c r="AL9" i="18" s="1"/>
  <c r="AJ9" i="18" a="1"/>
  <c r="AJ9" i="18" s="1"/>
  <c r="AH9" i="18" a="1"/>
  <c r="AH9" i="18" s="1"/>
  <c r="AG9" i="18" a="1"/>
  <c r="AG9" i="18" s="1"/>
  <c r="BB7" i="18" a="1"/>
  <c r="BB7" i="18" s="1"/>
  <c r="BA7" i="18" a="1"/>
  <c r="BA7" i="18" s="1"/>
  <c r="AZ7" i="18" a="1"/>
  <c r="AZ7" i="18" s="1"/>
  <c r="AY7" i="18" a="1"/>
  <c r="AY7" i="18" s="1"/>
  <c r="AX7" i="18" a="1"/>
  <c r="AX7" i="18" s="1"/>
  <c r="AW7" i="18" a="1"/>
  <c r="AW7" i="18" s="1"/>
  <c r="AV7" i="18" a="1"/>
  <c r="AV7" i="18" s="1"/>
  <c r="AU7" i="18" a="1"/>
  <c r="AU7" i="18" s="1"/>
  <c r="AT7" i="18" a="1"/>
  <c r="AT7" i="18" s="1"/>
  <c r="AS7" i="18" a="1"/>
  <c r="AS7" i="18" s="1"/>
  <c r="AR7" i="18" a="1"/>
  <c r="AR7" i="18" s="1"/>
  <c r="AQ7" i="18" a="1"/>
  <c r="AQ7" i="18" s="1"/>
  <c r="AP7" i="18" a="1"/>
  <c r="AP7" i="18" s="1"/>
  <c r="AO7" i="18" a="1"/>
  <c r="AO7" i="18" s="1"/>
  <c r="AN7" i="18" a="1"/>
  <c r="AN7" i="18" s="1"/>
  <c r="AM7" i="18" a="1"/>
  <c r="AM7" i="18" s="1"/>
  <c r="AL7" i="18" a="1"/>
  <c r="AL7" i="18" s="1"/>
  <c r="AK7" i="18" a="1"/>
  <c r="AK7" i="18" s="1"/>
  <c r="AJ7" i="18" a="1"/>
  <c r="AJ7" i="18" s="1"/>
  <c r="AI7" i="18" a="1"/>
  <c r="AI7" i="18" s="1"/>
  <c r="AH7" i="18" a="1"/>
  <c r="AH7" i="18" s="1"/>
  <c r="AG7" i="18" a="1"/>
  <c r="AG7" i="18" s="1"/>
  <c r="AF7" i="18" a="1"/>
  <c r="AF7" i="18" s="1"/>
  <c r="AE7" i="18" a="1"/>
  <c r="AE7" i="18" s="1"/>
  <c r="BB6" i="18"/>
  <c r="BB2" i="18" s="1"/>
  <c r="BA6" i="18"/>
  <c r="BA9" i="18" s="1" a="1"/>
  <c r="BA9" i="18" s="1"/>
  <c r="AZ6" i="18"/>
  <c r="AY6" i="18"/>
  <c r="AX6" i="18"/>
  <c r="AX2" i="18" s="1"/>
  <c r="AW6" i="18"/>
  <c r="AW9" i="18" s="1" a="1"/>
  <c r="AW9" i="18" s="1"/>
  <c r="AV6" i="18"/>
  <c r="AU6" i="18"/>
  <c r="AT6" i="18"/>
  <c r="AT2" i="18" s="1"/>
  <c r="AS6" i="18" a="1"/>
  <c r="AS6" i="18" s="1"/>
  <c r="AR6" i="18"/>
  <c r="AQ6" i="18"/>
  <c r="AQ9" i="18" s="1" a="1"/>
  <c r="AQ9" i="18" s="1"/>
  <c r="AP6" i="18"/>
  <c r="AP2" i="18" s="1"/>
  <c r="AO6" i="18"/>
  <c r="AO9" i="18" s="1" a="1"/>
  <c r="AO9" i="18" s="1"/>
  <c r="AN6" i="18"/>
  <c r="AM6" i="18"/>
  <c r="AM9" i="18" s="1" a="1"/>
  <c r="AM9" i="18" s="1"/>
  <c r="AL6" i="18"/>
  <c r="AL2" i="18" s="1"/>
  <c r="AK6" i="18"/>
  <c r="AK9" i="18" s="1" a="1"/>
  <c r="AK9" i="18" s="1"/>
  <c r="AJ6" i="18"/>
  <c r="AI6" i="18" a="1"/>
  <c r="AI6" i="18" s="1"/>
  <c r="AH6" i="18"/>
  <c r="AG6" i="18"/>
  <c r="AF6" i="18"/>
  <c r="AF9" i="18" s="1" a="1"/>
  <c r="AF9" i="18" s="1"/>
  <c r="AE6" i="18"/>
  <c r="AE9" i="18" s="1" a="1"/>
  <c r="AE9" i="18" s="1"/>
  <c r="T51" i="17"/>
  <c r="T41" i="17"/>
  <c r="T42" i="17" s="1" a="1"/>
  <c r="T42" i="17" s="1"/>
  <c r="T43" i="17" s="1" a="1"/>
  <c r="T43" i="17" s="1"/>
  <c r="T44" i="17" s="1" a="1"/>
  <c r="T44" i="17" s="1"/>
  <c r="T45" i="17" s="1" a="1"/>
  <c r="T45" i="17" s="1"/>
  <c r="T46" i="17" s="1" a="1"/>
  <c r="T46" i="17" s="1"/>
  <c r="T47" i="17" s="1" a="1"/>
  <c r="T47" i="17" s="1"/>
  <c r="F41" i="17" a="1"/>
  <c r="F41" i="17" s="1"/>
  <c r="F42" i="17" s="1" a="1"/>
  <c r="F42" i="17" s="1"/>
  <c r="F43" i="17" s="1" a="1"/>
  <c r="F43" i="17" s="1"/>
  <c r="F44" i="17" s="1" a="1"/>
  <c r="F44" i="17" s="1"/>
  <c r="T34" i="17"/>
  <c r="T35" i="17" s="1" a="1"/>
  <c r="T35" i="17" s="1"/>
  <c r="T36" i="17" s="1" a="1"/>
  <c r="T36" i="17" s="1"/>
  <c r="T37" i="17" s="1" a="1"/>
  <c r="T37" i="17" s="1"/>
  <c r="T38" i="17" s="1" a="1"/>
  <c r="T38" i="17" s="1"/>
  <c r="T39" i="17" s="1" a="1"/>
  <c r="T39" i="17" s="1"/>
  <c r="T40" i="17" s="1" a="1"/>
  <c r="T40" i="17" s="1"/>
  <c r="F34" i="17" a="1"/>
  <c r="F34" i="17"/>
  <c r="F35" i="17" s="1" a="1"/>
  <c r="F35" i="17" s="1"/>
  <c r="F36" i="17" s="1" a="1"/>
  <c r="F36" i="17" s="1"/>
  <c r="F37" i="17" s="1" a="1"/>
  <c r="F37" i="17" s="1"/>
  <c r="T28" i="17" a="1"/>
  <c r="T28" i="17" s="1"/>
  <c r="T29" i="17" s="1" a="1"/>
  <c r="T29" i="17" s="1"/>
  <c r="T30" i="17" s="1" a="1"/>
  <c r="T30" i="17" s="1"/>
  <c r="T31" i="17" s="1" a="1"/>
  <c r="T31" i="17" s="1"/>
  <c r="T32" i="17" s="1" a="1"/>
  <c r="T32" i="17" s="1"/>
  <c r="T33" i="17" s="1" a="1"/>
  <c r="T33" i="17" s="1"/>
  <c r="T27" i="17"/>
  <c r="F27" i="17" a="1"/>
  <c r="F27" i="17" s="1"/>
  <c r="F28" i="17" s="1" a="1"/>
  <c r="F28" i="17" s="1"/>
  <c r="F29" i="17" s="1" a="1"/>
  <c r="F29" i="17" s="1"/>
  <c r="F30" i="17" s="1" a="1"/>
  <c r="F30" i="17" s="1"/>
  <c r="AE24" i="17"/>
  <c r="AF14" i="17" a="1"/>
  <c r="AF14" i="17" s="1"/>
  <c r="AE14" i="17" a="1"/>
  <c r="AE14" i="17"/>
  <c r="AF13" i="17" a="1"/>
  <c r="AF13" i="17" s="1"/>
  <c r="AE13" i="17" a="1"/>
  <c r="AE13" i="17"/>
  <c r="AE2" i="17" s="1"/>
  <c r="AF11" i="17" a="1"/>
  <c r="AF11" i="17" s="1"/>
  <c r="AE11" i="17" a="1"/>
  <c r="AE11" i="17"/>
  <c r="T60" i="16"/>
  <c r="BB54" i="16"/>
  <c r="BA54" i="16"/>
  <c r="AZ54" i="16"/>
  <c r="AY54" i="16"/>
  <c r="AX54" i="16"/>
  <c r="AW54" i="16"/>
  <c r="AV54" i="16"/>
  <c r="AU54" i="16"/>
  <c r="AT54" i="16"/>
  <c r="AS54" i="16"/>
  <c r="AR54" i="16"/>
  <c r="AQ54" i="16"/>
  <c r="AP54" i="16"/>
  <c r="AO54" i="16"/>
  <c r="AN54" i="16"/>
  <c r="AM54" i="16"/>
  <c r="AL54" i="16"/>
  <c r="AK54" i="16"/>
  <c r="AJ54" i="16"/>
  <c r="AI54" i="16"/>
  <c r="AH54" i="16"/>
  <c r="AH48" i="16" s="1"/>
  <c r="AG54" i="16"/>
  <c r="AF54" i="16"/>
  <c r="AE54" i="16"/>
  <c r="BB49" i="16"/>
  <c r="BB48" i="16" s="1"/>
  <c r="BA49" i="16"/>
  <c r="BA48" i="16" s="1"/>
  <c r="AZ49" i="16"/>
  <c r="AY49" i="16"/>
  <c r="AX49" i="16"/>
  <c r="AX48" i="16" s="1"/>
  <c r="AW49" i="16"/>
  <c r="AW48" i="16" s="1"/>
  <c r="AV49" i="16"/>
  <c r="AU49" i="16"/>
  <c r="AT49" i="16"/>
  <c r="AT48" i="16" s="1"/>
  <c r="AS49" i="16"/>
  <c r="AS48" i="16" s="1"/>
  <c r="AR49" i="16"/>
  <c r="AQ49" i="16"/>
  <c r="AP49" i="16"/>
  <c r="AP48" i="16" s="1"/>
  <c r="AO49" i="16"/>
  <c r="AO48" i="16" s="1"/>
  <c r="AN49" i="16"/>
  <c r="AM49" i="16"/>
  <c r="AL49" i="16"/>
  <c r="AL48" i="16" s="1"/>
  <c r="AK49" i="16"/>
  <c r="AK48" i="16" s="1"/>
  <c r="AJ49" i="16"/>
  <c r="AI49" i="16"/>
  <c r="AG49" i="16"/>
  <c r="AG48" i="16" s="1"/>
  <c r="AF49" i="16"/>
  <c r="AZ48" i="16"/>
  <c r="AY48" i="16"/>
  <c r="AV48" i="16"/>
  <c r="AU48" i="16"/>
  <c r="AR48" i="16"/>
  <c r="AQ48" i="16"/>
  <c r="AN48" i="16"/>
  <c r="AM48" i="16"/>
  <c r="AJ48" i="16"/>
  <c r="AI48" i="16"/>
  <c r="AF48" i="16"/>
  <c r="AE48" i="16"/>
  <c r="L48" i="16" a="1"/>
  <c r="L48" i="16" s="1"/>
  <c r="T47" i="16"/>
  <c r="T48" i="16" s="1" a="1"/>
  <c r="T48" i="16" s="1"/>
  <c r="T49" i="16" s="1" a="1"/>
  <c r="T49" i="16" s="1"/>
  <c r="T50" i="16" s="1" a="1"/>
  <c r="T50" i="16" s="1"/>
  <c r="T51" i="16" s="1" a="1"/>
  <c r="T51" i="16" s="1"/>
  <c r="T52" i="16" s="1" a="1"/>
  <c r="T52" i="16" s="1"/>
  <c r="T53" i="16" s="1" a="1"/>
  <c r="T53" i="16" s="1"/>
  <c r="T54" i="16" s="1" a="1"/>
  <c r="T54" i="16" s="1"/>
  <c r="T55" i="16" s="1" a="1"/>
  <c r="T55" i="16" s="1"/>
  <c r="T56" i="16" s="1" a="1"/>
  <c r="T56" i="16" s="1"/>
  <c r="F47" i="16" a="1"/>
  <c r="F47" i="16" s="1"/>
  <c r="F48" i="16" s="1" a="1"/>
  <c r="F48" i="16" s="1"/>
  <c r="BB44" i="16"/>
  <c r="BA44" i="16"/>
  <c r="AZ44" i="16"/>
  <c r="AY44" i="16"/>
  <c r="AX44" i="16"/>
  <c r="AW44" i="16"/>
  <c r="AV44" i="16"/>
  <c r="AU44" i="16"/>
  <c r="AT44" i="16"/>
  <c r="AS44" i="16"/>
  <c r="AR44" i="16"/>
  <c r="AQ44" i="16"/>
  <c r="AP44" i="16"/>
  <c r="AO44" i="16"/>
  <c r="AN44" i="16"/>
  <c r="AM44" i="16"/>
  <c r="AL44" i="16"/>
  <c r="AK44" i="16"/>
  <c r="AJ44" i="16"/>
  <c r="AI44" i="16"/>
  <c r="AH44" i="16"/>
  <c r="AG44" i="16"/>
  <c r="AF44" i="16"/>
  <c r="AE44" i="16"/>
  <c r="BB39" i="16"/>
  <c r="BA39" i="16"/>
  <c r="AZ39" i="16"/>
  <c r="AR39" i="16"/>
  <c r="AQ39" i="16"/>
  <c r="AQ38" i="16" s="1"/>
  <c r="AP39" i="16"/>
  <c r="AG39" i="16"/>
  <c r="AF39" i="16"/>
  <c r="BB38" i="16"/>
  <c r="BA38" i="16"/>
  <c r="AZ38" i="16"/>
  <c r="AY38" i="16"/>
  <c r="AX38" i="16"/>
  <c r="AW38" i="16"/>
  <c r="AV38" i="16"/>
  <c r="AU38" i="16"/>
  <c r="AT38" i="16"/>
  <c r="AS38" i="16"/>
  <c r="AR38" i="16"/>
  <c r="AP38" i="16"/>
  <c r="AO38" i="16"/>
  <c r="AN38" i="16"/>
  <c r="AM38" i="16"/>
  <c r="AL38" i="16"/>
  <c r="AK38" i="16"/>
  <c r="AJ38" i="16"/>
  <c r="AI38" i="16"/>
  <c r="AH38" i="16"/>
  <c r="AG38" i="16"/>
  <c r="AF38" i="16"/>
  <c r="AE38" i="16"/>
  <c r="T38" i="16" a="1"/>
  <c r="T38" i="16" s="1"/>
  <c r="T39" i="16" s="1" a="1"/>
  <c r="T39" i="16" s="1"/>
  <c r="T40" i="16" s="1" a="1"/>
  <c r="T40" i="16" s="1"/>
  <c r="T41" i="16" s="1" a="1"/>
  <c r="T41" i="16" s="1"/>
  <c r="T42" i="16" s="1" a="1"/>
  <c r="T42" i="16" s="1"/>
  <c r="T43" i="16" s="1" a="1"/>
  <c r="T43" i="16" s="1"/>
  <c r="T44" i="16" s="1" a="1"/>
  <c r="T44" i="16" s="1"/>
  <c r="T45" i="16" s="1" a="1"/>
  <c r="T45" i="16" s="1"/>
  <c r="T46" i="16" s="1" a="1"/>
  <c r="T46" i="16" s="1"/>
  <c r="L38" i="16" a="1"/>
  <c r="L38" i="16" s="1"/>
  <c r="T37" i="16"/>
  <c r="F37" i="16" a="1"/>
  <c r="F37" i="16" s="1"/>
  <c r="F38" i="16" s="1" a="1"/>
  <c r="F38" i="16" s="1"/>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8" i="16" a="1"/>
  <c r="T28" i="16" s="1"/>
  <c r="T29" i="16" s="1" a="1"/>
  <c r="T29" i="16" s="1"/>
  <c r="T30" i="16" s="1" a="1"/>
  <c r="T30" i="16" s="1"/>
  <c r="T31" i="16" s="1" a="1"/>
  <c r="T31" i="16" s="1"/>
  <c r="T32" i="16" s="1" a="1"/>
  <c r="T32" i="16" s="1"/>
  <c r="T33" i="16" s="1" a="1"/>
  <c r="T33" i="16" s="1"/>
  <c r="T34" i="16" s="1" a="1"/>
  <c r="T34" i="16" s="1"/>
  <c r="T35" i="16" s="1" a="1"/>
  <c r="T35" i="16" s="1"/>
  <c r="T36" i="16" s="1" a="1"/>
  <c r="T36" i="16" s="1"/>
  <c r="L28" i="16" a="1"/>
  <c r="L28" i="16" s="1"/>
  <c r="T27" i="16"/>
  <c r="F27" i="16" a="1"/>
  <c r="F27" i="16" s="1"/>
  <c r="F28" i="16" s="1" a="1"/>
  <c r="F28"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A9" i="16" a="1"/>
  <c r="BA9" i="16" s="1"/>
  <c r="AY9" i="16" a="1"/>
  <c r="AY9" i="16" s="1"/>
  <c r="AW9" i="16" a="1"/>
  <c r="AW9" i="16" s="1"/>
  <c r="AU9" i="16" a="1"/>
  <c r="AU9" i="16" s="1"/>
  <c r="AQ9" i="16" a="1"/>
  <c r="AQ9" i="16" s="1"/>
  <c r="AP9" i="16" a="1"/>
  <c r="AP9" i="16" s="1"/>
  <c r="AM9" i="16" a="1"/>
  <c r="AM9" i="16" s="1"/>
  <c r="AL9" i="16" a="1"/>
  <c r="AL9" i="16" s="1"/>
  <c r="AG9" i="16" a="1"/>
  <c r="AG9" i="16" s="1"/>
  <c r="AE9" i="16" a="1"/>
  <c r="AE9" i="16" s="1"/>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B9" i="16" s="1" a="1"/>
  <c r="BB9" i="16" s="1"/>
  <c r="BA6" i="16"/>
  <c r="AZ6" i="16"/>
  <c r="AZ9" i="16" s="1" a="1"/>
  <c r="AZ9" i="16" s="1"/>
  <c r="AY6" i="16"/>
  <c r="AY2" i="16" s="1"/>
  <c r="AX6" i="16"/>
  <c r="AX9" i="16" s="1" a="1"/>
  <c r="AX9" i="16" s="1"/>
  <c r="AW6" i="16"/>
  <c r="AV6" i="16"/>
  <c r="AV9" i="16" s="1" a="1"/>
  <c r="AV9" i="16" s="1"/>
  <c r="AU6" i="16"/>
  <c r="AU2" i="16" s="1"/>
  <c r="AT6" i="16"/>
  <c r="AT9" i="16" s="1" a="1"/>
  <c r="AT9" i="16" s="1"/>
  <c r="AS6" i="16" a="1"/>
  <c r="AS6" i="16"/>
  <c r="AS9" i="16" s="1" a="1"/>
  <c r="AS9" i="16" s="1"/>
  <c r="AR6" i="16"/>
  <c r="AR9" i="16" s="1" a="1"/>
  <c r="AR9" i="16" s="1"/>
  <c r="AQ6" i="16"/>
  <c r="AQ2" i="16" s="1"/>
  <c r="AP6" i="16"/>
  <c r="AO6" i="16"/>
  <c r="AO9" i="16" s="1" a="1"/>
  <c r="AO9" i="16" s="1"/>
  <c r="AN6" i="16"/>
  <c r="AN9" i="16" s="1" a="1"/>
  <c r="AN9" i="16" s="1"/>
  <c r="AM6" i="16"/>
  <c r="AM2" i="16" s="1"/>
  <c r="AL6" i="16"/>
  <c r="AK6" i="16"/>
  <c r="AK9" i="16" s="1" a="1"/>
  <c r="AK9" i="16" s="1"/>
  <c r="AJ6" i="16"/>
  <c r="AJ9" i="16" s="1" a="1"/>
  <c r="AJ9" i="16" s="1"/>
  <c r="AI6" i="16" a="1"/>
  <c r="AI6" i="16" s="1"/>
  <c r="AH6" i="16"/>
  <c r="AH9" i="16" s="1" a="1"/>
  <c r="AH9" i="16" s="1"/>
  <c r="AG6" i="16"/>
  <c r="AF6" i="16"/>
  <c r="AF9" i="16" s="1" a="1"/>
  <c r="AF9" i="16" s="1"/>
  <c r="AE6" i="16"/>
  <c r="BB2" i="16"/>
  <c r="AX2" i="16"/>
  <c r="AT2" i="16"/>
  <c r="AP2" i="16"/>
  <c r="AL2" i="16"/>
  <c r="T177" i="15"/>
  <c r="BB168" i="15"/>
  <c r="BA168" i="15"/>
  <c r="AZ168" i="15"/>
  <c r="AY168" i="15"/>
  <c r="AX168" i="15"/>
  <c r="AW168" i="15"/>
  <c r="AV168" i="15"/>
  <c r="AU168" i="15"/>
  <c r="AT168" i="15"/>
  <c r="AS168" i="15"/>
  <c r="AR168" i="15"/>
  <c r="AQ168" i="15"/>
  <c r="AP168" i="15"/>
  <c r="AO168" i="15"/>
  <c r="AN168" i="15"/>
  <c r="AM168" i="15"/>
  <c r="AL168" i="15"/>
  <c r="AK168" i="15"/>
  <c r="AJ168" i="15"/>
  <c r="AI168" i="15"/>
  <c r="AH168" i="15"/>
  <c r="AG168" i="15"/>
  <c r="AF168" i="15"/>
  <c r="AE168" i="15"/>
  <c r="BB162" i="15"/>
  <c r="BA162" i="15"/>
  <c r="AZ162" i="15"/>
  <c r="AY162" i="15"/>
  <c r="AX162" i="15"/>
  <c r="AW162" i="15"/>
  <c r="AV162" i="15"/>
  <c r="AU162" i="15"/>
  <c r="AT162" i="15"/>
  <c r="AS162" i="15"/>
  <c r="AR162" i="15"/>
  <c r="AQ162" i="15"/>
  <c r="AP162" i="15"/>
  <c r="AO162" i="15"/>
  <c r="AN162" i="15"/>
  <c r="AM162" i="15"/>
  <c r="AL162" i="15"/>
  <c r="AK162" i="15"/>
  <c r="AJ162" i="15"/>
  <c r="AI162" i="15"/>
  <c r="AG162" i="15"/>
  <c r="AF162" i="15"/>
  <c r="AE162" i="15"/>
  <c r="L162" i="15" a="1"/>
  <c r="L162" i="15" s="1"/>
  <c r="BB149" i="15"/>
  <c r="BB155" i="15" s="1"/>
  <c r="BB161" i="15" s="1"/>
  <c r="BA149" i="15"/>
  <c r="BA155" i="15" s="1"/>
  <c r="BA161" i="15" s="1"/>
  <c r="AZ149" i="15"/>
  <c r="AZ155" i="15" s="1"/>
  <c r="AZ161" i="15" s="1"/>
  <c r="AY149" i="15"/>
  <c r="AY155" i="15" s="1"/>
  <c r="AY161" i="15" s="1"/>
  <c r="AX149" i="15"/>
  <c r="AX155" i="15" s="1"/>
  <c r="AX161" i="15" s="1"/>
  <c r="AW149" i="15"/>
  <c r="AW155" i="15" s="1"/>
  <c r="AW161" i="15" s="1"/>
  <c r="AV149" i="15"/>
  <c r="AV155" i="15" s="1"/>
  <c r="AV161" i="15" s="1"/>
  <c r="AU149" i="15"/>
  <c r="AU155" i="15" s="1"/>
  <c r="AU161" i="15" s="1"/>
  <c r="AT149" i="15"/>
  <c r="AT155" i="15" s="1"/>
  <c r="AT161" i="15" s="1"/>
  <c r="AS149" i="15"/>
  <c r="AS155" i="15" s="1"/>
  <c r="AS161" i="15" s="1"/>
  <c r="AR149" i="15"/>
  <c r="AR155" i="15" s="1"/>
  <c r="AR161" i="15" s="1"/>
  <c r="AQ149" i="15"/>
  <c r="AQ155" i="15" s="1"/>
  <c r="AQ161" i="15" s="1"/>
  <c r="AP149" i="15"/>
  <c r="AP155" i="15" s="1"/>
  <c r="AP161" i="15" s="1"/>
  <c r="AO149" i="15"/>
  <c r="AO155" i="15" s="1"/>
  <c r="AO161" i="15" s="1"/>
  <c r="AN149" i="15"/>
  <c r="AN155" i="15" s="1"/>
  <c r="AN161" i="15" s="1"/>
  <c r="AM149" i="15"/>
  <c r="AM155" i="15" s="1"/>
  <c r="AM161" i="15" s="1"/>
  <c r="AL149" i="15"/>
  <c r="AL155" i="15" s="1"/>
  <c r="AL161" i="15" s="1"/>
  <c r="AK149" i="15"/>
  <c r="AK155" i="15" s="1"/>
  <c r="AK161" i="15" s="1"/>
  <c r="AJ149" i="15"/>
  <c r="AJ155" i="15" s="1"/>
  <c r="AJ161" i="15" s="1"/>
  <c r="AI149" i="15"/>
  <c r="AI155" i="15" s="1"/>
  <c r="AI161" i="15" s="1"/>
  <c r="AH149" i="15"/>
  <c r="AH155" i="15" s="1"/>
  <c r="AH161" i="15" s="1"/>
  <c r="AG149" i="15"/>
  <c r="AG155" i="15" s="1"/>
  <c r="AG161" i="15" s="1"/>
  <c r="AF149" i="15"/>
  <c r="AF155" i="15" s="1"/>
  <c r="AF161" i="15" s="1"/>
  <c r="AE149" i="15"/>
  <c r="AE155" i="15" s="1"/>
  <c r="AE161" i="15" s="1"/>
  <c r="BB148" i="15"/>
  <c r="BB154" i="15" s="1"/>
  <c r="BB160" i="15" s="1"/>
  <c r="BA148" i="15"/>
  <c r="BA154" i="15" s="1"/>
  <c r="BA160" i="15" s="1"/>
  <c r="AZ148" i="15"/>
  <c r="AZ154" i="15" s="1"/>
  <c r="AZ160" i="15" s="1"/>
  <c r="AY148" i="15"/>
  <c r="AY154" i="15" s="1"/>
  <c r="AY160" i="15" s="1"/>
  <c r="AX148" i="15"/>
  <c r="AX154" i="15" s="1"/>
  <c r="AX160" i="15" s="1"/>
  <c r="AW148" i="15"/>
  <c r="AW154" i="15" s="1"/>
  <c r="AW160" i="15" s="1"/>
  <c r="AV148" i="15"/>
  <c r="AV154" i="15" s="1"/>
  <c r="AV160" i="15" s="1"/>
  <c r="AU148" i="15"/>
  <c r="AU154" i="15" s="1"/>
  <c r="AU160" i="15" s="1"/>
  <c r="AT148" i="15"/>
  <c r="AT154" i="15" s="1"/>
  <c r="AT160" i="15" s="1"/>
  <c r="AS148" i="15"/>
  <c r="AS154" i="15" s="1"/>
  <c r="AS160" i="15" s="1"/>
  <c r="AR148" i="15"/>
  <c r="AR154" i="15" s="1"/>
  <c r="AR160" i="15" s="1"/>
  <c r="AQ148" i="15"/>
  <c r="AQ154" i="15" s="1"/>
  <c r="AQ160" i="15" s="1"/>
  <c r="AP148" i="15"/>
  <c r="AP154" i="15" s="1"/>
  <c r="AP160" i="15" s="1"/>
  <c r="AO148" i="15"/>
  <c r="AO154" i="15" s="1"/>
  <c r="AO160" i="15" s="1"/>
  <c r="AN148" i="15"/>
  <c r="AN154" i="15" s="1"/>
  <c r="AN160" i="15" s="1"/>
  <c r="AM148" i="15"/>
  <c r="AM154" i="15" s="1"/>
  <c r="AM160" i="15" s="1"/>
  <c r="AL148" i="15"/>
  <c r="AL154" i="15" s="1"/>
  <c r="AL160" i="15" s="1"/>
  <c r="AK148" i="15"/>
  <c r="AK154" i="15" s="1"/>
  <c r="AK160" i="15" s="1"/>
  <c r="AJ148" i="15"/>
  <c r="AJ154" i="15" s="1"/>
  <c r="AJ160" i="15" s="1"/>
  <c r="AI148" i="15"/>
  <c r="AI154" i="15" s="1"/>
  <c r="AI160" i="15" s="1"/>
  <c r="AH148" i="15"/>
  <c r="AH154" i="15" s="1"/>
  <c r="AH160" i="15" s="1"/>
  <c r="AG148" i="15"/>
  <c r="AG154" i="15" s="1"/>
  <c r="AG160" i="15" s="1"/>
  <c r="AF148" i="15"/>
  <c r="AF154" i="15" s="1"/>
  <c r="AF160" i="15" s="1"/>
  <c r="AE148" i="15"/>
  <c r="AE154" i="15" s="1"/>
  <c r="AE160" i="15" s="1"/>
  <c r="BB147" i="15"/>
  <c r="BB153" i="15" s="1"/>
  <c r="BB159" i="15" s="1"/>
  <c r="BA147" i="15"/>
  <c r="BA153" i="15" s="1"/>
  <c r="BA159" i="15" s="1"/>
  <c r="AZ147" i="15"/>
  <c r="AZ153" i="15" s="1"/>
  <c r="AZ159" i="15" s="1"/>
  <c r="AY147" i="15"/>
  <c r="AY153" i="15" s="1"/>
  <c r="AY159" i="15" s="1"/>
  <c r="AX147" i="15"/>
  <c r="AX153" i="15" s="1"/>
  <c r="AX159" i="15" s="1"/>
  <c r="AW147" i="15"/>
  <c r="AW153" i="15" s="1"/>
  <c r="AW159" i="15" s="1"/>
  <c r="AV147" i="15"/>
  <c r="AV153" i="15" s="1"/>
  <c r="AV159" i="15" s="1"/>
  <c r="AU147" i="15"/>
  <c r="AU153" i="15" s="1"/>
  <c r="AU159" i="15" s="1"/>
  <c r="AT147" i="15"/>
  <c r="AT153" i="15" s="1"/>
  <c r="AT159" i="15" s="1"/>
  <c r="AS147" i="15"/>
  <c r="AS153" i="15" s="1"/>
  <c r="AS159" i="15" s="1"/>
  <c r="AR147" i="15"/>
  <c r="AR153" i="15" s="1"/>
  <c r="AR159" i="15" s="1"/>
  <c r="AQ147" i="15"/>
  <c r="AQ153" i="15" s="1"/>
  <c r="AQ159" i="15" s="1"/>
  <c r="AP147" i="15"/>
  <c r="AP153" i="15" s="1"/>
  <c r="AP159" i="15" s="1"/>
  <c r="AO147" i="15"/>
  <c r="AO153" i="15" s="1"/>
  <c r="AO159" i="15" s="1"/>
  <c r="AN147" i="15"/>
  <c r="AN153" i="15" s="1"/>
  <c r="AN159" i="15" s="1"/>
  <c r="AM147" i="15"/>
  <c r="AM153" i="15" s="1"/>
  <c r="AM159" i="15" s="1"/>
  <c r="AL147" i="15"/>
  <c r="AL153" i="15" s="1"/>
  <c r="AL159" i="15" s="1"/>
  <c r="AK147" i="15"/>
  <c r="AK153" i="15" s="1"/>
  <c r="AK159" i="15" s="1"/>
  <c r="AJ147" i="15"/>
  <c r="AJ153" i="15" s="1"/>
  <c r="AJ159" i="15" s="1"/>
  <c r="AI147" i="15"/>
  <c r="AI153" i="15" s="1"/>
  <c r="AI159" i="15" s="1"/>
  <c r="AH147" i="15"/>
  <c r="AH153" i="15" s="1"/>
  <c r="AH159" i="15" s="1"/>
  <c r="AG147" i="15"/>
  <c r="AG153" i="15" s="1"/>
  <c r="AG159" i="15" s="1"/>
  <c r="AF147" i="15"/>
  <c r="AF153" i="15" s="1"/>
  <c r="AF159" i="15" s="1"/>
  <c r="AE147" i="15"/>
  <c r="AE153" i="15" s="1"/>
  <c r="AE159" i="15" s="1"/>
  <c r="BB146" i="15"/>
  <c r="BB152" i="15" s="1"/>
  <c r="BB158" i="15" s="1"/>
  <c r="BA146" i="15"/>
  <c r="BA152" i="15" s="1"/>
  <c r="BA158" i="15" s="1"/>
  <c r="AZ146" i="15"/>
  <c r="AZ152" i="15" s="1"/>
  <c r="AZ158" i="15" s="1"/>
  <c r="AY146" i="15"/>
  <c r="AY152" i="15" s="1"/>
  <c r="AY158" i="15" s="1"/>
  <c r="AX146" i="15"/>
  <c r="AX152" i="15" s="1"/>
  <c r="AX158" i="15" s="1"/>
  <c r="AW146" i="15"/>
  <c r="AW152" i="15" s="1"/>
  <c r="AW158" i="15" s="1"/>
  <c r="AV146" i="15"/>
  <c r="AV152" i="15" s="1"/>
  <c r="AV158" i="15" s="1"/>
  <c r="AU146" i="15"/>
  <c r="AU152" i="15" s="1"/>
  <c r="AU158" i="15" s="1"/>
  <c r="AT146" i="15"/>
  <c r="AT152" i="15" s="1"/>
  <c r="AT158" i="15" s="1"/>
  <c r="AS146" i="15"/>
  <c r="AS152" i="15" s="1"/>
  <c r="AS158" i="15" s="1"/>
  <c r="AR146" i="15"/>
  <c r="AR152" i="15" s="1"/>
  <c r="AR158" i="15" s="1"/>
  <c r="AQ146" i="15"/>
  <c r="AQ152" i="15" s="1"/>
  <c r="AQ158" i="15" s="1"/>
  <c r="AP146" i="15"/>
  <c r="AP152" i="15" s="1"/>
  <c r="AP158" i="15" s="1"/>
  <c r="AO146" i="15"/>
  <c r="AO152" i="15" s="1"/>
  <c r="AO158" i="15" s="1"/>
  <c r="AN146" i="15"/>
  <c r="AN152" i="15" s="1"/>
  <c r="AN158" i="15" s="1"/>
  <c r="AM146" i="15"/>
  <c r="AM152" i="15" s="1"/>
  <c r="AM158" i="15" s="1"/>
  <c r="AL146" i="15"/>
  <c r="AL152" i="15" s="1"/>
  <c r="AL158" i="15" s="1"/>
  <c r="AK146" i="15"/>
  <c r="AK152" i="15" s="1"/>
  <c r="AK158" i="15" s="1"/>
  <c r="AJ146" i="15"/>
  <c r="AJ152" i="15" s="1"/>
  <c r="AJ158" i="15" s="1"/>
  <c r="AI146" i="15"/>
  <c r="AI152" i="15" s="1"/>
  <c r="AI158" i="15" s="1"/>
  <c r="AH146" i="15"/>
  <c r="AH152" i="15" s="1"/>
  <c r="AH158" i="15" s="1"/>
  <c r="AG146" i="15"/>
  <c r="AG152" i="15" s="1"/>
  <c r="AG158" i="15" s="1"/>
  <c r="AF146" i="15"/>
  <c r="AF152" i="15" s="1"/>
  <c r="AF158" i="15" s="1"/>
  <c r="AE146" i="15"/>
  <c r="AE152" i="15" s="1"/>
  <c r="AE158" i="15" s="1"/>
  <c r="BB145" i="15"/>
  <c r="BB151" i="15" s="1"/>
  <c r="BA145" i="15"/>
  <c r="BA151" i="15" s="1"/>
  <c r="AZ145" i="15"/>
  <c r="AZ151" i="15" s="1"/>
  <c r="AY145" i="15"/>
  <c r="AY151" i="15" s="1"/>
  <c r="AX145" i="15"/>
  <c r="AX151" i="15" s="1"/>
  <c r="AW145" i="15"/>
  <c r="AW151" i="15" s="1"/>
  <c r="AV145" i="15"/>
  <c r="AV151" i="15" s="1"/>
  <c r="AU145" i="15"/>
  <c r="AU151" i="15" s="1"/>
  <c r="AT145" i="15"/>
  <c r="AT151" i="15" s="1"/>
  <c r="AS145" i="15"/>
  <c r="AS151" i="15" s="1"/>
  <c r="AR145" i="15"/>
  <c r="AR151" i="15" s="1"/>
  <c r="AQ145" i="15"/>
  <c r="AQ151" i="15" s="1"/>
  <c r="AP145" i="15"/>
  <c r="AP151" i="15" s="1"/>
  <c r="AO145" i="15"/>
  <c r="AO151" i="15" s="1"/>
  <c r="AN145" i="15"/>
  <c r="AN151" i="15" s="1"/>
  <c r="AM145" i="15"/>
  <c r="AM151" i="15" s="1"/>
  <c r="AL145" i="15"/>
  <c r="AL151" i="15" s="1"/>
  <c r="AK145" i="15"/>
  <c r="AK151" i="15" s="1"/>
  <c r="AJ145" i="15"/>
  <c r="AJ151" i="15" s="1"/>
  <c r="AI145" i="15"/>
  <c r="AI151" i="15" s="1"/>
  <c r="AH145" i="15"/>
  <c r="AH151" i="15" s="1"/>
  <c r="AG145" i="15"/>
  <c r="AG151" i="15" s="1"/>
  <c r="AF145" i="15"/>
  <c r="AF151" i="15" s="1"/>
  <c r="AE145" i="15"/>
  <c r="AE151" i="15" s="1"/>
  <c r="BB144" i="15"/>
  <c r="BA144" i="15"/>
  <c r="AZ144" i="15"/>
  <c r="AY144" i="15"/>
  <c r="AX144" i="15"/>
  <c r="AW144" i="15"/>
  <c r="AV144" i="15"/>
  <c r="AU144" i="15"/>
  <c r="AT144" i="15"/>
  <c r="AS144" i="15"/>
  <c r="AR144" i="15"/>
  <c r="AQ144" i="15"/>
  <c r="AP144" i="15"/>
  <c r="AO144" i="15"/>
  <c r="AN144" i="15"/>
  <c r="AM144" i="15"/>
  <c r="AL144" i="15"/>
  <c r="AK144" i="15"/>
  <c r="AJ144" i="15"/>
  <c r="AI144" i="15"/>
  <c r="AH144" i="15"/>
  <c r="AG144" i="15"/>
  <c r="AF144" i="15"/>
  <c r="AE144" i="15"/>
  <c r="BB138" i="15"/>
  <c r="BA138" i="15"/>
  <c r="AZ138" i="15"/>
  <c r="AY138" i="15"/>
  <c r="AX138" i="15"/>
  <c r="AW138" i="15"/>
  <c r="AV138" i="15"/>
  <c r="AU138" i="15"/>
  <c r="AT138" i="15"/>
  <c r="AS138" i="15"/>
  <c r="AR138" i="15"/>
  <c r="AQ138" i="15"/>
  <c r="AP138" i="15"/>
  <c r="AO138" i="15"/>
  <c r="AN138" i="15"/>
  <c r="AM138" i="15"/>
  <c r="AL138" i="15"/>
  <c r="AK138" i="15"/>
  <c r="AJ138" i="15"/>
  <c r="AI138" i="15"/>
  <c r="AH138" i="15"/>
  <c r="AG138" i="15"/>
  <c r="AF138" i="15"/>
  <c r="AE138" i="15"/>
  <c r="BB132" i="15"/>
  <c r="BA132" i="15"/>
  <c r="AZ132" i="15"/>
  <c r="AY132" i="15"/>
  <c r="AX132" i="15"/>
  <c r="AW132" i="15"/>
  <c r="AV132" i="15"/>
  <c r="AU132" i="15"/>
  <c r="AT132" i="15"/>
  <c r="AS132" i="15"/>
  <c r="AR132" i="15"/>
  <c r="AQ132" i="15"/>
  <c r="AP132" i="15"/>
  <c r="AO132" i="15"/>
  <c r="AN132" i="15"/>
  <c r="AM132" i="15"/>
  <c r="AL132" i="15"/>
  <c r="AK132" i="15"/>
  <c r="AJ132" i="15"/>
  <c r="AI132" i="15"/>
  <c r="AH132" i="15"/>
  <c r="AG132" i="15"/>
  <c r="AF132" i="15"/>
  <c r="AE132" i="15"/>
  <c r="BB126" i="15"/>
  <c r="BA126" i="15"/>
  <c r="AZ126" i="15"/>
  <c r="AY126" i="15"/>
  <c r="AX126" i="15"/>
  <c r="AW126" i="15"/>
  <c r="AV126" i="15"/>
  <c r="AU126" i="15"/>
  <c r="AT126" i="15"/>
  <c r="AS126" i="15"/>
  <c r="AR126" i="15"/>
  <c r="AQ126" i="15"/>
  <c r="AP126" i="15"/>
  <c r="AO126" i="15"/>
  <c r="AN126" i="15"/>
  <c r="AM126" i="15"/>
  <c r="AL126" i="15"/>
  <c r="AK126" i="15"/>
  <c r="AJ126" i="15"/>
  <c r="AI126" i="15"/>
  <c r="AH126" i="15"/>
  <c r="AG126" i="15"/>
  <c r="AF126" i="15"/>
  <c r="AE126" i="15"/>
  <c r="T125" i="15"/>
  <c r="T126" i="15" s="1" a="1"/>
  <c r="T126" i="15" s="1"/>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F125" i="15" a="1"/>
  <c r="F125" i="15" s="1"/>
  <c r="F126" i="15" s="1" a="1"/>
  <c r="F126" i="15" s="1"/>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BB119" i="15"/>
  <c r="BA119" i="15"/>
  <c r="AZ119" i="15"/>
  <c r="AY119" i="15"/>
  <c r="AX119" i="15"/>
  <c r="AW119" i="15"/>
  <c r="AV119" i="15"/>
  <c r="AU119" i="15"/>
  <c r="AT119" i="15"/>
  <c r="AS119" i="15"/>
  <c r="AR119" i="15"/>
  <c r="AQ119" i="15"/>
  <c r="AP119" i="15"/>
  <c r="AO119" i="15"/>
  <c r="AN119" i="15"/>
  <c r="AM119" i="15"/>
  <c r="AL119" i="15"/>
  <c r="AK119" i="15"/>
  <c r="AJ119" i="15"/>
  <c r="AI119" i="15"/>
  <c r="AH119" i="15"/>
  <c r="AG119" i="15"/>
  <c r="AF119" i="15"/>
  <c r="AE119" i="15"/>
  <c r="BB113" i="15"/>
  <c r="BA113" i="15"/>
  <c r="AZ113" i="15"/>
  <c r="AR113" i="15"/>
  <c r="AQ113" i="15"/>
  <c r="AP113" i="15"/>
  <c r="AG113" i="15"/>
  <c r="AF113" i="15"/>
  <c r="L113" i="15" a="1"/>
  <c r="L113" i="15" s="1"/>
  <c r="BB100" i="15"/>
  <c r="BB106" i="15" s="1"/>
  <c r="BB112" i="15" s="1"/>
  <c r="BA100" i="15"/>
  <c r="BA106" i="15" s="1"/>
  <c r="BA112" i="15" s="1"/>
  <c r="AZ100" i="15"/>
  <c r="AZ106" i="15" s="1"/>
  <c r="AZ112" i="15" s="1"/>
  <c r="AY100" i="15"/>
  <c r="AY106" i="15" s="1"/>
  <c r="AY112" i="15" s="1"/>
  <c r="AX100" i="15"/>
  <c r="AX106" i="15" s="1"/>
  <c r="AX112" i="15" s="1"/>
  <c r="AW100" i="15"/>
  <c r="AW106" i="15" s="1"/>
  <c r="AW112" i="15" s="1"/>
  <c r="AV100" i="15"/>
  <c r="AV106" i="15" s="1"/>
  <c r="AV112" i="15" s="1"/>
  <c r="AU100" i="15"/>
  <c r="AU106" i="15" s="1"/>
  <c r="AU112" i="15" s="1"/>
  <c r="AT100" i="15"/>
  <c r="AT106" i="15" s="1"/>
  <c r="AT112" i="15" s="1"/>
  <c r="AS100" i="15"/>
  <c r="AS106" i="15" s="1"/>
  <c r="AS112" i="15" s="1"/>
  <c r="AR100" i="15"/>
  <c r="AR106" i="15" s="1"/>
  <c r="AR112" i="15" s="1"/>
  <c r="AQ100" i="15"/>
  <c r="AQ106" i="15" s="1"/>
  <c r="AQ112" i="15" s="1"/>
  <c r="AP100" i="15"/>
  <c r="AP106" i="15" s="1"/>
  <c r="AP112" i="15" s="1"/>
  <c r="AO100" i="15"/>
  <c r="AO106" i="15" s="1"/>
  <c r="AO112" i="15" s="1"/>
  <c r="AN100" i="15"/>
  <c r="AN106" i="15" s="1"/>
  <c r="AN112" i="15" s="1"/>
  <c r="AM100" i="15"/>
  <c r="AM106" i="15" s="1"/>
  <c r="AM112" i="15" s="1"/>
  <c r="AL100" i="15"/>
  <c r="AL106" i="15" s="1"/>
  <c r="AL112" i="15" s="1"/>
  <c r="AK100" i="15"/>
  <c r="AK106" i="15" s="1"/>
  <c r="AK112" i="15" s="1"/>
  <c r="AJ100" i="15"/>
  <c r="AJ106" i="15" s="1"/>
  <c r="AJ112" i="15" s="1"/>
  <c r="AI100" i="15"/>
  <c r="AI106" i="15" s="1"/>
  <c r="AI112" i="15" s="1"/>
  <c r="AH100" i="15"/>
  <c r="AH106" i="15" s="1"/>
  <c r="AH112" i="15" s="1"/>
  <c r="AG100" i="15"/>
  <c r="AG106" i="15" s="1"/>
  <c r="AG112" i="15" s="1"/>
  <c r="AF100" i="15"/>
  <c r="AF106" i="15" s="1"/>
  <c r="AF112" i="15" s="1"/>
  <c r="AE100" i="15"/>
  <c r="AE106" i="15" s="1"/>
  <c r="AE112" i="15" s="1"/>
  <c r="BB99" i="15"/>
  <c r="BB105" i="15" s="1"/>
  <c r="BB111" i="15" s="1"/>
  <c r="BA99" i="15"/>
  <c r="BA105" i="15" s="1"/>
  <c r="BA111" i="15" s="1"/>
  <c r="AZ99" i="15"/>
  <c r="AZ105" i="15" s="1"/>
  <c r="AZ111" i="15" s="1"/>
  <c r="AY99" i="15"/>
  <c r="AY105" i="15" s="1"/>
  <c r="AY111" i="15" s="1"/>
  <c r="AX99" i="15"/>
  <c r="AX105" i="15" s="1"/>
  <c r="AX111" i="15" s="1"/>
  <c r="AW99" i="15"/>
  <c r="AW105" i="15" s="1"/>
  <c r="AW111" i="15" s="1"/>
  <c r="AV99" i="15"/>
  <c r="AV105" i="15" s="1"/>
  <c r="AV111" i="15" s="1"/>
  <c r="AU99" i="15"/>
  <c r="AU105" i="15" s="1"/>
  <c r="AU111" i="15" s="1"/>
  <c r="AT99" i="15"/>
  <c r="AT105" i="15" s="1"/>
  <c r="AT111" i="15" s="1"/>
  <c r="AS99" i="15"/>
  <c r="AS105" i="15" s="1"/>
  <c r="AS111" i="15" s="1"/>
  <c r="AR99" i="15"/>
  <c r="AR105" i="15" s="1"/>
  <c r="AR111" i="15" s="1"/>
  <c r="AQ99" i="15"/>
  <c r="AQ105" i="15" s="1"/>
  <c r="AQ111" i="15" s="1"/>
  <c r="AP99" i="15"/>
  <c r="AP105" i="15" s="1"/>
  <c r="AP111" i="15" s="1"/>
  <c r="AO99" i="15"/>
  <c r="AO105" i="15" s="1"/>
  <c r="AO111" i="15" s="1"/>
  <c r="AN99" i="15"/>
  <c r="AN105" i="15" s="1"/>
  <c r="AN111" i="15" s="1"/>
  <c r="AM99" i="15"/>
  <c r="AM105" i="15" s="1"/>
  <c r="AM111" i="15" s="1"/>
  <c r="AL99" i="15"/>
  <c r="AL105" i="15" s="1"/>
  <c r="AL111" i="15" s="1"/>
  <c r="AK99" i="15"/>
  <c r="AK105" i="15" s="1"/>
  <c r="AK111" i="15" s="1"/>
  <c r="AJ99" i="15"/>
  <c r="AJ105" i="15" s="1"/>
  <c r="AJ111" i="15" s="1"/>
  <c r="AI99" i="15"/>
  <c r="AI105" i="15" s="1"/>
  <c r="AI111" i="15" s="1"/>
  <c r="AH99" i="15"/>
  <c r="AH105" i="15" s="1"/>
  <c r="AH111" i="15" s="1"/>
  <c r="AG99" i="15"/>
  <c r="AG105" i="15" s="1"/>
  <c r="AG111" i="15" s="1"/>
  <c r="AF99" i="15"/>
  <c r="AF105" i="15" s="1"/>
  <c r="AF111" i="15" s="1"/>
  <c r="AE99" i="15"/>
  <c r="AE105" i="15" s="1"/>
  <c r="AE111" i="15" s="1"/>
  <c r="BB98" i="15"/>
  <c r="BB104" i="15" s="1"/>
  <c r="BB110" i="15" s="1"/>
  <c r="BA98" i="15"/>
  <c r="BA104" i="15" s="1"/>
  <c r="BA110" i="15" s="1"/>
  <c r="AZ98" i="15"/>
  <c r="AZ104" i="15" s="1"/>
  <c r="AZ110" i="15" s="1"/>
  <c r="AY98" i="15"/>
  <c r="AY104" i="15" s="1"/>
  <c r="AY110" i="15" s="1"/>
  <c r="AX98" i="15"/>
  <c r="AX104" i="15" s="1"/>
  <c r="AX110" i="15" s="1"/>
  <c r="AW98" i="15"/>
  <c r="AW104" i="15" s="1"/>
  <c r="AW110" i="15" s="1"/>
  <c r="AV98" i="15"/>
  <c r="AV104" i="15" s="1"/>
  <c r="AV110" i="15" s="1"/>
  <c r="AU98" i="15"/>
  <c r="AU104" i="15" s="1"/>
  <c r="AU110" i="15" s="1"/>
  <c r="AT98" i="15"/>
  <c r="AT104" i="15" s="1"/>
  <c r="AT110" i="15" s="1"/>
  <c r="AS98" i="15"/>
  <c r="AS104" i="15" s="1"/>
  <c r="AS110" i="15" s="1"/>
  <c r="AR98" i="15"/>
  <c r="AR104" i="15" s="1"/>
  <c r="AR110" i="15" s="1"/>
  <c r="AQ98" i="15"/>
  <c r="AQ104" i="15" s="1"/>
  <c r="AQ110" i="15" s="1"/>
  <c r="AP98" i="15"/>
  <c r="AP104" i="15" s="1"/>
  <c r="AP110" i="15" s="1"/>
  <c r="AO98" i="15"/>
  <c r="AO104" i="15" s="1"/>
  <c r="AO110" i="15" s="1"/>
  <c r="AN98" i="15"/>
  <c r="AN104" i="15" s="1"/>
  <c r="AN110" i="15" s="1"/>
  <c r="AM98" i="15"/>
  <c r="AM104" i="15" s="1"/>
  <c r="AM110" i="15" s="1"/>
  <c r="AL98" i="15"/>
  <c r="AL104" i="15" s="1"/>
  <c r="AL110" i="15" s="1"/>
  <c r="AK98" i="15"/>
  <c r="AK104" i="15" s="1"/>
  <c r="AK110" i="15" s="1"/>
  <c r="AJ98" i="15"/>
  <c r="AJ104" i="15" s="1"/>
  <c r="AJ110" i="15" s="1"/>
  <c r="AI98" i="15"/>
  <c r="AI104" i="15" s="1"/>
  <c r="AI110" i="15" s="1"/>
  <c r="AH98" i="15"/>
  <c r="AH104" i="15" s="1"/>
  <c r="AH110" i="15" s="1"/>
  <c r="AG98" i="15"/>
  <c r="AG104" i="15" s="1"/>
  <c r="AG110" i="15" s="1"/>
  <c r="AF98" i="15"/>
  <c r="AF104" i="15" s="1"/>
  <c r="AF110" i="15" s="1"/>
  <c r="AE98" i="15"/>
  <c r="AE104" i="15" s="1"/>
  <c r="AE110" i="15" s="1"/>
  <c r="BB97" i="15"/>
  <c r="BB103" i="15" s="1"/>
  <c r="BB109" i="15" s="1"/>
  <c r="BA97" i="15"/>
  <c r="BA103" i="15" s="1"/>
  <c r="BA109" i="15" s="1"/>
  <c r="AZ97" i="15"/>
  <c r="AZ103" i="15" s="1"/>
  <c r="AZ109" i="15" s="1"/>
  <c r="AY97" i="15"/>
  <c r="AY103" i="15" s="1"/>
  <c r="AY109" i="15" s="1"/>
  <c r="AX97" i="15"/>
  <c r="AX103" i="15" s="1"/>
  <c r="AX109" i="15" s="1"/>
  <c r="AW97" i="15"/>
  <c r="AW103" i="15" s="1"/>
  <c r="AW109" i="15" s="1"/>
  <c r="AV97" i="15"/>
  <c r="AV103" i="15" s="1"/>
  <c r="AV109" i="15" s="1"/>
  <c r="AU97" i="15"/>
  <c r="AU103" i="15" s="1"/>
  <c r="AU109" i="15" s="1"/>
  <c r="AT97" i="15"/>
  <c r="AT103" i="15" s="1"/>
  <c r="AT109" i="15" s="1"/>
  <c r="AS97" i="15"/>
  <c r="AS103" i="15" s="1"/>
  <c r="AS109" i="15" s="1"/>
  <c r="AR97" i="15"/>
  <c r="AR103" i="15" s="1"/>
  <c r="AR109" i="15" s="1"/>
  <c r="AQ97" i="15"/>
  <c r="AQ103" i="15" s="1"/>
  <c r="AQ109" i="15" s="1"/>
  <c r="AP97" i="15"/>
  <c r="AP103" i="15" s="1"/>
  <c r="AP109" i="15" s="1"/>
  <c r="AO97" i="15"/>
  <c r="AO103" i="15" s="1"/>
  <c r="AO109" i="15" s="1"/>
  <c r="AN97" i="15"/>
  <c r="AN103" i="15" s="1"/>
  <c r="AN109" i="15" s="1"/>
  <c r="AM97" i="15"/>
  <c r="AM103" i="15" s="1"/>
  <c r="AM109" i="15" s="1"/>
  <c r="AL97" i="15"/>
  <c r="AL103" i="15" s="1"/>
  <c r="AL109" i="15" s="1"/>
  <c r="AK97" i="15"/>
  <c r="AK103" i="15" s="1"/>
  <c r="AK109" i="15" s="1"/>
  <c r="AJ97" i="15"/>
  <c r="AJ103" i="15" s="1"/>
  <c r="AJ109" i="15" s="1"/>
  <c r="AI97" i="15"/>
  <c r="AI103" i="15" s="1"/>
  <c r="AI109" i="15" s="1"/>
  <c r="AH97" i="15"/>
  <c r="AH103" i="15" s="1"/>
  <c r="AH109" i="15" s="1"/>
  <c r="AG97" i="15"/>
  <c r="AG103" i="15" s="1"/>
  <c r="AG109" i="15" s="1"/>
  <c r="AF97" i="15"/>
  <c r="AF103" i="15" s="1"/>
  <c r="AF109" i="15" s="1"/>
  <c r="AE97" i="15"/>
  <c r="AE103" i="15" s="1"/>
  <c r="AE109" i="15" s="1"/>
  <c r="BB96" i="15"/>
  <c r="BB102" i="15" s="1"/>
  <c r="BA96" i="15"/>
  <c r="BA102" i="15" s="1"/>
  <c r="AZ96" i="15"/>
  <c r="AZ102" i="15" s="1"/>
  <c r="AY96" i="15"/>
  <c r="AY102" i="15" s="1"/>
  <c r="AX96" i="15"/>
  <c r="AX102" i="15" s="1"/>
  <c r="AW96" i="15"/>
  <c r="AW102" i="15" s="1"/>
  <c r="AV96" i="15"/>
  <c r="AV102" i="15" s="1"/>
  <c r="AU96" i="15"/>
  <c r="AU102" i="15" s="1"/>
  <c r="AT96" i="15"/>
  <c r="AT102" i="15" s="1"/>
  <c r="AS96" i="15"/>
  <c r="AS102" i="15" s="1"/>
  <c r="AR96" i="15"/>
  <c r="AR102" i="15" s="1"/>
  <c r="AQ96" i="15"/>
  <c r="AQ102" i="15" s="1"/>
  <c r="AP96" i="15"/>
  <c r="AP102" i="15" s="1"/>
  <c r="AO96" i="15"/>
  <c r="AO102" i="15" s="1"/>
  <c r="AN96" i="15"/>
  <c r="AN102" i="15" s="1"/>
  <c r="AM96" i="15"/>
  <c r="AM102" i="15" s="1"/>
  <c r="AL96" i="15"/>
  <c r="AL102" i="15" s="1"/>
  <c r="AK96" i="15"/>
  <c r="AK102" i="15" s="1"/>
  <c r="AJ96" i="15"/>
  <c r="AJ102" i="15" s="1"/>
  <c r="AI96" i="15"/>
  <c r="AI102" i="15" s="1"/>
  <c r="AH96" i="15"/>
  <c r="AH102" i="15" s="1"/>
  <c r="AG96" i="15"/>
  <c r="AG102" i="15" s="1"/>
  <c r="AF96" i="15"/>
  <c r="AF102" i="15" s="1"/>
  <c r="AE96" i="15"/>
  <c r="AE102" i="15" s="1"/>
  <c r="BB95" i="15"/>
  <c r="BA95" i="15"/>
  <c r="AZ95" i="15"/>
  <c r="AY95" i="15"/>
  <c r="AX95" i="15"/>
  <c r="AW95" i="15"/>
  <c r="AV95" i="15"/>
  <c r="AU95" i="15"/>
  <c r="AT95" i="15"/>
  <c r="AS95" i="15"/>
  <c r="AR95" i="15"/>
  <c r="AQ95" i="15"/>
  <c r="AP95" i="15"/>
  <c r="AO95" i="15"/>
  <c r="AN95" i="15"/>
  <c r="AM95" i="15"/>
  <c r="AL95" i="15"/>
  <c r="AK95" i="15"/>
  <c r="AJ95" i="15"/>
  <c r="AI95" i="15"/>
  <c r="AH95" i="15"/>
  <c r="AG95" i="15"/>
  <c r="AF95" i="15"/>
  <c r="AE95" i="15"/>
  <c r="BB89" i="15"/>
  <c r="BA89" i="15"/>
  <c r="AZ89" i="15"/>
  <c r="AY89" i="15"/>
  <c r="AX89" i="15"/>
  <c r="AW89" i="15"/>
  <c r="AV89" i="15"/>
  <c r="AU89" i="15"/>
  <c r="AT89" i="15"/>
  <c r="AS89" i="15"/>
  <c r="AR89" i="15"/>
  <c r="AQ89" i="15"/>
  <c r="AP89" i="15"/>
  <c r="AO89" i="15"/>
  <c r="AN89" i="15"/>
  <c r="AM89" i="15"/>
  <c r="AL89" i="15"/>
  <c r="AK89" i="15"/>
  <c r="AJ89" i="15"/>
  <c r="AI89" i="15"/>
  <c r="AH89" i="15"/>
  <c r="AG89" i="15"/>
  <c r="AF89" i="15"/>
  <c r="AE89" i="15"/>
  <c r="BB83" i="15"/>
  <c r="BA83" i="15"/>
  <c r="AZ83" i="15"/>
  <c r="AY83" i="15"/>
  <c r="AX83" i="15"/>
  <c r="AW83" i="15"/>
  <c r="AV83" i="15"/>
  <c r="AU83" i="15"/>
  <c r="AT83" i="15"/>
  <c r="AS83" i="15"/>
  <c r="AR83" i="15"/>
  <c r="AQ83" i="15"/>
  <c r="AP83" i="15"/>
  <c r="AO83" i="15"/>
  <c r="AN83" i="15"/>
  <c r="AM83" i="15"/>
  <c r="AL83" i="15"/>
  <c r="AK83" i="15"/>
  <c r="AJ83" i="15"/>
  <c r="AI83" i="15"/>
  <c r="AH83" i="15"/>
  <c r="AG83" i="15"/>
  <c r="AF83" i="15"/>
  <c r="AE83" i="15"/>
  <c r="BB77" i="15"/>
  <c r="BA77" i="15"/>
  <c r="AZ77" i="15"/>
  <c r="AY77" i="15"/>
  <c r="AX77" i="15"/>
  <c r="AW77" i="15"/>
  <c r="AV77" i="15"/>
  <c r="AU77" i="15"/>
  <c r="AT77" i="15"/>
  <c r="AS77" i="15"/>
  <c r="AR77" i="15"/>
  <c r="AQ77" i="15"/>
  <c r="AP77" i="15"/>
  <c r="AO77" i="15"/>
  <c r="AN77" i="15"/>
  <c r="AM77" i="15"/>
  <c r="AL77" i="15"/>
  <c r="AK77" i="15"/>
  <c r="AJ77" i="15"/>
  <c r="AI77" i="15"/>
  <c r="AH77" i="15"/>
  <c r="AG77" i="15"/>
  <c r="AF77" i="15"/>
  <c r="AE77" i="15"/>
  <c r="T76" i="15"/>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F76" i="15" a="1"/>
  <c r="F76" i="15"/>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BB64" i="15"/>
  <c r="BA64" i="15"/>
  <c r="AZ64" i="15"/>
  <c r="AY64" i="15"/>
  <c r="AX64" i="15"/>
  <c r="AW64" i="15"/>
  <c r="AV64" i="15"/>
  <c r="AU64" i="15"/>
  <c r="AT64" i="15"/>
  <c r="AS64" i="15"/>
  <c r="AR64" i="15"/>
  <c r="AQ64" i="15"/>
  <c r="AP64" i="15"/>
  <c r="AO64" i="15"/>
  <c r="AN64" i="15"/>
  <c r="AM64" i="15"/>
  <c r="AL64" i="15"/>
  <c r="AK64" i="15"/>
  <c r="AJ64" i="15"/>
  <c r="AI64" i="15"/>
  <c r="AH64" i="15"/>
  <c r="AG64" i="15"/>
  <c r="AF64" i="15"/>
  <c r="AE64" i="15"/>
  <c r="L64" i="15" a="1"/>
  <c r="L64" i="15" s="1"/>
  <c r="BB51" i="15"/>
  <c r="BB57" i="15" s="1"/>
  <c r="BB63" i="15" s="1"/>
  <c r="BA51" i="15"/>
  <c r="BA57" i="15" s="1"/>
  <c r="BA63" i="15" s="1"/>
  <c r="AZ51" i="15"/>
  <c r="AZ57" i="15" s="1"/>
  <c r="AZ63" i="15" s="1"/>
  <c r="AY51" i="15"/>
  <c r="AY57" i="15" s="1"/>
  <c r="AY63" i="15" s="1"/>
  <c r="AX51" i="15"/>
  <c r="AX57" i="15" s="1"/>
  <c r="AX63" i="15" s="1"/>
  <c r="AW51" i="15"/>
  <c r="AW57" i="15" s="1"/>
  <c r="AW63" i="15" s="1"/>
  <c r="AV51" i="15"/>
  <c r="AV57" i="15" s="1"/>
  <c r="AV63" i="15" s="1"/>
  <c r="AU51" i="15"/>
  <c r="AU57" i="15" s="1"/>
  <c r="AU63" i="15" s="1"/>
  <c r="AT51" i="15"/>
  <c r="AT57" i="15" s="1"/>
  <c r="AT63" i="15" s="1"/>
  <c r="AS51" i="15"/>
  <c r="AS57" i="15" s="1"/>
  <c r="AS63" i="15" s="1"/>
  <c r="AR51" i="15"/>
  <c r="AR57" i="15" s="1"/>
  <c r="AR63" i="15" s="1"/>
  <c r="AQ51" i="15"/>
  <c r="AQ57" i="15" s="1"/>
  <c r="AQ63" i="15" s="1"/>
  <c r="AP51" i="15"/>
  <c r="AP57" i="15" s="1"/>
  <c r="AP63" i="15" s="1"/>
  <c r="AO51" i="15"/>
  <c r="AO57" i="15" s="1"/>
  <c r="AO63" i="15" s="1"/>
  <c r="AN51" i="15"/>
  <c r="AN57" i="15" s="1"/>
  <c r="AN63" i="15" s="1"/>
  <c r="AM51" i="15"/>
  <c r="AM57" i="15" s="1"/>
  <c r="AM63" i="15" s="1"/>
  <c r="AL51" i="15"/>
  <c r="AL57" i="15" s="1"/>
  <c r="AL63" i="15" s="1"/>
  <c r="AK51" i="15"/>
  <c r="AK57" i="15" s="1"/>
  <c r="AK63" i="15" s="1"/>
  <c r="AJ51" i="15"/>
  <c r="AJ57" i="15" s="1"/>
  <c r="AJ63" i="15" s="1"/>
  <c r="AI51" i="15"/>
  <c r="AI57" i="15" s="1"/>
  <c r="AI63" i="15" s="1"/>
  <c r="AH51" i="15"/>
  <c r="AH57" i="15" s="1"/>
  <c r="AH63" i="15" s="1"/>
  <c r="AG51" i="15"/>
  <c r="AG57" i="15" s="1"/>
  <c r="AG63" i="15" s="1"/>
  <c r="AF51" i="15"/>
  <c r="AF57" i="15" s="1"/>
  <c r="AF63" i="15" s="1"/>
  <c r="AE51" i="15"/>
  <c r="AE57" i="15" s="1"/>
  <c r="AE63" i="15" s="1"/>
  <c r="BB50" i="15"/>
  <c r="BB56" i="15" s="1"/>
  <c r="BB62" i="15" s="1"/>
  <c r="BA50" i="15"/>
  <c r="BA56" i="15" s="1"/>
  <c r="BA62" i="15" s="1"/>
  <c r="AZ50" i="15"/>
  <c r="AZ56" i="15" s="1"/>
  <c r="AZ62" i="15" s="1"/>
  <c r="AY50" i="15"/>
  <c r="AY56" i="15" s="1"/>
  <c r="AY62" i="15" s="1"/>
  <c r="AX50" i="15"/>
  <c r="AX56" i="15" s="1"/>
  <c r="AX62" i="15" s="1"/>
  <c r="AW50" i="15"/>
  <c r="AW56" i="15" s="1"/>
  <c r="AW62" i="15" s="1"/>
  <c r="AV50" i="15"/>
  <c r="AV56" i="15" s="1"/>
  <c r="AV62" i="15" s="1"/>
  <c r="AU50" i="15"/>
  <c r="AU56" i="15" s="1"/>
  <c r="AU62" i="15" s="1"/>
  <c r="AT50" i="15"/>
  <c r="AT56" i="15" s="1"/>
  <c r="AT62" i="15" s="1"/>
  <c r="AS50" i="15"/>
  <c r="AS56" i="15" s="1"/>
  <c r="AS62" i="15" s="1"/>
  <c r="AR50" i="15"/>
  <c r="AR56" i="15" s="1"/>
  <c r="AR62" i="15" s="1"/>
  <c r="AQ50" i="15"/>
  <c r="AQ56" i="15" s="1"/>
  <c r="AQ62" i="15" s="1"/>
  <c r="AP50" i="15"/>
  <c r="AP56" i="15" s="1"/>
  <c r="AP62" i="15" s="1"/>
  <c r="AO50" i="15"/>
  <c r="AO56" i="15" s="1"/>
  <c r="AO62" i="15" s="1"/>
  <c r="AN50" i="15"/>
  <c r="AN56" i="15" s="1"/>
  <c r="AN62" i="15" s="1"/>
  <c r="AM50" i="15"/>
  <c r="AM56" i="15" s="1"/>
  <c r="AM62" i="15" s="1"/>
  <c r="AL50" i="15"/>
  <c r="AL56" i="15" s="1"/>
  <c r="AL62" i="15" s="1"/>
  <c r="AK50" i="15"/>
  <c r="AK56" i="15" s="1"/>
  <c r="AK62" i="15" s="1"/>
  <c r="AJ50" i="15"/>
  <c r="AJ56" i="15" s="1"/>
  <c r="AJ62" i="15" s="1"/>
  <c r="AI50" i="15"/>
  <c r="AI56" i="15" s="1"/>
  <c r="AI62" i="15" s="1"/>
  <c r="AH50" i="15"/>
  <c r="AH56" i="15" s="1"/>
  <c r="AH62" i="15" s="1"/>
  <c r="AG50" i="15"/>
  <c r="AG56" i="15" s="1"/>
  <c r="AG62" i="15" s="1"/>
  <c r="AF50" i="15"/>
  <c r="AF56" i="15" s="1"/>
  <c r="AF62" i="15" s="1"/>
  <c r="AE50" i="15"/>
  <c r="AE56" i="15" s="1"/>
  <c r="AE62" i="15" s="1"/>
  <c r="BB49" i="15"/>
  <c r="BB55" i="15" s="1"/>
  <c r="BB61" i="15" s="1"/>
  <c r="BA49" i="15"/>
  <c r="BA55" i="15" s="1"/>
  <c r="BA61" i="15" s="1"/>
  <c r="AZ49" i="15"/>
  <c r="AZ55" i="15" s="1"/>
  <c r="AZ61" i="15" s="1"/>
  <c r="AY49" i="15"/>
  <c r="AY55" i="15" s="1"/>
  <c r="AY61" i="15" s="1"/>
  <c r="AX49" i="15"/>
  <c r="AX55" i="15" s="1"/>
  <c r="AX61" i="15" s="1"/>
  <c r="AW49" i="15"/>
  <c r="AW55" i="15" s="1"/>
  <c r="AW61" i="15" s="1"/>
  <c r="AV49" i="15"/>
  <c r="AV55" i="15" s="1"/>
  <c r="AV61" i="15" s="1"/>
  <c r="AU49" i="15"/>
  <c r="AU55" i="15" s="1"/>
  <c r="AU61" i="15" s="1"/>
  <c r="AT49" i="15"/>
  <c r="AT55" i="15" s="1"/>
  <c r="AT61" i="15" s="1"/>
  <c r="AS49" i="15"/>
  <c r="AS55" i="15" s="1"/>
  <c r="AS61" i="15" s="1"/>
  <c r="AR49" i="15"/>
  <c r="AR55" i="15" s="1"/>
  <c r="AR61" i="15" s="1"/>
  <c r="AQ49" i="15"/>
  <c r="AQ55" i="15" s="1"/>
  <c r="AQ61" i="15" s="1"/>
  <c r="AP49" i="15"/>
  <c r="AP55" i="15" s="1"/>
  <c r="AP61" i="15" s="1"/>
  <c r="AO49" i="15"/>
  <c r="AO55" i="15" s="1"/>
  <c r="AO61" i="15" s="1"/>
  <c r="AN49" i="15"/>
  <c r="AN55" i="15" s="1"/>
  <c r="AN61" i="15" s="1"/>
  <c r="AM49" i="15"/>
  <c r="AM55" i="15" s="1"/>
  <c r="AM61" i="15" s="1"/>
  <c r="AL49" i="15"/>
  <c r="AL55" i="15" s="1"/>
  <c r="AL61" i="15" s="1"/>
  <c r="AK49" i="15"/>
  <c r="AK55" i="15" s="1"/>
  <c r="AK61" i="15" s="1"/>
  <c r="AJ49" i="15"/>
  <c r="AJ55" i="15" s="1"/>
  <c r="AJ61" i="15" s="1"/>
  <c r="AI49" i="15"/>
  <c r="AI55" i="15" s="1"/>
  <c r="AI61" i="15" s="1"/>
  <c r="AH49" i="15"/>
  <c r="AH55" i="15" s="1"/>
  <c r="AH61" i="15" s="1"/>
  <c r="AG49" i="15"/>
  <c r="AG55" i="15" s="1"/>
  <c r="AG61" i="15" s="1"/>
  <c r="AF49" i="15"/>
  <c r="AF55" i="15" s="1"/>
  <c r="AF61" i="15" s="1"/>
  <c r="AE49" i="15"/>
  <c r="AE55" i="15" s="1"/>
  <c r="AE61" i="15" s="1"/>
  <c r="BB48" i="15"/>
  <c r="BB54" i="15" s="1"/>
  <c r="BB60" i="15" s="1"/>
  <c r="BA48" i="15"/>
  <c r="BA54" i="15" s="1"/>
  <c r="BA60" i="15" s="1"/>
  <c r="AZ48" i="15"/>
  <c r="AZ54" i="15" s="1"/>
  <c r="AZ60" i="15" s="1"/>
  <c r="AY48" i="15"/>
  <c r="AY54" i="15" s="1"/>
  <c r="AY60" i="15" s="1"/>
  <c r="AX48" i="15"/>
  <c r="AX54" i="15" s="1"/>
  <c r="AX60" i="15" s="1"/>
  <c r="AW48" i="15"/>
  <c r="AW54" i="15" s="1"/>
  <c r="AW60" i="15" s="1"/>
  <c r="AV48" i="15"/>
  <c r="AV54" i="15" s="1"/>
  <c r="AV60" i="15" s="1"/>
  <c r="AU48" i="15"/>
  <c r="AU54" i="15" s="1"/>
  <c r="AU60" i="15" s="1"/>
  <c r="AT48" i="15"/>
  <c r="AT54" i="15" s="1"/>
  <c r="AT60" i="15" s="1"/>
  <c r="AS48" i="15"/>
  <c r="AS54" i="15" s="1"/>
  <c r="AS60" i="15" s="1"/>
  <c r="AR48" i="15"/>
  <c r="AR54" i="15" s="1"/>
  <c r="AR60" i="15" s="1"/>
  <c r="AQ48" i="15"/>
  <c r="AQ54" i="15" s="1"/>
  <c r="AQ60" i="15" s="1"/>
  <c r="AP48" i="15"/>
  <c r="AP54" i="15" s="1"/>
  <c r="AP60" i="15" s="1"/>
  <c r="AO48" i="15"/>
  <c r="AO54" i="15" s="1"/>
  <c r="AO60" i="15" s="1"/>
  <c r="AN48" i="15"/>
  <c r="AN54" i="15" s="1"/>
  <c r="AN60" i="15" s="1"/>
  <c r="AM48" i="15"/>
  <c r="AM54" i="15" s="1"/>
  <c r="AM60" i="15" s="1"/>
  <c r="AL48" i="15"/>
  <c r="AL54" i="15" s="1"/>
  <c r="AL60" i="15" s="1"/>
  <c r="AK48" i="15"/>
  <c r="AK54" i="15" s="1"/>
  <c r="AK60" i="15" s="1"/>
  <c r="AJ48" i="15"/>
  <c r="AJ54" i="15" s="1"/>
  <c r="AJ60" i="15" s="1"/>
  <c r="AI48" i="15"/>
  <c r="AI54" i="15" s="1"/>
  <c r="AI60" i="15" s="1"/>
  <c r="AH48" i="15"/>
  <c r="AH54" i="15" s="1"/>
  <c r="AH60" i="15" s="1"/>
  <c r="AG48" i="15"/>
  <c r="AG54" i="15" s="1"/>
  <c r="AG60" i="15" s="1"/>
  <c r="AF48" i="15"/>
  <c r="AF54" i="15" s="1"/>
  <c r="AF60" i="15" s="1"/>
  <c r="AE48" i="15"/>
  <c r="AE54" i="15" s="1"/>
  <c r="AE60" i="15" s="1"/>
  <c r="BB47" i="15"/>
  <c r="BB53" i="15" s="1"/>
  <c r="BA47" i="15"/>
  <c r="BA53" i="15" s="1"/>
  <c r="AZ47" i="15"/>
  <c r="AZ53" i="15" s="1"/>
  <c r="AY47" i="15"/>
  <c r="AY53" i="15" s="1"/>
  <c r="AX47" i="15"/>
  <c r="AX53" i="15" s="1"/>
  <c r="AW47" i="15"/>
  <c r="AW53" i="15" s="1"/>
  <c r="AV47" i="15"/>
  <c r="AV53" i="15" s="1"/>
  <c r="AU47" i="15"/>
  <c r="AU53" i="15" s="1"/>
  <c r="AT47" i="15"/>
  <c r="AT53" i="15" s="1"/>
  <c r="AS47" i="15"/>
  <c r="AS53" i="15" s="1"/>
  <c r="AR47" i="15"/>
  <c r="AR53" i="15" s="1"/>
  <c r="AQ47" i="15"/>
  <c r="AQ53" i="15" s="1"/>
  <c r="AP47" i="15"/>
  <c r="AP53" i="15" s="1"/>
  <c r="AO47" i="15"/>
  <c r="AO53" i="15" s="1"/>
  <c r="AN47" i="15"/>
  <c r="AN53" i="15" s="1"/>
  <c r="AM47" i="15"/>
  <c r="AM53" i="15" s="1"/>
  <c r="AL47" i="15"/>
  <c r="AL53" i="15" s="1"/>
  <c r="AK47" i="15"/>
  <c r="AK53" i="15" s="1"/>
  <c r="AJ47" i="15"/>
  <c r="AJ53" i="15" s="1"/>
  <c r="AI47" i="15"/>
  <c r="AI53" i="15" s="1"/>
  <c r="AH47" i="15"/>
  <c r="AH53" i="15" s="1"/>
  <c r="AG47" i="15"/>
  <c r="AG53" i="15" s="1"/>
  <c r="AF47" i="15"/>
  <c r="AF53" i="15" s="1"/>
  <c r="AE47" i="15"/>
  <c r="AE53" i="15" s="1"/>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BB34" i="15"/>
  <c r="BA34" i="15"/>
  <c r="AZ34" i="15"/>
  <c r="AY34" i="15"/>
  <c r="AX34" i="15"/>
  <c r="AW34" i="15"/>
  <c r="AV34" i="15"/>
  <c r="AU34" i="15"/>
  <c r="AT34" i="15"/>
  <c r="AS34" i="15"/>
  <c r="AR34" i="15"/>
  <c r="AQ34" i="15"/>
  <c r="AP34" i="15"/>
  <c r="AO34" i="15"/>
  <c r="AN34" i="15"/>
  <c r="AM34" i="15"/>
  <c r="AL34" i="15"/>
  <c r="AK34" i="15"/>
  <c r="AJ34" i="15"/>
  <c r="AI34" i="15"/>
  <c r="AH34" i="15"/>
  <c r="AG34" i="15"/>
  <c r="AF34" i="15"/>
  <c r="AE34"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F28" i="15"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F27" i="15" a="1"/>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s="1"/>
  <c r="BA10" i="15" a="1"/>
  <c r="BA10" i="15"/>
  <c r="AZ10" i="15" a="1"/>
  <c r="AZ10" i="15" s="1"/>
  <c r="AY10" i="15" a="1"/>
  <c r="AY10" i="15"/>
  <c r="AX10" i="15" a="1"/>
  <c r="AX10" i="15" s="1"/>
  <c r="AW10" i="15" a="1"/>
  <c r="AW10" i="15"/>
  <c r="AV10" i="15" a="1"/>
  <c r="AV10" i="15" s="1"/>
  <c r="AU10" i="15" a="1"/>
  <c r="AU10" i="15" s="1"/>
  <c r="AT10" i="15" a="1"/>
  <c r="AT10" i="15" s="1"/>
  <c r="AS10" i="15" a="1"/>
  <c r="AS10" i="15" s="1"/>
  <c r="AR10" i="15" a="1"/>
  <c r="AR10" i="15" s="1"/>
  <c r="AQ10" i="15" a="1"/>
  <c r="AQ10" i="15" s="1"/>
  <c r="AP10" i="15" a="1"/>
  <c r="AP10" i="15" s="1"/>
  <c r="AO10" i="15" a="1"/>
  <c r="AO10" i="15" s="1"/>
  <c r="AN10" i="15" a="1"/>
  <c r="AN10" i="15" s="1"/>
  <c r="AM10" i="15" a="1"/>
  <c r="AM10" i="15" s="1"/>
  <c r="AL10" i="15" a="1"/>
  <c r="AL10" i="15" s="1"/>
  <c r="AK10" i="15" a="1"/>
  <c r="AK10" i="15" s="1"/>
  <c r="AJ10" i="15" a="1"/>
  <c r="AJ10" i="15" s="1"/>
  <c r="AI10" i="15" a="1"/>
  <c r="AI10" i="15" s="1"/>
  <c r="AH10" i="15" a="1"/>
  <c r="AH10" i="15" s="1"/>
  <c r="AG10" i="15" a="1"/>
  <c r="AG10" i="15" s="1"/>
  <c r="AF10" i="15" a="1"/>
  <c r="AF10" i="15" s="1"/>
  <c r="AE10" i="15" a="1"/>
  <c r="AE10" i="15" s="1"/>
  <c r="AZ9" i="15" a="1"/>
  <c r="AZ9" i="15" s="1"/>
  <c r="AY9" i="15" a="1"/>
  <c r="AY9" i="15" s="1"/>
  <c r="AV9" i="15" a="1"/>
  <c r="AV9" i="15" s="1"/>
  <c r="AU9" i="15" a="1"/>
  <c r="AU9" i="15" s="1"/>
  <c r="AR9" i="15" a="1"/>
  <c r="AR9" i="15" s="1"/>
  <c r="AP9" i="15" a="1"/>
  <c r="AP9" i="15" s="1"/>
  <c r="AN9" i="15" a="1"/>
  <c r="AN9" i="15" s="1"/>
  <c r="AL9" i="15" a="1"/>
  <c r="AL9" i="15" s="1"/>
  <c r="AJ9" i="15" a="1"/>
  <c r="AJ9" i="15" s="1"/>
  <c r="AH9" i="15" a="1"/>
  <c r="AH9" i="15" s="1"/>
  <c r="AG9" i="15" a="1"/>
  <c r="AG9" i="15" s="1"/>
  <c r="BB7" i="15" a="1"/>
  <c r="BB7" i="15" s="1"/>
  <c r="BA7" i="15" a="1"/>
  <c r="BA7" i="15" s="1"/>
  <c r="AZ7" i="15" a="1"/>
  <c r="AZ7" i="15" s="1"/>
  <c r="AY7" i="15" a="1"/>
  <c r="AY7" i="15" s="1"/>
  <c r="AX7" i="15" a="1"/>
  <c r="AX7" i="15" s="1"/>
  <c r="AW7" i="15" a="1"/>
  <c r="AW7" i="15" s="1"/>
  <c r="AV7" i="15" a="1"/>
  <c r="AV7" i="15" s="1"/>
  <c r="AU7" i="15" a="1"/>
  <c r="AU7" i="15" s="1"/>
  <c r="AT7" i="15" a="1"/>
  <c r="AT7" i="15" s="1"/>
  <c r="AS7" i="15" a="1"/>
  <c r="AS7" i="15" s="1"/>
  <c r="AR7" i="15" a="1"/>
  <c r="AR7" i="15" s="1"/>
  <c r="AQ7" i="15" a="1"/>
  <c r="AQ7" i="15" s="1"/>
  <c r="AP7" i="15" a="1"/>
  <c r="AP7" i="15" s="1"/>
  <c r="AO7" i="15" a="1"/>
  <c r="AO7" i="15" s="1"/>
  <c r="AN7" i="15" a="1"/>
  <c r="AN7" i="15" s="1"/>
  <c r="AM7" i="15" a="1"/>
  <c r="AM7" i="15" s="1"/>
  <c r="AL7" i="15" a="1"/>
  <c r="AL7" i="15" s="1"/>
  <c r="AK7" i="15" a="1"/>
  <c r="AK7" i="15" s="1"/>
  <c r="AJ7" i="15" a="1"/>
  <c r="AJ7" i="15" s="1"/>
  <c r="AI7" i="15" a="1"/>
  <c r="AI7" i="15" s="1"/>
  <c r="AH7" i="15" a="1"/>
  <c r="AH7" i="15" s="1"/>
  <c r="AG7" i="15" a="1"/>
  <c r="AG7" i="15" s="1"/>
  <c r="AF7" i="15" a="1"/>
  <c r="AF7" i="15" s="1"/>
  <c r="AE7" i="15" a="1"/>
  <c r="AE7" i="15" s="1"/>
  <c r="BB6" i="15"/>
  <c r="BB2" i="15" s="1"/>
  <c r="BA6" i="15"/>
  <c r="BA9" i="15" s="1" a="1"/>
  <c r="BA9" i="15" s="1"/>
  <c r="AZ6" i="15"/>
  <c r="AY6" i="15"/>
  <c r="AX6" i="15"/>
  <c r="AX2" i="15" s="1"/>
  <c r="AW6" i="15"/>
  <c r="AW9" i="15" s="1" a="1"/>
  <c r="AW9" i="15" s="1"/>
  <c r="AV6" i="15"/>
  <c r="AU6" i="15"/>
  <c r="AT6" i="15"/>
  <c r="AT2" i="15" s="1"/>
  <c r="AS6" i="15" a="1"/>
  <c r="AS6" i="15" s="1"/>
  <c r="AR6" i="15"/>
  <c r="AQ6" i="15"/>
  <c r="AQ9" i="15" s="1" a="1"/>
  <c r="AQ9" i="15" s="1"/>
  <c r="AP6" i="15"/>
  <c r="AP2" i="15" s="1"/>
  <c r="AO6" i="15"/>
  <c r="AO9" i="15" s="1" a="1"/>
  <c r="AO9" i="15" s="1"/>
  <c r="AN6" i="15"/>
  <c r="AM6" i="15"/>
  <c r="AM9" i="15" s="1" a="1"/>
  <c r="AM9" i="15" s="1"/>
  <c r="AL6" i="15"/>
  <c r="AL2" i="15" s="1"/>
  <c r="AK6" i="15"/>
  <c r="AK9" i="15" s="1" a="1"/>
  <c r="AK9" i="15" s="1"/>
  <c r="AJ6" i="15"/>
  <c r="AI6" i="15" a="1"/>
  <c r="AI6" i="15" s="1"/>
  <c r="AH6" i="15"/>
  <c r="AG6" i="15"/>
  <c r="AF6" i="15"/>
  <c r="AF9" i="15" s="1" a="1"/>
  <c r="AF9" i="15" s="1"/>
  <c r="AE6" i="15"/>
  <c r="AE9" i="15" s="1" a="1"/>
  <c r="AE9" i="15" s="1"/>
  <c r="AZ2" i="15"/>
  <c r="AV2" i="15"/>
  <c r="AR2" i="15"/>
  <c r="AN2" i="15"/>
  <c r="AJ2" i="15"/>
  <c r="T120" i="14"/>
  <c r="AB115" i="14"/>
  <c r="BB114" i="14"/>
  <c r="BA114" i="14"/>
  <c r="AZ114" i="14"/>
  <c r="AY114" i="14"/>
  <c r="AX114" i="14"/>
  <c r="AW114" i="14"/>
  <c r="AV114" i="14"/>
  <c r="AU114" i="14"/>
  <c r="AT114" i="14"/>
  <c r="AS114" i="14"/>
  <c r="AR114" i="14"/>
  <c r="AQ114" i="14"/>
  <c r="AP114" i="14"/>
  <c r="AO114" i="14"/>
  <c r="AN114" i="14"/>
  <c r="AM114" i="14"/>
  <c r="AL114" i="14"/>
  <c r="AK114" i="14"/>
  <c r="AJ114" i="14"/>
  <c r="AI114" i="14"/>
  <c r="AH114" i="14"/>
  <c r="AG114" i="14"/>
  <c r="AF114" i="14"/>
  <c r="AE114" i="14"/>
  <c r="AS112" i="14"/>
  <c r="AG112" i="14"/>
  <c r="BB111" i="14"/>
  <c r="BA111" i="14"/>
  <c r="AZ111" i="14"/>
  <c r="AY111" i="14"/>
  <c r="AX111" i="14"/>
  <c r="AW111" i="14"/>
  <c r="AV111" i="14"/>
  <c r="AU111" i="14"/>
  <c r="AT111" i="14"/>
  <c r="AS111" i="14"/>
  <c r="AR111" i="14"/>
  <c r="AQ111" i="14"/>
  <c r="AP111" i="14"/>
  <c r="AO111" i="14"/>
  <c r="AN111" i="14"/>
  <c r="AM111" i="14"/>
  <c r="AL111" i="14"/>
  <c r="AK111" i="14"/>
  <c r="AJ111" i="14"/>
  <c r="AI111" i="14"/>
  <c r="AH111" i="14"/>
  <c r="AF111" i="14"/>
  <c r="AG110" i="14" s="1"/>
  <c r="AE111" i="14"/>
  <c r="AB110" i="14"/>
  <c r="BH109" i="14" a="1"/>
  <c r="BH109" i="14"/>
  <c r="BH110" i="14" s="1" a="1"/>
  <c r="BH110" i="14" s="1"/>
  <c r="BH111" i="14" s="1" a="1"/>
  <c r="BH111" i="14" s="1"/>
  <c r="BH112" i="14" s="1" a="1"/>
  <c r="BH112" i="14" s="1"/>
  <c r="BH113" i="14" s="1" a="1"/>
  <c r="BH113" i="14" s="1"/>
  <c r="BH114" i="14" s="1" a="1"/>
  <c r="BH114" i="14" s="1"/>
  <c r="BH115" i="14" s="1" a="1"/>
  <c r="BH115" i="14" s="1"/>
  <c r="BB109" i="14"/>
  <c r="BA109" i="14"/>
  <c r="AZ109" i="14"/>
  <c r="AY109" i="14"/>
  <c r="AX109" i="14"/>
  <c r="AW109" i="14"/>
  <c r="AV109" i="14"/>
  <c r="AU109" i="14"/>
  <c r="AT109" i="14"/>
  <c r="AS109" i="14"/>
  <c r="AR109" i="14"/>
  <c r="AQ109" i="14"/>
  <c r="AP109" i="14"/>
  <c r="AO109" i="14"/>
  <c r="AN109" i="14"/>
  <c r="AM109" i="14"/>
  <c r="AL109" i="14"/>
  <c r="AK109" i="14"/>
  <c r="AJ109" i="14"/>
  <c r="AI109" i="14"/>
  <c r="AH109" i="14"/>
  <c r="AF109" i="14"/>
  <c r="AE109" i="14"/>
  <c r="AB109" i="14"/>
  <c r="AB113" i="14" s="1"/>
  <c r="H109" i="14" a="1"/>
  <c r="H109" i="14"/>
  <c r="H110" i="14" s="1" a="1"/>
  <c r="H110" i="14" s="1"/>
  <c r="H111" i="14" s="1" a="1"/>
  <c r="H111" i="14" s="1"/>
  <c r="H112" i="14" s="1" a="1"/>
  <c r="H112" i="14" s="1"/>
  <c r="H113" i="14" s="1" a="1"/>
  <c r="H113" i="14" s="1"/>
  <c r="H114" i="14" s="1" a="1"/>
  <c r="H114" i="14" s="1"/>
  <c r="H115" i="14" s="1" a="1"/>
  <c r="H115" i="14" s="1"/>
  <c r="AS108" i="14"/>
  <c r="BB107" i="14"/>
  <c r="BA107" i="14"/>
  <c r="AZ107" i="14"/>
  <c r="AY107" i="14"/>
  <c r="AX107" i="14"/>
  <c r="AW107" i="14"/>
  <c r="AV107" i="14"/>
  <c r="AU107" i="14"/>
  <c r="AT107" i="14"/>
  <c r="AS107" i="14"/>
  <c r="AR107" i="14"/>
  <c r="AQ107" i="14"/>
  <c r="AP107" i="14"/>
  <c r="AO107" i="14"/>
  <c r="AN107" i="14"/>
  <c r="AM107" i="14"/>
  <c r="AL107" i="14"/>
  <c r="AK107" i="14"/>
  <c r="AJ107" i="14"/>
  <c r="AI107" i="14"/>
  <c r="AH107" i="14"/>
  <c r="AG107" i="14"/>
  <c r="AF107" i="14"/>
  <c r="AE107" i="14"/>
  <c r="AB106" i="14"/>
  <c r="AS105" i="14"/>
  <c r="AG105" i="14"/>
  <c r="BB104" i="14"/>
  <c r="BA104" i="14"/>
  <c r="AZ104" i="14"/>
  <c r="AY104" i="14"/>
  <c r="AX104" i="14"/>
  <c r="AW104" i="14"/>
  <c r="AV104" i="14"/>
  <c r="AU104" i="14"/>
  <c r="AT104" i="14"/>
  <c r="AS104" i="14"/>
  <c r="AR104" i="14"/>
  <c r="AQ104" i="14"/>
  <c r="AP104" i="14"/>
  <c r="AO104" i="14"/>
  <c r="AN104" i="14"/>
  <c r="AM104" i="14"/>
  <c r="AL104" i="14"/>
  <c r="AK104" i="14"/>
  <c r="AJ104" i="14"/>
  <c r="AI104" i="14"/>
  <c r="AH104" i="14"/>
  <c r="AF104" i="14"/>
  <c r="AE104" i="14"/>
  <c r="AB104" i="14"/>
  <c r="AG103" i="14"/>
  <c r="AG104" i="14" s="1"/>
  <c r="BH102" i="14" a="1"/>
  <c r="BH102" i="14" s="1"/>
  <c r="BH103" i="14" s="1" a="1"/>
  <c r="BH103" i="14" s="1"/>
  <c r="BH104" i="14" s="1" a="1"/>
  <c r="BH104" i="14" s="1"/>
  <c r="BH105" i="14" s="1" a="1"/>
  <c r="BH105" i="14" s="1"/>
  <c r="BH106" i="14" s="1" a="1"/>
  <c r="BH106" i="14" s="1"/>
  <c r="BH107" i="14" s="1" a="1"/>
  <c r="BH107" i="14" s="1"/>
  <c r="BH108" i="14" s="1" a="1"/>
  <c r="BH108" i="14" s="1"/>
  <c r="BB102" i="14"/>
  <c r="BA102" i="14"/>
  <c r="AZ102" i="14"/>
  <c r="AY102" i="14"/>
  <c r="AX102" i="14"/>
  <c r="AW102" i="14"/>
  <c r="AV102" i="14"/>
  <c r="AU102" i="14"/>
  <c r="AT102" i="14"/>
  <c r="AS102" i="14"/>
  <c r="AR102" i="14"/>
  <c r="AQ102" i="14"/>
  <c r="AP102" i="14"/>
  <c r="AO102" i="14"/>
  <c r="AN102" i="14"/>
  <c r="AM102" i="14"/>
  <c r="AL102" i="14"/>
  <c r="AK102" i="14"/>
  <c r="AJ102" i="14"/>
  <c r="AI102" i="14"/>
  <c r="AH102" i="14"/>
  <c r="AG102" i="14"/>
  <c r="AF102" i="14"/>
  <c r="AE102" i="14"/>
  <c r="AB102" i="14"/>
  <c r="AB108" i="14" s="1"/>
  <c r="H102" i="14" a="1"/>
  <c r="H102" i="14" s="1"/>
  <c r="H103" i="14" s="1" a="1"/>
  <c r="H103" i="14" s="1"/>
  <c r="H104" i="14" s="1" a="1"/>
  <c r="H104" i="14" s="1"/>
  <c r="H105" i="14" s="1" a="1"/>
  <c r="H105" i="14" s="1"/>
  <c r="H106" i="14" s="1" a="1"/>
  <c r="H106" i="14" s="1"/>
  <c r="H107" i="14" s="1" a="1"/>
  <c r="H107" i="14" s="1"/>
  <c r="H108" i="14" s="1" a="1"/>
  <c r="H108" i="14" s="1"/>
  <c r="BB100" i="14"/>
  <c r="BB81" i="14" s="1"/>
  <c r="BA100" i="14"/>
  <c r="AZ100" i="14"/>
  <c r="AY100" i="14"/>
  <c r="AX100" i="14"/>
  <c r="AX81" i="14" s="1"/>
  <c r="AW100" i="14"/>
  <c r="AV100" i="14"/>
  <c r="AU100" i="14"/>
  <c r="AT100" i="14"/>
  <c r="AT81" i="14" s="1"/>
  <c r="AS100" i="14"/>
  <c r="AR100" i="14"/>
  <c r="AQ100" i="14"/>
  <c r="AP100" i="14"/>
  <c r="AP81" i="14" s="1"/>
  <c r="AO100" i="14"/>
  <c r="AN100" i="14"/>
  <c r="AM100" i="14"/>
  <c r="AL100" i="14"/>
  <c r="AL81" i="14" s="1"/>
  <c r="AK100" i="14"/>
  <c r="AJ100" i="14"/>
  <c r="AI100" i="14"/>
  <c r="AH100" i="14"/>
  <c r="AH81" i="14" s="1"/>
  <c r="AG100" i="14"/>
  <c r="AF100" i="14"/>
  <c r="AE100" i="14"/>
  <c r="AB100" i="14"/>
  <c r="BB97" i="14"/>
  <c r="BA97" i="14"/>
  <c r="AZ97" i="14"/>
  <c r="AY97" i="14"/>
  <c r="AX97" i="14"/>
  <c r="AW97" i="14"/>
  <c r="AV97" i="14"/>
  <c r="AU97" i="14"/>
  <c r="AT97" i="14"/>
  <c r="AS97" i="14"/>
  <c r="AR97" i="14"/>
  <c r="AQ97" i="14"/>
  <c r="AP97" i="14"/>
  <c r="AO97" i="14"/>
  <c r="AN97" i="14"/>
  <c r="AM97" i="14"/>
  <c r="AL97" i="14"/>
  <c r="AK97" i="14"/>
  <c r="AJ97" i="14"/>
  <c r="AI97" i="14"/>
  <c r="AH97" i="14"/>
  <c r="AG97" i="14"/>
  <c r="AF97" i="14"/>
  <c r="AE97" i="14"/>
  <c r="AB96" i="14"/>
  <c r="BH95" i="14" a="1"/>
  <c r="BH95" i="14"/>
  <c r="BH96" i="14" s="1" a="1"/>
  <c r="BH96" i="14" s="1"/>
  <c r="BH97" i="14" s="1" a="1"/>
  <c r="BH97" i="14" s="1"/>
  <c r="BH98" i="14" s="1" a="1"/>
  <c r="BH98" i="14" s="1"/>
  <c r="BH99" i="14" s="1" a="1"/>
  <c r="BH99" i="14" s="1"/>
  <c r="BH100" i="14" s="1" a="1"/>
  <c r="BH100" i="14" s="1"/>
  <c r="BH101" i="14" s="1" a="1"/>
  <c r="BH101" i="14" s="1"/>
  <c r="BB95" i="14"/>
  <c r="BA95" i="14"/>
  <c r="AZ95" i="14"/>
  <c r="AY95" i="14"/>
  <c r="AX95" i="14"/>
  <c r="AW95" i="14"/>
  <c r="AV95" i="14"/>
  <c r="AU95" i="14"/>
  <c r="AT95" i="14"/>
  <c r="AS95" i="14"/>
  <c r="AR95" i="14"/>
  <c r="AQ95" i="14"/>
  <c r="AP95" i="14"/>
  <c r="AO95" i="14"/>
  <c r="AN95" i="14"/>
  <c r="AM95" i="14"/>
  <c r="AL95" i="14"/>
  <c r="AK95" i="14"/>
  <c r="AJ95" i="14"/>
  <c r="AI95" i="14"/>
  <c r="AH95" i="14"/>
  <c r="AG95" i="14"/>
  <c r="AF95" i="14"/>
  <c r="AE95" i="14"/>
  <c r="AB95" i="14"/>
  <c r="AB98" i="14" s="1"/>
  <c r="H95" i="14" a="1"/>
  <c r="H95" i="14"/>
  <c r="H96" i="14" s="1" a="1"/>
  <c r="H96" i="14" s="1"/>
  <c r="H97" i="14" s="1" a="1"/>
  <c r="H97" i="14" s="1"/>
  <c r="H98" i="14" s="1" a="1"/>
  <c r="H98" i="14" s="1"/>
  <c r="H99" i="14" s="1" a="1"/>
  <c r="H99" i="14" s="1"/>
  <c r="H100" i="14" s="1" a="1"/>
  <c r="H100" i="14" s="1"/>
  <c r="H101" i="14" s="1" a="1"/>
  <c r="H101" i="14" s="1"/>
  <c r="AS92" i="14"/>
  <c r="AS82" i="14" s="1"/>
  <c r="AG92" i="14"/>
  <c r="AG82" i="14" s="1"/>
  <c r="BB91" i="14"/>
  <c r="BA91" i="14"/>
  <c r="BA81" i="14" s="1"/>
  <c r="AZ91" i="14"/>
  <c r="AY91" i="14"/>
  <c r="AX91" i="14"/>
  <c r="AW91" i="14"/>
  <c r="AW81" i="14" s="1"/>
  <c r="AV91" i="14"/>
  <c r="AU91" i="14"/>
  <c r="AT91" i="14"/>
  <c r="AS91" i="14"/>
  <c r="AS81" i="14" s="1"/>
  <c r="AR91" i="14"/>
  <c r="AQ91" i="14"/>
  <c r="AP91" i="14"/>
  <c r="AO91" i="14"/>
  <c r="AO81" i="14" s="1"/>
  <c r="AN91" i="14"/>
  <c r="AM91" i="14"/>
  <c r="AL91" i="14"/>
  <c r="AK91" i="14"/>
  <c r="AK81" i="14" s="1"/>
  <c r="AJ91" i="14"/>
  <c r="AI91" i="14"/>
  <c r="AH91" i="14"/>
  <c r="AF91" i="14"/>
  <c r="AE91" i="14"/>
  <c r="BH90" i="14" a="1"/>
  <c r="BH90" i="14" s="1"/>
  <c r="BH91" i="14" s="1" a="1"/>
  <c r="BH91" i="14" s="1"/>
  <c r="BH92" i="14" s="1" a="1"/>
  <c r="BH92" i="14" s="1"/>
  <c r="AG90" i="14"/>
  <c r="AB90" i="14"/>
  <c r="AB92" i="14" s="1"/>
  <c r="H90" i="14" a="1"/>
  <c r="H90" i="14"/>
  <c r="H91" i="14" s="1" a="1"/>
  <c r="H91" i="14" s="1"/>
  <c r="H92" i="14" s="1" a="1"/>
  <c r="H92" i="14" s="1"/>
  <c r="AB89" i="14"/>
  <c r="BB88" i="14"/>
  <c r="BA88" i="14"/>
  <c r="AZ88" i="14"/>
  <c r="AZ81" i="14" s="1"/>
  <c r="AY88" i="14"/>
  <c r="AX88" i="14"/>
  <c r="AW88" i="14"/>
  <c r="AV88" i="14"/>
  <c r="AV81" i="14" s="1"/>
  <c r="AU88" i="14"/>
  <c r="AT88" i="14"/>
  <c r="AS88" i="14"/>
  <c r="AR88" i="14"/>
  <c r="AR81" i="14" s="1"/>
  <c r="AQ88" i="14"/>
  <c r="AP88" i="14"/>
  <c r="AO88" i="14"/>
  <c r="AN88" i="14"/>
  <c r="AN81" i="14" s="1"/>
  <c r="AM88" i="14"/>
  <c r="AL88" i="14"/>
  <c r="AK88" i="14"/>
  <c r="AJ88" i="14"/>
  <c r="AJ81" i="14" s="1"/>
  <c r="AI88" i="14"/>
  <c r="AH88" i="14"/>
  <c r="AG88" i="14"/>
  <c r="AF88" i="14"/>
  <c r="AF81" i="14" s="1"/>
  <c r="AE88" i="14"/>
  <c r="BH87" i="14" a="1"/>
  <c r="BH87" i="14" s="1"/>
  <c r="BH88" i="14" s="1" a="1"/>
  <c r="BH88" i="14" s="1"/>
  <c r="BH89" i="14" s="1" a="1"/>
  <c r="BH89" i="14" s="1"/>
  <c r="AB87" i="14"/>
  <c r="AB88" i="14" s="1"/>
  <c r="H87" i="14" a="1"/>
  <c r="H87" i="14" s="1"/>
  <c r="H88" i="14" s="1" a="1"/>
  <c r="H88" i="14" s="1"/>
  <c r="H89" i="14" s="1" a="1"/>
  <c r="H89" i="14" s="1"/>
  <c r="BB85" i="14"/>
  <c r="BA85" i="14"/>
  <c r="AZ85" i="14"/>
  <c r="AR85" i="14"/>
  <c r="AQ85" i="14"/>
  <c r="AP85" i="14"/>
  <c r="BB82" i="14"/>
  <c r="BB84" i="14" s="1"/>
  <c r="BA82" i="14"/>
  <c r="BA84" i="14" s="1"/>
  <c r="AZ82" i="14"/>
  <c r="AZ84" i="14" s="1"/>
  <c r="AY82" i="14"/>
  <c r="AY85" i="14" s="1"/>
  <c r="AX82" i="14"/>
  <c r="AX85" i="14" s="1"/>
  <c r="AW82" i="14"/>
  <c r="AW85" i="14" s="1"/>
  <c r="AV82" i="14"/>
  <c r="AV85" i="14" s="1"/>
  <c r="AU82" i="14"/>
  <c r="AU85" i="14" s="1"/>
  <c r="AT82" i="14"/>
  <c r="AT85" i="14" s="1"/>
  <c r="AR82" i="14"/>
  <c r="AR84" i="14" s="1"/>
  <c r="AQ82" i="14"/>
  <c r="AQ84" i="14" s="1"/>
  <c r="AP82" i="14"/>
  <c r="AP84" i="14" s="1"/>
  <c r="AO82" i="14"/>
  <c r="AO85" i="14" s="1"/>
  <c r="AN82" i="14"/>
  <c r="AN85" i="14" s="1"/>
  <c r="AM82" i="14"/>
  <c r="AM85" i="14" s="1"/>
  <c r="AL82" i="14"/>
  <c r="AL85" i="14" s="1"/>
  <c r="AK82" i="14"/>
  <c r="AK85" i="14" s="1"/>
  <c r="AJ82" i="14"/>
  <c r="AJ85" i="14" s="1"/>
  <c r="AI82" i="14"/>
  <c r="AH82" i="14"/>
  <c r="AH85" i="14" s="1"/>
  <c r="AF82" i="14"/>
  <c r="AF85" i="14" s="1"/>
  <c r="AE82" i="14"/>
  <c r="AE85" i="14" s="1"/>
  <c r="AY81" i="14"/>
  <c r="AU81" i="14"/>
  <c r="AQ81" i="14"/>
  <c r="AM81" i="14"/>
  <c r="AI81" i="14"/>
  <c r="AE81" i="14"/>
  <c r="L81" i="14" a="1"/>
  <c r="L81" i="14"/>
  <c r="T80" i="14"/>
  <c r="T81" i="14" s="1" a="1"/>
  <c r="T81" i="14" s="1"/>
  <c r="T82" i="14" s="1" a="1"/>
  <c r="T82" i="14" s="1"/>
  <c r="T83" i="14" s="1" a="1"/>
  <c r="T83" i="14" s="1"/>
  <c r="T84" i="14" s="1" a="1"/>
  <c r="T84" i="14" s="1"/>
  <c r="T85" i="14" s="1" a="1"/>
  <c r="T85" i="14" s="1"/>
  <c r="T86" i="14" s="1" a="1"/>
  <c r="T86" i="14" s="1"/>
  <c r="F80" i="14" a="1"/>
  <c r="F80" i="14" s="1"/>
  <c r="F81" i="14" s="1" a="1"/>
  <c r="F81" i="14" s="1"/>
  <c r="AB78" i="14"/>
  <c r="BB77" i="14"/>
  <c r="BA77" i="14"/>
  <c r="AZ77" i="14"/>
  <c r="AY77" i="14"/>
  <c r="AX77" i="14"/>
  <c r="AW77" i="14"/>
  <c r="AV77" i="14"/>
  <c r="AU77" i="14"/>
  <c r="AT77" i="14"/>
  <c r="AS77" i="14"/>
  <c r="AR77" i="14"/>
  <c r="AQ77" i="14"/>
  <c r="AP77" i="14"/>
  <c r="AO77" i="14"/>
  <c r="AN77" i="14"/>
  <c r="AM77" i="14"/>
  <c r="AL77" i="14"/>
  <c r="AK77" i="14"/>
  <c r="AJ77" i="14"/>
  <c r="AI77" i="14"/>
  <c r="AH77" i="14"/>
  <c r="AG77" i="14"/>
  <c r="AF77" i="14"/>
  <c r="AE77" i="14"/>
  <c r="AB77" i="14"/>
  <c r="BB74" i="14"/>
  <c r="BA74" i="14"/>
  <c r="AZ74" i="14"/>
  <c r="AY74" i="14"/>
  <c r="AX74" i="14"/>
  <c r="AW74" i="14"/>
  <c r="AV74" i="14"/>
  <c r="AU74" i="14"/>
  <c r="AT74" i="14"/>
  <c r="AS74" i="14"/>
  <c r="AR74" i="14"/>
  <c r="AQ74" i="14"/>
  <c r="AP74" i="14"/>
  <c r="AO74" i="14"/>
  <c r="AN74" i="14"/>
  <c r="AM74" i="14"/>
  <c r="AL74" i="14"/>
  <c r="AK74" i="14"/>
  <c r="AJ74" i="14"/>
  <c r="AI74" i="14"/>
  <c r="AH74" i="14"/>
  <c r="AG74" i="14"/>
  <c r="AF74" i="14"/>
  <c r="AE74" i="14"/>
  <c r="AB74" i="14"/>
  <c r="AB73" i="14"/>
  <c r="BH72" i="14" a="1"/>
  <c r="BH72" i="14" s="1"/>
  <c r="BH73" i="14" s="1" a="1"/>
  <c r="BH73" i="14" s="1"/>
  <c r="BH74" i="14" s="1" a="1"/>
  <c r="BH74" i="14" s="1"/>
  <c r="BH75" i="14" s="1" a="1"/>
  <c r="BH75" i="14" s="1"/>
  <c r="BH76" i="14" s="1" a="1"/>
  <c r="BH76" i="14" s="1"/>
  <c r="BH77" i="14" s="1" a="1"/>
  <c r="BH77" i="14" s="1"/>
  <c r="BH78" i="14" s="1" a="1"/>
  <c r="BH78" i="14" s="1"/>
  <c r="BB72" i="14"/>
  <c r="BA72" i="14"/>
  <c r="AZ72" i="14"/>
  <c r="AY72" i="14"/>
  <c r="AX72" i="14"/>
  <c r="AW72" i="14"/>
  <c r="AV72" i="14"/>
  <c r="AU72" i="14"/>
  <c r="AT72" i="14"/>
  <c r="AS72" i="14"/>
  <c r="AR72" i="14"/>
  <c r="AQ72" i="14"/>
  <c r="AP72" i="14"/>
  <c r="AO72" i="14"/>
  <c r="AN72" i="14"/>
  <c r="AM72" i="14"/>
  <c r="AL72" i="14"/>
  <c r="AK72" i="14"/>
  <c r="AJ72" i="14"/>
  <c r="AI72" i="14"/>
  <c r="AH72" i="14"/>
  <c r="AG72" i="14"/>
  <c r="AF72" i="14"/>
  <c r="AE72" i="14"/>
  <c r="AB72" i="14"/>
  <c r="AB76" i="14" s="1"/>
  <c r="H72" i="14" a="1"/>
  <c r="H72" i="14" s="1"/>
  <c r="H73" i="14" s="1" a="1"/>
  <c r="H73" i="14" s="1"/>
  <c r="H74" i="14" s="1" a="1"/>
  <c r="H74" i="14" s="1"/>
  <c r="H75" i="14" s="1" a="1"/>
  <c r="H75" i="14" s="1"/>
  <c r="H76" i="14" s="1" a="1"/>
  <c r="H76" i="14" s="1"/>
  <c r="H77" i="14" s="1" a="1"/>
  <c r="H77" i="14" s="1"/>
  <c r="H78" i="14" s="1" a="1"/>
  <c r="H78" i="14" s="1"/>
  <c r="BB70" i="14"/>
  <c r="BA70" i="14"/>
  <c r="BA48" i="14" s="1"/>
  <c r="AZ70" i="14"/>
  <c r="AY70" i="14"/>
  <c r="AX70" i="14"/>
  <c r="AW70" i="14"/>
  <c r="AV70" i="14"/>
  <c r="AU70" i="14"/>
  <c r="AT70" i="14"/>
  <c r="AS70" i="14"/>
  <c r="AR70" i="14"/>
  <c r="AQ70" i="14"/>
  <c r="AP70" i="14"/>
  <c r="AO70" i="14"/>
  <c r="AO48" i="14" s="1"/>
  <c r="AO51" i="14" s="1"/>
  <c r="AN70" i="14"/>
  <c r="AM70" i="14"/>
  <c r="AL70" i="14"/>
  <c r="AK70" i="14"/>
  <c r="AK48" i="14" s="1"/>
  <c r="AJ70" i="14"/>
  <c r="AI70" i="14"/>
  <c r="AH70" i="14"/>
  <c r="AG70" i="14"/>
  <c r="AF70" i="14"/>
  <c r="AE70" i="14"/>
  <c r="AB69" i="14"/>
  <c r="BH67" i="14" a="1"/>
  <c r="BH67" i="14" s="1"/>
  <c r="BH68" i="14" s="1" a="1"/>
  <c r="BH68" i="14" s="1"/>
  <c r="BH69" i="14" s="1" a="1"/>
  <c r="BH69" i="14" s="1"/>
  <c r="BH70" i="14" s="1" a="1"/>
  <c r="BH70" i="14" s="1"/>
  <c r="BH71" i="14" s="1" a="1"/>
  <c r="BH71" i="14" s="1"/>
  <c r="BB67" i="14"/>
  <c r="BA67" i="14"/>
  <c r="AZ67" i="14"/>
  <c r="AY67" i="14"/>
  <c r="AX67" i="14"/>
  <c r="AW67" i="14"/>
  <c r="AV67" i="14"/>
  <c r="AU67" i="14"/>
  <c r="AT67" i="14"/>
  <c r="AS67" i="14"/>
  <c r="AR67" i="14"/>
  <c r="AQ67" i="14"/>
  <c r="AP67" i="14"/>
  <c r="AO67" i="14"/>
  <c r="AN67" i="14"/>
  <c r="AM67" i="14"/>
  <c r="AL67" i="14"/>
  <c r="AK67" i="14"/>
  <c r="AJ67" i="14"/>
  <c r="AI67" i="14"/>
  <c r="AH67" i="14"/>
  <c r="AG67" i="14"/>
  <c r="AF67" i="14"/>
  <c r="AE67" i="14"/>
  <c r="BH65" i="14" a="1"/>
  <c r="BH65" i="14" s="1"/>
  <c r="BH66" i="14" s="1" a="1"/>
  <c r="BH66" i="14" s="1"/>
  <c r="BB65" i="14"/>
  <c r="BA65" i="14"/>
  <c r="AZ65" i="14"/>
  <c r="AY65" i="14"/>
  <c r="AX65" i="14"/>
  <c r="AW65" i="14"/>
  <c r="AV65" i="14"/>
  <c r="AU65" i="14"/>
  <c r="AT65" i="14"/>
  <c r="AS65" i="14"/>
  <c r="AR65" i="14"/>
  <c r="AQ65" i="14"/>
  <c r="AP65" i="14"/>
  <c r="AO65" i="14"/>
  <c r="AN65" i="14"/>
  <c r="AM65" i="14"/>
  <c r="AL65" i="14"/>
  <c r="AK65" i="14"/>
  <c r="AJ65" i="14"/>
  <c r="AI65" i="14"/>
  <c r="AH65" i="14"/>
  <c r="AG65" i="14"/>
  <c r="AF65" i="14"/>
  <c r="AE65" i="14"/>
  <c r="AB65" i="14"/>
  <c r="H65" i="14" a="1"/>
  <c r="H65" i="14" s="1"/>
  <c r="H66" i="14" s="1" a="1"/>
  <c r="H66" i="14" s="1"/>
  <c r="H67" i="14" s="1" a="1"/>
  <c r="H67" i="14" s="1"/>
  <c r="H68" i="14" s="1" a="1"/>
  <c r="H68" i="14" s="1"/>
  <c r="H69" i="14" s="1" a="1"/>
  <c r="H69" i="14" s="1"/>
  <c r="H70" i="14" s="1" a="1"/>
  <c r="H70" i="14" s="1"/>
  <c r="H71" i="14" s="1" a="1"/>
  <c r="H71" i="14" s="1"/>
  <c r="BB61" i="14"/>
  <c r="BA61" i="14"/>
  <c r="AZ61" i="14"/>
  <c r="AY61" i="14"/>
  <c r="AX61" i="14"/>
  <c r="AW61" i="14"/>
  <c r="AV61" i="14"/>
  <c r="AU61" i="14"/>
  <c r="AT61" i="14"/>
  <c r="AS61" i="14"/>
  <c r="AR61" i="14"/>
  <c r="AQ61" i="14"/>
  <c r="AP61" i="14"/>
  <c r="AO61" i="14"/>
  <c r="AN61" i="14"/>
  <c r="AM61" i="14"/>
  <c r="AL61" i="14"/>
  <c r="AK61" i="14"/>
  <c r="AJ61" i="14"/>
  <c r="AI61" i="14"/>
  <c r="AH61" i="14"/>
  <c r="AG61" i="14"/>
  <c r="AF61" i="14"/>
  <c r="AE61" i="14"/>
  <c r="AB61" i="14"/>
  <c r="BH60" i="14" a="1"/>
  <c r="BH60" i="14"/>
  <c r="BH61" i="14" s="1" a="1"/>
  <c r="BH61" i="14" s="1"/>
  <c r="BH62" i="14" s="1" a="1"/>
  <c r="BH62" i="14" s="1"/>
  <c r="AB60" i="14"/>
  <c r="AB62" i="14" s="1"/>
  <c r="H60" i="14" a="1"/>
  <c r="H60" i="14"/>
  <c r="H61" i="14" s="1" a="1"/>
  <c r="H61" i="14" s="1"/>
  <c r="H62" i="14" s="1" a="1"/>
  <c r="H62" i="14" s="1"/>
  <c r="BH59" i="14"/>
  <c r="AB59" i="14"/>
  <c r="H59" i="14" a="1"/>
  <c r="H59" i="14" s="1"/>
  <c r="BH58" i="14" a="1"/>
  <c r="BH58" i="14" s="1"/>
  <c r="BH59" i="14" s="1" a="1"/>
  <c r="BB58" i="14"/>
  <c r="BA58" i="14"/>
  <c r="AZ58" i="14"/>
  <c r="AY58" i="14"/>
  <c r="AY48" i="14" s="1"/>
  <c r="AX58" i="14"/>
  <c r="AW58" i="14"/>
  <c r="AV58" i="14"/>
  <c r="AU58" i="14"/>
  <c r="AU48" i="14" s="1"/>
  <c r="AT58" i="14"/>
  <c r="AS58" i="14"/>
  <c r="AR58" i="14"/>
  <c r="AQ58" i="14"/>
  <c r="AQ48" i="14" s="1"/>
  <c r="AP58" i="14"/>
  <c r="AO58" i="14"/>
  <c r="AN58" i="14"/>
  <c r="AM58" i="14"/>
  <c r="AM48" i="14" s="1"/>
  <c r="AL58" i="14"/>
  <c r="AK58" i="14"/>
  <c r="AJ58" i="14"/>
  <c r="AI58" i="14"/>
  <c r="AI48" i="14" s="1"/>
  <c r="AH58" i="14"/>
  <c r="AG58" i="14"/>
  <c r="AF58" i="14"/>
  <c r="AE58" i="14"/>
  <c r="AE48" i="14" s="1"/>
  <c r="BH57" i="14" a="1"/>
  <c r="BH57" i="14" s="1"/>
  <c r="AB57" i="14"/>
  <c r="AB58" i="14" s="1"/>
  <c r="H57" i="14" a="1"/>
  <c r="H57" i="14" s="1"/>
  <c r="H58" i="14" s="1" a="1"/>
  <c r="H58" i="14" s="1"/>
  <c r="BB55" i="14"/>
  <c r="BA55" i="14"/>
  <c r="AZ55" i="14"/>
  <c r="AY55" i="14"/>
  <c r="AX55" i="14"/>
  <c r="AW55" i="14"/>
  <c r="AV55" i="14"/>
  <c r="AU55" i="14"/>
  <c r="AT55" i="14"/>
  <c r="AS55" i="14"/>
  <c r="AR55" i="14"/>
  <c r="AQ55" i="14"/>
  <c r="AP55" i="14"/>
  <c r="AP48" i="14" s="1"/>
  <c r="AO55" i="14"/>
  <c r="AN55" i="14"/>
  <c r="AM55" i="14"/>
  <c r="AL55" i="14"/>
  <c r="AL48" i="14" s="1"/>
  <c r="AK55" i="14"/>
  <c r="AJ55" i="14"/>
  <c r="AI55" i="14"/>
  <c r="AH55" i="14"/>
  <c r="AH48" i="14" s="1"/>
  <c r="AG55" i="14"/>
  <c r="AF55" i="14"/>
  <c r="AE55" i="14"/>
  <c r="AB55" i="14"/>
  <c r="BH54" i="14" a="1"/>
  <c r="BH54" i="14"/>
  <c r="BH55" i="14" s="1" a="1"/>
  <c r="BH55" i="14" s="1"/>
  <c r="BH56" i="14" s="1" a="1"/>
  <c r="BH56" i="14" s="1"/>
  <c r="AB54" i="14"/>
  <c r="AB56" i="14" s="1"/>
  <c r="H54" i="14" a="1"/>
  <c r="H54" i="14"/>
  <c r="H55" i="14" s="1" a="1"/>
  <c r="H55" i="14" s="1"/>
  <c r="H56" i="14" s="1" a="1"/>
  <c r="H56" i="14" s="1"/>
  <c r="BB52" i="14"/>
  <c r="BA52" i="14"/>
  <c r="AZ52" i="14"/>
  <c r="AW52" i="14"/>
  <c r="AR52" i="14"/>
  <c r="AQ52" i="14"/>
  <c r="AP52" i="14"/>
  <c r="AG52" i="14"/>
  <c r="BA51" i="14"/>
  <c r="BB49" i="14"/>
  <c r="BB51" i="14" s="1"/>
  <c r="BA49" i="14"/>
  <c r="AZ49" i="14"/>
  <c r="AZ51" i="14" s="1"/>
  <c r="AY49" i="14"/>
  <c r="AY52" i="14" s="1"/>
  <c r="AX49" i="14"/>
  <c r="AX52" i="14" s="1"/>
  <c r="AW49" i="14"/>
  <c r="AW51" i="14" s="1"/>
  <c r="AV49" i="14"/>
  <c r="AV52" i="14" s="1"/>
  <c r="AU49" i="14"/>
  <c r="AU52" i="14" s="1"/>
  <c r="AT49" i="14"/>
  <c r="AT52" i="14" s="1"/>
  <c r="AS49" i="14"/>
  <c r="AS52" i="14" s="1"/>
  <c r="AR49" i="14"/>
  <c r="AR51" i="14" s="1"/>
  <c r="AQ49" i="14"/>
  <c r="AQ51" i="14" s="1"/>
  <c r="AP49" i="14"/>
  <c r="AP51" i="14" s="1"/>
  <c r="AO49" i="14"/>
  <c r="AO52" i="14" s="1"/>
  <c r="AN49" i="14"/>
  <c r="AN52" i="14" s="1"/>
  <c r="AM49" i="14"/>
  <c r="AM52" i="14" s="1"/>
  <c r="AL49" i="14"/>
  <c r="AL52" i="14" s="1"/>
  <c r="AK49" i="14"/>
  <c r="AJ49" i="14"/>
  <c r="AJ52" i="14" s="1"/>
  <c r="AI49" i="14"/>
  <c r="AI52" i="14" s="1"/>
  <c r="AH49" i="14"/>
  <c r="AH52" i="14" s="1"/>
  <c r="AG49" i="14"/>
  <c r="AG51" i="14" s="1"/>
  <c r="AF49" i="14"/>
  <c r="AF52" i="14" s="1"/>
  <c r="AE49" i="14"/>
  <c r="AE52" i="14" s="1"/>
  <c r="AW48" i="14"/>
  <c r="AS48" i="14"/>
  <c r="AS51" i="14" s="1"/>
  <c r="AG48" i="14"/>
  <c r="L48" i="14" a="1"/>
  <c r="L48" i="14" s="1"/>
  <c r="T47" i="14"/>
  <c r="T48" i="14" s="1" a="1"/>
  <c r="T48" i="14" s="1"/>
  <c r="T49" i="14" s="1" a="1"/>
  <c r="T49" i="14" s="1"/>
  <c r="T50" i="14" s="1" a="1"/>
  <c r="T50" i="14" s="1"/>
  <c r="T51" i="14" s="1" a="1"/>
  <c r="T51" i="14" s="1"/>
  <c r="T52" i="14" s="1" a="1"/>
  <c r="T52" i="14" s="1"/>
  <c r="T53" i="14" s="1" a="1"/>
  <c r="T53" i="14" s="1"/>
  <c r="F47" i="14" a="1"/>
  <c r="F47" i="14"/>
  <c r="F48" i="14" s="1" a="1"/>
  <c r="F48" i="14" s="1"/>
  <c r="BB44" i="14"/>
  <c r="BA44" i="14"/>
  <c r="AZ44" i="14"/>
  <c r="AY44" i="14"/>
  <c r="AX44" i="14"/>
  <c r="AW44" i="14"/>
  <c r="AV44" i="14"/>
  <c r="AU44" i="14"/>
  <c r="AT44" i="14"/>
  <c r="AS44" i="14"/>
  <c r="AS28" i="14" s="1"/>
  <c r="AR44" i="14"/>
  <c r="AQ44" i="14"/>
  <c r="AP44" i="14"/>
  <c r="AO44" i="14"/>
  <c r="AO28" i="14" s="1"/>
  <c r="AN44" i="14"/>
  <c r="AM44" i="14"/>
  <c r="AL44" i="14"/>
  <c r="AK44" i="14"/>
  <c r="AJ44" i="14"/>
  <c r="AI44" i="14"/>
  <c r="AH44" i="14"/>
  <c r="AG44" i="14"/>
  <c r="AF44" i="14"/>
  <c r="AE44" i="14"/>
  <c r="AB43" i="14"/>
  <c r="BH41" i="14" a="1"/>
  <c r="BH41" i="14" s="1"/>
  <c r="BH42" i="14" s="1" a="1"/>
  <c r="BH42" i="14" s="1"/>
  <c r="BH43" i="14" s="1" a="1"/>
  <c r="BH43" i="14" s="1"/>
  <c r="BH44" i="14" s="1" a="1"/>
  <c r="BH44" i="14" s="1"/>
  <c r="BH45" i="14" s="1" a="1"/>
  <c r="BH45" i="14" s="1"/>
  <c r="BB41" i="14"/>
  <c r="BA41" i="14"/>
  <c r="AZ41" i="14"/>
  <c r="AZ28" i="14" s="1"/>
  <c r="AY41" i="14"/>
  <c r="AY28" i="14" s="1"/>
  <c r="AX41" i="14"/>
  <c r="AW41" i="14"/>
  <c r="AV41" i="14"/>
  <c r="AV28" i="14" s="1"/>
  <c r="AU41" i="14"/>
  <c r="AU28" i="14" s="1"/>
  <c r="AT41" i="14"/>
  <c r="AS41" i="14"/>
  <c r="AR41" i="14"/>
  <c r="AR28" i="14" s="1"/>
  <c r="AQ41" i="14"/>
  <c r="AQ28" i="14" s="1"/>
  <c r="AP41" i="14"/>
  <c r="AO41" i="14"/>
  <c r="AN41" i="14"/>
  <c r="AN28" i="14" s="1"/>
  <c r="AM41" i="14"/>
  <c r="AM28" i="14" s="1"/>
  <c r="AL41" i="14"/>
  <c r="AK41" i="14"/>
  <c r="AJ41" i="14"/>
  <c r="AJ28" i="14" s="1"/>
  <c r="AI41" i="14"/>
  <c r="AI28" i="14" s="1"/>
  <c r="AH41" i="14"/>
  <c r="AG41" i="14"/>
  <c r="AF41" i="14"/>
  <c r="AF28" i="14" s="1"/>
  <c r="AE41" i="14"/>
  <c r="AE28" i="14" s="1"/>
  <c r="BH39" i="14" a="1"/>
  <c r="BH39" i="14" s="1"/>
  <c r="BH40" i="14" s="1" a="1"/>
  <c r="BH40" i="14" s="1"/>
  <c r="BB39" i="14"/>
  <c r="BA39" i="14"/>
  <c r="AZ39" i="14"/>
  <c r="AY39" i="14"/>
  <c r="AX39" i="14"/>
  <c r="AW39" i="14"/>
  <c r="AV39" i="14"/>
  <c r="AU39" i="14"/>
  <c r="AT39" i="14"/>
  <c r="AS39" i="14"/>
  <c r="AR39" i="14"/>
  <c r="AQ39" i="14"/>
  <c r="AP39" i="14"/>
  <c r="AO39" i="14"/>
  <c r="AN39" i="14"/>
  <c r="AM39" i="14"/>
  <c r="AL39" i="14"/>
  <c r="AK39" i="14"/>
  <c r="AJ39" i="14"/>
  <c r="AI39" i="14"/>
  <c r="AH39" i="14"/>
  <c r="AG39" i="14"/>
  <c r="AF39" i="14"/>
  <c r="AE39" i="14"/>
  <c r="AB39" i="14"/>
  <c r="H39" i="14" a="1"/>
  <c r="H39" i="14" s="1"/>
  <c r="H40" i="14" s="1" a="1"/>
  <c r="H40" i="14" s="1"/>
  <c r="H41" i="14" s="1" a="1"/>
  <c r="H41" i="14" s="1"/>
  <c r="H42" i="14" s="1" a="1"/>
  <c r="H42" i="14" s="1"/>
  <c r="H43" i="14" s="1" a="1"/>
  <c r="H43" i="14" s="1"/>
  <c r="H44" i="14" s="1" a="1"/>
  <c r="H44" i="14" s="1"/>
  <c r="H45" i="14" s="1" a="1"/>
  <c r="H45" i="14" s="1"/>
  <c r="BB35" i="14"/>
  <c r="BA35" i="14"/>
  <c r="AZ35" i="14"/>
  <c r="AY35" i="14"/>
  <c r="AX35" i="14"/>
  <c r="AW35" i="14"/>
  <c r="AV35" i="14"/>
  <c r="AU35" i="14"/>
  <c r="AT35" i="14"/>
  <c r="AS35" i="14"/>
  <c r="AR35" i="14"/>
  <c r="AQ35" i="14"/>
  <c r="AP35" i="14"/>
  <c r="AO35" i="14"/>
  <c r="AN35" i="14"/>
  <c r="AM35" i="14"/>
  <c r="AL35" i="14"/>
  <c r="AK35" i="14"/>
  <c r="AJ35" i="14"/>
  <c r="AI35" i="14"/>
  <c r="AH35" i="14"/>
  <c r="AG35" i="14"/>
  <c r="AF35" i="14"/>
  <c r="AE35" i="14"/>
  <c r="AB35" i="14"/>
  <c r="BH34" i="14" a="1"/>
  <c r="BH34" i="14"/>
  <c r="BH35" i="14" s="1" a="1"/>
  <c r="BH35" i="14" s="1"/>
  <c r="BH36" i="14" s="1" a="1"/>
  <c r="BH36" i="14" s="1"/>
  <c r="AB34" i="14"/>
  <c r="AB36" i="14" s="1"/>
  <c r="H34" i="14" a="1"/>
  <c r="H34" i="14"/>
  <c r="H35" i="14" s="1" a="1"/>
  <c r="H35" i="14" s="1"/>
  <c r="H36" i="14" s="1" a="1"/>
  <c r="H36" i="14" s="1"/>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AS31" i="14"/>
  <c r="BB29" i="14"/>
  <c r="BB31" i="14" s="1"/>
  <c r="BA29" i="14"/>
  <c r="BA31" i="14" s="1"/>
  <c r="AZ29" i="14"/>
  <c r="AZ31" i="14" s="1"/>
  <c r="AY29" i="14"/>
  <c r="AY31" i="14" s="1"/>
  <c r="AX29" i="14"/>
  <c r="AX31" i="14" s="1"/>
  <c r="AW29" i="14"/>
  <c r="AW31" i="14" s="1"/>
  <c r="AV29" i="14"/>
  <c r="AV31" i="14" s="1"/>
  <c r="AU29" i="14"/>
  <c r="AU31" i="14" s="1"/>
  <c r="AT29" i="14"/>
  <c r="AT31" i="14" s="1"/>
  <c r="AS29" i="14"/>
  <c r="AR29" i="14"/>
  <c r="AR31" i="14" s="1"/>
  <c r="AQ29" i="14"/>
  <c r="AQ31" i="14" s="1"/>
  <c r="AP29" i="14"/>
  <c r="AP31" i="14" s="1"/>
  <c r="AO29" i="14"/>
  <c r="AO31" i="14" s="1"/>
  <c r="AN29" i="14"/>
  <c r="AN31" i="14" s="1"/>
  <c r="AM29" i="14"/>
  <c r="AM31" i="14" s="1"/>
  <c r="AL29" i="14"/>
  <c r="AL31" i="14" s="1"/>
  <c r="AK29" i="14"/>
  <c r="AK31" i="14" s="1"/>
  <c r="AJ29" i="14"/>
  <c r="AJ31" i="14" s="1"/>
  <c r="AI29" i="14"/>
  <c r="AI31" i="14" s="1"/>
  <c r="AH29" i="14"/>
  <c r="AH31" i="14" s="1"/>
  <c r="AG29" i="14"/>
  <c r="AG31" i="14" s="1"/>
  <c r="AF29" i="14"/>
  <c r="AF31" i="14" s="1"/>
  <c r="AE29" i="14"/>
  <c r="AE31" i="14" s="1"/>
  <c r="BA28" i="14"/>
  <c r="AW28" i="14"/>
  <c r="AK28" i="14"/>
  <c r="AG28" i="14"/>
  <c r="L28" i="14" a="1"/>
  <c r="L28" i="14" s="1"/>
  <c r="F28" i="14" a="1"/>
  <c r="F28" i="14" s="1"/>
  <c r="T27" i="14"/>
  <c r="T28" i="14" s="1" a="1"/>
  <c r="T28" i="14" s="1"/>
  <c r="T29" i="14" s="1" a="1"/>
  <c r="T29" i="14" s="1"/>
  <c r="T30" i="14" s="1" a="1"/>
  <c r="T30" i="14" s="1"/>
  <c r="T31" i="14" s="1" a="1"/>
  <c r="T31" i="14" s="1"/>
  <c r="T32" i="14" s="1" a="1"/>
  <c r="T32" i="14" s="1"/>
  <c r="T33" i="14" s="1" a="1"/>
  <c r="T33" i="14" s="1"/>
  <c r="F27" i="14" a="1"/>
  <c r="F27"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c r="BA10" i="14" a="1"/>
  <c r="BA10" i="14" s="1"/>
  <c r="AZ10" i="14" a="1"/>
  <c r="AZ10" i="14"/>
  <c r="AY10" i="14" a="1"/>
  <c r="AY10" i="14" s="1"/>
  <c r="AX10" i="14" a="1"/>
  <c r="AX10" i="14"/>
  <c r="AW10" i="14" a="1"/>
  <c r="AW10" i="14" s="1"/>
  <c r="AV10" i="14" a="1"/>
  <c r="AV10" i="14"/>
  <c r="AU10" i="14" a="1"/>
  <c r="AU10" i="14" s="1"/>
  <c r="AT10" i="14" a="1"/>
  <c r="AT10" i="14"/>
  <c r="AS10" i="14" a="1"/>
  <c r="AS10" i="14" s="1"/>
  <c r="AR10" i="14" a="1"/>
  <c r="AR10" i="14"/>
  <c r="AQ10" i="14" a="1"/>
  <c r="AQ10" i="14" s="1"/>
  <c r="AP10" i="14" a="1"/>
  <c r="AP10" i="14"/>
  <c r="AO10" i="14" a="1"/>
  <c r="AO10" i="14" s="1"/>
  <c r="AN10" i="14" a="1"/>
  <c r="AN10" i="14"/>
  <c r="AM10" i="14" a="1"/>
  <c r="AM10" i="14" s="1"/>
  <c r="AL10" i="14" a="1"/>
  <c r="AL10" i="14"/>
  <c r="AK10" i="14" a="1"/>
  <c r="AK10" i="14" s="1"/>
  <c r="AJ10" i="14" a="1"/>
  <c r="AJ10" i="14"/>
  <c r="AI10" i="14" a="1"/>
  <c r="AI10" i="14" s="1"/>
  <c r="AH10" i="14" a="1"/>
  <c r="AH10" i="14"/>
  <c r="AG10" i="14" a="1"/>
  <c r="AG10" i="14" s="1"/>
  <c r="AF10" i="14" a="1"/>
  <c r="AF10" i="14"/>
  <c r="AE10" i="14" a="1"/>
  <c r="AE10" i="14" s="1"/>
  <c r="BB9" i="14"/>
  <c r="AY9" i="14" a="1"/>
  <c r="AY9" i="14" s="1"/>
  <c r="AV9" i="14"/>
  <c r="AU9" i="14" a="1"/>
  <c r="AU9" i="14" s="1"/>
  <c r="AR9" i="14"/>
  <c r="AQ9" i="14" a="1"/>
  <c r="AQ9" i="14" s="1"/>
  <c r="AN9" i="14"/>
  <c r="AM9" i="14" a="1"/>
  <c r="AM9" i="14" s="1"/>
  <c r="AG9" i="14" a="1"/>
  <c r="AG9" i="14" s="1"/>
  <c r="AF9" i="14"/>
  <c r="AO8" i="14"/>
  <c r="BB7" i="14" a="1"/>
  <c r="BB7" i="14"/>
  <c r="BA7" i="14" a="1"/>
  <c r="BA7" i="14" s="1"/>
  <c r="AZ7" i="14" a="1"/>
  <c r="AZ7" i="14"/>
  <c r="AY7" i="14" a="1"/>
  <c r="AY7" i="14" s="1"/>
  <c r="AX7" i="14" a="1"/>
  <c r="AX7" i="14"/>
  <c r="AW7" i="14" a="1"/>
  <c r="AW7" i="14" s="1"/>
  <c r="AV7" i="14" a="1"/>
  <c r="AV7" i="14"/>
  <c r="AU7" i="14" a="1"/>
  <c r="AU7" i="14" s="1"/>
  <c r="AT7" i="14" a="1"/>
  <c r="AT7" i="14"/>
  <c r="AS7" i="14" a="1"/>
  <c r="AS7" i="14" s="1"/>
  <c r="AR7" i="14" a="1"/>
  <c r="AR7" i="14"/>
  <c r="AR8" i="14" s="1"/>
  <c r="AQ7" i="14" a="1"/>
  <c r="AQ7" i="14" s="1"/>
  <c r="AP7" i="14" a="1"/>
  <c r="AP7" i="14"/>
  <c r="AO7" i="14" a="1"/>
  <c r="AO7" i="14" s="1"/>
  <c r="AN7" i="14" a="1"/>
  <c r="AN7" i="14"/>
  <c r="AN8" i="14" s="1"/>
  <c r="AM7" i="14" a="1"/>
  <c r="AM7" i="14" s="1"/>
  <c r="AL7" i="14" a="1"/>
  <c r="AL7" i="14"/>
  <c r="AK7" i="14" a="1"/>
  <c r="AK7" i="14" s="1"/>
  <c r="AK8" i="14" s="1"/>
  <c r="AJ7" i="14" a="1"/>
  <c r="AJ7" i="14"/>
  <c r="AJ8" i="14" s="1"/>
  <c r="AI7" i="14" a="1"/>
  <c r="AI7" i="14" s="1"/>
  <c r="AH7" i="14" a="1"/>
  <c r="AH7" i="14"/>
  <c r="AG7" i="14" a="1"/>
  <c r="AG7" i="14" s="1"/>
  <c r="AG8" i="14" s="1"/>
  <c r="AF7" i="14" a="1"/>
  <c r="AF7" i="14"/>
  <c r="AF8" i="14" s="1"/>
  <c r="AE7" i="14" a="1"/>
  <c r="AE7" i="14" s="1"/>
  <c r="BB6" i="14"/>
  <c r="BB9" i="14" s="1" a="1"/>
  <c r="BA6" i="14"/>
  <c r="AZ6" i="14"/>
  <c r="AZ9" i="14" s="1" a="1"/>
  <c r="AZ9" i="14" s="1"/>
  <c r="AY6" i="14"/>
  <c r="AX6" i="14"/>
  <c r="AX9" i="14" s="1" a="1"/>
  <c r="AX9" i="14" s="1"/>
  <c r="AW6" i="14"/>
  <c r="AV6" i="14"/>
  <c r="AV9" i="14" s="1" a="1"/>
  <c r="AU6" i="14"/>
  <c r="AU8" i="14" s="1"/>
  <c r="AT6" i="14"/>
  <c r="AT9" i="14" s="1" a="1"/>
  <c r="AT9" i="14" s="1"/>
  <c r="AS6" i="14" a="1"/>
  <c r="AS6" i="14" s="1"/>
  <c r="AS8" i="14" s="1"/>
  <c r="AR6" i="14"/>
  <c r="AR9" i="14" s="1" a="1"/>
  <c r="AQ6" i="14"/>
  <c r="AP6" i="14"/>
  <c r="AO6" i="14"/>
  <c r="AO2" i="14" s="1"/>
  <c r="AN6" i="14"/>
  <c r="AN9" i="14" s="1" a="1"/>
  <c r="AM6" i="14"/>
  <c r="AM8" i="14" s="1"/>
  <c r="AL6" i="14"/>
  <c r="AK6" i="14"/>
  <c r="AK2" i="14" s="1"/>
  <c r="AJ6" i="14"/>
  <c r="AJ9" i="14" s="1" a="1"/>
  <c r="AJ9" i="14" s="1"/>
  <c r="AI6" i="14" a="1"/>
  <c r="AI6" i="14"/>
  <c r="AH6" i="14"/>
  <c r="AH9" i="14" s="1" a="1"/>
  <c r="AH9" i="14" s="1"/>
  <c r="AG6" i="14"/>
  <c r="AF6" i="14"/>
  <c r="AF9" i="14" s="1" a="1"/>
  <c r="AE6" i="14"/>
  <c r="BB2" i="14"/>
  <c r="AY2" i="14"/>
  <c r="AX2" i="14"/>
  <c r="AU2" i="14"/>
  <c r="AT2" i="14"/>
  <c r="AQ2" i="14"/>
  <c r="AM2" i="14"/>
  <c r="AI2" i="14"/>
  <c r="T56" i="13"/>
  <c r="T55" i="13"/>
  <c r="T54" i="13"/>
  <c r="T53" i="13"/>
  <c r="T52" i="13"/>
  <c r="T51" i="13"/>
  <c r="T50" i="13"/>
  <c r="T45" i="13" a="1"/>
  <c r="T45" i="13" s="1"/>
  <c r="H45" i="13"/>
  <c r="BH44" i="13" a="1"/>
  <c r="BH44" i="13" s="1"/>
  <c r="H44" i="13" a="1"/>
  <c r="H44" i="13" s="1"/>
  <c r="BH43" i="13" a="1"/>
  <c r="BH43" i="13" s="1"/>
  <c r="H43" i="13" a="1"/>
  <c r="H43" i="13"/>
  <c r="BH42" i="13" a="1"/>
  <c r="BH42" i="13"/>
  <c r="H42" i="13" a="1"/>
  <c r="H42" i="13"/>
  <c r="F42" i="13" a="1"/>
  <c r="F42" i="13" s="1"/>
  <c r="BB41" i="13"/>
  <c r="BA41" i="13"/>
  <c r="AZ41" i="13"/>
  <c r="AY41" i="13"/>
  <c r="AX41" i="13"/>
  <c r="AW41" i="13"/>
  <c r="AV41" i="13"/>
  <c r="AU41" i="13"/>
  <c r="AT41" i="13"/>
  <c r="AS41" i="13"/>
  <c r="AR41" i="13"/>
  <c r="AQ41" i="13"/>
  <c r="AP41" i="13"/>
  <c r="AO41" i="13"/>
  <c r="AN41" i="13"/>
  <c r="AM41" i="13"/>
  <c r="AL41" i="13"/>
  <c r="AK41" i="13"/>
  <c r="AJ41" i="13"/>
  <c r="AI41" i="13"/>
  <c r="AH41" i="13"/>
  <c r="AG41" i="13"/>
  <c r="AF41" i="13"/>
  <c r="AE41" i="13"/>
  <c r="L41" i="13" a="1"/>
  <c r="L41" i="13" s="1"/>
  <c r="H41" i="13" a="1"/>
  <c r="H41" i="13"/>
  <c r="T40" i="13"/>
  <c r="T41" i="13" s="1" a="1"/>
  <c r="T41" i="13" s="1"/>
  <c r="F40" i="13" a="1"/>
  <c r="F40" i="13" s="1"/>
  <c r="F41" i="13" s="1" a="1"/>
  <c r="F41" i="13" s="1"/>
  <c r="K41" i="13" s="1"/>
  <c r="H39" i="13"/>
  <c r="BH38" i="13" a="1"/>
  <c r="BH38" i="13"/>
  <c r="H38" i="13" a="1"/>
  <c r="H38" i="13"/>
  <c r="BH37" i="13" a="1"/>
  <c r="BH37" i="13"/>
  <c r="H37" i="13" a="1"/>
  <c r="H37" i="13" s="1"/>
  <c r="BH36" i="13" a="1"/>
  <c r="BH36" i="13" s="1"/>
  <c r="H36" i="13" a="1"/>
  <c r="H36" i="13" s="1"/>
  <c r="BH35" i="13" a="1"/>
  <c r="BH35" i="13" s="1"/>
  <c r="H35" i="13" a="1"/>
  <c r="H35" i="13"/>
  <c r="BH34" i="13" a="1"/>
  <c r="BH34" i="13"/>
  <c r="H34" i="13" a="1"/>
  <c r="H34" i="13"/>
  <c r="BH33" i="13" a="1"/>
  <c r="BH33" i="13"/>
  <c r="H33" i="13" a="1"/>
  <c r="H33" i="13" s="1"/>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T32" i="13" a="1"/>
  <c r="T32" i="13" s="1"/>
  <c r="L32" i="13" a="1"/>
  <c r="L32" i="13"/>
  <c r="H32" i="13" a="1"/>
  <c r="H32" i="13"/>
  <c r="T31" i="13"/>
  <c r="T39" i="13" s="1" a="1"/>
  <c r="T39" i="13" s="1"/>
  <c r="F31" i="13" a="1"/>
  <c r="F31" i="13"/>
  <c r="F32" i="13" s="1" a="1"/>
  <c r="F32" i="13" s="1"/>
  <c r="H30" i="13"/>
  <c r="BH29" i="13" a="1"/>
  <c r="BH29" i="13"/>
  <c r="H29" i="13" a="1"/>
  <c r="H29" i="13" s="1"/>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L28" i="13" a="1"/>
  <c r="L28" i="13"/>
  <c r="H28" i="13" a="1"/>
  <c r="H28" i="13"/>
  <c r="T27" i="13"/>
  <c r="F27" i="13" a="1"/>
  <c r="F27" i="13" s="1"/>
  <c r="F28" i="13" s="1" a="1"/>
  <c r="F28"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s="1"/>
  <c r="BB10" i="13" a="1"/>
  <c r="BB10" i="13"/>
  <c r="BA10" i="13" a="1"/>
  <c r="BA10" i="13" s="1"/>
  <c r="AZ10" i="13" a="1"/>
  <c r="AZ10" i="13"/>
  <c r="AY10" i="13" a="1"/>
  <c r="AY10" i="13" s="1"/>
  <c r="AX10" i="13" a="1"/>
  <c r="AX10" i="13"/>
  <c r="AW10" i="13" a="1"/>
  <c r="AW10" i="13" s="1"/>
  <c r="AV10" i="13" a="1"/>
  <c r="AV10" i="13"/>
  <c r="AU10" i="13" a="1"/>
  <c r="AU10" i="13" s="1"/>
  <c r="AT10" i="13" a="1"/>
  <c r="AT10" i="13"/>
  <c r="AS10" i="13" a="1"/>
  <c r="AS10" i="13" s="1"/>
  <c r="AR10" i="13" a="1"/>
  <c r="AR10" i="13"/>
  <c r="AQ10" i="13" a="1"/>
  <c r="AQ10" i="13" s="1"/>
  <c r="AP10" i="13" a="1"/>
  <c r="AP10" i="13"/>
  <c r="AO10" i="13" a="1"/>
  <c r="AO10" i="13" s="1"/>
  <c r="AN10" i="13" a="1"/>
  <c r="AN10" i="13"/>
  <c r="AM10" i="13" a="1"/>
  <c r="AM10" i="13" s="1"/>
  <c r="AL10" i="13" a="1"/>
  <c r="AL10" i="13"/>
  <c r="AK10" i="13" a="1"/>
  <c r="AK10" i="13" s="1"/>
  <c r="AJ10" i="13" a="1"/>
  <c r="AJ10" i="13"/>
  <c r="AI10" i="13" a="1"/>
  <c r="AI10" i="13" s="1"/>
  <c r="AH10" i="13" a="1"/>
  <c r="AH10" i="13"/>
  <c r="AG10" i="13" a="1"/>
  <c r="AG10" i="13" s="1"/>
  <c r="AF10" i="13" a="1"/>
  <c r="AF10" i="13"/>
  <c r="AE10" i="13" a="1"/>
  <c r="AE10" i="13" s="1"/>
  <c r="AY9" i="13" a="1"/>
  <c r="AY9" i="13" s="1"/>
  <c r="AU9" i="13" a="1"/>
  <c r="AU9" i="13" s="1"/>
  <c r="AT9" i="13"/>
  <c r="AR9" i="13" a="1"/>
  <c r="AR9" i="13"/>
  <c r="AQ9" i="13" a="1"/>
  <c r="AQ9" i="13" s="1"/>
  <c r="AN9" i="13" a="1"/>
  <c r="AN9" i="13"/>
  <c r="AM9" i="13" a="1"/>
  <c r="AM9" i="13" s="1"/>
  <c r="AJ9" i="13" a="1"/>
  <c r="AJ9" i="13"/>
  <c r="AG9" i="13" a="1"/>
  <c r="AG9" i="13" s="1"/>
  <c r="BB7" i="13" a="1"/>
  <c r="BB7" i="13"/>
  <c r="BA7" i="13" a="1"/>
  <c r="BA7" i="13" s="1"/>
  <c r="AZ7" i="13" a="1"/>
  <c r="AZ7" i="13"/>
  <c r="AY7" i="13" a="1"/>
  <c r="AY7" i="13" s="1"/>
  <c r="AX7" i="13" a="1"/>
  <c r="AX7" i="13"/>
  <c r="AW7" i="13" a="1"/>
  <c r="AW7" i="13" s="1"/>
  <c r="AV7" i="13" a="1"/>
  <c r="AV7" i="13"/>
  <c r="AU7" i="13" a="1"/>
  <c r="AU7" i="13" s="1"/>
  <c r="AT7" i="13" a="1"/>
  <c r="AT7" i="13"/>
  <c r="AS7" i="13" a="1"/>
  <c r="AS7" i="13" s="1"/>
  <c r="AR7" i="13" a="1"/>
  <c r="AR7" i="13"/>
  <c r="AQ7" i="13" a="1"/>
  <c r="AQ7" i="13" s="1"/>
  <c r="AP7" i="13" a="1"/>
  <c r="AP7" i="13"/>
  <c r="AO7" i="13" a="1"/>
  <c r="AO7" i="13" s="1"/>
  <c r="AN7" i="13" a="1"/>
  <c r="AN7" i="13"/>
  <c r="AM7" i="13" a="1"/>
  <c r="AM7" i="13" s="1"/>
  <c r="AL7" i="13" a="1"/>
  <c r="AL7" i="13"/>
  <c r="AK7" i="13" a="1"/>
  <c r="AK7" i="13" s="1"/>
  <c r="AJ7" i="13" a="1"/>
  <c r="AJ7" i="13"/>
  <c r="AI7" i="13" a="1"/>
  <c r="AI7" i="13" s="1"/>
  <c r="AH7" i="13" a="1"/>
  <c r="AH7" i="13"/>
  <c r="AG7" i="13" a="1"/>
  <c r="AG7" i="13" s="1"/>
  <c r="AF7" i="13" a="1"/>
  <c r="AF7" i="13"/>
  <c r="AE7" i="13" a="1"/>
  <c r="AE7" i="13" s="1"/>
  <c r="BB6" i="13"/>
  <c r="BB9" i="13" s="1" a="1"/>
  <c r="BB9" i="13" s="1"/>
  <c r="BA6" i="13"/>
  <c r="AZ6" i="13"/>
  <c r="AZ9" i="13" s="1" a="1"/>
  <c r="AZ9" i="13" s="1"/>
  <c r="AY6" i="13"/>
  <c r="AX6" i="13"/>
  <c r="AX9" i="13" s="1" a="1"/>
  <c r="AX9" i="13" s="1"/>
  <c r="AW6" i="13"/>
  <c r="AV6" i="13"/>
  <c r="AV9" i="13" s="1" a="1"/>
  <c r="AV9" i="13" s="1"/>
  <c r="AU6" i="13"/>
  <c r="AT6" i="13"/>
  <c r="AT9" i="13" s="1" a="1"/>
  <c r="AS6" i="13" a="1"/>
  <c r="AS6" i="13" s="1"/>
  <c r="AR6" i="13"/>
  <c r="AQ6" i="13"/>
  <c r="AP6" i="13"/>
  <c r="AO6" i="13"/>
  <c r="AO2" i="13" s="1"/>
  <c r="AN6" i="13"/>
  <c r="AM6" i="13"/>
  <c r="AL6" i="13"/>
  <c r="AK6" i="13"/>
  <c r="AK2" i="13" s="1"/>
  <c r="AJ6" i="13"/>
  <c r="AI6" i="13" a="1"/>
  <c r="AI6" i="13"/>
  <c r="AI9" i="13" s="1" a="1"/>
  <c r="AI9" i="13" s="1"/>
  <c r="AH6" i="13"/>
  <c r="AH9" i="13" s="1" a="1"/>
  <c r="AH9" i="13" s="1"/>
  <c r="AG6" i="13"/>
  <c r="AF6" i="13"/>
  <c r="AF9" i="13" s="1" a="1"/>
  <c r="AF9" i="13" s="1"/>
  <c r="AE6" i="13"/>
  <c r="AE9" i="13" s="1" a="1"/>
  <c r="AE9" i="13" s="1"/>
  <c r="BB2" i="13"/>
  <c r="AY2" i="13"/>
  <c r="AX2" i="13"/>
  <c r="AU2" i="13"/>
  <c r="AT2" i="13"/>
  <c r="AQ2" i="13"/>
  <c r="AM2" i="13"/>
  <c r="AI2" i="13"/>
  <c r="T41" i="12"/>
  <c r="H37" i="12"/>
  <c r="AU36" i="12" a="1"/>
  <c r="AU36" i="12"/>
  <c r="AN36" i="12"/>
  <c r="AJ36" i="12"/>
  <c r="AL36" i="12" s="1"/>
  <c r="AL35" i="12" s="1"/>
  <c r="H36" i="12" a="1"/>
  <c r="H36" i="12" s="1"/>
  <c r="AN35" i="12"/>
  <c r="AM35" i="12"/>
  <c r="AK35" i="12"/>
  <c r="T35" i="12"/>
  <c r="T37" i="12" s="1" a="1"/>
  <c r="T37" i="12" s="1"/>
  <c r="F35" i="12" a="1"/>
  <c r="F35" i="12"/>
  <c r="F36" i="12" s="1" a="1"/>
  <c r="F36" i="12" s="1"/>
  <c r="F37" i="12" s="1" a="1"/>
  <c r="F37" i="12" s="1"/>
  <c r="T34" i="12" a="1"/>
  <c r="T34" i="12" s="1"/>
  <c r="H34" i="12"/>
  <c r="AU33" i="12" a="1"/>
  <c r="AU33" i="12" s="1"/>
  <c r="AL33" i="12"/>
  <c r="AL32" i="12" s="1"/>
  <c r="AJ33" i="12"/>
  <c r="AN33" i="12" s="1"/>
  <c r="AN32" i="12" s="1"/>
  <c r="H33" i="12" a="1"/>
  <c r="H33" i="12"/>
  <c r="AM32" i="12"/>
  <c r="AK32" i="12"/>
  <c r="T32" i="12"/>
  <c r="F32" i="12" a="1"/>
  <c r="F32" i="12" s="1"/>
  <c r="F33" i="12" s="1" a="1"/>
  <c r="F33" i="12" s="1"/>
  <c r="H31" i="12"/>
  <c r="AU30" i="12" a="1"/>
  <c r="AU30" i="12"/>
  <c r="AN30" i="12"/>
  <c r="AJ30" i="12"/>
  <c r="AL30" i="12" s="1"/>
  <c r="AL29" i="12" s="1"/>
  <c r="H30" i="12" a="1"/>
  <c r="H30" i="12" s="1"/>
  <c r="AN29" i="12"/>
  <c r="AM29" i="12"/>
  <c r="AK29" i="12"/>
  <c r="T29" i="12"/>
  <c r="T31" i="12" s="1" a="1"/>
  <c r="T31" i="12" s="1"/>
  <c r="F29" i="12" a="1"/>
  <c r="F29" i="12" s="1"/>
  <c r="F30" i="12" s="1" a="1"/>
  <c r="F30" i="12" s="1"/>
  <c r="AK25" i="12"/>
  <c r="AP11" i="12" a="1"/>
  <c r="AP11" i="12" s="1"/>
  <c r="AO11" i="12" a="1"/>
  <c r="AO11" i="12"/>
  <c r="AM10" i="12" a="1"/>
  <c r="AM10" i="12"/>
  <c r="AN10" i="12" s="1" a="1"/>
  <c r="AN10" i="12" s="1"/>
  <c r="AK10" i="12" a="1"/>
  <c r="AK10" i="12"/>
  <c r="AL10" i="12" s="1" a="1"/>
  <c r="AL10" i="12" s="1"/>
  <c r="AN9" i="12" a="1"/>
  <c r="AN9" i="12" s="1"/>
  <c r="AM9" i="12" a="1"/>
  <c r="AM9" i="12"/>
  <c r="AL9" i="12" a="1"/>
  <c r="AL9" i="12" s="1"/>
  <c r="AK9" i="12" a="1"/>
  <c r="AK9" i="12"/>
  <c r="AJ9" i="12" a="1"/>
  <c r="AJ9" i="12" s="1"/>
  <c r="AI9" i="12" a="1"/>
  <c r="AI9" i="12"/>
  <c r="AH9" i="12" a="1"/>
  <c r="AH9" i="12" s="1"/>
  <c r="AG9" i="12" a="1"/>
  <c r="AG9" i="12"/>
  <c r="AF9" i="12" a="1"/>
  <c r="AF9" i="12" s="1"/>
  <c r="AE9" i="12" a="1"/>
  <c r="AE9" i="12"/>
  <c r="AD9" i="12" a="1"/>
  <c r="AD9" i="12" s="1"/>
  <c r="AM3" i="12" a="1"/>
  <c r="AM3" i="12"/>
  <c r="AK3" i="12" a="1"/>
  <c r="AK3" i="12" s="1"/>
  <c r="T304" i="11"/>
  <c r="T303" i="11"/>
  <c r="BB296" i="11"/>
  <c r="BA296" i="11"/>
  <c r="AZ296" i="11"/>
  <c r="AY296" i="11"/>
  <c r="AX296" i="11"/>
  <c r="AW296" i="11"/>
  <c r="AV296" i="11"/>
  <c r="AU296" i="11"/>
  <c r="AT296" i="11"/>
  <c r="AS296" i="11"/>
  <c r="AR296" i="11"/>
  <c r="AQ296" i="11"/>
  <c r="AP296" i="11"/>
  <c r="AO296" i="11"/>
  <c r="AN296" i="11"/>
  <c r="AM296" i="11"/>
  <c r="AL296" i="11"/>
  <c r="AK296" i="11"/>
  <c r="AJ296" i="11"/>
  <c r="AI296" i="11"/>
  <c r="AH296" i="11"/>
  <c r="AG296" i="11"/>
  <c r="AF296" i="11"/>
  <c r="AE296" i="11"/>
  <c r="BB294" i="11"/>
  <c r="BA294" i="11"/>
  <c r="AZ294" i="11"/>
  <c r="AY294" i="11"/>
  <c r="AX294" i="11"/>
  <c r="AW294" i="11"/>
  <c r="AV294" i="11"/>
  <c r="AU294" i="11"/>
  <c r="AT294" i="11"/>
  <c r="AS294" i="11"/>
  <c r="AR294" i="11"/>
  <c r="AQ294" i="11"/>
  <c r="AP294" i="11"/>
  <c r="AO294" i="11"/>
  <c r="AN294" i="11"/>
  <c r="AM294" i="11"/>
  <c r="AL294" i="11"/>
  <c r="AK294" i="11"/>
  <c r="AJ294" i="11"/>
  <c r="AI294" i="11"/>
  <c r="AH294" i="11"/>
  <c r="AG294" i="11"/>
  <c r="AF294" i="11"/>
  <c r="AE294" i="11"/>
  <c r="BB290" i="11"/>
  <c r="BA290" i="11"/>
  <c r="AZ290" i="11"/>
  <c r="AY290" i="11"/>
  <c r="AX290" i="11"/>
  <c r="AW290" i="11"/>
  <c r="AV290" i="11"/>
  <c r="AU290" i="11"/>
  <c r="AT290" i="11"/>
  <c r="AS290" i="11"/>
  <c r="AR290" i="11"/>
  <c r="AQ290" i="11"/>
  <c r="AP290" i="11"/>
  <c r="AO290" i="11"/>
  <c r="AN290" i="11"/>
  <c r="AM290" i="11"/>
  <c r="AL290" i="11"/>
  <c r="AK290" i="11"/>
  <c r="AJ290" i="11"/>
  <c r="AI290" i="11"/>
  <c r="AH290" i="11"/>
  <c r="AG290" i="11"/>
  <c r="AF290" i="11"/>
  <c r="AE290" i="11"/>
  <c r="BB283" i="11"/>
  <c r="BA283" i="11"/>
  <c r="AZ283" i="11"/>
  <c r="AY283" i="11"/>
  <c r="AX283" i="11"/>
  <c r="AW283" i="11"/>
  <c r="AV283" i="11"/>
  <c r="AU283" i="11"/>
  <c r="AT283" i="11"/>
  <c r="AS283" i="11"/>
  <c r="AR283" i="11"/>
  <c r="AQ283" i="11"/>
  <c r="AP283" i="11"/>
  <c r="AO283" i="11"/>
  <c r="AN283" i="11"/>
  <c r="AM283" i="11"/>
  <c r="AL283" i="11"/>
  <c r="AK283" i="11"/>
  <c r="AJ283" i="11"/>
  <c r="AI283" i="11"/>
  <c r="AH283" i="11"/>
  <c r="AG283" i="11"/>
  <c r="AF283" i="11"/>
  <c r="AE283" i="11"/>
  <c r="AS280" i="11"/>
  <c r="AS281" i="11" s="1"/>
  <c r="BB276" i="11"/>
  <c r="BA276" i="11"/>
  <c r="AZ276" i="11"/>
  <c r="AY276" i="11"/>
  <c r="AX276" i="11"/>
  <c r="AW276" i="11"/>
  <c r="AV276" i="11"/>
  <c r="AU276" i="11"/>
  <c r="AT276" i="11"/>
  <c r="AS276" i="11"/>
  <c r="AR276" i="11"/>
  <c r="AQ276" i="11"/>
  <c r="AP276" i="11"/>
  <c r="AO276" i="11"/>
  <c r="AN276" i="11"/>
  <c r="AM276" i="11"/>
  <c r="AL276" i="11"/>
  <c r="AK276" i="11"/>
  <c r="AJ276" i="11"/>
  <c r="AI276" i="11"/>
  <c r="AH276" i="11"/>
  <c r="AG276" i="11"/>
  <c r="AF276" i="11"/>
  <c r="AE276" i="11"/>
  <c r="BB273" i="11"/>
  <c r="BA273" i="11"/>
  <c r="AZ273" i="11"/>
  <c r="AY273" i="11"/>
  <c r="AX273" i="11"/>
  <c r="AW273" i="11"/>
  <c r="AV273" i="11"/>
  <c r="AU273" i="11"/>
  <c r="AT273" i="11"/>
  <c r="AS273" i="11"/>
  <c r="AR273" i="11"/>
  <c r="AQ273" i="11"/>
  <c r="AP273" i="11"/>
  <c r="AO273" i="11"/>
  <c r="AN273" i="11"/>
  <c r="AM273" i="11"/>
  <c r="AL273" i="11"/>
  <c r="AK273" i="11"/>
  <c r="AJ273" i="11"/>
  <c r="AI273" i="11"/>
  <c r="AH273" i="11"/>
  <c r="AG273" i="11"/>
  <c r="AF273" i="11"/>
  <c r="AE273" i="11"/>
  <c r="BB270" i="11"/>
  <c r="BA270" i="11"/>
  <c r="AZ270" i="11"/>
  <c r="AY270" i="11"/>
  <c r="AX270" i="11"/>
  <c r="AW270" i="11"/>
  <c r="AV270" i="11"/>
  <c r="AU270" i="11"/>
  <c r="AT270" i="11"/>
  <c r="AS270" i="11"/>
  <c r="AR270" i="11"/>
  <c r="AQ270" i="11"/>
  <c r="AP270" i="11"/>
  <c r="AO270" i="11"/>
  <c r="AN270" i="11"/>
  <c r="AM270" i="11"/>
  <c r="AL270" i="11"/>
  <c r="AK270" i="11"/>
  <c r="AJ270" i="11"/>
  <c r="AI270" i="11"/>
  <c r="AH270" i="11"/>
  <c r="AG270" i="11"/>
  <c r="AF270" i="11"/>
  <c r="AE270" i="11"/>
  <c r="BB267" i="11"/>
  <c r="BA267" i="11"/>
  <c r="AZ267" i="11"/>
  <c r="AY267" i="11"/>
  <c r="AX267" i="11"/>
  <c r="AW267" i="11"/>
  <c r="AV267" i="11"/>
  <c r="AU267" i="11"/>
  <c r="AT267" i="11"/>
  <c r="AS267" i="11"/>
  <c r="AR267" i="11"/>
  <c r="AQ267" i="11"/>
  <c r="AP267" i="11"/>
  <c r="AO267" i="11"/>
  <c r="AN267" i="11"/>
  <c r="AM267" i="11"/>
  <c r="AL267" i="11"/>
  <c r="AK267" i="11"/>
  <c r="AJ267" i="11"/>
  <c r="AI267" i="11"/>
  <c r="AH267" i="11"/>
  <c r="AG267" i="11"/>
  <c r="AF267" i="11"/>
  <c r="AE267" i="11"/>
  <c r="BB266" i="11"/>
  <c r="BB264" i="11" s="1"/>
  <c r="BA266" i="11"/>
  <c r="AZ266" i="11"/>
  <c r="AY266" i="11"/>
  <c r="AY264" i="11" s="1"/>
  <c r="AX266" i="11"/>
  <c r="AX264" i="11" s="1"/>
  <c r="AW266" i="11"/>
  <c r="AV266" i="11"/>
  <c r="AU266" i="11"/>
  <c r="AU264" i="11" s="1"/>
  <c r="AT266" i="11"/>
  <c r="AT264" i="11" s="1"/>
  <c r="AS266" i="11"/>
  <c r="AR266" i="11"/>
  <c r="AQ266" i="11"/>
  <c r="AQ264" i="11" s="1"/>
  <c r="AP266" i="11"/>
  <c r="AP264" i="11" s="1"/>
  <c r="AO266" i="11"/>
  <c r="AN266" i="11"/>
  <c r="AM266" i="11"/>
  <c r="AM264" i="11" s="1"/>
  <c r="AL266" i="11"/>
  <c r="AL264" i="11" s="1"/>
  <c r="AK266" i="11"/>
  <c r="AJ266" i="11"/>
  <c r="AI266" i="11"/>
  <c r="AI264" i="11" s="1"/>
  <c r="AH266" i="11"/>
  <c r="AH264" i="11" s="1"/>
  <c r="AG266" i="11"/>
  <c r="AF266" i="11"/>
  <c r="AE266" i="11"/>
  <c r="AE264" i="11" s="1"/>
  <c r="G265" i="11"/>
  <c r="BA264" i="11"/>
  <c r="AZ264" i="11"/>
  <c r="AW264" i="11"/>
  <c r="AV264" i="11"/>
  <c r="AS264" i="11"/>
  <c r="AR264" i="11"/>
  <c r="AO264" i="11"/>
  <c r="AN264" i="11"/>
  <c r="AK264" i="11"/>
  <c r="AJ264" i="11"/>
  <c r="AG264" i="11"/>
  <c r="AF264" i="11"/>
  <c r="BB257" i="11"/>
  <c r="BB248" i="11" s="1"/>
  <c r="BB253" i="11" s="1"/>
  <c r="BA257" i="11"/>
  <c r="AZ257" i="11"/>
  <c r="AY257" i="11"/>
  <c r="AX257" i="11"/>
  <c r="AX248" i="11" s="1"/>
  <c r="AX253" i="11" s="1"/>
  <c r="AW257" i="11"/>
  <c r="AV257" i="11"/>
  <c r="AU257" i="11"/>
  <c r="AT257" i="11"/>
  <c r="AT248" i="11" s="1"/>
  <c r="AT253" i="11" s="1"/>
  <c r="AS257" i="11"/>
  <c r="AR257" i="11"/>
  <c r="AQ257" i="11"/>
  <c r="AP257" i="11"/>
  <c r="AP248" i="11" s="1"/>
  <c r="AP253" i="11" s="1"/>
  <c r="AO257" i="11"/>
  <c r="AN257" i="11"/>
  <c r="AM257" i="11"/>
  <c r="AL257" i="11"/>
  <c r="AL248" i="11" s="1"/>
  <c r="AL253" i="11" s="1"/>
  <c r="AK257" i="11"/>
  <c r="AJ257" i="11"/>
  <c r="AI257" i="11"/>
  <c r="AH257" i="11"/>
  <c r="AH248" i="11" s="1"/>
  <c r="AH253" i="11" s="1"/>
  <c r="AG257" i="11"/>
  <c r="AF257" i="11"/>
  <c r="AE257" i="11"/>
  <c r="BB254" i="11"/>
  <c r="BA254" i="11"/>
  <c r="AZ254" i="11"/>
  <c r="AY254" i="11"/>
  <c r="AX254" i="11"/>
  <c r="AW254" i="11"/>
  <c r="AV254" i="11"/>
  <c r="AU254" i="11"/>
  <c r="AT254" i="11"/>
  <c r="AS254" i="11"/>
  <c r="AR254" i="11"/>
  <c r="AQ254" i="11"/>
  <c r="AP254" i="11"/>
  <c r="AO254" i="11"/>
  <c r="AN254" i="11"/>
  <c r="AM254" i="11"/>
  <c r="AL254" i="11"/>
  <c r="AK254" i="11"/>
  <c r="AJ254" i="11"/>
  <c r="AI254" i="11"/>
  <c r="AH254" i="11"/>
  <c r="AG254" i="11"/>
  <c r="AF254" i="11"/>
  <c r="AE254" i="11"/>
  <c r="BA248" i="11"/>
  <c r="BA253" i="11" s="1"/>
  <c r="AZ248" i="11"/>
  <c r="AZ253" i="11" s="1"/>
  <c r="AY248" i="11"/>
  <c r="AY253" i="11" s="1"/>
  <c r="AW248" i="11"/>
  <c r="AW253" i="11" s="1"/>
  <c r="AV248" i="11"/>
  <c r="AV253" i="11" s="1"/>
  <c r="AU248" i="11"/>
  <c r="AU253" i="11" s="1"/>
  <c r="AS248" i="11"/>
  <c r="AS253" i="11" s="1"/>
  <c r="AR248" i="11"/>
  <c r="AR253" i="11" s="1"/>
  <c r="AQ248" i="11"/>
  <c r="AQ253" i="11" s="1"/>
  <c r="AO248" i="11"/>
  <c r="AO253" i="11" s="1"/>
  <c r="AN248" i="11"/>
  <c r="AN253" i="11" s="1"/>
  <c r="AM248" i="11"/>
  <c r="AM253" i="11" s="1"/>
  <c r="AK248" i="11"/>
  <c r="AK253" i="11" s="1"/>
  <c r="AJ248" i="11"/>
  <c r="AJ253" i="11" s="1"/>
  <c r="AI248" i="11"/>
  <c r="AI253" i="11" s="1"/>
  <c r="AG248" i="11"/>
  <c r="AG253" i="11" s="1"/>
  <c r="AF248" i="11"/>
  <c r="AF253" i="11" s="1"/>
  <c r="AE248" i="11"/>
  <c r="AE253" i="11" s="1"/>
  <c r="BB241" i="11"/>
  <c r="BA241" i="11"/>
  <c r="AZ241" i="11"/>
  <c r="AZ234" i="11" s="1"/>
  <c r="AY241" i="11"/>
  <c r="AX241" i="11"/>
  <c r="AW241" i="11"/>
  <c r="AV241" i="11"/>
  <c r="AV234" i="11" s="1"/>
  <c r="AU241" i="11"/>
  <c r="AT241" i="11"/>
  <c r="AS241" i="11"/>
  <c r="AR241" i="11"/>
  <c r="AR234" i="11" s="1"/>
  <c r="AQ241" i="11"/>
  <c r="AP241" i="11"/>
  <c r="AO241" i="11"/>
  <c r="AN241" i="11"/>
  <c r="AN234" i="11" s="1"/>
  <c r="AM241" i="11"/>
  <c r="AL241" i="11"/>
  <c r="AK241" i="11"/>
  <c r="AJ241" i="11"/>
  <c r="AJ234" i="11" s="1"/>
  <c r="AI241" i="11"/>
  <c r="AH241" i="11"/>
  <c r="AG241" i="11"/>
  <c r="AF241" i="11"/>
  <c r="AF234" i="11" s="1"/>
  <c r="AE241" i="11"/>
  <c r="BB238" i="11"/>
  <c r="BA238" i="11"/>
  <c r="AZ238" i="11"/>
  <c r="AY238" i="11"/>
  <c r="AX238" i="11"/>
  <c r="AW238" i="11"/>
  <c r="AV238" i="11"/>
  <c r="AU238" i="11"/>
  <c r="AT238" i="11"/>
  <c r="AS238" i="11"/>
  <c r="AR238" i="11"/>
  <c r="AQ238" i="11"/>
  <c r="AP238" i="11"/>
  <c r="AO238" i="11"/>
  <c r="AN238" i="11"/>
  <c r="AM238" i="11"/>
  <c r="AL238" i="11"/>
  <c r="AK238" i="11"/>
  <c r="AJ238" i="11"/>
  <c r="AI238" i="11"/>
  <c r="AH238" i="11"/>
  <c r="AG238" i="11"/>
  <c r="AF238" i="11"/>
  <c r="AE238" i="11"/>
  <c r="BB235" i="11"/>
  <c r="BA235" i="11"/>
  <c r="AZ235" i="11"/>
  <c r="AY235" i="11"/>
  <c r="AX235" i="11"/>
  <c r="AW235" i="11"/>
  <c r="AV235" i="11"/>
  <c r="AU235" i="11"/>
  <c r="AT235" i="11"/>
  <c r="AS235" i="11"/>
  <c r="AR235" i="11"/>
  <c r="AQ235" i="11"/>
  <c r="AP235" i="11"/>
  <c r="AO235" i="11"/>
  <c r="AN235" i="11"/>
  <c r="AM235" i="11"/>
  <c r="AL235" i="11"/>
  <c r="AK235" i="11"/>
  <c r="AJ235" i="11"/>
  <c r="AI235" i="11"/>
  <c r="AH235" i="11"/>
  <c r="AG235" i="11"/>
  <c r="AF235" i="11"/>
  <c r="AE235" i="11"/>
  <c r="BB234" i="11"/>
  <c r="BA234" i="11"/>
  <c r="AY234" i="11"/>
  <c r="AX234" i="11"/>
  <c r="AW234" i="11"/>
  <c r="AU234" i="11"/>
  <c r="AT234" i="11"/>
  <c r="AS234" i="11"/>
  <c r="AQ234" i="11"/>
  <c r="AP234" i="11"/>
  <c r="AO234" i="11"/>
  <c r="AM234" i="11"/>
  <c r="AL234" i="11"/>
  <c r="AK234" i="11"/>
  <c r="AI234" i="11"/>
  <c r="AH234" i="11"/>
  <c r="AG234" i="11"/>
  <c r="AE234" i="11"/>
  <c r="BB231" i="11"/>
  <c r="BA231" i="11"/>
  <c r="AZ231" i="11"/>
  <c r="AY231" i="11"/>
  <c r="AX231" i="11"/>
  <c r="AW231" i="11"/>
  <c r="AV231" i="11"/>
  <c r="AU231" i="11"/>
  <c r="AT231" i="11"/>
  <c r="AS231" i="11"/>
  <c r="AR231" i="11"/>
  <c r="AQ231" i="11"/>
  <c r="AP231" i="11"/>
  <c r="AO231" i="11"/>
  <c r="AN231" i="11"/>
  <c r="AM231" i="11"/>
  <c r="AL231" i="11"/>
  <c r="AK231" i="11"/>
  <c r="AJ231" i="11"/>
  <c r="AI231" i="11"/>
  <c r="AH231" i="11"/>
  <c r="AG231" i="11"/>
  <c r="AF231" i="11"/>
  <c r="AE231" i="11"/>
  <c r="BB227" i="11"/>
  <c r="BA227" i="11"/>
  <c r="AZ227" i="11"/>
  <c r="AY227" i="11"/>
  <c r="AY226" i="11" s="1"/>
  <c r="AY220" i="11" s="1"/>
  <c r="AX227" i="11"/>
  <c r="AW227" i="11"/>
  <c r="AV227" i="11"/>
  <c r="AU227" i="11"/>
  <c r="AU226" i="11" s="1"/>
  <c r="AU220" i="11" s="1"/>
  <c r="AT227" i="11"/>
  <c r="AS227" i="11"/>
  <c r="AR227" i="11"/>
  <c r="AQ227" i="11"/>
  <c r="AQ226" i="11" s="1"/>
  <c r="AQ220" i="11" s="1"/>
  <c r="AP227" i="11"/>
  <c r="AO227" i="11"/>
  <c r="AN227" i="11"/>
  <c r="AM227" i="11"/>
  <c r="AM226" i="11" s="1"/>
  <c r="AM220" i="11" s="1"/>
  <c r="AL227" i="11"/>
  <c r="AK227" i="11"/>
  <c r="AJ227" i="11"/>
  <c r="AI227" i="11"/>
  <c r="AI226" i="11" s="1"/>
  <c r="AI220" i="11" s="1"/>
  <c r="AH227" i="11"/>
  <c r="AG227" i="11"/>
  <c r="AF227" i="11"/>
  <c r="AE227" i="11"/>
  <c r="AE226" i="11" s="1"/>
  <c r="AE220" i="11" s="1"/>
  <c r="G227" i="11"/>
  <c r="BB226" i="11"/>
  <c r="BA226" i="11"/>
  <c r="AX226" i="11"/>
  <c r="AW226" i="11"/>
  <c r="AT226" i="11"/>
  <c r="AS226" i="11"/>
  <c r="AP226" i="11"/>
  <c r="AO226" i="11"/>
  <c r="AL226" i="11"/>
  <c r="AK226" i="11"/>
  <c r="AH226" i="11"/>
  <c r="AG226" i="11"/>
  <c r="AG220" i="11" s="1"/>
  <c r="AS225" i="11"/>
  <c r="BB220" i="11"/>
  <c r="BB225" i="11" s="1"/>
  <c r="BA220" i="11"/>
  <c r="BA225" i="11" s="1"/>
  <c r="AX220" i="11"/>
  <c r="AX225" i="11" s="1"/>
  <c r="AW220" i="11"/>
  <c r="AW211" i="11" s="1"/>
  <c r="AT220" i="11"/>
  <c r="AT225" i="11" s="1"/>
  <c r="AS220" i="11"/>
  <c r="AS211" i="11" s="1"/>
  <c r="AP220" i="11"/>
  <c r="AP225" i="11" s="1"/>
  <c r="AO220" i="11"/>
  <c r="AO225" i="11" s="1"/>
  <c r="AL220" i="11"/>
  <c r="AL225" i="11" s="1"/>
  <c r="AK220" i="11"/>
  <c r="AK225" i="11" s="1"/>
  <c r="AH220" i="11"/>
  <c r="AH225" i="11" s="1"/>
  <c r="BB215" i="11"/>
  <c r="BA215" i="11"/>
  <c r="AZ215" i="11"/>
  <c r="AY215" i="11"/>
  <c r="AX215" i="11"/>
  <c r="AW215" i="11"/>
  <c r="AV215" i="11"/>
  <c r="AU215" i="11"/>
  <c r="AT215" i="11"/>
  <c r="AS215" i="11"/>
  <c r="AR215" i="11"/>
  <c r="AQ215" i="11"/>
  <c r="AP215" i="11"/>
  <c r="AO215" i="11"/>
  <c r="AN215" i="11"/>
  <c r="AM215" i="11"/>
  <c r="AL215" i="11"/>
  <c r="AK215" i="11"/>
  <c r="AJ215" i="11"/>
  <c r="AI215" i="11"/>
  <c r="AH215" i="11"/>
  <c r="AG215" i="11"/>
  <c r="AF215" i="11"/>
  <c r="AE215" i="11"/>
  <c r="BB211" i="11"/>
  <c r="BA211" i="11"/>
  <c r="AX211" i="11"/>
  <c r="AT211" i="11"/>
  <c r="AP211" i="11"/>
  <c r="AO211" i="11"/>
  <c r="AL211" i="11"/>
  <c r="AK211" i="11"/>
  <c r="AH211" i="11"/>
  <c r="T209" i="11"/>
  <c r="F209" i="11" a="1"/>
  <c r="F209" i="11"/>
  <c r="F210" i="11" s="1" a="1"/>
  <c r="F210" i="11" s="1"/>
  <c r="F211" i="11" s="1" a="1"/>
  <c r="F211" i="11" s="1"/>
  <c r="F212" i="11" s="1" a="1"/>
  <c r="F212" i="11" s="1"/>
  <c r="F213" i="11" s="1" a="1"/>
  <c r="F213" i="11" s="1"/>
  <c r="F214" i="11" s="1" a="1"/>
  <c r="F214" i="11" s="1"/>
  <c r="F215" i="11" s="1" a="1"/>
  <c r="F215" i="11" s="1"/>
  <c r="F216" i="11" s="1" a="1"/>
  <c r="F216" i="11" s="1"/>
  <c r="F217" i="11" s="1" a="1"/>
  <c r="F217" i="11" s="1"/>
  <c r="F218" i="11" s="1" a="1"/>
  <c r="F218" i="11" s="1"/>
  <c r="F219" i="11" s="1" a="1"/>
  <c r="F219" i="11" s="1"/>
  <c r="F220" i="11" s="1" a="1"/>
  <c r="F220" i="11" s="1"/>
  <c r="F221" i="11" s="1" a="1"/>
  <c r="F221" i="11" s="1"/>
  <c r="F222" i="11" s="1" a="1"/>
  <c r="F222" i="11" s="1"/>
  <c r="F223" i="11" s="1" a="1"/>
  <c r="F223" i="11" s="1"/>
  <c r="F224" i="11" s="1" a="1"/>
  <c r="F224" i="11" s="1"/>
  <c r="F225" i="11" s="1" a="1"/>
  <c r="F225" i="11" s="1"/>
  <c r="F226" i="11" s="1" a="1"/>
  <c r="F226" i="11" s="1"/>
  <c r="F227" i="11" s="1" a="1"/>
  <c r="F227" i="11" s="1"/>
  <c r="F228" i="11" s="1" a="1"/>
  <c r="F228" i="11" s="1"/>
  <c r="F229" i="11" s="1" a="1"/>
  <c r="F229" i="11" s="1"/>
  <c r="F230" i="11" s="1" a="1"/>
  <c r="F230" i="11" s="1"/>
  <c r="F231" i="11" s="1" a="1"/>
  <c r="F231" i="11" s="1"/>
  <c r="F232" i="11" s="1" a="1"/>
  <c r="F232" i="11" s="1"/>
  <c r="F233" i="11" s="1" a="1"/>
  <c r="F233" i="11" s="1"/>
  <c r="F234" i="11" s="1" a="1"/>
  <c r="F234" i="11" s="1"/>
  <c r="F235" i="11" s="1" a="1"/>
  <c r="F235" i="11" s="1"/>
  <c r="F236" i="11" s="1" a="1"/>
  <c r="F236" i="11" s="1"/>
  <c r="F237" i="11" s="1" a="1"/>
  <c r="F237" i="11" s="1"/>
  <c r="F238" i="11" s="1" a="1"/>
  <c r="F238" i="11" s="1"/>
  <c r="F239" i="11" s="1" a="1"/>
  <c r="F239" i="11" s="1"/>
  <c r="F240" i="11" s="1" a="1"/>
  <c r="F240" i="11" s="1"/>
  <c r="F241" i="11" s="1" a="1"/>
  <c r="F241" i="11" s="1"/>
  <c r="F242" i="11" s="1" a="1"/>
  <c r="F242" i="11" s="1"/>
  <c r="F243" i="11" s="1" a="1"/>
  <c r="F243" i="11" s="1"/>
  <c r="F244" i="11" s="1" a="1"/>
  <c r="F244" i="11" s="1"/>
  <c r="F245" i="11" s="1" a="1"/>
  <c r="F245" i="11" s="1"/>
  <c r="F246" i="11" s="1" a="1"/>
  <c r="F246" i="11" s="1"/>
  <c r="F247" i="11" s="1" a="1"/>
  <c r="F247" i="11" s="1"/>
  <c r="F248" i="11" s="1" a="1"/>
  <c r="F248" i="11" s="1"/>
  <c r="F249" i="11" s="1" a="1"/>
  <c r="F249" i="11" s="1"/>
  <c r="F250" i="11" s="1" a="1"/>
  <c r="F250" i="11" s="1"/>
  <c r="F251" i="11" s="1" a="1"/>
  <c r="F251" i="11" s="1"/>
  <c r="F252" i="11" s="1" a="1"/>
  <c r="F252" i="11" s="1"/>
  <c r="F253" i="11" s="1" a="1"/>
  <c r="F253" i="11" s="1"/>
  <c r="F254" i="11" s="1" a="1"/>
  <c r="F254" i="11" s="1"/>
  <c r="F255" i="11" s="1" a="1"/>
  <c r="F255" i="11" s="1"/>
  <c r="F256" i="11" s="1" a="1"/>
  <c r="F256" i="11" s="1"/>
  <c r="F257" i="11" s="1" a="1"/>
  <c r="F257" i="11" s="1"/>
  <c r="F258" i="11" s="1" a="1"/>
  <c r="F258" i="11" s="1"/>
  <c r="F259" i="11" s="1" a="1"/>
  <c r="F259" i="11" s="1"/>
  <c r="F260" i="11" s="1" a="1"/>
  <c r="F260" i="11" s="1"/>
  <c r="F261" i="11" s="1" a="1"/>
  <c r="F261" i="11" s="1"/>
  <c r="F262" i="11" s="1" a="1"/>
  <c r="F262" i="11" s="1"/>
  <c r="F263" i="11" s="1" a="1"/>
  <c r="F263" i="11" s="1"/>
  <c r="F264" i="11" s="1" a="1"/>
  <c r="F264" i="11" s="1"/>
  <c r="F265" i="11" s="1" a="1"/>
  <c r="F265" i="11" s="1"/>
  <c r="F266" i="11" s="1" a="1"/>
  <c r="F266" i="11" s="1"/>
  <c r="F267" i="11" s="1" a="1"/>
  <c r="F267" i="11" s="1"/>
  <c r="F268" i="11" s="1" a="1"/>
  <c r="F268" i="11" s="1"/>
  <c r="F269" i="11" s="1" a="1"/>
  <c r="F269" i="11" s="1"/>
  <c r="F270" i="11" s="1" a="1"/>
  <c r="F270" i="11" s="1"/>
  <c r="F271" i="11" s="1" a="1"/>
  <c r="F271" i="11" s="1"/>
  <c r="F272" i="11" s="1" a="1"/>
  <c r="F272" i="11" s="1"/>
  <c r="F273" i="11" s="1" a="1"/>
  <c r="F273" i="11" s="1"/>
  <c r="F274" i="11" s="1" a="1"/>
  <c r="F274" i="11" s="1"/>
  <c r="F275" i="11" s="1" a="1"/>
  <c r="F275" i="11" s="1"/>
  <c r="F276" i="11" s="1" a="1"/>
  <c r="F276" i="11" s="1"/>
  <c r="F277" i="11" s="1" a="1"/>
  <c r="F277" i="11" s="1"/>
  <c r="F278" i="11" s="1" a="1"/>
  <c r="F278" i="11" s="1"/>
  <c r="F279" i="11" s="1" a="1"/>
  <c r="F279" i="11" s="1"/>
  <c r="F280" i="11" s="1" a="1"/>
  <c r="F280" i="11" s="1"/>
  <c r="F281" i="11" s="1" a="1"/>
  <c r="F281" i="11" s="1"/>
  <c r="F282" i="11" s="1" a="1"/>
  <c r="F282" i="11" s="1"/>
  <c r="F283" i="11" s="1" a="1"/>
  <c r="F283" i="11" s="1"/>
  <c r="F284" i="11" s="1" a="1"/>
  <c r="F284" i="11" s="1"/>
  <c r="F285" i="11" s="1" a="1"/>
  <c r="F285" i="11" s="1"/>
  <c r="F286" i="11" s="1" a="1"/>
  <c r="F286" i="11" s="1"/>
  <c r="F287" i="11" s="1" a="1"/>
  <c r="F287" i="11" s="1"/>
  <c r="F288" i="11" s="1" a="1"/>
  <c r="F288" i="11" s="1"/>
  <c r="F289" i="11" s="1" a="1"/>
  <c r="F289" i="11" s="1"/>
  <c r="F290" i="11" s="1" a="1"/>
  <c r="F290" i="11" s="1"/>
  <c r="F291" i="11" s="1" a="1"/>
  <c r="F291" i="11" s="1"/>
  <c r="F292" i="11" s="1" a="1"/>
  <c r="F292" i="11" s="1"/>
  <c r="F293" i="11" s="1" a="1"/>
  <c r="F293" i="11" s="1"/>
  <c r="F294" i="11" s="1" a="1"/>
  <c r="F294" i="11" s="1"/>
  <c r="F295" i="11" s="1" a="1"/>
  <c r="F295" i="11" s="1"/>
  <c r="F296" i="11" s="1" a="1"/>
  <c r="F296" i="11" s="1"/>
  <c r="F297" i="11" s="1" a="1"/>
  <c r="F297" i="11" s="1"/>
  <c r="F298" i="11" s="1" a="1"/>
  <c r="F298" i="11" s="1"/>
  <c r="F299" i="11" s="1" a="1"/>
  <c r="F299" i="11" s="1"/>
  <c r="BB205" i="11"/>
  <c r="BA205" i="11"/>
  <c r="AZ205" i="11"/>
  <c r="AY205" i="11"/>
  <c r="AX205" i="11"/>
  <c r="AW205" i="11"/>
  <c r="AV205" i="11"/>
  <c r="AU205" i="11"/>
  <c r="AT205" i="11"/>
  <c r="AS205" i="11"/>
  <c r="AR205" i="11"/>
  <c r="AQ205" i="11"/>
  <c r="AP205" i="11"/>
  <c r="AO205" i="11"/>
  <c r="AN205" i="11"/>
  <c r="AM205" i="11"/>
  <c r="AL205" i="11"/>
  <c r="AK205" i="11"/>
  <c r="AJ205" i="11"/>
  <c r="AI205" i="11"/>
  <c r="AH205" i="11"/>
  <c r="AG205" i="11"/>
  <c r="AF205" i="11"/>
  <c r="AE205" i="11"/>
  <c r="BB203" i="11"/>
  <c r="BA203" i="11"/>
  <c r="AZ203" i="11"/>
  <c r="AY203" i="11"/>
  <c r="AX203" i="11"/>
  <c r="AW203" i="11"/>
  <c r="AV203" i="11"/>
  <c r="AU203" i="11"/>
  <c r="AT203" i="11"/>
  <c r="AS203" i="11"/>
  <c r="AR203" i="11"/>
  <c r="AQ203" i="11"/>
  <c r="AP203" i="11"/>
  <c r="AO203" i="11"/>
  <c r="AN203" i="11"/>
  <c r="AM203" i="11"/>
  <c r="AL203" i="11"/>
  <c r="AK203" i="11"/>
  <c r="AJ203" i="11"/>
  <c r="AI203" i="11"/>
  <c r="AH203" i="11"/>
  <c r="AG203" i="11"/>
  <c r="AF203" i="11"/>
  <c r="AE203" i="11"/>
  <c r="BB199" i="11"/>
  <c r="BA199" i="11"/>
  <c r="AZ199" i="11"/>
  <c r="AY199" i="11"/>
  <c r="AX199" i="11"/>
  <c r="AW199" i="11"/>
  <c r="AV199" i="11"/>
  <c r="AU199" i="11"/>
  <c r="AT199" i="11"/>
  <c r="AS199" i="11"/>
  <c r="AR199" i="11"/>
  <c r="AQ199" i="11"/>
  <c r="AP199" i="11"/>
  <c r="AO199" i="11"/>
  <c r="AN199" i="11"/>
  <c r="AM199" i="11"/>
  <c r="AL199" i="11"/>
  <c r="AK199" i="11"/>
  <c r="AJ199" i="11"/>
  <c r="AI199" i="11"/>
  <c r="AH199" i="11"/>
  <c r="AG199" i="11"/>
  <c r="AF199" i="11"/>
  <c r="AE199" i="11"/>
  <c r="BB192" i="11"/>
  <c r="BA192" i="11"/>
  <c r="AZ192" i="11"/>
  <c r="AY192" i="11"/>
  <c r="AX192" i="11"/>
  <c r="AW192" i="11"/>
  <c r="AV192" i="11"/>
  <c r="AU192" i="11"/>
  <c r="AT192" i="11"/>
  <c r="AS192" i="11"/>
  <c r="AR192" i="11"/>
  <c r="AQ192" i="11"/>
  <c r="AP192" i="11"/>
  <c r="AO192" i="11"/>
  <c r="AN192" i="11"/>
  <c r="AM192" i="11"/>
  <c r="AL192" i="11"/>
  <c r="AK192" i="11"/>
  <c r="AJ192" i="11"/>
  <c r="AI192" i="11"/>
  <c r="AH192" i="11"/>
  <c r="AG192" i="11"/>
  <c r="AF192" i="11"/>
  <c r="AE192" i="11"/>
  <c r="BB185" i="11"/>
  <c r="BA185" i="11"/>
  <c r="AZ185" i="11"/>
  <c r="AY185" i="11"/>
  <c r="AX185" i="11"/>
  <c r="AW185" i="11"/>
  <c r="AV185" i="11"/>
  <c r="AU185" i="11"/>
  <c r="AT185" i="11"/>
  <c r="AS185" i="11"/>
  <c r="AR185" i="11"/>
  <c r="AQ185" i="11"/>
  <c r="AP185" i="11"/>
  <c r="AO185" i="11"/>
  <c r="AN185" i="11"/>
  <c r="AM185" i="11"/>
  <c r="AL185" i="11"/>
  <c r="AK185" i="11"/>
  <c r="AJ185" i="11"/>
  <c r="AI185" i="11"/>
  <c r="AH185" i="11"/>
  <c r="AG185" i="11"/>
  <c r="AF185" i="11"/>
  <c r="AE185" i="11"/>
  <c r="BB182" i="11"/>
  <c r="BA182" i="11"/>
  <c r="AZ182" i="11"/>
  <c r="AY182" i="11"/>
  <c r="AX182" i="11"/>
  <c r="AW182" i="11"/>
  <c r="AV182" i="11"/>
  <c r="AU182" i="11"/>
  <c r="AT182" i="11"/>
  <c r="AS182" i="11"/>
  <c r="AR182" i="11"/>
  <c r="AQ182" i="11"/>
  <c r="AP182" i="11"/>
  <c r="AO182" i="11"/>
  <c r="AN182" i="11"/>
  <c r="AM182" i="11"/>
  <c r="AL182" i="11"/>
  <c r="AK182" i="11"/>
  <c r="AJ182" i="11"/>
  <c r="AI182" i="11"/>
  <c r="AH182" i="11"/>
  <c r="AG182" i="11"/>
  <c r="AF182" i="11"/>
  <c r="AE182" i="11"/>
  <c r="BB179" i="11"/>
  <c r="BA179" i="11"/>
  <c r="AZ179" i="11"/>
  <c r="AY179" i="11"/>
  <c r="AX179" i="11"/>
  <c r="AW179" i="11"/>
  <c r="AV179" i="11"/>
  <c r="AU179" i="11"/>
  <c r="AT179" i="11"/>
  <c r="AS179" i="11"/>
  <c r="AR179" i="11"/>
  <c r="AQ179" i="11"/>
  <c r="AP179" i="11"/>
  <c r="AO179" i="11"/>
  <c r="AN179" i="11"/>
  <c r="AM179" i="11"/>
  <c r="AL179" i="11"/>
  <c r="AK179" i="11"/>
  <c r="AJ179" i="11"/>
  <c r="AI179" i="11"/>
  <c r="AH179" i="11"/>
  <c r="AG179" i="11"/>
  <c r="AF179" i="11"/>
  <c r="AE179" i="11"/>
  <c r="BB176" i="11"/>
  <c r="BB175" i="11" s="1"/>
  <c r="BB173" i="11" s="1"/>
  <c r="BA176" i="11"/>
  <c r="BA175" i="11" s="1"/>
  <c r="BA173" i="11" s="1"/>
  <c r="AZ176" i="11"/>
  <c r="AY176" i="11"/>
  <c r="AX176" i="11"/>
  <c r="AX175" i="11" s="1"/>
  <c r="AX173" i="11" s="1"/>
  <c r="AW176" i="11"/>
  <c r="AW175" i="11" s="1"/>
  <c r="AW173" i="11" s="1"/>
  <c r="AV176" i="11"/>
  <c r="AU176" i="11"/>
  <c r="AT176" i="11"/>
  <c r="AT175" i="11" s="1"/>
  <c r="AT173" i="11" s="1"/>
  <c r="AS176" i="11"/>
  <c r="AS175" i="11" s="1"/>
  <c r="AS173" i="11" s="1"/>
  <c r="AR176" i="11"/>
  <c r="AQ176" i="11"/>
  <c r="AP176" i="11"/>
  <c r="AP175" i="11" s="1"/>
  <c r="AP173" i="11" s="1"/>
  <c r="AO176" i="11"/>
  <c r="AO175" i="11" s="1"/>
  <c r="AO173" i="11" s="1"/>
  <c r="AN176" i="11"/>
  <c r="AM176" i="11"/>
  <c r="AL176" i="11"/>
  <c r="AL175" i="11" s="1"/>
  <c r="AL173" i="11" s="1"/>
  <c r="AK176" i="11"/>
  <c r="AK175" i="11" s="1"/>
  <c r="AK173" i="11" s="1"/>
  <c r="AJ176" i="11"/>
  <c r="AI176" i="11"/>
  <c r="AH176" i="11"/>
  <c r="AH175" i="11" s="1"/>
  <c r="AH173" i="11" s="1"/>
  <c r="AG176" i="11"/>
  <c r="AG175" i="11" s="1"/>
  <c r="AG173" i="11" s="1"/>
  <c r="AF176" i="11"/>
  <c r="AE176" i="11"/>
  <c r="AZ175" i="11"/>
  <c r="AY175" i="11"/>
  <c r="AV175" i="11"/>
  <c r="AU175" i="11"/>
  <c r="AR175" i="11"/>
  <c r="AQ175" i="11"/>
  <c r="AN175" i="11"/>
  <c r="AM175" i="11"/>
  <c r="AJ175" i="11"/>
  <c r="AI175" i="11"/>
  <c r="AF175" i="11"/>
  <c r="AE175" i="11"/>
  <c r="G174" i="11"/>
  <c r="AZ173" i="11"/>
  <c r="AY173" i="11"/>
  <c r="AV173" i="11"/>
  <c r="AU173" i="11"/>
  <c r="AR173" i="11"/>
  <c r="AQ173" i="11"/>
  <c r="AN173" i="11"/>
  <c r="AM173" i="11"/>
  <c r="AJ173" i="11"/>
  <c r="AI173" i="11"/>
  <c r="AF173" i="11"/>
  <c r="AE173" i="11"/>
  <c r="BB166" i="11"/>
  <c r="BA166" i="11"/>
  <c r="AZ166" i="11"/>
  <c r="AY166" i="11"/>
  <c r="AX166" i="11"/>
  <c r="AW166" i="11"/>
  <c r="AV166" i="11"/>
  <c r="AU166" i="11"/>
  <c r="AT166" i="11"/>
  <c r="AS166" i="11"/>
  <c r="AR166" i="11"/>
  <c r="AQ166" i="11"/>
  <c r="AP166" i="11"/>
  <c r="AO166" i="11"/>
  <c r="AN166" i="11"/>
  <c r="AM166" i="11"/>
  <c r="AL166" i="11"/>
  <c r="AK166" i="11"/>
  <c r="AJ166" i="11"/>
  <c r="AI166" i="11"/>
  <c r="AH166" i="11"/>
  <c r="AG166" i="11"/>
  <c r="AF166" i="11"/>
  <c r="AE166" i="11"/>
  <c r="BB163" i="11"/>
  <c r="BA163" i="11"/>
  <c r="AZ163" i="11"/>
  <c r="AY163" i="11"/>
  <c r="AX163" i="11"/>
  <c r="AW163" i="11"/>
  <c r="AV163" i="11"/>
  <c r="AU163" i="11"/>
  <c r="AT163" i="11"/>
  <c r="AS163" i="11"/>
  <c r="AR163" i="11"/>
  <c r="AQ163" i="11"/>
  <c r="AP163" i="11"/>
  <c r="AO163" i="11"/>
  <c r="AN163" i="11"/>
  <c r="AM163" i="11"/>
  <c r="AL163" i="11"/>
  <c r="AK163" i="11"/>
  <c r="AJ163" i="11"/>
  <c r="AI163" i="11"/>
  <c r="AH163" i="11"/>
  <c r="AG163" i="11"/>
  <c r="AF163" i="11"/>
  <c r="AE163" i="11"/>
  <c r="BA162" i="11"/>
  <c r="AS162" i="11"/>
  <c r="AK162" i="11"/>
  <c r="BB157" i="11"/>
  <c r="BB162" i="11" s="1"/>
  <c r="BA157" i="11"/>
  <c r="AZ157" i="11"/>
  <c r="AZ162" i="11" s="1"/>
  <c r="AY157" i="11"/>
  <c r="AY162" i="11" s="1"/>
  <c r="AX157" i="11"/>
  <c r="AX162" i="11" s="1"/>
  <c r="AW157" i="11"/>
  <c r="AW162" i="11" s="1"/>
  <c r="AV157" i="11"/>
  <c r="AV162" i="11" s="1"/>
  <c r="AU157" i="11"/>
  <c r="AU162" i="11" s="1"/>
  <c r="AT157" i="11"/>
  <c r="AT162" i="11" s="1"/>
  <c r="AS157" i="11"/>
  <c r="AR157" i="11"/>
  <c r="AR162" i="11" s="1"/>
  <c r="AQ157" i="11"/>
  <c r="AQ162" i="11" s="1"/>
  <c r="AP157" i="11"/>
  <c r="AP162" i="11" s="1"/>
  <c r="AO157" i="11"/>
  <c r="AO162" i="11" s="1"/>
  <c r="AN157" i="11"/>
  <c r="AN162" i="11" s="1"/>
  <c r="AM157" i="11"/>
  <c r="AM162" i="11" s="1"/>
  <c r="AL157" i="11"/>
  <c r="AL162" i="11" s="1"/>
  <c r="AK157" i="11"/>
  <c r="AJ157" i="11"/>
  <c r="AJ162" i="11" s="1"/>
  <c r="AI157" i="11"/>
  <c r="AI162" i="11" s="1"/>
  <c r="AH157" i="11"/>
  <c r="AH162" i="11" s="1"/>
  <c r="AG157" i="11"/>
  <c r="AG162" i="11" s="1"/>
  <c r="AF157" i="11"/>
  <c r="AF162" i="11" s="1"/>
  <c r="AE157" i="11"/>
  <c r="AE162" i="11" s="1"/>
  <c r="BB150" i="11"/>
  <c r="BA150" i="11"/>
  <c r="AZ150" i="11"/>
  <c r="AY150" i="11"/>
  <c r="AX150" i="11"/>
  <c r="AW150" i="11"/>
  <c r="AV150" i="11"/>
  <c r="AU150" i="11"/>
  <c r="AT150" i="11"/>
  <c r="AS150" i="11"/>
  <c r="AR150" i="11"/>
  <c r="AQ150" i="11"/>
  <c r="AP150" i="11"/>
  <c r="AO150" i="11"/>
  <c r="AN150" i="11"/>
  <c r="AM150" i="11"/>
  <c r="AL150" i="11"/>
  <c r="AK150" i="11"/>
  <c r="AJ150" i="11"/>
  <c r="AI150" i="11"/>
  <c r="AH150" i="11"/>
  <c r="AG150" i="11"/>
  <c r="AF150" i="11"/>
  <c r="AE150" i="11"/>
  <c r="BB147" i="11"/>
  <c r="BA147" i="11"/>
  <c r="AZ147" i="11"/>
  <c r="AY147" i="11"/>
  <c r="AX147" i="11"/>
  <c r="AW147" i="11"/>
  <c r="AV147" i="11"/>
  <c r="AU147" i="11"/>
  <c r="AT147" i="11"/>
  <c r="AS147" i="11"/>
  <c r="AR147" i="11"/>
  <c r="AQ147" i="11"/>
  <c r="AP147" i="11"/>
  <c r="AO147" i="11"/>
  <c r="AN147" i="11"/>
  <c r="AM147" i="11"/>
  <c r="AL147" i="11"/>
  <c r="AK147" i="11"/>
  <c r="AJ147" i="11"/>
  <c r="AI147" i="11"/>
  <c r="AH147" i="11"/>
  <c r="AG147" i="11"/>
  <c r="AF147" i="11"/>
  <c r="AE147" i="11"/>
  <c r="BB144" i="11"/>
  <c r="BA144" i="11"/>
  <c r="AZ144" i="11"/>
  <c r="AY144" i="11"/>
  <c r="AY143" i="11" s="1"/>
  <c r="AX144" i="11"/>
  <c r="AW144" i="11"/>
  <c r="AV144" i="11"/>
  <c r="AU144" i="11"/>
  <c r="AU143" i="11" s="1"/>
  <c r="AT144" i="11"/>
  <c r="AS144" i="11"/>
  <c r="AR144" i="11"/>
  <c r="AQ144" i="11"/>
  <c r="AQ143" i="11" s="1"/>
  <c r="AP144" i="11"/>
  <c r="AO144" i="11"/>
  <c r="AN144" i="11"/>
  <c r="AM144" i="11"/>
  <c r="AM143" i="11" s="1"/>
  <c r="AM135" i="11" s="1"/>
  <c r="AM129" i="11" s="1"/>
  <c r="AM120" i="11" s="1"/>
  <c r="AL144" i="11"/>
  <c r="AK144" i="11"/>
  <c r="AJ144" i="11"/>
  <c r="AI144" i="11"/>
  <c r="AI143" i="11" s="1"/>
  <c r="AH144" i="11"/>
  <c r="AG144" i="11"/>
  <c r="AF144" i="11"/>
  <c r="AE144" i="11"/>
  <c r="AE143" i="11" s="1"/>
  <c r="BB143" i="11"/>
  <c r="BA143" i="11"/>
  <c r="AZ143" i="11"/>
  <c r="AX143" i="11"/>
  <c r="AW143" i="11"/>
  <c r="AV143" i="11"/>
  <c r="AT143" i="11"/>
  <c r="AS143" i="11"/>
  <c r="AR143" i="11"/>
  <c r="AP143" i="11"/>
  <c r="AO143" i="11"/>
  <c r="AN143" i="11"/>
  <c r="AL143" i="11"/>
  <c r="AK143" i="11"/>
  <c r="AJ143" i="11"/>
  <c r="AH143" i="11"/>
  <c r="AG143" i="11"/>
  <c r="AF143"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BB136" i="11"/>
  <c r="BA136" i="11"/>
  <c r="AZ136" i="11"/>
  <c r="AY136" i="11"/>
  <c r="AX136" i="11"/>
  <c r="AW136" i="11"/>
  <c r="AV136" i="11"/>
  <c r="AU136" i="11"/>
  <c r="AT136" i="11"/>
  <c r="AS136" i="11"/>
  <c r="AR136" i="11"/>
  <c r="AQ136" i="11"/>
  <c r="AP136" i="11"/>
  <c r="AO136" i="11"/>
  <c r="AN136" i="11"/>
  <c r="AM136" i="11"/>
  <c r="AL136" i="11"/>
  <c r="AK136" i="11"/>
  <c r="AJ136" i="11"/>
  <c r="AI136" i="11"/>
  <c r="AH136" i="11"/>
  <c r="AG136" i="11"/>
  <c r="AF136" i="11"/>
  <c r="AE136" i="11"/>
  <c r="G136" i="11"/>
  <c r="BA135" i="11"/>
  <c r="BA129" i="11" s="1"/>
  <c r="AZ135" i="11"/>
  <c r="AZ129" i="11" s="1"/>
  <c r="AZ120" i="11" s="1"/>
  <c r="AW135" i="11"/>
  <c r="AW129" i="11" s="1"/>
  <c r="AW120" i="11" s="1"/>
  <c r="AV135" i="11"/>
  <c r="AV129" i="11" s="1"/>
  <c r="AV120" i="11" s="1"/>
  <c r="AS135" i="11"/>
  <c r="AS129" i="11" s="1"/>
  <c r="AS120" i="11" s="1"/>
  <c r="AR135" i="11"/>
  <c r="AR129" i="11" s="1"/>
  <c r="AR120" i="11" s="1"/>
  <c r="AO135" i="11"/>
  <c r="AO129" i="11" s="1"/>
  <c r="AO120" i="11" s="1"/>
  <c r="AN135" i="11"/>
  <c r="AN129" i="11" s="1"/>
  <c r="AN120" i="11" s="1"/>
  <c r="AK135" i="11"/>
  <c r="AK129" i="11" s="1"/>
  <c r="AK120" i="11" s="1"/>
  <c r="AJ135" i="11"/>
  <c r="AJ129" i="11" s="1"/>
  <c r="AJ120" i="11" s="1"/>
  <c r="AG135" i="11"/>
  <c r="AG129" i="11" s="1"/>
  <c r="AG120" i="11" s="1"/>
  <c r="AF135" i="11"/>
  <c r="AF129" i="11" s="1"/>
  <c r="AF120" i="11" s="1"/>
  <c r="AZ134" i="11"/>
  <c r="AF134" i="11"/>
  <c r="BB124" i="11"/>
  <c r="BA124" i="11"/>
  <c r="AZ124" i="11"/>
  <c r="AY124" i="11"/>
  <c r="AX124" i="11"/>
  <c r="AW124" i="11"/>
  <c r="AV124" i="11"/>
  <c r="AU124" i="11"/>
  <c r="AT124" i="11"/>
  <c r="AS124" i="11"/>
  <c r="AR124" i="11"/>
  <c r="AQ124" i="11"/>
  <c r="AP124" i="11"/>
  <c r="AO124" i="11"/>
  <c r="AN124" i="11"/>
  <c r="AM124" i="11"/>
  <c r="AL124" i="11"/>
  <c r="AK124" i="11"/>
  <c r="AJ124" i="11"/>
  <c r="AI124" i="11"/>
  <c r="AH124" i="11"/>
  <c r="AG124" i="11"/>
  <c r="AF124" i="11"/>
  <c r="AE124" i="11"/>
  <c r="R119" i="11" a="1"/>
  <c r="R119" i="11" s="1"/>
  <c r="T118" i="11"/>
  <c r="F118" i="11" a="1"/>
  <c r="F118" i="11"/>
  <c r="F119" i="11" s="1" a="1"/>
  <c r="F119" i="11" s="1"/>
  <c r="F120" i="11" s="1" a="1"/>
  <c r="F120" i="11" s="1"/>
  <c r="F121" i="11" s="1" a="1"/>
  <c r="F121" i="11" s="1"/>
  <c r="F122" i="11" s="1" a="1"/>
  <c r="F122" i="11" s="1"/>
  <c r="F123" i="11" s="1" a="1"/>
  <c r="F123" i="11" s="1"/>
  <c r="F124" i="11" s="1" a="1"/>
  <c r="F124" i="11" s="1"/>
  <c r="F125" i="11" s="1" a="1"/>
  <c r="F125" i="11" s="1"/>
  <c r="F126" i="11" s="1" a="1"/>
  <c r="F126" i="11" s="1"/>
  <c r="F127" i="11" s="1" a="1"/>
  <c r="F127" i="11" s="1"/>
  <c r="F128" i="11" s="1" a="1"/>
  <c r="F128" i="11" s="1"/>
  <c r="F129" i="11" s="1" a="1"/>
  <c r="F129" i="11" s="1"/>
  <c r="F130" i="11" s="1" a="1"/>
  <c r="F130" i="11" s="1"/>
  <c r="F131" i="11" s="1" a="1"/>
  <c r="F131" i="11" s="1"/>
  <c r="F132" i="11" s="1" a="1"/>
  <c r="F132" i="11" s="1"/>
  <c r="F133" i="11" s="1" a="1"/>
  <c r="F133" i="11" s="1"/>
  <c r="F134" i="11" s="1" a="1"/>
  <c r="F134" i="11" s="1"/>
  <c r="F135" i="11" s="1" a="1"/>
  <c r="F135" i="11" s="1"/>
  <c r="F136" i="11" s="1" a="1"/>
  <c r="F136" i="11" s="1"/>
  <c r="F137" i="11" s="1" a="1"/>
  <c r="F137" i="11" s="1"/>
  <c r="F138" i="11" s="1" a="1"/>
  <c r="F138" i="11" s="1"/>
  <c r="F139" i="11" s="1" a="1"/>
  <c r="F139" i="11" s="1"/>
  <c r="F140" i="11" s="1" a="1"/>
  <c r="F140" i="11" s="1"/>
  <c r="F141" i="11" s="1" a="1"/>
  <c r="F141" i="11" s="1"/>
  <c r="F142" i="11" s="1" a="1"/>
  <c r="F142" i="11" s="1"/>
  <c r="F143" i="11" s="1" a="1"/>
  <c r="F143" i="11" s="1"/>
  <c r="F144" i="11" s="1" a="1"/>
  <c r="F144" i="11" s="1"/>
  <c r="F145" i="11" s="1" a="1"/>
  <c r="F145" i="11" s="1"/>
  <c r="F146" i="11" s="1" a="1"/>
  <c r="F146" i="11" s="1"/>
  <c r="F147" i="11" s="1" a="1"/>
  <c r="F147" i="11" s="1"/>
  <c r="F148" i="11" s="1" a="1"/>
  <c r="F148" i="11" s="1"/>
  <c r="F149" i="11" s="1" a="1"/>
  <c r="F149" i="11" s="1"/>
  <c r="F150" i="11" s="1" a="1"/>
  <c r="F150" i="11" s="1"/>
  <c r="F151" i="11" s="1" a="1"/>
  <c r="F151" i="11" s="1"/>
  <c r="F152" i="11" s="1" a="1"/>
  <c r="F152" i="11" s="1"/>
  <c r="F153" i="11" s="1" a="1"/>
  <c r="F153" i="11" s="1"/>
  <c r="F154" i="11" s="1" a="1"/>
  <c r="F154" i="11" s="1"/>
  <c r="F155" i="11" s="1" a="1"/>
  <c r="F155" i="11" s="1"/>
  <c r="F156" i="11" s="1" a="1"/>
  <c r="F156" i="11" s="1"/>
  <c r="F157" i="11" s="1" a="1"/>
  <c r="F157" i="11" s="1"/>
  <c r="F158" i="11" s="1" a="1"/>
  <c r="F158" i="11" s="1"/>
  <c r="F159" i="11" s="1" a="1"/>
  <c r="F159" i="11" s="1"/>
  <c r="F160" i="11" s="1" a="1"/>
  <c r="F160" i="11" s="1"/>
  <c r="F161" i="11" s="1" a="1"/>
  <c r="F161" i="11" s="1"/>
  <c r="F162" i="11" s="1" a="1"/>
  <c r="F162" i="11" s="1"/>
  <c r="F163" i="11" s="1" a="1"/>
  <c r="F163" i="11" s="1"/>
  <c r="F164" i="11" s="1" a="1"/>
  <c r="F164" i="11" s="1"/>
  <c r="F165" i="11" s="1" a="1"/>
  <c r="F165" i="11" s="1"/>
  <c r="F166" i="11" s="1" a="1"/>
  <c r="F166" i="11" s="1"/>
  <c r="F167" i="11" s="1" a="1"/>
  <c r="F167" i="11" s="1"/>
  <c r="F168" i="11" s="1" a="1"/>
  <c r="F168" i="11" s="1"/>
  <c r="F169" i="11" s="1" a="1"/>
  <c r="F169" i="11" s="1"/>
  <c r="F170" i="11" s="1" a="1"/>
  <c r="F170" i="11" s="1"/>
  <c r="F171" i="11" s="1" a="1"/>
  <c r="F171" i="11" s="1"/>
  <c r="F172" i="11" s="1" a="1"/>
  <c r="F172" i="11" s="1"/>
  <c r="F173" i="11" s="1" a="1"/>
  <c r="F173" i="11" s="1"/>
  <c r="F174" i="11" s="1" a="1"/>
  <c r="F174" i="11" s="1"/>
  <c r="F175" i="11" s="1" a="1"/>
  <c r="F175" i="11" s="1"/>
  <c r="F176" i="11" s="1" a="1"/>
  <c r="F176" i="11" s="1"/>
  <c r="F177" i="11" s="1" a="1"/>
  <c r="F177" i="11" s="1"/>
  <c r="F178" i="11" s="1" a="1"/>
  <c r="F178" i="11" s="1"/>
  <c r="F179" i="11" s="1" a="1"/>
  <c r="F179" i="11" s="1"/>
  <c r="F180" i="11" s="1" a="1"/>
  <c r="F180" i="11" s="1"/>
  <c r="F181" i="11" s="1" a="1"/>
  <c r="F181" i="11" s="1"/>
  <c r="F182" i="11" s="1" a="1"/>
  <c r="F182" i="11" s="1"/>
  <c r="F183" i="11" s="1" a="1"/>
  <c r="F183" i="11" s="1"/>
  <c r="F184" i="11" s="1" a="1"/>
  <c r="F184" i="11" s="1"/>
  <c r="F185" i="11" s="1" a="1"/>
  <c r="F185" i="11" s="1"/>
  <c r="F186" i="11" s="1" a="1"/>
  <c r="F186" i="11" s="1"/>
  <c r="F187" i="11" s="1" a="1"/>
  <c r="F187" i="11" s="1"/>
  <c r="F188" i="11" s="1" a="1"/>
  <c r="F188" i="11" s="1"/>
  <c r="F189" i="11" s="1" a="1"/>
  <c r="F189" i="11" s="1"/>
  <c r="F190" i="11" s="1" a="1"/>
  <c r="F190" i="11" s="1"/>
  <c r="F191" i="11" s="1" a="1"/>
  <c r="F191" i="11" s="1"/>
  <c r="F192" i="11" s="1" a="1"/>
  <c r="F192" i="11" s="1"/>
  <c r="F193" i="11" s="1" a="1"/>
  <c r="F193" i="11" s="1"/>
  <c r="F194" i="11" s="1" a="1"/>
  <c r="F194" i="11" s="1"/>
  <c r="F195" i="11" s="1" a="1"/>
  <c r="F195" i="11" s="1"/>
  <c r="F196" i="11" s="1" a="1"/>
  <c r="F196" i="11" s="1"/>
  <c r="F197" i="11" s="1" a="1"/>
  <c r="F197" i="11" s="1"/>
  <c r="F198" i="11" s="1" a="1"/>
  <c r="F198" i="11" s="1"/>
  <c r="F199" i="11" s="1" a="1"/>
  <c r="F199" i="11" s="1"/>
  <c r="F200" i="11" s="1" a="1"/>
  <c r="F200" i="11" s="1"/>
  <c r="F201" i="11" s="1" a="1"/>
  <c r="F201" i="11" s="1"/>
  <c r="F202" i="11" s="1" a="1"/>
  <c r="F202" i="11" s="1"/>
  <c r="F203" i="11" s="1" a="1"/>
  <c r="F203" i="11" s="1"/>
  <c r="F204" i="11" s="1" a="1"/>
  <c r="F204" i="11" s="1"/>
  <c r="F205" i="11" s="1" a="1"/>
  <c r="F205" i="11" s="1"/>
  <c r="F206" i="11" s="1" a="1"/>
  <c r="F206" i="11" s="1"/>
  <c r="F207" i="11" s="1" a="1"/>
  <c r="F207" i="11" s="1"/>
  <c r="F208" i="11" s="1" a="1"/>
  <c r="F208" i="11" s="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BB85" i="11"/>
  <c r="BA85" i="11"/>
  <c r="AZ85" i="11"/>
  <c r="AZ84" i="11" s="1"/>
  <c r="AZ82" i="11" s="1"/>
  <c r="AY85" i="11"/>
  <c r="AY84" i="11" s="1"/>
  <c r="AY82" i="11" s="1"/>
  <c r="AX85" i="11"/>
  <c r="AW85" i="11"/>
  <c r="AV85" i="11"/>
  <c r="AV84" i="11" s="1"/>
  <c r="AV82" i="11" s="1"/>
  <c r="AU85" i="11"/>
  <c r="AU84" i="11" s="1"/>
  <c r="AU82" i="11" s="1"/>
  <c r="AT85" i="11"/>
  <c r="AS85" i="11"/>
  <c r="AR85" i="11"/>
  <c r="AR84" i="11" s="1"/>
  <c r="AR82" i="11" s="1"/>
  <c r="AQ85" i="11"/>
  <c r="AQ84" i="11" s="1"/>
  <c r="AQ82" i="11" s="1"/>
  <c r="AP85" i="11"/>
  <c r="AO85" i="11"/>
  <c r="AN85" i="11"/>
  <c r="AN84" i="11" s="1"/>
  <c r="AN82" i="11" s="1"/>
  <c r="AM85" i="11"/>
  <c r="AM84" i="11" s="1"/>
  <c r="AM82" i="11" s="1"/>
  <c r="AL85" i="11"/>
  <c r="AK85" i="11"/>
  <c r="AJ85" i="11"/>
  <c r="AJ84" i="11" s="1"/>
  <c r="AJ82" i="11" s="1"/>
  <c r="AI85" i="11"/>
  <c r="AI84" i="11" s="1"/>
  <c r="AI82" i="11" s="1"/>
  <c r="AH85" i="11"/>
  <c r="AG85" i="11"/>
  <c r="AF85" i="11"/>
  <c r="AF84" i="11" s="1"/>
  <c r="AF82" i="11" s="1"/>
  <c r="AE85" i="11"/>
  <c r="AE84" i="11" s="1"/>
  <c r="AE82" i="11" s="1"/>
  <c r="BB84" i="11"/>
  <c r="BA84" i="11"/>
  <c r="AX84" i="11"/>
  <c r="AW84" i="11"/>
  <c r="AT84" i="11"/>
  <c r="AS84" i="11"/>
  <c r="AP84" i="11"/>
  <c r="AO84" i="11"/>
  <c r="AL84" i="11"/>
  <c r="AK84" i="11"/>
  <c r="AH84" i="11"/>
  <c r="AG84" i="11"/>
  <c r="G83" i="11"/>
  <c r="BB82" i="11"/>
  <c r="BA82" i="11"/>
  <c r="AX82" i="11"/>
  <c r="AW82" i="11"/>
  <c r="AT82" i="11"/>
  <c r="AS82" i="11"/>
  <c r="AP82" i="11"/>
  <c r="AO82" i="11"/>
  <c r="AL82" i="11"/>
  <c r="AK82" i="11"/>
  <c r="AH82" i="11"/>
  <c r="AG82" i="11"/>
  <c r="BB75" i="11"/>
  <c r="BB66" i="11" s="1"/>
  <c r="BB71" i="11" s="1"/>
  <c r="BA75" i="11"/>
  <c r="AZ75" i="11"/>
  <c r="AY75" i="11"/>
  <c r="AY66" i="11" s="1"/>
  <c r="AY71" i="11" s="1"/>
  <c r="AX75" i="11"/>
  <c r="AX66" i="11" s="1"/>
  <c r="AX71" i="11" s="1"/>
  <c r="AW75" i="11"/>
  <c r="AV75" i="11"/>
  <c r="AU75" i="11"/>
  <c r="AU66" i="11" s="1"/>
  <c r="AU71" i="11" s="1"/>
  <c r="AT75" i="11"/>
  <c r="AT66" i="11" s="1"/>
  <c r="AT71" i="11" s="1"/>
  <c r="AS75" i="11"/>
  <c r="AR75" i="11"/>
  <c r="AQ75" i="11"/>
  <c r="AQ66" i="11" s="1"/>
  <c r="AQ71" i="11" s="1"/>
  <c r="AP75" i="11"/>
  <c r="AP66" i="11" s="1"/>
  <c r="AP71" i="11" s="1"/>
  <c r="AO75" i="11"/>
  <c r="AN75" i="11"/>
  <c r="AM75" i="11"/>
  <c r="AM66" i="11" s="1"/>
  <c r="AM71" i="11" s="1"/>
  <c r="AL75" i="11"/>
  <c r="AL66" i="11" s="1"/>
  <c r="AL71" i="11" s="1"/>
  <c r="AK75" i="11"/>
  <c r="AJ75" i="11"/>
  <c r="AI75" i="11"/>
  <c r="AI66" i="11" s="1"/>
  <c r="AI71" i="11" s="1"/>
  <c r="AH75" i="11"/>
  <c r="AH66" i="11" s="1"/>
  <c r="AH71" i="11" s="1"/>
  <c r="AG75" i="11"/>
  <c r="AF75" i="11"/>
  <c r="AE75" i="11"/>
  <c r="AE66" i="11" s="1"/>
  <c r="AE71" i="11" s="1"/>
  <c r="BB72" i="11"/>
  <c r="BA72" i="11"/>
  <c r="AZ72" i="11"/>
  <c r="AY72" i="11"/>
  <c r="AX72" i="11"/>
  <c r="AW72" i="11"/>
  <c r="AV72" i="11"/>
  <c r="AU72" i="11"/>
  <c r="AT72" i="11"/>
  <c r="AS72" i="11"/>
  <c r="AR72" i="11"/>
  <c r="AQ72" i="11"/>
  <c r="AP72" i="11"/>
  <c r="AO72" i="11"/>
  <c r="AN72" i="11"/>
  <c r="AM72" i="11"/>
  <c r="AL72" i="11"/>
  <c r="AK72" i="11"/>
  <c r="AJ72" i="11"/>
  <c r="AI72" i="11"/>
  <c r="AH72" i="11"/>
  <c r="AG72" i="11"/>
  <c r="AF72" i="11"/>
  <c r="AE72" i="11"/>
  <c r="BA66" i="11"/>
  <c r="BA71" i="11" s="1"/>
  <c r="AZ66" i="11"/>
  <c r="AZ71" i="11" s="1"/>
  <c r="AW66" i="11"/>
  <c r="AW71" i="11" s="1"/>
  <c r="AV66" i="11"/>
  <c r="AV71" i="11" s="1"/>
  <c r="AS66" i="11"/>
  <c r="AS71" i="11" s="1"/>
  <c r="AR66" i="11"/>
  <c r="AR71" i="11" s="1"/>
  <c r="AO66" i="11"/>
  <c r="AO71" i="11" s="1"/>
  <c r="AN66" i="11"/>
  <c r="AN71" i="11" s="1"/>
  <c r="AK66" i="11"/>
  <c r="AK71" i="11" s="1"/>
  <c r="AJ66" i="11"/>
  <c r="AJ71" i="11" s="1"/>
  <c r="AG66" i="11"/>
  <c r="AG71" i="11" s="1"/>
  <c r="AF66" i="11"/>
  <c r="AF71" i="11" s="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BB53" i="11"/>
  <c r="BA53" i="11"/>
  <c r="AZ53" i="11"/>
  <c r="AZ52" i="11" s="1"/>
  <c r="AY53" i="11"/>
  <c r="AX53" i="11"/>
  <c r="AW53" i="11"/>
  <c r="AV53" i="11"/>
  <c r="AV52" i="11" s="1"/>
  <c r="AU53" i="11"/>
  <c r="AT53" i="11"/>
  <c r="AS53" i="11"/>
  <c r="AR53" i="11"/>
  <c r="AR52" i="11" s="1"/>
  <c r="AQ53" i="11"/>
  <c r="AP53" i="11"/>
  <c r="AO53" i="11"/>
  <c r="AN53" i="11"/>
  <c r="AN52" i="11" s="1"/>
  <c r="AM53" i="11"/>
  <c r="AL53" i="11"/>
  <c r="AK53" i="11"/>
  <c r="AJ53" i="11"/>
  <c r="AJ52" i="11" s="1"/>
  <c r="AI53" i="11"/>
  <c r="AH53" i="11"/>
  <c r="AG53" i="11"/>
  <c r="AF53" i="11"/>
  <c r="AF52" i="11" s="1"/>
  <c r="AE53" i="11"/>
  <c r="BB52" i="11"/>
  <c r="BA52" i="11"/>
  <c r="AY52" i="11"/>
  <c r="AX52" i="11"/>
  <c r="AW52" i="11"/>
  <c r="AW44" i="11" s="1"/>
  <c r="AW38" i="11" s="1"/>
  <c r="AU52" i="11"/>
  <c r="AT52" i="11"/>
  <c r="AS52" i="11"/>
  <c r="AS44" i="11" s="1"/>
  <c r="AS38" i="11" s="1"/>
  <c r="AQ52" i="11"/>
  <c r="AP52" i="11"/>
  <c r="AO52" i="11"/>
  <c r="AM52" i="11"/>
  <c r="AL52" i="11"/>
  <c r="AK52" i="11"/>
  <c r="AI52" i="11"/>
  <c r="AH52" i="11"/>
  <c r="AG52" i="11"/>
  <c r="AG44" i="11" s="1"/>
  <c r="AG38" i="11" s="1"/>
  <c r="AE52"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BB45" i="11"/>
  <c r="BA45" i="11"/>
  <c r="AZ45" i="11"/>
  <c r="AY45" i="11"/>
  <c r="AX45" i="11"/>
  <c r="AW45" i="11"/>
  <c r="AV45" i="11"/>
  <c r="AU45" i="11"/>
  <c r="AT45" i="11"/>
  <c r="AS45" i="11"/>
  <c r="AR45" i="11"/>
  <c r="AQ45" i="11"/>
  <c r="AP45" i="11"/>
  <c r="AO45" i="11"/>
  <c r="AO44" i="11" s="1"/>
  <c r="AO38" i="11" s="1"/>
  <c r="AN45" i="11"/>
  <c r="AM45" i="11"/>
  <c r="AL45" i="11"/>
  <c r="AK45" i="11"/>
  <c r="AJ45" i="11"/>
  <c r="AI45" i="11"/>
  <c r="AH45" i="11"/>
  <c r="AG45" i="11"/>
  <c r="AF45" i="11"/>
  <c r="AE45" i="11"/>
  <c r="G45" i="11"/>
  <c r="BB44" i="11"/>
  <c r="BB38" i="11" s="1"/>
  <c r="BA44" i="11"/>
  <c r="BA38" i="11" s="1"/>
  <c r="AY44" i="11"/>
  <c r="AX44" i="11"/>
  <c r="AU44" i="11"/>
  <c r="AT44" i="11"/>
  <c r="AQ44" i="11"/>
  <c r="AP44" i="11"/>
  <c r="AP38" i="11" s="1"/>
  <c r="AM44" i="11"/>
  <c r="AL44" i="11"/>
  <c r="AL38" i="11" s="1"/>
  <c r="AK44" i="11"/>
  <c r="AK38" i="11" s="1"/>
  <c r="AI44" i="11"/>
  <c r="AH44" i="11"/>
  <c r="AE44" i="11"/>
  <c r="AY38" i="11"/>
  <c r="AY43" i="11" s="1"/>
  <c r="AX38" i="11"/>
  <c r="AX43" i="11" s="1"/>
  <c r="AU38" i="11"/>
  <c r="AU43" i="11" s="1"/>
  <c r="AT38" i="11"/>
  <c r="AT43" i="11" s="1"/>
  <c r="AQ38" i="11"/>
  <c r="AQ43" i="11" s="1"/>
  <c r="AM38" i="11"/>
  <c r="AM43" i="11" s="1"/>
  <c r="AI38" i="11"/>
  <c r="AI43" i="11" s="1"/>
  <c r="AH38" i="11"/>
  <c r="AH43" i="11" s="1"/>
  <c r="AE38" i="11"/>
  <c r="AE43" i="11" s="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AY29" i="11"/>
  <c r="AX29" i="11"/>
  <c r="AU29" i="11"/>
  <c r="AT29" i="11"/>
  <c r="AQ29" i="11"/>
  <c r="AM29" i="11"/>
  <c r="AI29" i="11"/>
  <c r="AH29" i="11"/>
  <c r="AE29" i="11"/>
  <c r="T27" i="11"/>
  <c r="F27" i="11" a="1"/>
  <c r="F27" i="11"/>
  <c r="F28" i="11" s="1" a="1"/>
  <c r="F28" i="11" s="1"/>
  <c r="F29" i="11" s="1" a="1"/>
  <c r="F29" i="11" s="1"/>
  <c r="F30" i="11" s="1" a="1"/>
  <c r="F30" i="11" s="1"/>
  <c r="F31" i="11" s="1" a="1"/>
  <c r="F31" i="11" s="1"/>
  <c r="F32" i="11" s="1" a="1"/>
  <c r="F32" i="11" s="1"/>
  <c r="F33" i="11" s="1" a="1"/>
  <c r="F33" i="11" s="1"/>
  <c r="F34" i="11" s="1" a="1"/>
  <c r="F34" i="11" s="1"/>
  <c r="F35" i="11" s="1" a="1"/>
  <c r="F35" i="11" s="1"/>
  <c r="F36" i="11" s="1" a="1"/>
  <c r="F36" i="11" s="1"/>
  <c r="F37" i="11" s="1" a="1"/>
  <c r="F37" i="11" s="1"/>
  <c r="F38" i="11" s="1" a="1"/>
  <c r="F38" i="11" s="1"/>
  <c r="F39" i="11" s="1" a="1"/>
  <c r="F39" i="11" s="1"/>
  <c r="F40" i="11" s="1" a="1"/>
  <c r="F40" i="11" s="1"/>
  <c r="F41" i="11" s="1" a="1"/>
  <c r="F41" i="11" s="1"/>
  <c r="F42" i="11" s="1" a="1"/>
  <c r="F42" i="11" s="1"/>
  <c r="F43" i="11" s="1" a="1"/>
  <c r="F43" i="11" s="1"/>
  <c r="F44" i="11" s="1" a="1"/>
  <c r="F44" i="11" s="1"/>
  <c r="F45" i="11" s="1" a="1"/>
  <c r="F45" i="11" s="1"/>
  <c r="F46" i="11" s="1" a="1"/>
  <c r="F46" i="11" s="1"/>
  <c r="F47" i="11" s="1" a="1"/>
  <c r="F47" i="11" s="1"/>
  <c r="F48" i="11" s="1" a="1"/>
  <c r="F48" i="11" s="1"/>
  <c r="F49" i="11" s="1" a="1"/>
  <c r="F49" i="11" s="1"/>
  <c r="F50" i="11" s="1" a="1"/>
  <c r="F50" i="11" s="1"/>
  <c r="F51" i="11" s="1" a="1"/>
  <c r="F51" i="11" s="1"/>
  <c r="F52" i="11" s="1" a="1"/>
  <c r="F52" i="11" s="1"/>
  <c r="F53" i="11" s="1" a="1"/>
  <c r="F53" i="11" s="1"/>
  <c r="F54" i="11" s="1" a="1"/>
  <c r="F54" i="11" s="1"/>
  <c r="F55" i="11" s="1" a="1"/>
  <c r="F55" i="11" s="1"/>
  <c r="F56" i="11" s="1" a="1"/>
  <c r="F56" i="11" s="1"/>
  <c r="F57" i="11" s="1" a="1"/>
  <c r="F57" i="11" s="1"/>
  <c r="F58" i="11" s="1" a="1"/>
  <c r="F58" i="11" s="1"/>
  <c r="F59" i="11" s="1" a="1"/>
  <c r="F59" i="11" s="1"/>
  <c r="F60" i="11" s="1" a="1"/>
  <c r="F60" i="11" s="1"/>
  <c r="F61" i="11" s="1" a="1"/>
  <c r="F61" i="11" s="1"/>
  <c r="F62" i="11" s="1" a="1"/>
  <c r="F62" i="11" s="1"/>
  <c r="F63" i="11" s="1" a="1"/>
  <c r="F63" i="11" s="1"/>
  <c r="F64" i="11" s="1" a="1"/>
  <c r="F64" i="11" s="1"/>
  <c r="F65" i="11" s="1" a="1"/>
  <c r="F65" i="11" s="1"/>
  <c r="F66" i="11" s="1" a="1"/>
  <c r="F66" i="11" s="1"/>
  <c r="F67" i="11" s="1" a="1"/>
  <c r="F67" i="11" s="1"/>
  <c r="F68" i="11" s="1" a="1"/>
  <c r="F68" i="11" s="1"/>
  <c r="F69" i="11" s="1" a="1"/>
  <c r="F69" i="11" s="1"/>
  <c r="F70" i="11" s="1" a="1"/>
  <c r="F70" i="11" s="1"/>
  <c r="F71" i="11" s="1" a="1"/>
  <c r="F71" i="11" s="1"/>
  <c r="F72" i="11" s="1" a="1"/>
  <c r="F72" i="11" s="1"/>
  <c r="F73" i="11" s="1" a="1"/>
  <c r="F73" i="11" s="1"/>
  <c r="F74" i="11" s="1" a="1"/>
  <c r="F74" i="11" s="1"/>
  <c r="F75" i="11" s="1" a="1"/>
  <c r="F75" i="11" s="1"/>
  <c r="F76" i="11" s="1" a="1"/>
  <c r="F76" i="11" s="1"/>
  <c r="F77" i="11" s="1" a="1"/>
  <c r="F77" i="11" s="1"/>
  <c r="F78" i="11" s="1" a="1"/>
  <c r="F78" i="11" s="1"/>
  <c r="F79" i="11" s="1" a="1"/>
  <c r="F79" i="11" s="1"/>
  <c r="F80" i="11" s="1" a="1"/>
  <c r="F80" i="11" s="1"/>
  <c r="F81" i="11" s="1" a="1"/>
  <c r="F81" i="11" s="1"/>
  <c r="F82" i="11" s="1" a="1"/>
  <c r="F82" i="11" s="1"/>
  <c r="F83" i="11" s="1" a="1"/>
  <c r="F83" i="11" s="1"/>
  <c r="F84" i="11" s="1" a="1"/>
  <c r="F84" i="11" s="1"/>
  <c r="F85" i="11" s="1" a="1"/>
  <c r="F85" i="11" s="1"/>
  <c r="F86" i="11" s="1" a="1"/>
  <c r="F86" i="11" s="1"/>
  <c r="F87" i="11" s="1" a="1"/>
  <c r="F87" i="11" s="1"/>
  <c r="F88" i="11" s="1" a="1"/>
  <c r="F88" i="11" s="1"/>
  <c r="F89" i="11" s="1" a="1"/>
  <c r="F89" i="11" s="1"/>
  <c r="F90" i="11" s="1" a="1"/>
  <c r="F90" i="11" s="1"/>
  <c r="F91" i="11" s="1" a="1"/>
  <c r="F91" i="11" s="1"/>
  <c r="F92" i="11" s="1" a="1"/>
  <c r="F92" i="11" s="1"/>
  <c r="F93" i="11" s="1" a="1"/>
  <c r="F93" i="11" s="1"/>
  <c r="F94" i="11" s="1" a="1"/>
  <c r="F94" i="11" s="1"/>
  <c r="F95" i="11" s="1" a="1"/>
  <c r="F95" i="11" s="1"/>
  <c r="F96" i="11" s="1" a="1"/>
  <c r="F96" i="11" s="1"/>
  <c r="F97" i="11" s="1" a="1"/>
  <c r="F97" i="11" s="1"/>
  <c r="F98" i="11" s="1" a="1"/>
  <c r="F98" i="11" s="1"/>
  <c r="F99" i="11" s="1" a="1"/>
  <c r="F99" i="11" s="1"/>
  <c r="F100" i="11" s="1" a="1"/>
  <c r="F100" i="11" s="1"/>
  <c r="F101" i="11" s="1" a="1"/>
  <c r="F101" i="11" s="1"/>
  <c r="F102" i="11" s="1" a="1"/>
  <c r="F102" i="11" s="1"/>
  <c r="F103" i="11" s="1" a="1"/>
  <c r="F103" i="11" s="1"/>
  <c r="F104" i="11" s="1" a="1"/>
  <c r="F104" i="11" s="1"/>
  <c r="F105" i="11" s="1" a="1"/>
  <c r="F105" i="11" s="1"/>
  <c r="F106" i="11" s="1" a="1"/>
  <c r="F106" i="11" s="1"/>
  <c r="F107" i="11" s="1" a="1"/>
  <c r="F107" i="11" s="1"/>
  <c r="F108" i="11" s="1" a="1"/>
  <c r="F108" i="11" s="1"/>
  <c r="F109" i="11" s="1" a="1"/>
  <c r="F109" i="11" s="1"/>
  <c r="F110" i="11" s="1" a="1"/>
  <c r="F110" i="11" s="1"/>
  <c r="F111" i="11" s="1" a="1"/>
  <c r="F111" i="11" s="1"/>
  <c r="F112" i="11" s="1" a="1"/>
  <c r="F112" i="11" s="1"/>
  <c r="F113" i="11" s="1" a="1"/>
  <c r="F113" i="11" s="1"/>
  <c r="F114" i="11" s="1" a="1"/>
  <c r="F114" i="11" s="1"/>
  <c r="F115" i="11" s="1" a="1"/>
  <c r="F115" i="11" s="1"/>
  <c r="F116" i="11" s="1" a="1"/>
  <c r="F116" i="11" s="1"/>
  <c r="F117" i="11" s="1" a="1"/>
  <c r="F117" i="11" s="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BC11" i="11" a="1"/>
  <c r="BC11" i="11"/>
  <c r="BB10" i="11" a="1"/>
  <c r="BB10" i="11" s="1"/>
  <c r="BA10" i="11" a="1"/>
  <c r="BA10" i="11"/>
  <c r="AZ10" i="11" a="1"/>
  <c r="AZ10" i="11" s="1"/>
  <c r="AY10" i="11" a="1"/>
  <c r="AY10" i="11"/>
  <c r="AX10" i="11" a="1"/>
  <c r="AX10" i="11" s="1"/>
  <c r="AW10" i="11" a="1"/>
  <c r="AW10" i="11"/>
  <c r="AV10" i="11" a="1"/>
  <c r="AV10" i="11" s="1"/>
  <c r="AU10" i="11" a="1"/>
  <c r="AU10" i="11"/>
  <c r="AT10" i="11" a="1"/>
  <c r="AT10" i="11" s="1"/>
  <c r="AS10" i="11" a="1"/>
  <c r="AS10" i="11"/>
  <c r="AR10" i="11" a="1"/>
  <c r="AR10" i="11" s="1"/>
  <c r="AQ10" i="11" a="1"/>
  <c r="AQ10" i="11"/>
  <c r="AP10" i="11" a="1"/>
  <c r="AP10" i="11" s="1"/>
  <c r="AO10" i="11" a="1"/>
  <c r="AO10" i="11"/>
  <c r="AN10" i="11" a="1"/>
  <c r="AN10" i="11" s="1"/>
  <c r="AM10" i="11" a="1"/>
  <c r="AM10" i="11"/>
  <c r="AL10" i="11" a="1"/>
  <c r="AL10" i="11" s="1"/>
  <c r="AK10" i="11" a="1"/>
  <c r="AK10" i="11"/>
  <c r="AJ10" i="11" a="1"/>
  <c r="AJ10" i="11" s="1"/>
  <c r="AI10" i="11" a="1"/>
  <c r="AI10" i="11"/>
  <c r="AH10" i="11" a="1"/>
  <c r="AH10" i="11" s="1"/>
  <c r="AG10" i="11" a="1"/>
  <c r="AG10" i="11"/>
  <c r="AF10" i="11" a="1"/>
  <c r="AF10" i="11" s="1"/>
  <c r="AE10" i="11" a="1"/>
  <c r="AE10" i="11"/>
  <c r="BA9" i="11" a="1"/>
  <c r="BA9" i="11"/>
  <c r="AZ9" i="11" a="1"/>
  <c r="AZ9" i="11" s="1"/>
  <c r="AW9" i="11" a="1"/>
  <c r="AW9" i="11"/>
  <c r="AV9" i="11" a="1"/>
  <c r="AV9" i="11" s="1"/>
  <c r="AP9" i="11" a="1"/>
  <c r="AP9" i="11" s="1"/>
  <c r="AL9" i="11" a="1"/>
  <c r="AL9" i="11" s="1"/>
  <c r="AH9" i="11" a="1"/>
  <c r="AH9" i="11" s="1"/>
  <c r="AE9" i="11" a="1"/>
  <c r="AE9" i="11"/>
  <c r="BB7" i="11" a="1"/>
  <c r="BB7" i="11" s="1"/>
  <c r="BA7" i="11" a="1"/>
  <c r="BA7" i="11"/>
  <c r="AZ7" i="11" a="1"/>
  <c r="AZ7" i="11" s="1"/>
  <c r="AY7" i="11" a="1"/>
  <c r="AY7" i="11"/>
  <c r="AX7" i="11" a="1"/>
  <c r="AX7" i="11" s="1"/>
  <c r="AW7" i="11" a="1"/>
  <c r="AW7" i="11"/>
  <c r="AV7" i="11" a="1"/>
  <c r="AV7" i="11" s="1"/>
  <c r="AU7" i="11" a="1"/>
  <c r="AU7" i="11"/>
  <c r="AT7" i="11" a="1"/>
  <c r="AT7" i="11" s="1"/>
  <c r="AS7" i="11" a="1"/>
  <c r="AS7" i="11"/>
  <c r="AR7" i="11" a="1"/>
  <c r="AR7" i="11" s="1"/>
  <c r="AQ7" i="11" a="1"/>
  <c r="AQ7" i="11"/>
  <c r="AP7" i="11" a="1"/>
  <c r="AP7" i="11" s="1"/>
  <c r="AP8" i="11" s="1"/>
  <c r="AO7" i="11" a="1"/>
  <c r="AO7" i="11"/>
  <c r="AN7" i="11" a="1"/>
  <c r="AN7" i="11" s="1"/>
  <c r="AM7" i="11" a="1"/>
  <c r="AM7" i="11"/>
  <c r="AL7" i="11" a="1"/>
  <c r="AL7" i="11" s="1"/>
  <c r="AL8" i="11" s="1"/>
  <c r="AK7" i="11" a="1"/>
  <c r="AK7" i="11"/>
  <c r="AJ7" i="11" a="1"/>
  <c r="AJ7" i="11" s="1"/>
  <c r="AI7" i="11" a="1"/>
  <c r="AI7" i="11"/>
  <c r="AH7" i="11" a="1"/>
  <c r="AH7" i="11" s="1"/>
  <c r="AH8" i="11" s="1"/>
  <c r="AG7" i="11" a="1"/>
  <c r="AG7" i="11"/>
  <c r="AF7" i="11" a="1"/>
  <c r="AF7" i="11" s="1"/>
  <c r="AE7" i="11" a="1"/>
  <c r="AE7" i="11"/>
  <c r="AE8" i="11" s="1"/>
  <c r="BB6" i="11"/>
  <c r="BB2" i="11" s="1"/>
  <c r="BA6" i="11"/>
  <c r="BA8" i="11" s="1"/>
  <c r="AZ6" i="11"/>
  <c r="AY6" i="11"/>
  <c r="AX6" i="11"/>
  <c r="AX2" i="11" s="1"/>
  <c r="AW6" i="11"/>
  <c r="AV6" i="11"/>
  <c r="AU6" i="11"/>
  <c r="AT6" i="11"/>
  <c r="AT2" i="11" s="1"/>
  <c r="AS6" i="11" a="1"/>
  <c r="AS6" i="11"/>
  <c r="AS8" i="11" s="1"/>
  <c r="AR6" i="11"/>
  <c r="AR8" i="11" s="1"/>
  <c r="AQ6" i="11"/>
  <c r="AP6" i="11"/>
  <c r="AO6" i="11"/>
  <c r="AN6" i="11"/>
  <c r="AN8" i="11" s="1"/>
  <c r="AM6" i="11"/>
  <c r="AM8" i="11" s="1"/>
  <c r="AL6" i="11"/>
  <c r="AK6" i="11"/>
  <c r="AK8" i="11" s="1"/>
  <c r="AJ6" i="11"/>
  <c r="AJ8" i="11" s="1"/>
  <c r="AI6" i="11" a="1"/>
  <c r="AI6" i="11" s="1"/>
  <c r="AH6" i="11"/>
  <c r="AG6" i="11"/>
  <c r="AF6" i="11"/>
  <c r="AF8" i="11" s="1"/>
  <c r="AE6" i="11"/>
  <c r="BA2" i="11"/>
  <c r="AZ2" i="11"/>
  <c r="AW2" i="11"/>
  <c r="AV2" i="11"/>
  <c r="AS2" i="11"/>
  <c r="AO2" i="11"/>
  <c r="AN2" i="11"/>
  <c r="AK2" i="11"/>
  <c r="V37" i="10"/>
  <c r="V38" i="10" s="1" a="1"/>
  <c r="V38" i="10" s="1"/>
  <c r="V39" i="10" s="1" a="1"/>
  <c r="V39" i="10" s="1"/>
  <c r="V40" i="10" s="1" a="1"/>
  <c r="V40" i="10" s="1"/>
  <c r="V41" i="10" s="1" a="1"/>
  <c r="V41" i="10" s="1"/>
  <c r="F37" i="10" a="1"/>
  <c r="F37" i="10"/>
  <c r="F38" i="10" s="1" a="1"/>
  <c r="F38" i="10" s="1"/>
  <c r="F39" i="10" s="1" a="1"/>
  <c r="F39" i="10" s="1"/>
  <c r="F40" i="10" s="1" a="1"/>
  <c r="F40" i="10" s="1"/>
  <c r="F41" i="10" s="1" a="1"/>
  <c r="F41" i="10" s="1"/>
  <c r="F42" i="10" s="1" a="1"/>
  <c r="F42" i="10" s="1"/>
  <c r="V32" i="10"/>
  <c r="V33" i="10" s="1" a="1"/>
  <c r="V33" i="10" s="1"/>
  <c r="V34" i="10" s="1" a="1"/>
  <c r="V34" i="10" s="1"/>
  <c r="V35" i="10" s="1" a="1"/>
  <c r="V35" i="10" s="1"/>
  <c r="V36" i="10" s="1" a="1"/>
  <c r="V36" i="10" s="1"/>
  <c r="F32" i="10" a="1"/>
  <c r="F32" i="10" s="1"/>
  <c r="F33" i="10" s="1" a="1"/>
  <c r="F33" i="10" s="1"/>
  <c r="F34" i="10" s="1" a="1"/>
  <c r="F34" i="10" s="1"/>
  <c r="F35" i="10" s="1" a="1"/>
  <c r="F35" i="10" s="1"/>
  <c r="F36" i="10" s="1" a="1"/>
  <c r="F36" i="10" s="1"/>
  <c r="V28" i="10"/>
  <c r="V29" i="10" s="1" a="1"/>
  <c r="V29" i="10" s="1"/>
  <c r="V30" i="10" s="1" a="1"/>
  <c r="V30" i="10" s="1"/>
  <c r="V31" i="10" s="1" a="1"/>
  <c r="V31" i="10" s="1"/>
  <c r="F28" i="10" a="1"/>
  <c r="F28" i="10" s="1"/>
  <c r="F29" i="10" s="1" a="1"/>
  <c r="F29" i="10" s="1"/>
  <c r="F30" i="10" s="1" a="1"/>
  <c r="F30" i="10" s="1"/>
  <c r="F31" i="10" s="1" a="1"/>
  <c r="F31" i="10" s="1"/>
  <c r="V27" i="10"/>
  <c r="V28" i="10" s="1" a="1"/>
  <c r="F27" i="10" a="1"/>
  <c r="F27" i="10"/>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BA10" i="10" a="1"/>
  <c r="BA10" i="10" s="1"/>
  <c r="AZ10" i="10" a="1"/>
  <c r="AZ10" i="10"/>
  <c r="AY10" i="10" a="1"/>
  <c r="AY10" i="10" s="1"/>
  <c r="AX10" i="10" a="1"/>
  <c r="AX10" i="10"/>
  <c r="AW10" i="10" a="1"/>
  <c r="AW10" i="10" s="1"/>
  <c r="AV10" i="10" a="1"/>
  <c r="AV10" i="10"/>
  <c r="AU10" i="10" a="1"/>
  <c r="AU10" i="10" s="1"/>
  <c r="AT10" i="10" a="1"/>
  <c r="AT10" i="10"/>
  <c r="AS10" i="10" a="1"/>
  <c r="AS10" i="10" s="1"/>
  <c r="AR10" i="10" a="1"/>
  <c r="AR10" i="10"/>
  <c r="AQ10" i="10" a="1"/>
  <c r="AQ10" i="10" s="1"/>
  <c r="AP10" i="10" a="1"/>
  <c r="AP10" i="10"/>
  <c r="AO10" i="10" a="1"/>
  <c r="AO10" i="10" s="1"/>
  <c r="AN10" i="10" a="1"/>
  <c r="AN10" i="10"/>
  <c r="AM10" i="10" a="1"/>
  <c r="AM10" i="10" s="1"/>
  <c r="AL10" i="10" a="1"/>
  <c r="AL10" i="10"/>
  <c r="AK10" i="10" a="1"/>
  <c r="AK10" i="10" s="1"/>
  <c r="AJ10" i="10" a="1"/>
  <c r="AJ10" i="10"/>
  <c r="AI10" i="10" a="1"/>
  <c r="AI10" i="10" s="1"/>
  <c r="AH10" i="10" a="1"/>
  <c r="AH10" i="10"/>
  <c r="AG10" i="10" a="1"/>
  <c r="AG10" i="10" s="1"/>
  <c r="AF10" i="10" a="1"/>
  <c r="AF10" i="10"/>
  <c r="AE10" i="10" a="1"/>
  <c r="AE10" i="10" s="1"/>
  <c r="BA9" i="10" a="1"/>
  <c r="BA9" i="10"/>
  <c r="AZ9" i="10" a="1"/>
  <c r="AZ9" i="10" s="1"/>
  <c r="AX9" i="10" a="1"/>
  <c r="AX9" i="10" s="1"/>
  <c r="AW9" i="10" a="1"/>
  <c r="AW9" i="10"/>
  <c r="AV9" i="10" a="1"/>
  <c r="AV9" i="10" s="1"/>
  <c r="AT9" i="10" a="1"/>
  <c r="AT9" i="10" s="1"/>
  <c r="AS9" i="10" a="1"/>
  <c r="AS9" i="10"/>
  <c r="AR9" i="10" a="1"/>
  <c r="AR9" i="10" s="1"/>
  <c r="AP9" i="10" a="1"/>
  <c r="AP9" i="10" s="1"/>
  <c r="AN9" i="10" a="1"/>
  <c r="AN9" i="10" s="1"/>
  <c r="AL9" i="10" a="1"/>
  <c r="AL9" i="10" s="1"/>
  <c r="AJ9" i="10" a="1"/>
  <c r="AJ9" i="10" s="1"/>
  <c r="AH9" i="10" a="1"/>
  <c r="AH9" i="10" s="1"/>
  <c r="AF9" i="10" a="1"/>
  <c r="AF9" i="10" s="1"/>
  <c r="AE9" i="10" a="1"/>
  <c r="AE9" i="10"/>
  <c r="AX8" i="10"/>
  <c r="AT8" i="10"/>
  <c r="AP8" i="10"/>
  <c r="AL8" i="10"/>
  <c r="AH8" i="10"/>
  <c r="BA7" i="10" a="1"/>
  <c r="BA7" i="10" s="1"/>
  <c r="BA8" i="10" s="1"/>
  <c r="AZ7" i="10" a="1"/>
  <c r="AZ7" i="10"/>
  <c r="AY7" i="10" a="1"/>
  <c r="AY7" i="10" s="1"/>
  <c r="AX7" i="10" a="1"/>
  <c r="AX7" i="10"/>
  <c r="AW7" i="10" a="1"/>
  <c r="AW7" i="10" s="1"/>
  <c r="AW8" i="10" s="1"/>
  <c r="AV7" i="10" a="1"/>
  <c r="AV7" i="10"/>
  <c r="AU7" i="10" a="1"/>
  <c r="AU7" i="10" s="1"/>
  <c r="AT7" i="10" a="1"/>
  <c r="AT7" i="10"/>
  <c r="AS7" i="10" a="1"/>
  <c r="AS7" i="10" s="1"/>
  <c r="AS8" i="10" s="1"/>
  <c r="AR7" i="10" a="1"/>
  <c r="AR7" i="10"/>
  <c r="AQ7" i="10" a="1"/>
  <c r="AQ7" i="10" s="1"/>
  <c r="AP7" i="10" a="1"/>
  <c r="AP7" i="10"/>
  <c r="AO7" i="10" a="1"/>
  <c r="AO7" i="10" s="1"/>
  <c r="AO8" i="10" s="1"/>
  <c r="AN7" i="10" a="1"/>
  <c r="AN7" i="10"/>
  <c r="AM7" i="10" a="1"/>
  <c r="AM7" i="10" s="1"/>
  <c r="AL7" i="10" a="1"/>
  <c r="AL7" i="10"/>
  <c r="AK7" i="10" a="1"/>
  <c r="AK7" i="10" s="1"/>
  <c r="AK8" i="10" s="1"/>
  <c r="AJ7" i="10" a="1"/>
  <c r="AJ7" i="10"/>
  <c r="AI7" i="10" a="1"/>
  <c r="AI7" i="10" s="1"/>
  <c r="AH7" i="10" a="1"/>
  <c r="AH7" i="10"/>
  <c r="AG7" i="10" a="1"/>
  <c r="AG7" i="10" s="1"/>
  <c r="AG8" i="10" s="1"/>
  <c r="AF7" i="10" a="1"/>
  <c r="AF7" i="10"/>
  <c r="AE7" i="10" a="1"/>
  <c r="AE7" i="10" s="1"/>
  <c r="AE8" i="10" s="1"/>
  <c r="BA6" i="10"/>
  <c r="AZ6" i="10"/>
  <c r="AZ8" i="10" s="1"/>
  <c r="AY6" i="10"/>
  <c r="AX6" i="10"/>
  <c r="AX2" i="10" s="1"/>
  <c r="AW6" i="10"/>
  <c r="AV6" i="10"/>
  <c r="AV8" i="10" s="1"/>
  <c r="AU6" i="10"/>
  <c r="AT6" i="10"/>
  <c r="AT2" i="10" s="1"/>
  <c r="AS6" i="10"/>
  <c r="AR6" i="10" a="1"/>
  <c r="AR6" i="10"/>
  <c r="AR8" i="10" s="1"/>
  <c r="AQ6" i="10"/>
  <c r="AP6" i="10"/>
  <c r="AO6" i="10"/>
  <c r="AO2" i="10" s="1"/>
  <c r="AN6" i="10"/>
  <c r="AM6" i="10"/>
  <c r="AL6" i="10"/>
  <c r="AK6" i="10"/>
  <c r="AK2" i="10" s="1"/>
  <c r="AJ6" i="10"/>
  <c r="AI6" i="10"/>
  <c r="AH6" i="10" a="1"/>
  <c r="AH6" i="10"/>
  <c r="AG6" i="10"/>
  <c r="AG9" i="10" s="1" a="1"/>
  <c r="AG9" i="10" s="1"/>
  <c r="AF6" i="10"/>
  <c r="AF8" i="10" s="1"/>
  <c r="AE6" i="10"/>
  <c r="AZ2" i="10"/>
  <c r="AY2" i="10"/>
  <c r="AV2" i="10"/>
  <c r="AU2" i="10"/>
  <c r="AQ2" i="10"/>
  <c r="AP2" i="10"/>
  <c r="AM2" i="10"/>
  <c r="AL2" i="10"/>
  <c r="AI2" i="10"/>
  <c r="AM108" i="9"/>
  <c r="AL108" i="9"/>
  <c r="AM107" i="9"/>
  <c r="AL107" i="9"/>
  <c r="AM106" i="9"/>
  <c r="AL106" i="9"/>
  <c r="AM105" i="9"/>
  <c r="AL105" i="9"/>
  <c r="BK103" i="9" a="1"/>
  <c r="BK103" i="9"/>
  <c r="AM103" i="9"/>
  <c r="AL103" i="9"/>
  <c r="I103" i="9" a="1"/>
  <c r="I103" i="9" s="1"/>
  <c r="AM102" i="9"/>
  <c r="AL102" i="9"/>
  <c r="BK100" i="9" a="1"/>
  <c r="BK100" i="9"/>
  <c r="AM100" i="9"/>
  <c r="AL100" i="9"/>
  <c r="I100" i="9" a="1"/>
  <c r="I100" i="9"/>
  <c r="AM99" i="9"/>
  <c r="AL99" i="9"/>
  <c r="BK97" i="9" a="1"/>
  <c r="BK97" i="9"/>
  <c r="AM97" i="9"/>
  <c r="AL97" i="9"/>
  <c r="I97" i="9" a="1"/>
  <c r="I97" i="9" s="1"/>
  <c r="AM96" i="9"/>
  <c r="AL96" i="9"/>
  <c r="BK94" i="9" a="1"/>
  <c r="BK94" i="9"/>
  <c r="AM94" i="9"/>
  <c r="AL94" i="9"/>
  <c r="I94" i="9" a="1"/>
  <c r="I94" i="9"/>
  <c r="AM93" i="9"/>
  <c r="AL93" i="9"/>
  <c r="AM91" i="9"/>
  <c r="AL91" i="9"/>
  <c r="AM90" i="9"/>
  <c r="AL90" i="9"/>
  <c r="AM88" i="9"/>
  <c r="AL88" i="9"/>
  <c r="AM87" i="9"/>
  <c r="AL87" i="9"/>
  <c r="B87" i="9"/>
  <c r="AM86" i="9"/>
  <c r="AL86" i="9"/>
  <c r="AB86" i="9"/>
  <c r="AM85" i="9"/>
  <c r="AL85" i="9"/>
  <c r="AB85" i="9"/>
  <c r="AM84" i="9"/>
  <c r="AL84" i="9"/>
  <c r="B84" i="9"/>
  <c r="BF83" i="9"/>
  <c r="BE83" i="9"/>
  <c r="BD83" i="9"/>
  <c r="BC83" i="9"/>
  <c r="BB83" i="9"/>
  <c r="BA83" i="9"/>
  <c r="AZ83" i="9"/>
  <c r="AY83" i="9"/>
  <c r="AX83" i="9"/>
  <c r="AW83" i="9"/>
  <c r="AV83" i="9"/>
  <c r="AU83" i="9"/>
  <c r="AT83" i="9"/>
  <c r="AS83" i="9"/>
  <c r="AR83" i="9"/>
  <c r="AQ83" i="9"/>
  <c r="AP83" i="9"/>
  <c r="AO83" i="9"/>
  <c r="AK83" i="9"/>
  <c r="AJ83" i="9"/>
  <c r="AI83" i="9"/>
  <c r="U82" i="9"/>
  <c r="U83" i="9" s="1" a="1"/>
  <c r="U83" i="9" s="1"/>
  <c r="U84" i="9" s="1" a="1"/>
  <c r="U84" i="9" s="1"/>
  <c r="U85" i="9" s="1" a="1"/>
  <c r="U85" i="9" s="1"/>
  <c r="U86" i="9" s="1" a="1"/>
  <c r="U86" i="9" s="1"/>
  <c r="U87" i="9" s="1" a="1"/>
  <c r="U87" i="9" s="1"/>
  <c r="F82" i="9" a="1"/>
  <c r="F82" i="9" s="1"/>
  <c r="F83" i="9" s="1" a="1"/>
  <c r="F83" i="9" s="1"/>
  <c r="F84" i="9" s="1" a="1"/>
  <c r="F84" i="9" s="1"/>
  <c r="F85" i="9" s="1" a="1"/>
  <c r="F85" i="9" s="1"/>
  <c r="F86" i="9" s="1" a="1"/>
  <c r="F86" i="9" s="1"/>
  <c r="F87" i="9" s="1" a="1"/>
  <c r="F87" i="9" s="1"/>
  <c r="F88" i="9" s="1" a="1"/>
  <c r="F88" i="9" s="1"/>
  <c r="F89" i="9" s="1" a="1"/>
  <c r="F89" i="9" s="1"/>
  <c r="F90" i="9" s="1" a="1"/>
  <c r="F90" i="9" s="1"/>
  <c r="F91" i="9" s="1" a="1"/>
  <c r="F91" i="9" s="1"/>
  <c r="F92" i="9" s="1" a="1"/>
  <c r="F92" i="9" s="1"/>
  <c r="F93" i="9" s="1" a="1"/>
  <c r="F93" i="9" s="1"/>
  <c r="F94" i="9" s="1" a="1"/>
  <c r="F94" i="9" s="1"/>
  <c r="AM81" i="9"/>
  <c r="AL81" i="9"/>
  <c r="AM80" i="9"/>
  <c r="AL80" i="9"/>
  <c r="AM79" i="9"/>
  <c r="AL79" i="9"/>
  <c r="AM78" i="9"/>
  <c r="AL78" i="9"/>
  <c r="BK76" i="9" a="1"/>
  <c r="BK76" i="9"/>
  <c r="AM76" i="9"/>
  <c r="AL76" i="9"/>
  <c r="I76" i="9" a="1"/>
  <c r="I76" i="9"/>
  <c r="AM75" i="9"/>
  <c r="AL75" i="9"/>
  <c r="BK73" i="9" a="1"/>
  <c r="BK73" i="9" s="1"/>
  <c r="AM73" i="9"/>
  <c r="AL73" i="9"/>
  <c r="I73" i="9" a="1"/>
  <c r="I73" i="9" s="1"/>
  <c r="AM72" i="9"/>
  <c r="AL72" i="9"/>
  <c r="BK70" i="9" a="1"/>
  <c r="BK70" i="9"/>
  <c r="AM70" i="9"/>
  <c r="AL70" i="9"/>
  <c r="I70" i="9" a="1"/>
  <c r="I70" i="9"/>
  <c r="AM69" i="9"/>
  <c r="AL69" i="9"/>
  <c r="BK67" i="9" a="1"/>
  <c r="BK67" i="9" s="1"/>
  <c r="AM67" i="9"/>
  <c r="AL67" i="9"/>
  <c r="I67" i="9" a="1"/>
  <c r="I67" i="9" s="1"/>
  <c r="AM66" i="9"/>
  <c r="AL66" i="9"/>
  <c r="AM64" i="9"/>
  <c r="AL64" i="9"/>
  <c r="AM63" i="9"/>
  <c r="AL63" i="9"/>
  <c r="AM61" i="9"/>
  <c r="AL61" i="9"/>
  <c r="AM60" i="9"/>
  <c r="AL60" i="9"/>
  <c r="B60" i="9"/>
  <c r="AM59" i="9"/>
  <c r="AL59" i="9"/>
  <c r="AM58" i="9"/>
  <c r="AL58" i="9"/>
  <c r="AB58" i="9"/>
  <c r="AB59" i="9" s="1"/>
  <c r="AM57" i="9"/>
  <c r="AL57" i="9"/>
  <c r="B57" i="9"/>
  <c r="BF56" i="9"/>
  <c r="BE56" i="9"/>
  <c r="BD56" i="9"/>
  <c r="BC56" i="9"/>
  <c r="BB56" i="9"/>
  <c r="BA56" i="9"/>
  <c r="AZ56" i="9"/>
  <c r="AY56" i="9"/>
  <c r="AX56" i="9"/>
  <c r="AW56" i="9"/>
  <c r="AV56" i="9"/>
  <c r="AU56" i="9"/>
  <c r="AT56" i="9"/>
  <c r="AS56" i="9"/>
  <c r="AR56" i="9"/>
  <c r="AQ56" i="9"/>
  <c r="AP56" i="9"/>
  <c r="AO56" i="9"/>
  <c r="AK56" i="9"/>
  <c r="AJ56" i="9"/>
  <c r="AI56" i="9"/>
  <c r="F56" i="9" a="1"/>
  <c r="F56" i="9" s="1"/>
  <c r="F57" i="9" s="1" a="1"/>
  <c r="F57" i="9" s="1"/>
  <c r="F58" i="9" s="1" a="1"/>
  <c r="F58" i="9" s="1"/>
  <c r="F59" i="9" s="1" a="1"/>
  <c r="F59" i="9" s="1"/>
  <c r="F60" i="9" s="1" a="1"/>
  <c r="F60" i="9" s="1"/>
  <c r="F61" i="9" s="1" a="1"/>
  <c r="F61" i="9" s="1"/>
  <c r="F62" i="9" s="1" a="1"/>
  <c r="F62" i="9" s="1"/>
  <c r="F63" i="9" s="1" a="1"/>
  <c r="F63" i="9" s="1"/>
  <c r="F64" i="9" s="1" a="1"/>
  <c r="F64" i="9" s="1"/>
  <c r="F65" i="9" s="1" a="1"/>
  <c r="F65" i="9" s="1"/>
  <c r="F66" i="9" s="1" a="1"/>
  <c r="F66" i="9" s="1"/>
  <c r="F67" i="9" s="1" a="1"/>
  <c r="F67" i="9" s="1"/>
  <c r="U55" i="9"/>
  <c r="U56" i="9" s="1" a="1"/>
  <c r="U56" i="9" s="1"/>
  <c r="U57" i="9" s="1" a="1"/>
  <c r="U57" i="9" s="1"/>
  <c r="U58" i="9" s="1" a="1"/>
  <c r="U58" i="9" s="1"/>
  <c r="U59" i="9" s="1" a="1"/>
  <c r="U59" i="9" s="1"/>
  <c r="U60" i="9" s="1" a="1"/>
  <c r="U60" i="9" s="1"/>
  <c r="F55" i="9" a="1"/>
  <c r="F55" i="9"/>
  <c r="AM54" i="9"/>
  <c r="AL54" i="9"/>
  <c r="AM53" i="9"/>
  <c r="AL53" i="9"/>
  <c r="AM52" i="9"/>
  <c r="AL52" i="9"/>
  <c r="AM51" i="9"/>
  <c r="AL51" i="9"/>
  <c r="BK49" i="9" a="1"/>
  <c r="BK49" i="9" s="1"/>
  <c r="AM49" i="9"/>
  <c r="AL49" i="9"/>
  <c r="I49" i="9" a="1"/>
  <c r="I49" i="9" s="1"/>
  <c r="AM48" i="9"/>
  <c r="AL48" i="9"/>
  <c r="BK46" i="9" a="1"/>
  <c r="BK46" i="9"/>
  <c r="AM46" i="9"/>
  <c r="AL46" i="9"/>
  <c r="I46" i="9" a="1"/>
  <c r="I46" i="9"/>
  <c r="AM45" i="9"/>
  <c r="AL45" i="9"/>
  <c r="BK43" i="9" a="1"/>
  <c r="BK43" i="9" s="1"/>
  <c r="AM43" i="9"/>
  <c r="AL43" i="9"/>
  <c r="I43" i="9" a="1"/>
  <c r="I43" i="9" s="1"/>
  <c r="AM42" i="9"/>
  <c r="AL42" i="9"/>
  <c r="BK40" i="9" a="1"/>
  <c r="BK40" i="9" s="1"/>
  <c r="AM40" i="9"/>
  <c r="AL40" i="9"/>
  <c r="I40" i="9" a="1"/>
  <c r="I40" i="9"/>
  <c r="AM39" i="9"/>
  <c r="AL39" i="9"/>
  <c r="AM37" i="9"/>
  <c r="AL37" i="9"/>
  <c r="AM36" i="9"/>
  <c r="AL36" i="9"/>
  <c r="AM34" i="9"/>
  <c r="AL34" i="9"/>
  <c r="AM33" i="9"/>
  <c r="AL33" i="9"/>
  <c r="B33" i="9"/>
  <c r="AM32" i="9"/>
  <c r="AL32" i="9"/>
  <c r="AB32" i="9"/>
  <c r="AM31" i="9"/>
  <c r="AL31" i="9"/>
  <c r="AM30" i="9"/>
  <c r="AL30" i="9"/>
  <c r="B30" i="9"/>
  <c r="AB31" i="9" s="1"/>
  <c r="BF29" i="9"/>
  <c r="BE29" i="9"/>
  <c r="BD29" i="9"/>
  <c r="BC29" i="9"/>
  <c r="BB29" i="9"/>
  <c r="BA29" i="9"/>
  <c r="AZ29" i="9"/>
  <c r="AY29" i="9"/>
  <c r="AX29" i="9"/>
  <c r="AW29" i="9"/>
  <c r="AV29" i="9"/>
  <c r="AU29" i="9"/>
  <c r="AT29" i="9"/>
  <c r="AS29" i="9"/>
  <c r="AR29" i="9"/>
  <c r="AQ29" i="9"/>
  <c r="AP29" i="9"/>
  <c r="AO29" i="9"/>
  <c r="AK29" i="9"/>
  <c r="AJ29" i="9"/>
  <c r="AI29" i="9"/>
  <c r="U29" i="9" a="1"/>
  <c r="U29" i="9" s="1"/>
  <c r="U30" i="9" s="1" a="1"/>
  <c r="U30" i="9" s="1"/>
  <c r="U31" i="9" s="1" a="1"/>
  <c r="U31" i="9" s="1"/>
  <c r="U32" i="9" s="1" a="1"/>
  <c r="U32" i="9" s="1"/>
  <c r="U33" i="9" s="1" a="1"/>
  <c r="U33" i="9" s="1"/>
  <c r="U28" i="9"/>
  <c r="F28" i="9" a="1"/>
  <c r="F28" i="9"/>
  <c r="AM26" i="9"/>
  <c r="AL26"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N11" i="9" a="1"/>
  <c r="AN11" i="9" s="1"/>
  <c r="AH11" i="9" a="1"/>
  <c r="AH11" i="9"/>
  <c r="BF10" i="9" a="1"/>
  <c r="BF10" i="9" s="1"/>
  <c r="BE10" i="9" a="1"/>
  <c r="BE10" i="9"/>
  <c r="BD10" i="9" a="1"/>
  <c r="BD10" i="9" s="1"/>
  <c r="BC10" i="9" a="1"/>
  <c r="BC10" i="9"/>
  <c r="BB10" i="9" a="1"/>
  <c r="BB10" i="9" s="1"/>
  <c r="BA10" i="9" a="1"/>
  <c r="BA10" i="9"/>
  <c r="AZ10" i="9" a="1"/>
  <c r="AZ10" i="9" s="1"/>
  <c r="AY10" i="9" a="1"/>
  <c r="AY10" i="9"/>
  <c r="AX10" i="9" a="1"/>
  <c r="AX10" i="9" s="1"/>
  <c r="AW10" i="9" a="1"/>
  <c r="AW10" i="9"/>
  <c r="AV10" i="9" a="1"/>
  <c r="AV10" i="9" s="1"/>
  <c r="AU10" i="9" a="1"/>
  <c r="AU10" i="9"/>
  <c r="AT10" i="9" a="1"/>
  <c r="AT10" i="9" s="1"/>
  <c r="AS10" i="9" a="1"/>
  <c r="AS10" i="9"/>
  <c r="AR10" i="9" a="1"/>
  <c r="AR10" i="9" s="1"/>
  <c r="AQ10" i="9" a="1"/>
  <c r="AQ10" i="9"/>
  <c r="AP10" i="9" a="1"/>
  <c r="AP10" i="9" s="1"/>
  <c r="AO10" i="9" a="1"/>
  <c r="AO10" i="9"/>
  <c r="AM10" i="9" a="1"/>
  <c r="AM10" i="9" s="1"/>
  <c r="AL10" i="9" a="1"/>
  <c r="AL10" i="9"/>
  <c r="AK10" i="9" a="1"/>
  <c r="AK10" i="9" s="1"/>
  <c r="AJ10" i="9" a="1"/>
  <c r="AJ10" i="9"/>
  <c r="AI10" i="9" a="1"/>
  <c r="AI10" i="9" s="1"/>
  <c r="AG10" i="9" a="1"/>
  <c r="AG10" i="9"/>
  <c r="AF10" i="9" a="1"/>
  <c r="AF10" i="9" s="1"/>
  <c r="AE10" i="9" a="1"/>
  <c r="AE10" i="9"/>
  <c r="BF9" i="9" a="1"/>
  <c r="BF9" i="9" s="1"/>
  <c r="BD9" i="9" a="1"/>
  <c r="BD9" i="9" s="1"/>
  <c r="BB9" i="9" a="1"/>
  <c r="BB9" i="9" s="1"/>
  <c r="AZ9" i="9" a="1"/>
  <c r="AZ9" i="9" s="1"/>
  <c r="AX9" i="9" a="1"/>
  <c r="AX9" i="9" s="1"/>
  <c r="AV9" i="9" a="1"/>
  <c r="AV9" i="9" s="1"/>
  <c r="AT9" i="9" a="1"/>
  <c r="AT9" i="9" s="1"/>
  <c r="AR9" i="9" a="1"/>
  <c r="AR9" i="9" s="1"/>
  <c r="AP9" i="9" a="1"/>
  <c r="AP9" i="9" s="1"/>
  <c r="AM9" i="9"/>
  <c r="AL9" i="9" a="1"/>
  <c r="AL9" i="9" s="1"/>
  <c r="AH9" i="9" a="1"/>
  <c r="AH9" i="9" s="1"/>
  <c r="BF8" i="9"/>
  <c r="AX8" i="9"/>
  <c r="AP8" i="9"/>
  <c r="AH8" i="9"/>
  <c r="BF7" i="9" a="1"/>
  <c r="BF7" i="9" s="1"/>
  <c r="BE7" i="9" a="1"/>
  <c r="BE7" i="9"/>
  <c r="BD7" i="9" a="1"/>
  <c r="BD7" i="9" s="1"/>
  <c r="BC7" i="9" a="1"/>
  <c r="BC7" i="9"/>
  <c r="BB7" i="9" a="1"/>
  <c r="BB7" i="9" s="1"/>
  <c r="BA7" i="9" a="1"/>
  <c r="BA7" i="9"/>
  <c r="AZ7" i="9" a="1"/>
  <c r="AZ7" i="9" s="1"/>
  <c r="AY7" i="9" a="1"/>
  <c r="AY7" i="9"/>
  <c r="AX7" i="9" a="1"/>
  <c r="AX7" i="9" s="1"/>
  <c r="AW7" i="9" a="1"/>
  <c r="AW7" i="9"/>
  <c r="AV7" i="9" a="1"/>
  <c r="AV7" i="9" s="1"/>
  <c r="AU7" i="9" a="1"/>
  <c r="AU7" i="9"/>
  <c r="AT7" i="9" a="1"/>
  <c r="AT7" i="9" s="1"/>
  <c r="AS7" i="9" a="1"/>
  <c r="AS7" i="9"/>
  <c r="AR7" i="9" a="1"/>
  <c r="AR7" i="9" s="1"/>
  <c r="AQ7" i="9" a="1"/>
  <c r="AQ7" i="9"/>
  <c r="AP7" i="9" a="1"/>
  <c r="AP7" i="9" s="1"/>
  <c r="AO7" i="9" a="1"/>
  <c r="AO7" i="9"/>
  <c r="AM7" i="9" a="1"/>
  <c r="AM7" i="9" s="1"/>
  <c r="AL7" i="9" a="1"/>
  <c r="AL7" i="9"/>
  <c r="AK7" i="9" a="1"/>
  <c r="AK7" i="9" s="1"/>
  <c r="AJ7" i="9" a="1"/>
  <c r="AJ7" i="9"/>
  <c r="AI7" i="9" a="1"/>
  <c r="AI7" i="9" s="1"/>
  <c r="AG7" i="9" a="1"/>
  <c r="AG7" i="9"/>
  <c r="AF7" i="9" a="1"/>
  <c r="AF7" i="9" s="1"/>
  <c r="AE7" i="9" a="1"/>
  <c r="AE7" i="9"/>
  <c r="BF6" i="9"/>
  <c r="BF2" i="9" s="1"/>
  <c r="BE6" i="9"/>
  <c r="BD6" i="9"/>
  <c r="BD8" i="9" s="1"/>
  <c r="BC6" i="9"/>
  <c r="BC9" i="9" s="1" a="1"/>
  <c r="BC9" i="9" s="1"/>
  <c r="BB6" i="9"/>
  <c r="BB2" i="9" s="1"/>
  <c r="BA6" i="9"/>
  <c r="BA8" i="9" s="1"/>
  <c r="AZ6" i="9"/>
  <c r="AZ8" i="9" s="1"/>
  <c r="AY6" i="9"/>
  <c r="AY9" i="9" s="1" a="1"/>
  <c r="AY9" i="9" s="1"/>
  <c r="AX6" i="9"/>
  <c r="AX2" i="9" s="1"/>
  <c r="AW6" i="9"/>
  <c r="AV6" i="9"/>
  <c r="AV8" i="9" s="1"/>
  <c r="AU6" i="9"/>
  <c r="AU9" i="9" s="1" a="1"/>
  <c r="AU9" i="9" s="1"/>
  <c r="AT6" i="9"/>
  <c r="AT2" i="9" s="1"/>
  <c r="AS6" i="9"/>
  <c r="AS8" i="9" s="1"/>
  <c r="AR6" i="9"/>
  <c r="AR8" i="9" s="1"/>
  <c r="AQ6" i="9"/>
  <c r="AQ9" i="9" s="1" a="1"/>
  <c r="AQ9" i="9" s="1"/>
  <c r="AP6" i="9"/>
  <c r="AP2" i="9" s="1"/>
  <c r="AO6" i="9"/>
  <c r="AN6" i="9" a="1"/>
  <c r="AN6" i="9"/>
  <c r="AN8" i="9" s="1"/>
  <c r="AM6" i="9" a="1"/>
  <c r="AM6" i="9" s="1"/>
  <c r="AM9" i="9" s="1" a="1"/>
  <c r="AL6" i="9" a="1"/>
  <c r="AL6" i="9"/>
  <c r="AL8" i="9" s="1"/>
  <c r="AK6" i="9" a="1"/>
  <c r="AK6" i="9" s="1"/>
  <c r="AJ6" i="9" a="1"/>
  <c r="AJ6" i="9"/>
  <c r="AJ8" i="9" s="1"/>
  <c r="AI6" i="9"/>
  <c r="AI9" i="9" s="1" a="1"/>
  <c r="AI9" i="9" s="1"/>
  <c r="AH6" i="9"/>
  <c r="AG6" i="9"/>
  <c r="AG8" i="9" s="1"/>
  <c r="AF6" i="9"/>
  <c r="AF8" i="9" s="1"/>
  <c r="AE6" i="9"/>
  <c r="AE9" i="9" s="1" a="1"/>
  <c r="AE9" i="9" s="1"/>
  <c r="BD2" i="9"/>
  <c r="AZ2" i="9"/>
  <c r="AV2" i="9"/>
  <c r="AR2" i="9"/>
  <c r="AQ57" i="8" a="1"/>
  <c r="AQ57" i="8"/>
  <c r="AP57" i="8" a="1"/>
  <c r="AP57" i="8" s="1"/>
  <c r="AO57" i="8" a="1"/>
  <c r="AO57" i="8"/>
  <c r="AN57" i="8" a="1"/>
  <c r="AN57" i="8" s="1"/>
  <c r="AM57" i="8"/>
  <c r="AC57" i="8"/>
  <c r="AM57" i="8" s="1" a="1"/>
  <c r="AQ56" i="8" a="1"/>
  <c r="AQ56" i="8" s="1"/>
  <c r="AP56" i="8" a="1"/>
  <c r="AP56" i="8"/>
  <c r="AO56" i="8" a="1"/>
  <c r="AO56" i="8" s="1"/>
  <c r="AN56" i="8" a="1"/>
  <c r="AN56" i="8"/>
  <c r="AM56" i="8" a="1"/>
  <c r="AM56" i="8" s="1"/>
  <c r="AC56" i="8"/>
  <c r="AQ55" i="8" a="1"/>
  <c r="AQ55" i="8"/>
  <c r="AP55" i="8" a="1"/>
  <c r="AP55" i="8" s="1"/>
  <c r="AO55" i="8" a="1"/>
  <c r="AO55" i="8"/>
  <c r="AN55" i="8" a="1"/>
  <c r="AN55" i="8" s="1"/>
  <c r="AC55" i="8"/>
  <c r="AM55" i="8" s="1" a="1"/>
  <c r="AM55" i="8" s="1"/>
  <c r="AQ54" i="8" a="1"/>
  <c r="AQ54" i="8" s="1"/>
  <c r="AP54" i="8" a="1"/>
  <c r="AP54" i="8"/>
  <c r="AO54" i="8" a="1"/>
  <c r="AO54" i="8" s="1"/>
  <c r="AN54" i="8" a="1"/>
  <c r="AN54" i="8"/>
  <c r="AM54" i="8" a="1"/>
  <c r="AM54" i="8" s="1"/>
  <c r="AC54" i="8"/>
  <c r="AQ53" i="8" a="1"/>
  <c r="AQ53" i="8"/>
  <c r="AP53" i="8" a="1"/>
  <c r="AP53" i="8" s="1"/>
  <c r="AO53" i="8" a="1"/>
  <c r="AO53" i="8"/>
  <c r="AN53" i="8" a="1"/>
  <c r="AN53" i="8" s="1"/>
  <c r="AC53" i="8"/>
  <c r="AM53" i="8" s="1" a="1"/>
  <c r="AM53" i="8" s="1"/>
  <c r="AQ52" i="8" a="1"/>
  <c r="AQ52" i="8" s="1"/>
  <c r="AP52" i="8" a="1"/>
  <c r="AP52" i="8"/>
  <c r="AO52" i="8" a="1"/>
  <c r="AO52" i="8" s="1"/>
  <c r="AN52" i="8" a="1"/>
  <c r="AN52" i="8"/>
  <c r="AM52" i="8" a="1"/>
  <c r="AM52" i="8" s="1"/>
  <c r="AC52" i="8"/>
  <c r="AQ51" i="8" a="1"/>
  <c r="AQ51" i="8"/>
  <c r="AP51" i="8" a="1"/>
  <c r="AP51" i="8" s="1"/>
  <c r="AO51" i="8" a="1"/>
  <c r="AO51" i="8"/>
  <c r="AN51" i="8" a="1"/>
  <c r="AN51" i="8" s="1"/>
  <c r="AC51" i="8"/>
  <c r="AM51" i="8" s="1" a="1"/>
  <c r="AM51" i="8" s="1"/>
  <c r="AQ50" i="8" a="1"/>
  <c r="AQ50" i="8" s="1"/>
  <c r="AP50" i="8" a="1"/>
  <c r="AP50" i="8"/>
  <c r="AO50" i="8" a="1"/>
  <c r="AO50" i="8" s="1"/>
  <c r="AN50" i="8" a="1"/>
  <c r="AN50" i="8"/>
  <c r="AM50" i="8" a="1"/>
  <c r="AM50" i="8" s="1"/>
  <c r="AC50" i="8"/>
  <c r="AQ49" i="8" a="1"/>
  <c r="AQ49" i="8"/>
  <c r="AP49" i="8" a="1"/>
  <c r="AP49" i="8" s="1"/>
  <c r="AO49" i="8" a="1"/>
  <c r="AO49" i="8"/>
  <c r="AN49" i="8" a="1"/>
  <c r="AN49" i="8" s="1"/>
  <c r="AM49" i="8"/>
  <c r="AC49" i="8"/>
  <c r="AM49" i="8" s="1" a="1"/>
  <c r="AQ48" i="8" a="1"/>
  <c r="AQ48" i="8" s="1"/>
  <c r="AP48" i="8" a="1"/>
  <c r="AP48" i="8"/>
  <c r="AO48" i="8" a="1"/>
  <c r="AO48" i="8" s="1"/>
  <c r="AN48" i="8" a="1"/>
  <c r="AN48" i="8"/>
  <c r="AM48" i="8" a="1"/>
  <c r="AM48" i="8" s="1"/>
  <c r="AC48" i="8"/>
  <c r="AQ47" i="8" a="1"/>
  <c r="AQ47" i="8"/>
  <c r="AP47" i="8" a="1"/>
  <c r="AP47" i="8" s="1"/>
  <c r="AO47" i="8" a="1"/>
  <c r="AO47" i="8"/>
  <c r="AN47" i="8" a="1"/>
  <c r="AN47" i="8" s="1"/>
  <c r="AC47" i="8"/>
  <c r="AM47" i="8" s="1" a="1"/>
  <c r="AM47" i="8" s="1"/>
  <c r="AQ46" i="8" a="1"/>
  <c r="AQ46" i="8" s="1"/>
  <c r="AP46" i="8" a="1"/>
  <c r="AP46" i="8"/>
  <c r="AO46" i="8" a="1"/>
  <c r="AO46" i="8" s="1"/>
  <c r="AN46" i="8" a="1"/>
  <c r="AN46" i="8"/>
  <c r="AM46" i="8" a="1"/>
  <c r="AM46" i="8" s="1"/>
  <c r="AC46" i="8"/>
  <c r="AQ45" i="8" a="1"/>
  <c r="AQ45" i="8"/>
  <c r="AP45" i="8" a="1"/>
  <c r="AP45" i="8" s="1"/>
  <c r="AO45" i="8" a="1"/>
  <c r="AO45" i="8"/>
  <c r="AN45" i="8" a="1"/>
  <c r="AN45" i="8" s="1"/>
  <c r="AC45" i="8"/>
  <c r="AM45" i="8" s="1" a="1"/>
  <c r="AM45" i="8" s="1"/>
  <c r="AQ44" i="8" a="1"/>
  <c r="AQ44" i="8" s="1"/>
  <c r="AP44" i="8" a="1"/>
  <c r="AP44" i="8"/>
  <c r="AO44" i="8" a="1"/>
  <c r="AO44" i="8" s="1"/>
  <c r="AN44" i="8" a="1"/>
  <c r="AN44" i="8"/>
  <c r="AM44" i="8" a="1"/>
  <c r="AM44" i="8" s="1"/>
  <c r="AC44" i="8"/>
  <c r="U42" i="8"/>
  <c r="F42" i="8" a="1"/>
  <c r="F42" i="8"/>
  <c r="F43" i="8" s="1" a="1"/>
  <c r="F43" i="8" s="1"/>
  <c r="F44" i="8" s="1" a="1"/>
  <c r="F44" i="8" s="1"/>
  <c r="AQ40" i="8" a="1"/>
  <c r="AQ40" i="8"/>
  <c r="AP40" i="8" a="1"/>
  <c r="AP40" i="8" s="1"/>
  <c r="AO40" i="8" a="1"/>
  <c r="AO40" i="8"/>
  <c r="AN40" i="8" a="1"/>
  <c r="AN40" i="8" s="1"/>
  <c r="AM40" i="8"/>
  <c r="AC40" i="8"/>
  <c r="AM40" i="8" s="1" a="1"/>
  <c r="AQ39" i="8" a="1"/>
  <c r="AQ39" i="8" s="1"/>
  <c r="AP39" i="8" a="1"/>
  <c r="AP39" i="8"/>
  <c r="AO39" i="8" a="1"/>
  <c r="AO39" i="8" s="1"/>
  <c r="AN39" i="8" a="1"/>
  <c r="AN39" i="8"/>
  <c r="AM39" i="8" a="1"/>
  <c r="AM39" i="8" s="1"/>
  <c r="AC39" i="8"/>
  <c r="AQ38" i="8" a="1"/>
  <c r="AQ38" i="8"/>
  <c r="AP38" i="8" a="1"/>
  <c r="AP38" i="8" s="1"/>
  <c r="AO38" i="8" a="1"/>
  <c r="AO38" i="8"/>
  <c r="AN38" i="8" a="1"/>
  <c r="AN38" i="8" s="1"/>
  <c r="AM38" i="8"/>
  <c r="AC38" i="8"/>
  <c r="AM38" i="8" s="1" a="1"/>
  <c r="AQ37" i="8" a="1"/>
  <c r="AQ37" i="8" s="1"/>
  <c r="AP37" i="8" a="1"/>
  <c r="AP37" i="8"/>
  <c r="AO37" i="8" a="1"/>
  <c r="AO37" i="8" s="1"/>
  <c r="AN37" i="8" a="1"/>
  <c r="AN37" i="8"/>
  <c r="AM37" i="8" a="1"/>
  <c r="AM37" i="8" s="1"/>
  <c r="AC37" i="8"/>
  <c r="AQ36" i="8" a="1"/>
  <c r="AQ36" i="8"/>
  <c r="AP36" i="8" a="1"/>
  <c r="AP36" i="8" s="1"/>
  <c r="AO36" i="8" a="1"/>
  <c r="AO36" i="8"/>
  <c r="AN36" i="8" a="1"/>
  <c r="AN36" i="8" s="1"/>
  <c r="AC36" i="8"/>
  <c r="AM36" i="8" s="1" a="1"/>
  <c r="AM36" i="8" s="1"/>
  <c r="AQ35" i="8" a="1"/>
  <c r="AQ35" i="8" s="1"/>
  <c r="AP35" i="8" a="1"/>
  <c r="AP35" i="8"/>
  <c r="AO35" i="8" a="1"/>
  <c r="AO35" i="8" s="1"/>
  <c r="AN35" i="8" a="1"/>
  <c r="AN35" i="8"/>
  <c r="AM35" i="8" a="1"/>
  <c r="AM35" i="8" s="1"/>
  <c r="AC35" i="8"/>
  <c r="AQ34" i="8" a="1"/>
  <c r="AQ34" i="8"/>
  <c r="AP34" i="8" a="1"/>
  <c r="AP34" i="8" s="1"/>
  <c r="AO34" i="8" a="1"/>
  <c r="AO34" i="8"/>
  <c r="AN34" i="8" a="1"/>
  <c r="AN34" i="8" s="1"/>
  <c r="AC34" i="8"/>
  <c r="AM34" i="8" s="1" a="1"/>
  <c r="AM34" i="8" s="1"/>
  <c r="AQ33" i="8" a="1"/>
  <c r="AQ33" i="8" s="1"/>
  <c r="AP33" i="8" a="1"/>
  <c r="AP33" i="8"/>
  <c r="AO33" i="8" a="1"/>
  <c r="AO33" i="8" s="1"/>
  <c r="AN33" i="8" a="1"/>
  <c r="AN33" i="8"/>
  <c r="AM33" i="8" a="1"/>
  <c r="AM33" i="8" s="1"/>
  <c r="AC33" i="8"/>
  <c r="AQ32" i="8" a="1"/>
  <c r="AQ32" i="8"/>
  <c r="AP32" i="8" a="1"/>
  <c r="AP32" i="8" s="1"/>
  <c r="AO32" i="8" a="1"/>
  <c r="AO32" i="8"/>
  <c r="AN32" i="8" a="1"/>
  <c r="AN32" i="8" s="1"/>
  <c r="AM32" i="8"/>
  <c r="AC32" i="8"/>
  <c r="AM32" i="8" s="1" a="1"/>
  <c r="U30" i="8"/>
  <c r="F30" i="8" a="1"/>
  <c r="F30" i="8" s="1"/>
  <c r="F31" i="8" s="1" a="1"/>
  <c r="F31" i="8" s="1"/>
  <c r="F32" i="8" s="1" a="1"/>
  <c r="F32" i="8" s="1"/>
  <c r="AQ28" i="8" a="1"/>
  <c r="AQ28" i="8" s="1"/>
  <c r="AP28" i="8" a="1"/>
  <c r="AP28" i="8"/>
  <c r="AO28" i="8" a="1"/>
  <c r="AO28" i="8" s="1"/>
  <c r="AN28" i="8" a="1"/>
  <c r="AN28" i="8"/>
  <c r="AM28" i="8" a="1"/>
  <c r="AM28" i="8" s="1"/>
  <c r="AC28" i="8"/>
  <c r="U26" i="8"/>
  <c r="F26" i="8" a="1"/>
  <c r="F26" i="8" s="1"/>
  <c r="F27" i="8" s="1" a="1"/>
  <c r="F27" i="8" s="1"/>
  <c r="F28" i="8" s="1" a="1"/>
  <c r="F28" i="8" s="1"/>
  <c r="AH9" i="8" a="1"/>
  <c r="AH9" i="8"/>
  <c r="V66" i="7"/>
  <c r="J62" i="7" a="1"/>
  <c r="J62" i="7" s="1"/>
  <c r="AP60" i="7" a="1"/>
  <c r="AP60" i="7" s="1"/>
  <c r="AO60" i="7" a="1"/>
  <c r="AO60" i="7"/>
  <c r="J60" i="7"/>
  <c r="J59" i="7"/>
  <c r="J58" i="7"/>
  <c r="B58" i="7"/>
  <c r="B59" i="7" s="1" a="1"/>
  <c r="B59" i="7" s="1"/>
  <c r="J57" i="7"/>
  <c r="J56" i="7"/>
  <c r="B56" i="7"/>
  <c r="J55" i="7"/>
  <c r="AC54" i="7"/>
  <c r="J54" i="7"/>
  <c r="J53" i="7"/>
  <c r="B53" i="7" a="1"/>
  <c r="B53" i="7" s="1"/>
  <c r="V52" i="7"/>
  <c r="V53" i="7" s="1" a="1"/>
  <c r="V53" i="7" s="1"/>
  <c r="V54" i="7" s="1" a="1"/>
  <c r="V54" i="7" s="1"/>
  <c r="V55" i="7" s="1" a="1"/>
  <c r="V55" i="7" s="1"/>
  <c r="V56" i="7" s="1" a="1"/>
  <c r="V56" i="7" s="1"/>
  <c r="V57" i="7" s="1" a="1"/>
  <c r="V57" i="7" s="1"/>
  <c r="V58" i="7" s="1" a="1"/>
  <c r="V58" i="7" s="1"/>
  <c r="V59" i="7" s="1" a="1"/>
  <c r="V59" i="7" s="1"/>
  <c r="V61" i="7" s="1" a="1"/>
  <c r="V61" i="7" s="1"/>
  <c r="V62" i="7" s="1" a="1"/>
  <c r="V62" i="7" s="1"/>
  <c r="J52" i="7"/>
  <c r="B52" i="7"/>
  <c r="AC60" i="7" s="1"/>
  <c r="V51" i="7"/>
  <c r="V52" i="7" s="1" a="1"/>
  <c r="T51" i="7" a="1"/>
  <c r="T51" i="7"/>
  <c r="B57" i="7" s="1"/>
  <c r="AC58" i="7" s="1"/>
  <c r="AC59" i="7" s="1"/>
  <c r="F51" i="7"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J50" i="7" a="1"/>
  <c r="J50" i="7"/>
  <c r="AP48" i="7" a="1"/>
  <c r="AP48" i="7"/>
  <c r="AO48" i="7" a="1"/>
  <c r="AO48" i="7"/>
  <c r="J48" i="7"/>
  <c r="J47" i="7"/>
  <c r="J46" i="7"/>
  <c r="J45" i="7"/>
  <c r="J44" i="7"/>
  <c r="B44" i="7"/>
  <c r="J43" i="7"/>
  <c r="J42" i="7"/>
  <c r="J41" i="7"/>
  <c r="J40" i="7"/>
  <c r="F40" i="7" a="1"/>
  <c r="F40" i="7" s="1"/>
  <c r="F41" i="7" s="1" a="1"/>
  <c r="F41" i="7" s="1"/>
  <c r="F42" i="7" s="1" a="1"/>
  <c r="F42" i="7" s="1"/>
  <c r="F43" i="7" s="1" a="1"/>
  <c r="F43" i="7" s="1"/>
  <c r="F44" i="7" s="1" a="1"/>
  <c r="F44" i="7" s="1"/>
  <c r="F45" i="7" s="1" a="1"/>
  <c r="F45" i="7" s="1"/>
  <c r="F46" i="7" s="1" a="1"/>
  <c r="F46" i="7" s="1"/>
  <c r="F47" i="7" s="1" a="1"/>
  <c r="F47" i="7" s="1"/>
  <c r="F48" i="7" s="1" a="1"/>
  <c r="F48" i="7" s="1"/>
  <c r="V39" i="7"/>
  <c r="V40" i="7" s="1" a="1"/>
  <c r="V40" i="7" s="1"/>
  <c r="V41" i="7" s="1" a="1"/>
  <c r="V41" i="7" s="1"/>
  <c r="V42" i="7" s="1" a="1"/>
  <c r="V42" i="7" s="1"/>
  <c r="V43" i="7" s="1" a="1"/>
  <c r="V43" i="7" s="1"/>
  <c r="V44" i="7" s="1" a="1"/>
  <c r="V44" i="7" s="1"/>
  <c r="V45" i="7" s="1" a="1"/>
  <c r="V45" i="7" s="1"/>
  <c r="V46" i="7" s="1" a="1"/>
  <c r="V46" i="7" s="1"/>
  <c r="V47" i="7" s="1" a="1"/>
  <c r="V47" i="7" s="1"/>
  <c r="V49" i="7" s="1" a="1"/>
  <c r="V49" i="7" s="1"/>
  <c r="V50" i="7" s="1" a="1"/>
  <c r="V50" i="7" s="1"/>
  <c r="T39" i="7" a="1"/>
  <c r="T39" i="7" s="1"/>
  <c r="F39" i="7" a="1"/>
  <c r="F39" i="7"/>
  <c r="J38" i="7" a="1"/>
  <c r="J38" i="7"/>
  <c r="AP36" i="7" a="1"/>
  <c r="AP36" i="7"/>
  <c r="AO36" i="7" a="1"/>
  <c r="AO36" i="7" s="1"/>
  <c r="J36" i="7"/>
  <c r="J35" i="7"/>
  <c r="J34" i="7"/>
  <c r="J33" i="7"/>
  <c r="B33" i="7"/>
  <c r="AC34" i="7" s="1"/>
  <c r="AC35" i="7" s="1"/>
  <c r="J32" i="7"/>
  <c r="J31" i="7"/>
  <c r="J30" i="7"/>
  <c r="B30" i="7"/>
  <c r="J29" i="7"/>
  <c r="J28" i="7"/>
  <c r="F28" i="7" a="1"/>
  <c r="F28" i="7" s="1"/>
  <c r="F29" i="7" s="1" a="1"/>
  <c r="F29" i="7" s="1"/>
  <c r="F30" i="7" s="1" a="1"/>
  <c r="F30" i="7" s="1"/>
  <c r="F31" i="7" s="1" a="1"/>
  <c r="F31" i="7" s="1"/>
  <c r="F32" i="7" s="1" a="1"/>
  <c r="F32" i="7" s="1"/>
  <c r="F33" i="7" s="1" a="1"/>
  <c r="F33" i="7" s="1"/>
  <c r="F34" i="7" s="1" a="1"/>
  <c r="F34" i="7" s="1"/>
  <c r="F35" i="7" s="1" a="1"/>
  <c r="F35" i="7" s="1"/>
  <c r="F36" i="7" s="1" a="1"/>
  <c r="F36" i="7" s="1"/>
  <c r="V27" i="7"/>
  <c r="V28" i="7" s="1" a="1"/>
  <c r="V28" i="7" s="1"/>
  <c r="V29" i="7" s="1" a="1"/>
  <c r="V29" i="7" s="1"/>
  <c r="V30" i="7" s="1" a="1"/>
  <c r="V30" i="7" s="1"/>
  <c r="V31" i="7" s="1" a="1"/>
  <c r="V31" i="7" s="1"/>
  <c r="V32" i="7" s="1" a="1"/>
  <c r="V32" i="7" s="1"/>
  <c r="V33" i="7" s="1" a="1"/>
  <c r="V33" i="7" s="1"/>
  <c r="V34" i="7" s="1" a="1"/>
  <c r="V34" i="7" s="1"/>
  <c r="V35" i="7" s="1" a="1"/>
  <c r="V35" i="7" s="1"/>
  <c r="V37" i="7" s="1" a="1"/>
  <c r="V37" i="7" s="1"/>
  <c r="V38" i="7" s="1" a="1"/>
  <c r="V38" i="7" s="1"/>
  <c r="T27" i="7" a="1"/>
  <c r="T27" i="7"/>
  <c r="B34" i="7" s="1"/>
  <c r="B35" i="7" s="1" a="1"/>
  <c r="B35" i="7" s="1"/>
  <c r="F27" i="7" a="1"/>
  <c r="F27" i="7"/>
  <c r="AI24" i="7"/>
  <c r="AH24" i="7"/>
  <c r="AG24" i="7"/>
  <c r="AF24" i="7"/>
  <c r="AJ11" i="7" a="1"/>
  <c r="AJ11" i="7" s="1"/>
  <c r="AI10" i="7" a="1"/>
  <c r="AI10" i="7"/>
  <c r="AH10" i="7" a="1"/>
  <c r="AH10" i="7" s="1"/>
  <c r="AG10" i="7" a="1"/>
  <c r="AG10" i="7"/>
  <c r="AF10" i="7" a="1"/>
  <c r="AF10" i="7" s="1"/>
  <c r="AF9" i="7" a="1"/>
  <c r="AF9" i="7" s="1"/>
  <c r="AF7" i="7" a="1"/>
  <c r="AF7" i="7"/>
  <c r="AJ6" i="7" a="1"/>
  <c r="AJ6" i="7" s="1"/>
  <c r="AI6" i="7" a="1"/>
  <c r="AI6" i="7"/>
  <c r="AI9" i="7" s="1" a="1"/>
  <c r="AI9" i="7" s="1"/>
  <c r="AH6" i="7" a="1"/>
  <c r="AH6" i="7" s="1"/>
  <c r="AH9" i="7" s="1" a="1"/>
  <c r="AH9" i="7" s="1"/>
  <c r="AG6" i="7"/>
  <c r="AG9" i="7" s="1" a="1"/>
  <c r="AG9" i="7" s="1"/>
  <c r="AF6" i="7"/>
  <c r="AG2" i="7"/>
  <c r="AF2" i="7"/>
  <c r="AM35" i="6" a="1"/>
  <c r="AM35" i="6"/>
  <c r="AL35" i="6" a="1"/>
  <c r="AL35" i="6"/>
  <c r="AK35" i="6" a="1"/>
  <c r="AK35" i="6"/>
  <c r="G35" i="6" a="1"/>
  <c r="G35" i="6" s="1"/>
  <c r="AM34" i="6" a="1"/>
  <c r="AM34" i="6" s="1"/>
  <c r="AL34" i="6" a="1"/>
  <c r="AL34" i="6"/>
  <c r="AK34" i="6" a="1"/>
  <c r="AK34" i="6" s="1"/>
  <c r="G34" i="6" a="1"/>
  <c r="G34" i="6"/>
  <c r="AB33" i="6" a="1"/>
  <c r="AB33" i="6"/>
  <c r="X51" i="7" s="1" a="1"/>
  <c r="X51" i="7" s="1"/>
  <c r="U33" i="6"/>
  <c r="U36" i="6" s="1" a="1"/>
  <c r="U36" i="6" s="1"/>
  <c r="F33" i="6" a="1"/>
  <c r="F33" i="6" s="1"/>
  <c r="F34" i="6" s="1" a="1"/>
  <c r="F34" i="6" s="1"/>
  <c r="U32" i="6"/>
  <c r="AM31" i="6" a="1"/>
  <c r="AM31" i="6"/>
  <c r="AL31" i="6" a="1"/>
  <c r="AL31" i="6" s="1"/>
  <c r="AK31" i="6" a="1"/>
  <c r="AK31" i="6"/>
  <c r="G31" i="6" a="1"/>
  <c r="G31" i="6"/>
  <c r="AM30" i="6" a="1"/>
  <c r="AM30" i="6"/>
  <c r="AL30" i="6" a="1"/>
  <c r="AL30" i="6" s="1"/>
  <c r="AK30" i="6" a="1"/>
  <c r="AK30" i="6"/>
  <c r="G30" i="6" a="1"/>
  <c r="G30" i="6" s="1"/>
  <c r="AB29" i="6" a="1"/>
  <c r="AB29" i="6" s="1"/>
  <c r="X39" i="7" s="1" a="1"/>
  <c r="X39" i="7" s="1"/>
  <c r="U29" i="6"/>
  <c r="U32" i="6" s="1" a="1"/>
  <c r="F29" i="6" a="1"/>
  <c r="F29" i="6"/>
  <c r="F30" i="6" s="1" a="1"/>
  <c r="F30" i="6" s="1"/>
  <c r="AM27" i="6" a="1"/>
  <c r="AM27" i="6"/>
  <c r="AL27" i="6" a="1"/>
  <c r="AL27" i="6"/>
  <c r="AK27" i="6" a="1"/>
  <c r="AK27" i="6"/>
  <c r="G27" i="6" a="1"/>
  <c r="G27" i="6"/>
  <c r="F27" i="6" a="1"/>
  <c r="F27" i="6" s="1"/>
  <c r="U26" i="6"/>
  <c r="U28" i="6" s="1" a="1"/>
  <c r="U28" i="6" s="1"/>
  <c r="F26" i="6" a="1"/>
  <c r="F26" i="6"/>
  <c r="AC21" i="6" a="1"/>
  <c r="AC21" i="6" s="1"/>
  <c r="AG9" i="6" a="1"/>
  <c r="AG9" i="6"/>
  <c r="AF9" i="6" a="1"/>
  <c r="AF9" i="6" s="1"/>
  <c r="B242" i="5"/>
  <c r="AE239" i="5" a="1"/>
  <c r="AE239" i="5"/>
  <c r="B239" i="5"/>
  <c r="AE238" i="5" a="1"/>
  <c r="AE238" i="5"/>
  <c r="B238" i="5"/>
  <c r="AE237" i="5" a="1"/>
  <c r="AE237" i="5" s="1"/>
  <c r="AE236" i="5" a="1"/>
  <c r="AE236" i="5"/>
  <c r="W234" i="5"/>
  <c r="AE227" i="5" a="1"/>
  <c r="AE227" i="5"/>
  <c r="B227" i="5"/>
  <c r="AE226" i="5" a="1"/>
  <c r="AE226" i="5"/>
  <c r="AD226" i="5"/>
  <c r="B226" i="5"/>
  <c r="B225" i="5"/>
  <c r="B224" i="5"/>
  <c r="B223" i="5"/>
  <c r="B222" i="5"/>
  <c r="B221" i="5"/>
  <c r="AD219" i="5"/>
  <c r="F215" i="5"/>
  <c r="F216" i="5" s="1" a="1"/>
  <c r="F216" i="5" s="1"/>
  <c r="F217" i="5" s="1" a="1"/>
  <c r="F217" i="5" s="1"/>
  <c r="F218" i="5" s="1" a="1"/>
  <c r="F218" i="5" s="1"/>
  <c r="F219" i="5" s="1" a="1"/>
  <c r="F219" i="5" s="1"/>
  <c r="F220" i="5" s="1" a="1"/>
  <c r="F220" i="5" s="1"/>
  <c r="F221" i="5" s="1" a="1"/>
  <c r="F221" i="5" s="1"/>
  <c r="F222" i="5" s="1" a="1"/>
  <c r="F222" i="5" s="1"/>
  <c r="F223" i="5" s="1" a="1"/>
  <c r="F223" i="5" s="1"/>
  <c r="F224" i="5" s="1" a="1"/>
  <c r="F224" i="5" s="1"/>
  <c r="F225" i="5" s="1" a="1"/>
  <c r="F225" i="5" s="1"/>
  <c r="F226" i="5" s="1" a="1"/>
  <c r="F226" i="5" s="1"/>
  <c r="F227" i="5" s="1" a="1"/>
  <c r="F227" i="5" s="1"/>
  <c r="AN214" i="5"/>
  <c r="R247" i="11" s="1" a="1"/>
  <c r="R247" i="11" s="1"/>
  <c r="AM214" i="5" a="1"/>
  <c r="AM214" i="5"/>
  <c r="AL214" i="5" a="1"/>
  <c r="AL214" i="5"/>
  <c r="AK214" i="5" a="1"/>
  <c r="AK214" i="5"/>
  <c r="AJ214" i="5" a="1"/>
  <c r="AJ214" i="5"/>
  <c r="AD144" i="27" s="1" a="1"/>
  <c r="AD144" i="27" s="1"/>
  <c r="AI214" i="5" a="1"/>
  <c r="AI214" i="5"/>
  <c r="AD143" i="27" s="1" a="1"/>
  <c r="AD143" i="27" s="1"/>
  <c r="AH214" i="5" a="1"/>
  <c r="AH214" i="5"/>
  <c r="AD214" i="5"/>
  <c r="AG214" i="5" s="1"/>
  <c r="W33" i="6" s="1" a="1"/>
  <c r="W33" i="6" s="1"/>
  <c r="W214" i="5"/>
  <c r="W215" i="5" s="1" a="1"/>
  <c r="W215" i="5" s="1"/>
  <c r="W216" i="5" s="1" a="1"/>
  <c r="W216" i="5" s="1"/>
  <c r="W217" i="5" s="1" a="1"/>
  <c r="W217" i="5" s="1"/>
  <c r="W218" i="5" s="1" a="1"/>
  <c r="W218" i="5" s="1"/>
  <c r="W219" i="5" s="1" a="1"/>
  <c r="W219" i="5" s="1"/>
  <c r="W220" i="5" s="1" a="1"/>
  <c r="W220" i="5" s="1"/>
  <c r="W221" i="5" s="1" a="1"/>
  <c r="W221" i="5" s="1"/>
  <c r="W222" i="5" s="1" a="1"/>
  <c r="W222" i="5" s="1"/>
  <c r="W223" i="5" s="1" a="1"/>
  <c r="W223" i="5" s="1"/>
  <c r="W224" i="5" s="1" a="1"/>
  <c r="W224" i="5" s="1"/>
  <c r="W225" i="5" s="1" a="1"/>
  <c r="W225" i="5" s="1"/>
  <c r="W226" i="5" s="1"/>
  <c r="W227" i="5" s="1"/>
  <c r="V214" i="5" a="1"/>
  <c r="V214" i="5" s="1"/>
  <c r="F214" i="5" a="1"/>
  <c r="F214" i="5"/>
  <c r="F215" i="5" s="1" a="1"/>
  <c r="B213" i="5"/>
  <c r="AD212" i="5"/>
  <c r="B212" i="5"/>
  <c r="B211" i="5"/>
  <c r="B210" i="5"/>
  <c r="B209" i="5"/>
  <c r="B208" i="5"/>
  <c r="B207" i="5"/>
  <c r="AD205" i="5"/>
  <c r="W201" i="5" a="1"/>
  <c r="W201" i="5" s="1"/>
  <c r="W202" i="5" s="1" a="1"/>
  <c r="W202" i="5" s="1"/>
  <c r="W203" i="5" s="1" a="1"/>
  <c r="W203" i="5" s="1"/>
  <c r="W204" i="5" s="1" a="1"/>
  <c r="W204" i="5" s="1"/>
  <c r="W205" i="5" s="1" a="1"/>
  <c r="W205" i="5" s="1"/>
  <c r="W206" i="5" s="1" a="1"/>
  <c r="W206" i="5" s="1"/>
  <c r="W207" i="5" s="1" a="1"/>
  <c r="W207" i="5" s="1"/>
  <c r="W208" i="5" s="1" a="1"/>
  <c r="W208" i="5" s="1"/>
  <c r="W209" i="5" s="1" a="1"/>
  <c r="W209" i="5" s="1"/>
  <c r="W210" i="5" s="1" a="1"/>
  <c r="W210" i="5" s="1"/>
  <c r="W211" i="5" s="1" a="1"/>
  <c r="W211" i="5" s="1"/>
  <c r="W212" i="5" s="1"/>
  <c r="W213" i="5" s="1"/>
  <c r="AN200" i="5"/>
  <c r="AM200" i="5" a="1"/>
  <c r="AM200" i="5" s="1"/>
  <c r="AL200" i="5" a="1"/>
  <c r="AL200" i="5"/>
  <c r="AK200" i="5" a="1"/>
  <c r="AK200" i="5" s="1"/>
  <c r="AJ200" i="5" a="1"/>
  <c r="AJ200" i="5"/>
  <c r="AD88" i="27" s="1" a="1"/>
  <c r="AD88" i="27" s="1"/>
  <c r="AI200" i="5" a="1"/>
  <c r="AI200" i="5" s="1"/>
  <c r="AD87" i="27" s="1" a="1"/>
  <c r="AD87" i="27" s="1"/>
  <c r="AH200" i="5" a="1"/>
  <c r="AH200" i="5"/>
  <c r="AE172" i="11" s="1" a="1"/>
  <c r="AE172" i="11" s="1"/>
  <c r="AG200" i="5"/>
  <c r="W29" i="6" s="1" a="1"/>
  <c r="W29" i="6" s="1"/>
  <c r="AD200" i="5"/>
  <c r="W200" i="5"/>
  <c r="V200" i="5" a="1"/>
  <c r="V200" i="5" s="1"/>
  <c r="F200" i="5" a="1"/>
  <c r="F200" i="5"/>
  <c r="F201" i="5" s="1" a="1"/>
  <c r="F201" i="5" s="1"/>
  <c r="F202" i="5" s="1" a="1"/>
  <c r="F202" i="5" s="1"/>
  <c r="F203" i="5" s="1" a="1"/>
  <c r="F203" i="5" s="1"/>
  <c r="F204" i="5" s="1" a="1"/>
  <c r="F204" i="5" s="1"/>
  <c r="F205" i="5" s="1" a="1"/>
  <c r="F205" i="5" s="1"/>
  <c r="F206" i="5" s="1" a="1"/>
  <c r="F206" i="5" s="1"/>
  <c r="F207" i="5" s="1" a="1"/>
  <c r="F207" i="5" s="1"/>
  <c r="F208" i="5" s="1" a="1"/>
  <c r="F208" i="5" s="1"/>
  <c r="F209" i="5" s="1" a="1"/>
  <c r="F209" i="5" s="1"/>
  <c r="F210" i="5" s="1" a="1"/>
  <c r="F210" i="5" s="1"/>
  <c r="F211" i="5" s="1" a="1"/>
  <c r="F211" i="5" s="1"/>
  <c r="F212" i="5" s="1" a="1"/>
  <c r="F212" i="5" s="1"/>
  <c r="F213" i="5" s="1" a="1"/>
  <c r="F213" i="5" s="1"/>
  <c r="B199" i="5"/>
  <c r="AD198" i="5"/>
  <c r="B198" i="5"/>
  <c r="B197" i="5"/>
  <c r="AE196" i="5"/>
  <c r="B196" i="5"/>
  <c r="B195" i="5"/>
  <c r="B194" i="5"/>
  <c r="B193" i="5"/>
  <c r="AD191" i="5"/>
  <c r="W187" i="5" a="1"/>
  <c r="W187" i="5" s="1"/>
  <c r="W188" i="5" s="1" a="1"/>
  <c r="W188" i="5" s="1"/>
  <c r="W189" i="5" s="1" a="1"/>
  <c r="W189" i="5" s="1"/>
  <c r="W190" i="5" s="1" a="1"/>
  <c r="W190" i="5" s="1"/>
  <c r="W191" i="5" s="1" a="1"/>
  <c r="W191" i="5" s="1"/>
  <c r="W192" i="5" s="1" a="1"/>
  <c r="W192" i="5" s="1"/>
  <c r="W193" i="5" s="1" a="1"/>
  <c r="W193" i="5" s="1"/>
  <c r="W194" i="5" s="1" a="1"/>
  <c r="W194" i="5" s="1"/>
  <c r="W195" i="5" s="1" a="1"/>
  <c r="W195" i="5" s="1"/>
  <c r="W196" i="5" s="1" a="1"/>
  <c r="W196" i="5" s="1"/>
  <c r="W197" i="5" s="1" a="1"/>
  <c r="W197" i="5" s="1"/>
  <c r="W198" i="5" s="1"/>
  <c r="W199" i="5" s="1"/>
  <c r="AN186" i="5"/>
  <c r="AM186" i="5" a="1"/>
  <c r="AM186" i="5" s="1"/>
  <c r="AL186" i="5" a="1"/>
  <c r="AL186" i="5"/>
  <c r="AK186" i="5" a="1"/>
  <c r="AK186" i="5" s="1"/>
  <c r="AJ186" i="5" a="1"/>
  <c r="AJ186" i="5"/>
  <c r="AD32" i="27" s="1" a="1"/>
  <c r="AD32" i="27" s="1"/>
  <c r="AI186" i="5" a="1"/>
  <c r="AI186" i="5" s="1"/>
  <c r="AD31" i="27" s="1" a="1"/>
  <c r="AD31" i="27" s="1"/>
  <c r="AH186" i="5" a="1"/>
  <c r="AH186" i="5"/>
  <c r="AE107" i="11" s="1" a="1"/>
  <c r="AE107" i="11" s="1"/>
  <c r="AG186" i="5"/>
  <c r="AB28" i="9" s="1" a="1"/>
  <c r="AB28" i="9" s="1"/>
  <c r="AD186" i="5"/>
  <c r="W186" i="5"/>
  <c r="V186" i="5" a="1"/>
  <c r="V186" i="5" s="1"/>
  <c r="F186" i="5" a="1"/>
  <c r="F186" i="5"/>
  <c r="F187" i="5" s="1" a="1"/>
  <c r="F187" i="5" s="1"/>
  <c r="F188" i="5" s="1" a="1"/>
  <c r="F188" i="5" s="1"/>
  <c r="F189" i="5" s="1" a="1"/>
  <c r="F189" i="5" s="1"/>
  <c r="F190" i="5" s="1" a="1"/>
  <c r="F190" i="5" s="1"/>
  <c r="F191" i="5" s="1" a="1"/>
  <c r="F191" i="5" s="1"/>
  <c r="F192" i="5" s="1" a="1"/>
  <c r="F192" i="5" s="1"/>
  <c r="F193" i="5" s="1" a="1"/>
  <c r="F193" i="5" s="1"/>
  <c r="F194" i="5" s="1" a="1"/>
  <c r="F194" i="5" s="1"/>
  <c r="F195" i="5" s="1" a="1"/>
  <c r="F195" i="5" s="1"/>
  <c r="F196" i="5" s="1" a="1"/>
  <c r="F196" i="5" s="1"/>
  <c r="F197" i="5" s="1" a="1"/>
  <c r="F197" i="5" s="1"/>
  <c r="F198" i="5" s="1" a="1"/>
  <c r="F198" i="5" s="1"/>
  <c r="F199" i="5" s="1" a="1"/>
  <c r="F199" i="5" s="1"/>
  <c r="B184" i="5"/>
  <c r="B183" i="5"/>
  <c r="B182" i="5"/>
  <c r="AF179" i="5"/>
  <c r="AE179" i="5"/>
  <c r="B44" i="4" s="1"/>
  <c r="W177" i="5"/>
  <c r="AB178" i="5" s="1"/>
  <c r="B155" i="5"/>
  <c r="B154" i="5"/>
  <c r="B153" i="5"/>
  <c r="B152" i="5"/>
  <c r="B151" i="5"/>
  <c r="B150" i="5"/>
  <c r="W149" i="5"/>
  <c r="W150" i="5" s="1" a="1"/>
  <c r="W150" i="5" s="1"/>
  <c r="W151" i="5" s="1" a="1"/>
  <c r="W151" i="5" s="1"/>
  <c r="W152" i="5" s="1" a="1"/>
  <c r="W152" i="5" s="1"/>
  <c r="W153" i="5" s="1" a="1"/>
  <c r="W153" i="5" s="1"/>
  <c r="W154" i="5" s="1" a="1"/>
  <c r="W154" i="5" s="1"/>
  <c r="B149" i="5"/>
  <c r="B148" i="5"/>
  <c r="B147" i="5"/>
  <c r="B146" i="5"/>
  <c r="B145" i="5"/>
  <c r="W144" i="5" a="1"/>
  <c r="W144" i="5"/>
  <c r="W145" i="5" s="1" a="1"/>
  <c r="W145" i="5" s="1"/>
  <c r="W146" i="5" s="1" a="1"/>
  <c r="W146" i="5" s="1"/>
  <c r="W147" i="5" s="1" a="1"/>
  <c r="W147" i="5" s="1"/>
  <c r="W148" i="5" s="1" a="1"/>
  <c r="W148" i="5" s="1"/>
  <c r="B144" i="5"/>
  <c r="W143" i="5"/>
  <c r="B143" i="5"/>
  <c r="B142" i="5"/>
  <c r="B141" i="5"/>
  <c r="B140" i="5"/>
  <c r="B139" i="5"/>
  <c r="B138" i="5"/>
  <c r="B137" i="5"/>
  <c r="AB136" i="5"/>
  <c r="B136" i="5"/>
  <c r="B135" i="5"/>
  <c r="B134" i="5"/>
  <c r="B133" i="5"/>
  <c r="B132" i="5"/>
  <c r="B131" i="5"/>
  <c r="W130" i="5" a="1"/>
  <c r="W130" i="5" s="1"/>
  <c r="W131" i="5" s="1" a="1"/>
  <c r="W131" i="5" s="1"/>
  <c r="W132" i="5" s="1" a="1"/>
  <c r="W132" i="5" s="1"/>
  <c r="W133" i="5" s="1" a="1"/>
  <c r="W133" i="5" s="1"/>
  <c r="W134" i="5" s="1" a="1"/>
  <c r="W134" i="5" s="1"/>
  <c r="B130" i="5"/>
  <c r="W129" i="5"/>
  <c r="B129" i="5"/>
  <c r="B128" i="5"/>
  <c r="B127" i="5"/>
  <c r="B126" i="5"/>
  <c r="B125" i="5"/>
  <c r="B124" i="5"/>
  <c r="B123" i="5"/>
  <c r="AB122" i="5"/>
  <c r="B122" i="5"/>
  <c r="B121" i="5"/>
  <c r="B120" i="5"/>
  <c r="B119" i="5"/>
  <c r="B118" i="5"/>
  <c r="B117" i="5"/>
  <c r="W116" i="5" a="1"/>
  <c r="W116" i="5"/>
  <c r="W117" i="5" s="1" a="1"/>
  <c r="W117" i="5" s="1"/>
  <c r="W118" i="5" s="1" a="1"/>
  <c r="W118" i="5" s="1"/>
  <c r="W119" i="5" s="1" a="1"/>
  <c r="W119" i="5" s="1"/>
  <c r="W120" i="5" s="1" a="1"/>
  <c r="W120" i="5" s="1"/>
  <c r="B116" i="5"/>
  <c r="W115" i="5"/>
  <c r="B115" i="5"/>
  <c r="B114" i="5"/>
  <c r="B113" i="5"/>
  <c r="B112" i="5"/>
  <c r="B111" i="5"/>
  <c r="B110" i="5"/>
  <c r="B109" i="5"/>
  <c r="AB108" i="5"/>
  <c r="B108" i="5"/>
  <c r="B107" i="5"/>
  <c r="B106" i="5"/>
  <c r="B105" i="5"/>
  <c r="W104" i="5"/>
  <c r="W105" i="5" s="1" a="1"/>
  <c r="W105" i="5" s="1"/>
  <c r="W106" i="5" s="1" a="1"/>
  <c r="W106" i="5" s="1"/>
  <c r="B104" i="5"/>
  <c r="B103" i="5"/>
  <c r="W102" i="5"/>
  <c r="W103" i="5" s="1" a="1"/>
  <c r="W103" i="5" s="1"/>
  <c r="W104" i="5" s="1" a="1"/>
  <c r="B102" i="5"/>
  <c r="B101" i="5"/>
  <c r="B100" i="5"/>
  <c r="B99" i="5"/>
  <c r="B98" i="5"/>
  <c r="B97" i="5"/>
  <c r="B96" i="5"/>
  <c r="B95" i="5"/>
  <c r="B94" i="5"/>
  <c r="B93" i="5"/>
  <c r="B92" i="5"/>
  <c r="W91" i="5" a="1"/>
  <c r="W91" i="5"/>
  <c r="W92" i="5" s="1" a="1"/>
  <c r="W92" i="5" s="1"/>
  <c r="W93" i="5" s="1" a="1"/>
  <c r="W93" i="5" s="1"/>
  <c r="W94" i="5" s="1" a="1"/>
  <c r="W94" i="5" s="1"/>
  <c r="B91" i="5"/>
  <c r="W90" i="5"/>
  <c r="B90" i="5"/>
  <c r="B89" i="5"/>
  <c r="B88" i="5"/>
  <c r="B87" i="5"/>
  <c r="B86" i="5"/>
  <c r="B85" i="5"/>
  <c r="B83" i="5"/>
  <c r="B82" i="5"/>
  <c r="B81" i="5"/>
  <c r="W80" i="5" a="1"/>
  <c r="W80" i="5" s="1"/>
  <c r="W81" i="5" s="1" a="1"/>
  <c r="W81" i="5" s="1"/>
  <c r="W82" i="5" s="1" a="1"/>
  <c r="W82" i="5" s="1"/>
  <c r="B80" i="5"/>
  <c r="W79" i="5" a="1"/>
  <c r="W79" i="5"/>
  <c r="B79" i="5"/>
  <c r="W78" i="5"/>
  <c r="B78" i="5"/>
  <c r="B77" i="5"/>
  <c r="B76" i="5"/>
  <c r="B75" i="5"/>
  <c r="B74" i="5"/>
  <c r="B73" i="5"/>
  <c r="B69" i="5"/>
  <c r="B68" i="5"/>
  <c r="B67" i="5"/>
  <c r="B66" i="5"/>
  <c r="B65" i="5"/>
  <c r="B64" i="5"/>
  <c r="B63" i="5"/>
  <c r="W62" i="5"/>
  <c r="B62" i="5"/>
  <c r="B61" i="5"/>
  <c r="B60" i="5"/>
  <c r="AB35" i="5"/>
  <c r="AE27" i="5"/>
  <c r="B27" i="5"/>
  <c r="B26" i="5"/>
  <c r="AG25" i="5" a="1"/>
  <c r="AG25" i="5"/>
  <c r="FU2" i="27" s="1"/>
  <c r="AF25" i="5"/>
  <c r="AL33" i="5" s="1"/>
  <c r="B25" i="5"/>
  <c r="AI24" i="5"/>
  <c r="AI23" i="5"/>
  <c r="AH23" i="5"/>
  <c r="AF22" i="5" a="1"/>
  <c r="AF22" i="5" s="1"/>
  <c r="B53" i="4"/>
  <c r="B52" i="4"/>
  <c r="B51" i="4"/>
  <c r="B50" i="4"/>
  <c r="B49" i="4"/>
  <c r="B48" i="4"/>
  <c r="B47" i="4"/>
  <c r="B46" i="4"/>
  <c r="B45" i="4"/>
  <c r="B43" i="4"/>
  <c r="B42" i="4"/>
  <c r="B41" i="4"/>
  <c r="B40" i="4"/>
  <c r="B39" i="4"/>
  <c r="B38" i="4"/>
  <c r="B37" i="4"/>
  <c r="B36" i="4"/>
  <c r="B35" i="4"/>
  <c r="B34" i="4"/>
  <c r="B33" i="4"/>
  <c r="B32" i="4"/>
  <c r="B31" i="4"/>
  <c r="B29" i="4"/>
  <c r="B28" i="4"/>
  <c r="K53" i="19" l="1"/>
  <c r="K96" i="19"/>
  <c r="M11" i="42"/>
  <c r="F31" i="6" a="1"/>
  <c r="F31" i="6" s="1"/>
  <c r="U30" i="6"/>
  <c r="U34" i="9" a="1"/>
  <c r="U34" i="9" s="1"/>
  <c r="U35" i="9" a="1"/>
  <c r="U35" i="9" s="1"/>
  <c r="U36" i="9" s="1" a="1"/>
  <c r="U36" i="9" s="1"/>
  <c r="U37" i="9" s="1" a="1"/>
  <c r="U37" i="9" s="1"/>
  <c r="U38" i="9" s="1" a="1"/>
  <c r="U38" i="9" s="1"/>
  <c r="U39" i="9" s="1" a="1"/>
  <c r="U39" i="9" s="1"/>
  <c r="U62" i="9" a="1"/>
  <c r="U62" i="9" s="1"/>
  <c r="U63" i="9" s="1" a="1"/>
  <c r="U63" i="9" s="1"/>
  <c r="U64" i="9" s="1" a="1"/>
  <c r="U64" i="9" s="1"/>
  <c r="U65" i="9" s="1" a="1"/>
  <c r="U65" i="9" s="1"/>
  <c r="U66" i="9" s="1" a="1"/>
  <c r="U66" i="9" s="1"/>
  <c r="U61" i="9" a="1"/>
  <c r="U61" i="9" s="1"/>
  <c r="U94" i="9"/>
  <c r="F95" i="9" a="1"/>
  <c r="F95" i="9" s="1"/>
  <c r="AP43" i="11"/>
  <c r="AP29" i="11"/>
  <c r="AS29" i="11"/>
  <c r="AS43" i="11"/>
  <c r="AE135" i="11"/>
  <c r="AE129" i="11" s="1"/>
  <c r="AE120" i="11" s="1"/>
  <c r="AI135" i="11"/>
  <c r="AI129" i="11" s="1"/>
  <c r="AI120" i="11" s="1"/>
  <c r="AQ135" i="11"/>
  <c r="AQ129" i="11" s="1"/>
  <c r="AU135" i="11"/>
  <c r="AU129" i="11" s="1"/>
  <c r="AU120" i="11" s="1"/>
  <c r="AY135" i="11"/>
  <c r="AY129" i="11" s="1"/>
  <c r="AY120" i="11" s="1"/>
  <c r="F29" i="13" a="1"/>
  <c r="F29" i="13" s="1"/>
  <c r="K28" i="13"/>
  <c r="AK51" i="14"/>
  <c r="V60" i="7"/>
  <c r="F61" i="7" a="1"/>
  <c r="F61" i="7" s="1"/>
  <c r="F62" i="7" s="1" a="1"/>
  <c r="F62" i="7" s="1"/>
  <c r="U32" i="8"/>
  <c r="F33" i="8" a="1"/>
  <c r="F33" i="8" s="1"/>
  <c r="F45" i="8" a="1"/>
  <c r="F45" i="8" s="1"/>
  <c r="U44" i="8"/>
  <c r="F68" i="9" a="1"/>
  <c r="F68" i="9" s="1"/>
  <c r="U67" i="9"/>
  <c r="U88" i="9" a="1"/>
  <c r="U88" i="9" s="1"/>
  <c r="U89" i="9" a="1"/>
  <c r="U89" i="9" s="1"/>
  <c r="U90" i="9" s="1" a="1"/>
  <c r="U90" i="9" s="1"/>
  <c r="U91" i="9" s="1" a="1"/>
  <c r="U91" i="9" s="1"/>
  <c r="U92" i="9" s="1" a="1"/>
  <c r="U92" i="9" s="1"/>
  <c r="U93" i="9" s="1" a="1"/>
  <c r="U93" i="9" s="1"/>
  <c r="AK29" i="11"/>
  <c r="AK43" i="11"/>
  <c r="F37" i="7" a="1"/>
  <c r="F37" i="7" s="1"/>
  <c r="F38" i="7" s="1" a="1"/>
  <c r="F38" i="7" s="1"/>
  <c r="V36" i="7"/>
  <c r="F49" i="7" a="1"/>
  <c r="F49" i="7" s="1"/>
  <c r="F50" i="7" s="1" a="1"/>
  <c r="F50" i="7" s="1"/>
  <c r="V48" i="7"/>
  <c r="AL29" i="11"/>
  <c r="AL43" i="11"/>
  <c r="BA29" i="11"/>
  <c r="BA43" i="11"/>
  <c r="AG211" i="11"/>
  <c r="AG225" i="11"/>
  <c r="F31" i="12" a="1"/>
  <c r="F31" i="12" s="1"/>
  <c r="T30" i="12"/>
  <c r="F33" i="13" a="1"/>
  <c r="F33" i="13" s="1"/>
  <c r="K32" i="13"/>
  <c r="F29" i="8" a="1"/>
  <c r="F29" i="8" s="1"/>
  <c r="U29" i="8" s="1"/>
  <c r="U28" i="8"/>
  <c r="BB29" i="11"/>
  <c r="BB43" i="11"/>
  <c r="AO43" i="11"/>
  <c r="AO29" i="11"/>
  <c r="AG29" i="11"/>
  <c r="AG43" i="11"/>
  <c r="AW29" i="11"/>
  <c r="AW43" i="11"/>
  <c r="K48" i="14"/>
  <c r="F49" i="14" a="1"/>
  <c r="F49" i="14" s="1"/>
  <c r="F50" i="14" s="1" a="1"/>
  <c r="F50" i="14" s="1"/>
  <c r="F51" i="14" s="1" a="1"/>
  <c r="F51" i="14" s="1"/>
  <c r="F52" i="14" s="1" a="1"/>
  <c r="F52" i="14" s="1"/>
  <c r="F53" i="14" s="1" a="1"/>
  <c r="F53" i="14" s="1"/>
  <c r="F54" i="14" s="1" a="1"/>
  <c r="F54" i="14" s="1"/>
  <c r="AD142" i="27" a="1"/>
  <c r="AD142" i="27" s="1"/>
  <c r="AE263" i="11" a="1"/>
  <c r="AE263" i="11" s="1"/>
  <c r="AE210" i="11" a="1"/>
  <c r="AE210" i="11" s="1"/>
  <c r="AE289" i="11" a="1"/>
  <c r="AE289" i="11" s="1"/>
  <c r="AK8" i="9"/>
  <c r="AK9" i="9" a="1"/>
  <c r="AK9" i="9" s="1"/>
  <c r="AQ2" i="11"/>
  <c r="AQ9" i="11" a="1"/>
  <c r="AQ9" i="11" s="1"/>
  <c r="AE65" i="11" a="1"/>
  <c r="AE65" i="11" s="1"/>
  <c r="BA2" i="14"/>
  <c r="BA9" i="14" a="1"/>
  <c r="BA9" i="14" s="1"/>
  <c r="AS85" i="14"/>
  <c r="AS84" i="14"/>
  <c r="AS9" i="15" a="1"/>
  <c r="AS9" i="15" s="1"/>
  <c r="AS2" i="15"/>
  <c r="AK59" i="15"/>
  <c r="AK52" i="15"/>
  <c r="AO59" i="15"/>
  <c r="AO52" i="15"/>
  <c r="AW59" i="15"/>
  <c r="AW52" i="15"/>
  <c r="AK108" i="15"/>
  <c r="AK101" i="15"/>
  <c r="AS108" i="15"/>
  <c r="AS101" i="15"/>
  <c r="BA108" i="15"/>
  <c r="BA101" i="15"/>
  <c r="AH157" i="15"/>
  <c r="AH150" i="15"/>
  <c r="AT157" i="15"/>
  <c r="AT150" i="15"/>
  <c r="F45" i="17" a="1"/>
  <c r="F45" i="17" s="1"/>
  <c r="F46" i="17" s="1" a="1"/>
  <c r="F46" i="17" s="1"/>
  <c r="F98" i="19" a="1"/>
  <c r="F98" i="19" s="1"/>
  <c r="F99" i="19" s="1" a="1"/>
  <c r="F99" i="19" s="1"/>
  <c r="F100" i="19" s="1" a="1"/>
  <c r="F100" i="19" s="1"/>
  <c r="T97" i="19"/>
  <c r="T98" i="19" s="1" a="1"/>
  <c r="T98" i="19" s="1"/>
  <c r="T99" i="19" s="1" a="1"/>
  <c r="T99" i="19" s="1"/>
  <c r="F48" i="20" a="1"/>
  <c r="F48" i="20" s="1"/>
  <c r="F139" i="26" a="1"/>
  <c r="F139" i="26" s="1"/>
  <c r="AC21" i="34" a="1"/>
  <c r="AC21" i="34" s="1"/>
  <c r="AC21" i="33" a="1"/>
  <c r="AC21" i="33" s="1"/>
  <c r="AB21" i="32" a="1"/>
  <c r="AB21" i="32" s="1"/>
  <c r="AB21" i="31" a="1"/>
  <c r="AB21" i="31" s="1"/>
  <c r="AC21" i="30" a="1"/>
  <c r="AC21" i="30" s="1"/>
  <c r="AC21" i="29" a="1"/>
  <c r="AC21" i="29" s="1"/>
  <c r="AC21" i="28" a="1"/>
  <c r="AC21" i="28" s="1"/>
  <c r="AB21" i="27" a="1"/>
  <c r="AB21" i="27" s="1"/>
  <c r="AC21" i="23" a="1"/>
  <c r="AC21" i="23" s="1"/>
  <c r="AC21" i="21" a="1"/>
  <c r="AC21" i="21" s="1"/>
  <c r="AC21" i="19" a="1"/>
  <c r="AC21" i="19" s="1"/>
  <c r="AC21" i="22" a="1"/>
  <c r="AC21" i="22" s="1"/>
  <c r="AC21" i="16" a="1"/>
  <c r="AC21" i="16" s="1"/>
  <c r="AC21" i="8" a="1"/>
  <c r="AC21" i="8" s="1"/>
  <c r="AD21" i="7" a="1"/>
  <c r="AD21" i="7" s="1"/>
  <c r="AC21" i="26" a="1"/>
  <c r="AC21" i="26" s="1"/>
  <c r="AC21" i="17" a="1"/>
  <c r="AC21" i="17" s="1"/>
  <c r="AC21" i="14" a="1"/>
  <c r="AC21" i="14" s="1"/>
  <c r="AC21" i="13" a="1"/>
  <c r="AC21" i="13" s="1"/>
  <c r="AC21" i="12" a="1"/>
  <c r="AC21" i="12" s="1"/>
  <c r="AC21" i="10" a="1"/>
  <c r="AC21" i="10" s="1"/>
  <c r="AC21" i="9" a="1"/>
  <c r="AC21" i="9" s="1"/>
  <c r="AC21" i="24" a="1"/>
  <c r="AC21" i="24" s="1"/>
  <c r="AC21" i="20" a="1"/>
  <c r="AC21" i="20" s="1"/>
  <c r="AC21" i="18" a="1"/>
  <c r="AC21" i="18" s="1"/>
  <c r="AC21" i="15" a="1"/>
  <c r="AC21" i="15" s="1"/>
  <c r="G27" i="30" a="1"/>
  <c r="G27" i="30" s="1"/>
  <c r="G27" i="29" a="1"/>
  <c r="G27" i="29" s="1"/>
  <c r="G27" i="28" a="1"/>
  <c r="G27" i="28" s="1"/>
  <c r="R29" i="27" a="1"/>
  <c r="R29" i="27" s="1"/>
  <c r="G29" i="27" a="1"/>
  <c r="G29" i="27" s="1"/>
  <c r="S29" i="27" a="1"/>
  <c r="S29" i="27" s="1"/>
  <c r="B78" i="27" s="1" a="1"/>
  <c r="B78" i="27" s="1"/>
  <c r="B79" i="27" s="1" a="1"/>
  <c r="B79" i="27" s="1"/>
  <c r="B80" i="27" s="1" a="1"/>
  <c r="B80" i="27" s="1"/>
  <c r="B81" i="27" s="1" a="1"/>
  <c r="B81" i="27" s="1"/>
  <c r="B82" i="27" s="1" a="1"/>
  <c r="B82" i="27" s="1"/>
  <c r="B83" i="27" s="1" a="1"/>
  <c r="B83" i="27" s="1"/>
  <c r="R81" i="11" a="1"/>
  <c r="R81" i="11" s="1"/>
  <c r="G171" i="30" a="1"/>
  <c r="G171" i="30" s="1"/>
  <c r="G171" i="29" a="1"/>
  <c r="G171" i="29" s="1"/>
  <c r="G112" i="28" a="1"/>
  <c r="G112" i="28" s="1"/>
  <c r="R85" i="27" a="1"/>
  <c r="R85" i="27" s="1"/>
  <c r="G85" i="27" a="1"/>
  <c r="G85" i="27" s="1"/>
  <c r="R198" i="11" a="1"/>
  <c r="R198" i="11" s="1"/>
  <c r="S85" i="27" a="1"/>
  <c r="S85" i="27" s="1"/>
  <c r="B134" i="27" s="1" a="1"/>
  <c r="B134" i="27" s="1"/>
  <c r="B135" i="27" s="1" a="1"/>
  <c r="B135" i="27" s="1"/>
  <c r="B136" i="27" s="1" a="1"/>
  <c r="B136" i="27" s="1"/>
  <c r="B137" i="27" s="1" a="1"/>
  <c r="B137" i="27" s="1"/>
  <c r="B138" i="27" s="1" a="1"/>
  <c r="B138" i="27" s="1"/>
  <c r="B139" i="27" s="1" a="1"/>
  <c r="B139" i="27" s="1"/>
  <c r="R156" i="11" a="1"/>
  <c r="R156" i="11" s="1"/>
  <c r="AD179" i="5"/>
  <c r="AG179" i="5"/>
  <c r="F28" i="6" a="1"/>
  <c r="F28" i="6" s="1"/>
  <c r="U27" i="6"/>
  <c r="B42" i="7"/>
  <c r="B46" i="7"/>
  <c r="B47" i="7" s="1" a="1"/>
  <c r="B47" i="7" s="1"/>
  <c r="B40" i="7"/>
  <c r="AC51" i="7" a="1"/>
  <c r="AC51" i="7" s="1"/>
  <c r="AC56" i="7"/>
  <c r="B55" i="7" a="1"/>
  <c r="B55" i="7" s="1"/>
  <c r="AQ2" i="9"/>
  <c r="AY2" i="9"/>
  <c r="AI8" i="9"/>
  <c r="AQ8" i="9"/>
  <c r="AY8" i="9"/>
  <c r="AU2" i="11"/>
  <c r="AU9" i="11" a="1"/>
  <c r="AU9" i="11" s="1"/>
  <c r="AY2" i="11"/>
  <c r="AY9" i="11" a="1"/>
  <c r="AY9" i="11" s="1"/>
  <c r="AU8" i="11"/>
  <c r="AT9" i="11" a="1"/>
  <c r="AT9" i="11" s="1"/>
  <c r="R28" i="11" a="1"/>
  <c r="R28" i="11" s="1"/>
  <c r="AF44" i="11"/>
  <c r="AF38" i="11" s="1"/>
  <c r="AJ44" i="11"/>
  <c r="AJ38" i="11" s="1"/>
  <c r="AN44" i="11"/>
  <c r="AN38" i="11" s="1"/>
  <c r="AR44" i="11"/>
  <c r="AR38" i="11" s="1"/>
  <c r="AV44" i="11"/>
  <c r="AV38" i="11" s="1"/>
  <c r="AZ44" i="11"/>
  <c r="AZ38" i="11" s="1"/>
  <c r="AW225" i="11"/>
  <c r="AE225" i="11"/>
  <c r="AE211" i="11"/>
  <c r="AI225" i="11"/>
  <c r="AI211" i="11"/>
  <c r="AM225" i="11"/>
  <c r="AM211" i="11"/>
  <c r="AQ225" i="11"/>
  <c r="AQ211" i="11"/>
  <c r="AU225" i="11"/>
  <c r="AU211" i="11"/>
  <c r="AY225" i="11"/>
  <c r="AY211" i="11"/>
  <c r="AE247" i="11" a="1"/>
  <c r="AE247" i="11" s="1"/>
  <c r="T33" i="12"/>
  <c r="F34" i="12" a="1"/>
  <c r="F34" i="12" s="1"/>
  <c r="AE44" i="17" s="1"/>
  <c r="AE42" i="17" s="1"/>
  <c r="AS2" i="13"/>
  <c r="AS9" i="13" a="1"/>
  <c r="AS9" i="13" s="1"/>
  <c r="AW2" i="13"/>
  <c r="AW9" i="13" a="1"/>
  <c r="AW9" i="13" s="1"/>
  <c r="BA2" i="13"/>
  <c r="BA9" i="13" a="1"/>
  <c r="BA9" i="13" s="1"/>
  <c r="F43" i="13" a="1"/>
  <c r="F43" i="13" s="1"/>
  <c r="T42" i="13"/>
  <c r="AE8" i="14"/>
  <c r="AE9" i="14" a="1"/>
  <c r="AE9" i="14" s="1"/>
  <c r="AI8" i="14"/>
  <c r="AI9" i="14" a="1"/>
  <c r="AI9" i="14" s="1"/>
  <c r="AL9" i="14" a="1"/>
  <c r="AL9" i="14" s="1"/>
  <c r="AL8" i="14"/>
  <c r="AL2" i="14"/>
  <c r="AP9" i="14" a="1"/>
  <c r="AP9" i="14" s="1"/>
  <c r="AP8" i="14"/>
  <c r="AP2" i="14"/>
  <c r="K28" i="14"/>
  <c r="F29" i="14" a="1"/>
  <c r="F29" i="14" s="1"/>
  <c r="F30" i="14" s="1" a="1"/>
  <c r="F30" i="14" s="1"/>
  <c r="F31" i="14" s="1" a="1"/>
  <c r="F31" i="14" s="1"/>
  <c r="F32" i="14" s="1" a="1"/>
  <c r="F32" i="14" s="1"/>
  <c r="F33" i="14" s="1" a="1"/>
  <c r="F33" i="14" s="1"/>
  <c r="F34" i="14" s="1" a="1"/>
  <c r="F34" i="14" s="1"/>
  <c r="F82" i="14" a="1"/>
  <c r="F82" i="14" s="1"/>
  <c r="F83" i="14" s="1" a="1"/>
  <c r="F83" i="14" s="1"/>
  <c r="F84" i="14" s="1" a="1"/>
  <c r="F84" i="14" s="1"/>
  <c r="F85" i="14" s="1" a="1"/>
  <c r="F85" i="14" s="1"/>
  <c r="F86" i="14" s="1" a="1"/>
  <c r="F86" i="14" s="1"/>
  <c r="F87" i="14" s="1" a="1"/>
  <c r="F87" i="14" s="1"/>
  <c r="K81" i="14"/>
  <c r="F65" i="15"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K64" i="15"/>
  <c r="AH59" i="15"/>
  <c r="AH52" i="15"/>
  <c r="AL59" i="15"/>
  <c r="AL52" i="15"/>
  <c r="AP59" i="15"/>
  <c r="AP52" i="15"/>
  <c r="AT59" i="15"/>
  <c r="AT52" i="15"/>
  <c r="AX59" i="15"/>
  <c r="AX52" i="15"/>
  <c r="BB59" i="15"/>
  <c r="BB52" i="15"/>
  <c r="AH108" i="15"/>
  <c r="AH101" i="15"/>
  <c r="AL108" i="15"/>
  <c r="AL101" i="15"/>
  <c r="AP108" i="15"/>
  <c r="AP101" i="15"/>
  <c r="AT108" i="15"/>
  <c r="AT101" i="15"/>
  <c r="AX108" i="15"/>
  <c r="AX101" i="15"/>
  <c r="BB108" i="15"/>
  <c r="BB101" i="15"/>
  <c r="AE157" i="15"/>
  <c r="AE150" i="15"/>
  <c r="AI157" i="15"/>
  <c r="AI150" i="15"/>
  <c r="AM157" i="15"/>
  <c r="AM150" i="15"/>
  <c r="AQ157" i="15"/>
  <c r="AQ150" i="15"/>
  <c r="AU157" i="15"/>
  <c r="AU150" i="15"/>
  <c r="AY157" i="15"/>
  <c r="AY150" i="15"/>
  <c r="AF10" i="17" a="1"/>
  <c r="AF10" i="17" s="1"/>
  <c r="AF2" i="17"/>
  <c r="AF37" i="17"/>
  <c r="AF35" i="17" s="1"/>
  <c r="AE37" i="17"/>
  <c r="AE35" i="17" s="1"/>
  <c r="F38" i="17" a="1"/>
  <c r="F38" i="17" s="1"/>
  <c r="F39" i="17" s="1" a="1"/>
  <c r="F39" i="17" s="1"/>
  <c r="AS9" i="18" a="1"/>
  <c r="AS9" i="18" s="1"/>
  <c r="AS2" i="18"/>
  <c r="AI7" i="19" a="1"/>
  <c r="AI7" i="19" s="1"/>
  <c r="AI13" i="19"/>
  <c r="AI2" i="19"/>
  <c r="K28" i="21"/>
  <c r="F29" i="21" a="1"/>
  <c r="F29" i="21" s="1"/>
  <c r="F30" i="21" s="1" a="1"/>
  <c r="F30" i="21" s="1"/>
  <c r="F31" i="21" s="1" a="1"/>
  <c r="F31" i="21" s="1"/>
  <c r="AB61" i="26"/>
  <c r="AB58" i="26"/>
  <c r="AB62" i="26"/>
  <c r="AB113" i="26"/>
  <c r="AB112" i="26"/>
  <c r="AB109" i="26"/>
  <c r="AD30" i="27" a="1"/>
  <c r="AD30" i="27" s="1"/>
  <c r="AE81" i="11" a="1"/>
  <c r="AE81" i="11" s="1"/>
  <c r="AE198" i="11" a="1"/>
  <c r="AE198" i="11" s="1"/>
  <c r="AD86" i="27" a="1"/>
  <c r="AD86" i="27" s="1"/>
  <c r="AE156" i="11" a="1"/>
  <c r="AE156" i="11" s="1"/>
  <c r="AC39" i="7" a="1"/>
  <c r="AC39" i="7" s="1"/>
  <c r="AM2" i="11"/>
  <c r="AM9" i="11" a="1"/>
  <c r="AM9" i="11" s="1"/>
  <c r="AT8" i="11"/>
  <c r="AW2" i="14"/>
  <c r="AW9" i="14" a="1"/>
  <c r="AW9" i="14" s="1"/>
  <c r="AP157" i="15"/>
  <c r="AP150" i="15"/>
  <c r="AX157" i="15"/>
  <c r="AX150" i="15"/>
  <c r="F92" i="23" a="1"/>
  <c r="F92" i="23" s="1"/>
  <c r="F93" i="23" s="1" a="1"/>
  <c r="F93" i="23" s="1"/>
  <c r="F94" i="23" s="1" a="1"/>
  <c r="F94" i="23" s="1"/>
  <c r="F95" i="23" s="1" a="1"/>
  <c r="F95" i="23" s="1"/>
  <c r="F96" i="23" s="1" a="1"/>
  <c r="F96" i="23" s="1"/>
  <c r="F97" i="23" s="1" a="1"/>
  <c r="F97" i="23" s="1"/>
  <c r="F98" i="23" s="1" a="1"/>
  <c r="F98" i="23" s="1"/>
  <c r="F99" i="23" s="1" a="1"/>
  <c r="F99" i="23" s="1"/>
  <c r="F100" i="23" s="1" a="1"/>
  <c r="F100" i="23" s="1"/>
  <c r="F101" i="23" s="1" a="1"/>
  <c r="F101" i="23" s="1"/>
  <c r="F102" i="23" s="1" a="1"/>
  <c r="F102" i="23" s="1"/>
  <c r="F103" i="23" s="1" a="1"/>
  <c r="F103" i="23" s="1"/>
  <c r="F104" i="23" s="1" a="1"/>
  <c r="F104" i="23" s="1"/>
  <c r="F105" i="23" s="1" a="1"/>
  <c r="F105" i="23" s="1"/>
  <c r="F106" i="23" s="1" a="1"/>
  <c r="F106" i="23" s="1"/>
  <c r="F107" i="23" s="1" a="1"/>
  <c r="F107" i="23" s="1"/>
  <c r="F108" i="23" s="1" a="1"/>
  <c r="F108" i="23" s="1"/>
  <c r="F109" i="23" s="1" a="1"/>
  <c r="F109" i="23" s="1"/>
  <c r="F110" i="23" s="1" a="1"/>
  <c r="F110" i="23" s="1"/>
  <c r="F111" i="23" s="1" a="1"/>
  <c r="F111" i="23" s="1"/>
  <c r="F112" i="23" s="1" a="1"/>
  <c r="F112" i="23" s="1"/>
  <c r="F113" i="23" s="1" a="1"/>
  <c r="F113" i="23" s="1"/>
  <c r="K91" i="23"/>
  <c r="F35" i="6" a="1"/>
  <c r="F35" i="6" s="1"/>
  <c r="U34" i="6"/>
  <c r="AB26" i="8" a="1"/>
  <c r="AB26" i="8" s="1"/>
  <c r="AO8" i="9"/>
  <c r="AW8" i="9"/>
  <c r="BE8" i="9"/>
  <c r="AT8" i="9"/>
  <c r="BB8" i="9"/>
  <c r="AF9" i="9" a="1"/>
  <c r="AF9" i="9" s="1"/>
  <c r="AJ9" i="9" a="1"/>
  <c r="AJ9" i="9" s="1"/>
  <c r="AN9" i="9" a="1"/>
  <c r="AN9" i="9" s="1"/>
  <c r="F29" i="9" a="1"/>
  <c r="F29" i="9" s="1"/>
  <c r="F30" i="9" s="1" a="1"/>
  <c r="F30" i="9" s="1"/>
  <c r="F31" i="9" s="1" a="1"/>
  <c r="F31" i="9" s="1"/>
  <c r="F32" i="9" s="1" a="1"/>
  <c r="F32" i="9" s="1"/>
  <c r="F33" i="9" s="1" a="1"/>
  <c r="F33" i="9" s="1"/>
  <c r="F34" i="9" s="1" a="1"/>
  <c r="F34" i="9" s="1"/>
  <c r="F35" i="9" s="1" a="1"/>
  <c r="F35" i="9" s="1"/>
  <c r="F36" i="9" s="1" a="1"/>
  <c r="F36" i="9" s="1"/>
  <c r="F37" i="9" s="1" a="1"/>
  <c r="F37" i="9" s="1"/>
  <c r="F38" i="9" s="1" a="1"/>
  <c r="F38" i="9" s="1"/>
  <c r="F39" i="9" s="1" a="1"/>
  <c r="F39" i="9" s="1"/>
  <c r="F40" i="9" s="1" a="1"/>
  <c r="F40" i="9" s="1"/>
  <c r="AI9" i="10" a="1"/>
  <c r="AI9" i="10" s="1"/>
  <c r="AI8" i="10"/>
  <c r="AM9" i="10" a="1"/>
  <c r="AM9" i="10" s="1"/>
  <c r="AM8" i="10"/>
  <c r="AQ9" i="10" a="1"/>
  <c r="AQ9" i="10" s="1"/>
  <c r="AQ8" i="10"/>
  <c r="AJ2" i="11"/>
  <c r="AR2" i="11"/>
  <c r="AG8" i="11"/>
  <c r="AG9" i="11" a="1"/>
  <c r="AG9" i="11" s="1"/>
  <c r="AO8" i="11"/>
  <c r="AV8" i="11"/>
  <c r="AZ8" i="11"/>
  <c r="AX8" i="11"/>
  <c r="AX9" i="11" a="1"/>
  <c r="AX9" i="11" s="1"/>
  <c r="AC21" i="11" a="1"/>
  <c r="AC21" i="11" s="1"/>
  <c r="R65" i="11" a="1"/>
  <c r="R65" i="11" s="1"/>
  <c r="AE119" i="11" a="1"/>
  <c r="AE119" i="11" s="1"/>
  <c r="AR134" i="11"/>
  <c r="AF226" i="11"/>
  <c r="AF220" i="11" s="1"/>
  <c r="AJ226" i="11"/>
  <c r="AJ220" i="11" s="1"/>
  <c r="AN226" i="11"/>
  <c r="AN220" i="11" s="1"/>
  <c r="AR226" i="11"/>
  <c r="AR220" i="11" s="1"/>
  <c r="AV226" i="11"/>
  <c r="AV220" i="11" s="1"/>
  <c r="AZ226" i="11"/>
  <c r="AZ220" i="11" s="1"/>
  <c r="AL9" i="13" a="1"/>
  <c r="AL9" i="13" s="1"/>
  <c r="AL2" i="13"/>
  <c r="AP9" i="13" a="1"/>
  <c r="AP9" i="13" s="1"/>
  <c r="AP2" i="13"/>
  <c r="T30" i="13" a="1"/>
  <c r="T30" i="13" s="1"/>
  <c r="T28" i="13" a="1"/>
  <c r="T28" i="13" s="1"/>
  <c r="AQ8" i="14"/>
  <c r="AY8" i="14"/>
  <c r="AW8" i="14"/>
  <c r="AB45" i="14"/>
  <c r="AB41" i="14"/>
  <c r="AB44" i="14"/>
  <c r="AB40" i="14"/>
  <c r="AB42" i="14"/>
  <c r="AK52" i="14"/>
  <c r="AF48" i="14"/>
  <c r="AJ48" i="14"/>
  <c r="AN48" i="14"/>
  <c r="AR48" i="14"/>
  <c r="AV48" i="14"/>
  <c r="AZ48" i="14"/>
  <c r="AB71" i="14"/>
  <c r="AB67" i="14"/>
  <c r="AB70" i="14"/>
  <c r="AB66" i="14"/>
  <c r="AB68" i="14"/>
  <c r="AI85" i="14"/>
  <c r="AI84" i="14"/>
  <c r="AI9" i="15" a="1"/>
  <c r="AI9" i="15" s="1"/>
  <c r="AI2" i="15"/>
  <c r="AE59" i="15"/>
  <c r="AE52" i="15"/>
  <c r="AI59" i="15"/>
  <c r="AI52" i="15"/>
  <c r="AM59" i="15"/>
  <c r="AM52" i="15"/>
  <c r="AQ59" i="15"/>
  <c r="AQ52" i="15"/>
  <c r="AU59" i="15"/>
  <c r="AU52" i="15"/>
  <c r="AY59" i="15"/>
  <c r="AY52" i="15"/>
  <c r="AE108" i="15"/>
  <c r="AE101" i="15"/>
  <c r="AI108" i="15"/>
  <c r="AI101" i="15"/>
  <c r="AM108" i="15"/>
  <c r="AM101" i="15"/>
  <c r="AQ108" i="15"/>
  <c r="AQ101" i="15"/>
  <c r="AU108" i="15"/>
  <c r="AU101" i="15"/>
  <c r="AY108" i="15"/>
  <c r="AY101" i="15"/>
  <c r="AF157" i="15"/>
  <c r="AF150" i="15"/>
  <c r="AJ157" i="15"/>
  <c r="AJ150" i="15"/>
  <c r="AN157" i="15"/>
  <c r="AN150" i="15"/>
  <c r="AR157" i="15"/>
  <c r="AR150" i="15"/>
  <c r="AV157" i="15"/>
  <c r="AV150" i="15"/>
  <c r="AZ157" i="15"/>
  <c r="AZ150" i="15"/>
  <c r="K48" i="16"/>
  <c r="F49" i="16" a="1"/>
  <c r="F49" i="16" s="1"/>
  <c r="F50" i="16" s="1" a="1"/>
  <c r="F50" i="16" s="1"/>
  <c r="F51" i="16" s="1" a="1"/>
  <c r="F51" i="16" s="1"/>
  <c r="F52" i="16" s="1" a="1"/>
  <c r="F52" i="16" s="1"/>
  <c r="F53" i="16" s="1" a="1"/>
  <c r="F53" i="16" s="1"/>
  <c r="F54" i="16" s="1" a="1"/>
  <c r="F54" i="16" s="1"/>
  <c r="F55" i="16" s="1" a="1"/>
  <c r="F55" i="16" s="1"/>
  <c r="F56" i="16" s="1" a="1"/>
  <c r="F56" i="16" s="1"/>
  <c r="AE30" i="17"/>
  <c r="AE28" i="17" s="1"/>
  <c r="F31" i="17" a="1"/>
  <c r="F31" i="17" s="1"/>
  <c r="F32" i="17" s="1" a="1"/>
  <c r="F32" i="17" s="1"/>
  <c r="AF30" i="17"/>
  <c r="AF28" i="17" s="1"/>
  <c r="K40" i="21"/>
  <c r="F41" i="21" a="1"/>
  <c r="F41" i="21" s="1"/>
  <c r="F42" i="21" s="1" a="1"/>
  <c r="F42" i="21" s="1"/>
  <c r="F43" i="21" s="1" a="1"/>
  <c r="F43" i="21" s="1"/>
  <c r="K56" i="22"/>
  <c r="F57" i="22" a="1"/>
  <c r="F57" i="22" s="1"/>
  <c r="F34" i="26" a="1"/>
  <c r="F34" i="26" s="1"/>
  <c r="F43" i="27" a="1"/>
  <c r="F43" i="27" s="1"/>
  <c r="F44" i="27" s="1" a="1"/>
  <c r="F44" i="27" s="1"/>
  <c r="T42" i="27"/>
  <c r="T43" i="27" s="1" a="1"/>
  <c r="T43" i="27" s="1"/>
  <c r="F99" i="27" a="1"/>
  <c r="F99" i="27" s="1"/>
  <c r="F100" i="27" s="1" a="1"/>
  <c r="F100" i="27" s="1"/>
  <c r="T98" i="27"/>
  <c r="T99" i="27" s="1" a="1"/>
  <c r="T99" i="27" s="1"/>
  <c r="S141" i="27" a="1"/>
  <c r="S141" i="27" s="1"/>
  <c r="B190" i="27" s="1" a="1"/>
  <c r="B190" i="27" s="1"/>
  <c r="B191" i="27" s="1" a="1"/>
  <c r="B191" i="27" s="1"/>
  <c r="B192" i="27" s="1" a="1"/>
  <c r="B192" i="27" s="1"/>
  <c r="B193" i="27" s="1" a="1"/>
  <c r="B193" i="27" s="1"/>
  <c r="B194" i="27" s="1" a="1"/>
  <c r="B194" i="27" s="1"/>
  <c r="B195" i="27" s="1" a="1"/>
  <c r="B195" i="27" s="1"/>
  <c r="R263" i="11" a="1"/>
  <c r="R263" i="11" s="1"/>
  <c r="R210" i="11" a="1"/>
  <c r="R210" i="11" s="1"/>
  <c r="R289" i="11" a="1"/>
  <c r="R289" i="11" s="1"/>
  <c r="AI2" i="11"/>
  <c r="AI9" i="11" a="1"/>
  <c r="AI9" i="11" s="1"/>
  <c r="BB8" i="11"/>
  <c r="AS2" i="14"/>
  <c r="AS9" i="14" a="1"/>
  <c r="AS9" i="14" s="1"/>
  <c r="AG59" i="15"/>
  <c r="AG52" i="15"/>
  <c r="AS59" i="15"/>
  <c r="AS52" i="15"/>
  <c r="BA59" i="15"/>
  <c r="BA52" i="15"/>
  <c r="AG108" i="15"/>
  <c r="AG101" i="15"/>
  <c r="AO108" i="15"/>
  <c r="AO101" i="15"/>
  <c r="AW108" i="15"/>
  <c r="AW101" i="15"/>
  <c r="AL157" i="15"/>
  <c r="AL150" i="15"/>
  <c r="BB157" i="15"/>
  <c r="BB150" i="15"/>
  <c r="F29" i="19" a="1"/>
  <c r="F29" i="19" s="1"/>
  <c r="K28" i="19"/>
  <c r="F43" i="22" a="1"/>
  <c r="F43" i="22" s="1"/>
  <c r="K42" i="22"/>
  <c r="F87" i="26" a="1"/>
  <c r="F87" i="26" s="1"/>
  <c r="AB27" i="33" a="1"/>
  <c r="AB27" i="33" s="1"/>
  <c r="AB27" i="34" a="1"/>
  <c r="AB27" i="34" s="1"/>
  <c r="AB28" i="32" a="1"/>
  <c r="AB28" i="32" s="1"/>
  <c r="AB30" i="31" a="1"/>
  <c r="AB30" i="31" s="1"/>
  <c r="AB27" i="30" a="1"/>
  <c r="AB27" i="30" s="1"/>
  <c r="AB27" i="29" a="1"/>
  <c r="AB27" i="29" s="1"/>
  <c r="AB27" i="28" a="1"/>
  <c r="AB27" i="28" s="1"/>
  <c r="AB27" i="20" a="1"/>
  <c r="AB27" i="20" s="1"/>
  <c r="AD29" i="27" a="1"/>
  <c r="AD29" i="27" s="1"/>
  <c r="AB30" i="27" s="1"/>
  <c r="AB29" i="23" a="1"/>
  <c r="AB29" i="23" s="1"/>
  <c r="AB27" i="22" a="1"/>
  <c r="AB27" i="22" s="1"/>
  <c r="AB27" i="26" a="1"/>
  <c r="AB27" i="26" s="1"/>
  <c r="AB27" i="24" a="1"/>
  <c r="AB27" i="24" s="1"/>
  <c r="AB27" i="21" a="1"/>
  <c r="AB27" i="21" s="1"/>
  <c r="AB27" i="19" a="1"/>
  <c r="AB27" i="19" s="1"/>
  <c r="AB27" i="18" a="1"/>
  <c r="AB27" i="18" s="1"/>
  <c r="AB26" i="25" a="1"/>
  <c r="AB26" i="25" s="1"/>
  <c r="B27" i="25" s="1"/>
  <c r="B28" i="25" s="1" a="1"/>
  <c r="B28" i="25" s="1"/>
  <c r="AB27" i="14" a="1"/>
  <c r="AB27" i="14" s="1"/>
  <c r="AB27" i="13" a="1"/>
  <c r="AB27" i="13" s="1"/>
  <c r="AB27" i="15" a="1"/>
  <c r="AB27" i="15" s="1"/>
  <c r="AB27" i="10" a="1"/>
  <c r="AB27" i="10" s="1"/>
  <c r="AC27" i="7" a="1"/>
  <c r="AC27" i="7" s="1"/>
  <c r="AB26" i="6" a="1"/>
  <c r="AB26" i="6" s="1"/>
  <c r="AB27" i="17" a="1"/>
  <c r="AB27" i="17" s="1"/>
  <c r="AB27" i="16" a="1"/>
  <c r="AB27" i="16" s="1"/>
  <c r="AB29" i="12" a="1"/>
  <c r="AB29" i="12" s="1"/>
  <c r="B45" i="7"/>
  <c r="AC46" i="7" s="1"/>
  <c r="AC47" i="7" s="1"/>
  <c r="AU2" i="9"/>
  <c r="BC2" i="9"/>
  <c r="AE8" i="9"/>
  <c r="AM8" i="9"/>
  <c r="AU8" i="9"/>
  <c r="BC8" i="9"/>
  <c r="AJ8" i="10"/>
  <c r="AJ2" i="10"/>
  <c r="AN8" i="10"/>
  <c r="AN2" i="10"/>
  <c r="AU9" i="10" a="1"/>
  <c r="AU9" i="10" s="1"/>
  <c r="AU8" i="10"/>
  <c r="AY9" i="10" a="1"/>
  <c r="AY9" i="10" s="1"/>
  <c r="AY8" i="10"/>
  <c r="AW8" i="11"/>
  <c r="AI8" i="11"/>
  <c r="AQ8" i="11"/>
  <c r="AY8" i="11"/>
  <c r="AF9" i="11" a="1"/>
  <c r="AF9" i="11" s="1"/>
  <c r="AJ9" i="11" a="1"/>
  <c r="AJ9" i="11" s="1"/>
  <c r="AN9" i="11" a="1"/>
  <c r="AN9" i="11" s="1"/>
  <c r="AR9" i="11" a="1"/>
  <c r="AR9" i="11" s="1"/>
  <c r="BB9" i="11" a="1"/>
  <c r="BB9" i="11" s="1"/>
  <c r="AB27" i="11" a="1"/>
  <c r="AB27" i="11" s="1"/>
  <c r="AE28" i="11" a="1"/>
  <c r="AE28" i="11" s="1"/>
  <c r="R107" i="11" a="1"/>
  <c r="R107" i="11" s="1"/>
  <c r="BA120" i="11"/>
  <c r="BA134" i="11"/>
  <c r="AH135" i="11"/>
  <c r="AH129" i="11" s="1"/>
  <c r="AH120" i="11" s="1"/>
  <c r="AL135" i="11"/>
  <c r="AL129" i="11" s="1"/>
  <c r="AL120" i="11" s="1"/>
  <c r="AP135" i="11"/>
  <c r="AP129" i="11" s="1"/>
  <c r="AT135" i="11"/>
  <c r="AT129" i="11" s="1"/>
  <c r="AT120" i="11" s="1"/>
  <c r="AX135" i="11"/>
  <c r="AX129" i="11" s="1"/>
  <c r="AX120" i="11" s="1"/>
  <c r="BB135" i="11"/>
  <c r="BB129" i="11" s="1"/>
  <c r="R172" i="11" a="1"/>
  <c r="R172" i="11" s="1"/>
  <c r="T36" i="12"/>
  <c r="BA8" i="14"/>
  <c r="AH28" i="14"/>
  <c r="AL28" i="14"/>
  <c r="AP28" i="14"/>
  <c r="AT28" i="14"/>
  <c r="AX28" i="14"/>
  <c r="BB28" i="14"/>
  <c r="AT48" i="14"/>
  <c r="AX48" i="14"/>
  <c r="BB48" i="14"/>
  <c r="AG85" i="14"/>
  <c r="AG109" i="14"/>
  <c r="AG111" i="14"/>
  <c r="AF59" i="15"/>
  <c r="AF52" i="15"/>
  <c r="AJ59" i="15"/>
  <c r="AJ52" i="15"/>
  <c r="AN59" i="15"/>
  <c r="AN52" i="15"/>
  <c r="AR59" i="15"/>
  <c r="AR52" i="15"/>
  <c r="AV59" i="15"/>
  <c r="AV52" i="15"/>
  <c r="AZ59" i="15"/>
  <c r="AZ52" i="15"/>
  <c r="K113" i="15"/>
  <c r="F114" i="15"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AF108" i="15"/>
  <c r="AF101" i="15"/>
  <c r="AJ108" i="15"/>
  <c r="AJ101" i="15"/>
  <c r="AN108" i="15"/>
  <c r="AN101" i="15"/>
  <c r="AR108" i="15"/>
  <c r="AR101" i="15"/>
  <c r="AV108" i="15"/>
  <c r="AV101" i="15"/>
  <c r="AZ108" i="15"/>
  <c r="AZ101" i="15"/>
  <c r="F163" i="15"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K162" i="15"/>
  <c r="AG157" i="15"/>
  <c r="AG150" i="15"/>
  <c r="AK157" i="15"/>
  <c r="AK150" i="15"/>
  <c r="AO157" i="15"/>
  <c r="AO150" i="15"/>
  <c r="AS157" i="15"/>
  <c r="AS150" i="15"/>
  <c r="AW157" i="15"/>
  <c r="AW150" i="15"/>
  <c r="BA157" i="15"/>
  <c r="BA150" i="15"/>
  <c r="AI2" i="16"/>
  <c r="AI9" i="16" a="1"/>
  <c r="AI9" i="16" s="1"/>
  <c r="K28" i="16"/>
  <c r="F29" i="16" a="1"/>
  <c r="F29" i="16" s="1"/>
  <c r="F30" i="16" s="1" a="1"/>
  <c r="F30" i="16" s="1"/>
  <c r="F31" i="16" s="1" a="1"/>
  <c r="F31" i="16" s="1"/>
  <c r="F32" i="16" s="1" a="1"/>
  <c r="F32" i="16" s="1"/>
  <c r="F33" i="16" s="1" a="1"/>
  <c r="F33" i="16" s="1"/>
  <c r="F34" i="16" s="1" a="1"/>
  <c r="F34" i="16" s="1"/>
  <c r="F35" i="16" s="1" a="1"/>
  <c r="F35" i="16" s="1"/>
  <c r="F36" i="16" s="1" a="1"/>
  <c r="F36" i="16" s="1"/>
  <c r="F39" i="16" a="1"/>
  <c r="F39" i="16" s="1"/>
  <c r="F40" i="16" s="1" a="1"/>
  <c r="F40" i="16" s="1"/>
  <c r="F41" i="16" s="1" a="1"/>
  <c r="F41" i="16" s="1"/>
  <c r="F42" i="16" s="1" a="1"/>
  <c r="F42" i="16" s="1"/>
  <c r="F43" i="16" s="1" a="1"/>
  <c r="F43" i="16" s="1"/>
  <c r="F44" i="16" s="1" a="1"/>
  <c r="F44" i="16" s="1"/>
  <c r="F45" i="16" s="1" a="1"/>
  <c r="F45" i="16" s="1"/>
  <c r="F46" i="16" s="1" a="1"/>
  <c r="F46" i="16" s="1"/>
  <c r="K38" i="16"/>
  <c r="AI9" i="18" a="1"/>
  <c r="AI9" i="18" s="1"/>
  <c r="AI2" i="18"/>
  <c r="K84" i="18"/>
  <c r="K85" i="18"/>
  <c r="K78" i="18"/>
  <c r="K68" i="18"/>
  <c r="K58" i="18"/>
  <c r="K63" i="18"/>
  <c r="K73" i="18"/>
  <c r="F59" i="18" a="1"/>
  <c r="F59" i="18" s="1"/>
  <c r="F60" i="18" s="1" a="1"/>
  <c r="F60" i="18" s="1"/>
  <c r="K86" i="18"/>
  <c r="K83" i="18"/>
  <c r="F67" i="20" a="1"/>
  <c r="F67" i="20" s="1"/>
  <c r="K54" i="21"/>
  <c r="F55" i="21" a="1"/>
  <c r="F55" i="21" s="1"/>
  <c r="F56" i="21" s="1" a="1"/>
  <c r="F56" i="21" s="1"/>
  <c r="F57" i="21" s="1" a="1"/>
  <c r="F57" i="21" s="1"/>
  <c r="F29" i="22" a="1"/>
  <c r="F29" i="22" s="1"/>
  <c r="K28" i="22"/>
  <c r="F34" i="23" a="1"/>
  <c r="F34" i="23" s="1"/>
  <c r="F35" i="23" s="1" a="1"/>
  <c r="F35" i="23" s="1"/>
  <c r="F36" i="23" s="1" a="1"/>
  <c r="F36" i="23" s="1"/>
  <c r="F37" i="23" s="1" a="1"/>
  <c r="F37" i="23" s="1"/>
  <c r="F38" i="23" s="1" a="1"/>
  <c r="F38" i="23" s="1"/>
  <c r="F39" i="23" s="1" a="1"/>
  <c r="F39" i="23" s="1"/>
  <c r="F40" i="23" s="1" a="1"/>
  <c r="F40" i="23" s="1"/>
  <c r="F41" i="23" s="1" a="1"/>
  <c r="F41" i="23" s="1"/>
  <c r="F42" i="23" s="1" a="1"/>
  <c r="F42" i="23" s="1"/>
  <c r="F43" i="23" s="1" a="1"/>
  <c r="F43" i="23" s="1"/>
  <c r="F44" i="23" s="1" a="1"/>
  <c r="F44" i="23" s="1"/>
  <c r="F45" i="23" s="1" a="1"/>
  <c r="F45" i="23" s="1"/>
  <c r="F46" i="23" s="1" a="1"/>
  <c r="F46" i="23" s="1"/>
  <c r="F47" i="23" s="1" a="1"/>
  <c r="F47" i="23" s="1"/>
  <c r="F48" i="23" s="1" a="1"/>
  <c r="F48" i="23" s="1"/>
  <c r="F49" i="23" s="1" a="1"/>
  <c r="F49" i="23" s="1"/>
  <c r="F50" i="23" s="1" a="1"/>
  <c r="F50" i="23" s="1"/>
  <c r="F51" i="23" s="1" a="1"/>
  <c r="F51" i="23" s="1"/>
  <c r="F52" i="23" s="1" a="1"/>
  <c r="F52" i="23" s="1"/>
  <c r="F53" i="23" s="1" a="1"/>
  <c r="F53" i="23" s="1"/>
  <c r="F54" i="23" s="1" a="1"/>
  <c r="F54" i="23" s="1"/>
  <c r="F55" i="23" s="1" a="1"/>
  <c r="F55" i="23" s="1"/>
  <c r="K33" i="23"/>
  <c r="AK9" i="13" a="1"/>
  <c r="AK9" i="13" s="1"/>
  <c r="AO9" i="13" a="1"/>
  <c r="AO9" i="13" s="1"/>
  <c r="AV8" i="14"/>
  <c r="AZ8" i="14"/>
  <c r="AK9" i="14" a="1"/>
  <c r="AK9" i="14" s="1"/>
  <c r="AO9" i="14" a="1"/>
  <c r="AO9" i="14" s="1"/>
  <c r="AF51" i="14"/>
  <c r="AJ51" i="14"/>
  <c r="AN51" i="14"/>
  <c r="AV51" i="14"/>
  <c r="AH84" i="14"/>
  <c r="AL84" i="14"/>
  <c r="AT84" i="14"/>
  <c r="AX84" i="14"/>
  <c r="AB99" i="14"/>
  <c r="AB112" i="14"/>
  <c r="AB114" i="14"/>
  <c r="AM2" i="15"/>
  <c r="AQ2" i="15"/>
  <c r="AU2" i="15"/>
  <c r="AY2" i="15"/>
  <c r="AK2" i="16"/>
  <c r="AO2" i="16"/>
  <c r="AS2" i="16"/>
  <c r="AW2" i="16"/>
  <c r="BA2" i="16"/>
  <c r="AM2" i="18"/>
  <c r="AQ2" i="18"/>
  <c r="AU2" i="18"/>
  <c r="AY2" i="18"/>
  <c r="AH27" i="18"/>
  <c r="AL27" i="18"/>
  <c r="AP27" i="18"/>
  <c r="AT27" i="18"/>
  <c r="AX27" i="18"/>
  <c r="BB27" i="18"/>
  <c r="K48" i="18"/>
  <c r="AF87" i="18"/>
  <c r="AJ87" i="18"/>
  <c r="AN87" i="18"/>
  <c r="AR87" i="18"/>
  <c r="AV87" i="18"/>
  <c r="AZ87" i="18"/>
  <c r="AB55" i="19"/>
  <c r="AB116" i="19"/>
  <c r="AB125" i="19"/>
  <c r="F29" i="20" a="1"/>
  <c r="F29" i="20" s="1"/>
  <c r="AI2" i="22"/>
  <c r="AY2" i="22"/>
  <c r="AS9" i="22" a="1"/>
  <c r="AS9" i="22" s="1"/>
  <c r="AS2" i="22"/>
  <c r="AW9" i="22" a="1"/>
  <c r="AW9" i="22" s="1"/>
  <c r="AW2" i="22"/>
  <c r="BA9" i="22" a="1"/>
  <c r="BA9" i="22" s="1"/>
  <c r="BA2" i="22"/>
  <c r="AT2" i="23"/>
  <c r="AM2" i="23"/>
  <c r="AQ2" i="23"/>
  <c r="AU2" i="23"/>
  <c r="AQ9" i="23" a="1"/>
  <c r="AQ9" i="23" s="1"/>
  <c r="AF2" i="24"/>
  <c r="AV2" i="24"/>
  <c r="AH2" i="24"/>
  <c r="AL2" i="24"/>
  <c r="AP2" i="24"/>
  <c r="AT2" i="24"/>
  <c r="AX2" i="24"/>
  <c r="AP9" i="24" a="1"/>
  <c r="AP9" i="24" s="1"/>
  <c r="AX9" i="24" a="1"/>
  <c r="AX9" i="24" s="1"/>
  <c r="AB178" i="26"/>
  <c r="AS2" i="27"/>
  <c r="BI2" i="27"/>
  <c r="BY2" i="27"/>
  <c r="CO2" i="27"/>
  <c r="DE2" i="27"/>
  <c r="DU2" i="27"/>
  <c r="EK2" i="27"/>
  <c r="FA2" i="27"/>
  <c r="FQ2" i="27"/>
  <c r="AI2" i="27"/>
  <c r="AM2" i="27"/>
  <c r="AQ2" i="27"/>
  <c r="AU2" i="27"/>
  <c r="AY2" i="27"/>
  <c r="BC2" i="27"/>
  <c r="BG2" i="27"/>
  <c r="BK2" i="27"/>
  <c r="BO2" i="27"/>
  <c r="BS2" i="27"/>
  <c r="BW2" i="27"/>
  <c r="CA2" i="27"/>
  <c r="CE2" i="27"/>
  <c r="CI2" i="27"/>
  <c r="CM2" i="27"/>
  <c r="CQ2" i="27"/>
  <c r="CU2" i="27"/>
  <c r="CY2" i="27"/>
  <c r="DC2" i="27"/>
  <c r="DG2" i="27"/>
  <c r="DK2" i="27"/>
  <c r="DO2" i="27"/>
  <c r="DS2" i="27"/>
  <c r="DW2" i="27"/>
  <c r="EA2" i="27"/>
  <c r="EE2" i="27"/>
  <c r="EI2" i="27"/>
  <c r="EM2" i="27"/>
  <c r="EQ2" i="27"/>
  <c r="EU2" i="27"/>
  <c r="EY2" i="27"/>
  <c r="FC2" i="27"/>
  <c r="FG2" i="27"/>
  <c r="FK2" i="27"/>
  <c r="FO2" i="27"/>
  <c r="FS2" i="27"/>
  <c r="FW2" i="27"/>
  <c r="AE84" i="14"/>
  <c r="AM84" i="14"/>
  <c r="AU84" i="14"/>
  <c r="AY84" i="14"/>
  <c r="AG91" i="14"/>
  <c r="AG81" i="14" s="1"/>
  <c r="AG84" i="14" s="1"/>
  <c r="AT9" i="15" a="1"/>
  <c r="AT9" i="15" s="1"/>
  <c r="AX9" i="15" a="1"/>
  <c r="AX9" i="15" s="1"/>
  <c r="BB9" i="15" a="1"/>
  <c r="BB9" i="15" s="1"/>
  <c r="AJ2" i="18"/>
  <c r="AN2" i="18"/>
  <c r="AR2" i="18"/>
  <c r="AV2" i="18"/>
  <c r="AZ2" i="18"/>
  <c r="AT9" i="18" a="1"/>
  <c r="AT9" i="18" s="1"/>
  <c r="AX9" i="18" a="1"/>
  <c r="AX9" i="18" s="1"/>
  <c r="BB9" i="18" a="1"/>
  <c r="BB9" i="18" s="1"/>
  <c r="K53" i="18"/>
  <c r="K43" i="18"/>
  <c r="K33" i="18"/>
  <c r="F29" i="18" a="1"/>
  <c r="F29" i="18" s="1"/>
  <c r="F30" i="18" s="1" a="1"/>
  <c r="F30" i="18" s="1"/>
  <c r="K54" i="18"/>
  <c r="K38" i="18"/>
  <c r="K115" i="18"/>
  <c r="K108" i="18"/>
  <c r="K98" i="18"/>
  <c r="K88" i="18"/>
  <c r="K116" i="18"/>
  <c r="F89" i="18" a="1"/>
  <c r="F89" i="18" s="1"/>
  <c r="F90" i="18" s="1" a="1"/>
  <c r="F90" i="18" s="1"/>
  <c r="K103" i="18"/>
  <c r="AJ2" i="19"/>
  <c r="T54" i="19"/>
  <c r="T55" i="19" s="1" a="1"/>
  <c r="T55" i="19" s="1"/>
  <c r="T56" i="19" s="1" a="1"/>
  <c r="T56" i="19" s="1"/>
  <c r="F55" i="19" a="1"/>
  <c r="F55" i="19" s="1"/>
  <c r="F56" i="19" s="1" a="1"/>
  <c r="F56" i="19" s="1"/>
  <c r="F57" i="19" s="1" a="1"/>
  <c r="F57" i="19" s="1"/>
  <c r="AB61" i="19"/>
  <c r="AB70" i="19"/>
  <c r="AJ9" i="20" a="1"/>
  <c r="AJ9" i="20" s="1"/>
  <c r="AI2" i="21"/>
  <c r="AM2" i="22"/>
  <c r="AL2" i="22"/>
  <c r="AL9" i="22" a="1"/>
  <c r="AL9" i="22" s="1"/>
  <c r="AP2" i="22"/>
  <c r="AP9" i="22" a="1"/>
  <c r="AP9" i="22" s="1"/>
  <c r="AX2" i="23"/>
  <c r="K62" i="23"/>
  <c r="F63" i="23" a="1"/>
  <c r="F63" i="23" s="1"/>
  <c r="F64" i="23" s="1" a="1"/>
  <c r="F64" i="23" s="1"/>
  <c r="F65" i="23" s="1" a="1"/>
  <c r="F65" i="23" s="1"/>
  <c r="F66" i="23" s="1" a="1"/>
  <c r="F66" i="23" s="1"/>
  <c r="F67" i="23" s="1" a="1"/>
  <c r="F67" i="23" s="1"/>
  <c r="F68" i="23" s="1" a="1"/>
  <c r="F68" i="23" s="1"/>
  <c r="F69" i="23" s="1" a="1"/>
  <c r="F69" i="23" s="1"/>
  <c r="F70" i="23" s="1" a="1"/>
  <c r="F70" i="23" s="1"/>
  <c r="F71" i="23" s="1" a="1"/>
  <c r="F71" i="23" s="1"/>
  <c r="F72" i="23" s="1" a="1"/>
  <c r="F72" i="23" s="1"/>
  <c r="F73" i="23" s="1" a="1"/>
  <c r="F73" i="23" s="1"/>
  <c r="F74" i="23" s="1" a="1"/>
  <c r="F74" i="23" s="1"/>
  <c r="F75" i="23" s="1" a="1"/>
  <c r="F75" i="23" s="1"/>
  <c r="F76" i="23" s="1" a="1"/>
  <c r="F76" i="23" s="1"/>
  <c r="F77" i="23" s="1" a="1"/>
  <c r="F77" i="23" s="1"/>
  <c r="F78" i="23" s="1" a="1"/>
  <c r="F78" i="23" s="1"/>
  <c r="F79" i="23" s="1" a="1"/>
  <c r="F79" i="23" s="1"/>
  <c r="F80" i="23" s="1" a="1"/>
  <c r="F80" i="23" s="1"/>
  <c r="F81" i="23" s="1" a="1"/>
  <c r="F81" i="23" s="1"/>
  <c r="F82" i="23" s="1" a="1"/>
  <c r="F82" i="23" s="1"/>
  <c r="F83" i="23" s="1" a="1"/>
  <c r="F83" i="23" s="1"/>
  <c r="F84" i="23" s="1" a="1"/>
  <c r="F84" i="23" s="1"/>
  <c r="AJ2" i="24"/>
  <c r="AE2" i="24"/>
  <c r="AE9" i="24" a="1"/>
  <c r="AE9" i="24" s="1"/>
  <c r="AI2" i="24"/>
  <c r="AI9" i="24" a="1"/>
  <c r="AI9" i="24" s="1"/>
  <c r="AM2" i="24"/>
  <c r="AM9" i="24" a="1"/>
  <c r="AM9" i="24" s="1"/>
  <c r="F41" i="24" a="1"/>
  <c r="F41" i="24" s="1"/>
  <c r="F42" i="24" s="1" a="1"/>
  <c r="F42" i="24" s="1"/>
  <c r="AB160" i="26"/>
  <c r="AB164" i="26"/>
  <c r="AB174" i="26"/>
  <c r="AB177" i="26"/>
  <c r="AG2" i="27"/>
  <c r="AW2" i="27"/>
  <c r="BM2" i="27"/>
  <c r="CC2" i="27"/>
  <c r="CS2" i="27"/>
  <c r="DI2" i="27"/>
  <c r="DY2" i="27"/>
  <c r="EO2" i="27"/>
  <c r="FE2" i="27"/>
  <c r="AF9" i="27" a="1"/>
  <c r="AF9" i="27" s="1"/>
  <c r="AF8" i="27"/>
  <c r="AJ9" i="27" a="1"/>
  <c r="AJ9" i="27" s="1"/>
  <c r="AJ2" i="27"/>
  <c r="AJ8" i="27"/>
  <c r="AN9" i="27" a="1"/>
  <c r="AN9" i="27" s="1"/>
  <c r="AN2" i="27"/>
  <c r="AN8" i="27"/>
  <c r="AR9" i="27" a="1"/>
  <c r="AR9" i="27" s="1"/>
  <c r="AR2" i="27"/>
  <c r="AR8" i="27"/>
  <c r="AV9" i="27" a="1"/>
  <c r="AV9" i="27" s="1"/>
  <c r="AV2" i="27"/>
  <c r="AV8" i="27"/>
  <c r="AZ9" i="27" a="1"/>
  <c r="AZ9" i="27" s="1"/>
  <c r="AZ2" i="27"/>
  <c r="AZ8" i="27"/>
  <c r="BD9" i="27" a="1"/>
  <c r="BD9" i="27" s="1"/>
  <c r="BD2" i="27"/>
  <c r="BD8" i="27"/>
  <c r="BH9" i="27" a="1"/>
  <c r="BH9" i="27" s="1"/>
  <c r="BH2" i="27"/>
  <c r="BH8" i="27"/>
  <c r="BL9" i="27" a="1"/>
  <c r="BL9" i="27" s="1"/>
  <c r="BL2" i="27"/>
  <c r="BL8" i="27"/>
  <c r="BP9" i="27" a="1"/>
  <c r="BP9" i="27" s="1"/>
  <c r="BP2" i="27"/>
  <c r="BP8" i="27"/>
  <c r="BT9" i="27" a="1"/>
  <c r="BT9" i="27" s="1"/>
  <c r="BT2" i="27"/>
  <c r="BT8" i="27"/>
  <c r="BX9" i="27" a="1"/>
  <c r="BX9" i="27" s="1"/>
  <c r="BX2" i="27"/>
  <c r="BX8" i="27"/>
  <c r="CB9" i="27" a="1"/>
  <c r="CB9" i="27" s="1"/>
  <c r="CB2" i="27"/>
  <c r="CB8" i="27"/>
  <c r="CF9" i="27" a="1"/>
  <c r="CF9" i="27" s="1"/>
  <c r="CF2" i="27"/>
  <c r="CF8" i="27"/>
  <c r="CJ9" i="27" a="1"/>
  <c r="CJ9" i="27" s="1"/>
  <c r="CJ2" i="27"/>
  <c r="CJ8" i="27"/>
  <c r="CN9" i="27" a="1"/>
  <c r="CN9" i="27" s="1"/>
  <c r="CN2" i="27"/>
  <c r="CN8" i="27"/>
  <c r="CR9" i="27" a="1"/>
  <c r="CR9" i="27" s="1"/>
  <c r="CR2" i="27"/>
  <c r="CR8" i="27"/>
  <c r="CV9" i="27" a="1"/>
  <c r="CV9" i="27" s="1"/>
  <c r="CV2" i="27"/>
  <c r="CV8" i="27"/>
  <c r="CZ9" i="27" a="1"/>
  <c r="CZ9" i="27" s="1"/>
  <c r="CZ2" i="27"/>
  <c r="CZ8" i="27"/>
  <c r="DD9" i="27" a="1"/>
  <c r="DD9" i="27" s="1"/>
  <c r="DD2" i="27"/>
  <c r="DD8" i="27"/>
  <c r="DH9" i="27" a="1"/>
  <c r="DH9" i="27" s="1"/>
  <c r="DH2" i="27"/>
  <c r="DH8" i="27"/>
  <c r="DL9" i="27" a="1"/>
  <c r="DL9" i="27" s="1"/>
  <c r="DL2" i="27"/>
  <c r="DL8" i="27"/>
  <c r="DP9" i="27" a="1"/>
  <c r="DP9" i="27" s="1"/>
  <c r="DP2" i="27"/>
  <c r="DP8" i="27"/>
  <c r="DT9" i="27" a="1"/>
  <c r="DT9" i="27" s="1"/>
  <c r="DT2" i="27"/>
  <c r="DT8" i="27"/>
  <c r="DX9" i="27" a="1"/>
  <c r="DX9" i="27" s="1"/>
  <c r="DX2" i="27"/>
  <c r="DX8" i="27"/>
  <c r="EB9" i="27" a="1"/>
  <c r="EB9" i="27" s="1"/>
  <c r="EB2" i="27"/>
  <c r="EB8" i="27"/>
  <c r="EF9" i="27" a="1"/>
  <c r="EF9" i="27" s="1"/>
  <c r="EF2" i="27"/>
  <c r="EF8" i="27"/>
  <c r="EJ9" i="27" a="1"/>
  <c r="EJ9" i="27" s="1"/>
  <c r="EJ2" i="27"/>
  <c r="EJ8" i="27"/>
  <c r="EN9" i="27" a="1"/>
  <c r="EN9" i="27" s="1"/>
  <c r="EN2" i="27"/>
  <c r="EN8" i="27"/>
  <c r="ER9" i="27" a="1"/>
  <c r="ER9" i="27" s="1"/>
  <c r="ER2" i="27"/>
  <c r="ER8" i="27"/>
  <c r="EV9" i="27" a="1"/>
  <c r="EV9" i="27" s="1"/>
  <c r="EV2" i="27"/>
  <c r="EV8" i="27"/>
  <c r="EZ9" i="27" a="1"/>
  <c r="EZ9" i="27" s="1"/>
  <c r="EZ2" i="27"/>
  <c r="EZ8" i="27"/>
  <c r="FD9" i="27" a="1"/>
  <c r="FD9" i="27" s="1"/>
  <c r="FD2" i="27"/>
  <c r="FD8" i="27"/>
  <c r="FH9" i="27" a="1"/>
  <c r="FH9" i="27" s="1"/>
  <c r="FH2" i="27"/>
  <c r="FH8" i="27"/>
  <c r="FL9" i="27" a="1"/>
  <c r="FL9" i="27" s="1"/>
  <c r="FL2" i="27"/>
  <c r="FL8" i="27"/>
  <c r="FP9" i="27" a="1"/>
  <c r="FP9" i="27" s="1"/>
  <c r="FP2" i="27"/>
  <c r="FP8" i="27"/>
  <c r="FT9" i="27" a="1"/>
  <c r="FT9" i="27" s="1"/>
  <c r="FT2" i="27"/>
  <c r="FT8" i="27"/>
  <c r="BT25" i="27"/>
  <c r="DP25" i="27"/>
  <c r="FL25" i="27"/>
  <c r="AB74" i="27"/>
  <c r="AB66" i="27"/>
  <c r="AB61" i="27"/>
  <c r="AB56" i="27"/>
  <c r="AB73" i="27"/>
  <c r="AB60" i="27"/>
  <c r="AB55" i="27"/>
  <c r="AB50" i="27"/>
  <c r="AB72" i="27"/>
  <c r="AB68" i="27"/>
  <c r="AB54" i="27"/>
  <c r="AB49" i="27"/>
  <c r="AB67" i="27"/>
  <c r="AB130" i="27"/>
  <c r="AB128" i="27"/>
  <c r="AB123" i="27"/>
  <c r="AB118" i="27"/>
  <c r="AB104" i="27"/>
  <c r="AB122" i="27"/>
  <c r="AB117" i="27"/>
  <c r="AB112" i="27"/>
  <c r="AB116" i="27"/>
  <c r="AB111" i="27"/>
  <c r="AB106" i="27"/>
  <c r="AB129" i="27"/>
  <c r="AB124" i="27"/>
  <c r="AQ2" i="30"/>
  <c r="AM2" i="30"/>
  <c r="BB2" i="30"/>
  <c r="AX2" i="30"/>
  <c r="AT2" i="30"/>
  <c r="AP2" i="30"/>
  <c r="AL2" i="30"/>
  <c r="BM2" i="30"/>
  <c r="BI2" i="30"/>
  <c r="BE2" i="30"/>
  <c r="BA2" i="30"/>
  <c r="AW2" i="30"/>
  <c r="AS2" i="30"/>
  <c r="AO2" i="30"/>
  <c r="AK2" i="30"/>
  <c r="BH2" i="30"/>
  <c r="BK2" i="29"/>
  <c r="BG2" i="29"/>
  <c r="AQ2" i="29"/>
  <c r="AM2" i="29"/>
  <c r="BD2" i="30"/>
  <c r="AN2" i="30"/>
  <c r="AZ2" i="30"/>
  <c r="BM2" i="29"/>
  <c r="BI2" i="29"/>
  <c r="BE2" i="29"/>
  <c r="AS2" i="29"/>
  <c r="AO2" i="29"/>
  <c r="AK2" i="29"/>
  <c r="BL2" i="30"/>
  <c r="AV2" i="30"/>
  <c r="AV2" i="29"/>
  <c r="AN2" i="29"/>
  <c r="BJ2" i="29"/>
  <c r="BB2" i="29"/>
  <c r="AT2" i="29"/>
  <c r="AL2" i="29"/>
  <c r="AZ2" i="29"/>
  <c r="AR2" i="29"/>
  <c r="AJ2" i="29"/>
  <c r="BF2" i="29"/>
  <c r="AX2" i="29"/>
  <c r="AU2" i="24"/>
  <c r="AQ2" i="24"/>
  <c r="BA2" i="23"/>
  <c r="AW2" i="23"/>
  <c r="AS2" i="23"/>
  <c r="AO2" i="23"/>
  <c r="AK2" i="23"/>
  <c r="BB2" i="22"/>
  <c r="AX2" i="22"/>
  <c r="AT2" i="22"/>
  <c r="AI2" i="20"/>
  <c r="BD2" i="23"/>
  <c r="AZ2" i="23"/>
  <c r="AV2" i="23"/>
  <c r="FV2" i="27"/>
  <c r="FR2" i="27"/>
  <c r="FN2" i="27"/>
  <c r="FJ2" i="27"/>
  <c r="FF2" i="27"/>
  <c r="FB2" i="27"/>
  <c r="EX2" i="27"/>
  <c r="ET2" i="27"/>
  <c r="EP2" i="27"/>
  <c r="EL2" i="27"/>
  <c r="EH2" i="27"/>
  <c r="ED2" i="27"/>
  <c r="DZ2" i="27"/>
  <c r="DV2" i="27"/>
  <c r="DR2" i="27"/>
  <c r="DN2" i="27"/>
  <c r="DJ2" i="27"/>
  <c r="DF2" i="27"/>
  <c r="DB2" i="27"/>
  <c r="CX2" i="27"/>
  <c r="CT2" i="27"/>
  <c r="CP2" i="27"/>
  <c r="CL2" i="27"/>
  <c r="CH2" i="27"/>
  <c r="CD2" i="27"/>
  <c r="BZ2" i="27"/>
  <c r="BV2" i="27"/>
  <c r="BR2" i="27"/>
  <c r="BN2" i="27"/>
  <c r="BJ2" i="27"/>
  <c r="BF2" i="27"/>
  <c r="BB2" i="27"/>
  <c r="AX2" i="27"/>
  <c r="AT2" i="27"/>
  <c r="AP2" i="27"/>
  <c r="AL2" i="27"/>
  <c r="AH2" i="27"/>
  <c r="AK2" i="24"/>
  <c r="AG2" i="24"/>
  <c r="BC2" i="23"/>
  <c r="AY2" i="23"/>
  <c r="AR2" i="22"/>
  <c r="AN2" i="22"/>
  <c r="AJ2" i="22"/>
  <c r="G315" i="30" a="1"/>
  <c r="G315" i="30" s="1"/>
  <c r="G315" i="29" a="1"/>
  <c r="G315" i="29" s="1"/>
  <c r="G197" i="28" a="1"/>
  <c r="G197" i="28" s="1"/>
  <c r="G141" i="27" a="1"/>
  <c r="G141" i="27" s="1"/>
  <c r="R141" i="27" a="1"/>
  <c r="R141" i="27" s="1"/>
  <c r="B32" i="7"/>
  <c r="B54" i="7"/>
  <c r="AO2" i="9"/>
  <c r="AS2" i="9"/>
  <c r="AW2" i="9"/>
  <c r="BA2" i="9"/>
  <c r="BE2" i="9"/>
  <c r="AG9" i="9" a="1"/>
  <c r="AG9" i="9" s="1"/>
  <c r="AO9" i="9" a="1"/>
  <c r="AO9" i="9" s="1"/>
  <c r="AS9" i="9" a="1"/>
  <c r="AS9" i="9" s="1"/>
  <c r="AW9" i="9" a="1"/>
  <c r="AW9" i="9" s="1"/>
  <c r="BA9" i="9" a="1"/>
  <c r="BA9" i="9" s="1"/>
  <c r="BE9" i="9" a="1"/>
  <c r="BE9" i="9" s="1"/>
  <c r="AS2" i="10"/>
  <c r="AW2" i="10"/>
  <c r="BA2" i="10"/>
  <c r="AK9" i="10" a="1"/>
  <c r="AK9" i="10" s="1"/>
  <c r="AO9" i="10" a="1"/>
  <c r="AO9" i="10" s="1"/>
  <c r="AL2" i="11"/>
  <c r="AP2" i="11"/>
  <c r="AK9" i="11" a="1"/>
  <c r="AK9" i="11" s="1"/>
  <c r="AO9" i="11" a="1"/>
  <c r="AO9" i="11" s="1"/>
  <c r="AS9" i="11" a="1"/>
  <c r="AS9" i="11" s="1"/>
  <c r="AJ2" i="13"/>
  <c r="AN2" i="13"/>
  <c r="AR2" i="13"/>
  <c r="AV2" i="13"/>
  <c r="AZ2" i="13"/>
  <c r="AJ2" i="14"/>
  <c r="AN2" i="14"/>
  <c r="AR2" i="14"/>
  <c r="AV2" i="14"/>
  <c r="AZ2" i="14"/>
  <c r="AH8" i="14"/>
  <c r="AT8" i="14"/>
  <c r="AX8" i="14"/>
  <c r="BB8" i="14"/>
  <c r="AH51" i="14"/>
  <c r="AL51" i="14"/>
  <c r="AT51" i="14"/>
  <c r="AX51" i="14"/>
  <c r="AB75" i="14"/>
  <c r="AF84" i="14"/>
  <c r="AJ84" i="14"/>
  <c r="AN84" i="14"/>
  <c r="AV84" i="14"/>
  <c r="AB91" i="14"/>
  <c r="AB97" i="14"/>
  <c r="AB101" i="14"/>
  <c r="AB105" i="14"/>
  <c r="AB107" i="14"/>
  <c r="AK2" i="15"/>
  <c r="AO2" i="15"/>
  <c r="AW2" i="15"/>
  <c r="BA2" i="15"/>
  <c r="AE10" i="17" a="1"/>
  <c r="AE10" i="17" s="1"/>
  <c r="AK2" i="18"/>
  <c r="AO2" i="18"/>
  <c r="AW2" i="18"/>
  <c r="BA2" i="18"/>
  <c r="K28" i="18"/>
  <c r="AG57" i="18"/>
  <c r="AK57" i="18"/>
  <c r="AO57" i="18"/>
  <c r="AS57" i="18"/>
  <c r="AW57" i="18"/>
  <c r="BA57" i="18"/>
  <c r="K93" i="18"/>
  <c r="AE13" i="19"/>
  <c r="AB104" i="19"/>
  <c r="AQ2" i="22"/>
  <c r="AL2" i="23"/>
  <c r="BB2" i="23"/>
  <c r="AM9" i="23" a="1"/>
  <c r="AM9" i="23" s="1"/>
  <c r="AU9" i="23" a="1"/>
  <c r="AU9" i="23" s="1"/>
  <c r="AN2" i="24"/>
  <c r="AT9" i="24" a="1"/>
  <c r="AT9" i="24" s="1"/>
  <c r="F33" i="24" a="1"/>
  <c r="F33" i="24" s="1"/>
  <c r="F34" i="24" s="1" a="1"/>
  <c r="F34" i="24" s="1"/>
  <c r="F49" i="24" a="1"/>
  <c r="F49" i="24" s="1"/>
  <c r="F50" i="24" s="1" a="1"/>
  <c r="F50" i="24" s="1"/>
  <c r="AB77" i="26"/>
  <c r="AB76" i="26"/>
  <c r="AB75" i="26"/>
  <c r="AB72" i="26"/>
  <c r="AB71" i="26"/>
  <c r="AB163" i="26"/>
  <c r="AB173" i="26"/>
  <c r="AK2" i="27"/>
  <c r="BA2" i="27"/>
  <c r="BQ2" i="27"/>
  <c r="CG2" i="27"/>
  <c r="CW2" i="27"/>
  <c r="DM2" i="27"/>
  <c r="EC2" i="27"/>
  <c r="ES2" i="27"/>
  <c r="FI2" i="27"/>
  <c r="AD9" i="27" a="1"/>
  <c r="AD9" i="27" s="1"/>
  <c r="AD25" i="27"/>
  <c r="AK8" i="27"/>
  <c r="BA8" i="27"/>
  <c r="BI8" i="27"/>
  <c r="BY8" i="27"/>
  <c r="CG8" i="27"/>
  <c r="CW8" i="27"/>
  <c r="DE8" i="27"/>
  <c r="DU8" i="27"/>
  <c r="EC8" i="27"/>
  <c r="ES8" i="27"/>
  <c r="FA8" i="27"/>
  <c r="FQ8" i="27"/>
  <c r="AD8" i="27"/>
  <c r="AJ25" i="27"/>
  <c r="CF25" i="27"/>
  <c r="EB25" i="27"/>
  <c r="AB48" i="27"/>
  <c r="AB105" i="27"/>
  <c r="AB110" i="27"/>
  <c r="F155" i="27" a="1"/>
  <c r="F155" i="27" s="1"/>
  <c r="F156" i="27" s="1" a="1"/>
  <c r="F156" i="27" s="1"/>
  <c r="T154" i="27"/>
  <c r="T155" i="27" s="1" a="1"/>
  <c r="T155" i="27" s="1"/>
  <c r="B28" i="7"/>
  <c r="AE51" i="14"/>
  <c r="AI51" i="14"/>
  <c r="AM51" i="14"/>
  <c r="AU51" i="14"/>
  <c r="AY51" i="14"/>
  <c r="AK84" i="14"/>
  <c r="AO84" i="14"/>
  <c r="AW84" i="14"/>
  <c r="AB103" i="14"/>
  <c r="AB111" i="14"/>
  <c r="AJ2" i="16"/>
  <c r="AN2" i="16"/>
  <c r="AR2" i="16"/>
  <c r="AV2" i="16"/>
  <c r="AZ2" i="16"/>
  <c r="K55" i="18"/>
  <c r="K113" i="18"/>
  <c r="AB82" i="19"/>
  <c r="AB91" i="19"/>
  <c r="AB98" i="19"/>
  <c r="AB110" i="19"/>
  <c r="AI9" i="21" a="1"/>
  <c r="AI9" i="21" s="1"/>
  <c r="AU2" i="22"/>
  <c r="AP2" i="23"/>
  <c r="AG30" i="23"/>
  <c r="AK30" i="23"/>
  <c r="AO30" i="23"/>
  <c r="AS30" i="23"/>
  <c r="AW30" i="23"/>
  <c r="BA30" i="23"/>
  <c r="AG88" i="23"/>
  <c r="AK88" i="23"/>
  <c r="AO88" i="23"/>
  <c r="AS88" i="23"/>
  <c r="AW88" i="23"/>
  <c r="BA88" i="23"/>
  <c r="AR2" i="24"/>
  <c r="AO9" i="24" a="1"/>
  <c r="AO9" i="24" s="1"/>
  <c r="AO2" i="24"/>
  <c r="B120" i="26"/>
  <c r="B121" i="26" s="1" a="1"/>
  <c r="B121" i="26" s="1"/>
  <c r="AO2" i="27"/>
  <c r="BE2" i="27"/>
  <c r="BU2" i="27"/>
  <c r="CK2" i="27"/>
  <c r="DA2" i="27"/>
  <c r="DQ2" i="27"/>
  <c r="EG2" i="27"/>
  <c r="EW2" i="27"/>
  <c r="FM2" i="27"/>
  <c r="AV25" i="27"/>
  <c r="CR25" i="27"/>
  <c r="EN25" i="27"/>
  <c r="AB62" i="27"/>
  <c r="AG13" i="19"/>
  <c r="AB132" i="19"/>
  <c r="AV2" i="22"/>
  <c r="AZ2" i="22"/>
  <c r="AS2" i="24"/>
  <c r="AW2" i="24"/>
  <c r="AE8" i="27"/>
  <c r="AI8" i="27"/>
  <c r="AM8" i="27"/>
  <c r="AQ8" i="27"/>
  <c r="AU8" i="27"/>
  <c r="AY8" i="27"/>
  <c r="BC8" i="27"/>
  <c r="BG8" i="27"/>
  <c r="BK8" i="27"/>
  <c r="BO8" i="27"/>
  <c r="BS8" i="27"/>
  <c r="BW8" i="27"/>
  <c r="CA8" i="27"/>
  <c r="CE8" i="27"/>
  <c r="CI8" i="27"/>
  <c r="CM8" i="27"/>
  <c r="CQ8" i="27"/>
  <c r="CU8" i="27"/>
  <c r="CY8" i="27"/>
  <c r="DC8" i="27"/>
  <c r="DG8" i="27"/>
  <c r="DK8" i="27"/>
  <c r="DO8" i="27"/>
  <c r="DS8" i="27"/>
  <c r="DW8" i="27"/>
  <c r="EA8" i="27"/>
  <c r="EE8" i="27"/>
  <c r="EI8" i="27"/>
  <c r="EM8" i="27"/>
  <c r="EQ8" i="27"/>
  <c r="EU8" i="27"/>
  <c r="EY8" i="27"/>
  <c r="FC8" i="27"/>
  <c r="FG8" i="27"/>
  <c r="FK8" i="27"/>
  <c r="FO8" i="27"/>
  <c r="FS8" i="27"/>
  <c r="FW8" i="27"/>
  <c r="AG9" i="27" a="1"/>
  <c r="AG9" i="27" s="1"/>
  <c r="AI9" i="27" a="1"/>
  <c r="AI9" i="27" s="1"/>
  <c r="AK9" i="27" a="1"/>
  <c r="AK9" i="27" s="1"/>
  <c r="AM9" i="27" a="1"/>
  <c r="AM9" i="27" s="1"/>
  <c r="AO9" i="27" a="1"/>
  <c r="AO9" i="27" s="1"/>
  <c r="AQ9" i="27" a="1"/>
  <c r="AQ9" i="27" s="1"/>
  <c r="AS9" i="27" a="1"/>
  <c r="AS9" i="27" s="1"/>
  <c r="AU9" i="27" a="1"/>
  <c r="AU9" i="27" s="1"/>
  <c r="AW9" i="27" a="1"/>
  <c r="AW9" i="27" s="1"/>
  <c r="AY9" i="27" a="1"/>
  <c r="AY9" i="27" s="1"/>
  <c r="BA9" i="27" a="1"/>
  <c r="BA9" i="27" s="1"/>
  <c r="BC9" i="27" a="1"/>
  <c r="BC9" i="27" s="1"/>
  <c r="BE9" i="27" a="1"/>
  <c r="BE9" i="27" s="1"/>
  <c r="BG9" i="27" a="1"/>
  <c r="BG9" i="27" s="1"/>
  <c r="BI9" i="27" a="1"/>
  <c r="BI9" i="27" s="1"/>
  <c r="BK9" i="27" a="1"/>
  <c r="BK9" i="27" s="1"/>
  <c r="BM9" i="27" a="1"/>
  <c r="BM9" i="27" s="1"/>
  <c r="BO9" i="27" a="1"/>
  <c r="BO9" i="27" s="1"/>
  <c r="BQ9" i="27" a="1"/>
  <c r="BQ9" i="27" s="1"/>
  <c r="BS9" i="27" a="1"/>
  <c r="BS9" i="27" s="1"/>
  <c r="BU9" i="27" a="1"/>
  <c r="BU9" i="27" s="1"/>
  <c r="BW9" i="27" a="1"/>
  <c r="BW9" i="27" s="1"/>
  <c r="BY9" i="27" a="1"/>
  <c r="BY9" i="27" s="1"/>
  <c r="CA9" i="27" a="1"/>
  <c r="CA9" i="27" s="1"/>
  <c r="CC9" i="27" a="1"/>
  <c r="CC9" i="27" s="1"/>
  <c r="CE9" i="27" a="1"/>
  <c r="CE9" i="27" s="1"/>
  <c r="CG9" i="27" a="1"/>
  <c r="CG9" i="27" s="1"/>
  <c r="CI9" i="27" a="1"/>
  <c r="CI9" i="27" s="1"/>
  <c r="CK9" i="27" a="1"/>
  <c r="CK9" i="27" s="1"/>
  <c r="CM9" i="27" a="1"/>
  <c r="CM9" i="27" s="1"/>
  <c r="CO9" i="27" a="1"/>
  <c r="CO9" i="27" s="1"/>
  <c r="CQ9" i="27" a="1"/>
  <c r="CQ9" i="27" s="1"/>
  <c r="CS9" i="27" a="1"/>
  <c r="CS9" i="27" s="1"/>
  <c r="CU9" i="27" a="1"/>
  <c r="CU9" i="27" s="1"/>
  <c r="CW9" i="27" a="1"/>
  <c r="CW9" i="27" s="1"/>
  <c r="CY9" i="27" a="1"/>
  <c r="CY9" i="27" s="1"/>
  <c r="DA9" i="27" a="1"/>
  <c r="DA9" i="27" s="1"/>
  <c r="DC9" i="27" a="1"/>
  <c r="DC9" i="27" s="1"/>
  <c r="DE9" i="27" a="1"/>
  <c r="DE9" i="27" s="1"/>
  <c r="DG9" i="27" a="1"/>
  <c r="DG9" i="27" s="1"/>
  <c r="DI9" i="27" a="1"/>
  <c r="DI9" i="27" s="1"/>
  <c r="DK9" i="27" a="1"/>
  <c r="DK9" i="27" s="1"/>
  <c r="DM9" i="27" a="1"/>
  <c r="DM9" i="27" s="1"/>
  <c r="DO9" i="27" a="1"/>
  <c r="DO9" i="27" s="1"/>
  <c r="DQ9" i="27" a="1"/>
  <c r="DQ9" i="27" s="1"/>
  <c r="DS9" i="27" a="1"/>
  <c r="DS9" i="27" s="1"/>
  <c r="DU9" i="27" a="1"/>
  <c r="DU9" i="27" s="1"/>
  <c r="DW9" i="27" a="1"/>
  <c r="DW9" i="27" s="1"/>
  <c r="DY9" i="27" a="1"/>
  <c r="DY9" i="27" s="1"/>
  <c r="EA9" i="27" a="1"/>
  <c r="EA9" i="27" s="1"/>
  <c r="EC9" i="27" a="1"/>
  <c r="EC9" i="27" s="1"/>
  <c r="EE9" i="27" a="1"/>
  <c r="EE9" i="27" s="1"/>
  <c r="EG9" i="27" a="1"/>
  <c r="EG9" i="27" s="1"/>
  <c r="EI9" i="27" a="1"/>
  <c r="EI9" i="27" s="1"/>
  <c r="EK9" i="27" a="1"/>
  <c r="EK9" i="27" s="1"/>
  <c r="EM9" i="27" a="1"/>
  <c r="EM9" i="27" s="1"/>
  <c r="EO9" i="27" a="1"/>
  <c r="EO9" i="27" s="1"/>
  <c r="EQ9" i="27" a="1"/>
  <c r="EQ9" i="27" s="1"/>
  <c r="ES9" i="27" a="1"/>
  <c r="ES9" i="27" s="1"/>
  <c r="EU9" i="27" a="1"/>
  <c r="EU9" i="27" s="1"/>
  <c r="EW9" i="27" a="1"/>
  <c r="EW9" i="27" s="1"/>
  <c r="EY9" i="27" a="1"/>
  <c r="EY9" i="27" s="1"/>
  <c r="FA9" i="27" a="1"/>
  <c r="FA9" i="27" s="1"/>
  <c r="FC9" i="27" a="1"/>
  <c r="FC9" i="27" s="1"/>
  <c r="FE9" i="27" a="1"/>
  <c r="FE9" i="27" s="1"/>
  <c r="FG9" i="27" a="1"/>
  <c r="FG9" i="27" s="1"/>
  <c r="FI9" i="27" a="1"/>
  <c r="FI9" i="27" s="1"/>
  <c r="FK9" i="27" a="1"/>
  <c r="FK9" i="27" s="1"/>
  <c r="FM9" i="27" a="1"/>
  <c r="FM9" i="27" s="1"/>
  <c r="FO9" i="27" a="1"/>
  <c r="FO9" i="27" s="1"/>
  <c r="FQ9" i="27" a="1"/>
  <c r="FQ9" i="27" s="1"/>
  <c r="FS9" i="27" a="1"/>
  <c r="FS9" i="27" s="1"/>
  <c r="FU9" i="27" a="1"/>
  <c r="FU9" i="27" s="1"/>
  <c r="FW9" i="27" a="1"/>
  <c r="FW9" i="27" s="1"/>
  <c r="AM25" i="27"/>
  <c r="AY25" i="27"/>
  <c r="BK25" i="27"/>
  <c r="BW25" i="27"/>
  <c r="CI25" i="27"/>
  <c r="CU25" i="27"/>
  <c r="DG25" i="27"/>
  <c r="DS25" i="27"/>
  <c r="EE25" i="27"/>
  <c r="EQ25" i="27"/>
  <c r="FC25" i="27"/>
  <c r="FO25" i="27"/>
  <c r="F31" i="28" a="1"/>
  <c r="F31" i="28" s="1"/>
  <c r="F32" i="28" s="1" a="1"/>
  <c r="F32" i="28" s="1"/>
  <c r="F33" i="28" s="1" a="1"/>
  <c r="F33" i="28" s="1"/>
  <c r="F34" i="28" s="1" a="1"/>
  <c r="F34" i="28" s="1"/>
  <c r="AN30" i="28"/>
  <c r="AJ2" i="21"/>
  <c r="AK2" i="22"/>
  <c r="AO2" i="22"/>
  <c r="AN2" i="23"/>
  <c r="AR2" i="23"/>
  <c r="AG8" i="27"/>
  <c r="AS8" i="27"/>
  <c r="BE8" i="27"/>
  <c r="BQ8" i="27"/>
  <c r="CC8" i="27"/>
  <c r="CO8" i="27"/>
  <c r="DA8" i="27"/>
  <c r="DM8" i="27"/>
  <c r="DY8" i="27"/>
  <c r="EK8" i="27"/>
  <c r="EW8" i="27"/>
  <c r="FI8" i="27"/>
  <c r="FU8" i="27"/>
  <c r="AK9" i="28"/>
  <c r="AK10" i="28" a="1"/>
  <c r="AK10" i="28" s="1"/>
  <c r="AN115" i="28"/>
  <c r="F116" i="28" a="1"/>
  <c r="F116" i="28" s="1"/>
  <c r="F117" i="28" s="1" a="1"/>
  <c r="F117" i="28" s="1"/>
  <c r="F118" i="28" s="1" a="1"/>
  <c r="F118" i="28" s="1"/>
  <c r="F119" i="28" s="1" a="1"/>
  <c r="F119" i="28" s="1"/>
  <c r="AB161" i="27"/>
  <c r="AB166" i="27"/>
  <c r="AB180" i="27"/>
  <c r="AB184" i="27"/>
  <c r="AB162" i="27"/>
  <c r="AB167" i="27"/>
  <c r="AB172" i="27"/>
  <c r="AB185" i="27"/>
  <c r="AE9" i="28"/>
  <c r="AI9" i="28"/>
  <c r="AP2" i="29"/>
  <c r="AB186" i="27"/>
  <c r="BO36" i="29"/>
  <c r="F37" i="29" a="1"/>
  <c r="F37" i="29" s="1"/>
  <c r="AB160" i="27"/>
  <c r="AB174" i="27"/>
  <c r="F201" i="28" a="1"/>
  <c r="F201" i="28" s="1"/>
  <c r="F202" i="28" s="1" a="1"/>
  <c r="F202" i="28" s="1"/>
  <c r="F203" i="28" s="1" a="1"/>
  <c r="F203" i="28" s="1"/>
  <c r="F204" i="28" s="1" a="1"/>
  <c r="F204" i="28" s="1"/>
  <c r="AN200" i="28"/>
  <c r="AE9" i="29" a="1"/>
  <c r="AE9" i="29" s="1"/>
  <c r="AI9" i="29" a="1"/>
  <c r="AI9" i="29" s="1"/>
  <c r="BH2" i="29"/>
  <c r="AF8" i="29"/>
  <c r="AJ8" i="29"/>
  <c r="AJ9" i="29" a="1"/>
  <c r="AJ9" i="29" s="1"/>
  <c r="AN8" i="29"/>
  <c r="AN9" i="29" a="1"/>
  <c r="AN9" i="29" s="1"/>
  <c r="AR8" i="29"/>
  <c r="AR9" i="29" a="1"/>
  <c r="AR9" i="29" s="1"/>
  <c r="AU2" i="29"/>
  <c r="AU8" i="29"/>
  <c r="AY2" i="29"/>
  <c r="AY8" i="29"/>
  <c r="BC2" i="29"/>
  <c r="BC8" i="29"/>
  <c r="D136" i="29" a="1"/>
  <c r="D136" i="29" s="1"/>
  <c r="D137" i="29" s="1" a="1"/>
  <c r="D137" i="29" s="1"/>
  <c r="AB135" i="29" a="1"/>
  <c r="AB135" i="29" s="1"/>
  <c r="AG8" i="29"/>
  <c r="F181" i="29" a="1"/>
  <c r="F181" i="29" s="1"/>
  <c r="BD2" i="29"/>
  <c r="BL2" i="29"/>
  <c r="AL9" i="29" a="1"/>
  <c r="AL9" i="29" s="1"/>
  <c r="AL8" i="29"/>
  <c r="AP9" i="29" a="1"/>
  <c r="AP9" i="29" s="1"/>
  <c r="AP8" i="29"/>
  <c r="AT9" i="29" a="1"/>
  <c r="AT9" i="29" s="1"/>
  <c r="AT8" i="29"/>
  <c r="AW2" i="29"/>
  <c r="BA2" i="29"/>
  <c r="BA8" i="29"/>
  <c r="D280" i="29" a="1"/>
  <c r="D280" i="29" s="1"/>
  <c r="D281" i="29" s="1" a="1"/>
  <c r="D281" i="29" s="1"/>
  <c r="AB279" i="29" a="1"/>
  <c r="AB279" i="29" s="1"/>
  <c r="F325" i="29" a="1"/>
  <c r="F325" i="29" s="1"/>
  <c r="AJ2" i="30"/>
  <c r="F37" i="30" a="1"/>
  <c r="F37" i="30" s="1"/>
  <c r="BO36" i="30"/>
  <c r="BD319" i="29"/>
  <c r="D136" i="30" a="1"/>
  <c r="D136" i="30" s="1"/>
  <c r="D137" i="30" s="1" a="1"/>
  <c r="D137" i="30" s="1"/>
  <c r="AB135" i="30" a="1"/>
  <c r="AB135" i="30" s="1"/>
  <c r="D424" i="29" a="1"/>
  <c r="D424" i="29" s="1"/>
  <c r="D425" i="29" s="1" a="1"/>
  <c r="D425" i="29" s="1"/>
  <c r="F199" i="30" a="1"/>
  <c r="F199" i="30" s="1"/>
  <c r="F345" i="30" a="1"/>
  <c r="F345" i="30" s="1"/>
  <c r="AE8" i="30"/>
  <c r="AI8" i="30"/>
  <c r="AH31" i="30"/>
  <c r="AJ8" i="30"/>
  <c r="AJ9" i="30" a="1"/>
  <c r="AJ9" i="30" s="1"/>
  <c r="AN8" i="30"/>
  <c r="AN9" i="30" a="1"/>
  <c r="AN9" i="30" s="1"/>
  <c r="AR8" i="30"/>
  <c r="AR9" i="30" a="1"/>
  <c r="AR9" i="30" s="1"/>
  <c r="AU2" i="30"/>
  <c r="AU8" i="30"/>
  <c r="AY2" i="30"/>
  <c r="AY8" i="30"/>
  <c r="BC2" i="30"/>
  <c r="BC8" i="30"/>
  <c r="BF9" i="30" a="1"/>
  <c r="BF9" i="30" s="1"/>
  <c r="BF2" i="30"/>
  <c r="BJ9" i="30" a="1"/>
  <c r="BJ9" i="30" s="1"/>
  <c r="BJ2" i="30"/>
  <c r="AU9" i="30" a="1"/>
  <c r="AU9" i="30" s="1"/>
  <c r="BC9" i="30" a="1"/>
  <c r="BC9" i="30" s="1"/>
  <c r="AH196" i="30"/>
  <c r="AF194" i="30"/>
  <c r="AR2" i="30"/>
  <c r="BG2" i="30"/>
  <c r="BK2" i="30"/>
  <c r="AH54" i="30"/>
  <c r="AH69" i="30"/>
  <c r="AH8" i="30"/>
  <c r="AL8" i="30"/>
  <c r="AP8" i="30"/>
  <c r="AT8" i="30"/>
  <c r="AX8" i="30"/>
  <c r="BB8" i="30"/>
  <c r="AB279" i="30" a="1"/>
  <c r="AB279" i="30" s="1"/>
  <c r="D280" i="30" a="1"/>
  <c r="D280" i="30" s="1"/>
  <c r="D281" i="30" s="1" a="1"/>
  <c r="D281" i="30" s="1"/>
  <c r="D424" i="30" a="1"/>
  <c r="D424" i="30" s="1"/>
  <c r="D425" i="30" s="1" a="1"/>
  <c r="D425" i="30" s="1"/>
  <c r="AB423" i="30" a="1"/>
  <c r="AB423" i="30" s="1"/>
  <c r="AF9" i="30" a="1"/>
  <c r="AF9" i="30" s="1"/>
  <c r="AV9" i="30" a="1"/>
  <c r="AV9" i="30" s="1"/>
  <c r="AZ9" i="30" a="1"/>
  <c r="AZ9" i="30" s="1"/>
  <c r="F33" i="31" a="1"/>
  <c r="F33" i="31" s="1"/>
  <c r="F87" i="31" a="1"/>
  <c r="F87" i="31" s="1"/>
  <c r="F88" i="31" s="1" a="1"/>
  <c r="F88" i="31" s="1"/>
  <c r="AB77" i="31"/>
  <c r="AO77" i="31" a="1"/>
  <c r="AO77" i="31" s="1"/>
  <c r="B77" i="31"/>
  <c r="AB126" i="31"/>
  <c r="AO126" i="31" a="1"/>
  <c r="AO126" i="31" s="1"/>
  <c r="B126" i="31"/>
  <c r="AB44" i="32"/>
  <c r="B44" i="32"/>
  <c r="AN44" i="32" a="1"/>
  <c r="AN44" i="32" s="1"/>
  <c r="AH207" i="30"/>
  <c r="AG206" i="30"/>
  <c r="AE316" i="30"/>
  <c r="AB76" i="32"/>
  <c r="B76" i="32"/>
  <c r="AN76" i="32" a="1"/>
  <c r="AN76" i="32" s="1"/>
  <c r="AG179" i="30"/>
  <c r="AH179" i="30" s="1"/>
  <c r="AG191" i="30"/>
  <c r="AH339" i="30"/>
  <c r="AF338" i="30"/>
  <c r="AF335" i="30" s="1"/>
  <c r="AH335" i="30" s="1"/>
  <c r="AH320" i="30"/>
  <c r="AG319" i="30"/>
  <c r="AF31" i="31"/>
  <c r="B31" i="31"/>
  <c r="AO31" i="31" a="1"/>
  <c r="AO31" i="31" s="1"/>
  <c r="F136" i="31" a="1"/>
  <c r="F136" i="31" s="1"/>
  <c r="AB36" i="32"/>
  <c r="B36" i="32"/>
  <c r="AN36" i="32" a="1"/>
  <c r="AN36" i="32" s="1"/>
  <c r="AB68" i="32"/>
  <c r="B68" i="32"/>
  <c r="AN68" i="32" a="1"/>
  <c r="AN68" i="32" s="1"/>
  <c r="AH325" i="30"/>
  <c r="AF323" i="30"/>
  <c r="AH323" i="30" s="1"/>
  <c r="AH338" i="30"/>
  <c r="AB94" i="31"/>
  <c r="AO94" i="31" a="1"/>
  <c r="AO94" i="31" s="1"/>
  <c r="B94" i="31"/>
  <c r="AB60" i="32"/>
  <c r="B60" i="32"/>
  <c r="AN60" i="32" a="1"/>
  <c r="AN60" i="32" s="1"/>
  <c r="AO87" i="31" a="1"/>
  <c r="AO87" i="31" s="1"/>
  <c r="AB87" i="31"/>
  <c r="B87" i="31"/>
  <c r="AB110" i="31"/>
  <c r="AO110" i="31" a="1"/>
  <c r="AO110" i="31" s="1"/>
  <c r="B110" i="31"/>
  <c r="AB52" i="32"/>
  <c r="B52" i="32"/>
  <c r="AN52" i="32" a="1"/>
  <c r="AN52" i="32" s="1"/>
  <c r="AB32" i="31"/>
  <c r="AB33" i="31"/>
  <c r="AB34" i="31"/>
  <c r="B34" i="31"/>
  <c r="AB35" i="31"/>
  <c r="B35" i="31"/>
  <c r="AB36" i="31"/>
  <c r="B36" i="31"/>
  <c r="AB37" i="31"/>
  <c r="B37" i="31"/>
  <c r="AB38" i="31"/>
  <c r="B38" i="31"/>
  <c r="AB39" i="31"/>
  <c r="B39" i="31"/>
  <c r="AB40" i="31"/>
  <c r="B40" i="31"/>
  <c r="AB41" i="31"/>
  <c r="AO41" i="31" a="1"/>
  <c r="AO41" i="31" s="1"/>
  <c r="B41" i="31"/>
  <c r="AB45" i="31"/>
  <c r="AO45" i="31" a="1"/>
  <c r="AO45" i="31" s="1"/>
  <c r="B45" i="31"/>
  <c r="AB49" i="31"/>
  <c r="AO49" i="31" a="1"/>
  <c r="AO49" i="31" s="1"/>
  <c r="B49" i="31"/>
  <c r="AB53" i="31"/>
  <c r="AO53" i="31" a="1"/>
  <c r="AO53" i="31" s="1"/>
  <c r="B53" i="31"/>
  <c r="AB57" i="31"/>
  <c r="AO57" i="31" a="1"/>
  <c r="AO57" i="31" s="1"/>
  <c r="B57" i="31"/>
  <c r="AB61" i="31"/>
  <c r="AO61" i="31" a="1"/>
  <c r="AO61" i="31" s="1"/>
  <c r="B61" i="31"/>
  <c r="AB73" i="31"/>
  <c r="AO73" i="31" a="1"/>
  <c r="AO73" i="31" s="1"/>
  <c r="B73" i="31"/>
  <c r="AB91" i="31"/>
  <c r="AO91" i="31" a="1"/>
  <c r="AO91" i="31" s="1"/>
  <c r="B91" i="31"/>
  <c r="AB106" i="31"/>
  <c r="AO106" i="31" a="1"/>
  <c r="AO106" i="31" s="1"/>
  <c r="B106" i="31"/>
  <c r="AB122" i="31"/>
  <c r="AO122" i="31" a="1"/>
  <c r="AO122" i="31" s="1"/>
  <c r="B122" i="31"/>
  <c r="AB32" i="32"/>
  <c r="B32" i="32"/>
  <c r="AN32" i="32" a="1"/>
  <c r="AN32" i="32" s="1"/>
  <c r="AN178" i="32" a="1"/>
  <c r="AN178" i="32" s="1"/>
  <c r="AB178" i="32"/>
  <c r="B178" i="32"/>
  <c r="AB69" i="31"/>
  <c r="AO69" i="31" a="1"/>
  <c r="AO69" i="31" s="1"/>
  <c r="B69" i="31"/>
  <c r="B82" i="31"/>
  <c r="AB102" i="31"/>
  <c r="AO102" i="31" a="1"/>
  <c r="AO102" i="31" s="1"/>
  <c r="B102" i="31"/>
  <c r="AB118" i="31"/>
  <c r="AO118" i="31" a="1"/>
  <c r="AO118" i="31" s="1"/>
  <c r="B118" i="31"/>
  <c r="AO133" i="31" a="1"/>
  <c r="AO133" i="31" s="1"/>
  <c r="B133" i="31"/>
  <c r="AB133" i="31"/>
  <c r="AO136" i="31" a="1"/>
  <c r="AO136" i="31" s="1"/>
  <c r="AB136" i="31"/>
  <c r="B136" i="31"/>
  <c r="AB40" i="32"/>
  <c r="B40" i="32"/>
  <c r="AN40" i="32" a="1"/>
  <c r="AN40" i="32" s="1"/>
  <c r="AB48" i="32"/>
  <c r="B48" i="32"/>
  <c r="AN48" i="32" a="1"/>
  <c r="AN48" i="32" s="1"/>
  <c r="AB56" i="32"/>
  <c r="B56" i="32"/>
  <c r="AN56" i="32" a="1"/>
  <c r="AN56" i="32" s="1"/>
  <c r="AB64" i="32"/>
  <c r="B64" i="32"/>
  <c r="AN64" i="32" a="1"/>
  <c r="AN64" i="32" s="1"/>
  <c r="AB72" i="32"/>
  <c r="B72" i="32"/>
  <c r="AN72" i="32" a="1"/>
  <c r="AN72" i="32" s="1"/>
  <c r="AN132" i="32" a="1"/>
  <c r="AN132" i="32" s="1"/>
  <c r="AB132" i="32"/>
  <c r="B132" i="32"/>
  <c r="AG350" i="30"/>
  <c r="AF32" i="31"/>
  <c r="B32" i="31"/>
  <c r="AF33" i="31"/>
  <c r="B33" i="31"/>
  <c r="AO33" i="31" a="1"/>
  <c r="AO33" i="31" s="1"/>
  <c r="AO43" i="31" a="1"/>
  <c r="AO43" i="31" s="1"/>
  <c r="B43" i="31"/>
  <c r="AB43" i="31"/>
  <c r="AO47" i="31" a="1"/>
  <c r="AO47" i="31" s="1"/>
  <c r="B47" i="31"/>
  <c r="AB47" i="31"/>
  <c r="AO51" i="31" a="1"/>
  <c r="AO51" i="31" s="1"/>
  <c r="B51" i="31"/>
  <c r="AB51" i="31"/>
  <c r="AO55" i="31" a="1"/>
  <c r="AO55" i="31" s="1"/>
  <c r="B55" i="31"/>
  <c r="AB55" i="31"/>
  <c r="AO59" i="31" a="1"/>
  <c r="AO59" i="31" s="1"/>
  <c r="B59" i="31"/>
  <c r="AB59" i="31"/>
  <c r="AO63" i="31" a="1"/>
  <c r="AO63" i="31" s="1"/>
  <c r="B63" i="31"/>
  <c r="AB63" i="31"/>
  <c r="AB65" i="31"/>
  <c r="AO65" i="31" a="1"/>
  <c r="AO65" i="31" s="1"/>
  <c r="B65" i="31"/>
  <c r="AB82" i="31"/>
  <c r="AO83" i="31" a="1"/>
  <c r="AO83" i="31" s="1"/>
  <c r="AB83" i="31"/>
  <c r="B83" i="31"/>
  <c r="AB98" i="31"/>
  <c r="AO98" i="31" a="1"/>
  <c r="AO98" i="31" s="1"/>
  <c r="B98" i="31"/>
  <c r="AB114" i="31"/>
  <c r="AO114" i="31" a="1"/>
  <c r="AO114" i="31" s="1"/>
  <c r="B114" i="31"/>
  <c r="AB130" i="31"/>
  <c r="AO130" i="31" a="1"/>
  <c r="AO130" i="31" s="1"/>
  <c r="B130" i="31"/>
  <c r="AO140" i="31" a="1"/>
  <c r="AO140" i="31" s="1"/>
  <c r="AB140" i="31"/>
  <c r="B140" i="31"/>
  <c r="AO143" i="31" a="1"/>
  <c r="AO143" i="31" s="1"/>
  <c r="B143" i="31"/>
  <c r="AB143" i="31"/>
  <c r="AB67" i="31"/>
  <c r="AB71" i="31"/>
  <c r="AB75" i="31"/>
  <c r="AB79" i="31"/>
  <c r="AB85" i="31"/>
  <c r="AO85" i="31" a="1"/>
  <c r="AO85" i="31" s="1"/>
  <c r="AB89" i="31"/>
  <c r="AO89" i="31" a="1"/>
  <c r="AO89" i="31" s="1"/>
  <c r="AB92" i="31"/>
  <c r="AB96" i="31"/>
  <c r="AB100" i="31"/>
  <c r="AB104" i="31"/>
  <c r="AB108" i="31"/>
  <c r="AB112" i="31"/>
  <c r="AB116" i="31"/>
  <c r="AB120" i="31"/>
  <c r="AB124" i="31"/>
  <c r="AB128" i="31"/>
  <c r="AB134" i="31"/>
  <c r="AO134" i="31" a="1"/>
  <c r="AO134" i="31" s="1"/>
  <c r="AB138" i="31"/>
  <c r="AO138" i="31" a="1"/>
  <c r="AO138" i="31" s="1"/>
  <c r="AB142" i="31"/>
  <c r="AO142" i="31" a="1"/>
  <c r="AO142" i="31" s="1"/>
  <c r="B149" i="31"/>
  <c r="AO149" i="31" a="1"/>
  <c r="AO149" i="31" s="1"/>
  <c r="AB153" i="31"/>
  <c r="AO153" i="31" a="1"/>
  <c r="AO153" i="31" s="1"/>
  <c r="B153" i="31"/>
  <c r="AB161" i="31"/>
  <c r="AO161" i="31" a="1"/>
  <c r="AO161" i="31" s="1"/>
  <c r="B161" i="31"/>
  <c r="AB169" i="31"/>
  <c r="AO169" i="31" a="1"/>
  <c r="AO169" i="31" s="1"/>
  <c r="B169" i="31"/>
  <c r="AB177" i="31"/>
  <c r="AO177" i="31" a="1"/>
  <c r="AO177" i="31" s="1"/>
  <c r="B177" i="31"/>
  <c r="F83" i="32" a="1"/>
  <c r="F83" i="32" s="1"/>
  <c r="F84" i="32" s="1" a="1"/>
  <c r="F84" i="32" s="1"/>
  <c r="F85" i="32" s="1" a="1"/>
  <c r="F85" i="32" s="1"/>
  <c r="F86" i="32" s="1" a="1"/>
  <c r="F86" i="32" s="1"/>
  <c r="F87" i="32" s="1" a="1"/>
  <c r="F87" i="32" s="1"/>
  <c r="F88" i="32" s="1" a="1"/>
  <c r="F88" i="32" s="1"/>
  <c r="F89" i="32" s="1" a="1"/>
  <c r="F89" i="32" s="1"/>
  <c r="F90" i="32" s="1" a="1"/>
  <c r="F90" i="32" s="1"/>
  <c r="F91" i="32" s="1" a="1"/>
  <c r="F91" i="32" s="1"/>
  <c r="F92" i="32" s="1" a="1"/>
  <c r="F92" i="32" s="1"/>
  <c r="F93" i="32" s="1" a="1"/>
  <c r="F93" i="32" s="1"/>
  <c r="F94" i="32" s="1" a="1"/>
  <c r="F94" i="32" s="1"/>
  <c r="F95" i="32" s="1" a="1"/>
  <c r="F95" i="32" s="1"/>
  <c r="F96" i="32" s="1" a="1"/>
  <c r="F96" i="32" s="1"/>
  <c r="F97" i="32" s="1" a="1"/>
  <c r="F97" i="32" s="1"/>
  <c r="F98" i="32" s="1" a="1"/>
  <c r="F98" i="32" s="1"/>
  <c r="F99" i="32" s="1" a="1"/>
  <c r="F99" i="32" s="1"/>
  <c r="F100" i="32" s="1" a="1"/>
  <c r="F100" i="32" s="1"/>
  <c r="F101" i="32" s="1" a="1"/>
  <c r="F101" i="32" s="1"/>
  <c r="F102" i="32" s="1" a="1"/>
  <c r="F102" i="32" s="1"/>
  <c r="F103" i="32" s="1" a="1"/>
  <c r="F103" i="32" s="1"/>
  <c r="F104" i="32" s="1" a="1"/>
  <c r="F104" i="32" s="1"/>
  <c r="F105" i="32" s="1" a="1"/>
  <c r="F105" i="32" s="1"/>
  <c r="F106" i="32" s="1" a="1"/>
  <c r="F106" i="32" s="1"/>
  <c r="F107" i="32" s="1" a="1"/>
  <c r="F107" i="32" s="1"/>
  <c r="F108" i="32" s="1" a="1"/>
  <c r="F108" i="32" s="1"/>
  <c r="F109" i="32" s="1" a="1"/>
  <c r="F109" i="32" s="1"/>
  <c r="F110" i="32" s="1" a="1"/>
  <c r="F110" i="32" s="1"/>
  <c r="F111" i="32" s="1" a="1"/>
  <c r="F111" i="32" s="1"/>
  <c r="F112" i="32" s="1" a="1"/>
  <c r="F112" i="32" s="1"/>
  <c r="F113" i="32" s="1" a="1"/>
  <c r="F113" i="32" s="1"/>
  <c r="F114" i="32" s="1" a="1"/>
  <c r="F114" i="32" s="1"/>
  <c r="F115" i="32" s="1" a="1"/>
  <c r="F115" i="32" s="1"/>
  <c r="F116" i="32" s="1" a="1"/>
  <c r="F116" i="32" s="1"/>
  <c r="F117" i="32" s="1" a="1"/>
  <c r="F117" i="32" s="1"/>
  <c r="F118" i="32" s="1" a="1"/>
  <c r="F118" i="32" s="1"/>
  <c r="F119" i="32" s="1" a="1"/>
  <c r="F119" i="32" s="1"/>
  <c r="F120" i="32" s="1" a="1"/>
  <c r="F120" i="32" s="1"/>
  <c r="F121" i="32" s="1" a="1"/>
  <c r="F121" i="32" s="1"/>
  <c r="F122" i="32" s="1" a="1"/>
  <c r="F122" i="32" s="1"/>
  <c r="F123" i="32" s="1" a="1"/>
  <c r="F123" i="32" s="1"/>
  <c r="F124" i="32" s="1" a="1"/>
  <c r="F124" i="32" s="1"/>
  <c r="F125" i="32" s="1" a="1"/>
  <c r="F125" i="32" s="1"/>
  <c r="F126" i="32" s="1" a="1"/>
  <c r="F126" i="32" s="1"/>
  <c r="F127" i="32" s="1" a="1"/>
  <c r="F127" i="32" s="1"/>
  <c r="F128" i="32" s="1" a="1"/>
  <c r="F128" i="32" s="1"/>
  <c r="F129" i="32" s="1" a="1"/>
  <c r="F129" i="32" s="1"/>
  <c r="F130" i="32" s="1" a="1"/>
  <c r="F130" i="32" s="1"/>
  <c r="F131" i="32" s="1" a="1"/>
  <c r="F131" i="32" s="1"/>
  <c r="F132" i="32" s="1" a="1"/>
  <c r="F132" i="32" s="1"/>
  <c r="F133" i="32" s="1" a="1"/>
  <c r="F133" i="32" s="1"/>
  <c r="T82" i="32"/>
  <c r="T83" i="32" s="1" a="1"/>
  <c r="T83" i="32" s="1"/>
  <c r="T84" i="32" s="1" a="1"/>
  <c r="T84" i="32" s="1"/>
  <c r="T85" i="32" s="1" a="1"/>
  <c r="T85" i="32" s="1"/>
  <c r="T86" i="32" s="1" a="1"/>
  <c r="T86" i="32" s="1"/>
  <c r="T87" i="32" s="1" a="1"/>
  <c r="T87" i="32" s="1"/>
  <c r="T88" i="32" s="1" a="1"/>
  <c r="T88" i="32" s="1"/>
  <c r="T89" i="32" s="1" a="1"/>
  <c r="T89" i="32" s="1"/>
  <c r="T90" i="32" s="1" a="1"/>
  <c r="T90" i="32" s="1"/>
  <c r="T91" i="32" s="1" a="1"/>
  <c r="T91" i="32" s="1"/>
  <c r="T92" i="32" s="1" a="1"/>
  <c r="T92" i="32" s="1"/>
  <c r="T93" i="32" s="1" a="1"/>
  <c r="T93" i="32" s="1"/>
  <c r="T94" i="32" s="1" a="1"/>
  <c r="T94" i="32" s="1"/>
  <c r="T95" i="32" s="1" a="1"/>
  <c r="T95" i="32" s="1"/>
  <c r="T96" i="32" s="1" a="1"/>
  <c r="T96" i="32" s="1"/>
  <c r="T97" i="32" s="1" a="1"/>
  <c r="T97" i="32" s="1"/>
  <c r="T98" i="32" s="1" a="1"/>
  <c r="T98" i="32" s="1"/>
  <c r="T99" i="32" s="1" a="1"/>
  <c r="T99" i="32" s="1"/>
  <c r="T100" i="32" s="1" a="1"/>
  <c r="T100" i="32" s="1"/>
  <c r="T101" i="32" s="1" a="1"/>
  <c r="T101" i="32" s="1"/>
  <c r="T102" i="32" s="1" a="1"/>
  <c r="T102" i="32" s="1"/>
  <c r="T103" i="32" s="1" a="1"/>
  <c r="T103" i="32" s="1"/>
  <c r="T104" i="32" s="1" a="1"/>
  <c r="T104" i="32" s="1"/>
  <c r="T105" i="32" s="1" a="1"/>
  <c r="T105" i="32" s="1"/>
  <c r="T106" i="32" s="1" a="1"/>
  <c r="T106" i="32" s="1"/>
  <c r="T107" i="32" s="1" a="1"/>
  <c r="T107" i="32" s="1"/>
  <c r="T108" i="32" s="1" a="1"/>
  <c r="T108" i="32" s="1"/>
  <c r="T109" i="32" s="1" a="1"/>
  <c r="T109" i="32" s="1"/>
  <c r="T110" i="32" s="1" a="1"/>
  <c r="T110" i="32" s="1"/>
  <c r="T111" i="32" s="1" a="1"/>
  <c r="T111" i="32" s="1"/>
  <c r="T112" i="32" s="1" a="1"/>
  <c r="T112" i="32" s="1"/>
  <c r="T113" i="32" s="1" a="1"/>
  <c r="T113" i="32" s="1"/>
  <c r="T114" i="32" s="1" a="1"/>
  <c r="T114" i="32" s="1"/>
  <c r="T115" i="32" s="1" a="1"/>
  <c r="T115" i="32" s="1"/>
  <c r="T116" i="32" s="1" a="1"/>
  <c r="T116" i="32" s="1"/>
  <c r="T117" i="32" s="1" a="1"/>
  <c r="T117" i="32" s="1"/>
  <c r="T118" i="32" s="1" a="1"/>
  <c r="T118" i="32" s="1"/>
  <c r="T119" i="32" s="1" a="1"/>
  <c r="T119" i="32" s="1"/>
  <c r="T120" i="32" s="1" a="1"/>
  <c r="T120" i="32" s="1"/>
  <c r="T121" i="32" s="1" a="1"/>
  <c r="T121" i="32" s="1"/>
  <c r="T122" i="32" s="1" a="1"/>
  <c r="T122" i="32" s="1"/>
  <c r="T123" i="32" s="1" a="1"/>
  <c r="T123" i="32" s="1"/>
  <c r="T124" i="32" s="1" a="1"/>
  <c r="T124" i="32" s="1"/>
  <c r="T125" i="32" s="1" a="1"/>
  <c r="T125" i="32" s="1"/>
  <c r="T126" i="32" s="1" a="1"/>
  <c r="T126" i="32" s="1"/>
  <c r="T127" i="32" s="1" a="1"/>
  <c r="T127" i="32" s="1"/>
  <c r="T128" i="32" s="1" a="1"/>
  <c r="T128" i="32" s="1"/>
  <c r="T129" i="32" s="1" a="1"/>
  <c r="T129" i="32" s="1"/>
  <c r="T130" i="32" s="1" a="1"/>
  <c r="T130" i="32" s="1"/>
  <c r="T131" i="32" s="1" a="1"/>
  <c r="T131" i="32" s="1"/>
  <c r="T132" i="32" s="1" a="1"/>
  <c r="T132" i="32" s="1"/>
  <c r="AN105" i="32" a="1"/>
  <c r="AN105" i="32" s="1"/>
  <c r="AB105" i="32"/>
  <c r="AN124" i="32" a="1"/>
  <c r="AN124" i="32" s="1"/>
  <c r="AB124" i="32"/>
  <c r="B124" i="32"/>
  <c r="AN134" i="32" a="1"/>
  <c r="AN134" i="32" s="1"/>
  <c r="AB134" i="32"/>
  <c r="B134" i="32"/>
  <c r="AN137" i="32" a="1"/>
  <c r="AN137" i="32" s="1"/>
  <c r="AB137" i="32"/>
  <c r="B137" i="32"/>
  <c r="F166" i="33" a="1"/>
  <c r="F166" i="33" s="1"/>
  <c r="T165" i="33"/>
  <c r="AO145" i="31" a="1"/>
  <c r="AO145" i="31" s="1"/>
  <c r="AB84" i="32"/>
  <c r="B84" i="32"/>
  <c r="AN84" i="32" a="1"/>
  <c r="AN84" i="32" s="1"/>
  <c r="AB88" i="32"/>
  <c r="B88" i="32"/>
  <c r="AN88" i="32" a="1"/>
  <c r="AN88" i="32" s="1"/>
  <c r="AB92" i="32"/>
  <c r="B92" i="32"/>
  <c r="AN92" i="32" a="1"/>
  <c r="AN92" i="32" s="1"/>
  <c r="AB96" i="32"/>
  <c r="B96" i="32"/>
  <c r="AN96" i="32" a="1"/>
  <c r="AN96" i="32" s="1"/>
  <c r="AB100" i="32"/>
  <c r="B100" i="32"/>
  <c r="AN100" i="32" a="1"/>
  <c r="AN100" i="32" s="1"/>
  <c r="AB104" i="32"/>
  <c r="B104" i="32"/>
  <c r="AN104" i="32" a="1"/>
  <c r="AN104" i="32" s="1"/>
  <c r="AN116" i="32" a="1"/>
  <c r="AN116" i="32" s="1"/>
  <c r="AB116" i="32"/>
  <c r="B116" i="32"/>
  <c r="F187" i="32" a="1"/>
  <c r="F187" i="32" s="1"/>
  <c r="F188" i="32" s="1" a="1"/>
  <c r="F188" i="32" s="1"/>
  <c r="F189" i="32" s="1" a="1"/>
  <c r="F189" i="32" s="1"/>
  <c r="F190" i="32" s="1" a="1"/>
  <c r="F190" i="32" s="1"/>
  <c r="F191" i="32" s="1" a="1"/>
  <c r="F191" i="32" s="1"/>
  <c r="F192" i="32" s="1" a="1"/>
  <c r="F192" i="32" s="1"/>
  <c r="F193" i="32" s="1" a="1"/>
  <c r="F193" i="32" s="1"/>
  <c r="F194" i="32" s="1" a="1"/>
  <c r="F194" i="32" s="1"/>
  <c r="F195" i="32" s="1" a="1"/>
  <c r="F195" i="32" s="1"/>
  <c r="F196" i="32" s="1" a="1"/>
  <c r="F196" i="32" s="1"/>
  <c r="F197" i="32" s="1" a="1"/>
  <c r="F197" i="32" s="1"/>
  <c r="F198" i="32" s="1" a="1"/>
  <c r="F198" i="32" s="1"/>
  <c r="F199" i="32" s="1" a="1"/>
  <c r="F199" i="32" s="1"/>
  <c r="F200" i="32" s="1" a="1"/>
  <c r="F200" i="32" s="1"/>
  <c r="F201" i="32" s="1" a="1"/>
  <c r="F201" i="32" s="1"/>
  <c r="F202" i="32" s="1" a="1"/>
  <c r="F202" i="32" s="1"/>
  <c r="F203" i="32" s="1" a="1"/>
  <c r="F203" i="32" s="1"/>
  <c r="F204" i="32" s="1" a="1"/>
  <c r="F204" i="32" s="1"/>
  <c r="F205" i="32" s="1" a="1"/>
  <c r="F205" i="32" s="1"/>
  <c r="F206" i="32" s="1" a="1"/>
  <c r="F206" i="32" s="1"/>
  <c r="F207" i="32" s="1" a="1"/>
  <c r="F207" i="32" s="1"/>
  <c r="F208" i="32" s="1" a="1"/>
  <c r="F208" i="32" s="1"/>
  <c r="F209" i="32" s="1" a="1"/>
  <c r="F209" i="32" s="1"/>
  <c r="F210" i="32" s="1" a="1"/>
  <c r="F210" i="32" s="1"/>
  <c r="F211" i="32" s="1" a="1"/>
  <c r="F211" i="32" s="1"/>
  <c r="F212" i="32" s="1" a="1"/>
  <c r="F212" i="32" s="1"/>
  <c r="F213" i="32" s="1" a="1"/>
  <c r="F213" i="32" s="1"/>
  <c r="F214" i="32" s="1" a="1"/>
  <c r="F214" i="32" s="1"/>
  <c r="F215" i="32" s="1" a="1"/>
  <c r="F215" i="32" s="1"/>
  <c r="F216" i="32" s="1" a="1"/>
  <c r="F216" i="32" s="1"/>
  <c r="F217" i="32" s="1" a="1"/>
  <c r="F217" i="32" s="1"/>
  <c r="F218" i="32" s="1" a="1"/>
  <c r="F218" i="32" s="1"/>
  <c r="F219" i="32" s="1" a="1"/>
  <c r="F219" i="32" s="1"/>
  <c r="F220" i="32" s="1" a="1"/>
  <c r="F220" i="32" s="1"/>
  <c r="F221" i="32" s="1" a="1"/>
  <c r="F221" i="32" s="1"/>
  <c r="F222" i="32" s="1" a="1"/>
  <c r="F222" i="32" s="1"/>
  <c r="F223" i="32" s="1" a="1"/>
  <c r="F223" i="32" s="1"/>
  <c r="F224" i="32" s="1" a="1"/>
  <c r="F224" i="32" s="1"/>
  <c r="F225" i="32" s="1" a="1"/>
  <c r="F225" i="32" s="1"/>
  <c r="F226" i="32" s="1" a="1"/>
  <c r="F226" i="32" s="1"/>
  <c r="F227" i="32" s="1" a="1"/>
  <c r="F227" i="32" s="1"/>
  <c r="F228" i="32" s="1" a="1"/>
  <c r="F228" i="32" s="1"/>
  <c r="F229" i="32" s="1" a="1"/>
  <c r="F229" i="32" s="1"/>
  <c r="F230" i="32" s="1" a="1"/>
  <c r="F230" i="32" s="1"/>
  <c r="F231" i="32" s="1" a="1"/>
  <c r="F231" i="32" s="1"/>
  <c r="F232" i="32" s="1" a="1"/>
  <c r="F232" i="32" s="1"/>
  <c r="F233" i="32" s="1" a="1"/>
  <c r="F233" i="32" s="1"/>
  <c r="F234" i="32" s="1" a="1"/>
  <c r="F234" i="32" s="1"/>
  <c r="F235" i="32" s="1" a="1"/>
  <c r="F235" i="32" s="1"/>
  <c r="F236" i="32" s="1" a="1"/>
  <c r="F236" i="32" s="1"/>
  <c r="F237" i="32" s="1" a="1"/>
  <c r="F237" i="32" s="1"/>
  <c r="T186" i="32"/>
  <c r="T187" i="32" s="1" a="1"/>
  <c r="T187" i="32" s="1"/>
  <c r="T188" i="32" s="1" a="1"/>
  <c r="T188" i="32" s="1"/>
  <c r="T189" i="32" s="1" a="1"/>
  <c r="T189" i="32" s="1"/>
  <c r="T190" i="32" s="1" a="1"/>
  <c r="T190" i="32" s="1"/>
  <c r="T191" i="32" s="1" a="1"/>
  <c r="T191" i="32" s="1"/>
  <c r="T192" i="32" s="1" a="1"/>
  <c r="T192" i="32" s="1"/>
  <c r="T193" i="32" s="1" a="1"/>
  <c r="T193" i="32" s="1"/>
  <c r="T194" i="32" s="1" a="1"/>
  <c r="T194" i="32" s="1"/>
  <c r="T195" i="32" s="1" a="1"/>
  <c r="T195" i="32" s="1"/>
  <c r="T196" i="32" s="1" a="1"/>
  <c r="T196" i="32" s="1"/>
  <c r="T197" i="32" s="1" a="1"/>
  <c r="T197" i="32" s="1"/>
  <c r="T198" i="32" s="1" a="1"/>
  <c r="T198" i="32" s="1"/>
  <c r="T199" i="32" s="1" a="1"/>
  <c r="T199" i="32" s="1"/>
  <c r="T200" i="32" s="1" a="1"/>
  <c r="T200" i="32" s="1"/>
  <c r="T201" i="32" s="1" a="1"/>
  <c r="T201" i="32" s="1"/>
  <c r="T202" i="32" s="1" a="1"/>
  <c r="T202" i="32" s="1"/>
  <c r="T203" i="32" s="1" a="1"/>
  <c r="T203" i="32" s="1"/>
  <c r="T204" i="32" s="1" a="1"/>
  <c r="T204" i="32" s="1"/>
  <c r="T205" i="32" s="1" a="1"/>
  <c r="T205" i="32" s="1"/>
  <c r="T206" i="32" s="1" a="1"/>
  <c r="T206" i="32" s="1"/>
  <c r="T207" i="32" s="1" a="1"/>
  <c r="T207" i="32" s="1"/>
  <c r="T208" i="32" s="1" a="1"/>
  <c r="T208" i="32" s="1"/>
  <c r="T209" i="32" s="1" a="1"/>
  <c r="T209" i="32" s="1"/>
  <c r="T210" i="32" s="1" a="1"/>
  <c r="T210" i="32" s="1"/>
  <c r="T211" i="32" s="1" a="1"/>
  <c r="T211" i="32" s="1"/>
  <c r="T212" i="32" s="1" a="1"/>
  <c r="T212" i="32" s="1"/>
  <c r="T213" i="32" s="1" a="1"/>
  <c r="T213" i="32" s="1"/>
  <c r="T214" i="32" s="1" a="1"/>
  <c r="T214" i="32" s="1"/>
  <c r="T215" i="32" s="1" a="1"/>
  <c r="T215" i="32" s="1"/>
  <c r="T216" i="32" s="1" a="1"/>
  <c r="T216" i="32" s="1"/>
  <c r="T217" i="32" s="1" a="1"/>
  <c r="T217" i="32" s="1"/>
  <c r="T218" i="32" s="1" a="1"/>
  <c r="T218" i="32" s="1"/>
  <c r="T219" i="32" s="1" a="1"/>
  <c r="T219" i="32" s="1"/>
  <c r="T220" i="32" s="1" a="1"/>
  <c r="T220" i="32" s="1"/>
  <c r="T221" i="32" s="1" a="1"/>
  <c r="T221" i="32" s="1"/>
  <c r="T222" i="32" s="1" a="1"/>
  <c r="T222" i="32" s="1"/>
  <c r="T223" i="32" s="1" a="1"/>
  <c r="T223" i="32" s="1"/>
  <c r="T224" i="32" s="1" a="1"/>
  <c r="T224" i="32" s="1"/>
  <c r="T225" i="32" s="1" a="1"/>
  <c r="T225" i="32" s="1"/>
  <c r="T226" i="32" s="1" a="1"/>
  <c r="T226" i="32" s="1"/>
  <c r="T227" i="32" s="1" a="1"/>
  <c r="T227" i="32" s="1"/>
  <c r="T228" i="32" s="1" a="1"/>
  <c r="T228" i="32" s="1"/>
  <c r="T229" i="32" s="1" a="1"/>
  <c r="T229" i="32" s="1"/>
  <c r="T230" i="32" s="1" a="1"/>
  <c r="T230" i="32" s="1"/>
  <c r="T231" i="32" s="1" a="1"/>
  <c r="T231" i="32" s="1"/>
  <c r="T232" i="32" s="1" a="1"/>
  <c r="T232" i="32" s="1"/>
  <c r="T233" i="32" s="1" a="1"/>
  <c r="T233" i="32" s="1"/>
  <c r="T234" i="32" s="1" a="1"/>
  <c r="T234" i="32" s="1"/>
  <c r="T235" i="32" s="1" a="1"/>
  <c r="T235" i="32" s="1"/>
  <c r="T236" i="32" s="1" a="1"/>
  <c r="T236" i="32" s="1"/>
  <c r="F255" i="33" a="1"/>
  <c r="F255" i="33" s="1"/>
  <c r="T254" i="33"/>
  <c r="B67" i="31"/>
  <c r="B71" i="31"/>
  <c r="B75" i="31"/>
  <c r="B79" i="31"/>
  <c r="B85" i="31"/>
  <c r="B89" i="31"/>
  <c r="B92" i="31"/>
  <c r="B96" i="31"/>
  <c r="B100" i="31"/>
  <c r="B104" i="31"/>
  <c r="B108" i="31"/>
  <c r="B112" i="31"/>
  <c r="B116" i="31"/>
  <c r="B120" i="31"/>
  <c r="B124" i="31"/>
  <c r="B128" i="31"/>
  <c r="B134" i="31"/>
  <c r="B138" i="31"/>
  <c r="B142" i="31"/>
  <c r="B146" i="31"/>
  <c r="AB146" i="31"/>
  <c r="AO150" i="31" a="1"/>
  <c r="AO150" i="31" s="1"/>
  <c r="B150" i="31"/>
  <c r="AB157" i="31"/>
  <c r="AO157" i="31" a="1"/>
  <c r="AO157" i="31" s="1"/>
  <c r="B157" i="31"/>
  <c r="AB165" i="31"/>
  <c r="AO165" i="31" a="1"/>
  <c r="AO165" i="31" s="1"/>
  <c r="B165" i="31"/>
  <c r="AB173" i="31"/>
  <c r="AO173" i="31" a="1"/>
  <c r="AO173" i="31" s="1"/>
  <c r="B173" i="31"/>
  <c r="AB181" i="31"/>
  <c r="AO181" i="31" a="1"/>
  <c r="AO181" i="31" s="1"/>
  <c r="B181" i="31"/>
  <c r="F30" i="32"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F49" i="32" s="1"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F69" i="32" s="1" a="1"/>
  <c r="F69" i="32" s="1"/>
  <c r="F70" i="32" s="1" a="1"/>
  <c r="F70" i="32" s="1"/>
  <c r="F71" i="32" s="1" a="1"/>
  <c r="F71" i="32" s="1"/>
  <c r="F72" i="32" s="1" a="1"/>
  <c r="F72" i="32" s="1"/>
  <c r="F73" i="32" s="1" a="1"/>
  <c r="F73" i="32" s="1"/>
  <c r="F74" i="32" s="1" a="1"/>
  <c r="F74" i="32" s="1"/>
  <c r="F75" i="32" s="1" a="1"/>
  <c r="F75" i="32" s="1"/>
  <c r="F76" i="32" s="1" a="1"/>
  <c r="F76" i="32" s="1"/>
  <c r="F77" i="32" s="1" a="1"/>
  <c r="F77" i="32" s="1"/>
  <c r="F78" i="32" s="1" a="1"/>
  <c r="F78" i="32" s="1"/>
  <c r="F79" i="32" s="1" a="1"/>
  <c r="F79" i="32" s="1"/>
  <c r="F80" i="32" s="1" a="1"/>
  <c r="F80" i="32" s="1"/>
  <c r="T80" i="32" s="1"/>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T49" i="32" s="1" a="1"/>
  <c r="T49" i="32" s="1"/>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69" i="32" s="1" a="1"/>
  <c r="T69" i="32" s="1"/>
  <c r="T70" i="32" s="1" a="1"/>
  <c r="T70" i="32" s="1"/>
  <c r="T71" i="32" s="1" a="1"/>
  <c r="T71" i="32" s="1"/>
  <c r="T72" i="32" s="1" a="1"/>
  <c r="T72" i="32" s="1"/>
  <c r="T73" i="32" s="1" a="1"/>
  <c r="T73" i="32" s="1"/>
  <c r="T74" i="32" s="1" a="1"/>
  <c r="T74" i="32" s="1"/>
  <c r="T75" i="32" s="1" a="1"/>
  <c r="T75" i="32" s="1"/>
  <c r="T76" i="32" s="1" a="1"/>
  <c r="T76" i="32" s="1"/>
  <c r="T77" i="32" s="1" a="1"/>
  <c r="T77" i="32" s="1"/>
  <c r="T78" i="32" s="1" a="1"/>
  <c r="T78" i="32" s="1"/>
  <c r="T79" i="32" s="1" a="1"/>
  <c r="T79" i="32" s="1"/>
  <c r="AN108" i="32" a="1"/>
  <c r="AN108" i="32" s="1"/>
  <c r="AB108" i="32"/>
  <c r="B108" i="32"/>
  <c r="AB30" i="32"/>
  <c r="AB107" i="32"/>
  <c r="B107" i="32"/>
  <c r="AB115" i="32"/>
  <c r="B115" i="32"/>
  <c r="AB123" i="32"/>
  <c r="B123" i="32"/>
  <c r="AB131" i="32"/>
  <c r="B131" i="32"/>
  <c r="AB136" i="32"/>
  <c r="B136" i="32"/>
  <c r="AB197" i="32"/>
  <c r="B197" i="32"/>
  <c r="AN197" i="32" a="1"/>
  <c r="AN197" i="32" s="1"/>
  <c r="B154" i="31"/>
  <c r="B158" i="31"/>
  <c r="B162" i="31"/>
  <c r="B166" i="31"/>
  <c r="B170" i="31"/>
  <c r="B174" i="31"/>
  <c r="B178" i="31"/>
  <c r="B182" i="31"/>
  <c r="AN202" i="32" a="1"/>
  <c r="AN202" i="32" s="1"/>
  <c r="AB202" i="32"/>
  <c r="B202" i="32"/>
  <c r="F77" i="33" a="1"/>
  <c r="F77" i="33" s="1"/>
  <c r="T76" i="33"/>
  <c r="B147" i="31"/>
  <c r="B151" i="31"/>
  <c r="B155" i="31"/>
  <c r="B159" i="31"/>
  <c r="B163" i="31"/>
  <c r="B167" i="31"/>
  <c r="B171" i="31"/>
  <c r="B175" i="31"/>
  <c r="B179" i="31"/>
  <c r="AB111" i="32"/>
  <c r="B111" i="32"/>
  <c r="B112" i="32"/>
  <c r="AB112" i="32"/>
  <c r="AB119" i="32"/>
  <c r="B119" i="32"/>
  <c r="B120" i="32"/>
  <c r="AB120" i="32"/>
  <c r="AB127" i="32"/>
  <c r="B127" i="32"/>
  <c r="B128" i="32"/>
  <c r="AB128" i="32"/>
  <c r="AB140" i="32"/>
  <c r="B140" i="32"/>
  <c r="AN140" i="32" a="1"/>
  <c r="AN140" i="32" s="1"/>
  <c r="AB144" i="32"/>
  <c r="B144" i="32"/>
  <c r="AN144" i="32" a="1"/>
  <c r="AN144" i="32" s="1"/>
  <c r="AB148" i="32"/>
  <c r="B148" i="32"/>
  <c r="AN148" i="32" a="1"/>
  <c r="AN148" i="32" s="1"/>
  <c r="AB152" i="32"/>
  <c r="B152" i="32"/>
  <c r="AN152" i="32" a="1"/>
  <c r="AN152" i="32" s="1"/>
  <c r="AB156" i="32"/>
  <c r="B156" i="32"/>
  <c r="AN156" i="32" a="1"/>
  <c r="AN156" i="32" s="1"/>
  <c r="AB160" i="32"/>
  <c r="B160" i="32"/>
  <c r="AN160" i="32" a="1"/>
  <c r="AN160" i="32" s="1"/>
  <c r="AB164" i="32"/>
  <c r="B164" i="32"/>
  <c r="AN164" i="32" a="1"/>
  <c r="AN164" i="32" s="1"/>
  <c r="AB168" i="32"/>
  <c r="B168" i="32"/>
  <c r="AN168" i="32" a="1"/>
  <c r="AN168" i="32" s="1"/>
  <c r="AB172" i="32"/>
  <c r="B172" i="32"/>
  <c r="AN172" i="32" a="1"/>
  <c r="AN172" i="32" s="1"/>
  <c r="AB177" i="32"/>
  <c r="B177" i="32"/>
  <c r="AB201" i="32"/>
  <c r="B201" i="32"/>
  <c r="B238" i="32"/>
  <c r="AN238" i="32" a="1"/>
  <c r="AN238" i="32" s="1"/>
  <c r="AB241" i="32"/>
  <c r="B241" i="32"/>
  <c r="AN243" i="32" a="1"/>
  <c r="AN243" i="32" s="1"/>
  <c r="AB243" i="32"/>
  <c r="AB249" i="32"/>
  <c r="B249" i="32"/>
  <c r="AN251" i="32" a="1"/>
  <c r="AN251" i="32" s="1"/>
  <c r="AB251" i="32"/>
  <c r="AB181" i="32"/>
  <c r="B181" i="32"/>
  <c r="B182" i="32"/>
  <c r="AB182" i="32"/>
  <c r="AB189" i="32"/>
  <c r="B189" i="32"/>
  <c r="B190" i="32"/>
  <c r="AB190" i="32"/>
  <c r="B205" i="32"/>
  <c r="AB205" i="32"/>
  <c r="AB193" i="32"/>
  <c r="B193" i="32"/>
  <c r="B194" i="32"/>
  <c r="AB194" i="32"/>
  <c r="AB238" i="32"/>
  <c r="AN239" i="32" a="1"/>
  <c r="AN239" i="32" s="1"/>
  <c r="AB239" i="32"/>
  <c r="AN241" i="32" a="1"/>
  <c r="AN241" i="32" s="1"/>
  <c r="B243" i="32"/>
  <c r="AB245" i="32"/>
  <c r="B245" i="32"/>
  <c r="AN247" i="32" a="1"/>
  <c r="AN247" i="32" s="1"/>
  <c r="AB247" i="32"/>
  <c r="AN249" i="32" a="1"/>
  <c r="AN249" i="32" s="1"/>
  <c r="B251" i="32"/>
  <c r="AB253" i="32"/>
  <c r="B253" i="32"/>
  <c r="AN255" i="32" a="1"/>
  <c r="AN255" i="32" s="1"/>
  <c r="AB255" i="32"/>
  <c r="AB257" i="32"/>
  <c r="B257" i="32"/>
  <c r="AN257" i="32" a="1"/>
  <c r="AN257" i="32" s="1"/>
  <c r="AB261" i="32"/>
  <c r="B261" i="32"/>
  <c r="AN261" i="32" a="1"/>
  <c r="AN261" i="32" s="1"/>
  <c r="AB265" i="32"/>
  <c r="B265" i="32"/>
  <c r="AN265" i="32" a="1"/>
  <c r="AN265" i="32" s="1"/>
  <c r="AB269" i="32"/>
  <c r="B269" i="32"/>
  <c r="AN269" i="32" a="1"/>
  <c r="AN269" i="32" s="1"/>
  <c r="AB273" i="32"/>
  <c r="B273" i="32"/>
  <c r="AN273" i="32" a="1"/>
  <c r="AN273" i="32" s="1"/>
  <c r="AB277" i="32"/>
  <c r="B277" i="32"/>
  <c r="AN277" i="32" a="1"/>
  <c r="AN277" i="32" s="1"/>
  <c r="AB285" i="32"/>
  <c r="B285" i="32"/>
  <c r="AE28" i="33"/>
  <c r="AE27" i="33" s="1"/>
  <c r="F31" i="34" a="1"/>
  <c r="F31" i="34" s="1"/>
  <c r="B188" i="32"/>
  <c r="B192" i="32"/>
  <c r="B196" i="32"/>
  <c r="B200" i="32"/>
  <c r="B204" i="32"/>
  <c r="AB208" i="32"/>
  <c r="B208" i="32"/>
  <c r="AN208" i="32" a="1"/>
  <c r="AN208" i="32" s="1"/>
  <c r="AB212" i="32"/>
  <c r="B212" i="32"/>
  <c r="AN212" i="32" a="1"/>
  <c r="AN212" i="32" s="1"/>
  <c r="AB216" i="32"/>
  <c r="B216" i="32"/>
  <c r="AN216" i="32" a="1"/>
  <c r="AN216" i="32" s="1"/>
  <c r="AB220" i="32"/>
  <c r="B220" i="32"/>
  <c r="AN220" i="32" a="1"/>
  <c r="AN220" i="32" s="1"/>
  <c r="AB224" i="32"/>
  <c r="B224" i="32"/>
  <c r="AN224" i="32" a="1"/>
  <c r="AN224" i="32" s="1"/>
  <c r="AB228" i="32"/>
  <c r="B228" i="32"/>
  <c r="AN228" i="32" a="1"/>
  <c r="AN228" i="32" s="1"/>
  <c r="AB232" i="32"/>
  <c r="B232" i="32"/>
  <c r="AN232" i="32" a="1"/>
  <c r="AN232" i="32" s="1"/>
  <c r="AB236" i="32"/>
  <c r="B236" i="32"/>
  <c r="AN236" i="32" a="1"/>
  <c r="AN236" i="32" s="1"/>
  <c r="AN287" i="32" a="1"/>
  <c r="AN287" i="32" s="1"/>
  <c r="AB287" i="32"/>
  <c r="F49" i="34" a="1"/>
  <c r="F49" i="34" s="1"/>
  <c r="K48" i="34"/>
  <c r="M48" i="34" a="1"/>
  <c r="M48" i="34" s="1"/>
  <c r="AF57" i="34"/>
  <c r="K67" i="34"/>
  <c r="F68" i="34" a="1"/>
  <c r="F68" i="34" s="1"/>
  <c r="AB259" i="32"/>
  <c r="AB263" i="32"/>
  <c r="AB267" i="32"/>
  <c r="AB271" i="32"/>
  <c r="AB275" i="32"/>
  <c r="AB279" i="32"/>
  <c r="AB281" i="32"/>
  <c r="B281" i="32"/>
  <c r="B282" i="32"/>
  <c r="AB282" i="32"/>
  <c r="AE205" i="33"/>
  <c r="K29" i="34"/>
  <c r="L67" i="34" a="1"/>
  <c r="L67" i="34" s="1"/>
  <c r="AE76" i="34"/>
  <c r="M20" i="42"/>
  <c r="M12" i="42"/>
  <c r="M16" i="42"/>
  <c r="AE57" i="34"/>
  <c r="M19" i="42"/>
  <c r="AE18" i="34" l="1"/>
  <c r="F238" i="32" a="1"/>
  <c r="F238" i="32" s="1"/>
  <c r="F239" i="32" s="1" a="1"/>
  <c r="F239" i="32" s="1"/>
  <c r="F240" i="32" s="1" a="1"/>
  <c r="F240" i="32" s="1"/>
  <c r="F241" i="32" s="1" a="1"/>
  <c r="F241" i="32" s="1"/>
  <c r="F242" i="32" s="1" a="1"/>
  <c r="F242" i="32" s="1"/>
  <c r="F243" i="32" s="1" a="1"/>
  <c r="F243" i="32" s="1"/>
  <c r="F244" i="32" s="1" a="1"/>
  <c r="F244" i="32" s="1"/>
  <c r="F245" i="32" s="1" a="1"/>
  <c r="F245" i="32" s="1"/>
  <c r="F246" i="32" s="1" a="1"/>
  <c r="F246" i="32" s="1"/>
  <c r="F247" i="32" s="1" a="1"/>
  <c r="F247" i="32" s="1"/>
  <c r="F248" i="32" s="1" a="1"/>
  <c r="F248" i="32" s="1"/>
  <c r="F249" i="32" s="1" a="1"/>
  <c r="F249" i="32" s="1"/>
  <c r="F250" i="32" s="1" a="1"/>
  <c r="F250" i="32" s="1"/>
  <c r="F251" i="32" s="1" a="1"/>
  <c r="F251" i="32" s="1"/>
  <c r="F252" i="32" s="1" a="1"/>
  <c r="F252" i="32" s="1"/>
  <c r="F253" i="32" s="1" a="1"/>
  <c r="F253" i="32" s="1"/>
  <c r="F254" i="32" s="1" a="1"/>
  <c r="F254" i="32" s="1"/>
  <c r="F255" i="32" s="1" a="1"/>
  <c r="F255" i="32" s="1"/>
  <c r="F256" i="32" s="1" a="1"/>
  <c r="F256" i="32" s="1"/>
  <c r="F257" i="32" s="1" a="1"/>
  <c r="F257" i="32" s="1"/>
  <c r="F258" i="32" s="1" a="1"/>
  <c r="F258" i="32" s="1"/>
  <c r="F259" i="32" s="1" a="1"/>
  <c r="F259" i="32" s="1"/>
  <c r="F260" i="32" s="1" a="1"/>
  <c r="F260" i="32" s="1"/>
  <c r="F261" i="32" s="1" a="1"/>
  <c r="F261" i="32" s="1"/>
  <c r="F262" i="32" s="1" a="1"/>
  <c r="F262" i="32" s="1"/>
  <c r="F263" i="32" s="1" a="1"/>
  <c r="F263" i="32" s="1"/>
  <c r="F264" i="32" s="1" a="1"/>
  <c r="F264" i="32" s="1"/>
  <c r="F265" i="32" s="1" a="1"/>
  <c r="F265" i="32" s="1"/>
  <c r="F266" i="32" s="1" a="1"/>
  <c r="F266" i="32" s="1"/>
  <c r="F267" i="32" s="1" a="1"/>
  <c r="F267" i="32" s="1"/>
  <c r="F268" i="32" s="1" a="1"/>
  <c r="F268" i="32" s="1"/>
  <c r="F269" i="32" s="1" a="1"/>
  <c r="F269" i="32" s="1"/>
  <c r="F270" i="32" s="1" a="1"/>
  <c r="F270" i="32" s="1"/>
  <c r="F271" i="32" s="1" a="1"/>
  <c r="F271" i="32" s="1"/>
  <c r="F272" i="32" s="1" a="1"/>
  <c r="F272" i="32" s="1"/>
  <c r="F273" i="32" s="1" a="1"/>
  <c r="F273" i="32" s="1"/>
  <c r="F274" i="32" s="1" a="1"/>
  <c r="F274" i="32" s="1"/>
  <c r="F275" i="32" s="1" a="1"/>
  <c r="F275" i="32" s="1"/>
  <c r="F276" i="32" s="1" a="1"/>
  <c r="F276" i="32" s="1"/>
  <c r="F277" i="32" s="1" a="1"/>
  <c r="F277" i="32" s="1"/>
  <c r="F278" i="32" s="1" a="1"/>
  <c r="F278" i="32" s="1"/>
  <c r="F279" i="32" s="1" a="1"/>
  <c r="F279" i="32" s="1"/>
  <c r="F280" i="32" s="1" a="1"/>
  <c r="F280" i="32" s="1"/>
  <c r="F281" i="32" s="1" a="1"/>
  <c r="F281" i="32" s="1"/>
  <c r="F282" i="32" s="1" a="1"/>
  <c r="F282" i="32" s="1"/>
  <c r="F283" i="32" s="1" a="1"/>
  <c r="F283" i="32" s="1"/>
  <c r="F284" i="32" s="1" a="1"/>
  <c r="F284" i="32" s="1"/>
  <c r="F285" i="32" s="1" a="1"/>
  <c r="F285" i="32" s="1"/>
  <c r="F286" i="32" s="1" a="1"/>
  <c r="F286" i="32" s="1"/>
  <c r="F287" i="32" s="1" a="1"/>
  <c r="F287" i="32" s="1"/>
  <c r="F288" i="32" s="1" a="1"/>
  <c r="F288" i="32" s="1"/>
  <c r="T288" i="32" s="1"/>
  <c r="T237" i="32"/>
  <c r="T238" i="32" s="1" a="1"/>
  <c r="T238" i="32" s="1"/>
  <c r="T239" i="32" s="1" a="1"/>
  <c r="T239" i="32" s="1"/>
  <c r="T240" i="32" s="1" a="1"/>
  <c r="T240" i="32" s="1"/>
  <c r="T241" i="32" s="1" a="1"/>
  <c r="T241" i="32" s="1"/>
  <c r="T242" i="32" s="1" a="1"/>
  <c r="T242" i="32" s="1"/>
  <c r="T243" i="32" s="1" a="1"/>
  <c r="T243" i="32" s="1"/>
  <c r="T244" i="32" s="1" a="1"/>
  <c r="T244" i="32" s="1"/>
  <c r="T245" i="32" s="1" a="1"/>
  <c r="T245" i="32" s="1"/>
  <c r="T246" i="32" s="1" a="1"/>
  <c r="T246" i="32" s="1"/>
  <c r="T247" i="32" s="1" a="1"/>
  <c r="T247" i="32" s="1"/>
  <c r="T248" i="32" s="1" a="1"/>
  <c r="T248" i="32" s="1"/>
  <c r="T249" i="32" s="1" a="1"/>
  <c r="T249" i="32" s="1"/>
  <c r="T250" i="32" s="1" a="1"/>
  <c r="T250" i="32" s="1"/>
  <c r="T251" i="32" s="1" a="1"/>
  <c r="T251" i="32" s="1"/>
  <c r="T252" i="32" s="1" a="1"/>
  <c r="T252" i="32" s="1"/>
  <c r="T253" i="32" s="1" a="1"/>
  <c r="T253" i="32" s="1"/>
  <c r="T254" i="32" s="1" a="1"/>
  <c r="T254" i="32" s="1"/>
  <c r="T255" i="32" s="1" a="1"/>
  <c r="T255" i="32" s="1"/>
  <c r="T256" i="32" s="1" a="1"/>
  <c r="T256" i="32" s="1"/>
  <c r="T257" i="32" s="1" a="1"/>
  <c r="T257" i="32" s="1"/>
  <c r="T258" i="32" s="1" a="1"/>
  <c r="T258" i="32" s="1"/>
  <c r="T259" i="32" s="1" a="1"/>
  <c r="T259" i="32" s="1"/>
  <c r="T260" i="32" s="1" a="1"/>
  <c r="T260" i="32" s="1"/>
  <c r="T261" i="32" s="1" a="1"/>
  <c r="T261" i="32" s="1"/>
  <c r="T262" i="32" s="1" a="1"/>
  <c r="T262" i="32" s="1"/>
  <c r="T263" i="32" s="1" a="1"/>
  <c r="T263" i="32" s="1"/>
  <c r="T264" i="32" s="1" a="1"/>
  <c r="T264" i="32" s="1"/>
  <c r="T265" i="32" s="1" a="1"/>
  <c r="T265" i="32" s="1"/>
  <c r="T266" i="32" s="1" a="1"/>
  <c r="T266" i="32" s="1"/>
  <c r="T267" i="32" s="1" a="1"/>
  <c r="T267" i="32" s="1"/>
  <c r="T268" i="32" s="1" a="1"/>
  <c r="T268" i="32" s="1"/>
  <c r="T269" i="32" s="1" a="1"/>
  <c r="T269" i="32" s="1"/>
  <c r="T270" i="32" s="1" a="1"/>
  <c r="T270" i="32" s="1"/>
  <c r="T271" i="32" s="1" a="1"/>
  <c r="T271" i="32" s="1"/>
  <c r="T272" i="32" s="1" a="1"/>
  <c r="T272" i="32" s="1"/>
  <c r="T273" i="32" s="1" a="1"/>
  <c r="T273" i="32" s="1"/>
  <c r="T274" i="32" s="1" a="1"/>
  <c r="T274" i="32" s="1"/>
  <c r="T275" i="32" s="1" a="1"/>
  <c r="T275" i="32" s="1"/>
  <c r="T276" i="32" s="1" a="1"/>
  <c r="T276" i="32" s="1"/>
  <c r="T277" i="32" s="1" a="1"/>
  <c r="T277" i="32" s="1"/>
  <c r="T278" i="32" s="1" a="1"/>
  <c r="T278" i="32" s="1"/>
  <c r="T279" i="32" s="1" a="1"/>
  <c r="T279" i="32" s="1"/>
  <c r="T280" i="32" s="1" a="1"/>
  <c r="T280" i="32" s="1"/>
  <c r="T281" i="32" s="1" a="1"/>
  <c r="T281" i="32" s="1"/>
  <c r="T282" i="32" s="1" a="1"/>
  <c r="T282" i="32" s="1"/>
  <c r="T283" i="32" s="1" a="1"/>
  <c r="T283" i="32" s="1"/>
  <c r="T284" i="32" s="1" a="1"/>
  <c r="T284" i="32" s="1"/>
  <c r="T285" i="32" s="1" a="1"/>
  <c r="T285" i="32" s="1"/>
  <c r="T286" i="32" s="1" a="1"/>
  <c r="T286" i="32" s="1"/>
  <c r="T287" i="32" s="1" a="1"/>
  <c r="T287" i="32" s="1"/>
  <c r="F167" i="33" a="1"/>
  <c r="F167" i="33" s="1"/>
  <c r="F168" i="33" s="1" a="1"/>
  <c r="F168" i="33" s="1"/>
  <c r="F169" i="33" s="1" a="1"/>
  <c r="F169" i="33" s="1"/>
  <c r="F170" i="33" s="1" a="1"/>
  <c r="F170" i="33" s="1"/>
  <c r="F171" i="33" s="1" a="1"/>
  <c r="F171" i="33" s="1"/>
  <c r="F172" i="33" s="1" a="1"/>
  <c r="F172" i="33" s="1"/>
  <c r="F173" i="33" s="1" a="1"/>
  <c r="F173" i="33" s="1"/>
  <c r="F174" i="33" s="1" a="1"/>
  <c r="F174" i="33" s="1"/>
  <c r="F175" i="33" s="1" a="1"/>
  <c r="F175" i="33" s="1"/>
  <c r="F176" i="33" s="1" a="1"/>
  <c r="F176" i="33" s="1"/>
  <c r="F177" i="33" s="1" a="1"/>
  <c r="F177" i="33" s="1"/>
  <c r="F178" i="33" s="1" a="1"/>
  <c r="F178" i="33" s="1"/>
  <c r="F179" i="33" s="1" a="1"/>
  <c r="F179" i="33" s="1"/>
  <c r="F180" i="33" s="1" a="1"/>
  <c r="F180" i="33" s="1"/>
  <c r="F181" i="33" s="1" a="1"/>
  <c r="F181" i="33" s="1"/>
  <c r="F182" i="33" s="1" a="1"/>
  <c r="F182" i="33" s="1"/>
  <c r="F183" i="33" s="1" a="1"/>
  <c r="F183" i="33" s="1"/>
  <c r="F184" i="33" s="1" a="1"/>
  <c r="F184" i="33" s="1"/>
  <c r="F185" i="33" s="1" a="1"/>
  <c r="F185" i="33" s="1"/>
  <c r="F186" i="33" s="1" a="1"/>
  <c r="F186" i="33" s="1"/>
  <c r="F187" i="33" s="1" a="1"/>
  <c r="F187" i="33" s="1"/>
  <c r="F188" i="33" s="1" a="1"/>
  <c r="F188" i="33" s="1"/>
  <c r="F189" i="33" s="1" a="1"/>
  <c r="F189" i="33" s="1"/>
  <c r="F190" i="33" s="1" a="1"/>
  <c r="F190" i="33" s="1"/>
  <c r="F191" i="33" s="1" a="1"/>
  <c r="F191" i="33" s="1"/>
  <c r="F192" i="33" s="1" a="1"/>
  <c r="F192" i="33" s="1"/>
  <c r="F193" i="33" s="1" a="1"/>
  <c r="F193" i="33" s="1"/>
  <c r="F194" i="33" s="1" a="1"/>
  <c r="F194" i="33" s="1"/>
  <c r="F195" i="33" s="1" a="1"/>
  <c r="F195" i="33" s="1"/>
  <c r="F196" i="33" s="1" a="1"/>
  <c r="F196" i="33" s="1"/>
  <c r="F197" i="33" s="1" a="1"/>
  <c r="F197" i="33" s="1"/>
  <c r="F198" i="33" s="1" a="1"/>
  <c r="F198" i="33" s="1"/>
  <c r="F199" i="33" s="1" a="1"/>
  <c r="F199" i="33" s="1"/>
  <c r="F200" i="33" s="1" a="1"/>
  <c r="F200" i="33" s="1"/>
  <c r="F201" i="33" s="1" a="1"/>
  <c r="F201" i="33" s="1"/>
  <c r="F202" i="33" s="1" a="1"/>
  <c r="F202" i="33" s="1"/>
  <c r="T166" i="33"/>
  <c r="T167" i="33" s="1" a="1"/>
  <c r="T167" i="33" s="1"/>
  <c r="AG197" i="30"/>
  <c r="AH197" i="30" s="1"/>
  <c r="AH206" i="30"/>
  <c r="F200" i="30" a="1"/>
  <c r="F200" i="30" s="1"/>
  <c r="AB425" i="29"/>
  <c r="D426" i="29" a="1"/>
  <c r="D426" i="29" s="1"/>
  <c r="F326" i="29" a="1"/>
  <c r="F326" i="29" s="1"/>
  <c r="F327" i="29" s="1" a="1"/>
  <c r="F327" i="29" s="1"/>
  <c r="F328" i="29" s="1" a="1"/>
  <c r="F328" i="29" s="1"/>
  <c r="F329" i="29" s="1" a="1"/>
  <c r="F329" i="29" s="1"/>
  <c r="F330" i="29" s="1" a="1"/>
  <c r="F330" i="29" s="1"/>
  <c r="F331" i="29" s="1" a="1"/>
  <c r="F331" i="29" s="1"/>
  <c r="F332" i="29" s="1" a="1"/>
  <c r="F332" i="29" s="1"/>
  <c r="F333" i="29" s="1" a="1"/>
  <c r="F333" i="29" s="1"/>
  <c r="F334" i="29" s="1" a="1"/>
  <c r="F334" i="29" s="1"/>
  <c r="F335" i="29" s="1" a="1"/>
  <c r="F335" i="29" s="1"/>
  <c r="F336" i="29" s="1" a="1"/>
  <c r="F336" i="29" s="1"/>
  <c r="F337" i="29" s="1" a="1"/>
  <c r="F337" i="29" s="1"/>
  <c r="F338" i="29" s="1" a="1"/>
  <c r="F338" i="29" s="1"/>
  <c r="F339" i="29" s="1" a="1"/>
  <c r="F339" i="29" s="1"/>
  <c r="F182" i="29" a="1"/>
  <c r="F182" i="29" s="1"/>
  <c r="F183" i="29" s="1" a="1"/>
  <c r="F183" i="29" s="1"/>
  <c r="F184" i="29" s="1" a="1"/>
  <c r="F184" i="29" s="1"/>
  <c r="F185" i="29" s="1" a="1"/>
  <c r="F185" i="29" s="1"/>
  <c r="F186" i="29" s="1" a="1"/>
  <c r="F186" i="29" s="1"/>
  <c r="F187" i="29" s="1" a="1"/>
  <c r="F187" i="29" s="1"/>
  <c r="F188" i="29" s="1" a="1"/>
  <c r="F188" i="29" s="1"/>
  <c r="F189" i="29" s="1" a="1"/>
  <c r="F189" i="29" s="1"/>
  <c r="F190" i="29" s="1" a="1"/>
  <c r="F190" i="29" s="1"/>
  <c r="F191" i="29" s="1" a="1"/>
  <c r="F191" i="29" s="1"/>
  <c r="F192" i="29" s="1" a="1"/>
  <c r="F192" i="29" s="1"/>
  <c r="F193" i="29" s="1" a="1"/>
  <c r="F193" i="29" s="1"/>
  <c r="F194" i="29" s="1" a="1"/>
  <c r="F194" i="29" s="1"/>
  <c r="F195" i="29" s="1" a="1"/>
  <c r="F195" i="29" s="1"/>
  <c r="AB137" i="29"/>
  <c r="D138" i="29" a="1"/>
  <c r="D138" i="29" s="1"/>
  <c r="AC36" i="7"/>
  <c r="B29" i="7" a="1"/>
  <c r="B29" i="7" s="1"/>
  <c r="B145" i="27"/>
  <c r="B146" i="27" s="1" a="1"/>
  <c r="B146" i="27" s="1"/>
  <c r="B147" i="27" s="1" a="1"/>
  <c r="B147" i="27" s="1"/>
  <c r="B148" i="27" s="1" a="1"/>
  <c r="B148" i="27" s="1"/>
  <c r="B149" i="27" s="1" a="1"/>
  <c r="B149" i="27" s="1"/>
  <c r="B150" i="27" s="1" a="1"/>
  <c r="B150" i="27" s="1"/>
  <c r="B151" i="27" s="1" a="1"/>
  <c r="B151" i="27" s="1"/>
  <c r="B152" i="27" s="1" a="1"/>
  <c r="B152" i="27" s="1"/>
  <c r="B153" i="27" s="1" a="1"/>
  <c r="B153" i="27" s="1"/>
  <c r="B154" i="27" s="1" a="1"/>
  <c r="B154" i="27" s="1"/>
  <c r="B155" i="27" s="1" a="1"/>
  <c r="B155" i="27" s="1"/>
  <c r="B156" i="27" s="1" a="1"/>
  <c r="B156" i="27" s="1"/>
  <c r="B157" i="27"/>
  <c r="B158" i="27" s="1" a="1"/>
  <c r="B158" i="27" s="1"/>
  <c r="B159" i="27" s="1" a="1"/>
  <c r="B159" i="27" s="1"/>
  <c r="B160" i="27" s="1" a="1"/>
  <c r="B160" i="27" s="1"/>
  <c r="B161" i="27" s="1" a="1"/>
  <c r="B161" i="27" s="1"/>
  <c r="B162" i="27" s="1" a="1"/>
  <c r="B162" i="27" s="1"/>
  <c r="B163" i="27" s="1" a="1"/>
  <c r="B163" i="27" s="1"/>
  <c r="B164" i="27" s="1" a="1"/>
  <c r="B164" i="27" s="1"/>
  <c r="B165" i="27" s="1" a="1"/>
  <c r="B165" i="27" s="1"/>
  <c r="B166" i="27" s="1" a="1"/>
  <c r="B166" i="27" s="1"/>
  <c r="B167" i="27" s="1" a="1"/>
  <c r="B167" i="27" s="1"/>
  <c r="B168" i="27" s="1" a="1"/>
  <c r="B168" i="27" s="1"/>
  <c r="B169" i="27" s="1" a="1"/>
  <c r="B169" i="27" s="1"/>
  <c r="B170" i="27" s="1" a="1"/>
  <c r="B170" i="27" s="1"/>
  <c r="B171" i="27" s="1" a="1"/>
  <c r="B171" i="27" s="1"/>
  <c r="B172" i="27" s="1" a="1"/>
  <c r="B172" i="27" s="1"/>
  <c r="B173" i="27" s="1" a="1"/>
  <c r="B173" i="27" s="1"/>
  <c r="B174" i="27" s="1" a="1"/>
  <c r="B174" i="27" s="1"/>
  <c r="B175" i="27" s="1" a="1"/>
  <c r="B175" i="27" s="1"/>
  <c r="B176" i="27" s="1" a="1"/>
  <c r="B176" i="27" s="1"/>
  <c r="B177" i="27" s="1" a="1"/>
  <c r="B177" i="27" s="1"/>
  <c r="B178" i="27" s="1" a="1"/>
  <c r="B178" i="27" s="1"/>
  <c r="B179" i="27" s="1" a="1"/>
  <c r="B179" i="27" s="1"/>
  <c r="B180" i="27" s="1" a="1"/>
  <c r="B180" i="27" s="1"/>
  <c r="B181" i="27" s="1" a="1"/>
  <c r="B181" i="27" s="1"/>
  <c r="B182" i="27" s="1" a="1"/>
  <c r="B182" i="27" s="1"/>
  <c r="B183" i="27" s="1" a="1"/>
  <c r="B183" i="27" s="1"/>
  <c r="B184" i="27" s="1" a="1"/>
  <c r="B184" i="27" s="1"/>
  <c r="B185" i="27" s="1" a="1"/>
  <c r="B185" i="27" s="1"/>
  <c r="B186" i="27" s="1" a="1"/>
  <c r="B186" i="27" s="1"/>
  <c r="B187" i="27" s="1" a="1"/>
  <c r="B187" i="27" s="1"/>
  <c r="B188" i="27" s="1" a="1"/>
  <c r="B188" i="27" s="1"/>
  <c r="F58" i="21" a="1"/>
  <c r="F58" i="21" s="1"/>
  <c r="F59" i="21" s="1" a="1"/>
  <c r="F59" i="21" s="1"/>
  <c r="F60" i="21" s="1" a="1"/>
  <c r="F60" i="21" s="1"/>
  <c r="F61" i="21" s="1" a="1"/>
  <c r="F61" i="21" s="1"/>
  <c r="F62" i="21" s="1" a="1"/>
  <c r="F62" i="21" s="1"/>
  <c r="F63" i="21" s="1" a="1"/>
  <c r="F63" i="21" s="1"/>
  <c r="F68" i="20" a="1"/>
  <c r="F68" i="20" s="1"/>
  <c r="S81" i="11"/>
  <c r="S107" i="11"/>
  <c r="T107" i="11" s="1"/>
  <c r="T108" i="11" s="1" a="1"/>
  <c r="T108" i="11" s="1"/>
  <c r="T109" i="11" s="1" a="1"/>
  <c r="T109" i="11" s="1"/>
  <c r="T110" i="11" s="1" a="1"/>
  <c r="T110" i="11" s="1"/>
  <c r="T111" i="11" s="1" a="1"/>
  <c r="T111" i="11" s="1"/>
  <c r="T112" i="11" s="1" a="1"/>
  <c r="T112" i="11" s="1"/>
  <c r="T113" i="11" s="1" a="1"/>
  <c r="T113" i="11" s="1"/>
  <c r="T114" i="11" s="1" a="1"/>
  <c r="T114" i="11" s="1"/>
  <c r="T115" i="11" s="1" a="1"/>
  <c r="T115" i="11" s="1"/>
  <c r="T116" i="11" s="1" a="1"/>
  <c r="T116" i="11" s="1"/>
  <c r="T117" i="11" s="1" a="1"/>
  <c r="T117" i="11" s="1"/>
  <c r="S28" i="11"/>
  <c r="S65" i="11"/>
  <c r="T65" i="11" s="1"/>
  <c r="T66" i="11" s="1" a="1"/>
  <c r="T66" i="11" s="1"/>
  <c r="T67" i="11" s="1" a="1"/>
  <c r="T67" i="11" s="1"/>
  <c r="T68" i="11" s="1" a="1"/>
  <c r="T68" i="11" s="1"/>
  <c r="T69" i="11" s="1" a="1"/>
  <c r="T69" i="11" s="1"/>
  <c r="T70" i="11" s="1" a="1"/>
  <c r="T70" i="11" s="1"/>
  <c r="T71" i="11" s="1" a="1"/>
  <c r="T71" i="11" s="1"/>
  <c r="T72" i="11" s="1" a="1"/>
  <c r="T72" i="11" s="1"/>
  <c r="T73" i="11" s="1" a="1"/>
  <c r="T73" i="11" s="1"/>
  <c r="T74" i="11" s="1" a="1"/>
  <c r="T74" i="11" s="1"/>
  <c r="T75" i="11" s="1" a="1"/>
  <c r="T75" i="11" s="1"/>
  <c r="T76" i="11" s="1" a="1"/>
  <c r="T76" i="11" s="1"/>
  <c r="T77" i="11" s="1" a="1"/>
  <c r="T77" i="11" s="1"/>
  <c r="T78" i="11" s="1" a="1"/>
  <c r="T78" i="11" s="1"/>
  <c r="T79" i="11" s="1" a="1"/>
  <c r="T79" i="11" s="1"/>
  <c r="H86" i="28"/>
  <c r="H85" i="28"/>
  <c r="T44" i="27"/>
  <c r="T45" i="27" s="1" a="1"/>
  <c r="T45" i="27" s="1"/>
  <c r="T46" i="27" s="1" a="1"/>
  <c r="T46" i="27" s="1"/>
  <c r="T47" i="27" s="1" a="1"/>
  <c r="T47" i="27" s="1"/>
  <c r="T48" i="27" s="1" a="1"/>
  <c r="T48" i="27" s="1"/>
  <c r="T49" i="27" s="1" a="1"/>
  <c r="T49" i="27" s="1"/>
  <c r="T50" i="27" s="1" a="1"/>
  <c r="T50" i="27" s="1"/>
  <c r="T51" i="27" s="1" a="1"/>
  <c r="T51" i="27" s="1"/>
  <c r="T52" i="27" s="1" a="1"/>
  <c r="T52" i="27" s="1"/>
  <c r="T53" i="27" s="1" a="1"/>
  <c r="T53" i="27" s="1"/>
  <c r="T54" i="27" s="1" a="1"/>
  <c r="T54" i="27" s="1"/>
  <c r="T55" i="27" s="1" a="1"/>
  <c r="T55" i="27" s="1"/>
  <c r="T56" i="27" s="1" a="1"/>
  <c r="T56" i="27" s="1"/>
  <c r="T57" i="27" s="1" a="1"/>
  <c r="T57" i="27" s="1"/>
  <c r="T58" i="27" s="1" a="1"/>
  <c r="T58" i="27" s="1"/>
  <c r="T59" i="27" s="1" a="1"/>
  <c r="T59" i="27" s="1"/>
  <c r="T60" i="27" s="1" a="1"/>
  <c r="T60" i="27" s="1"/>
  <c r="T61" i="27" s="1" a="1"/>
  <c r="T61" i="27" s="1"/>
  <c r="T62" i="27" s="1" a="1"/>
  <c r="T62" i="27" s="1"/>
  <c r="T63" i="27" s="1" a="1"/>
  <c r="T63" i="27" s="1"/>
  <c r="T64" i="27" s="1" a="1"/>
  <c r="T64" i="27" s="1"/>
  <c r="T65" i="27" s="1" a="1"/>
  <c r="T65" i="27" s="1"/>
  <c r="T66" i="27" s="1" a="1"/>
  <c r="T66" i="27" s="1"/>
  <c r="T67" i="27" s="1" a="1"/>
  <c r="T67" i="27" s="1"/>
  <c r="T68" i="27" s="1" a="1"/>
  <c r="T68" i="27" s="1"/>
  <c r="T69" i="27" s="1" a="1"/>
  <c r="T69" i="27" s="1"/>
  <c r="F45" i="27" a="1"/>
  <c r="F45" i="27" s="1"/>
  <c r="F46" i="27" s="1" a="1"/>
  <c r="F46" i="27" s="1"/>
  <c r="F47" i="27" s="1" a="1"/>
  <c r="F47" i="27" s="1"/>
  <c r="F48" i="27" s="1" a="1"/>
  <c r="F48" i="27" s="1"/>
  <c r="F49" i="27" s="1" a="1"/>
  <c r="F49" i="27" s="1"/>
  <c r="F50" i="27" s="1" a="1"/>
  <c r="F50" i="27" s="1"/>
  <c r="F51" i="27" s="1" a="1"/>
  <c r="F51" i="27" s="1"/>
  <c r="F52" i="27" s="1" a="1"/>
  <c r="F52" i="27" s="1"/>
  <c r="F53" i="27" s="1" a="1"/>
  <c r="F53" i="27" s="1"/>
  <c r="F54" i="27" s="1" a="1"/>
  <c r="F54" i="27" s="1"/>
  <c r="F55" i="27" s="1" a="1"/>
  <c r="F55" i="27" s="1"/>
  <c r="F56" i="27" s="1" a="1"/>
  <c r="F56" i="27" s="1"/>
  <c r="F57" i="27" s="1" a="1"/>
  <c r="F57" i="27" s="1"/>
  <c r="F58" i="27" s="1" a="1"/>
  <c r="F58" i="27" s="1"/>
  <c r="F59" i="27" s="1" a="1"/>
  <c r="F59" i="27" s="1"/>
  <c r="F60" i="27" s="1" a="1"/>
  <c r="F60" i="27" s="1"/>
  <c r="F61" i="27" s="1" a="1"/>
  <c r="F61" i="27" s="1"/>
  <c r="F62" i="27" s="1" a="1"/>
  <c r="F62" i="27" s="1"/>
  <c r="F63" i="27" s="1" a="1"/>
  <c r="F63" i="27" s="1"/>
  <c r="F64" i="27" s="1" a="1"/>
  <c r="F64" i="27" s="1"/>
  <c r="F65" i="27" s="1" a="1"/>
  <c r="F65" i="27" s="1"/>
  <c r="F66" i="27" s="1" a="1"/>
  <c r="F66" i="27" s="1"/>
  <c r="F67" i="27" s="1" a="1"/>
  <c r="F67" i="27" s="1"/>
  <c r="F68" i="27" s="1" a="1"/>
  <c r="F68" i="27" s="1"/>
  <c r="F69" i="27" s="1" a="1"/>
  <c r="F69" i="27" s="1"/>
  <c r="F70" i="27" s="1" a="1"/>
  <c r="F70" i="27" s="1"/>
  <c r="F35" i="26" a="1"/>
  <c r="F35" i="26" s="1"/>
  <c r="AZ225" i="11"/>
  <c r="AZ211" i="11"/>
  <c r="AJ225" i="11"/>
  <c r="AJ211" i="11"/>
  <c r="K113" i="23"/>
  <c r="F114" i="23" a="1"/>
  <c r="F114" i="23" s="1"/>
  <c r="F44" i="13" a="1"/>
  <c r="F44" i="13" s="1"/>
  <c r="T43" i="13"/>
  <c r="AV43" i="11"/>
  <c r="AV29" i="11"/>
  <c r="AF43" i="11"/>
  <c r="AF29" i="11"/>
  <c r="B41" i="7" a="1"/>
  <c r="B41" i="7" s="1"/>
  <c r="AC48" i="7"/>
  <c r="B179" i="28"/>
  <c r="B180" i="28"/>
  <c r="AF44" i="17"/>
  <c r="AF42" i="17" s="1"/>
  <c r="F69" i="9" a="1"/>
  <c r="F69" i="9" s="1"/>
  <c r="F70" i="9" s="1" a="1"/>
  <c r="F70" i="9" s="1"/>
  <c r="U68" i="9"/>
  <c r="U69" i="9" s="1" a="1"/>
  <c r="U69" i="9" s="1"/>
  <c r="U95" i="9"/>
  <c r="U96" i="9" s="1" a="1"/>
  <c r="U96" i="9" s="1"/>
  <c r="F96" i="9" a="1"/>
  <c r="F96" i="9" s="1"/>
  <c r="F97" i="9" s="1" a="1"/>
  <c r="F97" i="9" s="1"/>
  <c r="F69" i="34" a="1"/>
  <c r="F69" i="34" s="1"/>
  <c r="F134" i="32" a="1"/>
  <c r="F134" i="32" s="1"/>
  <c r="F135" i="32" s="1" a="1"/>
  <c r="F135" i="32" s="1"/>
  <c r="F136" i="32" s="1" a="1"/>
  <c r="F136" i="32" s="1"/>
  <c r="F137" i="32" s="1" a="1"/>
  <c r="F137" i="32" s="1"/>
  <c r="F138" i="32" s="1" a="1"/>
  <c r="F138" i="32" s="1"/>
  <c r="F139" i="32" s="1" a="1"/>
  <c r="F139" i="32" s="1"/>
  <c r="F140" i="32" s="1" a="1"/>
  <c r="F140" i="32" s="1"/>
  <c r="F141" i="32" s="1" a="1"/>
  <c r="F141" i="32" s="1"/>
  <c r="F142" i="32" s="1" a="1"/>
  <c r="F142" i="32" s="1"/>
  <c r="F143" i="32" s="1" a="1"/>
  <c r="F143" i="32" s="1"/>
  <c r="F144" i="32" s="1" a="1"/>
  <c r="F144" i="32" s="1"/>
  <c r="F145" i="32" s="1" a="1"/>
  <c r="F145" i="32" s="1"/>
  <c r="F146" i="32" s="1" a="1"/>
  <c r="F146" i="32" s="1"/>
  <c r="F147" i="32" s="1" a="1"/>
  <c r="F147" i="32" s="1"/>
  <c r="F148" i="32" s="1" a="1"/>
  <c r="F148" i="32" s="1"/>
  <c r="F149" i="32" s="1" a="1"/>
  <c r="F149" i="32" s="1"/>
  <c r="F150" i="32" s="1" a="1"/>
  <c r="F150" i="32" s="1"/>
  <c r="F151" i="32" s="1" a="1"/>
  <c r="F151" i="32" s="1"/>
  <c r="F152" i="32" s="1" a="1"/>
  <c r="F152" i="32" s="1"/>
  <c r="F153" i="32" s="1" a="1"/>
  <c r="F153" i="32" s="1"/>
  <c r="F154" i="32" s="1" a="1"/>
  <c r="F154" i="32" s="1"/>
  <c r="F155" i="32" s="1" a="1"/>
  <c r="F155" i="32" s="1"/>
  <c r="F156" i="32" s="1" a="1"/>
  <c r="F156" i="32" s="1"/>
  <c r="F157" i="32" s="1" a="1"/>
  <c r="F157" i="32" s="1"/>
  <c r="F158" i="32" s="1" a="1"/>
  <c r="F158" i="32" s="1"/>
  <c r="F159" i="32" s="1" a="1"/>
  <c r="F159" i="32" s="1"/>
  <c r="F160" i="32" s="1" a="1"/>
  <c r="F160" i="32" s="1"/>
  <c r="F161" i="32" s="1" a="1"/>
  <c r="F161" i="32" s="1"/>
  <c r="F162" i="32" s="1" a="1"/>
  <c r="F162" i="32" s="1"/>
  <c r="F163" i="32" s="1" a="1"/>
  <c r="F163" i="32" s="1"/>
  <c r="F164" i="32" s="1" a="1"/>
  <c r="F164" i="32" s="1"/>
  <c r="F165" i="32" s="1" a="1"/>
  <c r="F165" i="32" s="1"/>
  <c r="F166" i="32" s="1" a="1"/>
  <c r="F166" i="32" s="1"/>
  <c r="F167" i="32" s="1" a="1"/>
  <c r="F167" i="32" s="1"/>
  <c r="F168" i="32" s="1" a="1"/>
  <c r="F168" i="32" s="1"/>
  <c r="F169" i="32" s="1" a="1"/>
  <c r="F169" i="32" s="1"/>
  <c r="F170" i="32" s="1" a="1"/>
  <c r="F170" i="32" s="1"/>
  <c r="F171" i="32" s="1" a="1"/>
  <c r="F171" i="32" s="1"/>
  <c r="F172" i="32" s="1" a="1"/>
  <c r="F172" i="32" s="1"/>
  <c r="F173" i="32" s="1" a="1"/>
  <c r="F173" i="32" s="1"/>
  <c r="F174" i="32" s="1" a="1"/>
  <c r="F174" i="32" s="1"/>
  <c r="F175" i="32" s="1" a="1"/>
  <c r="F175" i="32" s="1"/>
  <c r="F176" i="32" s="1" a="1"/>
  <c r="F176" i="32" s="1"/>
  <c r="F177" i="32" s="1" a="1"/>
  <c r="F177" i="32" s="1"/>
  <c r="F178" i="32" s="1" a="1"/>
  <c r="F178" i="32" s="1"/>
  <c r="F179" i="32" s="1" a="1"/>
  <c r="F179" i="32" s="1"/>
  <c r="F180" i="32" s="1" a="1"/>
  <c r="F180" i="32" s="1"/>
  <c r="F181" i="32" s="1" a="1"/>
  <c r="F181" i="32" s="1"/>
  <c r="F182" i="32" s="1" a="1"/>
  <c r="F182" i="32" s="1"/>
  <c r="F183" i="32" s="1" a="1"/>
  <c r="F183" i="32" s="1"/>
  <c r="F184" i="32" s="1" a="1"/>
  <c r="F184" i="32" s="1"/>
  <c r="T184" i="32" s="1"/>
  <c r="T133" i="32"/>
  <c r="T134" i="32" s="1" a="1"/>
  <c r="T134" i="32" s="1"/>
  <c r="T135" i="32" s="1" a="1"/>
  <c r="T135" i="32" s="1"/>
  <c r="T136" i="32" s="1" a="1"/>
  <c r="T136" i="32" s="1"/>
  <c r="T137" i="32" s="1" a="1"/>
  <c r="T137" i="32" s="1"/>
  <c r="T138" i="32" s="1" a="1"/>
  <c r="T138" i="32" s="1"/>
  <c r="T139" i="32" s="1" a="1"/>
  <c r="T139" i="32" s="1"/>
  <c r="T140" i="32" s="1" a="1"/>
  <c r="T140" i="32" s="1"/>
  <c r="T141" i="32" s="1" a="1"/>
  <c r="T141" i="32" s="1"/>
  <c r="T142" i="32" s="1" a="1"/>
  <c r="T142" i="32" s="1"/>
  <c r="T143" i="32" s="1" a="1"/>
  <c r="T143" i="32" s="1"/>
  <c r="T144" i="32" s="1" a="1"/>
  <c r="T144" i="32" s="1"/>
  <c r="T145" i="32" s="1" a="1"/>
  <c r="T145" i="32" s="1"/>
  <c r="T146" i="32" s="1" a="1"/>
  <c r="T146" i="32" s="1"/>
  <c r="T147" i="32" s="1" a="1"/>
  <c r="T147" i="32" s="1"/>
  <c r="T148" i="32" s="1" a="1"/>
  <c r="T148" i="32" s="1"/>
  <c r="T149" i="32" s="1" a="1"/>
  <c r="T149" i="32" s="1"/>
  <c r="T150" i="32" s="1" a="1"/>
  <c r="T150" i="32" s="1"/>
  <c r="T151" i="32" s="1" a="1"/>
  <c r="T151" i="32" s="1"/>
  <c r="T152" i="32" s="1" a="1"/>
  <c r="T152" i="32" s="1"/>
  <c r="T153" i="32" s="1" a="1"/>
  <c r="T153" i="32" s="1"/>
  <c r="T154" i="32" s="1" a="1"/>
  <c r="T154" i="32" s="1"/>
  <c r="T155" i="32" s="1" a="1"/>
  <c r="T155" i="32" s="1"/>
  <c r="T156" i="32" s="1" a="1"/>
  <c r="T156" i="32" s="1"/>
  <c r="T157" i="32" s="1" a="1"/>
  <c r="T157" i="32" s="1"/>
  <c r="T158" i="32" s="1" a="1"/>
  <c r="T158" i="32" s="1"/>
  <c r="T159" i="32" s="1" a="1"/>
  <c r="T159" i="32" s="1"/>
  <c r="T160" i="32" s="1" a="1"/>
  <c r="T160" i="32" s="1"/>
  <c r="T161" i="32" s="1" a="1"/>
  <c r="T161" i="32" s="1"/>
  <c r="T162" i="32" s="1" a="1"/>
  <c r="T162" i="32" s="1"/>
  <c r="T163" i="32" s="1" a="1"/>
  <c r="T163" i="32" s="1"/>
  <c r="T164" i="32" s="1" a="1"/>
  <c r="T164" i="32" s="1"/>
  <c r="T165" i="32" s="1" a="1"/>
  <c r="T165" i="32" s="1"/>
  <c r="T166" i="32" s="1" a="1"/>
  <c r="T166" i="32" s="1"/>
  <c r="T167" i="32" s="1" a="1"/>
  <c r="T167" i="32" s="1"/>
  <c r="T168" i="32" s="1" a="1"/>
  <c r="T168" i="32" s="1"/>
  <c r="T169" i="32" s="1" a="1"/>
  <c r="T169" i="32" s="1"/>
  <c r="T170" i="32" s="1" a="1"/>
  <c r="T170" i="32" s="1"/>
  <c r="T171" i="32" s="1" a="1"/>
  <c r="T171" i="32" s="1"/>
  <c r="T172" i="32" s="1" a="1"/>
  <c r="T172" i="32" s="1"/>
  <c r="T173" i="32" s="1" a="1"/>
  <c r="T173" i="32" s="1"/>
  <c r="T174" i="32" s="1" a="1"/>
  <c r="T174" i="32" s="1"/>
  <c r="T175" i="32" s="1" a="1"/>
  <c r="T175" i="32" s="1"/>
  <c r="T176" i="32" s="1" a="1"/>
  <c r="T176" i="32" s="1"/>
  <c r="T177" i="32" s="1" a="1"/>
  <c r="T177" i="32" s="1"/>
  <c r="T178" i="32" s="1" a="1"/>
  <c r="T178" i="32" s="1"/>
  <c r="T179" i="32" s="1" a="1"/>
  <c r="T179" i="32" s="1"/>
  <c r="T180" i="32" s="1" a="1"/>
  <c r="T180" i="32" s="1"/>
  <c r="T181" i="32" s="1" a="1"/>
  <c r="T181" i="32" s="1"/>
  <c r="T182" i="32" s="1" a="1"/>
  <c r="T182" i="32" s="1"/>
  <c r="T183" i="32" s="1" a="1"/>
  <c r="T183" i="32" s="1"/>
  <c r="AF318" i="30"/>
  <c r="AF316" i="30" s="1"/>
  <c r="F137" i="31" a="1"/>
  <c r="F137" i="31" s="1"/>
  <c r="AH319" i="30"/>
  <c r="AG318" i="30"/>
  <c r="F34" i="31" a="1"/>
  <c r="F34" i="31" s="1"/>
  <c r="D282" i="30" a="1"/>
  <c r="D282" i="30" s="1"/>
  <c r="AB281" i="30"/>
  <c r="AF191" i="30"/>
  <c r="AF172" i="30" s="1"/>
  <c r="AH194" i="30"/>
  <c r="F38" i="30" a="1"/>
  <c r="F38" i="30" s="1"/>
  <c r="F39" i="30" s="1" a="1"/>
  <c r="F39" i="30" s="1"/>
  <c r="F40" i="30" s="1" a="1"/>
  <c r="F40" i="30" s="1"/>
  <c r="F41" i="30" s="1" a="1"/>
  <c r="F41" i="30" s="1"/>
  <c r="F42" i="30" s="1" a="1"/>
  <c r="F42" i="30" s="1"/>
  <c r="F43" i="30" s="1" a="1"/>
  <c r="F43" i="30" s="1"/>
  <c r="F44" i="30" s="1" a="1"/>
  <c r="F44" i="30" s="1"/>
  <c r="F45" i="30" s="1" a="1"/>
  <c r="F45" i="30" s="1"/>
  <c r="F46" i="30" s="1" a="1"/>
  <c r="F46" i="30" s="1"/>
  <c r="F47" i="30" s="1" a="1"/>
  <c r="F47" i="30" s="1"/>
  <c r="F48" i="30" s="1" a="1"/>
  <c r="F48" i="30" s="1"/>
  <c r="F49" i="30" s="1" a="1"/>
  <c r="F49" i="30" s="1"/>
  <c r="F50" i="30" s="1" a="1"/>
  <c r="F50" i="30" s="1"/>
  <c r="F51" i="30" s="1" a="1"/>
  <c r="F51" i="30" s="1"/>
  <c r="F205" i="28" a="1"/>
  <c r="F205" i="28" s="1"/>
  <c r="AN204" i="28"/>
  <c r="F85" i="23" a="1"/>
  <c r="F85" i="23" s="1"/>
  <c r="K84" i="23"/>
  <c r="K55" i="23"/>
  <c r="F56" i="23" a="1"/>
  <c r="F56" i="23" s="1"/>
  <c r="AP134" i="11"/>
  <c r="AP120" i="11"/>
  <c r="F58" i="22" a="1"/>
  <c r="F58" i="22" s="1"/>
  <c r="K57" i="22"/>
  <c r="AF32" i="17" a="1"/>
  <c r="AF32" i="17" s="1"/>
  <c r="AF33" i="17" s="1"/>
  <c r="AF31" i="17" s="1"/>
  <c r="F33" i="17" a="1"/>
  <c r="F33" i="17" s="1"/>
  <c r="AE32" i="17" a="1"/>
  <c r="AE32" i="17" s="1"/>
  <c r="AE33" i="17" s="1"/>
  <c r="AE31" i="17" s="1"/>
  <c r="AV225" i="11"/>
  <c r="AV211" i="11"/>
  <c r="AF225" i="11"/>
  <c r="AF211" i="11"/>
  <c r="AB30" i="8" a="1"/>
  <c r="AB30" i="8" s="1"/>
  <c r="W30" i="8" a="1"/>
  <c r="W30" i="8" s="1"/>
  <c r="F32" i="21" a="1"/>
  <c r="F32" i="21" s="1"/>
  <c r="F33" i="21" s="1" a="1"/>
  <c r="F33" i="21" s="1"/>
  <c r="F34" i="21" s="1" a="1"/>
  <c r="F34" i="21" s="1"/>
  <c r="F35" i="21" s="1" a="1"/>
  <c r="F35" i="21" s="1"/>
  <c r="F36" i="21" s="1" a="1"/>
  <c r="F36" i="21" s="1"/>
  <c r="F37" i="21" s="1" a="1"/>
  <c r="F37" i="21" s="1"/>
  <c r="AR43" i="11"/>
  <c r="AR29" i="11"/>
  <c r="T28" i="11"/>
  <c r="T29" i="11" s="1" a="1"/>
  <c r="T29" i="11" s="1"/>
  <c r="T30" i="11" s="1" a="1"/>
  <c r="T30" i="11" s="1"/>
  <c r="T31" i="11" s="1" a="1"/>
  <c r="T31" i="11" s="1"/>
  <c r="T32" i="11" s="1" a="1"/>
  <c r="T32" i="11" s="1"/>
  <c r="T33" i="11" s="1" a="1"/>
  <c r="T33" i="11" s="1"/>
  <c r="T34" i="11" s="1" a="1"/>
  <c r="T34" i="11" s="1"/>
  <c r="T35" i="11" s="1" a="1"/>
  <c r="T35" i="11" s="1"/>
  <c r="T36" i="11" s="1" a="1"/>
  <c r="T36" i="11" s="1"/>
  <c r="T37" i="11" s="1" a="1"/>
  <c r="T37" i="11" s="1"/>
  <c r="T38" i="11" s="1" a="1"/>
  <c r="T38" i="11" s="1"/>
  <c r="T39" i="11" s="1" a="1"/>
  <c r="T39" i="11" s="1"/>
  <c r="T40" i="11" s="1" a="1"/>
  <c r="T40" i="11" s="1"/>
  <c r="T41" i="11" s="1" a="1"/>
  <c r="T41" i="11" s="1"/>
  <c r="T42" i="11" s="1" a="1"/>
  <c r="T42" i="11" s="1"/>
  <c r="T43" i="11" s="1" a="1"/>
  <c r="T43" i="11" s="1"/>
  <c r="T44" i="11" s="1" a="1"/>
  <c r="T44" i="11" s="1"/>
  <c r="T45" i="11" s="1" a="1"/>
  <c r="T45" i="11" s="1"/>
  <c r="T46" i="11" s="1" a="1"/>
  <c r="T46" i="11" s="1"/>
  <c r="T47" i="11" s="1" a="1"/>
  <c r="T47" i="11" s="1"/>
  <c r="T48" i="11" s="1" a="1"/>
  <c r="T48" i="11" s="1"/>
  <c r="T49" i="11" s="1" a="1"/>
  <c r="T49" i="11" s="1"/>
  <c r="T50" i="11" s="1" a="1"/>
  <c r="T50" i="11" s="1"/>
  <c r="T51" i="11" s="1" a="1"/>
  <c r="T51" i="11" s="1"/>
  <c r="T52" i="11" s="1" a="1"/>
  <c r="T52" i="11" s="1"/>
  <c r="T53" i="11" s="1" a="1"/>
  <c r="T53" i="11" s="1"/>
  <c r="T54" i="11" s="1" a="1"/>
  <c r="T54" i="11" s="1"/>
  <c r="T55" i="11" s="1" a="1"/>
  <c r="T55" i="11" s="1"/>
  <c r="T56" i="11" s="1" a="1"/>
  <c r="T56" i="11" s="1"/>
  <c r="T57" i="11" s="1" a="1"/>
  <c r="T57" i="11" s="1"/>
  <c r="T58" i="11" s="1" a="1"/>
  <c r="T58" i="11" s="1"/>
  <c r="T59" i="11" s="1" a="1"/>
  <c r="T59" i="11" s="1"/>
  <c r="T60" i="11" s="1" a="1"/>
  <c r="T60" i="11" s="1"/>
  <c r="T61" i="11" s="1" a="1"/>
  <c r="T61" i="11" s="1"/>
  <c r="T62" i="11" s="1" a="1"/>
  <c r="T62" i="11" s="1"/>
  <c r="T63" i="11" s="1" a="1"/>
  <c r="T63" i="11" s="1"/>
  <c r="F140" i="26" a="1"/>
  <c r="F140" i="26" s="1"/>
  <c r="T54" i="14"/>
  <c r="T55" i="14" s="1" a="1"/>
  <c r="T55" i="14" s="1"/>
  <c r="T56" i="14" s="1" a="1"/>
  <c r="T56" i="14" s="1"/>
  <c r="F55" i="14" a="1"/>
  <c r="F55" i="14" s="1"/>
  <c r="F56" i="14" s="1" a="1"/>
  <c r="F56" i="14" s="1"/>
  <c r="F57" i="14" s="1" a="1"/>
  <c r="F57" i="14" s="1"/>
  <c r="AQ134" i="11"/>
  <c r="AQ120" i="11"/>
  <c r="T77" i="33"/>
  <c r="T78" i="33" s="1" a="1"/>
  <c r="T78" i="33" s="1"/>
  <c r="F78" i="33" a="1"/>
  <c r="F78" i="33" s="1"/>
  <c r="T255" i="33"/>
  <c r="T256" i="33" s="1" a="1"/>
  <c r="T256" i="33" s="1"/>
  <c r="F256" i="33" a="1"/>
  <c r="F256" i="33" s="1"/>
  <c r="F257" i="33" s="1" a="1"/>
  <c r="F257" i="33" s="1"/>
  <c r="F258" i="33" s="1" a="1"/>
  <c r="F258" i="33" s="1"/>
  <c r="F259" i="33" s="1" a="1"/>
  <c r="F259" i="33" s="1"/>
  <c r="F260" i="33" s="1" a="1"/>
  <c r="F260" i="33" s="1"/>
  <c r="F261" i="33" s="1" a="1"/>
  <c r="F261" i="33" s="1"/>
  <c r="F262" i="33" s="1" a="1"/>
  <c r="F262" i="33" s="1"/>
  <c r="F263" i="33" s="1" a="1"/>
  <c r="F263" i="33" s="1"/>
  <c r="F264" i="33" s="1" a="1"/>
  <c r="F264" i="33" s="1"/>
  <c r="F265" i="33" s="1" a="1"/>
  <c r="F265" i="33" s="1"/>
  <c r="F266" i="33" s="1" a="1"/>
  <c r="F266" i="33" s="1"/>
  <c r="F267" i="33" s="1" a="1"/>
  <c r="F267" i="33" s="1"/>
  <c r="F268" i="33" s="1" a="1"/>
  <c r="F268" i="33" s="1"/>
  <c r="F269" i="33" s="1" a="1"/>
  <c r="F269" i="33" s="1"/>
  <c r="F270" i="33" s="1" a="1"/>
  <c r="F270" i="33" s="1"/>
  <c r="F271" i="33" s="1" a="1"/>
  <c r="F271" i="33" s="1"/>
  <c r="F272" i="33" s="1" a="1"/>
  <c r="F272" i="33" s="1"/>
  <c r="F273" i="33" s="1" a="1"/>
  <c r="F273" i="33" s="1"/>
  <c r="F274" i="33" s="1" a="1"/>
  <c r="F274" i="33" s="1"/>
  <c r="F275" i="33" s="1" a="1"/>
  <c r="F275" i="33" s="1"/>
  <c r="F276" i="33" s="1" a="1"/>
  <c r="F276" i="33" s="1"/>
  <c r="F277" i="33" s="1" a="1"/>
  <c r="F277" i="33" s="1"/>
  <c r="F278" i="33" s="1" a="1"/>
  <c r="F278" i="33" s="1"/>
  <c r="F279" i="33" s="1" a="1"/>
  <c r="F279" i="33" s="1"/>
  <c r="F280" i="33" s="1" a="1"/>
  <c r="F280" i="33" s="1"/>
  <c r="F281" i="33" s="1" a="1"/>
  <c r="F281" i="33" s="1"/>
  <c r="F282" i="33" s="1" a="1"/>
  <c r="F282" i="33" s="1"/>
  <c r="F283" i="33" s="1" a="1"/>
  <c r="F283" i="33" s="1"/>
  <c r="F284" i="33" s="1" a="1"/>
  <c r="F284" i="33" s="1"/>
  <c r="F285" i="33" s="1" a="1"/>
  <c r="F285" i="33" s="1"/>
  <c r="F286" i="33" s="1" a="1"/>
  <c r="F286" i="33" s="1"/>
  <c r="F287" i="33" s="1" a="1"/>
  <c r="F287" i="33" s="1"/>
  <c r="F288" i="33" s="1" a="1"/>
  <c r="F288" i="33" s="1"/>
  <c r="F289" i="33" s="1" a="1"/>
  <c r="F289" i="33" s="1"/>
  <c r="F290" i="33" s="1" a="1"/>
  <c r="F290" i="33" s="1"/>
  <c r="F291" i="33" s="1" a="1"/>
  <c r="F291" i="33" s="1"/>
  <c r="AG341" i="30"/>
  <c r="AH341" i="30" s="1"/>
  <c r="AH350" i="30"/>
  <c r="AH191" i="30"/>
  <c r="F89" i="31" a="1"/>
  <c r="F89" i="31" s="1"/>
  <c r="F346" i="30" a="1"/>
  <c r="F346" i="30" s="1"/>
  <c r="D138" i="30" a="1"/>
  <c r="D138" i="30" s="1"/>
  <c r="AB137" i="30"/>
  <c r="F38" i="29" a="1"/>
  <c r="F38" i="29" s="1"/>
  <c r="F39" i="29" s="1" a="1"/>
  <c r="F39" i="29" s="1"/>
  <c r="F40" i="29" s="1" a="1"/>
  <c r="F40" i="29" s="1"/>
  <c r="F41" i="29" s="1" a="1"/>
  <c r="F41" i="29" s="1"/>
  <c r="F42" i="29" s="1"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AN119" i="28"/>
  <c r="F120" i="28" a="1"/>
  <c r="F120" i="28" s="1"/>
  <c r="T156" i="27"/>
  <c r="T157" i="27" s="1" a="1"/>
  <c r="T157" i="27" s="1"/>
  <c r="T158" i="27" s="1" a="1"/>
  <c r="T158" i="27" s="1"/>
  <c r="T159" i="27" s="1" a="1"/>
  <c r="T159" i="27" s="1"/>
  <c r="T160" i="27" s="1" a="1"/>
  <c r="T160" i="27" s="1"/>
  <c r="T161" i="27" s="1" a="1"/>
  <c r="T161" i="27" s="1"/>
  <c r="T162" i="27" s="1" a="1"/>
  <c r="T162" i="27" s="1"/>
  <c r="T163" i="27" s="1" a="1"/>
  <c r="T163" i="27" s="1"/>
  <c r="T164" i="27" s="1" a="1"/>
  <c r="T164" i="27" s="1"/>
  <c r="T165" i="27" s="1" a="1"/>
  <c r="T165" i="27" s="1"/>
  <c r="T166" i="27" s="1" a="1"/>
  <c r="T166" i="27" s="1"/>
  <c r="T167" i="27" s="1" a="1"/>
  <c r="T167" i="27" s="1"/>
  <c r="T168" i="27" s="1" a="1"/>
  <c r="T168" i="27" s="1"/>
  <c r="T169" i="27" s="1" a="1"/>
  <c r="T169" i="27" s="1"/>
  <c r="T170" i="27" s="1" a="1"/>
  <c r="T170" i="27" s="1"/>
  <c r="T171" i="27" s="1" a="1"/>
  <c r="T171" i="27" s="1"/>
  <c r="T172" i="27" s="1" a="1"/>
  <c r="T172" i="27" s="1"/>
  <c r="T173" i="27" s="1" a="1"/>
  <c r="T173" i="27" s="1"/>
  <c r="T174" i="27" s="1" a="1"/>
  <c r="T174" i="27" s="1"/>
  <c r="T175" i="27" s="1" a="1"/>
  <c r="T175" i="27" s="1"/>
  <c r="T176" i="27" s="1" a="1"/>
  <c r="T176" i="27" s="1"/>
  <c r="T177" i="27" s="1" a="1"/>
  <c r="T177" i="27" s="1"/>
  <c r="T178" i="27" s="1" a="1"/>
  <c r="T178" i="27" s="1"/>
  <c r="T179" i="27" s="1" a="1"/>
  <c r="T179" i="27" s="1"/>
  <c r="T180" i="27" s="1" a="1"/>
  <c r="T180" i="27" s="1"/>
  <c r="T181" i="27" s="1" a="1"/>
  <c r="T181" i="27" s="1"/>
  <c r="F157" i="27" a="1"/>
  <c r="F157" i="27" s="1"/>
  <c r="F158" i="27" s="1" a="1"/>
  <c r="F158" i="27" s="1"/>
  <c r="F159" i="27" s="1" a="1"/>
  <c r="F159" i="27" s="1"/>
  <c r="F160" i="27" s="1" a="1"/>
  <c r="F160" i="27" s="1"/>
  <c r="F161" i="27" s="1" a="1"/>
  <c r="F161" i="27" s="1"/>
  <c r="F162" i="27" s="1" a="1"/>
  <c r="F162" i="27" s="1"/>
  <c r="F163" i="27" s="1" a="1"/>
  <c r="F163" i="27" s="1"/>
  <c r="F164" i="27" s="1" a="1"/>
  <c r="F164" i="27" s="1"/>
  <c r="F165" i="27" s="1" a="1"/>
  <c r="F165" i="27" s="1"/>
  <c r="F166" i="27" s="1" a="1"/>
  <c r="F166" i="27" s="1"/>
  <c r="F167" i="27" s="1" a="1"/>
  <c r="F167" i="27" s="1"/>
  <c r="F168" i="27" s="1" a="1"/>
  <c r="F168" i="27" s="1"/>
  <c r="F169" i="27" s="1" a="1"/>
  <c r="F169" i="27" s="1"/>
  <c r="F170" i="27" s="1" a="1"/>
  <c r="F170" i="27" s="1"/>
  <c r="F171" i="27" s="1" a="1"/>
  <c r="F171" i="27" s="1"/>
  <c r="F172" i="27" s="1" a="1"/>
  <c r="F172" i="27" s="1"/>
  <c r="F173" i="27" s="1" a="1"/>
  <c r="F173" i="27" s="1"/>
  <c r="F174" i="27" s="1" a="1"/>
  <c r="F174" i="27" s="1"/>
  <c r="F175" i="27" s="1" a="1"/>
  <c r="F175" i="27" s="1"/>
  <c r="F176" i="27" s="1" a="1"/>
  <c r="F176" i="27" s="1"/>
  <c r="F177" i="27" s="1" a="1"/>
  <c r="F177" i="27" s="1"/>
  <c r="F178" i="27" s="1" a="1"/>
  <c r="F178" i="27" s="1"/>
  <c r="F179" i="27" s="1" a="1"/>
  <c r="F179" i="27" s="1"/>
  <c r="F180" i="27" s="1" a="1"/>
  <c r="F180" i="27" s="1"/>
  <c r="F181" i="27" s="1" a="1"/>
  <c r="F181" i="27" s="1"/>
  <c r="F182" i="27" s="1" a="1"/>
  <c r="F182" i="27" s="1"/>
  <c r="B264" i="28"/>
  <c r="B265" i="28"/>
  <c r="AB162" i="26"/>
  <c r="AB161" i="26"/>
  <c r="F61" i="18" a="1"/>
  <c r="F61" i="18" s="1"/>
  <c r="F62" i="18" s="1" a="1"/>
  <c r="F62" i="18" s="1"/>
  <c r="T60" i="18"/>
  <c r="T61" i="18" s="1" a="1"/>
  <c r="T61" i="18" s="1"/>
  <c r="BB134" i="11"/>
  <c r="BB120" i="11"/>
  <c r="T100" i="27"/>
  <c r="T101" i="27" s="1" a="1"/>
  <c r="T101" i="27" s="1"/>
  <c r="T102" i="27" s="1" a="1"/>
  <c r="T102" i="27" s="1"/>
  <c r="T103" i="27" s="1" a="1"/>
  <c r="T103" i="27" s="1"/>
  <c r="T104" i="27" s="1" a="1"/>
  <c r="T104" i="27" s="1"/>
  <c r="T105" i="27" s="1" a="1"/>
  <c r="T105" i="27" s="1"/>
  <c r="T106" i="27" s="1" a="1"/>
  <c r="T106" i="27" s="1"/>
  <c r="T107" i="27" s="1" a="1"/>
  <c r="T107" i="27" s="1"/>
  <c r="T108" i="27" s="1" a="1"/>
  <c r="T108" i="27" s="1"/>
  <c r="T109" i="27" s="1" a="1"/>
  <c r="T109" i="27" s="1"/>
  <c r="T110" i="27" s="1" a="1"/>
  <c r="T110" i="27" s="1"/>
  <c r="T111" i="27" s="1" a="1"/>
  <c r="T111" i="27" s="1"/>
  <c r="T112" i="27" s="1" a="1"/>
  <c r="T112" i="27" s="1"/>
  <c r="T113" i="27" s="1" a="1"/>
  <c r="T113" i="27" s="1"/>
  <c r="T114" i="27" s="1" a="1"/>
  <c r="T114" i="27" s="1"/>
  <c r="T115" i="27" s="1" a="1"/>
  <c r="T115" i="27" s="1"/>
  <c r="T116" i="27" s="1" a="1"/>
  <c r="T116" i="27" s="1"/>
  <c r="T117" i="27" s="1" a="1"/>
  <c r="T117" i="27" s="1"/>
  <c r="T118" i="27" s="1" a="1"/>
  <c r="T118" i="27" s="1"/>
  <c r="T119" i="27" s="1" a="1"/>
  <c r="T119" i="27" s="1"/>
  <c r="T120" i="27" s="1" a="1"/>
  <c r="T120" i="27" s="1"/>
  <c r="T121" i="27" s="1" a="1"/>
  <c r="T121" i="27" s="1"/>
  <c r="T122" i="27" s="1" a="1"/>
  <c r="T122" i="27" s="1"/>
  <c r="T123" i="27" s="1" a="1"/>
  <c r="T123" i="27" s="1"/>
  <c r="T124" i="27" s="1" a="1"/>
  <c r="T124" i="27" s="1"/>
  <c r="T125" i="27" s="1" a="1"/>
  <c r="T125" i="27" s="1"/>
  <c r="F101" i="27" a="1"/>
  <c r="F101" i="27" s="1"/>
  <c r="F102" i="27" s="1" a="1"/>
  <c r="F102" i="27" s="1"/>
  <c r="F103" i="27" s="1" a="1"/>
  <c r="F103" i="27" s="1"/>
  <c r="F104" i="27" s="1" a="1"/>
  <c r="F104" i="27" s="1"/>
  <c r="F105" i="27" s="1" a="1"/>
  <c r="F105" i="27" s="1"/>
  <c r="F106" i="27" s="1" a="1"/>
  <c r="F106" i="27" s="1"/>
  <c r="F107" i="27" s="1" a="1"/>
  <c r="F107" i="27" s="1"/>
  <c r="F108" i="27" s="1" a="1"/>
  <c r="F108" i="27" s="1"/>
  <c r="F109" i="27" s="1" a="1"/>
  <c r="F109" i="27" s="1"/>
  <c r="F110" i="27" s="1" a="1"/>
  <c r="F110" i="27" s="1"/>
  <c r="F111" i="27" s="1" a="1"/>
  <c r="F111" i="27" s="1"/>
  <c r="F112" i="27" s="1" a="1"/>
  <c r="F112" i="27" s="1"/>
  <c r="F113" i="27" s="1" a="1"/>
  <c r="F113" i="27" s="1"/>
  <c r="F114" i="27" s="1" a="1"/>
  <c r="F114" i="27" s="1"/>
  <c r="F115" i="27" s="1" a="1"/>
  <c r="F115" i="27" s="1"/>
  <c r="F116" i="27" s="1" a="1"/>
  <c r="F116" i="27" s="1"/>
  <c r="F117" i="27" s="1" a="1"/>
  <c r="F117" i="27" s="1"/>
  <c r="F118" i="27" s="1" a="1"/>
  <c r="F118" i="27" s="1"/>
  <c r="F119" i="27" s="1" a="1"/>
  <c r="F119" i="27" s="1"/>
  <c r="F120" i="27" s="1" a="1"/>
  <c r="F120" i="27" s="1"/>
  <c r="F121" i="27" s="1" a="1"/>
  <c r="F121" i="27" s="1"/>
  <c r="F122" i="27" s="1" a="1"/>
  <c r="F122" i="27" s="1"/>
  <c r="F123" i="27" s="1" a="1"/>
  <c r="F123" i="27" s="1"/>
  <c r="F124" i="27" s="1" a="1"/>
  <c r="F124" i="27" s="1"/>
  <c r="F125" i="27" s="1" a="1"/>
  <c r="F125" i="27" s="1"/>
  <c r="F126" i="27" s="1" a="1"/>
  <c r="F126" i="27" s="1"/>
  <c r="AR225" i="11"/>
  <c r="AR211" i="11"/>
  <c r="F36" i="6" a="1"/>
  <c r="F36" i="6" s="1"/>
  <c r="U35" i="6"/>
  <c r="F40" i="17" a="1"/>
  <c r="F40" i="17" s="1"/>
  <c r="AE39" i="17" a="1"/>
  <c r="AE39" i="17" s="1"/>
  <c r="AE40" i="17" s="1"/>
  <c r="AE38" i="17" s="1"/>
  <c r="AF39" i="17" a="1"/>
  <c r="AF39" i="17" s="1"/>
  <c r="AF40" i="17" s="1"/>
  <c r="AF38" i="17" s="1"/>
  <c r="F88" i="14" a="1"/>
  <c r="F88" i="14" s="1"/>
  <c r="F89" i="14" s="1" a="1"/>
  <c r="F89" i="14" s="1"/>
  <c r="F90" i="14" s="1" a="1"/>
  <c r="F90" i="14" s="1"/>
  <c r="T87" i="14"/>
  <c r="T88" i="14" s="1" a="1"/>
  <c r="T88" i="14" s="1"/>
  <c r="T89" i="14" s="1" a="1"/>
  <c r="T89" i="14" s="1"/>
  <c r="AN43" i="11"/>
  <c r="AN29" i="11"/>
  <c r="T27" i="27"/>
  <c r="T25" i="27"/>
  <c r="T26" i="27"/>
  <c r="T24" i="27"/>
  <c r="B45" i="27"/>
  <c r="B46" i="27" s="1" a="1"/>
  <c r="B46" i="27" s="1"/>
  <c r="B47" i="27" s="1" a="1"/>
  <c r="B47" i="27" s="1"/>
  <c r="B48" i="27" s="1" a="1"/>
  <c r="B48" i="27" s="1"/>
  <c r="B49" i="27" s="1" a="1"/>
  <c r="B49" i="27" s="1"/>
  <c r="B50" i="27" s="1" a="1"/>
  <c r="B50" i="27" s="1"/>
  <c r="B51" i="27" s="1" a="1"/>
  <c r="B51" i="27" s="1"/>
  <c r="B52" i="27" s="1" a="1"/>
  <c r="B52" i="27" s="1"/>
  <c r="B53" i="27" s="1" a="1"/>
  <c r="B53" i="27" s="1"/>
  <c r="B54" i="27" s="1" a="1"/>
  <c r="B54" i="27" s="1"/>
  <c r="B55" i="27" s="1" a="1"/>
  <c r="B55" i="27" s="1"/>
  <c r="B56" i="27" s="1" a="1"/>
  <c r="B56" i="27" s="1"/>
  <c r="B57" i="27" s="1" a="1"/>
  <c r="B57" i="27" s="1"/>
  <c r="B58" i="27" s="1" a="1"/>
  <c r="B58" i="27" s="1"/>
  <c r="B59" i="27" s="1" a="1"/>
  <c r="B59" i="27" s="1"/>
  <c r="B60" i="27" s="1" a="1"/>
  <c r="B60" i="27" s="1"/>
  <c r="B61" i="27" s="1" a="1"/>
  <c r="B61" i="27" s="1"/>
  <c r="B62" i="27" s="1" a="1"/>
  <c r="B62" i="27" s="1"/>
  <c r="B63" i="27" s="1" a="1"/>
  <c r="B63" i="27" s="1"/>
  <c r="B64" i="27" s="1" a="1"/>
  <c r="B64" i="27" s="1"/>
  <c r="B65" i="27" s="1" a="1"/>
  <c r="B65" i="27" s="1"/>
  <c r="B66" i="27" s="1" a="1"/>
  <c r="B66" i="27" s="1"/>
  <c r="B67" i="27" s="1" a="1"/>
  <c r="B67" i="27" s="1"/>
  <c r="B68" i="27" s="1" a="1"/>
  <c r="B68" i="27" s="1"/>
  <c r="B69" i="27" s="1" a="1"/>
  <c r="B69" i="27" s="1"/>
  <c r="B70" i="27" s="1" a="1"/>
  <c r="B70" i="27" s="1"/>
  <c r="B71" i="27" s="1" a="1"/>
  <c r="B71" i="27" s="1"/>
  <c r="B72" i="27" s="1" a="1"/>
  <c r="B72" i="27" s="1"/>
  <c r="B73" i="27" s="1" a="1"/>
  <c r="B73" i="27" s="1"/>
  <c r="B74" i="27" s="1" a="1"/>
  <c r="B74" i="27" s="1"/>
  <c r="B75" i="27" s="1" a="1"/>
  <c r="B75" i="27" s="1"/>
  <c r="B76" i="27" s="1" a="1"/>
  <c r="B76" i="27" s="1"/>
  <c r="B33" i="27"/>
  <c r="B34" i="27" s="1" a="1"/>
  <c r="B34" i="27" s="1"/>
  <c r="B35" i="27" s="1" a="1"/>
  <c r="B35" i="27" s="1"/>
  <c r="B36" i="27" s="1" a="1"/>
  <c r="B36" i="27" s="1"/>
  <c r="B37" i="27" s="1" a="1"/>
  <c r="B37" i="27" s="1"/>
  <c r="B38" i="27" s="1" a="1"/>
  <c r="B38" i="27" s="1"/>
  <c r="B39" i="27" s="1" a="1"/>
  <c r="B39" i="27" s="1"/>
  <c r="B40" i="27" s="1" a="1"/>
  <c r="B40" i="27" s="1"/>
  <c r="B41" i="27" s="1" a="1"/>
  <c r="B41" i="27" s="1"/>
  <c r="B42" i="27" s="1" a="1"/>
  <c r="B42" i="27" s="1"/>
  <c r="B43" i="27" s="1" a="1"/>
  <c r="B43" i="27" s="1"/>
  <c r="B44" i="27" s="1" a="1"/>
  <c r="B44" i="27" s="1"/>
  <c r="F49" i="20" a="1"/>
  <c r="F49" i="20" s="1"/>
  <c r="T100" i="19"/>
  <c r="T101" i="19" s="1" a="1"/>
  <c r="T101" i="19" s="1"/>
  <c r="T102" i="19" s="1" a="1"/>
  <c r="T102" i="19" s="1"/>
  <c r="F101" i="19" a="1"/>
  <c r="F101" i="19" s="1"/>
  <c r="F102" i="19" s="1" a="1"/>
  <c r="F102" i="19" s="1"/>
  <c r="F103" i="19" s="1" a="1"/>
  <c r="F103" i="19" s="1"/>
  <c r="F47" i="17" a="1"/>
  <c r="F47" i="17" s="1"/>
  <c r="AE46" i="17" a="1"/>
  <c r="AE46" i="17" s="1"/>
  <c r="AE47" i="17" s="1"/>
  <c r="AE45" i="17" s="1"/>
  <c r="AF46" i="17" a="1"/>
  <c r="AF46" i="17" s="1"/>
  <c r="AF47" i="17" s="1"/>
  <c r="AF45" i="17" s="1"/>
  <c r="T33" i="13"/>
  <c r="F34" i="13" a="1"/>
  <c r="F34" i="13" s="1"/>
  <c r="U45" i="8"/>
  <c r="F46" i="8" a="1"/>
  <c r="F46" i="8" s="1"/>
  <c r="T29" i="13"/>
  <c r="F30" i="13" a="1"/>
  <c r="F30" i="13" s="1"/>
  <c r="F50" i="34" a="1"/>
  <c r="F50" i="34" s="1"/>
  <c r="F32" i="34" a="1"/>
  <c r="F32" i="34" s="1"/>
  <c r="F33" i="34" s="1" a="1"/>
  <c r="F33" i="34" s="1"/>
  <c r="F34" i="34" s="1" a="1"/>
  <c r="F34" i="34" s="1"/>
  <c r="F35" i="34" s="1" a="1"/>
  <c r="F35" i="34" s="1"/>
  <c r="AG174" i="30"/>
  <c r="AB425" i="30"/>
  <c r="D426" i="30" a="1"/>
  <c r="D426" i="30" s="1"/>
  <c r="D282" i="29" a="1"/>
  <c r="D282" i="29" s="1"/>
  <c r="AB281" i="29"/>
  <c r="F35" i="28" a="1"/>
  <c r="F35" i="28" s="1"/>
  <c r="AN34" i="28"/>
  <c r="AB128" i="26"/>
  <c r="AB127" i="26"/>
  <c r="AB126" i="26"/>
  <c r="AB123" i="26"/>
  <c r="AB122" i="26"/>
  <c r="F58" i="19" a="1"/>
  <c r="F58" i="19" s="1"/>
  <c r="F59" i="19" s="1" a="1"/>
  <c r="F59" i="19" s="1"/>
  <c r="F60" i="19" s="1" a="1"/>
  <c r="F60" i="19" s="1"/>
  <c r="T57" i="19"/>
  <c r="T58" i="19" s="1" a="1"/>
  <c r="T58" i="19" s="1"/>
  <c r="T59" i="19" s="1" a="1"/>
  <c r="T59" i="19" s="1"/>
  <c r="F91" i="18" a="1"/>
  <c r="F91" i="18" s="1"/>
  <c r="F92" i="18" s="1" a="1"/>
  <c r="F92" i="18" s="1"/>
  <c r="T90" i="18"/>
  <c r="T91" i="18" s="1" a="1"/>
  <c r="T91" i="18" s="1"/>
  <c r="F31" i="18" a="1"/>
  <c r="F31" i="18" s="1"/>
  <c r="F32" i="18" s="1" a="1"/>
  <c r="F32" i="18" s="1"/>
  <c r="T30" i="18"/>
  <c r="T31" i="18" s="1" a="1"/>
  <c r="T31" i="18" s="1"/>
  <c r="F30" i="20" a="1"/>
  <c r="F30" i="20" s="1"/>
  <c r="F30" i="22" a="1"/>
  <c r="F30" i="22" s="1"/>
  <c r="K29" i="22"/>
  <c r="F88" i="26" a="1"/>
  <c r="F88" i="26" s="1"/>
  <c r="F44" i="22" a="1"/>
  <c r="F44" i="22" s="1"/>
  <c r="K43" i="22"/>
  <c r="T29" i="19"/>
  <c r="T30" i="19" s="1" a="1"/>
  <c r="T30" i="19" s="1"/>
  <c r="T31" i="19" s="1" a="1"/>
  <c r="T31" i="19" s="1"/>
  <c r="F30" i="19" a="1"/>
  <c r="F30" i="19" s="1"/>
  <c r="F44" i="21" a="1"/>
  <c r="F44" i="21" s="1"/>
  <c r="F45" i="21" s="1" a="1"/>
  <c r="F45" i="21" s="1"/>
  <c r="F46" i="21" s="1" a="1"/>
  <c r="F46" i="21" s="1"/>
  <c r="F47" i="21" s="1" a="1"/>
  <c r="F47" i="21" s="1"/>
  <c r="F48" i="21" s="1" a="1"/>
  <c r="F48" i="21" s="1"/>
  <c r="F49" i="21" s="1" a="1"/>
  <c r="F49" i="21" s="1"/>
  <c r="AN225" i="11"/>
  <c r="AN211" i="11"/>
  <c r="U40" i="9"/>
  <c r="F41" i="9" a="1"/>
  <c r="F41" i="9" s="1"/>
  <c r="AB111" i="26"/>
  <c r="AB110" i="26"/>
  <c r="AB60" i="26"/>
  <c r="AB59" i="26"/>
  <c r="T34" i="14"/>
  <c r="T35" i="14" s="1" a="1"/>
  <c r="T35" i="14" s="1"/>
  <c r="T36" i="14" s="1" a="1"/>
  <c r="T36" i="14" s="1"/>
  <c r="F35" i="14" a="1"/>
  <c r="F35" i="14" s="1"/>
  <c r="AZ43" i="11"/>
  <c r="AZ29" i="11"/>
  <c r="AJ43" i="11"/>
  <c r="AJ29" i="11"/>
  <c r="W42" i="8" a="1"/>
  <c r="W42" i="8" s="1"/>
  <c r="AB42" i="8" a="1"/>
  <c r="AB42" i="8" s="1"/>
  <c r="B101" i="27"/>
  <c r="B102" i="27" s="1" a="1"/>
  <c r="B102" i="27" s="1"/>
  <c r="B103" i="27" s="1" a="1"/>
  <c r="B103" i="27" s="1"/>
  <c r="B104" i="27" s="1" a="1"/>
  <c r="B104" i="27" s="1"/>
  <c r="B105" i="27" s="1" a="1"/>
  <c r="B105" i="27" s="1"/>
  <c r="B106" i="27" s="1" a="1"/>
  <c r="B106" i="27" s="1"/>
  <c r="B107" i="27" s="1" a="1"/>
  <c r="B107" i="27" s="1"/>
  <c r="B108" i="27" s="1" a="1"/>
  <c r="B108" i="27" s="1"/>
  <c r="B109" i="27" s="1" a="1"/>
  <c r="B109" i="27" s="1"/>
  <c r="B110" i="27" s="1" a="1"/>
  <c r="B110" i="27" s="1"/>
  <c r="B111" i="27" s="1" a="1"/>
  <c r="B111" i="27" s="1"/>
  <c r="B112" i="27" s="1" a="1"/>
  <c r="B112" i="27" s="1"/>
  <c r="B113" i="27" s="1" a="1"/>
  <c r="B113" i="27" s="1"/>
  <c r="B114" i="27" s="1" a="1"/>
  <c r="B114" i="27" s="1"/>
  <c r="B115" i="27" s="1" a="1"/>
  <c r="B115" i="27" s="1"/>
  <c r="B116" i="27" s="1" a="1"/>
  <c r="B116" i="27" s="1"/>
  <c r="B117" i="27" s="1" a="1"/>
  <c r="B117" i="27" s="1"/>
  <c r="B118" i="27" s="1" a="1"/>
  <c r="B118" i="27" s="1"/>
  <c r="B119" i="27" s="1" a="1"/>
  <c r="B119" i="27" s="1"/>
  <c r="B120" i="27" s="1" a="1"/>
  <c r="B120" i="27" s="1"/>
  <c r="B121" i="27" s="1" a="1"/>
  <c r="B121" i="27" s="1"/>
  <c r="B122" i="27" s="1" a="1"/>
  <c r="B122" i="27" s="1"/>
  <c r="B123" i="27" s="1" a="1"/>
  <c r="B123" i="27" s="1"/>
  <c r="B124" i="27" s="1" a="1"/>
  <c r="B124" i="27" s="1"/>
  <c r="B125" i="27" s="1" a="1"/>
  <c r="B125" i="27" s="1"/>
  <c r="B126" i="27" s="1" a="1"/>
  <c r="B126" i="27" s="1"/>
  <c r="B127" i="27" s="1" a="1"/>
  <c r="B127" i="27" s="1"/>
  <c r="B128" i="27" s="1" a="1"/>
  <c r="B128" i="27" s="1"/>
  <c r="B129" i="27" s="1" a="1"/>
  <c r="B129" i="27" s="1"/>
  <c r="B130" i="27" s="1" a="1"/>
  <c r="B130" i="27" s="1"/>
  <c r="B131" i="27" s="1" a="1"/>
  <c r="B131" i="27" s="1"/>
  <c r="B132" i="27" s="1" a="1"/>
  <c r="B132" i="27" s="1"/>
  <c r="B89" i="27"/>
  <c r="B90" i="27" s="1" a="1"/>
  <c r="B90" i="27" s="1"/>
  <c r="B91" i="27" s="1" a="1"/>
  <c r="B91" i="27" s="1"/>
  <c r="B92" i="27" s="1" a="1"/>
  <c r="B92" i="27" s="1"/>
  <c r="B93" i="27" s="1" a="1"/>
  <c r="B93" i="27" s="1"/>
  <c r="B94" i="27" s="1" a="1"/>
  <c r="B94" i="27" s="1"/>
  <c r="B95" i="27" s="1" a="1"/>
  <c r="B95" i="27" s="1"/>
  <c r="B96" i="27" s="1" a="1"/>
  <c r="B96" i="27" s="1"/>
  <c r="B97" i="27" s="1" a="1"/>
  <c r="B97" i="27" s="1"/>
  <c r="B98" i="27" s="1" a="1"/>
  <c r="B98" i="27" s="1"/>
  <c r="B99" i="27" s="1" a="1"/>
  <c r="B99" i="27" s="1"/>
  <c r="B100" i="27" s="1" a="1"/>
  <c r="B100" i="27" s="1"/>
  <c r="T81" i="11"/>
  <c r="T82" i="11" s="1" a="1"/>
  <c r="T82" i="11" s="1"/>
  <c r="T83" i="11" s="1" a="1"/>
  <c r="T83" i="11" s="1"/>
  <c r="T84" i="11" s="1" a="1"/>
  <c r="T84" i="11" s="1"/>
  <c r="T85" i="11" s="1" a="1"/>
  <c r="T85" i="11" s="1"/>
  <c r="T86" i="11" s="1" a="1"/>
  <c r="T86" i="11" s="1"/>
  <c r="T87" i="11" s="1" a="1"/>
  <c r="T87" i="11" s="1"/>
  <c r="T88" i="11" s="1" a="1"/>
  <c r="T88" i="11" s="1"/>
  <c r="T89" i="11" s="1" a="1"/>
  <c r="T89" i="11" s="1"/>
  <c r="T90" i="11" s="1" a="1"/>
  <c r="T90" i="11" s="1"/>
  <c r="T91" i="11" s="1" a="1"/>
  <c r="T91" i="11" s="1"/>
  <c r="T92" i="11" s="1" a="1"/>
  <c r="T92" i="11" s="1"/>
  <c r="T93" i="11" s="1" a="1"/>
  <c r="T93" i="11" s="1"/>
  <c r="T94" i="11" s="1" a="1"/>
  <c r="T94" i="11" s="1"/>
  <c r="T95" i="11" s="1" a="1"/>
  <c r="T95" i="11" s="1"/>
  <c r="T96" i="11" s="1" a="1"/>
  <c r="T96" i="11" s="1"/>
  <c r="T97" i="11" s="1" a="1"/>
  <c r="T97" i="11" s="1"/>
  <c r="T98" i="11" s="1" a="1"/>
  <c r="T98" i="11" s="1"/>
  <c r="T99" i="11" s="1" a="1"/>
  <c r="T99" i="11" s="1"/>
  <c r="T100" i="11" s="1" a="1"/>
  <c r="T100" i="11" s="1"/>
  <c r="T101" i="11" s="1" a="1"/>
  <c r="T101" i="11" s="1"/>
  <c r="T102" i="11" s="1" a="1"/>
  <c r="T102" i="11" s="1"/>
  <c r="T103" i="11" s="1" a="1"/>
  <c r="T103" i="11" s="1"/>
  <c r="T104" i="11" s="1" a="1"/>
  <c r="T104" i="11" s="1"/>
  <c r="T105" i="11" s="1" a="1"/>
  <c r="T105" i="11" s="1"/>
  <c r="B94" i="28"/>
  <c r="B95" i="28"/>
  <c r="F34" i="8" a="1"/>
  <c r="F34" i="8" s="1"/>
  <c r="U33" i="8"/>
  <c r="AB34" i="5"/>
  <c r="U31" i="6"/>
  <c r="F32" i="6" a="1"/>
  <c r="F32" i="6" s="1"/>
  <c r="F36" i="34" l="1" a="1"/>
  <c r="F36" i="34" s="1"/>
  <c r="AF35" i="34"/>
  <c r="AE35" i="34"/>
  <c r="F35" i="13" a="1"/>
  <c r="F35" i="13" s="1"/>
  <c r="T34" i="13"/>
  <c r="F50" i="20" a="1"/>
  <c r="F50" i="20" s="1"/>
  <c r="K49" i="20"/>
  <c r="U34" i="8"/>
  <c r="F35" i="8" a="1"/>
  <c r="F35" i="8" s="1"/>
  <c r="F31" i="19" a="1"/>
  <c r="F31" i="19" s="1"/>
  <c r="F89" i="26" a="1"/>
  <c r="F89" i="26" s="1"/>
  <c r="F31" i="20" a="1"/>
  <c r="F31" i="20" s="1"/>
  <c r="K30" i="20"/>
  <c r="F33" i="18" a="1"/>
  <c r="F33" i="18" s="1"/>
  <c r="T32" i="18"/>
  <c r="T33" i="18" s="1" a="1"/>
  <c r="T33" i="18" s="1"/>
  <c r="T60" i="19"/>
  <c r="T61" i="19" s="1" a="1"/>
  <c r="T61" i="19" s="1"/>
  <c r="T62" i="19" s="1" a="1"/>
  <c r="T62" i="19" s="1"/>
  <c r="F61" i="19" a="1"/>
  <c r="F61" i="19" s="1"/>
  <c r="F62" i="19" s="1" a="1"/>
  <c r="F62" i="19" s="1"/>
  <c r="F63" i="19" s="1" a="1"/>
  <c r="F63" i="19" s="1"/>
  <c r="AN35" i="28"/>
  <c r="F36" i="28" a="1"/>
  <c r="F36" i="28" s="1"/>
  <c r="F51" i="34" a="1"/>
  <c r="F51" i="34" s="1"/>
  <c r="F52" i="34" s="1" a="1"/>
  <c r="F52" i="34" s="1"/>
  <c r="F53" i="34" s="1" a="1"/>
  <c r="F53" i="34" s="1"/>
  <c r="F54" i="34" s="1" a="1"/>
  <c r="F54" i="34" s="1"/>
  <c r="F47" i="8" a="1"/>
  <c r="F47" i="8" s="1"/>
  <c r="U46" i="8"/>
  <c r="F121" i="28" a="1"/>
  <c r="F121" i="28" s="1"/>
  <c r="AN120" i="28"/>
  <c r="F52" i="29" a="1"/>
  <c r="F52" i="29" s="1"/>
  <c r="F90" i="31" a="1"/>
  <c r="F90" i="31" s="1"/>
  <c r="F292" i="33" a="1"/>
  <c r="F292" i="33" s="1"/>
  <c r="T291" i="33"/>
  <c r="F59" i="22" a="1"/>
  <c r="F59" i="22" s="1"/>
  <c r="K58" i="22"/>
  <c r="K85" i="23"/>
  <c r="F86" i="23" a="1"/>
  <c r="F86" i="23" s="1"/>
  <c r="F52" i="30" a="1"/>
  <c r="F52" i="30" s="1"/>
  <c r="AB282" i="30"/>
  <c r="D283" i="30" a="1"/>
  <c r="D283" i="30" s="1"/>
  <c r="F98" i="9" a="1"/>
  <c r="F98" i="9" s="1"/>
  <c r="U97" i="9"/>
  <c r="F45" i="13" a="1"/>
  <c r="F45" i="13" s="1"/>
  <c r="T44" i="13"/>
  <c r="T181" i="33" a="1"/>
  <c r="T181" i="33" s="1"/>
  <c r="T182" i="33" s="1" a="1"/>
  <c r="T182" i="33" s="1"/>
  <c r="T183" i="33" s="1" a="1"/>
  <c r="T183" i="33" s="1"/>
  <c r="T184" i="33" s="1" a="1"/>
  <c r="T184" i="33" s="1"/>
  <c r="T185" i="33" s="1" a="1"/>
  <c r="T185" i="33" s="1"/>
  <c r="T186" i="33" s="1" a="1"/>
  <c r="T186" i="33" s="1"/>
  <c r="T187" i="33" s="1" a="1"/>
  <c r="T187" i="33" s="1"/>
  <c r="T168" i="33" a="1"/>
  <c r="T168" i="33" s="1"/>
  <c r="T169" i="33" s="1" a="1"/>
  <c r="T169" i="33" s="1"/>
  <c r="T170" i="33" s="1" a="1"/>
  <c r="T170" i="33" s="1"/>
  <c r="T171" i="33" s="1" a="1"/>
  <c r="T171" i="33" s="1"/>
  <c r="T172" i="33" s="1" a="1"/>
  <c r="T172" i="33" s="1"/>
  <c r="T173" i="33" s="1" a="1"/>
  <c r="T173" i="33" s="1"/>
  <c r="T174" i="33" s="1" a="1"/>
  <c r="T174" i="33" s="1"/>
  <c r="T175" i="33" s="1" a="1"/>
  <c r="T175" i="33" s="1"/>
  <c r="T176" i="33" s="1" a="1"/>
  <c r="T176" i="33" s="1"/>
  <c r="T177" i="33" s="1" a="1"/>
  <c r="T177" i="33" s="1"/>
  <c r="T178" i="33" s="1" a="1"/>
  <c r="T178" i="33" s="1"/>
  <c r="T179" i="33" s="1" a="1"/>
  <c r="T179" i="33" s="1"/>
  <c r="T180" i="33" s="1" a="1"/>
  <c r="T180" i="33" s="1"/>
  <c r="W82" i="9" a="1"/>
  <c r="W82" i="9" s="1"/>
  <c r="AB82" i="9" a="1"/>
  <c r="AB82" i="9" s="1"/>
  <c r="D427" i="30" a="1"/>
  <c r="D427" i="30" s="1"/>
  <c r="AB426" i="30"/>
  <c r="F127" i="27" a="1"/>
  <c r="F127" i="27" s="1"/>
  <c r="F128" i="27" s="1" a="1"/>
  <c r="F128" i="27" s="1"/>
  <c r="F129" i="27" s="1" a="1"/>
  <c r="F129" i="27" s="1"/>
  <c r="F130" i="27" s="1" a="1"/>
  <c r="F130" i="27" s="1"/>
  <c r="F131" i="27" s="1" a="1"/>
  <c r="F131" i="27" s="1"/>
  <c r="F132" i="27" s="1" a="1"/>
  <c r="F132" i="27" s="1"/>
  <c r="T126" i="27"/>
  <c r="T127" i="27" s="1" a="1"/>
  <c r="T127" i="27" s="1"/>
  <c r="T128" i="27" s="1" a="1"/>
  <c r="T128" i="27" s="1"/>
  <c r="T129" i="27" s="1" a="1"/>
  <c r="T129" i="27" s="1"/>
  <c r="T130" i="27" s="1" a="1"/>
  <c r="T130" i="27" s="1"/>
  <c r="T131" i="27" s="1" a="1"/>
  <c r="T131" i="27" s="1"/>
  <c r="F347" i="30" a="1"/>
  <c r="F347" i="30" s="1"/>
  <c r="T270" i="33" a="1"/>
  <c r="T270" i="33" s="1"/>
  <c r="T271" i="33" s="1" a="1"/>
  <c r="T271" i="33" s="1"/>
  <c r="T272" i="33" s="1" a="1"/>
  <c r="T272" i="33" s="1"/>
  <c r="T273" i="33" s="1" a="1"/>
  <c r="T273" i="33" s="1"/>
  <c r="T274" i="33" s="1" a="1"/>
  <c r="T274" i="33" s="1"/>
  <c r="T275" i="33" s="1" a="1"/>
  <c r="T275" i="33" s="1"/>
  <c r="T276" i="33" s="1" a="1"/>
  <c r="T276" i="33" s="1"/>
  <c r="T257" i="33" a="1"/>
  <c r="T257" i="33" s="1"/>
  <c r="T258" i="33" s="1" a="1"/>
  <c r="T258" i="33" s="1"/>
  <c r="T259" i="33" s="1" a="1"/>
  <c r="T259" i="33" s="1"/>
  <c r="T260" i="33" s="1" a="1"/>
  <c r="T260" i="33" s="1"/>
  <c r="T261" i="33" s="1" a="1"/>
  <c r="T261" i="33" s="1"/>
  <c r="T262" i="33" s="1" a="1"/>
  <c r="T262" i="33" s="1"/>
  <c r="T263" i="33" s="1" a="1"/>
  <c r="T263" i="33" s="1"/>
  <c r="T264" i="33" s="1" a="1"/>
  <c r="T264" i="33" s="1"/>
  <c r="T265" i="33" s="1" a="1"/>
  <c r="T265" i="33" s="1"/>
  <c r="T266" i="33" s="1" a="1"/>
  <c r="T266" i="33" s="1"/>
  <c r="T267" i="33" s="1" a="1"/>
  <c r="T267" i="33" s="1"/>
  <c r="T268" i="33" s="1" a="1"/>
  <c r="T268" i="33" s="1"/>
  <c r="T269" i="33" s="1" a="1"/>
  <c r="T269" i="33" s="1"/>
  <c r="F36" i="26" a="1"/>
  <c r="F36" i="26" s="1"/>
  <c r="D139" i="29" a="1"/>
  <c r="D139" i="29" s="1"/>
  <c r="AB138" i="29"/>
  <c r="F201" i="30" a="1"/>
  <c r="F201" i="30" s="1"/>
  <c r="F203" i="33" a="1"/>
  <c r="F203" i="33" s="1"/>
  <c r="T202" i="33"/>
  <c r="F79" i="33" a="1"/>
  <c r="F79" i="33" s="1"/>
  <c r="F80" i="33" s="1" a="1"/>
  <c r="F80" i="33" s="1"/>
  <c r="F81" i="33" s="1" a="1"/>
  <c r="F81" i="33" s="1"/>
  <c r="F82" i="33" s="1" a="1"/>
  <c r="F82" i="33" s="1"/>
  <c r="F83" i="33" s="1" a="1"/>
  <c r="F83" i="33" s="1"/>
  <c r="F84" i="33" s="1" a="1"/>
  <c r="F84" i="33" s="1"/>
  <c r="F85" i="33" s="1" a="1"/>
  <c r="F85" i="33" s="1"/>
  <c r="F86" i="33" s="1" a="1"/>
  <c r="F86" i="33" s="1"/>
  <c r="F87" i="33" s="1" a="1"/>
  <c r="F87" i="33" s="1"/>
  <c r="F88" i="33" s="1" a="1"/>
  <c r="F88" i="33" s="1"/>
  <c r="F89" i="33" s="1" a="1"/>
  <c r="F89" i="33" s="1"/>
  <c r="F90" i="33" s="1" a="1"/>
  <c r="F90" i="33" s="1"/>
  <c r="F91" i="33" s="1" a="1"/>
  <c r="F91" i="33" s="1"/>
  <c r="F92" i="33" s="1" a="1"/>
  <c r="F92" i="33" s="1"/>
  <c r="F93" i="33" s="1" a="1"/>
  <c r="F93" i="33" s="1"/>
  <c r="F94" i="33" s="1" a="1"/>
  <c r="F94" i="33" s="1"/>
  <c r="F95" i="33" s="1" a="1"/>
  <c r="F95" i="33" s="1"/>
  <c r="F96" i="33" s="1" a="1"/>
  <c r="F96" i="33" s="1"/>
  <c r="F97" i="33" s="1" a="1"/>
  <c r="F97" i="33" s="1"/>
  <c r="F98" i="33" s="1" a="1"/>
  <c r="F98" i="33" s="1"/>
  <c r="F99" i="33" s="1" a="1"/>
  <c r="F99" i="33" s="1"/>
  <c r="F100" i="33" s="1" a="1"/>
  <c r="F100" i="33" s="1"/>
  <c r="F101" i="33" s="1" a="1"/>
  <c r="F101" i="33" s="1"/>
  <c r="F102" i="33" s="1" a="1"/>
  <c r="F102" i="33" s="1"/>
  <c r="F103" i="33" s="1" a="1"/>
  <c r="F103" i="33" s="1"/>
  <c r="F104" i="33" s="1" a="1"/>
  <c r="F104" i="33" s="1"/>
  <c r="F105" i="33" s="1" a="1"/>
  <c r="F105" i="33" s="1"/>
  <c r="F106" i="33" s="1" a="1"/>
  <c r="F106" i="33" s="1"/>
  <c r="F107" i="33" s="1" a="1"/>
  <c r="F107" i="33" s="1"/>
  <c r="F108" i="33" s="1" a="1"/>
  <c r="F108" i="33" s="1"/>
  <c r="F109" i="33" s="1" a="1"/>
  <c r="F109" i="33" s="1"/>
  <c r="F110" i="33" s="1" a="1"/>
  <c r="F110" i="33" s="1"/>
  <c r="F111" i="33" s="1" a="1"/>
  <c r="F111" i="33" s="1"/>
  <c r="F112" i="33" s="1" a="1"/>
  <c r="F112" i="33" s="1"/>
  <c r="F113" i="33" s="1" a="1"/>
  <c r="F113" i="33" s="1"/>
  <c r="F58" i="14" a="1"/>
  <c r="F58" i="14" s="1"/>
  <c r="F59" i="14" s="1" a="1"/>
  <c r="F59" i="14" s="1"/>
  <c r="F60" i="14" s="1" a="1"/>
  <c r="F60" i="14" s="1"/>
  <c r="T57" i="14"/>
  <c r="T58" i="14" s="1" a="1"/>
  <c r="T58" i="14" s="1"/>
  <c r="T59" i="14" s="1" a="1"/>
  <c r="T59" i="14" s="1"/>
  <c r="F141" i="26" a="1"/>
  <c r="F141" i="26" s="1"/>
  <c r="T37" i="21"/>
  <c r="F38" i="21" a="1"/>
  <c r="F38" i="21" s="1"/>
  <c r="T38" i="21" s="1"/>
  <c r="F57" i="23" a="1"/>
  <c r="F57" i="23" s="1"/>
  <c r="K56" i="23"/>
  <c r="F35" i="31" a="1"/>
  <c r="F35" i="31" s="1"/>
  <c r="AF34" i="31"/>
  <c r="F138" i="31" a="1"/>
  <c r="F138" i="31" s="1"/>
  <c r="AC44" i="7"/>
  <c r="B43" i="7" a="1"/>
  <c r="B43" i="7" s="1"/>
  <c r="AC42" i="7"/>
  <c r="F69" i="20" a="1"/>
  <c r="F69" i="20" s="1"/>
  <c r="K68" i="20"/>
  <c r="F196" i="29" a="1"/>
  <c r="F196" i="29" s="1"/>
  <c r="F340" i="29" a="1"/>
  <c r="F340" i="29" s="1"/>
  <c r="AB426" i="29"/>
  <c r="D427" i="29" a="1"/>
  <c r="D427" i="29" s="1"/>
  <c r="T92" i="18"/>
  <c r="T93" i="18" s="1" a="1"/>
  <c r="T93" i="18" s="1"/>
  <c r="F93" i="18" a="1"/>
  <c r="F93" i="18" s="1"/>
  <c r="F94" i="18" s="1" a="1"/>
  <c r="F94" i="18" s="1"/>
  <c r="F95" i="18" s="1" a="1"/>
  <c r="F95" i="18" s="1"/>
  <c r="F36" i="14" a="1"/>
  <c r="F36" i="14" s="1"/>
  <c r="U41" i="9"/>
  <c r="U42" i="9" s="1" a="1"/>
  <c r="U42" i="9" s="1"/>
  <c r="F42" i="9" a="1"/>
  <c r="F42" i="9" s="1"/>
  <c r="T49" i="21"/>
  <c r="F50" i="21" a="1"/>
  <c r="F50" i="21" s="1"/>
  <c r="K44" i="22"/>
  <c r="F45" i="22" a="1"/>
  <c r="F45" i="22" s="1"/>
  <c r="K30" i="22"/>
  <c r="F31" i="22" a="1"/>
  <c r="F31" i="22" s="1"/>
  <c r="AB282" i="29"/>
  <c r="D283" i="29" a="1"/>
  <c r="D283" i="29" s="1"/>
  <c r="AH174" i="30"/>
  <c r="AG172" i="30"/>
  <c r="F104" i="19" a="1"/>
  <c r="F104" i="19" s="1"/>
  <c r="F105" i="19" s="1" a="1"/>
  <c r="F105" i="19" s="1"/>
  <c r="F106" i="19" s="1" a="1"/>
  <c r="F106" i="19" s="1"/>
  <c r="T103" i="19"/>
  <c r="T104" i="19" s="1" a="1"/>
  <c r="T104" i="19" s="1"/>
  <c r="T105" i="19" s="1" a="1"/>
  <c r="T105" i="19" s="1"/>
  <c r="T90" i="14"/>
  <c r="T91" i="14" s="1" a="1"/>
  <c r="T91" i="14" s="1"/>
  <c r="T92" i="14" s="1" a="1"/>
  <c r="T92" i="14" s="1"/>
  <c r="F91" i="14" a="1"/>
  <c r="F91" i="14" s="1"/>
  <c r="F92" i="14" s="1" a="1"/>
  <c r="F92" i="14" s="1"/>
  <c r="F93" i="14" s="1" a="1"/>
  <c r="F93" i="14" s="1"/>
  <c r="F63" i="18" a="1"/>
  <c r="F63" i="18" s="1"/>
  <c r="F64" i="18" s="1" a="1"/>
  <c r="F64" i="18" s="1"/>
  <c r="F65" i="18" s="1" a="1"/>
  <c r="F65" i="18" s="1"/>
  <c r="T62" i="18"/>
  <c r="T63" i="18" s="1" a="1"/>
  <c r="T63" i="18" s="1"/>
  <c r="F183" i="27" a="1"/>
  <c r="F183" i="27" s="1"/>
  <c r="F184" i="27" s="1" a="1"/>
  <c r="F184" i="27" s="1"/>
  <c r="F185" i="27" s="1" a="1"/>
  <c r="F185" i="27" s="1"/>
  <c r="F186" i="27" s="1" a="1"/>
  <c r="F186" i="27" s="1"/>
  <c r="F187" i="27" s="1" a="1"/>
  <c r="F187" i="27" s="1"/>
  <c r="F188" i="27" s="1" a="1"/>
  <c r="F188" i="27" s="1"/>
  <c r="T182" i="27"/>
  <c r="T183" i="27" s="1" a="1"/>
  <c r="T183" i="27" s="1"/>
  <c r="T184" i="27" s="1" a="1"/>
  <c r="T184" i="27" s="1"/>
  <c r="T185" i="27" s="1" a="1"/>
  <c r="T185" i="27" s="1"/>
  <c r="T186" i="27" s="1" a="1"/>
  <c r="T186" i="27" s="1"/>
  <c r="T187" i="27" s="1" a="1"/>
  <c r="T187" i="27" s="1"/>
  <c r="AB138" i="30"/>
  <c r="D139" i="30" a="1"/>
  <c r="D139" i="30" s="1"/>
  <c r="T79" i="33"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1" i="33" s="1" a="1"/>
  <c r="T91" i="33" s="1"/>
  <c r="T92" i="33" a="1"/>
  <c r="T92" i="33" s="1"/>
  <c r="T93" i="33" s="1" a="1"/>
  <c r="T93" i="33" s="1"/>
  <c r="T94" i="33" s="1" a="1"/>
  <c r="T94" i="33" s="1"/>
  <c r="T95" i="33" s="1" a="1"/>
  <c r="T95" i="33" s="1"/>
  <c r="T96" i="33" s="1" a="1"/>
  <c r="T96" i="33" s="1"/>
  <c r="T97" i="33" s="1" a="1"/>
  <c r="T97" i="33" s="1"/>
  <c r="T98" i="33" s="1" a="1"/>
  <c r="T98" i="33" s="1"/>
  <c r="AB55" i="9" a="1"/>
  <c r="AB55" i="9" s="1"/>
  <c r="W55" i="9" a="1"/>
  <c r="W55" i="9" s="1"/>
  <c r="AN205" i="28"/>
  <c r="F206" i="28" a="1"/>
  <c r="F206" i="28" s="1"/>
  <c r="AH318" i="30"/>
  <c r="AG316" i="30"/>
  <c r="F70" i="34" a="1"/>
  <c r="F70" i="34" s="1"/>
  <c r="F71" i="34" s="1" a="1"/>
  <c r="F71" i="34" s="1"/>
  <c r="F72" i="34" s="1" a="1"/>
  <c r="F72" i="34" s="1"/>
  <c r="F73" i="34" s="1" a="1"/>
  <c r="F73" i="34" s="1"/>
  <c r="U70" i="9"/>
  <c r="F71" i="9" a="1"/>
  <c r="F71" i="9" s="1"/>
  <c r="F115" i="23" a="1"/>
  <c r="F115" i="23" s="1"/>
  <c r="K114" i="23"/>
  <c r="F71" i="27" a="1"/>
  <c r="F71" i="27" s="1"/>
  <c r="F72" i="27" s="1" a="1"/>
  <c r="F72" i="27" s="1"/>
  <c r="F73" i="27" s="1" a="1"/>
  <c r="F73" i="27" s="1"/>
  <c r="F74" i="27" s="1" a="1"/>
  <c r="F74" i="27" s="1"/>
  <c r="F75" i="27" s="1" a="1"/>
  <c r="F75" i="27" s="1"/>
  <c r="F76" i="27" s="1" a="1"/>
  <c r="F76" i="27" s="1"/>
  <c r="T70" i="27"/>
  <c r="T71" i="27" s="1" a="1"/>
  <c r="T71" i="27" s="1"/>
  <c r="T72" i="27" s="1" a="1"/>
  <c r="T72" i="27" s="1"/>
  <c r="T73" i="27" s="1" a="1"/>
  <c r="T73" i="27" s="1"/>
  <c r="T74" i="27" s="1" a="1"/>
  <c r="T74" i="27" s="1"/>
  <c r="T75" i="27" s="1" a="1"/>
  <c r="T75" i="27" s="1"/>
  <c r="T63" i="21"/>
  <c r="F64" i="21" a="1"/>
  <c r="F64" i="21" s="1"/>
  <c r="T64" i="21" s="1"/>
  <c r="AC30" i="7"/>
  <c r="B31" i="7" a="1"/>
  <c r="B31" i="7" s="1"/>
  <c r="AC32" i="7"/>
  <c r="K31" i="22" l="1"/>
  <c r="F32" i="22" a="1"/>
  <c r="F32" i="22" s="1"/>
  <c r="K59" i="22"/>
  <c r="F60" i="22" a="1"/>
  <c r="F60" i="22" s="1"/>
  <c r="F91" i="31" a="1"/>
  <c r="F91" i="31" s="1"/>
  <c r="F122" i="28" a="1"/>
  <c r="F122" i="28" s="1"/>
  <c r="AN121" i="28"/>
  <c r="U47" i="8"/>
  <c r="F48" i="8" a="1"/>
  <c r="F48" i="8" s="1"/>
  <c r="F64" i="19" a="1"/>
  <c r="F64" i="19" s="1"/>
  <c r="T63" i="19"/>
  <c r="T64" i="19" s="1" a="1"/>
  <c r="T64" i="19" s="1"/>
  <c r="T65" i="19" s="1" a="1"/>
  <c r="T65" i="19" s="1"/>
  <c r="F90" i="26" a="1"/>
  <c r="F90" i="26" s="1"/>
  <c r="F36" i="13" a="1"/>
  <c r="F36" i="13" s="1"/>
  <c r="T35" i="13"/>
  <c r="F107" i="19" a="1"/>
  <c r="F107" i="19" s="1"/>
  <c r="T106" i="19"/>
  <c r="T107" i="19" s="1" a="1"/>
  <c r="T107" i="19" s="1"/>
  <c r="T108" i="19" s="1" a="1"/>
  <c r="T108" i="19" s="1"/>
  <c r="F77" i="27" a="1"/>
  <c r="F77" i="27" s="1"/>
  <c r="F78" i="27" s="1" a="1"/>
  <c r="F78" i="27" s="1"/>
  <c r="T76" i="27"/>
  <c r="T78" i="27" s="1" a="1"/>
  <c r="T78" i="27" s="1"/>
  <c r="T79" i="27" s="1" a="1"/>
  <c r="T79" i="27" s="1"/>
  <c r="T80" i="27" s="1" a="1"/>
  <c r="T80" i="27" s="1"/>
  <c r="T81" i="27" s="1" a="1"/>
  <c r="T81" i="27" s="1"/>
  <c r="F74" i="34" a="1"/>
  <c r="F74" i="34" s="1"/>
  <c r="AF73" i="34"/>
  <c r="AE73" i="34"/>
  <c r="AN206" i="28"/>
  <c r="F207" i="28" a="1"/>
  <c r="F207" i="28" s="1"/>
  <c r="F37" i="14" a="1"/>
  <c r="F37" i="14" s="1"/>
  <c r="D140" i="29" a="1"/>
  <c r="D140" i="29" s="1"/>
  <c r="AB139" i="29"/>
  <c r="F348" i="30" a="1"/>
  <c r="F348" i="30" s="1"/>
  <c r="X37" i="10" a="1"/>
  <c r="X37" i="10" s="1"/>
  <c r="AB37" i="10" a="1"/>
  <c r="AB37" i="10" s="1"/>
  <c r="T190" i="33" a="1"/>
  <c r="T190" i="33" s="1"/>
  <c r="T191" i="33" s="1" a="1"/>
  <c r="T191" i="33" s="1"/>
  <c r="T192" i="33" s="1" a="1"/>
  <c r="T192" i="33" s="1"/>
  <c r="T193" i="33" s="1" a="1"/>
  <c r="T193" i="33" s="1"/>
  <c r="T194" i="33" s="1" a="1"/>
  <c r="T194" i="33" s="1"/>
  <c r="T195" i="33" s="1" a="1"/>
  <c r="T195" i="33" s="1"/>
  <c r="T196" i="33" s="1" a="1"/>
  <c r="T196" i="33" s="1"/>
  <c r="T188" i="33" a="1"/>
  <c r="T188" i="33" s="1"/>
  <c r="T189" i="33" s="1" a="1"/>
  <c r="T189" i="33" s="1"/>
  <c r="F99" i="9" a="1"/>
  <c r="F99" i="9" s="1"/>
  <c r="F100" i="9" s="1" a="1"/>
  <c r="F100" i="9" s="1"/>
  <c r="U98" i="9"/>
  <c r="U99" i="9" s="1" a="1"/>
  <c r="U99" i="9" s="1"/>
  <c r="F53" i="30" a="1"/>
  <c r="F53" i="30" s="1"/>
  <c r="F293" i="33" a="1"/>
  <c r="F293" i="33" s="1"/>
  <c r="T292" i="33"/>
  <c r="T293" i="33" s="1" a="1"/>
  <c r="T293" i="33" s="1"/>
  <c r="AF54" i="34"/>
  <c r="AE54" i="34"/>
  <c r="F55" i="34" a="1"/>
  <c r="F55" i="34" s="1"/>
  <c r="AN36" i="28"/>
  <c r="F37" i="28" a="1"/>
  <c r="F37" i="28" s="1"/>
  <c r="F32" i="20" a="1"/>
  <c r="F32" i="20" s="1"/>
  <c r="K31" i="20"/>
  <c r="T50" i="21"/>
  <c r="F51" i="21" a="1"/>
  <c r="F51" i="21" s="1"/>
  <c r="F114" i="33" a="1"/>
  <c r="F114" i="33" s="1"/>
  <c r="T113" i="33"/>
  <c r="F37" i="26" a="1"/>
  <c r="F37" i="26" s="1"/>
  <c r="U71" i="9"/>
  <c r="U72" i="9" s="1" a="1"/>
  <c r="U72" i="9" s="1"/>
  <c r="F72" i="9" a="1"/>
  <c r="F72" i="9" s="1"/>
  <c r="F73" i="9" s="1" a="1"/>
  <c r="F73" i="9" s="1"/>
  <c r="X32" i="10" a="1"/>
  <c r="X32" i="10" s="1"/>
  <c r="AB32" i="10" a="1"/>
  <c r="AB32" i="10" s="1"/>
  <c r="T101" i="33" a="1"/>
  <c r="T101" i="33" s="1"/>
  <c r="T102" i="33" s="1" a="1"/>
  <c r="T102" i="33" s="1"/>
  <c r="T103" i="33" s="1" a="1"/>
  <c r="T103" i="33" s="1"/>
  <c r="T104" i="33" s="1" a="1"/>
  <c r="T104" i="33" s="1"/>
  <c r="T105" i="33" s="1" a="1"/>
  <c r="T105" i="33" s="1"/>
  <c r="T106" i="33" s="1" a="1"/>
  <c r="T106" i="33" s="1"/>
  <c r="T107" i="33" s="1" a="1"/>
  <c r="T107" i="33" s="1"/>
  <c r="T99" i="33" a="1"/>
  <c r="T99" i="33" s="1"/>
  <c r="T100" i="33" s="1" a="1"/>
  <c r="T100" i="33" s="1"/>
  <c r="AB139" i="30"/>
  <c r="D140" i="30" a="1"/>
  <c r="D140" i="30" s="1"/>
  <c r="T65" i="18"/>
  <c r="T66" i="18" s="1" a="1"/>
  <c r="T66" i="18" s="1"/>
  <c r="F66" i="18" a="1"/>
  <c r="F66" i="18" s="1"/>
  <c r="F67" i="18" s="1" a="1"/>
  <c r="F67" i="18" s="1"/>
  <c r="AH172" i="30"/>
  <c r="AB283" i="29"/>
  <c r="D284" i="29" a="1"/>
  <c r="D284" i="29" s="1"/>
  <c r="K45" i="22"/>
  <c r="F46" i="22" a="1"/>
  <c r="F46" i="22" s="1"/>
  <c r="D428" i="29" a="1"/>
  <c r="D428" i="29" s="1"/>
  <c r="AB427" i="29"/>
  <c r="F197" i="29" a="1"/>
  <c r="F197" i="29" s="1"/>
  <c r="F198" i="29" s="1" a="1"/>
  <c r="F198" i="29" s="1"/>
  <c r="K69" i="20"/>
  <c r="F70" i="20" a="1"/>
  <c r="F70" i="20" s="1"/>
  <c r="T60" i="14"/>
  <c r="T61" i="14" s="1" a="1"/>
  <c r="T61" i="14" s="1"/>
  <c r="T62" i="14" s="1" a="1"/>
  <c r="T62" i="14" s="1"/>
  <c r="F61" i="14" a="1"/>
  <c r="F61" i="14" s="1"/>
  <c r="F62" i="14" s="1" a="1"/>
  <c r="F62" i="14" s="1"/>
  <c r="F63" i="14" s="1" a="1"/>
  <c r="F63" i="14" s="1"/>
  <c r="T279" i="33" a="1"/>
  <c r="T279" i="33" s="1"/>
  <c r="T280" i="33" s="1" a="1"/>
  <c r="T280" i="33" s="1"/>
  <c r="T281" i="33" s="1" a="1"/>
  <c r="T281" i="33" s="1"/>
  <c r="T282" i="33" s="1" a="1"/>
  <c r="T282" i="33" s="1"/>
  <c r="T283" i="33" s="1" a="1"/>
  <c r="T283" i="33" s="1"/>
  <c r="T284" i="33" s="1" a="1"/>
  <c r="T284" i="33" s="1"/>
  <c r="T285" i="33" s="1" a="1"/>
  <c r="T285" i="33" s="1"/>
  <c r="T277" i="33" a="1"/>
  <c r="T277" i="33" s="1"/>
  <c r="T278" i="33" s="1" a="1"/>
  <c r="T278" i="33" s="1"/>
  <c r="AB427" i="30"/>
  <c r="D428" i="30" a="1"/>
  <c r="D428" i="30" s="1"/>
  <c r="D284" i="30" a="1"/>
  <c r="D284" i="30" s="1"/>
  <c r="AB283" i="30"/>
  <c r="F32" i="19" a="1"/>
  <c r="F32" i="19" s="1"/>
  <c r="K50" i="20"/>
  <c r="F51" i="20" a="1"/>
  <c r="F51" i="20" s="1"/>
  <c r="F204" i="33" a="1"/>
  <c r="F204" i="33" s="1"/>
  <c r="T203" i="33"/>
  <c r="T204" i="33" s="1" a="1"/>
  <c r="T204" i="33" s="1"/>
  <c r="T132" i="27"/>
  <c r="T134" i="27" s="1" a="1"/>
  <c r="T134" i="27" s="1"/>
  <c r="T135" i="27" s="1" a="1"/>
  <c r="T135" i="27" s="1"/>
  <c r="T136" i="27" s="1" a="1"/>
  <c r="T136" i="27" s="1"/>
  <c r="T137" i="27" s="1" a="1"/>
  <c r="T137" i="27" s="1"/>
  <c r="F133" i="27" a="1"/>
  <c r="F133" i="27" s="1"/>
  <c r="F134" i="27" s="1" a="1"/>
  <c r="F134" i="27" s="1"/>
  <c r="AH316" i="30"/>
  <c r="T188" i="27"/>
  <c r="T190" i="27" s="1" a="1"/>
  <c r="T190" i="27" s="1"/>
  <c r="T191" i="27" s="1" a="1"/>
  <c r="T191" i="27" s="1"/>
  <c r="T192" i="27" s="1" a="1"/>
  <c r="T192" i="27" s="1"/>
  <c r="T193" i="27" s="1" a="1"/>
  <c r="T193" i="27" s="1"/>
  <c r="F189" i="27" a="1"/>
  <c r="F189" i="27" s="1"/>
  <c r="F190" i="27" s="1" a="1"/>
  <c r="F190" i="27" s="1"/>
  <c r="T93" i="14"/>
  <c r="T94" i="14" s="1" a="1"/>
  <c r="T94" i="14" s="1"/>
  <c r="F94" i="14" a="1"/>
  <c r="F94" i="14" s="1"/>
  <c r="F95" i="14" s="1" a="1"/>
  <c r="F95" i="14" s="1"/>
  <c r="F43" i="9" a="1"/>
  <c r="F43" i="9" s="1"/>
  <c r="F96" i="18" a="1"/>
  <c r="F96" i="18" s="1"/>
  <c r="F97" i="18" s="1" a="1"/>
  <c r="F97" i="18" s="1"/>
  <c r="T95" i="18"/>
  <c r="T96" i="18" s="1" a="1"/>
  <c r="T96" i="18" s="1"/>
  <c r="F341" i="29" a="1"/>
  <c r="F341" i="29" s="1"/>
  <c r="F342" i="29" s="1" a="1"/>
  <c r="F342" i="29" s="1"/>
  <c r="F139" i="31" a="1"/>
  <c r="F139" i="31" s="1"/>
  <c r="F36" i="31" a="1"/>
  <c r="F36" i="31" s="1"/>
  <c r="AF35" i="31"/>
  <c r="F142" i="26" a="1"/>
  <c r="F142" i="26" s="1"/>
  <c r="F202" i="30" a="1"/>
  <c r="F202" i="30" s="1"/>
  <c r="F53" i="29" a="1"/>
  <c r="F53" i="29" s="1"/>
  <c r="F54" i="29" s="1" a="1"/>
  <c r="F54" i="29" s="1"/>
  <c r="F34" i="18" a="1"/>
  <c r="F34" i="18" s="1"/>
  <c r="F36" i="8" a="1"/>
  <c r="F36" i="8" s="1"/>
  <c r="U35" i="8"/>
  <c r="AF36" i="34"/>
  <c r="AE36" i="34"/>
  <c r="F37" i="34" a="1"/>
  <c r="F37" i="34" s="1"/>
  <c r="F199" i="29" l="1" a="1"/>
  <c r="F199" i="29" s="1"/>
  <c r="F74" i="9" a="1"/>
  <c r="F74" i="9" s="1"/>
  <c r="U73" i="9"/>
  <c r="F143" i="26" a="1"/>
  <c r="F143" i="26" s="1"/>
  <c r="F98" i="18" a="1"/>
  <c r="F98" i="18" s="1"/>
  <c r="F99" i="18" s="1" a="1"/>
  <c r="F99" i="18" s="1"/>
  <c r="F100" i="18" s="1" a="1"/>
  <c r="F100" i="18" s="1"/>
  <c r="T97" i="18"/>
  <c r="T98" i="18" s="1" a="1"/>
  <c r="T98" i="18" s="1"/>
  <c r="F44" i="9" a="1"/>
  <c r="F44" i="9" s="1"/>
  <c r="U43" i="9"/>
  <c r="D285" i="30" a="1"/>
  <c r="D285" i="30" s="1"/>
  <c r="AB284" i="30"/>
  <c r="F47" i="22" a="1"/>
  <c r="F47" i="22" s="1"/>
  <c r="K46" i="22"/>
  <c r="D141" i="30" a="1"/>
  <c r="D141" i="30" s="1"/>
  <c r="AB140" i="30"/>
  <c r="V118" i="11" a="1"/>
  <c r="V118" i="11" s="1"/>
  <c r="AB118" i="11" a="1"/>
  <c r="AB118" i="11" s="1"/>
  <c r="T51" i="21"/>
  <c r="F52" i="21" a="1"/>
  <c r="F52" i="21" s="1"/>
  <c r="T52" i="21" s="1"/>
  <c r="F33" i="20" a="1"/>
  <c r="F33" i="20" s="1"/>
  <c r="K32" i="20"/>
  <c r="U100" i="9"/>
  <c r="F101" i="9" a="1"/>
  <c r="F101" i="9" s="1"/>
  <c r="AB209" i="11" a="1"/>
  <c r="AB209" i="11" s="1"/>
  <c r="V209" i="11" a="1"/>
  <c r="V209" i="11" s="1"/>
  <c r="F208" i="28" a="1"/>
  <c r="F208" i="28" s="1"/>
  <c r="AN207" i="28"/>
  <c r="F79" i="27" a="1"/>
  <c r="F79" i="27" s="1"/>
  <c r="F37" i="13" a="1"/>
  <c r="F37" i="13" s="1"/>
  <c r="T36" i="13"/>
  <c r="K64" i="19"/>
  <c r="F65" i="19" a="1"/>
  <c r="F65" i="19" s="1"/>
  <c r="F33" i="22" a="1"/>
  <c r="F33" i="22" s="1"/>
  <c r="K32" i="22"/>
  <c r="BO54" i="29"/>
  <c r="F55" i="29" a="1"/>
  <c r="F55" i="29" s="1"/>
  <c r="F56" i="34" a="1"/>
  <c r="F56" i="34" s="1"/>
  <c r="AF55" i="34"/>
  <c r="AE55" i="34"/>
  <c r="F37" i="31" a="1"/>
  <c r="F37" i="31" s="1"/>
  <c r="AF36" i="31"/>
  <c r="F140" i="31" a="1"/>
  <c r="F140" i="31" s="1"/>
  <c r="T95" i="14"/>
  <c r="T96" i="14" s="1" a="1"/>
  <c r="T96" i="14" s="1"/>
  <c r="T97" i="14" s="1" a="1"/>
  <c r="T97" i="14" s="1"/>
  <c r="T98" i="14" s="1" a="1"/>
  <c r="T98" i="14" s="1"/>
  <c r="T99" i="14" s="1" a="1"/>
  <c r="T99" i="14" s="1"/>
  <c r="T100" i="14" s="1" a="1"/>
  <c r="T100" i="14" s="1"/>
  <c r="T101" i="14" s="1" a="1"/>
  <c r="T101" i="14" s="1"/>
  <c r="F96" i="14" a="1"/>
  <c r="F96" i="14" s="1"/>
  <c r="F97" i="14" s="1" a="1"/>
  <c r="F97" i="14" s="1"/>
  <c r="F98" i="14" s="1" a="1"/>
  <c r="F98" i="14" s="1"/>
  <c r="F99" i="14" s="1" a="1"/>
  <c r="F99" i="14" s="1"/>
  <c r="F100" i="14" s="1" a="1"/>
  <c r="F100" i="14" s="1"/>
  <c r="F101" i="14" s="1" a="1"/>
  <c r="F101" i="14" s="1"/>
  <c r="F102" i="14" s="1" a="1"/>
  <c r="F102" i="14" s="1"/>
  <c r="F52" i="20" a="1"/>
  <c r="F52" i="20" s="1"/>
  <c r="K51" i="20"/>
  <c r="T288" i="33" a="1"/>
  <c r="T288" i="33" s="1"/>
  <c r="T286" i="33" a="1"/>
  <c r="T286" i="33" s="1"/>
  <c r="T287" i="33" s="1" a="1"/>
  <c r="T287" i="33" s="1"/>
  <c r="T63" i="14"/>
  <c r="T64" i="14" s="1" a="1"/>
  <c r="T64" i="14" s="1"/>
  <c r="F64" i="14" a="1"/>
  <c r="F64" i="14" s="1"/>
  <c r="F65" i="14" s="1" a="1"/>
  <c r="F65" i="14" s="1"/>
  <c r="F38" i="26" a="1"/>
  <c r="F38" i="26" s="1"/>
  <c r="F38" i="28" a="1"/>
  <c r="F38" i="28" s="1"/>
  <c r="AN37" i="28"/>
  <c r="F349" i="30" a="1"/>
  <c r="F349" i="30" s="1"/>
  <c r="F350" i="30" s="1" a="1"/>
  <c r="F350" i="30" s="1"/>
  <c r="F351" i="30" s="1" a="1"/>
  <c r="F351" i="30" s="1"/>
  <c r="F352" i="30" s="1" a="1"/>
  <c r="F352" i="30" s="1"/>
  <c r="F49" i="8" a="1"/>
  <c r="F49" i="8" s="1"/>
  <c r="U48" i="8"/>
  <c r="F92" i="31" a="1"/>
  <c r="F92" i="31" s="1"/>
  <c r="F93" i="31" s="1" a="1"/>
  <c r="F93" i="31" s="1"/>
  <c r="F94" i="31" s="1" a="1"/>
  <c r="F94" i="31" s="1"/>
  <c r="F95" i="31" s="1" a="1"/>
  <c r="F95" i="31" s="1"/>
  <c r="F96" i="31" s="1" a="1"/>
  <c r="F96" i="31" s="1"/>
  <c r="F97" i="31" s="1" a="1"/>
  <c r="F97" i="31" s="1"/>
  <c r="F98" i="31" s="1" a="1"/>
  <c r="F98" i="31" s="1"/>
  <c r="F99" i="31" s="1" a="1"/>
  <c r="F99" i="31" s="1"/>
  <c r="F100" i="31" s="1" a="1"/>
  <c r="F100" i="31" s="1"/>
  <c r="F101" i="31" s="1" a="1"/>
  <c r="F101" i="31" s="1"/>
  <c r="F102" i="31" s="1" a="1"/>
  <c r="F102" i="31" s="1"/>
  <c r="F103" i="31" s="1" a="1"/>
  <c r="F103" i="31" s="1"/>
  <c r="F104" i="31" s="1" a="1"/>
  <c r="F104" i="31" s="1"/>
  <c r="F105" i="31" s="1" a="1"/>
  <c r="F105" i="31" s="1"/>
  <c r="F106" i="31" s="1" a="1"/>
  <c r="F106" i="31" s="1"/>
  <c r="F107" i="31" s="1" a="1"/>
  <c r="F107" i="31" s="1"/>
  <c r="F108" i="31" s="1" a="1"/>
  <c r="F108" i="31" s="1"/>
  <c r="F109" i="31" s="1" a="1"/>
  <c r="F109" i="31" s="1"/>
  <c r="F110" i="31" s="1" a="1"/>
  <c r="F110" i="31" s="1"/>
  <c r="F111" i="31" s="1" a="1"/>
  <c r="F111" i="31" s="1"/>
  <c r="F112" i="31" s="1" a="1"/>
  <c r="F112" i="31" s="1"/>
  <c r="F113" i="31" s="1" a="1"/>
  <c r="F113" i="31" s="1"/>
  <c r="F114" i="31" s="1" a="1"/>
  <c r="F114" i="31" s="1"/>
  <c r="F115" i="31" s="1" a="1"/>
  <c r="F115" i="31" s="1"/>
  <c r="F116" i="31" s="1" a="1"/>
  <c r="F116" i="31" s="1"/>
  <c r="F117" i="31" s="1" a="1"/>
  <c r="F117" i="31" s="1"/>
  <c r="F118" i="31" s="1" a="1"/>
  <c r="F118" i="31" s="1"/>
  <c r="F119" i="31" s="1" a="1"/>
  <c r="F119" i="31" s="1"/>
  <c r="F120" i="31" s="1" a="1"/>
  <c r="F120" i="31" s="1"/>
  <c r="F121" i="31" s="1" a="1"/>
  <c r="F121" i="31" s="1"/>
  <c r="F122" i="31" s="1" a="1"/>
  <c r="F122" i="31" s="1"/>
  <c r="F123" i="31" s="1" a="1"/>
  <c r="F123" i="31" s="1"/>
  <c r="F124" i="31" s="1" a="1"/>
  <c r="F124" i="31" s="1"/>
  <c r="F125" i="31" s="1" a="1"/>
  <c r="F125" i="31" s="1"/>
  <c r="F126" i="31" s="1" a="1"/>
  <c r="F126" i="31" s="1"/>
  <c r="F127" i="31" s="1" a="1"/>
  <c r="F127" i="31" s="1"/>
  <c r="F128" i="31" s="1" a="1"/>
  <c r="F128" i="31" s="1"/>
  <c r="F129" i="31" s="1" a="1"/>
  <c r="F129" i="31" s="1"/>
  <c r="F130" i="31" s="1" a="1"/>
  <c r="F130" i="31" s="1"/>
  <c r="F131" i="31" s="1" a="1"/>
  <c r="F131" i="31" s="1"/>
  <c r="AF91" i="31"/>
  <c r="F343" i="29" a="1"/>
  <c r="F343" i="29" s="1"/>
  <c r="T67" i="18"/>
  <c r="T68" i="18" s="1" a="1"/>
  <c r="T68" i="18" s="1"/>
  <c r="F68" i="18" a="1"/>
  <c r="F68" i="18" s="1"/>
  <c r="F69" i="18" s="1" a="1"/>
  <c r="F69" i="18" s="1"/>
  <c r="F70" i="18" s="1" a="1"/>
  <c r="F70" i="18" s="1"/>
  <c r="F54" i="30" a="1"/>
  <c r="F54" i="30" s="1"/>
  <c r="D141" i="29" a="1"/>
  <c r="D141" i="29" s="1"/>
  <c r="AB140" i="29"/>
  <c r="T37" i="14"/>
  <c r="T38" i="14" s="1" a="1"/>
  <c r="T38" i="14" s="1"/>
  <c r="F38" i="14" a="1"/>
  <c r="F38" i="14" s="1"/>
  <c r="AF74" i="34"/>
  <c r="F75" i="34" a="1"/>
  <c r="F75" i="34" s="1"/>
  <c r="AE74" i="34"/>
  <c r="F108" i="19" a="1"/>
  <c r="F108" i="19" s="1"/>
  <c r="K107" i="19"/>
  <c r="F91" i="26" a="1"/>
  <c r="F91" i="26" s="1"/>
  <c r="AN122" i="28"/>
  <c r="F123" i="28" a="1"/>
  <c r="F123" i="28" s="1"/>
  <c r="K60" i="22"/>
  <c r="F61" i="22" a="1"/>
  <c r="F61" i="22" s="1"/>
  <c r="F35" i="18" a="1"/>
  <c r="F35" i="18" s="1"/>
  <c r="F203" i="30" a="1"/>
  <c r="F203" i="30" s="1"/>
  <c r="D285" i="29" a="1"/>
  <c r="D285" i="29" s="1"/>
  <c r="AB284" i="29"/>
  <c r="F38" i="34" a="1"/>
  <c r="F38" i="34" s="1"/>
  <c r="F39" i="34" s="1" a="1"/>
  <c r="F39" i="34" s="1"/>
  <c r="AE37" i="34"/>
  <c r="AE28" i="34" s="1"/>
  <c r="AF37" i="34"/>
  <c r="AF28" i="34" s="1"/>
  <c r="U36" i="8"/>
  <c r="F37" i="8" a="1"/>
  <c r="F37" i="8" s="1"/>
  <c r="F191" i="27" a="1"/>
  <c r="F191" i="27" s="1"/>
  <c r="F135" i="27" a="1"/>
  <c r="F135" i="27" s="1"/>
  <c r="T32" i="19"/>
  <c r="T33" i="19" s="1" a="1"/>
  <c r="T33" i="19" s="1"/>
  <c r="T34" i="19" s="1" a="1"/>
  <c r="T34" i="19" s="1"/>
  <c r="F33" i="19" a="1"/>
  <c r="F33" i="19" s="1"/>
  <c r="AB428" i="30"/>
  <c r="D429" i="30" a="1"/>
  <c r="D429" i="30" s="1"/>
  <c r="K70" i="20"/>
  <c r="F71" i="20" a="1"/>
  <c r="F71" i="20" s="1"/>
  <c r="AB428" i="29"/>
  <c r="D429" i="29" a="1"/>
  <c r="D429" i="29" s="1"/>
  <c r="T110" i="33" a="1"/>
  <c r="T110" i="33" s="1"/>
  <c r="T108" i="33" a="1"/>
  <c r="T108" i="33" s="1"/>
  <c r="T109" i="33" s="1" a="1"/>
  <c r="T109" i="33" s="1"/>
  <c r="F115" i="33" a="1"/>
  <c r="F115" i="33" s="1"/>
  <c r="AF69" i="34" s="1"/>
  <c r="T114" i="33"/>
  <c r="T115" i="33" s="1" a="1"/>
  <c r="T115" i="33" s="1"/>
  <c r="T197" i="33" a="1"/>
  <c r="T197" i="33" s="1"/>
  <c r="T198" i="33" s="1" a="1"/>
  <c r="T198" i="33" s="1"/>
  <c r="T199" i="33" a="1"/>
  <c r="T199" i="33" s="1"/>
  <c r="AF49" i="34"/>
  <c r="D430" i="29" l="1" a="1"/>
  <c r="D430" i="29" s="1"/>
  <c r="AB429" i="29"/>
  <c r="F72" i="20" a="1"/>
  <c r="F72" i="20" s="1"/>
  <c r="K71" i="20"/>
  <c r="D430" i="30" a="1"/>
  <c r="D430" i="30" s="1"/>
  <c r="AB429" i="30"/>
  <c r="F34" i="19" a="1"/>
  <c r="F34" i="19" s="1"/>
  <c r="K33" i="19"/>
  <c r="AB285" i="29"/>
  <c r="D286" i="29" a="1"/>
  <c r="D286" i="29" s="1"/>
  <c r="BO54" i="30"/>
  <c r="F55" i="30" a="1"/>
  <c r="F55" i="30" s="1"/>
  <c r="U49" i="8"/>
  <c r="F50" i="8" a="1"/>
  <c r="F50" i="8" s="1"/>
  <c r="T65" i="14"/>
  <c r="T66" i="14" s="1" a="1"/>
  <c r="T66" i="14" s="1"/>
  <c r="T67" i="14" s="1" a="1"/>
  <c r="T67" i="14" s="1"/>
  <c r="T68" i="14" s="1" a="1"/>
  <c r="T68" i="14" s="1"/>
  <c r="T69" i="14" s="1" a="1"/>
  <c r="T69" i="14" s="1"/>
  <c r="T70" i="14" s="1" a="1"/>
  <c r="T70" i="14" s="1"/>
  <c r="T71" i="14" s="1" a="1"/>
  <c r="T71" i="14" s="1"/>
  <c r="F66" i="14" a="1"/>
  <c r="F66" i="14" s="1"/>
  <c r="F67" i="14" s="1" a="1"/>
  <c r="F67" i="14" s="1"/>
  <c r="F68" i="14" s="1" a="1"/>
  <c r="F68" i="14" s="1"/>
  <c r="F69" i="14" s="1" a="1"/>
  <c r="F69" i="14" s="1"/>
  <c r="F70" i="14" s="1" a="1"/>
  <c r="F70" i="14" s="1"/>
  <c r="F71" i="14" s="1" a="1"/>
  <c r="F71" i="14" s="1"/>
  <c r="F72" i="14" s="1" a="1"/>
  <c r="F72" i="14" s="1"/>
  <c r="T290" i="33" a="1"/>
  <c r="T290" i="33" s="1"/>
  <c r="T289" i="33" a="1"/>
  <c r="T289" i="33" s="1"/>
  <c r="F103" i="14" a="1"/>
  <c r="F103" i="14" s="1"/>
  <c r="F104" i="14" s="1" a="1"/>
  <c r="F104" i="14" s="1"/>
  <c r="F105" i="14" s="1" a="1"/>
  <c r="F105" i="14" s="1"/>
  <c r="F106" i="14" s="1" a="1"/>
  <c r="F106" i="14" s="1"/>
  <c r="F107" i="14" s="1" a="1"/>
  <c r="F107" i="14" s="1"/>
  <c r="F108" i="14" s="1" a="1"/>
  <c r="F108" i="14" s="1"/>
  <c r="F109" i="14" s="1" a="1"/>
  <c r="F109" i="14" s="1"/>
  <c r="T102" i="14"/>
  <c r="T103" i="14" s="1" a="1"/>
  <c r="T103" i="14" s="1"/>
  <c r="T104" i="14" s="1" a="1"/>
  <c r="T104" i="14" s="1"/>
  <c r="T105" i="14" s="1" a="1"/>
  <c r="T105" i="14" s="1"/>
  <c r="T106" i="14" s="1" a="1"/>
  <c r="T106" i="14" s="1"/>
  <c r="T107" i="14" s="1" a="1"/>
  <c r="T107" i="14" s="1"/>
  <c r="T108" i="14" s="1" a="1"/>
  <c r="T108" i="14" s="1"/>
  <c r="BO55" i="29"/>
  <c r="F56" i="29" a="1"/>
  <c r="F56" i="29" s="1"/>
  <c r="F34" i="22" a="1"/>
  <c r="F34" i="22" s="1"/>
  <c r="K33" i="22"/>
  <c r="F66" i="19" a="1"/>
  <c r="F66" i="19" s="1"/>
  <c r="K65" i="19"/>
  <c r="T37" i="13"/>
  <c r="F38" i="13" a="1"/>
  <c r="F38" i="13" s="1"/>
  <c r="K33" i="20"/>
  <c r="F34" i="20" a="1"/>
  <c r="F34" i="20" s="1"/>
  <c r="F48" i="22" a="1"/>
  <c r="F48" i="22" s="1"/>
  <c r="K47" i="22"/>
  <c r="F45" i="9" a="1"/>
  <c r="F45" i="9" s="1"/>
  <c r="U44" i="9"/>
  <c r="U45" i="9" s="1" a="1"/>
  <c r="U45" i="9" s="1"/>
  <c r="F144" i="26" a="1"/>
  <c r="F144" i="26" s="1"/>
  <c r="T200" i="33" a="1"/>
  <c r="T200" i="33" s="1"/>
  <c r="T201" i="33" a="1"/>
  <c r="T201" i="33" s="1"/>
  <c r="AF68" i="34"/>
  <c r="AF30" i="34"/>
  <c r="AF50" i="34"/>
  <c r="AF31" i="34"/>
  <c r="F204" i="30" a="1"/>
  <c r="F204" i="30" s="1"/>
  <c r="F36" i="18" a="1"/>
  <c r="F36" i="18" s="1"/>
  <c r="T35" i="18"/>
  <c r="T36" i="18" s="1" a="1"/>
  <c r="T36" i="18" s="1"/>
  <c r="F92" i="26" a="1"/>
  <c r="F92" i="26" s="1"/>
  <c r="K108" i="19"/>
  <c r="F109" i="19" a="1"/>
  <c r="F109" i="19" s="1"/>
  <c r="F39" i="14" a="1"/>
  <c r="F39" i="14" s="1"/>
  <c r="D142" i="29" a="1"/>
  <c r="D142" i="29" s="1"/>
  <c r="AB141" i="29"/>
  <c r="F39" i="26" a="1"/>
  <c r="F39" i="26" s="1"/>
  <c r="F141" i="31" a="1"/>
  <c r="F141" i="31" s="1"/>
  <c r="F38" i="31" a="1"/>
  <c r="F38" i="31" s="1"/>
  <c r="AF37" i="31"/>
  <c r="F57" i="34" a="1"/>
  <c r="F57" i="34" s="1"/>
  <c r="F58" i="34" s="1" a="1"/>
  <c r="F58" i="34" s="1"/>
  <c r="F80" i="27" a="1"/>
  <c r="F80" i="27" s="1"/>
  <c r="F81" i="27" s="1" a="1"/>
  <c r="F81" i="27" s="1"/>
  <c r="F209" i="28" a="1"/>
  <c r="F209" i="28" s="1"/>
  <c r="AN208" i="28"/>
  <c r="S210" i="11"/>
  <c r="T210" i="11" s="1"/>
  <c r="T211" i="11" s="1" a="1"/>
  <c r="T211" i="11" s="1"/>
  <c r="T212" i="11" s="1" a="1"/>
  <c r="T212" i="11" s="1"/>
  <c r="T213" i="11" s="1" a="1"/>
  <c r="T213" i="11" s="1"/>
  <c r="T214" i="11" s="1" a="1"/>
  <c r="T214" i="11" s="1"/>
  <c r="T215" i="11" s="1" a="1"/>
  <c r="T215" i="11" s="1"/>
  <c r="T216" i="11" s="1" a="1"/>
  <c r="T216" i="11" s="1"/>
  <c r="T217" i="11" s="1" a="1"/>
  <c r="T217" i="11" s="1"/>
  <c r="T218" i="11" s="1" a="1"/>
  <c r="T218" i="11" s="1"/>
  <c r="T219" i="11" s="1" a="1"/>
  <c r="T219" i="11" s="1"/>
  <c r="T220" i="11" s="1" a="1"/>
  <c r="T220" i="11" s="1"/>
  <c r="T221" i="11" s="1" a="1"/>
  <c r="T221" i="11" s="1"/>
  <c r="T222" i="11" s="1" a="1"/>
  <c r="T222" i="11" s="1"/>
  <c r="T223" i="11" s="1" a="1"/>
  <c r="T223" i="11" s="1"/>
  <c r="T224" i="11" s="1" a="1"/>
  <c r="T224" i="11" s="1"/>
  <c r="T225" i="11" s="1" a="1"/>
  <c r="T225" i="11" s="1"/>
  <c r="T226" i="11" s="1" a="1"/>
  <c r="T226" i="11" s="1"/>
  <c r="T227" i="11" s="1" a="1"/>
  <c r="T227" i="11" s="1"/>
  <c r="T228" i="11" s="1" a="1"/>
  <c r="T228" i="11" s="1"/>
  <c r="T229" i="11" s="1" a="1"/>
  <c r="T229" i="11" s="1"/>
  <c r="T230" i="11" s="1" a="1"/>
  <c r="T230" i="11" s="1"/>
  <c r="T231" i="11" s="1" a="1"/>
  <c r="T231" i="11" s="1"/>
  <c r="T232" i="11" s="1" a="1"/>
  <c r="T232" i="11" s="1"/>
  <c r="T233" i="11" s="1" a="1"/>
  <c r="T233" i="11" s="1"/>
  <c r="T234" i="11" s="1" a="1"/>
  <c r="T234" i="11" s="1"/>
  <c r="T235" i="11" s="1" a="1"/>
  <c r="T235" i="11" s="1"/>
  <c r="T236" i="11" s="1" a="1"/>
  <c r="T236" i="11" s="1"/>
  <c r="T237" i="11" s="1" a="1"/>
  <c r="T237" i="11" s="1"/>
  <c r="T238" i="11" s="1" a="1"/>
  <c r="T238" i="11" s="1"/>
  <c r="T239" i="11" s="1" a="1"/>
  <c r="T239" i="11" s="1"/>
  <c r="T240" i="11" s="1" a="1"/>
  <c r="T240" i="11" s="1"/>
  <c r="T241" i="11" s="1" a="1"/>
  <c r="T241" i="11" s="1"/>
  <c r="T242" i="11" s="1" a="1"/>
  <c r="T242" i="11" s="1"/>
  <c r="T243" i="11" s="1" a="1"/>
  <c r="T243" i="11" s="1"/>
  <c r="T244" i="11" s="1" a="1"/>
  <c r="T244" i="11" s="1"/>
  <c r="T245" i="11" s="1" a="1"/>
  <c r="T245" i="11" s="1"/>
  <c r="V35" i="12" a="1"/>
  <c r="V35" i="12" s="1"/>
  <c r="S247" i="11"/>
  <c r="T247" i="11" s="1"/>
  <c r="T248" i="11" s="1" a="1"/>
  <c r="T248" i="11" s="1"/>
  <c r="T249" i="11" s="1" a="1"/>
  <c r="T249" i="11" s="1"/>
  <c r="T250" i="11" s="1" a="1"/>
  <c r="T250" i="11" s="1"/>
  <c r="T251" i="11" s="1" a="1"/>
  <c r="T251" i="11" s="1"/>
  <c r="T252" i="11" s="1" a="1"/>
  <c r="T252" i="11" s="1"/>
  <c r="T253" i="11" s="1" a="1"/>
  <c r="T253" i="11" s="1"/>
  <c r="T254" i="11" s="1" a="1"/>
  <c r="T254" i="11" s="1"/>
  <c r="T255" i="11" s="1" a="1"/>
  <c r="T255" i="11" s="1"/>
  <c r="T256" i="11" s="1" a="1"/>
  <c r="T256" i="11" s="1"/>
  <c r="T257" i="11" s="1" a="1"/>
  <c r="T257" i="11" s="1"/>
  <c r="T258" i="11" s="1" a="1"/>
  <c r="T258" i="11" s="1"/>
  <c r="T259" i="11" s="1" a="1"/>
  <c r="T259" i="11" s="1"/>
  <c r="T260" i="11" s="1" a="1"/>
  <c r="T260" i="11" s="1"/>
  <c r="T261" i="11" s="1" a="1"/>
  <c r="T261" i="11" s="1"/>
  <c r="AB35" i="12" a="1"/>
  <c r="AB35" i="12" s="1"/>
  <c r="S263" i="11"/>
  <c r="T263" i="11" s="1"/>
  <c r="T264" i="11" s="1" a="1"/>
  <c r="T264" i="11" s="1"/>
  <c r="T265" i="11" s="1" a="1"/>
  <c r="T265" i="11" s="1"/>
  <c r="T266" i="11" s="1" a="1"/>
  <c r="T266" i="11" s="1"/>
  <c r="T267" i="11" s="1" a="1"/>
  <c r="T267" i="11" s="1"/>
  <c r="T268" i="11" s="1" a="1"/>
  <c r="T268" i="11" s="1"/>
  <c r="T269" i="11" s="1" a="1"/>
  <c r="T269" i="11" s="1"/>
  <c r="T270" i="11" s="1" a="1"/>
  <c r="T270" i="11" s="1"/>
  <c r="T271" i="11" s="1" a="1"/>
  <c r="T271" i="11" s="1"/>
  <c r="T272" i="11" s="1" a="1"/>
  <c r="T272" i="11" s="1"/>
  <c r="T273" i="11" s="1" a="1"/>
  <c r="T273" i="11" s="1"/>
  <c r="T274" i="11" s="1" a="1"/>
  <c r="T274" i="11" s="1"/>
  <c r="T275" i="11" s="1" a="1"/>
  <c r="T275" i="11" s="1"/>
  <c r="T276" i="11" s="1" a="1"/>
  <c r="T276" i="11" s="1"/>
  <c r="T277" i="11" s="1" a="1"/>
  <c r="T277" i="11" s="1"/>
  <c r="T278" i="11" s="1" a="1"/>
  <c r="T278" i="11" s="1"/>
  <c r="T279" i="11" s="1" a="1"/>
  <c r="T279" i="11" s="1"/>
  <c r="T280" i="11" s="1" a="1"/>
  <c r="T280" i="11" s="1"/>
  <c r="T281" i="11" s="1" a="1"/>
  <c r="T281" i="11" s="1"/>
  <c r="T282" i="11" s="1" a="1"/>
  <c r="T282" i="11" s="1"/>
  <c r="T283" i="11" s="1" a="1"/>
  <c r="T283" i="11" s="1"/>
  <c r="T284" i="11" s="1" a="1"/>
  <c r="T284" i="11" s="1"/>
  <c r="T285" i="11" s="1" a="1"/>
  <c r="T285" i="11" s="1"/>
  <c r="T286" i="11" s="1" a="1"/>
  <c r="T286" i="11" s="1"/>
  <c r="T287" i="11" s="1" a="1"/>
  <c r="T287" i="11" s="1"/>
  <c r="S289" i="11"/>
  <c r="T289" i="11" s="1"/>
  <c r="T290" i="11" s="1" a="1"/>
  <c r="T290" i="11" s="1"/>
  <c r="T291" i="11" s="1" a="1"/>
  <c r="T291" i="11" s="1"/>
  <c r="T292" i="11" s="1" a="1"/>
  <c r="T292" i="11" s="1"/>
  <c r="T293" i="11" s="1" a="1"/>
  <c r="T293" i="11" s="1"/>
  <c r="T294" i="11" s="1" a="1"/>
  <c r="T294" i="11" s="1"/>
  <c r="T295" i="11" s="1" a="1"/>
  <c r="T295" i="11" s="1"/>
  <c r="T296" i="11" s="1" a="1"/>
  <c r="T296" i="11" s="1"/>
  <c r="T297" i="11" s="1" a="1"/>
  <c r="T297" i="11" s="1"/>
  <c r="T298" i="11" s="1" a="1"/>
  <c r="T298" i="11" s="1"/>
  <c r="T299" i="11" s="1" a="1"/>
  <c r="T299" i="11" s="1"/>
  <c r="F136" i="27" a="1"/>
  <c r="F136" i="27" s="1"/>
  <c r="F137" i="27" s="1" a="1"/>
  <c r="F137" i="27" s="1"/>
  <c r="F38" i="8" a="1"/>
  <c r="F38" i="8" s="1"/>
  <c r="U37" i="8"/>
  <c r="F40" i="34" a="1"/>
  <c r="F40" i="34" s="1"/>
  <c r="F41" i="34" s="1" a="1"/>
  <c r="F41" i="34" s="1"/>
  <c r="F42" i="34" s="1" a="1"/>
  <c r="F42" i="34" s="1"/>
  <c r="F43" i="34" s="1" a="1"/>
  <c r="F43" i="34" s="1"/>
  <c r="F44" i="34" s="1" a="1"/>
  <c r="F44" i="34" s="1"/>
  <c r="F45" i="34" s="1" a="1"/>
  <c r="F45" i="34" s="1"/>
  <c r="AF39" i="34"/>
  <c r="AE39" i="34"/>
  <c r="F62" i="22" a="1"/>
  <c r="F62" i="22" s="1"/>
  <c r="K61" i="22"/>
  <c r="AN123" i="28"/>
  <c r="F124" i="28" a="1"/>
  <c r="F124" i="28" s="1"/>
  <c r="F71" i="18" a="1"/>
  <c r="F71" i="18" s="1"/>
  <c r="F72" i="18" s="1" a="1"/>
  <c r="F72" i="18" s="1"/>
  <c r="T70" i="18"/>
  <c r="T71" i="18" s="1" a="1"/>
  <c r="T71" i="18" s="1"/>
  <c r="F344" i="29" a="1"/>
  <c r="F344" i="29" s="1"/>
  <c r="U101" i="9"/>
  <c r="U102" i="9" s="1" a="1"/>
  <c r="U102" i="9" s="1"/>
  <c r="F102" i="9" a="1"/>
  <c r="F102" i="9" s="1"/>
  <c r="F103" i="9" s="1" a="1"/>
  <c r="F103" i="9" s="1"/>
  <c r="AB141" i="30"/>
  <c r="D142" i="30" a="1"/>
  <c r="D142" i="30" s="1"/>
  <c r="D286" i="30" a="1"/>
  <c r="D286" i="30" s="1"/>
  <c r="AB285" i="30"/>
  <c r="F101" i="18" a="1"/>
  <c r="F101" i="18" s="1"/>
  <c r="F102" i="18" s="1" a="1"/>
  <c r="F102" i="18" s="1"/>
  <c r="T100" i="18"/>
  <c r="T101" i="18" s="1" a="1"/>
  <c r="T101" i="18" s="1"/>
  <c r="T112" i="33" a="1"/>
  <c r="T112" i="33" s="1"/>
  <c r="T111" i="33" a="1"/>
  <c r="T111" i="33" s="1"/>
  <c r="F192" i="27" a="1"/>
  <c r="F192" i="27" s="1"/>
  <c r="F193" i="27" s="1" a="1"/>
  <c r="F193" i="27" s="1"/>
  <c r="F76" i="34" a="1"/>
  <c r="F76" i="34" s="1"/>
  <c r="F77" i="34" s="1" a="1"/>
  <c r="F77" i="34" s="1"/>
  <c r="F353" i="30" a="1"/>
  <c r="F353" i="30" s="1"/>
  <c r="F354" i="30" s="1" a="1"/>
  <c r="F354" i="30" s="1"/>
  <c r="F355" i="30" s="1" a="1"/>
  <c r="F355" i="30" s="1"/>
  <c r="F39" i="28" a="1"/>
  <c r="F39" i="28" s="1"/>
  <c r="AN38" i="28"/>
  <c r="F53" i="20" a="1"/>
  <c r="F53" i="20" s="1"/>
  <c r="K52" i="20"/>
  <c r="S156" i="11"/>
  <c r="T156" i="11" s="1"/>
  <c r="T157" i="11" s="1" a="1"/>
  <c r="T157" i="11" s="1"/>
  <c r="T158" i="11" s="1" a="1"/>
  <c r="T158" i="11" s="1"/>
  <c r="T159" i="11" s="1" a="1"/>
  <c r="T159" i="11" s="1"/>
  <c r="T160" i="11" s="1" a="1"/>
  <c r="T160" i="11" s="1"/>
  <c r="T161" i="11" s="1" a="1"/>
  <c r="T161" i="11" s="1"/>
  <c r="T162" i="11" s="1" a="1"/>
  <c r="T162" i="11" s="1"/>
  <c r="T163" i="11" s="1" a="1"/>
  <c r="T163" i="11" s="1"/>
  <c r="T164" i="11" s="1" a="1"/>
  <c r="T164" i="11" s="1"/>
  <c r="T165" i="11" s="1" a="1"/>
  <c r="T165" i="11" s="1"/>
  <c r="T166" i="11" s="1" a="1"/>
  <c r="T166" i="11" s="1"/>
  <c r="T167" i="11" s="1" a="1"/>
  <c r="T167" i="11" s="1"/>
  <c r="T168" i="11" s="1" a="1"/>
  <c r="T168" i="11" s="1"/>
  <c r="T169" i="11" s="1" a="1"/>
  <c r="T169" i="11" s="1"/>
  <c r="T170" i="11" s="1" a="1"/>
  <c r="T170" i="11" s="1"/>
  <c r="AB32" i="12" a="1"/>
  <c r="AB32" i="12" s="1"/>
  <c r="V32" i="12" a="1"/>
  <c r="V32" i="12" s="1"/>
  <c r="S198" i="11"/>
  <c r="T198" i="11" s="1"/>
  <c r="T199" i="11" s="1" a="1"/>
  <c r="T199" i="11" s="1"/>
  <c r="T200" i="11" s="1" a="1"/>
  <c r="T200" i="11" s="1"/>
  <c r="T201" i="11" s="1" a="1"/>
  <c r="T201" i="11" s="1"/>
  <c r="T202" i="11" s="1" a="1"/>
  <c r="T202" i="11" s="1"/>
  <c r="T203" i="11" s="1" a="1"/>
  <c r="T203" i="11" s="1"/>
  <c r="T204" i="11" s="1" a="1"/>
  <c r="T204" i="11" s="1"/>
  <c r="T205" i="11" s="1" a="1"/>
  <c r="T205" i="11" s="1"/>
  <c r="T206" i="11" s="1" a="1"/>
  <c r="T206" i="11" s="1"/>
  <c r="T207" i="11" s="1" a="1"/>
  <c r="T207" i="11" s="1"/>
  <c r="T208" i="11" s="1" a="1"/>
  <c r="T208" i="11" s="1"/>
  <c r="S119" i="11"/>
  <c r="T119" i="11" s="1"/>
  <c r="T120" i="11" s="1" a="1"/>
  <c r="T120" i="11" s="1"/>
  <c r="T121" i="11" s="1" a="1"/>
  <c r="T121" i="11" s="1"/>
  <c r="T122" i="11" s="1" a="1"/>
  <c r="T122" i="11" s="1"/>
  <c r="T123" i="11" s="1" a="1"/>
  <c r="T123" i="11" s="1"/>
  <c r="T124" i="11" s="1" a="1"/>
  <c r="T124" i="11" s="1"/>
  <c r="T125" i="11" s="1" a="1"/>
  <c r="T125" i="11" s="1"/>
  <c r="T126" i="11" s="1" a="1"/>
  <c r="T126" i="11" s="1"/>
  <c r="T127" i="11" s="1" a="1"/>
  <c r="T127" i="11" s="1"/>
  <c r="T128" i="11" s="1" a="1"/>
  <c r="T128" i="11" s="1"/>
  <c r="T129" i="11" s="1" a="1"/>
  <c r="T129" i="11" s="1"/>
  <c r="T130" i="11" s="1" a="1"/>
  <c r="T130" i="11" s="1"/>
  <c r="T131" i="11" s="1" a="1"/>
  <c r="T131" i="11" s="1"/>
  <c r="T132" i="11" s="1" a="1"/>
  <c r="T132" i="11" s="1"/>
  <c r="T133" i="11" s="1" a="1"/>
  <c r="T133" i="11" s="1"/>
  <c r="T134" i="11" s="1" a="1"/>
  <c r="T134" i="11" s="1"/>
  <c r="T135" i="11" s="1" a="1"/>
  <c r="T135" i="11" s="1"/>
  <c r="T136" i="11" s="1" a="1"/>
  <c r="T136" i="11" s="1"/>
  <c r="T137" i="11" s="1" a="1"/>
  <c r="T137" i="11" s="1"/>
  <c r="T138" i="11" s="1" a="1"/>
  <c r="T138" i="11" s="1"/>
  <c r="T139" i="11" s="1" a="1"/>
  <c r="T139" i="11" s="1"/>
  <c r="T140" i="11" s="1" a="1"/>
  <c r="T140" i="11" s="1"/>
  <c r="T141" i="11" s="1" a="1"/>
  <c r="T141" i="11" s="1"/>
  <c r="T142" i="11" s="1" a="1"/>
  <c r="T142" i="11" s="1"/>
  <c r="T143" i="11" s="1" a="1"/>
  <c r="T143" i="11" s="1"/>
  <c r="T144" i="11" s="1" a="1"/>
  <c r="T144" i="11" s="1"/>
  <c r="T145" i="11" s="1" a="1"/>
  <c r="T145" i="11" s="1"/>
  <c r="T146" i="11" s="1" a="1"/>
  <c r="T146" i="11" s="1"/>
  <c r="T147" i="11" s="1" a="1"/>
  <c r="T147" i="11" s="1"/>
  <c r="T148" i="11" s="1" a="1"/>
  <c r="T148" i="11" s="1"/>
  <c r="T149" i="11" s="1" a="1"/>
  <c r="T149" i="11" s="1"/>
  <c r="T150" i="11" s="1" a="1"/>
  <c r="T150" i="11" s="1"/>
  <c r="T151" i="11" s="1" a="1"/>
  <c r="T151" i="11" s="1"/>
  <c r="T152" i="11" s="1" a="1"/>
  <c r="T152" i="11" s="1"/>
  <c r="T153" i="11" s="1" a="1"/>
  <c r="T153" i="11" s="1"/>
  <c r="T154" i="11" s="1" a="1"/>
  <c r="T154" i="11" s="1"/>
  <c r="S172" i="11"/>
  <c r="T172" i="11" s="1"/>
  <c r="T173" i="11" s="1" a="1"/>
  <c r="T173" i="11" s="1"/>
  <c r="T174" i="11" s="1" a="1"/>
  <c r="T174" i="11" s="1"/>
  <c r="T175" i="11" s="1" a="1"/>
  <c r="T175" i="11" s="1"/>
  <c r="T176" i="11" s="1" a="1"/>
  <c r="T176" i="11" s="1"/>
  <c r="T177" i="11" s="1" a="1"/>
  <c r="T177" i="11" s="1"/>
  <c r="T178" i="11" s="1" a="1"/>
  <c r="T178" i="11" s="1"/>
  <c r="T179" i="11" s="1" a="1"/>
  <c r="T179" i="11" s="1"/>
  <c r="T180" i="11" s="1" a="1"/>
  <c r="T180" i="11" s="1"/>
  <c r="T181" i="11" s="1" a="1"/>
  <c r="T181" i="11" s="1"/>
  <c r="T182" i="11" s="1" a="1"/>
  <c r="T182" i="11" s="1"/>
  <c r="T183" i="11" s="1" a="1"/>
  <c r="T183" i="11" s="1"/>
  <c r="T184" i="11" s="1" a="1"/>
  <c r="T184" i="11" s="1"/>
  <c r="T185" i="11" s="1" a="1"/>
  <c r="T185" i="11" s="1"/>
  <c r="T186" i="11" s="1" a="1"/>
  <c r="T186" i="11" s="1"/>
  <c r="T187" i="11" s="1" a="1"/>
  <c r="T187" i="11" s="1"/>
  <c r="T188" i="11" s="1" a="1"/>
  <c r="T188" i="11" s="1"/>
  <c r="T189" i="11" s="1" a="1"/>
  <c r="T189" i="11" s="1"/>
  <c r="T190" i="11" s="1" a="1"/>
  <c r="T190" i="11" s="1"/>
  <c r="T191" i="11" s="1" a="1"/>
  <c r="T191" i="11" s="1"/>
  <c r="T192" i="11" s="1" a="1"/>
  <c r="T192" i="11" s="1"/>
  <c r="T193" i="11" s="1" a="1"/>
  <c r="T193" i="11" s="1"/>
  <c r="T194" i="11" s="1" a="1"/>
  <c r="T194" i="11" s="1"/>
  <c r="T195" i="11" s="1" a="1"/>
  <c r="T195" i="11" s="1"/>
  <c r="T196" i="11" s="1" a="1"/>
  <c r="T196" i="11" s="1"/>
  <c r="F75" i="9" a="1"/>
  <c r="F75" i="9" s="1"/>
  <c r="F76" i="9" s="1" a="1"/>
  <c r="F76" i="9" s="1"/>
  <c r="U74" i="9"/>
  <c r="U75" i="9" s="1" a="1"/>
  <c r="U75" i="9" s="1"/>
  <c r="F200" i="29" a="1"/>
  <c r="F200" i="29" s="1"/>
  <c r="AB31" i="13" l="1" a="1"/>
  <c r="AB31" i="13" s="1"/>
  <c r="V31" i="13" a="1"/>
  <c r="V31" i="13" s="1"/>
  <c r="F125" i="28" a="1"/>
  <c r="F125" i="28" s="1"/>
  <c r="AN124" i="28"/>
  <c r="AF58" i="34"/>
  <c r="F59" i="34" a="1"/>
  <c r="F59" i="34" s="1"/>
  <c r="F60" i="34" s="1" a="1"/>
  <c r="F60" i="34" s="1"/>
  <c r="F61" i="34" s="1" a="1"/>
  <c r="F61" i="34" s="1"/>
  <c r="F62" i="34" s="1" a="1"/>
  <c r="F62" i="34" s="1"/>
  <c r="F63" i="34" s="1" a="1"/>
  <c r="F63" i="34" s="1"/>
  <c r="F64" i="34" s="1" a="1"/>
  <c r="F64" i="34" s="1"/>
  <c r="AE58" i="34"/>
  <c r="F40" i="26" a="1"/>
  <c r="F40" i="26" s="1"/>
  <c r="F205" i="30" a="1"/>
  <c r="F205" i="30" s="1"/>
  <c r="F73" i="18" a="1"/>
  <c r="F73" i="18" s="1"/>
  <c r="F74" i="18" s="1" a="1"/>
  <c r="F74" i="18" s="1"/>
  <c r="F75" i="18" s="1" a="1"/>
  <c r="F75" i="18" s="1"/>
  <c r="T72" i="18"/>
  <c r="T73" i="18" s="1" a="1"/>
  <c r="T73" i="18" s="1"/>
  <c r="F63" i="22" a="1"/>
  <c r="F63" i="22" s="1"/>
  <c r="K62" i="22"/>
  <c r="K48" i="22"/>
  <c r="F49" i="22" a="1"/>
  <c r="F49" i="22" s="1"/>
  <c r="F39" i="13" a="1"/>
  <c r="F39" i="13" s="1"/>
  <c r="AF115" i="28" s="1"/>
  <c r="AF114" i="28" s="1"/>
  <c r="T38" i="13"/>
  <c r="K34" i="22"/>
  <c r="F35" i="22" a="1"/>
  <c r="F35" i="22" s="1"/>
  <c r="F51" i="8" a="1"/>
  <c r="F51" i="8" s="1"/>
  <c r="U50" i="8"/>
  <c r="D287" i="29" a="1"/>
  <c r="D287" i="29" s="1"/>
  <c r="D288" i="29" s="1" a="1"/>
  <c r="D288" i="29" s="1"/>
  <c r="D289" i="29" s="1" a="1"/>
  <c r="D289" i="29" s="1"/>
  <c r="D290" i="29" s="1" a="1"/>
  <c r="D290" i="29" s="1"/>
  <c r="D291" i="29" s="1" a="1"/>
  <c r="D291" i="29" s="1"/>
  <c r="D292" i="29" s="1"/>
  <c r="AB290" i="29"/>
  <c r="AB286" i="29"/>
  <c r="AB291" i="29"/>
  <c r="AB287" i="29"/>
  <c r="D431" i="30" a="1"/>
  <c r="D431" i="30" s="1"/>
  <c r="D432" i="30" s="1" a="1"/>
  <c r="D432" i="30" s="1"/>
  <c r="D433" i="30" s="1" a="1"/>
  <c r="D433" i="30" s="1"/>
  <c r="D434" i="30" s="1" a="1"/>
  <c r="D434" i="30" s="1"/>
  <c r="D435" i="30" s="1" a="1"/>
  <c r="D435" i="30" s="1"/>
  <c r="D436" i="30" s="1"/>
  <c r="AB430" i="30"/>
  <c r="AB434" i="30"/>
  <c r="AB431" i="30"/>
  <c r="AB435" i="30"/>
  <c r="D431" i="29" a="1"/>
  <c r="D431" i="29" s="1"/>
  <c r="D432" i="29" s="1" a="1"/>
  <c r="D432" i="29" s="1"/>
  <c r="D433" i="29" s="1" a="1"/>
  <c r="D433" i="29" s="1"/>
  <c r="D434" i="29" s="1" a="1"/>
  <c r="D434" i="29" s="1"/>
  <c r="D435" i="29" s="1" a="1"/>
  <c r="D435" i="29" s="1"/>
  <c r="D436" i="29" s="1"/>
  <c r="AB435" i="29"/>
  <c r="AB430" i="29"/>
  <c r="AB431" i="29"/>
  <c r="AB434" i="29"/>
  <c r="T102" i="18"/>
  <c r="T103" i="18" s="1" a="1"/>
  <c r="T103" i="18" s="1"/>
  <c r="F103" i="18" a="1"/>
  <c r="F103" i="18" s="1"/>
  <c r="F104" i="18" s="1" a="1"/>
  <c r="F104" i="18" s="1"/>
  <c r="F105" i="18" s="1" a="1"/>
  <c r="F105" i="18" s="1"/>
  <c r="F345" i="29" a="1"/>
  <c r="F345" i="29" s="1"/>
  <c r="U76" i="9"/>
  <c r="F77" i="9" a="1"/>
  <c r="F77" i="9" s="1"/>
  <c r="D287" i="30" a="1"/>
  <c r="D287" i="30" s="1"/>
  <c r="D288" i="30" s="1" a="1"/>
  <c r="D288" i="30" s="1"/>
  <c r="D289" i="30" s="1" a="1"/>
  <c r="D289" i="30" s="1"/>
  <c r="D290" i="30" s="1" a="1"/>
  <c r="D290" i="30" s="1"/>
  <c r="D291" i="30" s="1" a="1"/>
  <c r="D291" i="30" s="1"/>
  <c r="D292" i="30" s="1"/>
  <c r="AB286" i="30"/>
  <c r="AB287" i="30"/>
  <c r="AB290" i="30"/>
  <c r="AB291" i="30"/>
  <c r="AE41" i="34"/>
  <c r="AE44" i="34" s="1"/>
  <c r="AE42" i="34"/>
  <c r="U38" i="8"/>
  <c r="F39" i="8" a="1"/>
  <c r="F39" i="8" s="1"/>
  <c r="AN209" i="28"/>
  <c r="F210" i="28" a="1"/>
  <c r="F210" i="28" s="1"/>
  <c r="F39" i="31" a="1"/>
  <c r="F39" i="31" s="1"/>
  <c r="AF38" i="31"/>
  <c r="F142" i="31" a="1"/>
  <c r="F142" i="31" s="1"/>
  <c r="D143" i="29" a="1"/>
  <c r="D143" i="29" s="1"/>
  <c r="D144" i="29" s="1" a="1"/>
  <c r="D144" i="29" s="1"/>
  <c r="D145" i="29" s="1" a="1"/>
  <c r="D145" i="29" s="1"/>
  <c r="D146" i="29" s="1" a="1"/>
  <c r="D146" i="29" s="1"/>
  <c r="D147" i="29" s="1" a="1"/>
  <c r="D147" i="29" s="1"/>
  <c r="D148" i="29" s="1"/>
  <c r="AB146" i="29"/>
  <c r="AB142" i="29"/>
  <c r="AB147" i="29"/>
  <c r="AB143" i="29"/>
  <c r="T39" i="14"/>
  <c r="T40" i="14" s="1" a="1"/>
  <c r="T40" i="14" s="1"/>
  <c r="T41" i="14" s="1" a="1"/>
  <c r="T41" i="14" s="1"/>
  <c r="T42" i="14" s="1" a="1"/>
  <c r="T42" i="14" s="1"/>
  <c r="T43" i="14" s="1" a="1"/>
  <c r="T43" i="14" s="1"/>
  <c r="T44" i="14" s="1" a="1"/>
  <c r="T44" i="14" s="1"/>
  <c r="T45" i="14" s="1" a="1"/>
  <c r="T45" i="14" s="1"/>
  <c r="F40" i="14" a="1"/>
  <c r="F40" i="14" s="1"/>
  <c r="F93" i="26" a="1"/>
  <c r="F93" i="26" s="1"/>
  <c r="F37" i="18" a="1"/>
  <c r="F37" i="18" s="1"/>
  <c r="K34" i="20"/>
  <c r="F35" i="20" a="1"/>
  <c r="F35" i="20" s="1"/>
  <c r="F57" i="29" a="1"/>
  <c r="F57" i="29" s="1"/>
  <c r="BO56" i="29"/>
  <c r="BO37" i="29"/>
  <c r="BO37" i="30"/>
  <c r="AN39" i="28"/>
  <c r="F40" i="28" a="1"/>
  <c r="F40" i="28" s="1"/>
  <c r="F194" i="27" a="1"/>
  <c r="F194" i="27" s="1"/>
  <c r="D143" i="30" a="1"/>
  <c r="D143" i="30" s="1"/>
  <c r="D144" i="30" s="1" a="1"/>
  <c r="D144" i="30" s="1"/>
  <c r="D145" i="30" s="1" a="1"/>
  <c r="D145" i="30" s="1"/>
  <c r="D146" i="30" s="1" a="1"/>
  <c r="D146" i="30" s="1"/>
  <c r="D147" i="30" s="1" a="1"/>
  <c r="D147" i="30" s="1"/>
  <c r="D148" i="30" s="1"/>
  <c r="AB147" i="30"/>
  <c r="AB146" i="30"/>
  <c r="AB142" i="30"/>
  <c r="AB143" i="30"/>
  <c r="F82" i="27" a="1"/>
  <c r="F82" i="27" s="1"/>
  <c r="T109" i="19"/>
  <c r="T110" i="19" s="1" a="1"/>
  <c r="T110" i="19" s="1"/>
  <c r="T111" i="19" s="1" a="1"/>
  <c r="T111" i="19" s="1"/>
  <c r="F110" i="19" a="1"/>
  <c r="F110" i="19" s="1"/>
  <c r="F111" i="19" s="1" a="1"/>
  <c r="F111" i="19" s="1"/>
  <c r="F112" i="19" s="1" a="1"/>
  <c r="F112" i="19" s="1"/>
  <c r="F201" i="29" a="1"/>
  <c r="F201" i="29" s="1"/>
  <c r="K53" i="20"/>
  <c r="F54" i="20" a="1"/>
  <c r="F54" i="20" s="1"/>
  <c r="F356" i="30" a="1"/>
  <c r="F356" i="30" s="1"/>
  <c r="F357" i="30" s="1" a="1"/>
  <c r="F357" i="30" s="1"/>
  <c r="F358" i="30" s="1" a="1"/>
  <c r="F358" i="30" s="1"/>
  <c r="F359" i="30" s="1" a="1"/>
  <c r="F359" i="30" s="1"/>
  <c r="F360" i="30" s="1" a="1"/>
  <c r="F360" i="30" s="1"/>
  <c r="F361" i="30" s="1" a="1"/>
  <c r="F361" i="30" s="1"/>
  <c r="F362" i="30" s="1" a="1"/>
  <c r="F362" i="30" s="1"/>
  <c r="F363" i="30" s="1" a="1"/>
  <c r="F363" i="30" s="1"/>
  <c r="F364" i="30" s="1" a="1"/>
  <c r="F364" i="30" s="1"/>
  <c r="F78" i="34" a="1"/>
  <c r="F78" i="34" s="1"/>
  <c r="F79" i="34" s="1" a="1"/>
  <c r="F79" i="34" s="1"/>
  <c r="F80" i="34" s="1" a="1"/>
  <c r="F80" i="34" s="1"/>
  <c r="F81" i="34" s="1" a="1"/>
  <c r="F81" i="34" s="1"/>
  <c r="F82" i="34" s="1" a="1"/>
  <c r="F82" i="34" s="1"/>
  <c r="F83" i="34" s="1" a="1"/>
  <c r="F83" i="34" s="1"/>
  <c r="AF77" i="34"/>
  <c r="AE77" i="34"/>
  <c r="F104" i="9" a="1"/>
  <c r="F104" i="9" s="1"/>
  <c r="U103" i="9"/>
  <c r="AF41" i="34"/>
  <c r="AF44" i="34" s="1"/>
  <c r="AF42" i="34"/>
  <c r="F138" i="27" a="1"/>
  <c r="F138" i="27" s="1"/>
  <c r="AB40" i="13" a="1"/>
  <c r="AB40" i="13" s="1"/>
  <c r="V40" i="13" a="1"/>
  <c r="V40" i="13" s="1"/>
  <c r="F145" i="26" a="1"/>
  <c r="F145" i="26" s="1"/>
  <c r="F46" i="9" a="1"/>
  <c r="F46" i="9" s="1"/>
  <c r="F56" i="30" a="1"/>
  <c r="F56" i="30" s="1"/>
  <c r="BO55" i="30"/>
  <c r="F35" i="19" a="1"/>
  <c r="F35" i="19" s="1"/>
  <c r="K34" i="19"/>
  <c r="F73" i="20" a="1"/>
  <c r="F73" i="20" s="1"/>
  <c r="K72" i="20"/>
  <c r="T66" i="19"/>
  <c r="T67" i="19" s="1" a="1"/>
  <c r="T67" i="19" s="1"/>
  <c r="T68" i="19" s="1" a="1"/>
  <c r="T68" i="19" s="1"/>
  <c r="F67" i="19" a="1"/>
  <c r="F67" i="19" s="1"/>
  <c r="F68" i="19" s="1" a="1"/>
  <c r="F68" i="19" s="1"/>
  <c r="F69" i="19" s="1" a="1"/>
  <c r="F69" i="19" s="1"/>
  <c r="T109" i="14"/>
  <c r="T110" i="14" s="1" a="1"/>
  <c r="T110" i="14" s="1"/>
  <c r="T111" i="14" s="1" a="1"/>
  <c r="T111" i="14" s="1"/>
  <c r="T112" i="14" s="1" a="1"/>
  <c r="T112" i="14" s="1"/>
  <c r="T113" i="14" s="1" a="1"/>
  <c r="T113" i="14" s="1"/>
  <c r="T114" i="14" s="1" a="1"/>
  <c r="T114" i="14" s="1"/>
  <c r="T115" i="14" s="1" a="1"/>
  <c r="T115" i="14" s="1"/>
  <c r="F110" i="14" a="1"/>
  <c r="F110" i="14" s="1"/>
  <c r="F111" i="14" s="1" a="1"/>
  <c r="F111" i="14" s="1"/>
  <c r="F112" i="14" s="1" a="1"/>
  <c r="F112" i="14" s="1"/>
  <c r="F113" i="14" s="1" a="1"/>
  <c r="F113" i="14" s="1"/>
  <c r="F114" i="14" s="1" a="1"/>
  <c r="F114" i="14" s="1"/>
  <c r="F115" i="14" s="1" a="1"/>
  <c r="F115" i="14" s="1"/>
  <c r="F116" i="14" s="1" a="1"/>
  <c r="F116" i="14" s="1"/>
  <c r="F73" i="14" a="1"/>
  <c r="F73" i="14" s="1"/>
  <c r="F74" i="14" s="1" a="1"/>
  <c r="F74" i="14" s="1"/>
  <c r="F75" i="14" s="1" a="1"/>
  <c r="F75" i="14" s="1"/>
  <c r="F76" i="14" s="1" a="1"/>
  <c r="F76" i="14" s="1"/>
  <c r="F77" i="14" s="1" a="1"/>
  <c r="F77" i="14" s="1"/>
  <c r="F78" i="14" s="1" a="1"/>
  <c r="F78" i="14" s="1"/>
  <c r="F79" i="14" s="1" a="1"/>
  <c r="F79" i="14" s="1"/>
  <c r="T79" i="14" s="1"/>
  <c r="T72" i="14"/>
  <c r="T73" i="14" s="1" a="1"/>
  <c r="T73" i="14" s="1"/>
  <c r="T74" i="14" s="1" a="1"/>
  <c r="T74" i="14" s="1"/>
  <c r="T75" i="14" s="1" a="1"/>
  <c r="T75" i="14" s="1"/>
  <c r="T76" i="14" s="1" a="1"/>
  <c r="T76" i="14" s="1"/>
  <c r="T77" i="14" s="1" a="1"/>
  <c r="T77" i="14" s="1"/>
  <c r="T78" i="14" s="1" a="1"/>
  <c r="T78" i="14" s="1"/>
  <c r="AG200" i="28" l="1"/>
  <c r="AJ30" i="28"/>
  <c r="AJ29" i="28" s="1"/>
  <c r="AK115" i="28"/>
  <c r="AK114" i="28" s="1"/>
  <c r="AG34" i="26"/>
  <c r="AK30" i="28"/>
  <c r="AK29" i="28" s="1"/>
  <c r="AK200" i="28"/>
  <c r="AK199" i="28" s="1"/>
  <c r="AG30" i="28"/>
  <c r="AG29" i="28" s="1"/>
  <c r="AE30" i="28"/>
  <c r="AE29" i="28" s="1"/>
  <c r="F146" i="26" a="1"/>
  <c r="F146" i="26" s="1"/>
  <c r="F147" i="26" s="1" a="1"/>
  <c r="F147" i="26" s="1"/>
  <c r="F148" i="26" s="1" a="1"/>
  <c r="F148" i="26" s="1"/>
  <c r="F149" i="26" s="1" a="1"/>
  <c r="F149" i="26" s="1"/>
  <c r="F150" i="26" s="1" a="1"/>
  <c r="F150" i="26" s="1"/>
  <c r="V80" i="14" a="1"/>
  <c r="V80" i="14" s="1"/>
  <c r="AB80" i="14" a="1"/>
  <c r="AB80" i="14" s="1"/>
  <c r="AB144" i="30"/>
  <c r="AB145" i="30"/>
  <c r="AB148" i="30" a="1"/>
  <c r="AB148" i="30" s="1"/>
  <c r="D149" i="30" a="1"/>
  <c r="D149" i="30" s="1"/>
  <c r="AN40" i="28"/>
  <c r="F41" i="28" a="1"/>
  <c r="F41" i="28" s="1"/>
  <c r="BO51" i="30"/>
  <c r="F94" i="26" a="1"/>
  <c r="F94" i="26" s="1"/>
  <c r="F143" i="31" a="1"/>
  <c r="F143" i="31" s="1"/>
  <c r="F144" i="31" s="1" a="1"/>
  <c r="F144" i="31" s="1"/>
  <c r="F145" i="31" s="1" a="1"/>
  <c r="F145" i="31" s="1"/>
  <c r="F146" i="31" s="1" a="1"/>
  <c r="F146" i="31" s="1"/>
  <c r="F147" i="31" s="1" a="1"/>
  <c r="F147" i="31" s="1"/>
  <c r="F148" i="31" s="1" a="1"/>
  <c r="F148" i="31" s="1"/>
  <c r="F149" i="31" s="1" a="1"/>
  <c r="F149" i="31" s="1"/>
  <c r="F150" i="31" s="1" a="1"/>
  <c r="F150" i="31" s="1"/>
  <c r="F151" i="31" s="1" a="1"/>
  <c r="F151" i="31" s="1"/>
  <c r="F152" i="31" s="1" a="1"/>
  <c r="F152" i="31" s="1"/>
  <c r="F153" i="31" s="1" a="1"/>
  <c r="F153" i="31" s="1"/>
  <c r="F154" i="31" s="1" a="1"/>
  <c r="F154" i="31" s="1"/>
  <c r="F155" i="31" s="1" a="1"/>
  <c r="F155" i="31" s="1"/>
  <c r="F156" i="31" s="1" a="1"/>
  <c r="F156" i="31" s="1"/>
  <c r="F157" i="31" s="1" a="1"/>
  <c r="F157" i="31" s="1"/>
  <c r="F158" i="31" s="1" a="1"/>
  <c r="F158" i="31" s="1"/>
  <c r="F159" i="31" s="1" a="1"/>
  <c r="F159" i="31" s="1"/>
  <c r="F160" i="31" s="1" a="1"/>
  <c r="F160" i="31" s="1"/>
  <c r="F161" i="31" s="1" a="1"/>
  <c r="F161" i="31" s="1"/>
  <c r="F162" i="31" s="1" a="1"/>
  <c r="F162" i="31" s="1"/>
  <c r="F163" i="31" s="1" a="1"/>
  <c r="F163" i="31" s="1"/>
  <c r="F164" i="31" s="1" a="1"/>
  <c r="F164" i="31" s="1"/>
  <c r="F165" i="31" s="1" a="1"/>
  <c r="F165" i="31" s="1"/>
  <c r="F166" i="31" s="1" a="1"/>
  <c r="F166" i="31" s="1"/>
  <c r="F167" i="31" s="1" a="1"/>
  <c r="F167" i="31" s="1"/>
  <c r="F168" i="31" s="1" a="1"/>
  <c r="F168" i="31" s="1"/>
  <c r="F169" i="31" s="1" a="1"/>
  <c r="F169" i="31" s="1"/>
  <c r="F170" i="31" s="1" a="1"/>
  <c r="F170" i="31" s="1"/>
  <c r="F171" i="31" s="1" a="1"/>
  <c r="F171" i="31" s="1"/>
  <c r="F172" i="31" s="1" a="1"/>
  <c r="F172" i="31" s="1"/>
  <c r="F173" i="31" s="1" a="1"/>
  <c r="F173" i="31" s="1"/>
  <c r="F174" i="31" s="1" a="1"/>
  <c r="F174" i="31" s="1"/>
  <c r="F175" i="31" s="1" a="1"/>
  <c r="F175" i="31" s="1"/>
  <c r="F176" i="31" s="1" a="1"/>
  <c r="F176" i="31" s="1"/>
  <c r="F177" i="31" s="1" a="1"/>
  <c r="F177" i="31" s="1"/>
  <c r="F178" i="31" s="1" a="1"/>
  <c r="F178" i="31" s="1"/>
  <c r="F179" i="31" s="1" a="1"/>
  <c r="F179" i="31" s="1"/>
  <c r="F180" i="31" s="1" a="1"/>
  <c r="F180" i="31" s="1"/>
  <c r="F181" i="31" s="1" a="1"/>
  <c r="F181" i="31" s="1"/>
  <c r="F182" i="31" s="1" a="1"/>
  <c r="F182" i="31" s="1"/>
  <c r="AF142" i="31"/>
  <c r="F40" i="31" a="1"/>
  <c r="F40" i="31" s="1"/>
  <c r="AF39" i="31"/>
  <c r="F106" i="18" a="1"/>
  <c r="F106" i="18" s="1"/>
  <c r="F107" i="18" s="1" a="1"/>
  <c r="F107" i="18" s="1"/>
  <c r="T105" i="18"/>
  <c r="T106" i="18" s="1" a="1"/>
  <c r="T106" i="18" s="1"/>
  <c r="AB433" i="30"/>
  <c r="AB432" i="30"/>
  <c r="U51" i="8"/>
  <c r="F52" i="8" a="1"/>
  <c r="F52" i="8" s="1"/>
  <c r="AE60" i="34"/>
  <c r="AB47" i="14" a="1"/>
  <c r="AB47" i="14" s="1"/>
  <c r="V47" i="14" a="1"/>
  <c r="V47" i="14" s="1"/>
  <c r="BO56" i="30"/>
  <c r="F57" i="30" a="1"/>
  <c r="F57" i="30" s="1"/>
  <c r="F139" i="27" a="1"/>
  <c r="F139" i="27" s="1"/>
  <c r="T139" i="27" s="1"/>
  <c r="T140" i="27" s="1" a="1"/>
  <c r="T140" i="27" s="1"/>
  <c r="T138" i="27"/>
  <c r="F105" i="9" a="1"/>
  <c r="F105" i="9" s="1"/>
  <c r="F106" i="9" s="1" a="1"/>
  <c r="F106" i="9" s="1"/>
  <c r="F107" i="9" s="1" a="1"/>
  <c r="F107" i="9" s="1"/>
  <c r="F108" i="9" s="1" a="1"/>
  <c r="F108" i="9" s="1"/>
  <c r="U104" i="9"/>
  <c r="U105" i="9" s="1" a="1"/>
  <c r="U105" i="9" s="1"/>
  <c r="U106" i="9" s="1" a="1"/>
  <c r="U106" i="9" s="1"/>
  <c r="U107" i="9" s="1" a="1"/>
  <c r="U107" i="9" s="1"/>
  <c r="U108" i="9" s="1" a="1"/>
  <c r="U108" i="9" s="1"/>
  <c r="T364" i="30"/>
  <c r="F365" i="30" a="1"/>
  <c r="F365" i="30" s="1"/>
  <c r="F113" i="19" a="1"/>
  <c r="F113" i="19" s="1"/>
  <c r="F114" i="19" s="1" a="1"/>
  <c r="F114" i="19" s="1"/>
  <c r="F115" i="19" s="1" a="1"/>
  <c r="F115" i="19" s="1"/>
  <c r="T112" i="19"/>
  <c r="T113" i="19" s="1" a="1"/>
  <c r="T113" i="19" s="1"/>
  <c r="T114" i="19" s="1" a="1"/>
  <c r="T114" i="19" s="1"/>
  <c r="F195" i="27" a="1"/>
  <c r="F195" i="27" s="1"/>
  <c r="T195" i="27" s="1"/>
  <c r="T196" i="27" s="1" a="1"/>
  <c r="T196" i="27" s="1"/>
  <c r="T194" i="27"/>
  <c r="BO51" i="29"/>
  <c r="AB144" i="29"/>
  <c r="AB145" i="29"/>
  <c r="AB148" i="29" a="1"/>
  <c r="AB148" i="29" s="1"/>
  <c r="D149" i="29" a="1"/>
  <c r="D149" i="29" s="1"/>
  <c r="F40" i="8" a="1"/>
  <c r="F40" i="8" s="1"/>
  <c r="U39" i="8"/>
  <c r="AB292" i="30" a="1"/>
  <c r="AB292" i="30" s="1"/>
  <c r="D293" i="30" a="1"/>
  <c r="D293" i="30" s="1"/>
  <c r="K35" i="22"/>
  <c r="F36" i="22" a="1"/>
  <c r="F36" i="22" s="1"/>
  <c r="AF200" i="28"/>
  <c r="AF199" i="28" s="1"/>
  <c r="AI200" i="28"/>
  <c r="AG115" i="28"/>
  <c r="AF30" i="28"/>
  <c r="AF29" i="28" s="1"/>
  <c r="AJ200" i="28"/>
  <c r="AJ199" i="28" s="1"/>
  <c r="AE115" i="28"/>
  <c r="AE114" i="28" s="1"/>
  <c r="AI115" i="28"/>
  <c r="AJ115" i="28"/>
  <c r="AJ114" i="28" s="1"/>
  <c r="AE200" i="28"/>
  <c r="AE199" i="28" s="1"/>
  <c r="AI30" i="28"/>
  <c r="F64" i="22" a="1"/>
  <c r="F64" i="22" s="1"/>
  <c r="K63" i="22"/>
  <c r="F206" i="30" a="1"/>
  <c r="F206" i="30" s="1"/>
  <c r="F207" i="30" s="1" a="1"/>
  <c r="F207" i="30" s="1"/>
  <c r="F208" i="30" s="1" a="1"/>
  <c r="F208" i="30" s="1"/>
  <c r="T116" i="14"/>
  <c r="F70" i="19" a="1"/>
  <c r="F70" i="19" s="1"/>
  <c r="F71" i="19" s="1" a="1"/>
  <c r="F71" i="19" s="1"/>
  <c r="F72" i="19" s="1" a="1"/>
  <c r="F72" i="19" s="1"/>
  <c r="T69" i="19"/>
  <c r="T70" i="19" s="1" a="1"/>
  <c r="T70" i="19" s="1"/>
  <c r="T71" i="19" s="1" a="1"/>
  <c r="T71" i="19" s="1"/>
  <c r="K73" i="20"/>
  <c r="F74" i="20" a="1"/>
  <c r="F74" i="20" s="1"/>
  <c r="AE79" i="34"/>
  <c r="F202" i="29" a="1"/>
  <c r="F202" i="29" s="1"/>
  <c r="T37" i="18"/>
  <c r="T38" i="18" s="1" a="1"/>
  <c r="T38" i="18" s="1"/>
  <c r="F38" i="18" a="1"/>
  <c r="F38" i="18" s="1"/>
  <c r="U77" i="9"/>
  <c r="U78" i="9" s="1" a="1"/>
  <c r="U78" i="9" s="1"/>
  <c r="U79" i="9" s="1" a="1"/>
  <c r="U79" i="9" s="1"/>
  <c r="U80" i="9" s="1" a="1"/>
  <c r="U80" i="9" s="1"/>
  <c r="U81" i="9" s="1" a="1"/>
  <c r="U81" i="9" s="1"/>
  <c r="F78" i="9" a="1"/>
  <c r="F78" i="9" s="1"/>
  <c r="F79" i="9" s="1" a="1"/>
  <c r="F79" i="9" s="1"/>
  <c r="F80" i="9" s="1" a="1"/>
  <c r="F80" i="9" s="1"/>
  <c r="F81" i="9" s="1" a="1"/>
  <c r="F81" i="9" s="1"/>
  <c r="AB436" i="29" a="1"/>
  <c r="AB436" i="29" s="1"/>
  <c r="D437" i="29" a="1"/>
  <c r="D437" i="29" s="1"/>
  <c r="AB288" i="29"/>
  <c r="AB289" i="29"/>
  <c r="AB292" i="29" a="1"/>
  <c r="AB292" i="29" s="1"/>
  <c r="D293" i="29" a="1"/>
  <c r="D293" i="29" s="1"/>
  <c r="K49" i="22"/>
  <c r="F50" i="22" a="1"/>
  <c r="F50" i="22" s="1"/>
  <c r="AF60" i="34"/>
  <c r="F126" i="28" a="1"/>
  <c r="F126" i="28" s="1"/>
  <c r="AN125" i="28"/>
  <c r="T35" i="19"/>
  <c r="T36" i="19" s="1" a="1"/>
  <c r="T36" i="19" s="1"/>
  <c r="T37" i="19" s="1" a="1"/>
  <c r="T37" i="19" s="1"/>
  <c r="F36" i="19" a="1"/>
  <c r="F36" i="19" s="1"/>
  <c r="AG199" i="28"/>
  <c r="U46" i="9"/>
  <c r="F47" i="9" a="1"/>
  <c r="F47" i="9" s="1"/>
  <c r="AF79" i="34"/>
  <c r="K54" i="20"/>
  <c r="F55" i="20" a="1"/>
  <c r="F55" i="20" s="1"/>
  <c r="F83" i="27" a="1"/>
  <c r="F83" i="27" s="1"/>
  <c r="T83" i="27" s="1"/>
  <c r="T84" i="27" s="1" a="1"/>
  <c r="T84" i="27" s="1"/>
  <c r="T82" i="27"/>
  <c r="F58" i="29" a="1"/>
  <c r="F58" i="29" s="1"/>
  <c r="BO57" i="29"/>
  <c r="F36" i="20" a="1"/>
  <c r="F36" i="20" s="1"/>
  <c r="K35" i="20"/>
  <c r="F41" i="14" a="1"/>
  <c r="F41" i="14" s="1"/>
  <c r="AN210" i="28"/>
  <c r="F211" i="28" a="1"/>
  <c r="F211" i="28" s="1"/>
  <c r="AB289" i="30"/>
  <c r="AB288" i="30"/>
  <c r="F346" i="29" a="1"/>
  <c r="F346" i="29" s="1"/>
  <c r="AB432" i="29"/>
  <c r="AB433" i="29"/>
  <c r="D437" i="30" a="1"/>
  <c r="D437" i="30" s="1"/>
  <c r="AB436" i="30" a="1"/>
  <c r="AB436" i="30" s="1"/>
  <c r="T75" i="18"/>
  <c r="T76" i="18" s="1" a="1"/>
  <c r="T76" i="18" s="1"/>
  <c r="F76" i="18" a="1"/>
  <c r="F76" i="18" s="1"/>
  <c r="F77" i="18" s="1" a="1"/>
  <c r="F77" i="18" s="1"/>
  <c r="F41" i="26" a="1"/>
  <c r="F41" i="26" s="1"/>
  <c r="AH200" i="28" l="1"/>
  <c r="AH30" i="28"/>
  <c r="T77" i="18"/>
  <c r="T78" i="18" s="1" a="1"/>
  <c r="T78" i="18" s="1"/>
  <c r="F78" i="18" a="1"/>
  <c r="F78" i="18" s="1"/>
  <c r="F79" i="18" s="1" a="1"/>
  <c r="F79" i="18" s="1"/>
  <c r="F80" i="18" s="1" a="1"/>
  <c r="F80" i="18" s="1"/>
  <c r="F212" i="28" a="1"/>
  <c r="F212" i="28" s="1"/>
  <c r="AN211" i="28"/>
  <c r="AH199" i="28"/>
  <c r="AN126" i="28"/>
  <c r="F127" i="28" a="1"/>
  <c r="F127" i="28" s="1"/>
  <c r="F39" i="18" a="1"/>
  <c r="F39" i="18" s="1"/>
  <c r="F203" i="29" a="1"/>
  <c r="F203" i="29" s="1"/>
  <c r="F58" i="30" a="1"/>
  <c r="F58" i="30" s="1"/>
  <c r="BO57" i="30"/>
  <c r="F95" i="26" a="1"/>
  <c r="F95" i="26" s="1"/>
  <c r="F96" i="26" s="1" a="1"/>
  <c r="F96" i="26" s="1"/>
  <c r="F97" i="26" s="1" a="1"/>
  <c r="F97" i="26" s="1"/>
  <c r="F98" i="26" s="1" a="1"/>
  <c r="F98" i="26" s="1"/>
  <c r="F99" i="26" s="1" a="1"/>
  <c r="F99" i="26" s="1"/>
  <c r="F42" i="28" a="1"/>
  <c r="F42" i="28" s="1"/>
  <c r="AN41" i="28"/>
  <c r="AB149" i="30"/>
  <c r="D150" i="30"/>
  <c r="F151" i="26" a="1"/>
  <c r="F151" i="26" s="1"/>
  <c r="K50" i="22"/>
  <c r="F51" i="22" a="1"/>
  <c r="F51" i="22" s="1"/>
  <c r="AB293" i="29"/>
  <c r="D294" i="29"/>
  <c r="AB437" i="29"/>
  <c r="D438" i="29"/>
  <c r="K64" i="22"/>
  <c r="F65" i="22" a="1"/>
  <c r="F65" i="22" s="1"/>
  <c r="AI114" i="28"/>
  <c r="AL115" i="28"/>
  <c r="AH115" i="28"/>
  <c r="AG114" i="28"/>
  <c r="D150" i="29"/>
  <c r="AB149" i="29"/>
  <c r="F53" i="8" a="1"/>
  <c r="F53" i="8" s="1"/>
  <c r="U52" i="8"/>
  <c r="F42" i="14" a="1"/>
  <c r="F42" i="14" s="1"/>
  <c r="F37" i="20" a="1"/>
  <c r="F37" i="20" s="1"/>
  <c r="K36" i="20"/>
  <c r="BO58" i="29"/>
  <c r="F59" i="29" a="1"/>
  <c r="F59" i="29" s="1"/>
  <c r="F56" i="20" a="1"/>
  <c r="F56" i="20" s="1"/>
  <c r="K55" i="20"/>
  <c r="U47" i="9"/>
  <c r="U48" i="9" s="1" a="1"/>
  <c r="U48" i="9" s="1"/>
  <c r="F48" i="9" a="1"/>
  <c r="F48" i="9" s="1"/>
  <c r="T72" i="19"/>
  <c r="T73" i="19" s="1" a="1"/>
  <c r="T73" i="19" s="1"/>
  <c r="T74" i="19" s="1" a="1"/>
  <c r="T74" i="19" s="1"/>
  <c r="F73" i="19" a="1"/>
  <c r="F73" i="19" s="1"/>
  <c r="F74" i="19" s="1" a="1"/>
  <c r="F74" i="19" s="1"/>
  <c r="F75" i="19" s="1" a="1"/>
  <c r="F75" i="19" s="1"/>
  <c r="F209" i="30" a="1"/>
  <c r="F209" i="30" s="1"/>
  <c r="AL30" i="28"/>
  <c r="AI29" i="28"/>
  <c r="AL200" i="28"/>
  <c r="AI199" i="28"/>
  <c r="F37" i="22" a="1"/>
  <c r="F37" i="22" s="1"/>
  <c r="K36" i="22"/>
  <c r="U40" i="8"/>
  <c r="F41" i="8" a="1"/>
  <c r="F41" i="8" s="1"/>
  <c r="U41" i="8" s="1"/>
  <c r="T115" i="19"/>
  <c r="T116" i="19" s="1" a="1"/>
  <c r="T116" i="19" s="1"/>
  <c r="T117" i="19" s="1" a="1"/>
  <c r="T117" i="19" s="1"/>
  <c r="F116" i="19" a="1"/>
  <c r="F116" i="19" s="1"/>
  <c r="F117" i="19" s="1" a="1"/>
  <c r="F117" i="19" s="1"/>
  <c r="F118" i="19" s="1" a="1"/>
  <c r="F118" i="19" s="1"/>
  <c r="V76" i="15" a="1"/>
  <c r="V76" i="15" s="1"/>
  <c r="AB76" i="15" a="1"/>
  <c r="AB76" i="15" s="1"/>
  <c r="AB125" i="15" a="1"/>
  <c r="AB125" i="15" s="1"/>
  <c r="V125" i="15" a="1"/>
  <c r="V125" i="15" s="1"/>
  <c r="D438" i="30"/>
  <c r="AB437" i="30"/>
  <c r="F42" i="26" a="1"/>
  <c r="F42" i="26" s="1"/>
  <c r="F347" i="29" a="1"/>
  <c r="F347" i="29" s="1"/>
  <c r="F37" i="19" a="1"/>
  <c r="F37" i="19" s="1"/>
  <c r="AH29" i="28"/>
  <c r="K74" i="20"/>
  <c r="F75" i="20" a="1"/>
  <c r="F75" i="20" s="1"/>
  <c r="D294" i="30"/>
  <c r="AB293" i="30"/>
  <c r="F366" i="30" a="1"/>
  <c r="F366" i="30" s="1"/>
  <c r="F367" i="30" s="1" a="1"/>
  <c r="F367" i="30" s="1"/>
  <c r="F368" i="30" s="1" a="1"/>
  <c r="F368" i="30" s="1"/>
  <c r="T365" i="30"/>
  <c r="T366" i="30" s="1" a="1"/>
  <c r="T366" i="30" s="1"/>
  <c r="T367" i="30" s="1" a="1"/>
  <c r="T367" i="30" s="1"/>
  <c r="T368" i="30" s="1" a="1"/>
  <c r="T368" i="30" s="1"/>
  <c r="T369" i="30" s="1" a="1"/>
  <c r="T369" i="30" s="1"/>
  <c r="T370" i="30" s="1" a="1"/>
  <c r="T370" i="30" s="1"/>
  <c r="T371" i="30" s="1" a="1"/>
  <c r="T371" i="30" s="1"/>
  <c r="T372" i="30" s="1" a="1"/>
  <c r="T372" i="30" s="1"/>
  <c r="T373" i="30" s="1" a="1"/>
  <c r="T373" i="30" s="1"/>
  <c r="T374" i="30" s="1" a="1"/>
  <c r="T374" i="30" s="1"/>
  <c r="T375" i="30" s="1" a="1"/>
  <c r="T375" i="30" s="1"/>
  <c r="T376" i="30" s="1" a="1"/>
  <c r="T376" i="30" s="1"/>
  <c r="T377" i="30" s="1" a="1"/>
  <c r="T377" i="30" s="1"/>
  <c r="T378" i="30" s="1" a="1"/>
  <c r="T378" i="30" s="1"/>
  <c r="T379" i="30" s="1" a="1"/>
  <c r="T379" i="30" s="1"/>
  <c r="T380" i="30" s="1" a="1"/>
  <c r="T380" i="30" s="1"/>
  <c r="T381" i="30" s="1" a="1"/>
  <c r="T381" i="30" s="1"/>
  <c r="T382" i="30" s="1" a="1"/>
  <c r="T382" i="30" s="1"/>
  <c r="T383" i="30" s="1" a="1"/>
  <c r="T383" i="30" s="1"/>
  <c r="T384" i="30" s="1" a="1"/>
  <c r="T384" i="30" s="1"/>
  <c r="T385" i="30" s="1" a="1"/>
  <c r="T385" i="30" s="1"/>
  <c r="T386" i="30" s="1" a="1"/>
  <c r="T386" i="30" s="1"/>
  <c r="T387" i="30" s="1" a="1"/>
  <c r="T387" i="30" s="1"/>
  <c r="T388" i="30" s="1" a="1"/>
  <c r="T388" i="30" s="1"/>
  <c r="T389" i="30" s="1" a="1"/>
  <c r="T389" i="30" s="1"/>
  <c r="T390" i="30" s="1" a="1"/>
  <c r="T390" i="30" s="1"/>
  <c r="T391" i="30" s="1" a="1"/>
  <c r="T391" i="30" s="1"/>
  <c r="T392" i="30" s="1" a="1"/>
  <c r="T392" i="30" s="1"/>
  <c r="T393" i="30" s="1" a="1"/>
  <c r="T393" i="30" s="1"/>
  <c r="T394" i="30" s="1" a="1"/>
  <c r="T394" i="30" s="1"/>
  <c r="T395" i="30" s="1" a="1"/>
  <c r="T395" i="30" s="1"/>
  <c r="T396" i="30" s="1" a="1"/>
  <c r="T396" i="30" s="1"/>
  <c r="T397" i="30" s="1" a="1"/>
  <c r="T397" i="30" s="1"/>
  <c r="T398" i="30" s="1" a="1"/>
  <c r="T398" i="30" s="1"/>
  <c r="T399" i="30" s="1" a="1"/>
  <c r="T399" i="30" s="1"/>
  <c r="T400" i="30" s="1" a="1"/>
  <c r="T400" i="30" s="1"/>
  <c r="T401" i="30" s="1" a="1"/>
  <c r="T401" i="30" s="1"/>
  <c r="T402" i="30" s="1" a="1"/>
  <c r="T402" i="30" s="1"/>
  <c r="T403" i="30" s="1" a="1"/>
  <c r="T403" i="30" s="1"/>
  <c r="T404" i="30" s="1" a="1"/>
  <c r="T404" i="30" s="1"/>
  <c r="T405" i="30" s="1" a="1"/>
  <c r="T405" i="30" s="1"/>
  <c r="T406" i="30" s="1" a="1"/>
  <c r="T406" i="30" s="1"/>
  <c r="T407" i="30" s="1" a="1"/>
  <c r="T407" i="30" s="1"/>
  <c r="T408" i="30" s="1" a="1"/>
  <c r="T408" i="30" s="1"/>
  <c r="T409" i="30" s="1" a="1"/>
  <c r="T409" i="30" s="1"/>
  <c r="T410" i="30" s="1" a="1"/>
  <c r="T410" i="30" s="1"/>
  <c r="T411" i="30" s="1" a="1"/>
  <c r="T411" i="30" s="1"/>
  <c r="T412" i="30" s="1" a="1"/>
  <c r="T412" i="30" s="1"/>
  <c r="T413" i="30" s="1" a="1"/>
  <c r="T413" i="30" s="1"/>
  <c r="T414" i="30" s="1" a="1"/>
  <c r="T414" i="30" s="1"/>
  <c r="T415" i="30" s="1" a="1"/>
  <c r="T415" i="30" s="1"/>
  <c r="T416" i="30" s="1" a="1"/>
  <c r="T416" i="30" s="1"/>
  <c r="T417" i="30" s="1" a="1"/>
  <c r="T417" i="30" s="1"/>
  <c r="T418" i="30" s="1" a="1"/>
  <c r="T418" i="30" s="1"/>
  <c r="T419" i="30" s="1" a="1"/>
  <c r="T419" i="30" s="1"/>
  <c r="T420" i="30" s="1" a="1"/>
  <c r="T420" i="30" s="1"/>
  <c r="T421" i="30" s="1" a="1"/>
  <c r="T421" i="30" s="1"/>
  <c r="T422" i="30" s="1" a="1"/>
  <c r="T422" i="30" s="1"/>
  <c r="T423" i="30" s="1" a="1"/>
  <c r="T423" i="30" s="1"/>
  <c r="T424" i="30" s="1" a="1"/>
  <c r="T424" i="30" s="1"/>
  <c r="T425" i="30" s="1" a="1"/>
  <c r="T425" i="30" s="1"/>
  <c r="T426" i="30" s="1" a="1"/>
  <c r="T426" i="30" s="1"/>
  <c r="T427" i="30" s="1" a="1"/>
  <c r="T427" i="30" s="1"/>
  <c r="T428" i="30" s="1" a="1"/>
  <c r="T428" i="30" s="1"/>
  <c r="T429" i="30" s="1" a="1"/>
  <c r="T429" i="30" s="1"/>
  <c r="T430" i="30" s="1" a="1"/>
  <c r="T430" i="30" s="1"/>
  <c r="T431" i="30" s="1" a="1"/>
  <c r="T431" i="30" s="1"/>
  <c r="T432" i="30" s="1" a="1"/>
  <c r="T432" i="30" s="1"/>
  <c r="T433" i="30" s="1" a="1"/>
  <c r="T433" i="30" s="1"/>
  <c r="T434" i="30" s="1" a="1"/>
  <c r="T434" i="30" s="1"/>
  <c r="T435" i="30" s="1" a="1"/>
  <c r="T435" i="30" s="1"/>
  <c r="T436" i="30" s="1" a="1"/>
  <c r="T436" i="30" s="1"/>
  <c r="T437" i="30" s="1" a="1"/>
  <c r="T437" i="30" s="1"/>
  <c r="T438" i="30" s="1" a="1"/>
  <c r="T438" i="30" s="1"/>
  <c r="T439" i="30" s="1" a="1"/>
  <c r="T439" i="30" s="1"/>
  <c r="T440" i="30" s="1" a="1"/>
  <c r="T440" i="30" s="1"/>
  <c r="T441" i="30" s="1" a="1"/>
  <c r="T441" i="30" s="1"/>
  <c r="T442" i="30" s="1" a="1"/>
  <c r="T442" i="30" s="1"/>
  <c r="T443" i="30" s="1" a="1"/>
  <c r="T443" i="30" s="1"/>
  <c r="T444" i="30" s="1" a="1"/>
  <c r="T444" i="30" s="1"/>
  <c r="T445" i="30" s="1" a="1"/>
  <c r="T445" i="30" s="1"/>
  <c r="T446" i="30" s="1" a="1"/>
  <c r="T446" i="30" s="1"/>
  <c r="T447" i="30" s="1" a="1"/>
  <c r="T447" i="30" s="1"/>
  <c r="T448" i="30" s="1" a="1"/>
  <c r="T448" i="30" s="1"/>
  <c r="T449" i="30" s="1" a="1"/>
  <c r="T449" i="30" s="1"/>
  <c r="T450" i="30" s="1" a="1"/>
  <c r="T450" i="30" s="1"/>
  <c r="T451" i="30" s="1" a="1"/>
  <c r="T451" i="30" s="1"/>
  <c r="T452" i="30" s="1" a="1"/>
  <c r="T452" i="30" s="1"/>
  <c r="T453" i="30" s="1" a="1"/>
  <c r="T453" i="30" s="1"/>
  <c r="T454" i="30" s="1" a="1"/>
  <c r="T454" i="30" s="1"/>
  <c r="T455" i="30" s="1" a="1"/>
  <c r="T455" i="30" s="1"/>
  <c r="T456" i="30" s="1" a="1"/>
  <c r="T456" i="30" s="1"/>
  <c r="T457" i="30" s="1" a="1"/>
  <c r="T457" i="30" s="1"/>
  <c r="T458" i="30" s="1" a="1"/>
  <c r="T458" i="30" s="1"/>
  <c r="F108" i="18" a="1"/>
  <c r="F108" i="18" s="1"/>
  <c r="F109" i="18" s="1" a="1"/>
  <c r="F109" i="18" s="1"/>
  <c r="F110" i="18" s="1" a="1"/>
  <c r="F110" i="18" s="1"/>
  <c r="T107" i="18"/>
  <c r="T108" i="18" s="1" a="1"/>
  <c r="T108" i="18" s="1"/>
  <c r="F41" i="31" a="1"/>
  <c r="F41" i="31" s="1"/>
  <c r="F42" i="31" s="1" a="1"/>
  <c r="F42" i="31" s="1"/>
  <c r="F43" i="31" s="1" a="1"/>
  <c r="F43" i="31" s="1"/>
  <c r="F44" i="31" s="1" a="1"/>
  <c r="F44" i="31" s="1"/>
  <c r="F45" i="31" s="1" a="1"/>
  <c r="F45" i="31" s="1"/>
  <c r="F46" i="31" s="1" a="1"/>
  <c r="F46" i="31" s="1"/>
  <c r="F47" i="31" s="1" a="1"/>
  <c r="F47" i="31" s="1"/>
  <c r="F48" i="31" s="1" a="1"/>
  <c r="F48" i="31" s="1"/>
  <c r="F49" i="31" s="1" a="1"/>
  <c r="F49" i="31" s="1"/>
  <c r="F50" i="31" s="1" a="1"/>
  <c r="F50" i="31" s="1"/>
  <c r="F51" i="31" s="1" a="1"/>
  <c r="F51" i="31" s="1"/>
  <c r="F52" i="31" s="1" a="1"/>
  <c r="F52" i="31" s="1"/>
  <c r="F53" i="31" s="1" a="1"/>
  <c r="F53" i="31" s="1"/>
  <c r="F54" i="31" s="1" a="1"/>
  <c r="F54" i="31" s="1"/>
  <c r="F55" i="31" s="1" a="1"/>
  <c r="F55" i="31" s="1"/>
  <c r="F56" i="31" s="1" a="1"/>
  <c r="F56" i="31" s="1"/>
  <c r="F57" i="31" s="1" a="1"/>
  <c r="F57" i="31" s="1"/>
  <c r="F58" i="31" s="1" a="1"/>
  <c r="F58" i="31" s="1"/>
  <c r="F59" i="31" s="1" a="1"/>
  <c r="F59" i="31" s="1"/>
  <c r="F60" i="31" s="1" a="1"/>
  <c r="F60" i="31" s="1"/>
  <c r="F61" i="31" s="1" a="1"/>
  <c r="F61" i="31" s="1"/>
  <c r="F62" i="31" s="1" a="1"/>
  <c r="F62" i="31" s="1"/>
  <c r="F63" i="31" s="1" a="1"/>
  <c r="F63" i="31" s="1"/>
  <c r="F64" i="31" s="1" a="1"/>
  <c r="F64" i="31" s="1"/>
  <c r="F65" i="31" s="1" a="1"/>
  <c r="F65" i="31" s="1"/>
  <c r="F66" i="31" s="1" a="1"/>
  <c r="F66" i="31" s="1"/>
  <c r="F67" i="31" s="1" a="1"/>
  <c r="F67" i="31" s="1"/>
  <c r="F68" i="31" s="1" a="1"/>
  <c r="F68" i="31" s="1"/>
  <c r="F69" i="31" s="1" a="1"/>
  <c r="F69" i="31" s="1"/>
  <c r="F70" i="31" s="1" a="1"/>
  <c r="F70" i="31" s="1"/>
  <c r="F71" i="31" s="1" a="1"/>
  <c r="F71" i="31" s="1"/>
  <c r="F72" i="31" s="1" a="1"/>
  <c r="F72" i="31" s="1"/>
  <c r="F73" i="31" s="1" a="1"/>
  <c r="F73" i="31" s="1"/>
  <c r="F74" i="31" s="1" a="1"/>
  <c r="F74" i="31" s="1"/>
  <c r="F75" i="31" s="1" a="1"/>
  <c r="F75" i="31" s="1"/>
  <c r="F76" i="31" s="1" a="1"/>
  <c r="F76" i="31" s="1"/>
  <c r="F77" i="31" s="1" a="1"/>
  <c r="F77" i="31" s="1"/>
  <c r="F78" i="31" s="1" a="1"/>
  <c r="F78" i="31" s="1"/>
  <c r="F79" i="31" s="1" a="1"/>
  <c r="F79" i="31" s="1"/>
  <c r="F80" i="31" s="1" a="1"/>
  <c r="F80" i="31" s="1"/>
  <c r="AF40" i="31"/>
  <c r="F38" i="19" l="1" a="1"/>
  <c r="F38" i="19" s="1"/>
  <c r="AB438" i="30" a="1"/>
  <c r="AB438" i="30" s="1"/>
  <c r="D439" i="30"/>
  <c r="AB34" i="17" a="1"/>
  <c r="AB34" i="17" s="1"/>
  <c r="V34" i="17" a="1"/>
  <c r="V34" i="17" s="1"/>
  <c r="AL199" i="28"/>
  <c r="T75" i="19"/>
  <c r="T76" i="19" s="1" a="1"/>
  <c r="T76" i="19" s="1"/>
  <c r="T77" i="19" s="1" a="1"/>
  <c r="T77" i="19" s="1"/>
  <c r="F76" i="19" a="1"/>
  <c r="F76" i="19" s="1"/>
  <c r="D295" i="29"/>
  <c r="AB294" i="29" a="1"/>
  <c r="AB294" i="29" s="1"/>
  <c r="BO58" i="30"/>
  <c r="F59" i="30" a="1"/>
  <c r="F59" i="30" s="1"/>
  <c r="F111" i="18" a="1"/>
  <c r="F111" i="18" s="1"/>
  <c r="F112" i="18" s="1" a="1"/>
  <c r="F112" i="18" s="1"/>
  <c r="T110" i="18"/>
  <c r="T111" i="18" s="1" a="1"/>
  <c r="T111" i="18" s="1"/>
  <c r="F369" i="30" a="1"/>
  <c r="F369" i="30" s="1"/>
  <c r="F76" i="20" a="1"/>
  <c r="F76" i="20" s="1"/>
  <c r="K75" i="20"/>
  <c r="F43" i="26" a="1"/>
  <c r="F43" i="26" s="1"/>
  <c r="BO59" i="29"/>
  <c r="F60" i="29" a="1"/>
  <c r="F60" i="29" s="1"/>
  <c r="F43" i="14" a="1"/>
  <c r="F43" i="14" s="1"/>
  <c r="D151" i="29"/>
  <c r="AB150" i="29" a="1"/>
  <c r="AB150" i="29" s="1"/>
  <c r="AL114" i="28"/>
  <c r="F152" i="26" a="1"/>
  <c r="F152" i="26" s="1"/>
  <c r="F153" i="26" s="1" a="1"/>
  <c r="F153" i="26" s="1"/>
  <c r="F154" i="26" s="1" a="1"/>
  <c r="F154" i="26" s="1"/>
  <c r="F155" i="26" s="1" a="1"/>
  <c r="F155" i="26" s="1"/>
  <c r="F156" i="26" s="1" a="1"/>
  <c r="F156" i="26" s="1"/>
  <c r="F157" i="26" s="1" a="1"/>
  <c r="F157" i="26" s="1"/>
  <c r="F158" i="26" s="1" a="1"/>
  <c r="F158" i="26" s="1"/>
  <c r="F159" i="26" s="1" a="1"/>
  <c r="F159" i="26" s="1"/>
  <c r="F160" i="26" s="1" a="1"/>
  <c r="F160" i="26" s="1"/>
  <c r="F161" i="26" s="1" a="1"/>
  <c r="F161" i="26" s="1"/>
  <c r="F162" i="26" s="1" a="1"/>
  <c r="F162" i="26" s="1"/>
  <c r="F163" i="26" s="1" a="1"/>
  <c r="F163" i="26" s="1"/>
  <c r="F164" i="26" s="1" a="1"/>
  <c r="F164" i="26" s="1"/>
  <c r="F165" i="26" s="1" a="1"/>
  <c r="F165" i="26" s="1"/>
  <c r="F166" i="26" s="1" a="1"/>
  <c r="F166" i="26" s="1"/>
  <c r="F167" i="26" s="1" a="1"/>
  <c r="F167" i="26" s="1"/>
  <c r="F168" i="26" s="1" a="1"/>
  <c r="F168" i="26" s="1"/>
  <c r="F169" i="26" s="1" a="1"/>
  <c r="F169" i="26" s="1"/>
  <c r="D151" i="30"/>
  <c r="AB150" i="30" a="1"/>
  <c r="AB150" i="30" s="1"/>
  <c r="D295" i="30"/>
  <c r="AB294" i="30" a="1"/>
  <c r="AB294" i="30" s="1"/>
  <c r="AB41" i="17" a="1"/>
  <c r="AB41" i="17" s="1"/>
  <c r="V41" i="17" a="1"/>
  <c r="V41" i="17" s="1"/>
  <c r="F119" i="19" a="1"/>
  <c r="F119" i="19" s="1"/>
  <c r="T118" i="19"/>
  <c r="T119" i="19" s="1" a="1"/>
  <c r="T119" i="19" s="1"/>
  <c r="T120" i="19" s="1" a="1"/>
  <c r="T120" i="19" s="1"/>
  <c r="F210" i="30" a="1"/>
  <c r="F210" i="30" s="1"/>
  <c r="F57" i="20" a="1"/>
  <c r="F57" i="20" s="1"/>
  <c r="K56" i="20"/>
  <c r="K37" i="20"/>
  <c r="F38" i="20" a="1"/>
  <c r="F38" i="20" s="1"/>
  <c r="U53" i="8"/>
  <c r="F54" i="8" a="1"/>
  <c r="F54" i="8" s="1"/>
  <c r="AH114" i="28"/>
  <c r="K65" i="22"/>
  <c r="F66" i="22" a="1"/>
  <c r="F66" i="22" s="1"/>
  <c r="D439" i="29"/>
  <c r="AB438" i="29" a="1"/>
  <c r="AB438" i="29" s="1"/>
  <c r="F52" i="22" a="1"/>
  <c r="F52" i="22" s="1"/>
  <c r="K51" i="22"/>
  <c r="F100" i="26" a="1"/>
  <c r="F100" i="26" s="1"/>
  <c r="F213" i="28" a="1"/>
  <c r="F213" i="28" s="1"/>
  <c r="F214" i="28" s="1" a="1"/>
  <c r="F214" i="28" s="1"/>
  <c r="F215" i="28" s="1" a="1"/>
  <c r="F215" i="28" s="1"/>
  <c r="AN212" i="28"/>
  <c r="F348" i="29" a="1"/>
  <c r="F348" i="29" s="1"/>
  <c r="F38" i="22" a="1"/>
  <c r="F38" i="22" s="1"/>
  <c r="K37" i="22"/>
  <c r="AL29" i="28"/>
  <c r="F49" i="9" a="1"/>
  <c r="F49" i="9" s="1"/>
  <c r="F43" i="28" a="1"/>
  <c r="F43" i="28" s="1"/>
  <c r="F44" i="28" s="1" a="1"/>
  <c r="F44" i="28" s="1"/>
  <c r="F45" i="28" s="1" a="1"/>
  <c r="F45" i="28" s="1"/>
  <c r="AN42" i="28"/>
  <c r="F204" i="29" a="1"/>
  <c r="F204" i="29" s="1"/>
  <c r="F40" i="18" a="1"/>
  <c r="F40" i="18" s="1"/>
  <c r="AN127" i="28"/>
  <c r="F128" i="28" a="1"/>
  <c r="F128" i="28" s="1"/>
  <c r="F129" i="28" s="1" a="1"/>
  <c r="F129" i="28" s="1"/>
  <c r="F130" i="28" s="1" a="1"/>
  <c r="F130" i="28" s="1"/>
  <c r="F81" i="18" a="1"/>
  <c r="F81" i="18" s="1"/>
  <c r="F82" i="18" s="1" a="1"/>
  <c r="F82" i="18" s="1"/>
  <c r="T80" i="18"/>
  <c r="T81" i="18" s="1" a="1"/>
  <c r="T81" i="18" s="1"/>
  <c r="F50" i="9" l="1" a="1"/>
  <c r="F50" i="9" s="1"/>
  <c r="U49" i="9"/>
  <c r="F101" i="26" a="1"/>
  <c r="F101" i="26" s="1"/>
  <c r="F102" i="26" s="1" a="1"/>
  <c r="F102" i="26" s="1"/>
  <c r="F103" i="26" s="1" a="1"/>
  <c r="F103" i="26" s="1"/>
  <c r="F104" i="26" s="1" a="1"/>
  <c r="F104" i="26" s="1"/>
  <c r="F105" i="26" s="1" a="1"/>
  <c r="F105" i="26" s="1"/>
  <c r="F106" i="26" s="1" a="1"/>
  <c r="F106" i="26" s="1"/>
  <c r="F107" i="26" s="1" a="1"/>
  <c r="F107" i="26" s="1"/>
  <c r="F108" i="26" s="1" a="1"/>
  <c r="F108" i="26" s="1"/>
  <c r="F109" i="26" s="1" a="1"/>
  <c r="F109" i="26" s="1"/>
  <c r="F110" i="26" s="1" a="1"/>
  <c r="F110" i="26" s="1"/>
  <c r="F111" i="26" s="1" a="1"/>
  <c r="F111" i="26" s="1"/>
  <c r="F112" i="26" s="1" a="1"/>
  <c r="F112" i="26" s="1"/>
  <c r="F113" i="26" s="1" a="1"/>
  <c r="F113" i="26" s="1"/>
  <c r="F114" i="26" s="1" a="1"/>
  <c r="F114" i="26" s="1"/>
  <c r="F115" i="26" s="1" a="1"/>
  <c r="F115" i="26" s="1"/>
  <c r="F116" i="26" s="1" a="1"/>
  <c r="F116" i="26" s="1"/>
  <c r="F117" i="26" s="1" a="1"/>
  <c r="F117" i="26" s="1"/>
  <c r="F118" i="26" s="1" a="1"/>
  <c r="F118" i="26" s="1"/>
  <c r="F53" i="22" a="1"/>
  <c r="F53" i="22" s="1"/>
  <c r="K52" i="22"/>
  <c r="F211" i="30" a="1"/>
  <c r="F211" i="30" s="1"/>
  <c r="K169" i="26"/>
  <c r="F170" i="26" a="1"/>
  <c r="F170" i="26" s="1"/>
  <c r="F61" i="29" a="1"/>
  <c r="F61" i="29" s="1"/>
  <c r="BO60" i="29"/>
  <c r="F44" i="26" a="1"/>
  <c r="F44" i="26" s="1"/>
  <c r="F45" i="26" s="1" a="1"/>
  <c r="F45" i="26" s="1"/>
  <c r="F60" i="30" a="1"/>
  <c r="F60" i="30" s="1"/>
  <c r="BO59" i="30"/>
  <c r="AB439" i="30" a="1"/>
  <c r="AB439" i="30" s="1"/>
  <c r="D440" i="30" a="1"/>
  <c r="D440" i="30" s="1"/>
  <c r="F83" i="18" a="1"/>
  <c r="F83" i="18" s="1"/>
  <c r="F84" i="18" s="1" a="1"/>
  <c r="F84" i="18" s="1"/>
  <c r="F85" i="18" s="1" a="1"/>
  <c r="F85" i="18" s="1"/>
  <c r="F86" i="18" s="1" a="1"/>
  <c r="F86" i="18" s="1"/>
  <c r="T82" i="18"/>
  <c r="T83" i="18" s="1" a="1"/>
  <c r="T83" i="18" s="1"/>
  <c r="T84" i="18" s="1" a="1"/>
  <c r="T84" i="18" s="1"/>
  <c r="T85" i="18" s="1" a="1"/>
  <c r="T85" i="18" s="1"/>
  <c r="T86" i="18" s="1" a="1"/>
  <c r="T86" i="18" s="1"/>
  <c r="F131" i="28" a="1"/>
  <c r="F131" i="28" s="1"/>
  <c r="K38" i="22"/>
  <c r="F39" i="22" a="1"/>
  <c r="F39" i="22" s="1"/>
  <c r="V47" i="16" a="1"/>
  <c r="V47" i="16" s="1"/>
  <c r="AB47" i="16" a="1"/>
  <c r="AB47" i="16" s="1"/>
  <c r="AF75" i="34"/>
  <c r="AF66" i="34" s="1"/>
  <c r="AE75" i="34"/>
  <c r="AE66" i="34" s="1"/>
  <c r="T112" i="18"/>
  <c r="T113" i="18" s="1" a="1"/>
  <c r="T113" i="18" s="1"/>
  <c r="T114" i="18" s="1" a="1"/>
  <c r="T114" i="18" s="1"/>
  <c r="T115" i="18" s="1" a="1"/>
  <c r="T115" i="18" s="1"/>
  <c r="T116" i="18" s="1" a="1"/>
  <c r="T116" i="18" s="1"/>
  <c r="F113" i="18" a="1"/>
  <c r="F113" i="18" s="1"/>
  <c r="F114" i="18" s="1" a="1"/>
  <c r="F114" i="18" s="1"/>
  <c r="F115" i="18" s="1" a="1"/>
  <c r="F115" i="18" s="1"/>
  <c r="F116" i="18" s="1" a="1"/>
  <c r="F116" i="18" s="1"/>
  <c r="D296" i="29" a="1"/>
  <c r="D296" i="29" s="1"/>
  <c r="AB295" i="29" a="1"/>
  <c r="AB295" i="29" s="1"/>
  <c r="F349" i="29" a="1"/>
  <c r="F349" i="29" s="1"/>
  <c r="F216" i="28" a="1"/>
  <c r="F216" i="28" s="1"/>
  <c r="D440" i="29" a="1"/>
  <c r="D440" i="29" s="1"/>
  <c r="AB439" i="29" a="1"/>
  <c r="AB439" i="29" s="1"/>
  <c r="K57" i="20"/>
  <c r="F58" i="20" a="1"/>
  <c r="F58" i="20" s="1"/>
  <c r="D152" i="30" a="1"/>
  <c r="D152" i="30" s="1"/>
  <c r="AB151" i="30" a="1"/>
  <c r="AB151" i="30" s="1"/>
  <c r="AB151" i="29" a="1"/>
  <c r="AB151" i="29" s="1"/>
  <c r="D152" i="29" a="1"/>
  <c r="D152" i="29" s="1"/>
  <c r="F77" i="20" a="1"/>
  <c r="F77" i="20" s="1"/>
  <c r="K76" i="20"/>
  <c r="K76" i="19"/>
  <c r="F77" i="19" a="1"/>
  <c r="F77" i="19" s="1"/>
  <c r="T38" i="19"/>
  <c r="T39" i="19" s="1" a="1"/>
  <c r="T39" i="19" s="1"/>
  <c r="T40" i="19" s="1" a="1"/>
  <c r="T40" i="19" s="1"/>
  <c r="F39" i="19" a="1"/>
  <c r="F39" i="19" s="1"/>
  <c r="F41" i="18" a="1"/>
  <c r="F41" i="18" s="1"/>
  <c r="T40" i="18"/>
  <c r="T41" i="18" s="1" a="1"/>
  <c r="T41" i="18" s="1"/>
  <c r="F205" i="29" a="1"/>
  <c r="F205" i="29" s="1"/>
  <c r="F46" i="28" a="1"/>
  <c r="F46" i="28" s="1"/>
  <c r="AN45" i="28"/>
  <c r="F67" i="22" a="1"/>
  <c r="F67" i="22" s="1"/>
  <c r="K66" i="22"/>
  <c r="F55" i="8" a="1"/>
  <c r="F55" i="8" s="1"/>
  <c r="U54" i="8"/>
  <c r="K38" i="20"/>
  <c r="F39" i="20" a="1"/>
  <c r="F39" i="20" s="1"/>
  <c r="K119" i="19"/>
  <c r="F120" i="19" a="1"/>
  <c r="F120" i="19" s="1"/>
  <c r="AB295" i="30" a="1"/>
  <c r="AB295" i="30" s="1"/>
  <c r="D296" i="30" a="1"/>
  <c r="D296" i="30" s="1"/>
  <c r="F44" i="14" a="1"/>
  <c r="F44" i="14" s="1"/>
  <c r="F370" i="30" a="1"/>
  <c r="F370" i="30" s="1"/>
  <c r="AB37" i="16" a="1"/>
  <c r="AB37" i="16" s="1"/>
  <c r="V37" i="16" a="1"/>
  <c r="V37" i="16" s="1"/>
  <c r="AF56" i="34"/>
  <c r="AF47" i="34" s="1"/>
  <c r="AE56" i="34"/>
  <c r="AE47" i="34" s="1"/>
  <c r="AE61" i="34" l="1"/>
  <c r="AE63" i="34"/>
  <c r="D297" i="30" a="1"/>
  <c r="D297" i="30" s="1"/>
  <c r="AB296" i="30"/>
  <c r="U55" i="8"/>
  <c r="F56" i="8" a="1"/>
  <c r="F56" i="8" s="1"/>
  <c r="F47" i="28" a="1"/>
  <c r="F47" i="28" s="1"/>
  <c r="F48" i="28" s="1" a="1"/>
  <c r="F48" i="28" s="1"/>
  <c r="F49" i="28" s="1" a="1"/>
  <c r="F49" i="28" s="1"/>
  <c r="F50" i="28" s="1" a="1"/>
  <c r="F50" i="28" s="1"/>
  <c r="F51" i="28" s="1" a="1"/>
  <c r="F51" i="28" s="1"/>
  <c r="F52" i="28" s="1" a="1"/>
  <c r="F52" i="28" s="1"/>
  <c r="F53" i="28" s="1" a="1"/>
  <c r="F53" i="28" s="1"/>
  <c r="F54" i="28" s="1" a="1"/>
  <c r="F54" i="28" s="1"/>
  <c r="AN46" i="28"/>
  <c r="F206" i="29" a="1"/>
  <c r="F206" i="29" s="1"/>
  <c r="F207" i="29" s="1" a="1"/>
  <c r="F207" i="29" s="1"/>
  <c r="K77" i="20"/>
  <c r="F78" i="20" a="1"/>
  <c r="F78" i="20" s="1"/>
  <c r="AE80" i="34"/>
  <c r="AE82" i="34"/>
  <c r="F46" i="26" a="1"/>
  <c r="F46" i="26" s="1"/>
  <c r="F47" i="26" s="1" a="1"/>
  <c r="F47" i="26" s="1"/>
  <c r="F48" i="26" s="1" a="1"/>
  <c r="F48" i="26" s="1"/>
  <c r="F62" i="29" a="1"/>
  <c r="F62" i="29" s="1"/>
  <c r="F63" i="29" s="1" a="1"/>
  <c r="F63" i="29" s="1"/>
  <c r="BO61" i="29"/>
  <c r="F119" i="26" a="1"/>
  <c r="F119" i="26" s="1"/>
  <c r="K118" i="26"/>
  <c r="AF61" i="34"/>
  <c r="AF63" i="34"/>
  <c r="F40" i="20" a="1"/>
  <c r="F40" i="20" s="1"/>
  <c r="K39" i="20"/>
  <c r="F42" i="18" a="1"/>
  <c r="F42" i="18" s="1"/>
  <c r="AB296" i="29"/>
  <c r="D297" i="29" a="1"/>
  <c r="D297" i="29" s="1"/>
  <c r="AF80" i="34"/>
  <c r="AF82" i="34"/>
  <c r="F40" i="22" a="1"/>
  <c r="F40" i="22" s="1"/>
  <c r="T40" i="22" s="1"/>
  <c r="T39" i="22"/>
  <c r="F132" i="28" a="1"/>
  <c r="F132" i="28" s="1"/>
  <c r="F133" i="28" s="1" a="1"/>
  <c r="F133" i="28" s="1"/>
  <c r="F134" i="28" s="1" a="1"/>
  <c r="F134" i="28" s="1"/>
  <c r="F135" i="28" s="1" a="1"/>
  <c r="F135" i="28" s="1"/>
  <c r="F136" i="28" s="1" a="1"/>
  <c r="F136" i="28" s="1"/>
  <c r="F137" i="28" s="1" a="1"/>
  <c r="F137" i="28" s="1"/>
  <c r="F138" i="28" s="1" a="1"/>
  <c r="F138" i="28" s="1"/>
  <c r="F139" i="28" s="1" a="1"/>
  <c r="F139" i="28" s="1"/>
  <c r="D441" i="30" a="1"/>
  <c r="D441" i="30" s="1"/>
  <c r="AB440" i="30"/>
  <c r="F51" i="9" a="1"/>
  <c r="F51" i="9" s="1"/>
  <c r="U50" i="9"/>
  <c r="U51" i="9" s="1" a="1"/>
  <c r="U51" i="9" s="1"/>
  <c r="U52" i="9" s="1" a="1"/>
  <c r="U52" i="9" s="1"/>
  <c r="U53" i="9" s="1" a="1"/>
  <c r="U53" i="9" s="1"/>
  <c r="U54" i="9" s="1" a="1"/>
  <c r="U54" i="9" s="1"/>
  <c r="F68" i="22" a="1"/>
  <c r="F68" i="22" s="1"/>
  <c r="T67" i="22"/>
  <c r="F78" i="19" a="1"/>
  <c r="F78" i="19" s="1"/>
  <c r="K77" i="19"/>
  <c r="AB152" i="30"/>
  <c r="D153" i="30" a="1"/>
  <c r="D153" i="30" s="1"/>
  <c r="D441" i="29" a="1"/>
  <c r="D441" i="29" s="1"/>
  <c r="AB440" i="29"/>
  <c r="F217" i="28" a="1"/>
  <c r="F217" i="28" s="1"/>
  <c r="F218" i="28" s="1" a="1"/>
  <c r="F218" i="28" s="1"/>
  <c r="F219" i="28" s="1" a="1"/>
  <c r="F219" i="28" s="1"/>
  <c r="F220" i="28" s="1" a="1"/>
  <c r="F220" i="28" s="1"/>
  <c r="F221" i="28" s="1" a="1"/>
  <c r="F221" i="28" s="1"/>
  <c r="F222" i="28" s="1" a="1"/>
  <c r="F222" i="28" s="1"/>
  <c r="F223" i="28" s="1" a="1"/>
  <c r="F223" i="28" s="1"/>
  <c r="F224" i="28" s="1" a="1"/>
  <c r="F224" i="28" s="1"/>
  <c r="V87" i="18" a="1"/>
  <c r="V87" i="18" s="1"/>
  <c r="AB87" i="18" a="1"/>
  <c r="AB87" i="18" s="1"/>
  <c r="K170" i="26"/>
  <c r="F171" i="26" a="1"/>
  <c r="F171" i="26" s="1"/>
  <c r="F212" i="30" a="1"/>
  <c r="F212" i="30" s="1"/>
  <c r="F54" i="22" a="1"/>
  <c r="F54" i="22" s="1"/>
  <c r="T54" i="22" s="1"/>
  <c r="T53" i="22"/>
  <c r="AB57" i="18" a="1"/>
  <c r="AB57" i="18" s="1"/>
  <c r="V57" i="18" a="1"/>
  <c r="V57" i="18" s="1"/>
  <c r="F371" i="30" a="1"/>
  <c r="F371" i="30" s="1"/>
  <c r="F45" i="14" a="1"/>
  <c r="F45" i="14" s="1"/>
  <c r="F121" i="19" a="1"/>
  <c r="F121" i="19" s="1"/>
  <c r="K120" i="19"/>
  <c r="F40" i="19" a="1"/>
  <c r="F40" i="19" s="1"/>
  <c r="K39" i="19"/>
  <c r="D153" i="29" a="1"/>
  <c r="D153" i="29" s="1"/>
  <c r="AB152" i="29"/>
  <c r="K58" i="20"/>
  <c r="F59" i="20" a="1"/>
  <c r="F59" i="20" s="1"/>
  <c r="F350" i="29" a="1"/>
  <c r="F350" i="29" s="1"/>
  <c r="F351" i="29" s="1" a="1"/>
  <c r="F351" i="29" s="1"/>
  <c r="BO60" i="30"/>
  <c r="F61" i="30" a="1"/>
  <c r="F61" i="30" s="1"/>
  <c r="F41" i="19" l="1" a="1"/>
  <c r="F41" i="19" s="1"/>
  <c r="K40" i="19"/>
  <c r="T121" i="19"/>
  <c r="T122" i="19" s="1" a="1"/>
  <c r="T122" i="19" s="1"/>
  <c r="T123" i="19" s="1" a="1"/>
  <c r="T123" i="19" s="1"/>
  <c r="F122" i="19" a="1"/>
  <c r="F122" i="19" s="1"/>
  <c r="F123" i="19" s="1" a="1"/>
  <c r="F123" i="19" s="1"/>
  <c r="F124" i="19" s="1" a="1"/>
  <c r="F124" i="19" s="1"/>
  <c r="F213" i="30" a="1"/>
  <c r="F213" i="30" s="1"/>
  <c r="F214" i="30" s="1" a="1"/>
  <c r="F214" i="30" s="1"/>
  <c r="F215" i="30" s="1" a="1"/>
  <c r="F215" i="30" s="1"/>
  <c r="F216" i="30" s="1" a="1"/>
  <c r="F216" i="30" s="1"/>
  <c r="F217" i="30" s="1" a="1"/>
  <c r="F217" i="30" s="1"/>
  <c r="F218" i="30" s="1" a="1"/>
  <c r="F218" i="30" s="1"/>
  <c r="F219" i="30" s="1" a="1"/>
  <c r="F219" i="30" s="1"/>
  <c r="F220" i="30" s="1" a="1"/>
  <c r="F220" i="30" s="1"/>
  <c r="D442" i="29"/>
  <c r="AB441" i="29"/>
  <c r="T68" i="22"/>
  <c r="AF35" i="26"/>
  <c r="AG35" i="26"/>
  <c r="F140" i="28" a="1"/>
  <c r="F140" i="28" s="1"/>
  <c r="T139" i="28"/>
  <c r="F43" i="18" a="1"/>
  <c r="F43" i="18" s="1"/>
  <c r="T42" i="18"/>
  <c r="T43" i="18" s="1" a="1"/>
  <c r="T43" i="18" s="1"/>
  <c r="F41" i="20" a="1"/>
  <c r="F41" i="20" s="1"/>
  <c r="K40" i="20"/>
  <c r="K119" i="26"/>
  <c r="F120" i="26" a="1"/>
  <c r="F120" i="26" s="1"/>
  <c r="F49" i="26" a="1"/>
  <c r="F49" i="26" s="1"/>
  <c r="F62" i="30" a="1"/>
  <c r="F62" i="30" s="1"/>
  <c r="BO61" i="30"/>
  <c r="F372" i="30" a="1"/>
  <c r="F372" i="30" s="1"/>
  <c r="AB52" i="19" a="1"/>
  <c r="AB52" i="19" s="1"/>
  <c r="V52" i="19" a="1"/>
  <c r="V52" i="19" s="1"/>
  <c r="V95" i="19" a="1"/>
  <c r="V95" i="19" s="1"/>
  <c r="AB95" i="19" a="1"/>
  <c r="AB95" i="19" s="1"/>
  <c r="T224" i="28"/>
  <c r="F225" i="28" a="1"/>
  <c r="F225" i="28" s="1"/>
  <c r="D154" i="30"/>
  <c r="AB153" i="30"/>
  <c r="F52" i="9" a="1"/>
  <c r="F52" i="9" s="1"/>
  <c r="F352" i="29" a="1"/>
  <c r="F352" i="29" s="1"/>
  <c r="AB153" i="29"/>
  <c r="D154" i="29"/>
  <c r="F46" i="14" a="1"/>
  <c r="F46" i="14" s="1"/>
  <c r="AG47" i="26" s="1"/>
  <c r="AI40" i="31"/>
  <c r="AG142" i="31"/>
  <c r="AH38" i="31"/>
  <c r="F172" i="26" a="1"/>
  <c r="F172" i="26" s="1"/>
  <c r="K171" i="26"/>
  <c r="AB441" i="30"/>
  <c r="D442" i="30"/>
  <c r="D298" i="29"/>
  <c r="AB297" i="29"/>
  <c r="BO63" i="29"/>
  <c r="F64" i="29" a="1"/>
  <c r="F64" i="29" s="1"/>
  <c r="AG45" i="26"/>
  <c r="T54" i="28"/>
  <c r="F55" i="28" a="1"/>
  <c r="F55" i="28" s="1"/>
  <c r="AB297" i="30"/>
  <c r="D298" i="30"/>
  <c r="F60" i="20" a="1"/>
  <c r="F60" i="20" s="1"/>
  <c r="K59" i="20"/>
  <c r="BO52" i="30"/>
  <c r="BO52" i="29"/>
  <c r="T78" i="19"/>
  <c r="T79" i="19" s="1" a="1"/>
  <c r="T79" i="19" s="1"/>
  <c r="T80" i="19" s="1" a="1"/>
  <c r="T80" i="19" s="1"/>
  <c r="F79" i="19" a="1"/>
  <c r="F79" i="19" s="1"/>
  <c r="F80" i="19" s="1" a="1"/>
  <c r="F80" i="19" s="1"/>
  <c r="F81" i="19" s="1" a="1"/>
  <c r="F81" i="19" s="1"/>
  <c r="K78" i="20"/>
  <c r="F79" i="20" a="1"/>
  <c r="F79" i="20" s="1"/>
  <c r="F208" i="29" a="1"/>
  <c r="F208" i="29" s="1"/>
  <c r="F57" i="8" a="1"/>
  <c r="F57" i="8" s="1"/>
  <c r="U56" i="8"/>
  <c r="AH40" i="31" l="1"/>
  <c r="AJ39" i="31"/>
  <c r="AK134" i="31"/>
  <c r="AJ38" i="31"/>
  <c r="AK141" i="31"/>
  <c r="AG40" i="31"/>
  <c r="AJ40" i="31"/>
  <c r="AK40" i="31"/>
  <c r="AK38" i="31"/>
  <c r="AK204" i="28"/>
  <c r="AG46" i="26"/>
  <c r="AJ140" i="31"/>
  <c r="AK32" i="31"/>
  <c r="AH84" i="31"/>
  <c r="AJ142" i="31"/>
  <c r="AK33" i="31"/>
  <c r="AI89" i="31"/>
  <c r="F65" i="29" a="1"/>
  <c r="F65" i="29" s="1"/>
  <c r="AB298" i="29" a="1"/>
  <c r="AB298" i="29" s="1"/>
  <c r="D299" i="29" a="1"/>
  <c r="D299" i="29" s="1"/>
  <c r="T225" i="28"/>
  <c r="T226" i="28" s="1" a="1"/>
  <c r="T226" i="28" s="1"/>
  <c r="T227" i="28" s="1" a="1"/>
  <c r="T227" i="28" s="1"/>
  <c r="T228" i="28" s="1" a="1"/>
  <c r="T228" i="28" s="1"/>
  <c r="T229" i="28" s="1" a="1"/>
  <c r="T229" i="28" s="1"/>
  <c r="T230" i="28" s="1" a="1"/>
  <c r="T230" i="28" s="1"/>
  <c r="T231" i="28" s="1" a="1"/>
  <c r="T231" i="28" s="1"/>
  <c r="T232" i="28" s="1" a="1"/>
  <c r="T232" i="28" s="1"/>
  <c r="T233" i="28" s="1" a="1"/>
  <c r="T233" i="28" s="1"/>
  <c r="T234" i="28" s="1" a="1"/>
  <c r="T234" i="28" s="1"/>
  <c r="T235" i="28" s="1" a="1"/>
  <c r="T235" i="28" s="1"/>
  <c r="T236" i="28" s="1" a="1"/>
  <c r="T236" i="28" s="1"/>
  <c r="T237" i="28" s="1" a="1"/>
  <c r="T237" i="28" s="1"/>
  <c r="T238" i="28" s="1" a="1"/>
  <c r="T238" i="28" s="1"/>
  <c r="T239" i="28" s="1" a="1"/>
  <c r="T239" i="28" s="1"/>
  <c r="T240" i="28" s="1" a="1"/>
  <c r="T240" i="28" s="1"/>
  <c r="T241" i="28" s="1" a="1"/>
  <c r="T241" i="28" s="1"/>
  <c r="T242" i="28" s="1" a="1"/>
  <c r="T242" i="28" s="1"/>
  <c r="T243" i="28" s="1" a="1"/>
  <c r="T243" i="28" s="1"/>
  <c r="T244" i="28" s="1" a="1"/>
  <c r="T244" i="28" s="1"/>
  <c r="T245" i="28" s="1" a="1"/>
  <c r="T245" i="28" s="1"/>
  <c r="T246" i="28" s="1" a="1"/>
  <c r="T246" i="28" s="1"/>
  <c r="T247" i="28" s="1" a="1"/>
  <c r="T247" i="28" s="1"/>
  <c r="T248" i="28" s="1" a="1"/>
  <c r="T248" i="28" s="1"/>
  <c r="T249" i="28" s="1" a="1"/>
  <c r="T249" i="28" s="1"/>
  <c r="T250" i="28" s="1" a="1"/>
  <c r="T250" i="28" s="1"/>
  <c r="T251" i="28" s="1" a="1"/>
  <c r="T251" i="28" s="1"/>
  <c r="T252" i="28" s="1" a="1"/>
  <c r="T252" i="28" s="1"/>
  <c r="T253" i="28" s="1" a="1"/>
  <c r="T253" i="28" s="1"/>
  <c r="T254" i="28" s="1" a="1"/>
  <c r="T254" i="28" s="1"/>
  <c r="T255" i="28" s="1" a="1"/>
  <c r="T255" i="28" s="1"/>
  <c r="T256" i="28" s="1" a="1"/>
  <c r="T256" i="28" s="1"/>
  <c r="T257" i="28" s="1" a="1"/>
  <c r="T257" i="28" s="1"/>
  <c r="T258" i="28" s="1" a="1"/>
  <c r="T258" i="28" s="1"/>
  <c r="T259" i="28" s="1" a="1"/>
  <c r="T259" i="28" s="1"/>
  <c r="T260" i="28" s="1" a="1"/>
  <c r="T260" i="28" s="1"/>
  <c r="T261" i="28" s="1" a="1"/>
  <c r="T261" i="28" s="1"/>
  <c r="T262" i="28" s="1" a="1"/>
  <c r="T262" i="28" s="1"/>
  <c r="T263" i="28" s="1" a="1"/>
  <c r="T263" i="28" s="1"/>
  <c r="T264" i="28" s="1" a="1"/>
  <c r="T264" i="28" s="1"/>
  <c r="T265" i="28" s="1" a="1"/>
  <c r="T265" i="28" s="1"/>
  <c r="T266" i="28" s="1" a="1"/>
  <c r="T266" i="28" s="1"/>
  <c r="T267" i="28" s="1" a="1"/>
  <c r="T267" i="28" s="1"/>
  <c r="T268" i="28" s="1" a="1"/>
  <c r="T268" i="28" s="1"/>
  <c r="T269" i="28" s="1" a="1"/>
  <c r="T269" i="28" s="1"/>
  <c r="T270" i="28" s="1" a="1"/>
  <c r="T270" i="28" s="1"/>
  <c r="T271" i="28" s="1" a="1"/>
  <c r="T271" i="28" s="1"/>
  <c r="T272" i="28" s="1" a="1"/>
  <c r="T272" i="28" s="1"/>
  <c r="T273" i="28" s="1" a="1"/>
  <c r="T273" i="28" s="1"/>
  <c r="T274" i="28" s="1" a="1"/>
  <c r="T274" i="28" s="1"/>
  <c r="T275" i="28" s="1" a="1"/>
  <c r="T275" i="28" s="1"/>
  <c r="T276" i="28" s="1" a="1"/>
  <c r="T276" i="28" s="1"/>
  <c r="T277" i="28" s="1" a="1"/>
  <c r="T277" i="28" s="1"/>
  <c r="T278" i="28" s="1" a="1"/>
  <c r="T278" i="28" s="1"/>
  <c r="T279" i="28" s="1" a="1"/>
  <c r="T279" i="28" s="1"/>
  <c r="T280" i="28" s="1" a="1"/>
  <c r="T280" i="28" s="1"/>
  <c r="T281" i="28" s="1" a="1"/>
  <c r="T281" i="28" s="1"/>
  <c r="F226" i="28" a="1"/>
  <c r="F226" i="28" s="1"/>
  <c r="F227" i="28" s="1" a="1"/>
  <c r="F227" i="28" s="1"/>
  <c r="F228" i="28" s="1" a="1"/>
  <c r="F228" i="28" s="1"/>
  <c r="F229" i="28" s="1" a="1"/>
  <c r="F229" i="28" s="1"/>
  <c r="F80" i="20" a="1"/>
  <c r="F80" i="20" s="1"/>
  <c r="K79" i="20"/>
  <c r="AB298" i="30" a="1"/>
  <c r="AB298" i="30" s="1"/>
  <c r="D299" i="30" a="1"/>
  <c r="D299" i="30" s="1"/>
  <c r="AG44" i="26"/>
  <c r="F53" i="9" a="1"/>
  <c r="F53" i="9" s="1"/>
  <c r="F50" i="26" a="1"/>
  <c r="F50" i="26" s="1"/>
  <c r="K120" i="26"/>
  <c r="F121" i="26" a="1"/>
  <c r="F121" i="26" s="1"/>
  <c r="F141" i="28" a="1"/>
  <c r="F141" i="28" s="1"/>
  <c r="F142" i="28" s="1" a="1"/>
  <c r="F142" i="28" s="1"/>
  <c r="F143" i="28" s="1" a="1"/>
  <c r="F143" i="28" s="1"/>
  <c r="F144" i="28" s="1" a="1"/>
  <c r="F144" i="28" s="1"/>
  <c r="T140" i="28"/>
  <c r="T141" i="28" s="1" a="1"/>
  <c r="T141" i="28" s="1"/>
  <c r="T142" i="28" s="1" a="1"/>
  <c r="T142" i="28" s="1"/>
  <c r="T143" i="28" s="1" a="1"/>
  <c r="T143" i="28" s="1"/>
  <c r="T144" i="28" s="1" a="1"/>
  <c r="T144" i="28" s="1"/>
  <c r="T145" i="28" s="1" a="1"/>
  <c r="T145" i="28" s="1"/>
  <c r="T146" i="28" s="1" a="1"/>
  <c r="T146" i="28" s="1"/>
  <c r="T147" i="28" s="1" a="1"/>
  <c r="T147" i="28" s="1"/>
  <c r="T148" i="28" s="1" a="1"/>
  <c r="T148" i="28" s="1"/>
  <c r="T149" i="28" s="1" a="1"/>
  <c r="T149" i="28" s="1"/>
  <c r="T150" i="28" s="1" a="1"/>
  <c r="T150" i="28" s="1"/>
  <c r="T151" i="28" s="1" a="1"/>
  <c r="T151" i="28" s="1"/>
  <c r="T152" i="28" s="1" a="1"/>
  <c r="T152" i="28" s="1"/>
  <c r="T153" i="28" s="1" a="1"/>
  <c r="T153" i="28" s="1"/>
  <c r="T154" i="28" s="1" a="1"/>
  <c r="T154" i="28" s="1"/>
  <c r="T155" i="28" s="1" a="1"/>
  <c r="T155" i="28" s="1"/>
  <c r="T156" i="28" s="1" a="1"/>
  <c r="T156" i="28" s="1"/>
  <c r="T157" i="28" s="1" a="1"/>
  <c r="T157" i="28" s="1"/>
  <c r="T158" i="28" s="1" a="1"/>
  <c r="T158" i="28" s="1"/>
  <c r="T159" i="28" s="1" a="1"/>
  <c r="T159" i="28" s="1"/>
  <c r="T160" i="28" s="1" a="1"/>
  <c r="T160" i="28" s="1"/>
  <c r="T161" i="28" s="1" a="1"/>
  <c r="T161" i="28" s="1"/>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T180" i="28" s="1" a="1"/>
  <c r="T180" i="28" s="1"/>
  <c r="T181" i="28" s="1" a="1"/>
  <c r="T181" i="28" s="1"/>
  <c r="T182" i="28" s="1" a="1"/>
  <c r="T182" i="28" s="1"/>
  <c r="T183" i="28" s="1" a="1"/>
  <c r="T183" i="28" s="1"/>
  <c r="T184" i="28" s="1" a="1"/>
  <c r="T184" i="28" s="1"/>
  <c r="T185" i="28" s="1" a="1"/>
  <c r="T185" i="28" s="1"/>
  <c r="T186" i="28" s="1" a="1"/>
  <c r="T186" i="28" s="1"/>
  <c r="T187" i="28" s="1" a="1"/>
  <c r="T187" i="28" s="1"/>
  <c r="T188" i="28" s="1" a="1"/>
  <c r="T188" i="28" s="1"/>
  <c r="T189" i="28" s="1" a="1"/>
  <c r="T189" i="28" s="1"/>
  <c r="T190" i="28" s="1" a="1"/>
  <c r="T190" i="28" s="1"/>
  <c r="T191" i="28" s="1" a="1"/>
  <c r="T191" i="28" s="1"/>
  <c r="T192" i="28" s="1" a="1"/>
  <c r="T192" i="28" s="1"/>
  <c r="T193" i="28" s="1" a="1"/>
  <c r="T193" i="28" s="1"/>
  <c r="T194" i="28" s="1" a="1"/>
  <c r="T194" i="28" s="1"/>
  <c r="T195" i="28" s="1" a="1"/>
  <c r="T195" i="28" s="1"/>
  <c r="T196" i="28" s="1" a="1"/>
  <c r="T196" i="28" s="1"/>
  <c r="D443" i="29" a="1"/>
  <c r="D443" i="29" s="1"/>
  <c r="AB442" i="29" a="1"/>
  <c r="AB442" i="29" s="1"/>
  <c r="F221" i="30" a="1"/>
  <c r="F221" i="30" s="1"/>
  <c r="T220" i="30"/>
  <c r="F125" i="19" a="1"/>
  <c r="F125" i="19" s="1"/>
  <c r="F126" i="19" s="1" a="1"/>
  <c r="F126" i="19" s="1"/>
  <c r="F127" i="19" s="1" a="1"/>
  <c r="F127" i="19" s="1"/>
  <c r="T124" i="19"/>
  <c r="T125" i="19" s="1" a="1"/>
  <c r="T125" i="19" s="1"/>
  <c r="T126" i="19" s="1" a="1"/>
  <c r="T126" i="19" s="1"/>
  <c r="F61" i="20" a="1"/>
  <c r="F61" i="20" s="1"/>
  <c r="K60" i="20"/>
  <c r="K172" i="26"/>
  <c r="F173" i="26" a="1"/>
  <c r="F173" i="26" s="1"/>
  <c r="T46" i="14"/>
  <c r="AF34" i="28"/>
  <c r="AH33" i="31"/>
  <c r="AJ136" i="31"/>
  <c r="AI34" i="31"/>
  <c r="AF119" i="28"/>
  <c r="AK133" i="31"/>
  <c r="AJ133" i="31"/>
  <c r="AJ119" i="28"/>
  <c r="AH89" i="31"/>
  <c r="AJ34" i="28"/>
  <c r="AJ32" i="31"/>
  <c r="AH34" i="31"/>
  <c r="AI204" i="28"/>
  <c r="AJ34" i="31"/>
  <c r="AH83" i="31"/>
  <c r="AJ31" i="31"/>
  <c r="AF204" i="28"/>
  <c r="AI86" i="31"/>
  <c r="AE119" i="28"/>
  <c r="AJ139" i="31"/>
  <c r="AK138" i="31"/>
  <c r="AH90" i="31"/>
  <c r="AG204" i="28"/>
  <c r="AK34" i="28"/>
  <c r="AE204" i="28"/>
  <c r="AI84" i="31"/>
  <c r="AG32" i="31"/>
  <c r="AK136" i="31"/>
  <c r="AI82" i="31"/>
  <c r="AH32" i="31"/>
  <c r="AJ134" i="31"/>
  <c r="AI83" i="31"/>
  <c r="AK135" i="31"/>
  <c r="AH82" i="31"/>
  <c r="AJ204" i="28"/>
  <c r="AI88" i="31"/>
  <c r="AI87" i="31"/>
  <c r="AG31" i="31"/>
  <c r="AG33" i="31"/>
  <c r="AE34" i="28"/>
  <c r="AH31" i="31"/>
  <c r="AI32" i="31"/>
  <c r="AH85" i="31"/>
  <c r="AI31" i="31"/>
  <c r="AI33" i="31"/>
  <c r="AJ33" i="31"/>
  <c r="AK31" i="31"/>
  <c r="AK119" i="28"/>
  <c r="AG91" i="31"/>
  <c r="AH91" i="31"/>
  <c r="AI34" i="28"/>
  <c r="AG119" i="28"/>
  <c r="AK137" i="31"/>
  <c r="AJ35" i="31"/>
  <c r="AJ36" i="31"/>
  <c r="AH86" i="31"/>
  <c r="AH35" i="31"/>
  <c r="AG34" i="28"/>
  <c r="AH36" i="31"/>
  <c r="AK34" i="31"/>
  <c r="AI119" i="28"/>
  <c r="AI35" i="31"/>
  <c r="AJ138" i="31"/>
  <c r="AK139" i="31"/>
  <c r="AI91" i="31"/>
  <c r="AH88" i="31"/>
  <c r="AG34" i="31"/>
  <c r="AG38" i="31"/>
  <c r="AJ141" i="31"/>
  <c r="AH37" i="31"/>
  <c r="AI39" i="31"/>
  <c r="AI37" i="31"/>
  <c r="AH39" i="31"/>
  <c r="AG36" i="31"/>
  <c r="AI85" i="31"/>
  <c r="AJ137" i="31"/>
  <c r="AI36" i="31"/>
  <c r="AG37" i="31"/>
  <c r="AK36" i="31"/>
  <c r="AJ135" i="31"/>
  <c r="AK140" i="31"/>
  <c r="AJ37" i="31"/>
  <c r="AI90" i="31"/>
  <c r="AK39" i="31"/>
  <c r="AH87" i="31"/>
  <c r="AK142" i="31"/>
  <c r="AI38" i="31"/>
  <c r="AK35" i="31"/>
  <c r="AG35" i="31"/>
  <c r="V46" i="20" a="1"/>
  <c r="V46" i="20" s="1"/>
  <c r="AB46" i="20" a="1"/>
  <c r="AB46" i="20" s="1"/>
  <c r="K41" i="20"/>
  <c r="F42" i="20" a="1"/>
  <c r="F42" i="20" s="1"/>
  <c r="AG39" i="31"/>
  <c r="T41" i="19"/>
  <c r="T42" i="19" s="1" a="1"/>
  <c r="T42" i="19" s="1"/>
  <c r="T43" i="19" s="1" a="1"/>
  <c r="T43" i="19" s="1"/>
  <c r="F42" i="19" a="1"/>
  <c r="F42" i="19" s="1"/>
  <c r="U57" i="8"/>
  <c r="F58" i="8" a="1"/>
  <c r="F58" i="8" s="1"/>
  <c r="U58" i="8" s="1"/>
  <c r="F209" i="29" a="1"/>
  <c r="F209" i="29" s="1"/>
  <c r="T81" i="19"/>
  <c r="T82" i="19" s="1" a="1"/>
  <c r="T82" i="19" s="1"/>
  <c r="T83" i="19" s="1" a="1"/>
  <c r="T83" i="19" s="1"/>
  <c r="F82" i="19" a="1"/>
  <c r="F82" i="19" s="1"/>
  <c r="F83" i="19" s="1" a="1"/>
  <c r="F83" i="19" s="1"/>
  <c r="F84" i="19" s="1" a="1"/>
  <c r="F84" i="19" s="1"/>
  <c r="T55" i="28"/>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T73" i="28" s="1" a="1"/>
  <c r="T73" i="28" s="1"/>
  <c r="T74" i="28" s="1" a="1"/>
  <c r="T74" i="28" s="1"/>
  <c r="T75" i="28" s="1" a="1"/>
  <c r="T75" i="28" s="1"/>
  <c r="T76" i="28" s="1" a="1"/>
  <c r="T76" i="28" s="1"/>
  <c r="T77" i="28" s="1" a="1"/>
  <c r="T77" i="28" s="1"/>
  <c r="T78" i="28" s="1" a="1"/>
  <c r="T78" i="28" s="1"/>
  <c r="T79" i="28" s="1" a="1"/>
  <c r="T79" i="28" s="1"/>
  <c r="T80" i="28" s="1" a="1"/>
  <c r="T80" i="28" s="1"/>
  <c r="T81" i="28" s="1" a="1"/>
  <c r="T81" i="28" s="1"/>
  <c r="T82" i="28" s="1" a="1"/>
  <c r="T82" i="28" s="1"/>
  <c r="T83" i="28" s="1" a="1"/>
  <c r="T83" i="28" s="1"/>
  <c r="T84" i="28" s="1" a="1"/>
  <c r="T84" i="28" s="1"/>
  <c r="T85" i="28" s="1" a="1"/>
  <c r="T85" i="28" s="1"/>
  <c r="T86" i="28" s="1" a="1"/>
  <c r="T86" i="28" s="1"/>
  <c r="T87" i="28" s="1" a="1"/>
  <c r="T87" i="28" s="1"/>
  <c r="T88" i="28" s="1" a="1"/>
  <c r="T88" i="28" s="1"/>
  <c r="T89" i="28" s="1" a="1"/>
  <c r="T89" i="28" s="1"/>
  <c r="T90" i="28" s="1" a="1"/>
  <c r="T90" i="28" s="1"/>
  <c r="T91" i="28" s="1" a="1"/>
  <c r="T91" i="28" s="1"/>
  <c r="T92" i="28" s="1" a="1"/>
  <c r="T92" i="28" s="1"/>
  <c r="T93" i="28" s="1" a="1"/>
  <c r="T93" i="28" s="1"/>
  <c r="T94" i="28" s="1" a="1"/>
  <c r="T94" i="28" s="1"/>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F56" i="28" a="1"/>
  <c r="F56" i="28" s="1"/>
  <c r="F57" i="28" s="1" a="1"/>
  <c r="F57" i="28" s="1"/>
  <c r="F58" i="28" s="1" a="1"/>
  <c r="F58" i="28" s="1"/>
  <c r="F59" i="28" s="1" a="1"/>
  <c r="F59" i="28" s="1"/>
  <c r="AB442" i="30" a="1"/>
  <c r="AB442" i="30" s="1"/>
  <c r="D443" i="30" a="1"/>
  <c r="D443" i="30" s="1"/>
  <c r="AB154" i="29" a="1"/>
  <c r="AB154" i="29" s="1"/>
  <c r="D155" i="29" a="1"/>
  <c r="D155" i="29" s="1"/>
  <c r="F353" i="29" a="1"/>
  <c r="F353" i="29" s="1"/>
  <c r="AB154" i="30" a="1"/>
  <c r="AB154" i="30" s="1"/>
  <c r="D155" i="30" a="1"/>
  <c r="D155" i="30" s="1"/>
  <c r="V65" i="20" a="1"/>
  <c r="V65" i="20" s="1"/>
  <c r="AB65" i="20" a="1"/>
  <c r="AB65" i="20" s="1"/>
  <c r="BO372" i="30"/>
  <c r="F373" i="30" a="1"/>
  <c r="F373" i="30" s="1"/>
  <c r="F374" i="30" s="1" a="1"/>
  <c r="F374" i="30" s="1"/>
  <c r="F375" i="30" s="1" a="1"/>
  <c r="F375" i="30" s="1"/>
  <c r="F63" i="30" a="1"/>
  <c r="F63" i="30" s="1"/>
  <c r="F44" i="18" a="1"/>
  <c r="F44" i="18" s="1"/>
  <c r="AK37" i="31"/>
  <c r="AB155" i="30" l="1"/>
  <c r="D156" i="30" a="1"/>
  <c r="D156" i="30" s="1"/>
  <c r="D444" i="30" a="1"/>
  <c r="D444" i="30" s="1"/>
  <c r="AB443" i="30"/>
  <c r="F85" i="19" a="1"/>
  <c r="F85" i="19" s="1"/>
  <c r="T84" i="19"/>
  <c r="T85" i="19" s="1" a="1"/>
  <c r="T85" i="19" s="1"/>
  <c r="T86" i="19" s="1" a="1"/>
  <c r="T86" i="19" s="1"/>
  <c r="AL119" i="28"/>
  <c r="AL204" i="28"/>
  <c r="F128" i="19" a="1"/>
  <c r="F128" i="19" s="1"/>
  <c r="T127" i="19"/>
  <c r="T128" i="19" s="1" a="1"/>
  <c r="T128" i="19" s="1"/>
  <c r="T129" i="19" s="1" a="1"/>
  <c r="T129" i="19" s="1"/>
  <c r="D444" i="29" a="1"/>
  <c r="D444" i="29" s="1"/>
  <c r="AB443" i="29"/>
  <c r="AB299" i="30"/>
  <c r="D300" i="30" a="1"/>
  <c r="D300" i="30" s="1"/>
  <c r="F230" i="28" a="1"/>
  <c r="F230" i="28" s="1"/>
  <c r="F66" i="29" a="1"/>
  <c r="F66" i="29" s="1"/>
  <c r="BO65" i="29"/>
  <c r="F45" i="18" a="1"/>
  <c r="F45" i="18" s="1"/>
  <c r="F376" i="30" a="1"/>
  <c r="F376" i="30" s="1"/>
  <c r="BO375" i="30"/>
  <c r="F210" i="29" a="1"/>
  <c r="F210" i="29" s="1"/>
  <c r="F43" i="19" a="1"/>
  <c r="F43" i="19" s="1"/>
  <c r="AH119" i="28"/>
  <c r="K121" i="26"/>
  <c r="F122" i="26" a="1"/>
  <c r="F122" i="26" s="1"/>
  <c r="V53" i="21" a="1"/>
  <c r="V53" i="21" s="1"/>
  <c r="AB53" i="21" a="1"/>
  <c r="AB53" i="21" s="1"/>
  <c r="F354" i="29" a="1"/>
  <c r="F354" i="29" s="1"/>
  <c r="AB155" i="29"/>
  <c r="D156" i="29" a="1"/>
  <c r="D156" i="29" s="1"/>
  <c r="F60" i="28" a="1"/>
  <c r="F60" i="28" s="1"/>
  <c r="AN59" i="28"/>
  <c r="V39" i="21" a="1"/>
  <c r="V39" i="21" s="1"/>
  <c r="AB39" i="21" a="1"/>
  <c r="AB39" i="21" s="1"/>
  <c r="AL34" i="28"/>
  <c r="AH204" i="28"/>
  <c r="F62" i="20" a="1"/>
  <c r="F62" i="20" s="1"/>
  <c r="K61" i="20"/>
  <c r="F222" i="30" a="1"/>
  <c r="F222" i="30" s="1"/>
  <c r="F223" i="30" s="1" a="1"/>
  <c r="F223" i="30" s="1"/>
  <c r="F224" i="30" s="1" a="1"/>
  <c r="F224" i="30" s="1"/>
  <c r="T221" i="30"/>
  <c r="T222" i="30" s="1" a="1"/>
  <c r="T222" i="30" s="1"/>
  <c r="T223" i="30" s="1" a="1"/>
  <c r="T223" i="30" s="1"/>
  <c r="T224" i="30" s="1" a="1"/>
  <c r="T224" i="30" s="1"/>
  <c r="T225" i="30" s="1" a="1"/>
  <c r="T225" i="30" s="1"/>
  <c r="T226" i="30" s="1" a="1"/>
  <c r="T226" i="30" s="1"/>
  <c r="T227" i="30" s="1" a="1"/>
  <c r="T227" i="30" s="1"/>
  <c r="T228" i="30" s="1" a="1"/>
  <c r="T228" i="30" s="1"/>
  <c r="T229" i="30" s="1" a="1"/>
  <c r="T229" i="30" s="1"/>
  <c r="T230" i="30" s="1" a="1"/>
  <c r="T230" i="30" s="1"/>
  <c r="T231" i="30" s="1" a="1"/>
  <c r="T231" i="30" s="1"/>
  <c r="T232" i="30" s="1" a="1"/>
  <c r="T232" i="30" s="1"/>
  <c r="T233" i="30" s="1" a="1"/>
  <c r="T233" i="30" s="1"/>
  <c r="T234" i="30" s="1" a="1"/>
  <c r="T234" i="30" s="1"/>
  <c r="T235" i="30" s="1" a="1"/>
  <c r="T235" i="30" s="1"/>
  <c r="T236" i="30" s="1" a="1"/>
  <c r="T236" i="30" s="1"/>
  <c r="T237" i="30" s="1" a="1"/>
  <c r="T237" i="30" s="1"/>
  <c r="T238" i="30" s="1" a="1"/>
  <c r="T238" i="30" s="1"/>
  <c r="T239" i="30" s="1" a="1"/>
  <c r="T239" i="30" s="1"/>
  <c r="T240" i="30" s="1" a="1"/>
  <c r="T240" i="30" s="1"/>
  <c r="T241" i="30" s="1" a="1"/>
  <c r="T241" i="30" s="1"/>
  <c r="T242" i="30" s="1" a="1"/>
  <c r="T242" i="30" s="1"/>
  <c r="T243" i="30" s="1" a="1"/>
  <c r="T243" i="30" s="1"/>
  <c r="T244" i="30" s="1" a="1"/>
  <c r="T244" i="30" s="1"/>
  <c r="T245" i="30" s="1" a="1"/>
  <c r="T245" i="30" s="1"/>
  <c r="T246" i="30" s="1" a="1"/>
  <c r="T246" i="30" s="1"/>
  <c r="T247" i="30" s="1" a="1"/>
  <c r="T247" i="30" s="1"/>
  <c r="T248" i="30" s="1" a="1"/>
  <c r="T248" i="30" s="1"/>
  <c r="T249" i="30" s="1" a="1"/>
  <c r="T249" i="30" s="1"/>
  <c r="T250" i="30" s="1" a="1"/>
  <c r="T250" i="30" s="1"/>
  <c r="T251" i="30" s="1" a="1"/>
  <c r="T251" i="30" s="1"/>
  <c r="T252" i="30" s="1" a="1"/>
  <c r="T252" i="30" s="1"/>
  <c r="T253" i="30" s="1" a="1"/>
  <c r="T253" i="30" s="1"/>
  <c r="T254" i="30" s="1" a="1"/>
  <c r="T254" i="30" s="1"/>
  <c r="T255" i="30" s="1" a="1"/>
  <c r="T255" i="30" s="1"/>
  <c r="T256" i="30" s="1" a="1"/>
  <c r="T256" i="30" s="1"/>
  <c r="T257" i="30" s="1" a="1"/>
  <c r="T257" i="30" s="1"/>
  <c r="T258" i="30" s="1" a="1"/>
  <c r="T258" i="30" s="1"/>
  <c r="T259" i="30" s="1" a="1"/>
  <c r="T259" i="30" s="1"/>
  <c r="T260" i="30" s="1" a="1"/>
  <c r="T260" i="30" s="1"/>
  <c r="T261" i="30" s="1" a="1"/>
  <c r="T261" i="30" s="1"/>
  <c r="T262" i="30" s="1" a="1"/>
  <c r="T262" i="30" s="1"/>
  <c r="T263" i="30" s="1" a="1"/>
  <c r="T263" i="30" s="1"/>
  <c r="T264" i="30" s="1" a="1"/>
  <c r="T264" i="30" s="1"/>
  <c r="T265" i="30" s="1" a="1"/>
  <c r="T265" i="30" s="1"/>
  <c r="T266" i="30" s="1" a="1"/>
  <c r="T266" i="30" s="1"/>
  <c r="T267" i="30" s="1" a="1"/>
  <c r="T267" i="30" s="1"/>
  <c r="T268" i="30" s="1" a="1"/>
  <c r="T268" i="30" s="1"/>
  <c r="T269" i="30" s="1" a="1"/>
  <c r="T269" i="30" s="1"/>
  <c r="T270" i="30" s="1" a="1"/>
  <c r="T270" i="30" s="1"/>
  <c r="T271" i="30" s="1" a="1"/>
  <c r="T271" i="30" s="1"/>
  <c r="T272" i="30" s="1" a="1"/>
  <c r="T272" i="30" s="1"/>
  <c r="T273" i="30" s="1" a="1"/>
  <c r="T273" i="30" s="1"/>
  <c r="T274" i="30" s="1" a="1"/>
  <c r="T274" i="30" s="1"/>
  <c r="T275" i="30" s="1" a="1"/>
  <c r="T275" i="30" s="1"/>
  <c r="T276" i="30" s="1" a="1"/>
  <c r="T276" i="30" s="1"/>
  <c r="T277" i="30" s="1" a="1"/>
  <c r="T277" i="30" s="1"/>
  <c r="T278" i="30" s="1" a="1"/>
  <c r="T278" i="30" s="1"/>
  <c r="T279" i="30" s="1" a="1"/>
  <c r="T279" i="30" s="1"/>
  <c r="T280" i="30" s="1" a="1"/>
  <c r="T280" i="30" s="1"/>
  <c r="T281" i="30" s="1" a="1"/>
  <c r="T281" i="30" s="1"/>
  <c r="T282" i="30" s="1" a="1"/>
  <c r="T282" i="30" s="1"/>
  <c r="T283" i="30" s="1" a="1"/>
  <c r="T283" i="30" s="1"/>
  <c r="T284" i="30" s="1" a="1"/>
  <c r="T284" i="30" s="1"/>
  <c r="T285" i="30" s="1" a="1"/>
  <c r="T285" i="30" s="1"/>
  <c r="T286" i="30" s="1" a="1"/>
  <c r="T286" i="30" s="1"/>
  <c r="T287" i="30" s="1" a="1"/>
  <c r="T287" i="30" s="1"/>
  <c r="T288" i="30" s="1" a="1"/>
  <c r="T288" i="30" s="1"/>
  <c r="T289" i="30" s="1" a="1"/>
  <c r="T289" i="30" s="1"/>
  <c r="T290" i="30" s="1" a="1"/>
  <c r="T290" i="30" s="1"/>
  <c r="T291" i="30" s="1" a="1"/>
  <c r="T291" i="30" s="1"/>
  <c r="T292" i="30" s="1" a="1"/>
  <c r="T292" i="30" s="1"/>
  <c r="T293" i="30" s="1" a="1"/>
  <c r="T293" i="30" s="1"/>
  <c r="T294" i="30" s="1" a="1"/>
  <c r="T294" i="30" s="1"/>
  <c r="T295" i="30" s="1" a="1"/>
  <c r="T295" i="30" s="1"/>
  <c r="T296" i="30" s="1" a="1"/>
  <c r="T296" i="30" s="1"/>
  <c r="T297" i="30" s="1" a="1"/>
  <c r="T297" i="30" s="1"/>
  <c r="T298" i="30" s="1" a="1"/>
  <c r="T298" i="30" s="1"/>
  <c r="T299" i="30" s="1" a="1"/>
  <c r="T299" i="30" s="1"/>
  <c r="T300" i="30" s="1" a="1"/>
  <c r="T300" i="30" s="1"/>
  <c r="T301" i="30" s="1" a="1"/>
  <c r="T301" i="30" s="1"/>
  <c r="T302" i="30" s="1" a="1"/>
  <c r="T302" i="30" s="1"/>
  <c r="T303" i="30" s="1" a="1"/>
  <c r="T303" i="30" s="1"/>
  <c r="T304" i="30" s="1" a="1"/>
  <c r="T304" i="30" s="1"/>
  <c r="T305" i="30" s="1" a="1"/>
  <c r="T305" i="30" s="1"/>
  <c r="T306" i="30" s="1" a="1"/>
  <c r="T306" i="30" s="1"/>
  <c r="T307" i="30" s="1" a="1"/>
  <c r="T307" i="30" s="1"/>
  <c r="T308" i="30" s="1" a="1"/>
  <c r="T308" i="30" s="1"/>
  <c r="T309" i="30" s="1" a="1"/>
  <c r="T309" i="30" s="1"/>
  <c r="T310" i="30" s="1" a="1"/>
  <c r="T310" i="30" s="1"/>
  <c r="T311" i="30" s="1" a="1"/>
  <c r="T311" i="30" s="1"/>
  <c r="T312" i="30" s="1" a="1"/>
  <c r="T312" i="30" s="1"/>
  <c r="T313" i="30" s="1" a="1"/>
  <c r="T313" i="30" s="1"/>
  <c r="T314" i="30" s="1" a="1"/>
  <c r="T314" i="30" s="1"/>
  <c r="F145" i="28" a="1"/>
  <c r="F145" i="28" s="1"/>
  <c r="F54" i="9" a="1"/>
  <c r="F54" i="9" s="1"/>
  <c r="AX32" i="24"/>
  <c r="AD142" i="31"/>
  <c r="AH119" i="19"/>
  <c r="AU29" i="29"/>
  <c r="AY317" i="30"/>
  <c r="BA173" i="29"/>
  <c r="BA172" i="29" s="1"/>
  <c r="AL317" i="30"/>
  <c r="AW317" i="29"/>
  <c r="AU317" i="29"/>
  <c r="AD39" i="31"/>
  <c r="AH76" i="19"/>
  <c r="AG119" i="19"/>
  <c r="AF119" i="19"/>
  <c r="AP317" i="29"/>
  <c r="BC317" i="29"/>
  <c r="AJ29" i="30"/>
  <c r="AI37" i="30"/>
  <c r="AI35" i="30" s="1"/>
  <c r="AI30" i="30" s="1"/>
  <c r="AG76" i="19"/>
  <c r="AW29" i="29"/>
  <c r="AF76" i="19"/>
  <c r="AN317" i="29"/>
  <c r="BC173" i="29"/>
  <c r="AI119" i="19"/>
  <c r="BB173" i="30"/>
  <c r="AJ76" i="19"/>
  <c r="AD82" i="31"/>
  <c r="AI29" i="30"/>
  <c r="AG37" i="30"/>
  <c r="AI208" i="30"/>
  <c r="AI206" i="30" s="1"/>
  <c r="AI197" i="30" s="1"/>
  <c r="BA29" i="30"/>
  <c r="AU32" i="24"/>
  <c r="AL29" i="30"/>
  <c r="AJ119" i="19"/>
  <c r="AL29" i="29"/>
  <c r="AD40" i="31"/>
  <c r="BB317" i="30"/>
  <c r="AR317" i="30"/>
  <c r="AP29" i="29"/>
  <c r="AR32" i="24"/>
  <c r="AB299" i="29"/>
  <c r="D300" i="29" a="1"/>
  <c r="D300" i="29" s="1"/>
  <c r="F64" i="30" a="1"/>
  <c r="F64" i="30" s="1"/>
  <c r="BO63" i="30"/>
  <c r="F43" i="20" a="1"/>
  <c r="F43" i="20" s="1"/>
  <c r="K42" i="20"/>
  <c r="AH34" i="28"/>
  <c r="K173" i="26"/>
  <c r="F174" i="26" a="1"/>
  <c r="F174" i="26" s="1"/>
  <c r="F51" i="26" a="1"/>
  <c r="F51" i="26" s="1"/>
  <c r="F52" i="26" s="1" a="1"/>
  <c r="F52" i="26" s="1"/>
  <c r="F53" i="26" s="1" a="1"/>
  <c r="F53" i="26" s="1"/>
  <c r="F54" i="26" s="1" a="1"/>
  <c r="F54" i="26" s="1"/>
  <c r="F55" i="26" s="1" a="1"/>
  <c r="F55" i="26" s="1"/>
  <c r="F56" i="26" s="1" a="1"/>
  <c r="F56" i="26" s="1"/>
  <c r="F57" i="26" s="1" a="1"/>
  <c r="F57" i="26" s="1"/>
  <c r="F58" i="26" s="1" a="1"/>
  <c r="F58" i="26" s="1"/>
  <c r="F59" i="26" s="1" a="1"/>
  <c r="F59" i="26" s="1"/>
  <c r="F60" i="26" s="1" a="1"/>
  <c r="F60" i="26" s="1"/>
  <c r="F61" i="26" s="1" a="1"/>
  <c r="F61" i="26" s="1"/>
  <c r="F62" i="26" s="1" a="1"/>
  <c r="F62" i="26" s="1"/>
  <c r="F63" i="26" s="1" a="1"/>
  <c r="F63" i="26" s="1"/>
  <c r="F64" i="26" s="1" a="1"/>
  <c r="F64" i="26" s="1"/>
  <c r="F65" i="26" s="1" a="1"/>
  <c r="F65" i="26" s="1"/>
  <c r="F66" i="26" s="1" a="1"/>
  <c r="F66" i="26" s="1"/>
  <c r="F67" i="26" s="1" a="1"/>
  <c r="F67" i="26" s="1"/>
  <c r="F81" i="20" a="1"/>
  <c r="F81" i="20" s="1"/>
  <c r="K80" i="20"/>
  <c r="AB41" i="22" l="1" a="1"/>
  <c r="AB41" i="22" s="1"/>
  <c r="V41" i="22" a="1"/>
  <c r="V41" i="22" s="1"/>
  <c r="K122" i="26"/>
  <c r="F123" i="26" a="1"/>
  <c r="F123" i="26" s="1"/>
  <c r="F46" i="18" a="1"/>
  <c r="F46" i="18" s="1"/>
  <c r="T45" i="18"/>
  <c r="T46" i="18" s="1" a="1"/>
  <c r="T46" i="18" s="1"/>
  <c r="K128" i="19"/>
  <c r="F129" i="19" a="1"/>
  <c r="F129" i="19" s="1"/>
  <c r="AH128" i="19"/>
  <c r="AF128" i="19"/>
  <c r="AI128" i="19"/>
  <c r="AJ128" i="19"/>
  <c r="AG128" i="19"/>
  <c r="K85" i="19"/>
  <c r="F86" i="19" a="1"/>
  <c r="F86" i="19" s="1"/>
  <c r="AH85" i="19"/>
  <c r="AI85" i="19"/>
  <c r="AJ85" i="19"/>
  <c r="AF85" i="19"/>
  <c r="AG85" i="19"/>
  <c r="F68" i="26" a="1"/>
  <c r="F68" i="26" s="1"/>
  <c r="K67" i="26"/>
  <c r="AG35" i="30"/>
  <c r="AR29" i="29"/>
  <c r="AX29" i="30"/>
  <c r="BA317" i="29"/>
  <c r="AT29" i="30"/>
  <c r="AS40" i="24"/>
  <c r="AY29" i="29"/>
  <c r="AY317" i="29"/>
  <c r="AN317" i="30"/>
  <c r="AN29" i="29"/>
  <c r="BC173" i="30"/>
  <c r="AP317" i="30"/>
  <c r="AF48" i="24"/>
  <c r="BB29" i="30"/>
  <c r="AS317" i="30"/>
  <c r="AN29" i="30"/>
  <c r="AY29" i="30"/>
  <c r="AH32" i="24"/>
  <c r="AX317" i="30"/>
  <c r="AG48" i="24"/>
  <c r="BB317" i="29"/>
  <c r="AD33" i="31"/>
  <c r="AD34" i="31"/>
  <c r="AZ29" i="29"/>
  <c r="AV29" i="29"/>
  <c r="AO40" i="24"/>
  <c r="AS317" i="29"/>
  <c r="AQ173" i="29"/>
  <c r="AQ172" i="29" s="1"/>
  <c r="BA173" i="30"/>
  <c r="BA172" i="30" s="1"/>
  <c r="AQ317" i="29"/>
  <c r="AK317" i="30"/>
  <c r="AK316" i="30" s="1"/>
  <c r="AL317" i="29"/>
  <c r="AR29" i="30"/>
  <c r="AP48" i="24"/>
  <c r="AI48" i="24"/>
  <c r="AQ40" i="24"/>
  <c r="AF32" i="24"/>
  <c r="AO317" i="30"/>
  <c r="AW48" i="24"/>
  <c r="AK29" i="30"/>
  <c r="AQ29" i="29"/>
  <c r="AU317" i="30"/>
  <c r="AU316" i="30" s="1"/>
  <c r="AI340" i="30"/>
  <c r="AQ29" i="30"/>
  <c r="AQ32" i="24"/>
  <c r="AO32" i="24"/>
  <c r="AD32" i="31"/>
  <c r="AP40" i="24"/>
  <c r="AZ29" i="30"/>
  <c r="AM317" i="29"/>
  <c r="AX40" i="24"/>
  <c r="AR48" i="24"/>
  <c r="AK29" i="29"/>
  <c r="AW32" i="24"/>
  <c r="AQ48" i="24"/>
  <c r="AK40" i="24"/>
  <c r="AS173" i="29"/>
  <c r="AS29" i="30"/>
  <c r="AJ40" i="24"/>
  <c r="AD133" i="31"/>
  <c r="AO29" i="30"/>
  <c r="AV29" i="30"/>
  <c r="AH40" i="24"/>
  <c r="AK32" i="24"/>
  <c r="BC29" i="30"/>
  <c r="AW40" i="24"/>
  <c r="AX48" i="24"/>
  <c r="AU29" i="30"/>
  <c r="AR317" i="29"/>
  <c r="AJ107" i="19"/>
  <c r="AL40" i="24"/>
  <c r="AL41" i="24" s="1"/>
  <c r="AQ317" i="30"/>
  <c r="AP32" i="24"/>
  <c r="AI181" i="30"/>
  <c r="AI179" i="30" s="1"/>
  <c r="AI174" i="30" s="1"/>
  <c r="AE48" i="24"/>
  <c r="AE49" i="24" s="1" a="1"/>
  <c r="AE49" i="24" s="1"/>
  <c r="AR173" i="30"/>
  <c r="AF33" i="19"/>
  <c r="AU40" i="24"/>
  <c r="AX317" i="29"/>
  <c r="AW29" i="30"/>
  <c r="BA29" i="29"/>
  <c r="AE52" i="30"/>
  <c r="AF40" i="24"/>
  <c r="AR173" i="29"/>
  <c r="AJ32" i="24"/>
  <c r="AP29" i="30"/>
  <c r="AS32" i="24"/>
  <c r="AI40" i="24"/>
  <c r="AE40" i="24"/>
  <c r="AK48" i="24"/>
  <c r="BB173" i="29"/>
  <c r="AS173" i="30"/>
  <c r="AK317" i="29"/>
  <c r="AN32" i="24"/>
  <c r="AN40" i="24"/>
  <c r="AO48" i="24"/>
  <c r="AM32" i="24"/>
  <c r="AQ173" i="30"/>
  <c r="AQ172" i="30" s="1"/>
  <c r="AJ317" i="30"/>
  <c r="AZ317" i="30"/>
  <c r="AX29" i="29"/>
  <c r="AG32" i="24"/>
  <c r="AI52" i="30"/>
  <c r="AT48" i="24"/>
  <c r="AH48" i="24"/>
  <c r="BB29" i="29"/>
  <c r="AS29" i="29"/>
  <c r="AJ48" i="24"/>
  <c r="AE33" i="19"/>
  <c r="AE32" i="24"/>
  <c r="AE33" i="24" s="1" a="1"/>
  <c r="AE33" i="24" s="1"/>
  <c r="AW317" i="30"/>
  <c r="BC29" i="29"/>
  <c r="AG40" i="24"/>
  <c r="AD31" i="31"/>
  <c r="AR40" i="24"/>
  <c r="AM40" i="24"/>
  <c r="AV32" i="24"/>
  <c r="AI325" i="30"/>
  <c r="AI323" i="30" s="1"/>
  <c r="AI318" i="30" s="1"/>
  <c r="AM29" i="30"/>
  <c r="AM48" i="24"/>
  <c r="AL48" i="24"/>
  <c r="AI32" i="24"/>
  <c r="AZ317" i="29"/>
  <c r="AU48" i="24"/>
  <c r="AF37" i="30"/>
  <c r="AF35" i="30" s="1"/>
  <c r="AF30" i="30" s="1"/>
  <c r="AM317" i="30"/>
  <c r="BA317" i="30"/>
  <c r="AV40" i="24"/>
  <c r="AL32" i="24"/>
  <c r="AG52" i="30"/>
  <c r="AT40" i="24"/>
  <c r="AO317" i="29"/>
  <c r="AM29" i="29"/>
  <c r="AE37" i="30"/>
  <c r="AE35" i="30" s="1"/>
  <c r="AE30" i="30" s="1"/>
  <c r="AN48" i="24"/>
  <c r="AV317" i="30"/>
  <c r="AO29" i="29"/>
  <c r="AI196" i="30"/>
  <c r="AV317" i="29"/>
  <c r="AT32" i="24"/>
  <c r="AI107" i="19"/>
  <c r="AT317" i="30"/>
  <c r="BC317" i="30"/>
  <c r="AF52" i="30"/>
  <c r="AH33" i="19"/>
  <c r="AF64" i="19"/>
  <c r="AI64" i="19"/>
  <c r="AV48" i="24"/>
  <c r="AG64" i="19"/>
  <c r="AJ64" i="19"/>
  <c r="AH64" i="19"/>
  <c r="AI33" i="19"/>
  <c r="AG33" i="19"/>
  <c r="AF107" i="19"/>
  <c r="AH107" i="19"/>
  <c r="AG107" i="19"/>
  <c r="AD35" i="31"/>
  <c r="AI352" i="30"/>
  <c r="AI350" i="30" s="1"/>
  <c r="AI341" i="30" s="1"/>
  <c r="AD38" i="31"/>
  <c r="AD91" i="31"/>
  <c r="AD36" i="31"/>
  <c r="AI76" i="19"/>
  <c r="AS48" i="24"/>
  <c r="AJ33" i="19"/>
  <c r="AG39" i="19"/>
  <c r="AH39" i="19"/>
  <c r="AD37" i="31"/>
  <c r="AF39" i="19"/>
  <c r="AJ39" i="19"/>
  <c r="AI39" i="19"/>
  <c r="AE39" i="19"/>
  <c r="F63" i="20" a="1"/>
  <c r="F63" i="20" s="1"/>
  <c r="K62" i="20"/>
  <c r="AN60" i="28"/>
  <c r="F61" i="28" a="1"/>
  <c r="F61" i="28" s="1"/>
  <c r="F62" i="28" s="1" a="1"/>
  <c r="F62" i="28" s="1"/>
  <c r="AB55" i="22" a="1"/>
  <c r="AB55" i="22" s="1"/>
  <c r="V55" i="22" a="1"/>
  <c r="V55" i="22" s="1"/>
  <c r="F211" i="29" a="1"/>
  <c r="F211" i="29" s="1"/>
  <c r="F67" i="29" a="1"/>
  <c r="F67" i="29" s="1"/>
  <c r="BO66" i="29"/>
  <c r="F231" i="28" a="1"/>
  <c r="F231" i="28" s="1"/>
  <c r="F232" i="28" s="1" a="1"/>
  <c r="F232" i="28" s="1"/>
  <c r="D301" i="29" a="1"/>
  <c r="D301" i="29" s="1"/>
  <c r="AB300" i="29"/>
  <c r="F65" i="30" a="1"/>
  <c r="F65" i="30" s="1"/>
  <c r="AF64" i="30"/>
  <c r="AF62" i="30" s="1"/>
  <c r="AF53" i="30" s="1"/>
  <c r="AG64" i="30"/>
  <c r="AI64" i="30"/>
  <c r="AI62" i="30" s="1"/>
  <c r="AI53" i="30" s="1"/>
  <c r="AE64" i="30"/>
  <c r="AE62" i="30" s="1"/>
  <c r="AE53" i="30" s="1"/>
  <c r="F146" i="28" a="1"/>
  <c r="F146" i="28" s="1"/>
  <c r="F147" i="28" s="1" a="1"/>
  <c r="F147" i="28" s="1"/>
  <c r="AB156" i="29"/>
  <c r="D157" i="29" a="1"/>
  <c r="D157" i="29" s="1"/>
  <c r="F44" i="19" a="1"/>
  <c r="F44" i="19" s="1"/>
  <c r="F377" i="30" a="1"/>
  <c r="F377" i="30" s="1"/>
  <c r="BO376" i="30"/>
  <c r="AB300" i="30"/>
  <c r="D301" i="30" a="1"/>
  <c r="D301" i="30" s="1"/>
  <c r="D445" i="29" a="1"/>
  <c r="D445" i="29" s="1"/>
  <c r="AB444" i="29"/>
  <c r="D445" i="30" a="1"/>
  <c r="D445" i="30" s="1"/>
  <c r="AB444" i="30"/>
  <c r="K174" i="26"/>
  <c r="F175" i="26" a="1"/>
  <c r="F175" i="26" s="1"/>
  <c r="F82" i="20" a="1"/>
  <c r="F82" i="20" s="1"/>
  <c r="K81" i="20"/>
  <c r="K43" i="20"/>
  <c r="F44" i="20" a="1"/>
  <c r="F44" i="20" s="1"/>
  <c r="BK172" i="29"/>
  <c r="BB172" i="29"/>
  <c r="BL172" i="29" s="1"/>
  <c r="F225" i="30" a="1"/>
  <c r="F225" i="30" s="1"/>
  <c r="F355" i="29" a="1"/>
  <c r="F355" i="29" s="1"/>
  <c r="D157" i="30" a="1"/>
  <c r="D157" i="30" s="1"/>
  <c r="AB156" i="30"/>
  <c r="F378" i="30" l="1" a="1"/>
  <c r="F378" i="30" s="1"/>
  <c r="T44" i="19"/>
  <c r="T45" i="19" s="1" a="1"/>
  <c r="T45" i="19" s="1"/>
  <c r="T46" i="19" s="1" a="1"/>
  <c r="T46" i="19" s="1"/>
  <c r="F45" i="19" a="1"/>
  <c r="F45" i="19" s="1"/>
  <c r="F148" i="28" a="1"/>
  <c r="F148" i="28" s="1"/>
  <c r="F149" i="28" s="1" a="1"/>
  <c r="F149" i="28" s="1"/>
  <c r="AB301" i="29"/>
  <c r="D302" i="29" a="1"/>
  <c r="D302" i="29" s="1"/>
  <c r="AB87" i="23" a="1"/>
  <c r="AB87" i="23" s="1"/>
  <c r="V87" i="23" a="1"/>
  <c r="V87" i="23" s="1"/>
  <c r="K63" i="20"/>
  <c r="F64" i="20" a="1"/>
  <c r="F64" i="20" s="1"/>
  <c r="K64" i="20" s="1"/>
  <c r="AR172" i="29"/>
  <c r="AH37" i="30"/>
  <c r="F87" i="19" a="1"/>
  <c r="F87" i="19" s="1"/>
  <c r="K86" i="19"/>
  <c r="F356" i="29" a="1"/>
  <c r="F356" i="29" s="1"/>
  <c r="F83" i="20" a="1"/>
  <c r="F83" i="20" s="1"/>
  <c r="K82" i="20"/>
  <c r="D446" i="29" a="1"/>
  <c r="D446" i="29" s="1"/>
  <c r="AB445" i="29"/>
  <c r="F66" i="30" a="1"/>
  <c r="F66" i="30" s="1"/>
  <c r="BO65" i="30"/>
  <c r="F233" i="28" a="1"/>
  <c r="F233" i="28" s="1"/>
  <c r="F234" i="28" s="1" a="1"/>
  <c r="F234" i="28" s="1"/>
  <c r="AN62" i="28"/>
  <c r="F63" i="28" a="1"/>
  <c r="F63" i="28" s="1"/>
  <c r="F64" i="28" s="1" a="1"/>
  <c r="F64" i="28" s="1"/>
  <c r="AE50" i="24"/>
  <c r="AF49" i="24"/>
  <c r="AM41" i="24"/>
  <c r="AL42" i="24"/>
  <c r="AL316" i="30"/>
  <c r="AB157" i="30"/>
  <c r="D158" i="30" a="1"/>
  <c r="D158" i="30" s="1"/>
  <c r="BC172" i="29"/>
  <c r="BM172" i="29" s="1"/>
  <c r="K44" i="20"/>
  <c r="F45" i="20" a="1"/>
  <c r="F45" i="20" s="1"/>
  <c r="AT58" i="29" s="1"/>
  <c r="AF58" i="29"/>
  <c r="AI205" i="29"/>
  <c r="BD205" i="29" s="1"/>
  <c r="F176" i="26" a="1"/>
  <c r="F176" i="26" s="1"/>
  <c r="K175" i="26"/>
  <c r="AB445" i="30"/>
  <c r="D446" i="30" a="1"/>
  <c r="D446" i="30" s="1"/>
  <c r="AE353" i="29"/>
  <c r="BO67" i="29"/>
  <c r="F68" i="29" a="1"/>
  <c r="F68" i="29" s="1"/>
  <c r="AT67" i="29"/>
  <c r="AE28" i="30"/>
  <c r="AH52" i="30"/>
  <c r="AE34" i="24"/>
  <c r="AF33" i="24"/>
  <c r="AR172" i="30"/>
  <c r="BE316" i="30"/>
  <c r="AV316" i="30"/>
  <c r="BF316" i="30" s="1"/>
  <c r="F69" i="26" a="1"/>
  <c r="F69" i="26" s="1"/>
  <c r="K68" i="26"/>
  <c r="F47" i="18" a="1"/>
  <c r="F47" i="18" s="1"/>
  <c r="F124" i="26" a="1"/>
  <c r="F124" i="26" s="1"/>
  <c r="K123" i="26"/>
  <c r="F226" i="30" a="1"/>
  <c r="F226" i="30" s="1"/>
  <c r="AT348" i="29"/>
  <c r="AE61" i="29"/>
  <c r="AB301" i="30"/>
  <c r="D302" i="30" a="1"/>
  <c r="D302" i="30" s="1"/>
  <c r="AB157" i="29"/>
  <c r="D158" i="29" a="1"/>
  <c r="D158" i="29" s="1"/>
  <c r="AH64" i="30"/>
  <c r="AG62" i="30"/>
  <c r="AF65" i="29"/>
  <c r="F212" i="29" a="1"/>
  <c r="F212" i="29" s="1"/>
  <c r="AG211" i="29"/>
  <c r="AE211" i="29"/>
  <c r="AF28" i="30"/>
  <c r="BK172" i="30"/>
  <c r="BB172" i="30"/>
  <c r="BL172" i="30" s="1"/>
  <c r="AH35" i="30"/>
  <c r="AG30" i="30"/>
  <c r="F130" i="19" a="1"/>
  <c r="F130" i="19" s="1"/>
  <c r="K129" i="19"/>
  <c r="V58" i="23" a="1"/>
  <c r="V58" i="23" s="1"/>
  <c r="AB58" i="23" a="1"/>
  <c r="AB58" i="23" s="1"/>
  <c r="AG86" i="26"/>
  <c r="AF86" i="26"/>
  <c r="AF83" i="26" s="1"/>
  <c r="AF81" i="26" s="1"/>
  <c r="AF79" i="26" s="1"/>
  <c r="AF128" i="26" s="1"/>
  <c r="AT205" i="29" l="1"/>
  <c r="AI211" i="29"/>
  <c r="BD211" i="29" s="1"/>
  <c r="AT211" i="29"/>
  <c r="AJ66" i="29"/>
  <c r="AE203" i="29"/>
  <c r="AI203" i="29"/>
  <c r="BD203" i="29" s="1"/>
  <c r="AI347" i="29"/>
  <c r="BD347" i="29" s="1"/>
  <c r="AF205" i="29"/>
  <c r="AT210" i="29"/>
  <c r="AF67" i="29"/>
  <c r="AE209" i="29"/>
  <c r="AG61" i="29"/>
  <c r="AJ61" i="29"/>
  <c r="AJ62" i="28"/>
  <c r="AI210" i="29"/>
  <c r="BD210" i="29" s="1"/>
  <c r="AI61" i="29"/>
  <c r="BD61" i="29" s="1"/>
  <c r="AF211" i="29"/>
  <c r="AH211" i="29" s="1"/>
  <c r="AE66" i="29"/>
  <c r="AG204" i="29"/>
  <c r="AE204" i="29"/>
  <c r="AT61" i="29"/>
  <c r="AF209" i="29"/>
  <c r="AE67" i="29"/>
  <c r="AJ67" i="29"/>
  <c r="AE346" i="29"/>
  <c r="AT59" i="29"/>
  <c r="AT65" i="29"/>
  <c r="AJ211" i="29"/>
  <c r="AJ210" i="29"/>
  <c r="AT349" i="29"/>
  <c r="AE348" i="29"/>
  <c r="AG67" i="29"/>
  <c r="AI67" i="29"/>
  <c r="BD67" i="29" s="1"/>
  <c r="AF66" i="29"/>
  <c r="AG58" i="29"/>
  <c r="AH58" i="29" s="1"/>
  <c r="AG349" i="29"/>
  <c r="AE62" i="28"/>
  <c r="AB158" i="29"/>
  <c r="D159" i="29" a="1"/>
  <c r="D159" i="29" s="1"/>
  <c r="AS172" i="30"/>
  <c r="AB158" i="30"/>
  <c r="D159" i="30" a="1"/>
  <c r="D159" i="30" s="1"/>
  <c r="AM42" i="24"/>
  <c r="AN41" i="24"/>
  <c r="AJ232" i="28"/>
  <c r="AE232" i="28"/>
  <c r="AF204" i="29"/>
  <c r="AJ209" i="29"/>
  <c r="K83" i="20"/>
  <c r="AT55" i="29"/>
  <c r="AG344" i="29"/>
  <c r="AJ344" i="29"/>
  <c r="AT344" i="29"/>
  <c r="AI198" i="29"/>
  <c r="AF201" i="29"/>
  <c r="AJ198" i="29"/>
  <c r="AF198" i="29"/>
  <c r="AT198" i="29"/>
  <c r="AG198" i="29"/>
  <c r="AE198" i="29"/>
  <c r="AI342" i="29"/>
  <c r="AG54" i="29"/>
  <c r="AT342" i="29"/>
  <c r="AE344" i="29"/>
  <c r="AJ55" i="29"/>
  <c r="AE202" i="29"/>
  <c r="AJ54" i="29"/>
  <c r="AE54" i="29"/>
  <c r="AI55" i="29"/>
  <c r="BD55" i="29" s="1"/>
  <c r="AI344" i="29"/>
  <c r="BD344" i="29" s="1"/>
  <c r="AJ342" i="29"/>
  <c r="AG55" i="29"/>
  <c r="AF55" i="29"/>
  <c r="AE342" i="29"/>
  <c r="AG342" i="29"/>
  <c r="AI54" i="29"/>
  <c r="AE55" i="29"/>
  <c r="AT54" i="29"/>
  <c r="AF54" i="29"/>
  <c r="AF342" i="29"/>
  <c r="AJ56" i="29"/>
  <c r="AG343" i="29"/>
  <c r="AT199" i="29"/>
  <c r="AI343" i="29"/>
  <c r="BD343" i="29" s="1"/>
  <c r="AF344" i="29"/>
  <c r="AJ199" i="29"/>
  <c r="AE343" i="29"/>
  <c r="AT343" i="29"/>
  <c r="AF199" i="29"/>
  <c r="AI199" i="29"/>
  <c r="BD199" i="29" s="1"/>
  <c r="AG199" i="29"/>
  <c r="AE199" i="29"/>
  <c r="AF343" i="29"/>
  <c r="AJ343" i="29"/>
  <c r="AI201" i="29"/>
  <c r="BD201" i="29" s="1"/>
  <c r="AJ202" i="29"/>
  <c r="AE56" i="29"/>
  <c r="AG56" i="29"/>
  <c r="AT200" i="29"/>
  <c r="AI200" i="29"/>
  <c r="BD200" i="29" s="1"/>
  <c r="AF200" i="29"/>
  <c r="AF57" i="29"/>
  <c r="AE200" i="29"/>
  <c r="AG201" i="29"/>
  <c r="AT201" i="29"/>
  <c r="AJ346" i="29"/>
  <c r="AT56" i="29"/>
  <c r="AF56" i="29"/>
  <c r="AI56" i="29"/>
  <c r="BD56" i="29" s="1"/>
  <c r="AG200" i="29"/>
  <c r="AF60" i="29"/>
  <c r="AJ200" i="29"/>
  <c r="AJ348" i="29"/>
  <c r="AI58" i="29"/>
  <c r="BD58" i="29" s="1"/>
  <c r="AT202" i="29"/>
  <c r="AI57" i="29"/>
  <c r="BD57" i="29" s="1"/>
  <c r="AG59" i="29"/>
  <c r="AT346" i="29"/>
  <c r="AJ58" i="29"/>
  <c r="AF345" i="29"/>
  <c r="AG345" i="29"/>
  <c r="AT57" i="29"/>
  <c r="AE59" i="29"/>
  <c r="AJ57" i="29"/>
  <c r="AJ345" i="29"/>
  <c r="AF346" i="29"/>
  <c r="AE58" i="29"/>
  <c r="AE57" i="29"/>
  <c r="AJ201" i="29"/>
  <c r="AI59" i="29"/>
  <c r="BD59" i="29" s="1"/>
  <c r="AI202" i="29"/>
  <c r="BD202" i="29" s="1"/>
  <c r="AE345" i="29"/>
  <c r="AT345" i="29"/>
  <c r="AG57" i="29"/>
  <c r="AH57" i="29" s="1"/>
  <c r="AJ59" i="29"/>
  <c r="AF59" i="29"/>
  <c r="AE201" i="29"/>
  <c r="AF202" i="29"/>
  <c r="AI345" i="29"/>
  <c r="BD345" i="29" s="1"/>
  <c r="AG202" i="29"/>
  <c r="AE355" i="29"/>
  <c r="AJ355" i="29"/>
  <c r="AI65" i="29"/>
  <c r="BD65" i="29" s="1"/>
  <c r="AF210" i="29"/>
  <c r="AB302" i="29"/>
  <c r="D303" i="29" a="1"/>
  <c r="D303" i="29" s="1"/>
  <c r="AI147" i="28"/>
  <c r="AG147" i="28"/>
  <c r="AT204" i="29"/>
  <c r="AH30" i="30"/>
  <c r="AH62" i="30"/>
  <c r="AG53" i="30"/>
  <c r="AH53" i="30" s="1"/>
  <c r="F70" i="26" a="1"/>
  <c r="F70" i="26" s="1"/>
  <c r="AG69" i="26"/>
  <c r="K69" i="26"/>
  <c r="AI28" i="30"/>
  <c r="AH67" i="29"/>
  <c r="F177" i="26" a="1"/>
  <c r="F177" i="26" s="1"/>
  <c r="K176" i="26"/>
  <c r="AI346" i="29"/>
  <c r="BD346" i="29" s="1"/>
  <c r="AE205" i="29"/>
  <c r="AG346" i="29"/>
  <c r="AH346" i="29" s="1"/>
  <c r="AM316" i="30"/>
  <c r="AG49" i="24"/>
  <c r="AF50" i="24"/>
  <c r="AG62" i="28"/>
  <c r="AI62" i="28"/>
  <c r="AG210" i="29"/>
  <c r="AH210" i="29" s="1"/>
  <c r="AG232" i="28"/>
  <c r="AI232" i="28"/>
  <c r="AI356" i="29"/>
  <c r="BD356" i="29" s="1"/>
  <c r="AE356" i="29"/>
  <c r="F357" i="29" a="1"/>
  <c r="F357" i="29" s="1"/>
  <c r="AT356" i="29"/>
  <c r="AG356" i="29"/>
  <c r="AJ356" i="29"/>
  <c r="AF356" i="29"/>
  <c r="AI355" i="29"/>
  <c r="BD355" i="29" s="1"/>
  <c r="AG66" i="29"/>
  <c r="AK147" i="28"/>
  <c r="AT347" i="29"/>
  <c r="V35" i="24" a="1"/>
  <c r="V35" i="24" s="1"/>
  <c r="AB35" i="24" a="1"/>
  <c r="AB35" i="24" s="1"/>
  <c r="F213" i="29" a="1"/>
  <c r="F213" i="29" s="1"/>
  <c r="AT212" i="29"/>
  <c r="AG212" i="29"/>
  <c r="AJ212" i="29"/>
  <c r="AF212" i="29"/>
  <c r="AI212" i="29"/>
  <c r="BD212" i="29" s="1"/>
  <c r="AE212" i="29"/>
  <c r="F227" i="30" a="1"/>
  <c r="F227" i="30" s="1"/>
  <c r="BO226" i="30"/>
  <c r="K124" i="26"/>
  <c r="F125" i="26" a="1"/>
  <c r="F125" i="26" s="1"/>
  <c r="T47" i="18"/>
  <c r="T48" i="18" s="1" a="1"/>
  <c r="T48" i="18" s="1"/>
  <c r="F48" i="18" a="1"/>
  <c r="F48" i="18" s="1"/>
  <c r="AG33" i="24"/>
  <c r="AF34" i="24"/>
  <c r="D447" i="30" a="1"/>
  <c r="D447" i="30" s="1"/>
  <c r="AB446" i="30"/>
  <c r="AI348" i="29"/>
  <c r="BD348" i="29" s="1"/>
  <c r="AI353" i="29"/>
  <c r="BD353" i="29" s="1"/>
  <c r="AK62" i="28"/>
  <c r="AT66" i="29"/>
  <c r="AK232" i="28"/>
  <c r="BO66" i="30"/>
  <c r="F67" i="30" a="1"/>
  <c r="F67" i="30" s="1"/>
  <c r="D447" i="29" a="1"/>
  <c r="D447" i="29" s="1"/>
  <c r="AB446" i="29"/>
  <c r="AG355" i="29"/>
  <c r="AJ353" i="29"/>
  <c r="T87" i="19"/>
  <c r="T88" i="19" s="1" a="1"/>
  <c r="T88" i="19" s="1"/>
  <c r="T89" i="19" s="1" a="1"/>
  <c r="T89" i="19" s="1"/>
  <c r="F88" i="19" a="1"/>
  <c r="F88" i="19" s="1"/>
  <c r="F89" i="19" s="1" a="1"/>
  <c r="F89" i="19" s="1"/>
  <c r="F90" i="19" s="1" a="1"/>
  <c r="F90" i="19" s="1"/>
  <c r="AS172" i="29"/>
  <c r="V43" i="24" a="1"/>
  <c r="V43" i="24" s="1"/>
  <c r="AB43" i="24" a="1"/>
  <c r="AB43" i="24" s="1"/>
  <c r="AI66" i="29"/>
  <c r="BD66" i="29" s="1"/>
  <c r="AG205" i="29"/>
  <c r="AH205" i="29" s="1"/>
  <c r="AF147" i="28"/>
  <c r="F150" i="28" a="1"/>
  <c r="F150" i="28" s="1"/>
  <c r="AJ60" i="29"/>
  <c r="T130" i="19"/>
  <c r="T131" i="19" s="1" a="1"/>
  <c r="T131" i="19" s="1"/>
  <c r="T132" i="19" s="1" a="1"/>
  <c r="T132" i="19" s="1"/>
  <c r="F131" i="19" a="1"/>
  <c r="F131" i="19" s="1"/>
  <c r="F132" i="19" s="1" a="1"/>
  <c r="F132" i="19" s="1"/>
  <c r="F133" i="19" s="1" a="1"/>
  <c r="F133" i="19" s="1"/>
  <c r="BC172" i="30"/>
  <c r="BM172" i="30" s="1"/>
  <c r="AB302" i="30"/>
  <c r="D303" i="30" a="1"/>
  <c r="D303" i="30" s="1"/>
  <c r="AH204" i="29"/>
  <c r="AW316" i="30"/>
  <c r="BO68" i="29"/>
  <c r="AI68" i="29"/>
  <c r="BD68" i="29" s="1"/>
  <c r="AE68" i="29"/>
  <c r="F69" i="29" a="1"/>
  <c r="F69" i="29" s="1"/>
  <c r="AT68" i="29"/>
  <c r="AG68" i="29"/>
  <c r="AJ68" i="29"/>
  <c r="AF68" i="29"/>
  <c r="K45" i="20"/>
  <c r="AN147" i="28" s="1"/>
  <c r="AE60" i="29"/>
  <c r="AG354" i="29"/>
  <c r="AI354" i="29"/>
  <c r="BD354" i="29" s="1"/>
  <c r="AI209" i="29"/>
  <c r="BD209" i="29" s="1"/>
  <c r="AF348" i="29"/>
  <c r="AJ347" i="29"/>
  <c r="AF347" i="29"/>
  <c r="AG348" i="29"/>
  <c r="AE349" i="29"/>
  <c r="AF349" i="29"/>
  <c r="AH349" i="29" s="1"/>
  <c r="AI60" i="29"/>
  <c r="BD60" i="29" s="1"/>
  <c r="AT60" i="29"/>
  <c r="AF353" i="29"/>
  <c r="AJ354" i="29"/>
  <c r="AE354" i="29"/>
  <c r="AE65" i="29"/>
  <c r="AF203" i="29"/>
  <c r="AJ203" i="29"/>
  <c r="AG347" i="29"/>
  <c r="AH347" i="29" s="1"/>
  <c r="AI204" i="29"/>
  <c r="BD204" i="29" s="1"/>
  <c r="AI349" i="29"/>
  <c r="BD349" i="29" s="1"/>
  <c r="AE347" i="29"/>
  <c r="AT203" i="29"/>
  <c r="AF61" i="29"/>
  <c r="AG203" i="29"/>
  <c r="AG60" i="29"/>
  <c r="AH60" i="29" s="1"/>
  <c r="AF354" i="29"/>
  <c r="AG65" i="29"/>
  <c r="AH65" i="29" s="1"/>
  <c r="AJ204" i="29"/>
  <c r="AT354" i="29"/>
  <c r="AG209" i="29"/>
  <c r="AH209" i="29" s="1"/>
  <c r="AF62" i="28"/>
  <c r="F65" i="28" a="1"/>
  <c r="F65" i="28" s="1"/>
  <c r="AN64" i="28"/>
  <c r="AG353" i="29"/>
  <c r="AF232" i="28"/>
  <c r="F235" i="28" a="1"/>
  <c r="F235" i="28" s="1"/>
  <c r="AT353" i="29"/>
  <c r="AT355" i="29"/>
  <c r="AF355" i="29"/>
  <c r="AT209" i="29"/>
  <c r="AJ205" i="29"/>
  <c r="AE210" i="29"/>
  <c r="AE147" i="28"/>
  <c r="AJ147" i="28"/>
  <c r="F46" i="19" a="1"/>
  <c r="F46" i="19" s="1"/>
  <c r="K45" i="19"/>
  <c r="AJ45" i="19"/>
  <c r="AI45" i="19"/>
  <c r="AF45" i="19"/>
  <c r="AH45" i="19"/>
  <c r="AG45" i="19"/>
  <c r="AE45" i="19"/>
  <c r="F379" i="30" a="1"/>
  <c r="F379" i="30" s="1"/>
  <c r="AJ349" i="29"/>
  <c r="AJ65" i="29"/>
  <c r="AH61" i="29" l="1"/>
  <c r="BO212" i="30"/>
  <c r="AH66" i="29"/>
  <c r="AH68" i="29"/>
  <c r="AH200" i="29"/>
  <c r="AH356" i="29"/>
  <c r="AH199" i="29"/>
  <c r="AH212" i="29"/>
  <c r="AH203" i="29"/>
  <c r="AH348" i="29"/>
  <c r="AH353" i="29"/>
  <c r="AH202" i="29"/>
  <c r="AH201" i="29"/>
  <c r="F236" i="28" a="1"/>
  <c r="F236" i="28" s="1"/>
  <c r="AN239" i="28"/>
  <c r="F70" i="29" a="1"/>
  <c r="F70" i="29" s="1"/>
  <c r="AT69" i="29"/>
  <c r="AG69" i="29"/>
  <c r="AJ69" i="29"/>
  <c r="AF69" i="29"/>
  <c r="AE69" i="29"/>
  <c r="BO69" i="29"/>
  <c r="AI69" i="29"/>
  <c r="BD69" i="29" s="1"/>
  <c r="AX316" i="30"/>
  <c r="AB447" i="29"/>
  <c r="D448" i="29" a="1"/>
  <c r="D448" i="29" s="1"/>
  <c r="AH33" i="24"/>
  <c r="AG34" i="24"/>
  <c r="F49" i="18" a="1"/>
  <c r="F49" i="18" s="1"/>
  <c r="BO212" i="29"/>
  <c r="BO353" i="29"/>
  <c r="F358" i="29" a="1"/>
  <c r="F358" i="29" s="1"/>
  <c r="AT357" i="29"/>
  <c r="AG357" i="29"/>
  <c r="AJ357" i="29"/>
  <c r="AF357" i="29"/>
  <c r="BO357" i="29"/>
  <c r="AI357" i="29"/>
  <c r="BD357" i="29" s="1"/>
  <c r="AE357" i="29"/>
  <c r="AL232" i="28"/>
  <c r="AH62" i="28"/>
  <c r="AG70" i="26"/>
  <c r="K70" i="26"/>
  <c r="F71" i="26" a="1"/>
  <c r="F71" i="26" s="1"/>
  <c r="AB303" i="29"/>
  <c r="D304" i="29" a="1"/>
  <c r="D304" i="29" s="1"/>
  <c r="AH56" i="29"/>
  <c r="AH343" i="29"/>
  <c r="AH54" i="29"/>
  <c r="BD198" i="29"/>
  <c r="AO41" i="24"/>
  <c r="AN42" i="24"/>
  <c r="BO354" i="29"/>
  <c r="BB379" i="30"/>
  <c r="BM379" i="30" s="1"/>
  <c r="AX379" i="30"/>
  <c r="BI379" i="30" s="1"/>
  <c r="AT379" i="30"/>
  <c r="AP379" i="30"/>
  <c r="AL379" i="30"/>
  <c r="BA379" i="30"/>
  <c r="BL379" i="30" s="1"/>
  <c r="AW379" i="30"/>
  <c r="BH379" i="30" s="1"/>
  <c r="AS379" i="30"/>
  <c r="AO379" i="30"/>
  <c r="AK379" i="30"/>
  <c r="AG379" i="30"/>
  <c r="AZ379" i="30"/>
  <c r="BK379" i="30" s="1"/>
  <c r="AV379" i="30"/>
  <c r="BG379" i="30" s="1"/>
  <c r="AR379" i="30"/>
  <c r="AN379" i="30"/>
  <c r="AJ379" i="30"/>
  <c r="AF379" i="30"/>
  <c r="AQ379" i="30"/>
  <c r="BC379" i="30"/>
  <c r="AM379" i="30"/>
  <c r="F380" i="30" a="1"/>
  <c r="F380" i="30" s="1"/>
  <c r="F381" i="30" s="1" a="1"/>
  <c r="F381" i="30" s="1"/>
  <c r="AY379" i="30"/>
  <c r="BJ379" i="30" s="1"/>
  <c r="AI379" i="30"/>
  <c r="BD379" i="30" s="1"/>
  <c r="AU379" i="30"/>
  <c r="BF379" i="30" s="1"/>
  <c r="AE379" i="30"/>
  <c r="AH354" i="29"/>
  <c r="BG316" i="30"/>
  <c r="D304" i="30" a="1"/>
  <c r="D304" i="30" s="1"/>
  <c r="AB303" i="30"/>
  <c r="AN154" i="28"/>
  <c r="F151" i="28" a="1"/>
  <c r="F151" i="28" s="1"/>
  <c r="BO355" i="29"/>
  <c r="AN232" i="28"/>
  <c r="AJ213" i="29"/>
  <c r="AF213" i="29"/>
  <c r="BO213" i="29"/>
  <c r="AI213" i="29"/>
  <c r="BD213" i="29" s="1"/>
  <c r="AE213" i="29"/>
  <c r="F214" i="29" a="1"/>
  <c r="F214" i="29" s="1"/>
  <c r="AT213" i="29"/>
  <c r="AG213" i="29"/>
  <c r="AH232" i="28"/>
  <c r="K177" i="26"/>
  <c r="F178" i="26" a="1"/>
  <c r="F178" i="26" s="1"/>
  <c r="BD28" i="30"/>
  <c r="AJ28" i="30"/>
  <c r="AT28" i="30"/>
  <c r="AG28" i="30"/>
  <c r="AH345" i="29"/>
  <c r="AH59" i="29"/>
  <c r="BD342" i="29"/>
  <c r="BO344" i="30"/>
  <c r="BO198" i="29"/>
  <c r="BO346" i="30"/>
  <c r="BO345" i="30"/>
  <c r="BO199" i="30"/>
  <c r="BO198" i="30"/>
  <c r="BO200" i="30"/>
  <c r="BO347" i="30"/>
  <c r="BO355" i="30"/>
  <c r="BO201" i="30"/>
  <c r="BO205" i="30"/>
  <c r="BO202" i="30"/>
  <c r="BO203" i="30"/>
  <c r="BO343" i="29"/>
  <c r="BO199" i="29"/>
  <c r="BO344" i="29"/>
  <c r="BO342" i="29"/>
  <c r="BO348" i="30"/>
  <c r="BO204" i="30"/>
  <c r="BO200" i="29"/>
  <c r="BO345" i="29"/>
  <c r="BO201" i="29"/>
  <c r="BO202" i="29"/>
  <c r="BO346" i="29"/>
  <c r="BO205" i="29"/>
  <c r="BO210" i="30"/>
  <c r="BO203" i="29"/>
  <c r="BO348" i="29"/>
  <c r="BO347" i="29"/>
  <c r="BO209" i="30"/>
  <c r="BO204" i="29"/>
  <c r="BO349" i="29"/>
  <c r="BO211" i="30"/>
  <c r="BO64" i="29"/>
  <c r="BO64" i="30"/>
  <c r="F66" i="28" a="1"/>
  <c r="F66" i="28" s="1"/>
  <c r="AN69" i="28"/>
  <c r="AN65" i="28"/>
  <c r="F134" i="19" a="1"/>
  <c r="F134" i="19" s="1"/>
  <c r="F135" i="19" s="1" a="1"/>
  <c r="F135" i="19" s="1"/>
  <c r="F136" i="19" s="1" a="1"/>
  <c r="F136" i="19" s="1"/>
  <c r="T133" i="19"/>
  <c r="T134" i="19" s="1" a="1"/>
  <c r="T134" i="19" s="1"/>
  <c r="T135" i="19" s="1" a="1"/>
  <c r="T135" i="19" s="1"/>
  <c r="V32" i="25" a="1"/>
  <c r="V32" i="25" s="1"/>
  <c r="AB32" i="25" a="1"/>
  <c r="AB32" i="25" s="1"/>
  <c r="F91" i="19" a="1"/>
  <c r="F91" i="19" s="1"/>
  <c r="F92" i="19" s="1" a="1"/>
  <c r="F92" i="19" s="1"/>
  <c r="F93" i="19" s="1" a="1"/>
  <c r="F93" i="19" s="1"/>
  <c r="T90" i="19"/>
  <c r="T91" i="19" s="1" a="1"/>
  <c r="T91" i="19" s="1"/>
  <c r="T92" i="19" s="1" a="1"/>
  <c r="T92" i="19" s="1"/>
  <c r="AH355" i="29"/>
  <c r="AB447" i="30"/>
  <c r="D448" i="30" a="1"/>
  <c r="D448" i="30" s="1"/>
  <c r="K125" i="26"/>
  <c r="F126" i="26" a="1"/>
  <c r="F126" i="26" s="1"/>
  <c r="V29" i="25" a="1"/>
  <c r="V29" i="25" s="1"/>
  <c r="AB29" i="25" a="1"/>
  <c r="AB29" i="25" s="1"/>
  <c r="AH49" i="24"/>
  <c r="AG50" i="24"/>
  <c r="AH147" i="28"/>
  <c r="BD54" i="29"/>
  <c r="AH55" i="29"/>
  <c r="AB159" i="30"/>
  <c r="D160" i="30" a="1"/>
  <c r="D160" i="30" s="1"/>
  <c r="F47" i="19" a="1"/>
  <c r="F47" i="19" s="1"/>
  <c r="K46" i="19"/>
  <c r="BO211" i="29"/>
  <c r="BO210" i="29"/>
  <c r="BO209" i="29"/>
  <c r="F68" i="30" a="1"/>
  <c r="F68" i="30" s="1"/>
  <c r="BO67" i="30"/>
  <c r="F228" i="30" a="1"/>
  <c r="F228" i="30" s="1"/>
  <c r="BO227" i="30"/>
  <c r="BO356" i="29"/>
  <c r="AL62" i="28"/>
  <c r="AN316" i="30"/>
  <c r="AL147" i="28"/>
  <c r="AH342" i="29"/>
  <c r="AH198" i="29"/>
  <c r="AH344" i="29"/>
  <c r="D160" i="29" a="1"/>
  <c r="D160" i="29" s="1"/>
  <c r="AB159" i="29"/>
  <c r="AH213" i="29" l="1"/>
  <c r="AH357" i="29"/>
  <c r="AH379" i="30"/>
  <c r="BE379" i="30"/>
  <c r="AH69" i="29"/>
  <c r="D161" i="29"/>
  <c r="AB160" i="29"/>
  <c r="F229" i="30" a="1"/>
  <c r="F229" i="30" s="1"/>
  <c r="F230" i="30" s="1" a="1"/>
  <c r="F230" i="30" s="1"/>
  <c r="F231" i="30" s="1" a="1"/>
  <c r="F231" i="30" s="1"/>
  <c r="BO228" i="30"/>
  <c r="AI49" i="24"/>
  <c r="AH50" i="24"/>
  <c r="K126" i="26"/>
  <c r="F127" i="26" a="1"/>
  <c r="F127" i="26" s="1"/>
  <c r="V129" i="26" a="1"/>
  <c r="V129" i="26" s="1"/>
  <c r="AB129" i="26" a="1"/>
  <c r="AB129" i="26" s="1"/>
  <c r="B33" i="25"/>
  <c r="B34" i="25" s="1" a="1"/>
  <c r="B34" i="25" s="1"/>
  <c r="AG171" i="26"/>
  <c r="AG172" i="26"/>
  <c r="F137" i="19" a="1"/>
  <c r="F137" i="19" s="1"/>
  <c r="T136" i="19"/>
  <c r="T137" i="19" s="1" a="1"/>
  <c r="T137" i="19" s="1"/>
  <c r="AK28" i="30"/>
  <c r="F152" i="28" a="1"/>
  <c r="F152" i="28" s="1"/>
  <c r="AK151" i="28"/>
  <c r="AG151" i="28"/>
  <c r="AJ151" i="28"/>
  <c r="AF151" i="28"/>
  <c r="AN151" i="28"/>
  <c r="AI151" i="28"/>
  <c r="AL151" i="28" s="1"/>
  <c r="AE151" i="28"/>
  <c r="AB304" i="29"/>
  <c r="D305" i="29"/>
  <c r="K71" i="26"/>
  <c r="F72" i="26" a="1"/>
  <c r="F72" i="26" s="1"/>
  <c r="AY316" i="30"/>
  <c r="BI316" i="30" s="1"/>
  <c r="AJ236" i="28"/>
  <c r="AF236" i="28"/>
  <c r="AN236" i="28"/>
  <c r="AI236" i="28"/>
  <c r="AL236" i="28" s="1"/>
  <c r="AE236" i="28"/>
  <c r="F237" i="28" a="1"/>
  <c r="F237" i="28" s="1"/>
  <c r="AK236" i="28"/>
  <c r="AG236" i="28"/>
  <c r="AJ66" i="28"/>
  <c r="AF66" i="28"/>
  <c r="AN66" i="28"/>
  <c r="AI66" i="28"/>
  <c r="AL66" i="28" s="1"/>
  <c r="AE66" i="28"/>
  <c r="F67" i="28" a="1"/>
  <c r="F67" i="28" s="1"/>
  <c r="AK66" i="28"/>
  <c r="AG66" i="28"/>
  <c r="AH28" i="30"/>
  <c r="BO214" i="29"/>
  <c r="AI214" i="29"/>
  <c r="BD214" i="29" s="1"/>
  <c r="AE214" i="29"/>
  <c r="F215" i="29" a="1"/>
  <c r="F215" i="29" s="1"/>
  <c r="AT214" i="29"/>
  <c r="AG214" i="29"/>
  <c r="AH214" i="29" s="1"/>
  <c r="AJ214" i="29"/>
  <c r="AF214" i="29"/>
  <c r="AP41" i="24"/>
  <c r="AO42" i="24"/>
  <c r="AI33" i="24"/>
  <c r="AH34" i="24"/>
  <c r="F71" i="29" a="1"/>
  <c r="F71" i="29" s="1"/>
  <c r="AT70" i="29"/>
  <c r="AG70" i="29"/>
  <c r="AJ70" i="29"/>
  <c r="AF70" i="29"/>
  <c r="BO70" i="29"/>
  <c r="AI70" i="29"/>
  <c r="BD70" i="29" s="1"/>
  <c r="AE70" i="29"/>
  <c r="AO316" i="30"/>
  <c r="BO68" i="30"/>
  <c r="F69" i="30" a="1"/>
  <c r="F69" i="30" s="1"/>
  <c r="AB448" i="30"/>
  <c r="D449" i="30"/>
  <c r="BE28" i="30"/>
  <c r="AU28" i="30"/>
  <c r="K178" i="26"/>
  <c r="F179" i="26" a="1"/>
  <c r="F179" i="26" s="1"/>
  <c r="K179" i="26" s="1"/>
  <c r="D305" i="30"/>
  <c r="AB304" i="30"/>
  <c r="AZ381" i="30"/>
  <c r="AV381" i="30"/>
  <c r="AR381" i="30"/>
  <c r="AN381" i="30"/>
  <c r="AJ381" i="30"/>
  <c r="AF381" i="30"/>
  <c r="F382" i="30" a="1"/>
  <c r="F382" i="30" s="1"/>
  <c r="BC381" i="30"/>
  <c r="AY381" i="30"/>
  <c r="AU381" i="30"/>
  <c r="AQ381" i="30"/>
  <c r="AM381" i="30"/>
  <c r="AI381" i="30"/>
  <c r="AE381" i="30"/>
  <c r="BB381" i="30"/>
  <c r="AX381" i="30"/>
  <c r="AT381" i="30"/>
  <c r="AP381" i="30"/>
  <c r="AL381" i="30"/>
  <c r="AS381" i="30"/>
  <c r="AO381" i="30"/>
  <c r="BA381" i="30"/>
  <c r="AK381" i="30"/>
  <c r="AW381" i="30"/>
  <c r="AG381" i="30"/>
  <c r="F359" i="29" a="1"/>
  <c r="F359" i="29" s="1"/>
  <c r="AT358" i="29"/>
  <c r="AG358" i="29"/>
  <c r="AJ358" i="29"/>
  <c r="AF358" i="29"/>
  <c r="BO358" i="29"/>
  <c r="AI358" i="29"/>
  <c r="BD358" i="29" s="1"/>
  <c r="AE358" i="29"/>
  <c r="T47" i="19"/>
  <c r="T48" i="19" s="1" a="1"/>
  <c r="T48" i="19" s="1"/>
  <c r="T49" i="19" s="1" a="1"/>
  <c r="T49" i="19" s="1"/>
  <c r="F48" i="19" a="1"/>
  <c r="F48" i="19" s="1"/>
  <c r="AB160" i="30"/>
  <c r="D161" i="30"/>
  <c r="AB78" i="26" a="1"/>
  <c r="AB78" i="26" s="1"/>
  <c r="B30" i="25"/>
  <c r="B31" i="25" s="1" a="1"/>
  <c r="B31" i="25" s="1"/>
  <c r="V78" i="26" a="1"/>
  <c r="V78" i="26" s="1"/>
  <c r="AG120" i="26"/>
  <c r="AG121" i="26"/>
  <c r="F94" i="19" a="1"/>
  <c r="F94" i="19" s="1"/>
  <c r="T93" i="19"/>
  <c r="T94" i="19" s="1" a="1"/>
  <c r="T94" i="19" s="1"/>
  <c r="F50" i="18" a="1"/>
  <c r="F50" i="18" s="1"/>
  <c r="D449" i="29"/>
  <c r="AB448" i="29"/>
  <c r="BH316" i="30"/>
  <c r="AH151" i="28" l="1"/>
  <c r="AH70" i="29"/>
  <c r="AH66" i="28"/>
  <c r="T50" i="18"/>
  <c r="T51" i="18" s="1" a="1"/>
  <c r="T51" i="18" s="1"/>
  <c r="F51" i="18" a="1"/>
  <c r="F51" i="18" s="1"/>
  <c r="V85" i="27" a="1"/>
  <c r="V85" i="27" s="1"/>
  <c r="AD85" i="27" a="1"/>
  <c r="AD85" i="27" s="1"/>
  <c r="AJ359" i="29"/>
  <c r="AF359" i="29"/>
  <c r="BO359" i="29"/>
  <c r="AI359" i="29"/>
  <c r="BD359" i="29" s="1"/>
  <c r="AE359" i="29"/>
  <c r="AG359" i="29"/>
  <c r="AH359" i="29" s="1"/>
  <c r="F360" i="29" a="1"/>
  <c r="F360" i="29" s="1"/>
  <c r="AT359" i="29"/>
  <c r="BL381" i="30"/>
  <c r="BF381" i="30"/>
  <c r="BG381" i="30"/>
  <c r="AB305" i="30" a="1"/>
  <c r="AB305" i="30" s="1"/>
  <c r="D306" i="30"/>
  <c r="F70" i="30" a="1"/>
  <c r="F70" i="30" s="1"/>
  <c r="BO69" i="30"/>
  <c r="F216" i="29" a="1"/>
  <c r="F216" i="29" s="1"/>
  <c r="AT215" i="29"/>
  <c r="AG215" i="29"/>
  <c r="AJ215" i="29"/>
  <c r="AF215" i="29"/>
  <c r="AE215" i="29"/>
  <c r="BO215" i="29"/>
  <c r="AI215" i="29"/>
  <c r="BD215" i="29" s="1"/>
  <c r="AH236" i="28"/>
  <c r="AZ316" i="30"/>
  <c r="F153" i="28" a="1"/>
  <c r="F153" i="28" s="1"/>
  <c r="AK152" i="28"/>
  <c r="AG152" i="28"/>
  <c r="AJ152" i="28"/>
  <c r="AF152" i="28"/>
  <c r="AN152" i="28"/>
  <c r="AI152" i="28"/>
  <c r="AL152" i="28" s="1"/>
  <c r="AE152" i="28"/>
  <c r="K137" i="19"/>
  <c r="AJ137" i="19"/>
  <c r="AF137" i="19"/>
  <c r="AH137" i="19"/>
  <c r="AI137" i="19"/>
  <c r="AG137" i="19"/>
  <c r="V141" i="27" a="1"/>
  <c r="V141" i="27" s="1"/>
  <c r="AD141" i="27" a="1"/>
  <c r="AD141" i="27" s="1"/>
  <c r="D162" i="30"/>
  <c r="AB161" i="30" a="1"/>
  <c r="AB161" i="30" s="1"/>
  <c r="AH381" i="30"/>
  <c r="BE381" i="30"/>
  <c r="BD381" i="30"/>
  <c r="BJ381" i="30"/>
  <c r="BK381" i="30"/>
  <c r="AV28" i="30"/>
  <c r="BF28" i="30"/>
  <c r="AI34" i="24"/>
  <c r="AJ33" i="24"/>
  <c r="F73" i="26" a="1"/>
  <c r="F73" i="26" s="1"/>
  <c r="K72" i="26"/>
  <c r="AL28" i="30"/>
  <c r="AI50" i="24"/>
  <c r="AJ49" i="24"/>
  <c r="BO231" i="30"/>
  <c r="F232" i="30" a="1"/>
  <c r="F232" i="30" s="1"/>
  <c r="D162" i="29"/>
  <c r="AB161" i="29" a="1"/>
  <c r="AB161" i="29" s="1"/>
  <c r="AH358" i="29"/>
  <c r="BH381" i="30"/>
  <c r="BI381" i="30"/>
  <c r="AB449" i="30" a="1"/>
  <c r="AB449" i="30" s="1"/>
  <c r="D450" i="30"/>
  <c r="AP316" i="30"/>
  <c r="AN237" i="28"/>
  <c r="AI237" i="28"/>
  <c r="AL237" i="28" s="1"/>
  <c r="AE237" i="28"/>
  <c r="F238" i="28" a="1"/>
  <c r="F238" i="28" s="1"/>
  <c r="AK237" i="28"/>
  <c r="AG237" i="28"/>
  <c r="AJ237" i="28"/>
  <c r="AF237" i="28"/>
  <c r="K127" i="26"/>
  <c r="F128" i="26" a="1"/>
  <c r="F128" i="26" s="1"/>
  <c r="K128" i="26" s="1"/>
  <c r="AB449" i="29" a="1"/>
  <c r="AB449" i="29" s="1"/>
  <c r="D450" i="29"/>
  <c r="K94" i="19"/>
  <c r="AI94" i="19"/>
  <c r="AI52" i="19" s="1"/>
  <c r="AH94" i="19"/>
  <c r="AH52" i="19" s="1"/>
  <c r="AJ94" i="19"/>
  <c r="AJ52" i="19" s="1"/>
  <c r="AF94" i="19"/>
  <c r="AF52" i="19" s="1"/>
  <c r="AG94" i="19"/>
  <c r="AG52" i="19" s="1"/>
  <c r="F49" i="19" a="1"/>
  <c r="F49" i="19" s="1"/>
  <c r="BM381" i="30"/>
  <c r="BA382" i="30"/>
  <c r="BL382" i="30" s="1"/>
  <c r="AW382" i="30"/>
  <c r="BH382" i="30" s="1"/>
  <c r="AS382" i="30"/>
  <c r="AO382" i="30"/>
  <c r="AK382" i="30"/>
  <c r="AG382" i="30"/>
  <c r="AZ382" i="30"/>
  <c r="BK382" i="30" s="1"/>
  <c r="AV382" i="30"/>
  <c r="BG382" i="30" s="1"/>
  <c r="AR382" i="30"/>
  <c r="AN382" i="30"/>
  <c r="AJ382" i="30"/>
  <c r="AF382" i="30"/>
  <c r="F383" i="30" a="1"/>
  <c r="F383" i="30" s="1"/>
  <c r="BC382" i="30"/>
  <c r="AY382" i="30"/>
  <c r="BJ382" i="30" s="1"/>
  <c r="AU382" i="30"/>
  <c r="BF382" i="30" s="1"/>
  <c r="AQ382" i="30"/>
  <c r="AM382" i="30"/>
  <c r="AI382" i="30"/>
  <c r="AE382" i="30"/>
  <c r="BB382" i="30"/>
  <c r="BM382" i="30" s="1"/>
  <c r="AL382" i="30"/>
  <c r="AX382" i="30"/>
  <c r="BI382" i="30" s="1"/>
  <c r="AT382" i="30"/>
  <c r="BE382" i="30" s="1"/>
  <c r="AP382" i="30"/>
  <c r="AJ71" i="29"/>
  <c r="AF71" i="29"/>
  <c r="BO71" i="29"/>
  <c r="AI71" i="29"/>
  <c r="BD71" i="29" s="1"/>
  <c r="AE71" i="29"/>
  <c r="AT71" i="29"/>
  <c r="AG71" i="29"/>
  <c r="F72" i="29" a="1"/>
  <c r="F72" i="29" s="1"/>
  <c r="AQ41" i="24"/>
  <c r="AP42" i="24"/>
  <c r="AN67" i="28"/>
  <c r="AI67" i="28"/>
  <c r="AL67" i="28" s="1"/>
  <c r="AE67" i="28"/>
  <c r="F68" i="28" a="1"/>
  <c r="F68" i="28" s="1"/>
  <c r="AK67" i="28"/>
  <c r="AG67" i="28"/>
  <c r="AJ67" i="28"/>
  <c r="AF67" i="28"/>
  <c r="D306" i="29"/>
  <c r="AB305" i="29" a="1"/>
  <c r="AB305" i="29" s="1"/>
  <c r="AH382" i="30" l="1"/>
  <c r="AH67" i="28"/>
  <c r="BD382" i="30"/>
  <c r="D307" i="29" a="1"/>
  <c r="D307" i="29" s="1"/>
  <c r="AB306" i="29" a="1"/>
  <c r="AB306" i="29" s="1"/>
  <c r="AQ42" i="24"/>
  <c r="AR41" i="24"/>
  <c r="BO383" i="30"/>
  <c r="BB383" i="30"/>
  <c r="BM383" i="30" s="1"/>
  <c r="AX383" i="30"/>
  <c r="BI383" i="30" s="1"/>
  <c r="AT383" i="30"/>
  <c r="BE383" i="30" s="1"/>
  <c r="AP383" i="30"/>
  <c r="AL383" i="30"/>
  <c r="BA383" i="30"/>
  <c r="BL383" i="30" s="1"/>
  <c r="AW383" i="30"/>
  <c r="BH383" i="30" s="1"/>
  <c r="AS383" i="30"/>
  <c r="AO383" i="30"/>
  <c r="AK383" i="30"/>
  <c r="AG383" i="30"/>
  <c r="F384" i="30" a="1"/>
  <c r="F384" i="30" s="1"/>
  <c r="AZ383" i="30"/>
  <c r="BK383" i="30" s="1"/>
  <c r="AV383" i="30"/>
  <c r="BG383" i="30" s="1"/>
  <c r="AR383" i="30"/>
  <c r="AN383" i="30"/>
  <c r="AJ383" i="30"/>
  <c r="AF383" i="30"/>
  <c r="AU383" i="30"/>
  <c r="BF383" i="30" s="1"/>
  <c r="AE383" i="30"/>
  <c r="AQ383" i="30"/>
  <c r="BC383" i="30"/>
  <c r="AM383" i="30"/>
  <c r="AY383" i="30"/>
  <c r="BJ383" i="30" s="1"/>
  <c r="AI383" i="30"/>
  <c r="BD383" i="30" s="1"/>
  <c r="AH237" i="28"/>
  <c r="AQ316" i="30"/>
  <c r="AM28" i="30"/>
  <c r="D163" i="30" a="1"/>
  <c r="D163" i="30" s="1"/>
  <c r="AB162" i="30" a="1"/>
  <c r="AB162" i="30" s="1"/>
  <c r="AH95" i="19"/>
  <c r="BA316" i="30"/>
  <c r="BK316" i="30" s="1"/>
  <c r="AT216" i="29"/>
  <c r="AG216" i="29"/>
  <c r="AH216" i="29" s="1"/>
  <c r="AJ216" i="29"/>
  <c r="AF216" i="29"/>
  <c r="BO216" i="29"/>
  <c r="AI216" i="29"/>
  <c r="BD216" i="29" s="1"/>
  <c r="AE216" i="29"/>
  <c r="F217" i="29" a="1"/>
  <c r="F217" i="29" s="1"/>
  <c r="V112" i="28" a="1"/>
  <c r="V112" i="28" s="1"/>
  <c r="AB112" i="28" a="1"/>
  <c r="AB112" i="28" s="1"/>
  <c r="AB86" i="27"/>
  <c r="F52" i="18" a="1"/>
  <c r="F52" i="18" s="1"/>
  <c r="BO72" i="29"/>
  <c r="AI72" i="29"/>
  <c r="BD72" i="29" s="1"/>
  <c r="AE72" i="29"/>
  <c r="F73" i="29" a="1"/>
  <c r="F73" i="29" s="1"/>
  <c r="AT72" i="29"/>
  <c r="AG72" i="29"/>
  <c r="AH72" i="29" s="1"/>
  <c r="AJ72" i="29"/>
  <c r="AF72" i="29"/>
  <c r="AW28" i="30"/>
  <c r="BG28" i="30"/>
  <c r="AF95" i="19"/>
  <c r="AH152" i="28"/>
  <c r="BJ316" i="30"/>
  <c r="AB306" i="30" a="1"/>
  <c r="AB306" i="30" s="1"/>
  <c r="D307" i="30" a="1"/>
  <c r="D307" i="30" s="1"/>
  <c r="BO360" i="29"/>
  <c r="AI360" i="29"/>
  <c r="BD360" i="29" s="1"/>
  <c r="AE360" i="29"/>
  <c r="F361" i="29" a="1"/>
  <c r="F361" i="29" s="1"/>
  <c r="AT360" i="29"/>
  <c r="AG360" i="29"/>
  <c r="AJ360" i="29"/>
  <c r="AF360" i="29"/>
  <c r="F69" i="28" a="1"/>
  <c r="F69" i="28" s="1"/>
  <c r="AK68" i="28"/>
  <c r="AG68" i="28"/>
  <c r="AH68" i="28" s="1"/>
  <c r="AJ68" i="28"/>
  <c r="AF68" i="28"/>
  <c r="AN68" i="28"/>
  <c r="AI68" i="28"/>
  <c r="AL68" i="28" s="1"/>
  <c r="AE68" i="28"/>
  <c r="AH71" i="29"/>
  <c r="F50" i="19" a="1"/>
  <c r="F50" i="19" s="1"/>
  <c r="F239" i="28" a="1"/>
  <c r="F239" i="28" s="1"/>
  <c r="AK238" i="28"/>
  <c r="AG238" i="28"/>
  <c r="AJ238" i="28"/>
  <c r="AF238" i="28"/>
  <c r="AN238" i="28"/>
  <c r="AI238" i="28"/>
  <c r="AL238" i="28" s="1"/>
  <c r="AE238" i="28"/>
  <c r="AB450" i="30" a="1"/>
  <c r="AB450" i="30" s="1"/>
  <c r="D451" i="30" a="1"/>
  <c r="D451" i="30" s="1"/>
  <c r="AB162" i="29" a="1"/>
  <c r="AB162" i="29" s="1"/>
  <c r="D163" i="29" a="1"/>
  <c r="D163" i="29" s="1"/>
  <c r="BO232" i="30"/>
  <c r="F233" i="30" a="1"/>
  <c r="F233" i="30" s="1"/>
  <c r="AK49" i="24"/>
  <c r="AJ50" i="24"/>
  <c r="AG95" i="19"/>
  <c r="AJ95" i="19"/>
  <c r="AH215" i="29"/>
  <c r="BO70" i="30"/>
  <c r="F71" i="30" a="1"/>
  <c r="F71" i="30" s="1"/>
  <c r="AB450" i="29" a="1"/>
  <c r="AB450" i="29" s="1"/>
  <c r="D451" i="29" a="1"/>
  <c r="D451" i="29" s="1"/>
  <c r="F74" i="26" a="1"/>
  <c r="F74" i="26" s="1"/>
  <c r="K73" i="26"/>
  <c r="AK33" i="24"/>
  <c r="AJ34" i="24"/>
  <c r="AB197" i="28" a="1"/>
  <c r="AB197" i="28" s="1"/>
  <c r="V197" i="28" a="1"/>
  <c r="V197" i="28" s="1"/>
  <c r="AB142" i="27"/>
  <c r="AI95" i="19"/>
  <c r="AJ153" i="28"/>
  <c r="AF153" i="28"/>
  <c r="AN153" i="28"/>
  <c r="AI153" i="28"/>
  <c r="AL153" i="28" s="1"/>
  <c r="AE153" i="28"/>
  <c r="F154" i="28" a="1"/>
  <c r="F154" i="28" s="1"/>
  <c r="AK153" i="28"/>
  <c r="AG153" i="28"/>
  <c r="AH153" i="28" l="1"/>
  <c r="AI154" i="28"/>
  <c r="AL154" i="28" s="1"/>
  <c r="AE154" i="28"/>
  <c r="F155" i="28" a="1"/>
  <c r="F155" i="28" s="1"/>
  <c r="AK154" i="28"/>
  <c r="AG154" i="28"/>
  <c r="AJ154" i="28"/>
  <c r="AF154" i="28"/>
  <c r="AL49" i="24"/>
  <c r="AK50" i="24"/>
  <c r="F362" i="29" a="1"/>
  <c r="F362" i="29" s="1"/>
  <c r="F363" i="29" s="1" a="1"/>
  <c r="F363" i="29" s="1"/>
  <c r="AB307" i="30"/>
  <c r="D308" i="30" a="1"/>
  <c r="D308" i="30" s="1"/>
  <c r="BH28" i="30"/>
  <c r="AX28" i="30"/>
  <c r="F53" i="18" a="1"/>
  <c r="F53" i="18" s="1"/>
  <c r="T52" i="18"/>
  <c r="T53" i="18" s="1" a="1"/>
  <c r="T53" i="18" s="1"/>
  <c r="T54" i="18" s="1" a="1"/>
  <c r="T54" i="18" s="1"/>
  <c r="T55" i="18" s="1" a="1"/>
  <c r="T55" i="18" s="1"/>
  <c r="T56" i="18" s="1" a="1"/>
  <c r="T56" i="18" s="1"/>
  <c r="AN28" i="30"/>
  <c r="AR316" i="30"/>
  <c r="V315" i="29" a="1"/>
  <c r="V315" i="29" s="1"/>
  <c r="AB315" i="29" a="1"/>
  <c r="AB315" i="29" s="1"/>
  <c r="H256" i="28"/>
  <c r="H255" i="28"/>
  <c r="AB451" i="29"/>
  <c r="D452" i="29" a="1"/>
  <c r="D452" i="29" s="1"/>
  <c r="F234" i="30" a="1"/>
  <c r="F234" i="30" s="1"/>
  <c r="F240" i="28" a="1"/>
  <c r="F240" i="28" s="1"/>
  <c r="AK239" i="28"/>
  <c r="AG239" i="28"/>
  <c r="AJ239" i="28"/>
  <c r="AF239" i="28"/>
  <c r="AI239" i="28"/>
  <c r="AL239" i="28" s="1"/>
  <c r="AE239" i="28"/>
  <c r="F74" i="29" a="1"/>
  <c r="F74" i="29" s="1"/>
  <c r="F75" i="29" s="1" a="1"/>
  <c r="F75" i="29" s="1"/>
  <c r="K74" i="26"/>
  <c r="F75" i="26" a="1"/>
  <c r="F75" i="26" s="1"/>
  <c r="F72" i="30" a="1"/>
  <c r="F72" i="30" s="1"/>
  <c r="BO71" i="30"/>
  <c r="AB451" i="30"/>
  <c r="D452" i="30" a="1"/>
  <c r="D452" i="30" s="1"/>
  <c r="T50" i="19"/>
  <c r="T51" i="19" s="1" a="1"/>
  <c r="T51" i="19" s="1"/>
  <c r="F51" i="19" a="1"/>
  <c r="F51" i="19" s="1"/>
  <c r="AF37" i="29" s="1"/>
  <c r="AH360" i="29"/>
  <c r="AF207" i="29"/>
  <c r="AF48" i="20"/>
  <c r="AI340" i="29"/>
  <c r="BD340" i="29" s="1"/>
  <c r="AF351" i="29"/>
  <c r="AG150" i="28"/>
  <c r="AB171" i="29" a="1"/>
  <c r="AB171" i="29" s="1"/>
  <c r="V171" i="29" a="1"/>
  <c r="V171" i="29" s="1"/>
  <c r="H171" i="28"/>
  <c r="H170" i="28"/>
  <c r="F218" i="29" a="1"/>
  <c r="F218" i="29" s="1"/>
  <c r="F219" i="29" s="1" a="1"/>
  <c r="F219" i="29" s="1"/>
  <c r="AE57" i="21"/>
  <c r="AE53" i="21" s="1"/>
  <c r="AE361" i="29" s="1"/>
  <c r="AF36" i="29"/>
  <c r="AI180" i="29"/>
  <c r="AJ216" i="28"/>
  <c r="AI63" i="29"/>
  <c r="BO384" i="30"/>
  <c r="BB384" i="30"/>
  <c r="AX384" i="30"/>
  <c r="AT384" i="30"/>
  <c r="AP384" i="30"/>
  <c r="AL384" i="30"/>
  <c r="BA384" i="30"/>
  <c r="AW384" i="30"/>
  <c r="AS384" i="30"/>
  <c r="AO384" i="30"/>
  <c r="AK384" i="30"/>
  <c r="AG384" i="30"/>
  <c r="F385" i="30" a="1"/>
  <c r="F385" i="30" s="1"/>
  <c r="AZ384" i="30"/>
  <c r="AV384" i="30"/>
  <c r="AR384" i="30"/>
  <c r="AN384" i="30"/>
  <c r="AJ384" i="30"/>
  <c r="AF384" i="30"/>
  <c r="BC384" i="30"/>
  <c r="AM384" i="30"/>
  <c r="AY384" i="30"/>
  <c r="AI384" i="30"/>
  <c r="BD384" i="30" s="1"/>
  <c r="AU384" i="30"/>
  <c r="AE384" i="30"/>
  <c r="AQ384" i="30"/>
  <c r="D308" i="29" a="1"/>
  <c r="D308" i="29" s="1"/>
  <c r="AB307" i="29"/>
  <c r="AL33" i="24"/>
  <c r="AK34" i="24"/>
  <c r="AB163" i="29"/>
  <c r="D164" i="29" a="1"/>
  <c r="D164" i="29" s="1"/>
  <c r="AH238" i="28"/>
  <c r="F70" i="28" a="1"/>
  <c r="F70" i="28" s="1"/>
  <c r="AK69" i="28"/>
  <c r="AG69" i="28"/>
  <c r="AJ69" i="28"/>
  <c r="AF69" i="28"/>
  <c r="AI69" i="28"/>
  <c r="AL69" i="28" s="1"/>
  <c r="AE69" i="28"/>
  <c r="AJ66" i="20"/>
  <c r="AG57" i="21"/>
  <c r="AG53" i="21" s="1"/>
  <c r="AG361" i="29" s="1"/>
  <c r="AF43" i="21"/>
  <c r="AF39" i="21" s="1"/>
  <c r="AF217" i="29" s="1"/>
  <c r="AT340" i="29"/>
  <c r="AE65" i="28"/>
  <c r="BB316" i="30"/>
  <c r="BL316" i="30" s="1"/>
  <c r="AG325" i="29"/>
  <c r="AJ325" i="29"/>
  <c r="AJ48" i="20"/>
  <c r="AG340" i="29"/>
  <c r="D164" i="30" a="1"/>
  <c r="D164" i="30" s="1"/>
  <c r="AB163" i="30"/>
  <c r="AH383" i="30"/>
  <c r="AS41" i="24"/>
  <c r="AR42" i="24"/>
  <c r="AG64" i="28" l="1"/>
  <c r="AE46" i="28"/>
  <c r="AJ64" i="28"/>
  <c r="AF64" i="29"/>
  <c r="AG339" i="29"/>
  <c r="AG195" i="29"/>
  <c r="AI235" i="28"/>
  <c r="AL235" i="28" s="1"/>
  <c r="AK59" i="28"/>
  <c r="AF216" i="28"/>
  <c r="AJ67" i="20"/>
  <c r="AE64" i="28"/>
  <c r="AJ65" i="28"/>
  <c r="AF46" i="28"/>
  <c r="AI195" i="29"/>
  <c r="AF131" i="28"/>
  <c r="AJ339" i="29"/>
  <c r="AI47" i="20"/>
  <c r="AJ65" i="20"/>
  <c r="AE63" i="29"/>
  <c r="AG37" i="29"/>
  <c r="AT325" i="29"/>
  <c r="AI52" i="29"/>
  <c r="BD52" i="29" s="1"/>
  <c r="AE37" i="29"/>
  <c r="AF325" i="29"/>
  <c r="AI57" i="21"/>
  <c r="AI53" i="21" s="1"/>
  <c r="AJ361" i="29" s="1"/>
  <c r="AK130" i="28"/>
  <c r="AE196" i="29"/>
  <c r="AJ351" i="29"/>
  <c r="AK216" i="28"/>
  <c r="AF67" i="20"/>
  <c r="AF324" i="29"/>
  <c r="AK229" i="28"/>
  <c r="AF150" i="28"/>
  <c r="AH150" i="28" s="1"/>
  <c r="AF60" i="28"/>
  <c r="AI144" i="28"/>
  <c r="AI149" i="28"/>
  <c r="AG207" i="29"/>
  <c r="AE28" i="20"/>
  <c r="AJ28" i="20"/>
  <c r="AE235" i="28"/>
  <c r="AJ64" i="29"/>
  <c r="AI66" i="20"/>
  <c r="AE131" i="28"/>
  <c r="AE180" i="29"/>
  <c r="AF47" i="20"/>
  <c r="AF339" i="29"/>
  <c r="AF181" i="29"/>
  <c r="AI60" i="28"/>
  <c r="AL60" i="28" s="1"/>
  <c r="AG36" i="29"/>
  <c r="AF52" i="29"/>
  <c r="AE352" i="29"/>
  <c r="AG149" i="28"/>
  <c r="AF63" i="29"/>
  <c r="AF62" i="29" s="1"/>
  <c r="AF53" i="29" s="1"/>
  <c r="AK65" i="28"/>
  <c r="AK46" i="28"/>
  <c r="AJ195" i="29"/>
  <c r="AT181" i="29"/>
  <c r="BG384" i="30"/>
  <c r="BL384" i="30"/>
  <c r="AB171" i="30" a="1"/>
  <c r="AB171" i="30" s="1"/>
  <c r="V171" i="30" a="1"/>
  <c r="V171" i="30" s="1"/>
  <c r="BO72" i="30"/>
  <c r="F73" i="30" a="1"/>
  <c r="F73" i="30" s="1"/>
  <c r="F74" i="30" s="1" a="1"/>
  <c r="F74" i="30" s="1"/>
  <c r="F75" i="30" s="1" a="1"/>
  <c r="F75" i="30" s="1"/>
  <c r="F76" i="30" s="1" a="1"/>
  <c r="F76" i="30" s="1"/>
  <c r="F235" i="30" a="1"/>
  <c r="F235" i="30" s="1"/>
  <c r="BD195" i="29"/>
  <c r="AJ70" i="28"/>
  <c r="AF70" i="28"/>
  <c r="AN70" i="28"/>
  <c r="AI70" i="28"/>
  <c r="AL70" i="28" s="1"/>
  <c r="AE70" i="28"/>
  <c r="F71" i="28" a="1"/>
  <c r="F71" i="28" s="1"/>
  <c r="AK70" i="28"/>
  <c r="AG70" i="28"/>
  <c r="BJ384" i="30"/>
  <c r="BK384" i="30"/>
  <c r="BM384" i="30"/>
  <c r="AF323" i="29"/>
  <c r="AF318" i="29" s="1"/>
  <c r="AJ63" i="28"/>
  <c r="AJ61" i="28" s="1"/>
  <c r="K51" i="19"/>
  <c r="AJ51" i="19"/>
  <c r="AJ27" i="19" s="1"/>
  <c r="AH51" i="19"/>
  <c r="AI51" i="19"/>
  <c r="AI27" i="19" s="1"/>
  <c r="AF51" i="19"/>
  <c r="AF27" i="19" s="1"/>
  <c r="AE51" i="19"/>
  <c r="AG51" i="19"/>
  <c r="AE60" i="28"/>
  <c r="AE59" i="28"/>
  <c r="AI46" i="28"/>
  <c r="AL46" i="28" s="1"/>
  <c r="AJ60" i="28"/>
  <c r="AK144" i="28"/>
  <c r="AE208" i="29"/>
  <c r="AF352" i="29"/>
  <c r="AF350" i="29" s="1"/>
  <c r="AF341" i="29" s="1"/>
  <c r="AJ207" i="29"/>
  <c r="AJ144" i="28"/>
  <c r="AG235" i="28"/>
  <c r="AG60" i="28"/>
  <c r="AH60" i="28" s="1"/>
  <c r="AF59" i="28"/>
  <c r="AF58" i="28" s="1"/>
  <c r="AF56" i="28" s="1"/>
  <c r="AE144" i="28"/>
  <c r="AG144" i="28"/>
  <c r="AG63" i="29"/>
  <c r="AE351" i="29"/>
  <c r="AG230" i="28"/>
  <c r="AG46" i="28"/>
  <c r="AH46" i="28" s="1"/>
  <c r="AK60" i="28"/>
  <c r="AF145" i="28"/>
  <c r="AJ63" i="29"/>
  <c r="AJ62" i="29" s="1"/>
  <c r="AJ53" i="29" s="1"/>
  <c r="AT351" i="29"/>
  <c r="AE230" i="28"/>
  <c r="AK230" i="28"/>
  <c r="AK228" i="28" s="1"/>
  <c r="AK226" i="28" s="1"/>
  <c r="AT63" i="29"/>
  <c r="AI351" i="29"/>
  <c r="AG351" i="29"/>
  <c r="AF144" i="28"/>
  <c r="AF143" i="28" s="1"/>
  <c r="AF141" i="28" s="1"/>
  <c r="AG59" i="28"/>
  <c r="AF234" i="28"/>
  <c r="AE145" i="28"/>
  <c r="AT352" i="29"/>
  <c r="AK150" i="28"/>
  <c r="AG145" i="28"/>
  <c r="AF230" i="28"/>
  <c r="AG234" i="28"/>
  <c r="AT37" i="29"/>
  <c r="AG216" i="28"/>
  <c r="AH216" i="28" s="1"/>
  <c r="AF130" i="28"/>
  <c r="AF129" i="28" s="1"/>
  <c r="AT51" i="29"/>
  <c r="AG29" i="20"/>
  <c r="AG48" i="20"/>
  <c r="AE51" i="29"/>
  <c r="AT324" i="29"/>
  <c r="AT323" i="29" s="1"/>
  <c r="AT318" i="29" s="1"/>
  <c r="AT196" i="29"/>
  <c r="AI324" i="29"/>
  <c r="AT52" i="29"/>
  <c r="AI45" i="28"/>
  <c r="AK215" i="28"/>
  <c r="AK214" i="28" s="1"/>
  <c r="AJ51" i="29"/>
  <c r="AG196" i="29"/>
  <c r="AE36" i="29"/>
  <c r="AE35" i="29" s="1"/>
  <c r="AE30" i="29" s="1"/>
  <c r="AF29" i="20"/>
  <c r="AF180" i="29"/>
  <c r="AF179" i="29" s="1"/>
  <c r="AF174" i="29" s="1"/>
  <c r="AI48" i="20"/>
  <c r="AI46" i="20" s="1"/>
  <c r="AH67" i="20"/>
  <c r="AF64" i="28"/>
  <c r="AH64" i="28" s="1"/>
  <c r="AJ230" i="28"/>
  <c r="AI352" i="29"/>
  <c r="BD352" i="29" s="1"/>
  <c r="AG352" i="29"/>
  <c r="AH352" i="29" s="1"/>
  <c r="AJ149" i="28"/>
  <c r="AG65" i="28"/>
  <c r="AG63" i="28" s="1"/>
  <c r="AJ145" i="28"/>
  <c r="AI64" i="28"/>
  <c r="AK64" i="28"/>
  <c r="AK63" i="28" s="1"/>
  <c r="AI131" i="28"/>
  <c r="AL131" i="28" s="1"/>
  <c r="AJ37" i="29"/>
  <c r="AE130" i="28"/>
  <c r="AE129" i="28" s="1"/>
  <c r="AI43" i="21"/>
  <c r="AI39" i="21" s="1"/>
  <c r="AJ217" i="29" s="1"/>
  <c r="AJ324" i="29"/>
  <c r="AJ323" i="29" s="1"/>
  <c r="AJ318" i="29" s="1"/>
  <c r="AI51" i="29"/>
  <c r="AI28" i="20"/>
  <c r="AH43" i="21"/>
  <c r="AH39" i="21" s="1"/>
  <c r="AI217" i="29" s="1"/>
  <c r="BD217" i="29" s="1"/>
  <c r="AE181" i="29"/>
  <c r="AE47" i="20"/>
  <c r="AJ45" i="28"/>
  <c r="AG131" i="28"/>
  <c r="AH131" i="28" s="1"/>
  <c r="AG215" i="28"/>
  <c r="AT339" i="29"/>
  <c r="AT338" i="29" s="1"/>
  <c r="AT335" i="29" s="1"/>
  <c r="AI196" i="29"/>
  <c r="BD196" i="29" s="1"/>
  <c r="AH28" i="20"/>
  <c r="AT195" i="29"/>
  <c r="AI67" i="20"/>
  <c r="AI65" i="20" s="1"/>
  <c r="AG28" i="20"/>
  <c r="AI36" i="29"/>
  <c r="AJ46" i="28"/>
  <c r="AT208" i="29"/>
  <c r="AF149" i="28"/>
  <c r="AF148" i="28" s="1"/>
  <c r="AI229" i="28"/>
  <c r="AI145" i="28"/>
  <c r="AL145" i="28" s="1"/>
  <c r="AJ234" i="28"/>
  <c r="AG229" i="28"/>
  <c r="AK234" i="28"/>
  <c r="AT64" i="29"/>
  <c r="AE149" i="28"/>
  <c r="AK45" i="28"/>
  <c r="AK44" i="28" s="1"/>
  <c r="AG130" i="28"/>
  <c r="AE340" i="29"/>
  <c r="AJ43" i="21"/>
  <c r="AJ39" i="21" s="1"/>
  <c r="AT217" i="29" s="1"/>
  <c r="AJ31" i="21"/>
  <c r="AJ27" i="21" s="1"/>
  <c r="AT73" i="29" s="1"/>
  <c r="AJ36" i="29"/>
  <c r="AJ181" i="29"/>
  <c r="AH48" i="20"/>
  <c r="AT36" i="29"/>
  <c r="AG52" i="29"/>
  <c r="AH52" i="29" s="1"/>
  <c r="AE207" i="29"/>
  <c r="AE206" i="29" s="1"/>
  <c r="AE197" i="29" s="1"/>
  <c r="AT207" i="29"/>
  <c r="AT206" i="29" s="1"/>
  <c r="AT197" i="29" s="1"/>
  <c r="AE216" i="28"/>
  <c r="AK131" i="28"/>
  <c r="AK129" i="28" s="1"/>
  <c r="AJ130" i="28"/>
  <c r="AE195" i="29"/>
  <c r="AE194" i="29" s="1"/>
  <c r="AE191" i="29" s="1"/>
  <c r="AT180" i="29"/>
  <c r="AT179" i="29" s="1"/>
  <c r="AT174" i="29" s="1"/>
  <c r="AF51" i="29"/>
  <c r="AF50" i="29" s="1"/>
  <c r="AF47" i="29" s="1"/>
  <c r="AF31" i="21"/>
  <c r="AF27" i="21" s="1"/>
  <c r="AF73" i="29" s="1"/>
  <c r="AF57" i="21"/>
  <c r="AF53" i="21" s="1"/>
  <c r="AF361" i="29" s="1"/>
  <c r="AH361" i="29" s="1"/>
  <c r="AE325" i="29"/>
  <c r="AJ47" i="20"/>
  <c r="AJ46" i="20" s="1"/>
  <c r="AF235" i="28"/>
  <c r="AI207" i="29"/>
  <c r="AI230" i="28"/>
  <c r="AL230" i="28" s="1"/>
  <c r="AI59" i="28"/>
  <c r="AJ229" i="28"/>
  <c r="AJ228" i="28" s="1"/>
  <c r="AJ226" i="28" s="1"/>
  <c r="AK235" i="28"/>
  <c r="AF208" i="29"/>
  <c r="AJ352" i="29"/>
  <c r="AJ350" i="29" s="1"/>
  <c r="AJ341" i="29" s="1"/>
  <c r="AK149" i="28"/>
  <c r="AK148" i="28" s="1"/>
  <c r="AE229" i="28"/>
  <c r="AE228" i="28" s="1"/>
  <c r="AE226" i="28" s="1"/>
  <c r="AE150" i="28"/>
  <c r="AI150" i="28"/>
  <c r="AL150" i="28" s="1"/>
  <c r="AG45" i="28"/>
  <c r="AE215" i="28"/>
  <c r="AE214" i="28" s="1"/>
  <c r="AF340" i="29"/>
  <c r="AF338" i="29" s="1"/>
  <c r="AF335" i="29" s="1"/>
  <c r="AF195" i="29"/>
  <c r="AG324" i="29"/>
  <c r="AF28" i="20"/>
  <c r="AF27" i="20" s="1"/>
  <c r="AF66" i="20"/>
  <c r="AF65" i="20" s="1"/>
  <c r="AE67" i="20"/>
  <c r="AG181" i="29"/>
  <c r="AH181" i="29" s="1"/>
  <c r="AE64" i="29"/>
  <c r="AE62" i="29" s="1"/>
  <c r="AE53" i="29" s="1"/>
  <c r="AJ235" i="28"/>
  <c r="AI208" i="29"/>
  <c r="BD208" i="29" s="1"/>
  <c r="AJ131" i="28"/>
  <c r="AI130" i="28"/>
  <c r="AF196" i="29"/>
  <c r="AJ29" i="20"/>
  <c r="AJ27" i="20" s="1"/>
  <c r="AI181" i="29"/>
  <c r="BD181" i="29" s="1"/>
  <c r="AJ57" i="21"/>
  <c r="AJ53" i="21" s="1"/>
  <c r="AT361" i="29" s="1"/>
  <c r="AG66" i="20"/>
  <c r="AE66" i="20"/>
  <c r="AE65" i="20" s="1"/>
  <c r="AE48" i="20"/>
  <c r="AJ52" i="29"/>
  <c r="AI65" i="28"/>
  <c r="AL65" i="28" s="1"/>
  <c r="K75" i="26"/>
  <c r="F76" i="26" a="1"/>
  <c r="F76" i="26" s="1"/>
  <c r="AI216" i="28"/>
  <c r="AL216" i="28" s="1"/>
  <c r="AE43" i="21"/>
  <c r="AE39" i="21" s="1"/>
  <c r="AE217" i="29" s="1"/>
  <c r="AH29" i="20"/>
  <c r="AI215" i="28"/>
  <c r="AJ196" i="29"/>
  <c r="AJ194" i="29" s="1"/>
  <c r="AJ191" i="29" s="1"/>
  <c r="AH239" i="28"/>
  <c r="D453" i="29" a="1"/>
  <c r="D453" i="29" s="1"/>
  <c r="AB452" i="29"/>
  <c r="V315" i="30" a="1"/>
  <c r="V315" i="30" s="1"/>
  <c r="AB315" i="30" a="1"/>
  <c r="AB315" i="30" s="1"/>
  <c r="AO28" i="30"/>
  <c r="AF229" i="28"/>
  <c r="AF228" i="28" s="1"/>
  <c r="AF226" i="28" s="1"/>
  <c r="AI31" i="21"/>
  <c r="AI27" i="21" s="1"/>
  <c r="AJ73" i="29" s="1"/>
  <c r="AH47" i="20"/>
  <c r="F54" i="18" a="1"/>
  <c r="F54" i="18" s="1"/>
  <c r="AF215" i="28"/>
  <c r="AF214" i="28" s="1"/>
  <c r="AH57" i="21"/>
  <c r="AH53" i="21" s="1"/>
  <c r="AI361" i="29" s="1"/>
  <c r="BD361" i="29" s="1"/>
  <c r="AB308" i="30"/>
  <c r="D309" i="30" a="1"/>
  <c r="D309" i="30" s="1"/>
  <c r="AT41" i="24"/>
  <c r="AS42" i="24"/>
  <c r="D309" i="29" a="1"/>
  <c r="D309" i="29" s="1"/>
  <c r="AB308" i="29"/>
  <c r="BI384" i="30"/>
  <c r="BD180" i="29"/>
  <c r="AI179" i="29"/>
  <c r="AH195" i="29"/>
  <c r="AG194" i="29"/>
  <c r="AL149" i="28"/>
  <c r="T75" i="29"/>
  <c r="F76" i="29" a="1"/>
  <c r="F76" i="29" s="1"/>
  <c r="F156" i="28" a="1"/>
  <c r="F156" i="28" s="1"/>
  <c r="AK155" i="28"/>
  <c r="AG155" i="28"/>
  <c r="AJ155" i="28"/>
  <c r="AF155" i="28"/>
  <c r="AN155" i="28"/>
  <c r="AI155" i="28"/>
  <c r="AL155" i="28" s="1"/>
  <c r="AE155" i="28"/>
  <c r="D165" i="30" a="1"/>
  <c r="D165" i="30" s="1"/>
  <c r="AB164" i="30"/>
  <c r="BC316" i="30"/>
  <c r="AE179" i="29"/>
  <c r="AE174" i="29" s="1"/>
  <c r="AE172" i="29" s="1"/>
  <c r="AF46" i="20"/>
  <c r="AM33" i="24"/>
  <c r="AL34" i="24"/>
  <c r="BO385" i="30"/>
  <c r="BB385" i="30"/>
  <c r="BM385" i="30" s="1"/>
  <c r="AX385" i="30"/>
  <c r="BI385" i="30" s="1"/>
  <c r="AT385" i="30"/>
  <c r="BE385" i="30" s="1"/>
  <c r="AP385" i="30"/>
  <c r="AL385" i="30"/>
  <c r="BA385" i="30"/>
  <c r="BL385" i="30" s="1"/>
  <c r="AW385" i="30"/>
  <c r="BH385" i="30" s="1"/>
  <c r="AS385" i="30"/>
  <c r="AO385" i="30"/>
  <c r="AK385" i="30"/>
  <c r="AG385" i="30"/>
  <c r="F386" i="30" a="1"/>
  <c r="F386" i="30" s="1"/>
  <c r="AZ385" i="30"/>
  <c r="BK385" i="30" s="1"/>
  <c r="AV385" i="30"/>
  <c r="BG385" i="30" s="1"/>
  <c r="AR385" i="30"/>
  <c r="AN385" i="30"/>
  <c r="AJ385" i="30"/>
  <c r="AF385" i="30"/>
  <c r="AU385" i="30"/>
  <c r="BF385" i="30" s="1"/>
  <c r="AE385" i="30"/>
  <c r="AQ385" i="30"/>
  <c r="BC385" i="30"/>
  <c r="AM385" i="30"/>
  <c r="AI385" i="30"/>
  <c r="BD385" i="30" s="1"/>
  <c r="AY385" i="30"/>
  <c r="BJ385" i="30" s="1"/>
  <c r="AH36" i="29"/>
  <c r="AG35" i="29"/>
  <c r="AH149" i="28"/>
  <c r="AG148" i="28"/>
  <c r="AI143" i="28"/>
  <c r="AL144" i="28"/>
  <c r="AK58" i="28"/>
  <c r="AK56" i="28" s="1"/>
  <c r="AI234" i="28"/>
  <c r="AF45" i="28"/>
  <c r="AF44" i="28" s="1"/>
  <c r="AE31" i="21"/>
  <c r="AE27" i="21" s="1"/>
  <c r="AE73" i="29" s="1"/>
  <c r="AG47" i="20"/>
  <c r="AG46" i="20" s="1"/>
  <c r="AI339" i="29"/>
  <c r="AE324" i="29"/>
  <c r="AJ340" i="29"/>
  <c r="AJ338" i="29" s="1"/>
  <c r="AJ335" i="29" s="1"/>
  <c r="AE29" i="20"/>
  <c r="AE27" i="20" s="1"/>
  <c r="AI64" i="29"/>
  <c r="BD64" i="29" s="1"/>
  <c r="AE234" i="28"/>
  <c r="AE233" i="28" s="1"/>
  <c r="AI29" i="20"/>
  <c r="AJ180" i="29"/>
  <c r="AJ179" i="29" s="1"/>
  <c r="AJ174" i="29" s="1"/>
  <c r="AH154" i="28"/>
  <c r="AH207" i="29"/>
  <c r="BI28" i="30"/>
  <c r="AY28" i="30"/>
  <c r="AH37" i="29"/>
  <c r="AH325" i="29"/>
  <c r="AH69" i="28"/>
  <c r="AB164" i="29"/>
  <c r="D165" i="29" a="1"/>
  <c r="D165" i="29" s="1"/>
  <c r="BF384" i="30"/>
  <c r="AH384" i="30"/>
  <c r="BH384" i="30"/>
  <c r="BE384" i="30"/>
  <c r="BD63" i="29"/>
  <c r="AH339" i="29"/>
  <c r="AG338" i="29"/>
  <c r="AF35" i="29"/>
  <c r="AF30" i="29" s="1"/>
  <c r="AF28" i="29" s="1"/>
  <c r="T219" i="29"/>
  <c r="F220" i="29" a="1"/>
  <c r="F220" i="29" s="1"/>
  <c r="AF206" i="29"/>
  <c r="AF197" i="29" s="1"/>
  <c r="AE63" i="28"/>
  <c r="AE61" i="28" s="1"/>
  <c r="AJ150" i="28"/>
  <c r="AK145" i="28"/>
  <c r="AJ208" i="29"/>
  <c r="AJ59" i="28"/>
  <c r="AJ58" i="28" s="1"/>
  <c r="AJ56" i="28" s="1"/>
  <c r="D453" i="30" a="1"/>
  <c r="D453" i="30" s="1"/>
  <c r="AB452" i="30"/>
  <c r="AJ215" i="28"/>
  <c r="AJ214" i="28" s="1"/>
  <c r="AH66" i="20"/>
  <c r="AH65" i="20" s="1"/>
  <c r="AG208" i="29"/>
  <c r="AG206" i="29" s="1"/>
  <c r="AI37" i="29"/>
  <c r="BD37" i="29" s="1"/>
  <c r="AG51" i="29"/>
  <c r="AI325" i="29"/>
  <c r="BD325" i="29" s="1"/>
  <c r="AJ240" i="28"/>
  <c r="AF240" i="28"/>
  <c r="AN240" i="28"/>
  <c r="AI240" i="28"/>
  <c r="AL240" i="28" s="1"/>
  <c r="AE240" i="28"/>
  <c r="F241" i="28" a="1"/>
  <c r="F241" i="28" s="1"/>
  <c r="AK240" i="28"/>
  <c r="AG240" i="28"/>
  <c r="AS316" i="30"/>
  <c r="AE339" i="29"/>
  <c r="AE338" i="29" s="1"/>
  <c r="AE335" i="29" s="1"/>
  <c r="AG180" i="29"/>
  <c r="AF65" i="28"/>
  <c r="AE45" i="28"/>
  <c r="AE44" i="28" s="1"/>
  <c r="AG43" i="21"/>
  <c r="AG39" i="21" s="1"/>
  <c r="AG217" i="29" s="1"/>
  <c r="AH217" i="29" s="1"/>
  <c r="AG67" i="20"/>
  <c r="T363" i="29"/>
  <c r="F364" i="29" a="1"/>
  <c r="F364" i="29" s="1"/>
  <c r="AM49" i="24"/>
  <c r="AL50" i="24"/>
  <c r="AG64" i="29"/>
  <c r="AH64" i="29" s="1"/>
  <c r="AH155" i="28" l="1"/>
  <c r="AH240" i="28"/>
  <c r="AI62" i="29"/>
  <c r="AT50" i="29"/>
  <c r="AT47" i="29" s="1"/>
  <c r="AH70" i="28"/>
  <c r="AG65" i="20"/>
  <c r="AT35" i="29"/>
  <c r="AT30" i="29" s="1"/>
  <c r="AF146" i="28"/>
  <c r="AG27" i="20"/>
  <c r="AJ44" i="28"/>
  <c r="AE350" i="29"/>
  <c r="AE341" i="29" s="1"/>
  <c r="AI148" i="28"/>
  <c r="AE46" i="20"/>
  <c r="AT194" i="29"/>
  <c r="AT191" i="29" s="1"/>
  <c r="AT172" i="29" s="1"/>
  <c r="BE172" i="29" s="1"/>
  <c r="AE58" i="28"/>
  <c r="AE56" i="28" s="1"/>
  <c r="AM50" i="24"/>
  <c r="AN49" i="24"/>
  <c r="BD62" i="29"/>
  <c r="AI53" i="29"/>
  <c r="BD53" i="29" s="1"/>
  <c r="AZ28" i="30"/>
  <c r="BJ28" i="30"/>
  <c r="AH206" i="29"/>
  <c r="AG197" i="29"/>
  <c r="AH197" i="29" s="1"/>
  <c r="T76" i="29"/>
  <c r="F77" i="29" a="1"/>
  <c r="F77" i="29" s="1"/>
  <c r="AG191" i="29"/>
  <c r="V132" i="31" a="1"/>
  <c r="V132" i="31" s="1"/>
  <c r="AB132" i="31" a="1"/>
  <c r="AB132" i="31" s="1"/>
  <c r="AG228" i="28"/>
  <c r="AH229" i="28"/>
  <c r="AI27" i="20"/>
  <c r="AL64" i="28"/>
  <c r="AI63" i="28"/>
  <c r="AL45" i="28"/>
  <c r="AI44" i="28"/>
  <c r="AL44" i="28" s="1"/>
  <c r="AH234" i="28"/>
  <c r="AG233" i="28"/>
  <c r="AJ206" i="29"/>
  <c r="AJ197" i="29" s="1"/>
  <c r="AJ172" i="29" s="1"/>
  <c r="AG27" i="19"/>
  <c r="AG31" i="21"/>
  <c r="AG27" i="21" s="1"/>
  <c r="AG73" i="29" s="1"/>
  <c r="AH73" i="29" s="1"/>
  <c r="AH27" i="19"/>
  <c r="AH31" i="21"/>
  <c r="AH27" i="21" s="1"/>
  <c r="AI73" i="29" s="1"/>
  <c r="BD73" i="29" s="1"/>
  <c r="AG61" i="28"/>
  <c r="T76" i="30"/>
  <c r="F77" i="30" a="1"/>
  <c r="F77" i="30" s="1"/>
  <c r="T364" i="29"/>
  <c r="F365" i="29" a="1"/>
  <c r="F365" i="29" s="1"/>
  <c r="AH51" i="29"/>
  <c r="AG50" i="29"/>
  <c r="AH338" i="29"/>
  <c r="AG335" i="29"/>
  <c r="AH335" i="29" s="1"/>
  <c r="AB165" i="29"/>
  <c r="D166" i="29" a="1"/>
  <c r="D166" i="29" s="1"/>
  <c r="AG30" i="29"/>
  <c r="AH35" i="29"/>
  <c r="BO386" i="30"/>
  <c r="BB386" i="30"/>
  <c r="BM386" i="30" s="1"/>
  <c r="AX386" i="30"/>
  <c r="AT386" i="30"/>
  <c r="AP386" i="30"/>
  <c r="AL386" i="30"/>
  <c r="BA386" i="30"/>
  <c r="AW386" i="30"/>
  <c r="AS386" i="30"/>
  <c r="AO386" i="30"/>
  <c r="AK386" i="30"/>
  <c r="AG386" i="30"/>
  <c r="F387" i="30" a="1"/>
  <c r="F387" i="30" s="1"/>
  <c r="AZ386" i="30"/>
  <c r="BK386" i="30" s="1"/>
  <c r="AV386" i="30"/>
  <c r="BG386" i="30" s="1"/>
  <c r="AR386" i="30"/>
  <c r="AN386" i="30"/>
  <c r="AJ386" i="30"/>
  <c r="AF386" i="30"/>
  <c r="BC386" i="30"/>
  <c r="AM386" i="30"/>
  <c r="AY386" i="30"/>
  <c r="BJ386" i="30" s="1"/>
  <c r="AI386" i="30"/>
  <c r="AU386" i="30"/>
  <c r="AE386" i="30"/>
  <c r="AQ386" i="30"/>
  <c r="AU41" i="24"/>
  <c r="AT42" i="24"/>
  <c r="AI129" i="28"/>
  <c r="AL129" i="28" s="1"/>
  <c r="AL130" i="28"/>
  <c r="BD207" i="29"/>
  <c r="AI206" i="29"/>
  <c r="AE148" i="28"/>
  <c r="AE146" i="28" s="1"/>
  <c r="AJ233" i="28"/>
  <c r="AJ231" i="28" s="1"/>
  <c r="BD51" i="29"/>
  <c r="AI50" i="29"/>
  <c r="AH196" i="29"/>
  <c r="AH351" i="29"/>
  <c r="AG350" i="29"/>
  <c r="AH63" i="29"/>
  <c r="AG62" i="29"/>
  <c r="AE52" i="29"/>
  <c r="AE50" i="29" s="1"/>
  <c r="AE47" i="29" s="1"/>
  <c r="AE28" i="29" s="1"/>
  <c r="AE27" i="19"/>
  <c r="AH340" i="29"/>
  <c r="AN241" i="28"/>
  <c r="AI241" i="28"/>
  <c r="AL241" i="28" s="1"/>
  <c r="AE241" i="28"/>
  <c r="F242" i="28" a="1"/>
  <c r="F242" i="28" s="1"/>
  <c r="AK241" i="28"/>
  <c r="AG241" i="28"/>
  <c r="AJ241" i="28"/>
  <c r="AF241" i="28"/>
  <c r="F221" i="29" a="1"/>
  <c r="F221" i="29" s="1"/>
  <c r="T220" i="29"/>
  <c r="AE231" i="28"/>
  <c r="AE323" i="29"/>
  <c r="AE318" i="29" s="1"/>
  <c r="AE316" i="29" s="1"/>
  <c r="AL143" i="28"/>
  <c r="AI141" i="28"/>
  <c r="AL141" i="28" s="1"/>
  <c r="AH385" i="30"/>
  <c r="BM316" i="30"/>
  <c r="D166" i="30" a="1"/>
  <c r="D166" i="30" s="1"/>
  <c r="AB165" i="30"/>
  <c r="F157" i="28" a="1"/>
  <c r="F157" i="28" s="1"/>
  <c r="AK156" i="28"/>
  <c r="AG156" i="28"/>
  <c r="AJ156" i="28"/>
  <c r="AF156" i="28"/>
  <c r="AN156" i="28"/>
  <c r="AI156" i="28"/>
  <c r="AL156" i="28" s="1"/>
  <c r="AE156" i="28"/>
  <c r="BD179" i="29"/>
  <c r="AI174" i="29"/>
  <c r="AB309" i="30"/>
  <c r="D310" i="30" a="1"/>
  <c r="D310" i="30" s="1"/>
  <c r="F55" i="18" a="1"/>
  <c r="F55" i="18" s="1"/>
  <c r="AP28" i="30"/>
  <c r="AL215" i="28"/>
  <c r="AI214" i="28"/>
  <c r="AL214" i="28" s="1"/>
  <c r="K76" i="26"/>
  <c r="F77" i="26" a="1"/>
  <c r="F77" i="26" s="1"/>
  <c r="K77" i="26" s="1"/>
  <c r="AH324" i="29"/>
  <c r="AG323" i="29"/>
  <c r="AH45" i="28"/>
  <c r="AG44" i="28"/>
  <c r="AH44" i="28" s="1"/>
  <c r="AK146" i="28"/>
  <c r="AJ129" i="28"/>
  <c r="AH215" i="28"/>
  <c r="AG214" i="28"/>
  <c r="AH214" i="28" s="1"/>
  <c r="AJ316" i="29"/>
  <c r="AH65" i="28"/>
  <c r="AJ50" i="29"/>
  <c r="AJ47" i="29" s="1"/>
  <c r="AI323" i="29"/>
  <c r="BD324" i="29"/>
  <c r="AH145" i="28"/>
  <c r="AF233" i="28"/>
  <c r="AF231" i="28" s="1"/>
  <c r="AI350" i="29"/>
  <c r="BD351" i="29"/>
  <c r="AT350" i="29"/>
  <c r="AT341" i="29" s="1"/>
  <c r="AT316" i="29" s="1"/>
  <c r="AH144" i="28"/>
  <c r="AG143" i="28"/>
  <c r="AH235" i="28"/>
  <c r="BO351" i="29"/>
  <c r="BO207" i="29"/>
  <c r="BO352" i="29"/>
  <c r="AN145" i="28"/>
  <c r="AN234" i="28"/>
  <c r="AN131" i="28"/>
  <c r="AN215" i="28"/>
  <c r="AN229" i="28"/>
  <c r="AN150" i="28"/>
  <c r="AN144" i="28"/>
  <c r="AN130" i="28"/>
  <c r="AN235" i="28"/>
  <c r="BO208" i="29"/>
  <c r="AN149" i="28"/>
  <c r="AN230" i="28"/>
  <c r="BO340" i="29"/>
  <c r="BO180" i="29"/>
  <c r="BO324" i="29"/>
  <c r="BO195" i="29"/>
  <c r="BO339" i="29"/>
  <c r="AN216" i="28"/>
  <c r="BO325" i="29"/>
  <c r="BO181" i="29"/>
  <c r="BO196" i="29"/>
  <c r="AN71" i="28"/>
  <c r="AI71" i="28"/>
  <c r="AL71" i="28" s="1"/>
  <c r="AE71" i="28"/>
  <c r="F72" i="28" a="1"/>
  <c r="F72" i="28" s="1"/>
  <c r="AK71" i="28"/>
  <c r="AG71" i="28"/>
  <c r="AJ71" i="28"/>
  <c r="AF71" i="28"/>
  <c r="AH180" i="29"/>
  <c r="AG179" i="29"/>
  <c r="AH208" i="29"/>
  <c r="AB453" i="30"/>
  <c r="D454" i="30" a="1"/>
  <c r="D454" i="30" s="1"/>
  <c r="BD339" i="29"/>
  <c r="AI338" i="29"/>
  <c r="AL234" i="28"/>
  <c r="AI233" i="28"/>
  <c r="AH148" i="28"/>
  <c r="AG146" i="28"/>
  <c r="AH146" i="28" s="1"/>
  <c r="AM34" i="24"/>
  <c r="AN33" i="24"/>
  <c r="AL148" i="28"/>
  <c r="AI146" i="28"/>
  <c r="AL146" i="28" s="1"/>
  <c r="D310" i="29" a="1"/>
  <c r="D310" i="29" s="1"/>
  <c r="AB309" i="29"/>
  <c r="AH46" i="20"/>
  <c r="AB453" i="29"/>
  <c r="D454" i="29" a="1"/>
  <c r="D454" i="29" s="1"/>
  <c r="AF194" i="29"/>
  <c r="AF191" i="29" s="1"/>
  <c r="AF172" i="29" s="1"/>
  <c r="AI58" i="28"/>
  <c r="AL59" i="28"/>
  <c r="AJ35" i="29"/>
  <c r="AJ30" i="29" s="1"/>
  <c r="AJ28" i="29" s="1"/>
  <c r="AH130" i="28"/>
  <c r="AG129" i="28"/>
  <c r="AH129" i="28" s="1"/>
  <c r="AK233" i="28"/>
  <c r="AK231" i="28" s="1"/>
  <c r="AI228" i="28"/>
  <c r="AL229" i="28"/>
  <c r="AI35" i="29"/>
  <c r="BD36" i="29"/>
  <c r="AH27" i="20"/>
  <c r="AK61" i="28"/>
  <c r="AJ148" i="28"/>
  <c r="AJ146" i="28" s="1"/>
  <c r="AF63" i="28"/>
  <c r="AF61" i="28" s="1"/>
  <c r="AG58" i="28"/>
  <c r="AH59" i="28"/>
  <c r="AT62" i="29"/>
  <c r="AT53" i="29" s="1"/>
  <c r="AT28" i="29" s="1"/>
  <c r="AH230" i="28"/>
  <c r="AE143" i="28"/>
  <c r="AE141" i="28" s="1"/>
  <c r="AJ143" i="28"/>
  <c r="AJ141" i="28" s="1"/>
  <c r="AK143" i="28"/>
  <c r="AK141" i="28" s="1"/>
  <c r="AF316" i="29"/>
  <c r="AI194" i="29"/>
  <c r="BA235" i="30"/>
  <c r="BL235" i="30" s="1"/>
  <c r="AW235" i="30"/>
  <c r="AS235" i="30"/>
  <c r="AO235" i="30"/>
  <c r="AK235" i="30"/>
  <c r="AG235" i="30"/>
  <c r="AZ235" i="30"/>
  <c r="AV235" i="30"/>
  <c r="AR235" i="30"/>
  <c r="AN235" i="30"/>
  <c r="AJ235" i="30"/>
  <c r="AF235" i="30"/>
  <c r="F236" i="30" a="1"/>
  <c r="F236" i="30" s="1"/>
  <c r="F237" i="30" s="1" a="1"/>
  <c r="F237" i="30" s="1"/>
  <c r="BC235" i="30"/>
  <c r="AY235" i="30"/>
  <c r="BJ235" i="30" s="1"/>
  <c r="AU235" i="30"/>
  <c r="BF235" i="30" s="1"/>
  <c r="AQ235" i="30"/>
  <c r="AM235" i="30"/>
  <c r="AI235" i="30"/>
  <c r="AE235" i="30"/>
  <c r="BB235" i="30"/>
  <c r="BM235" i="30" s="1"/>
  <c r="AL235" i="30"/>
  <c r="AX235" i="30"/>
  <c r="BI235" i="30" s="1"/>
  <c r="AT235" i="30"/>
  <c r="BE235" i="30" s="1"/>
  <c r="AP235" i="30"/>
  <c r="AB81" i="31" a="1"/>
  <c r="AB81" i="31" s="1"/>
  <c r="V81" i="31" a="1"/>
  <c r="V81" i="31" s="1"/>
  <c r="BK235" i="30" l="1"/>
  <c r="BH235" i="30"/>
  <c r="AH241" i="28"/>
  <c r="BG235" i="30"/>
  <c r="AH156" i="28"/>
  <c r="AH71" i="28"/>
  <c r="BE28" i="29"/>
  <c r="AU28" i="29"/>
  <c r="BE316" i="29"/>
  <c r="AU316" i="29"/>
  <c r="F238" i="30" a="1"/>
  <c r="F238" i="30" s="1"/>
  <c r="BC237" i="30"/>
  <c r="AY237" i="30"/>
  <c r="AU237" i="30"/>
  <c r="AQ237" i="30"/>
  <c r="AM237" i="30"/>
  <c r="AI237" i="30"/>
  <c r="AE237" i="30"/>
  <c r="BB237" i="30"/>
  <c r="AX237" i="30"/>
  <c r="AT237" i="30"/>
  <c r="AP237" i="30"/>
  <c r="AL237" i="30"/>
  <c r="BA237" i="30"/>
  <c r="AW237" i="30"/>
  <c r="AS237" i="30"/>
  <c r="AO237" i="30"/>
  <c r="AK237" i="30"/>
  <c r="AG237" i="30"/>
  <c r="AN237" i="30"/>
  <c r="AZ237" i="30"/>
  <c r="AJ237" i="30"/>
  <c r="AV237" i="30"/>
  <c r="AF237" i="30"/>
  <c r="AR237" i="30"/>
  <c r="AO33" i="24"/>
  <c r="AN34" i="24"/>
  <c r="AL233" i="28"/>
  <c r="AI231" i="28"/>
  <c r="AL231" i="28" s="1"/>
  <c r="D455" i="30"/>
  <c r="AB454" i="30"/>
  <c r="F73" i="28" a="1"/>
  <c r="F73" i="28" s="1"/>
  <c r="AK72" i="28"/>
  <c r="AG72" i="28"/>
  <c r="AJ72" i="28"/>
  <c r="AF72" i="28"/>
  <c r="AN72" i="28"/>
  <c r="AI72" i="28"/>
  <c r="AL72" i="28" s="1"/>
  <c r="AE72" i="28"/>
  <c r="AQ28" i="30"/>
  <c r="F56" i="18" a="1"/>
  <c r="F56" i="18" s="1"/>
  <c r="AR232" i="30" s="1"/>
  <c r="AM378" i="30"/>
  <c r="AI378" i="30"/>
  <c r="BD378" i="30" s="1"/>
  <c r="BB232" i="30"/>
  <c r="BM232" i="30" s="1"/>
  <c r="AV232" i="30"/>
  <c r="BG232" i="30" s="1"/>
  <c r="AE226" i="30"/>
  <c r="AT378" i="30"/>
  <c r="BE378" i="30" s="1"/>
  <c r="AX232" i="30"/>
  <c r="BI232" i="30" s="1"/>
  <c r="AW378" i="30"/>
  <c r="BH378" i="30" s="1"/>
  <c r="AU232" i="30"/>
  <c r="BF232" i="30" s="1"/>
  <c r="AG232" i="30"/>
  <c r="AQ378" i="30"/>
  <c r="AV378" i="30"/>
  <c r="BG378" i="30" s="1"/>
  <c r="AQ232" i="30"/>
  <c r="AJ232" i="30"/>
  <c r="AY226" i="30"/>
  <c r="BJ226" i="30" s="1"/>
  <c r="AL226" i="30"/>
  <c r="AN378" i="30"/>
  <c r="AL232" i="30"/>
  <c r="AP378" i="30"/>
  <c r="BA378" i="30"/>
  <c r="BL378" i="30" s="1"/>
  <c r="BA232" i="30"/>
  <c r="BL232" i="30" s="1"/>
  <c r="AE378" i="30"/>
  <c r="AL378" i="30"/>
  <c r="AU378" i="30"/>
  <c r="BF378" i="30" s="1"/>
  <c r="AE232" i="30"/>
  <c r="AZ232" i="30"/>
  <c r="BK232" i="30" s="1"/>
  <c r="AZ234" i="30"/>
  <c r="BK234" i="30" s="1"/>
  <c r="AJ234" i="30"/>
  <c r="AY234" i="30"/>
  <c r="BJ234" i="30" s="1"/>
  <c r="AI234" i="30"/>
  <c r="BD234" i="30" s="1"/>
  <c r="AT234" i="30"/>
  <c r="BE234" i="30" s="1"/>
  <c r="AO234" i="30"/>
  <c r="AW234" i="30"/>
  <c r="BH234" i="30" s="1"/>
  <c r="AP232" i="30"/>
  <c r="BB378" i="30"/>
  <c r="BM378" i="30" s="1"/>
  <c r="AY378" i="30"/>
  <c r="BJ378" i="30" s="1"/>
  <c r="BC232" i="30"/>
  <c r="AO232" i="30"/>
  <c r="AO378" i="30"/>
  <c r="AU226" i="30"/>
  <c r="BF226" i="30" s="1"/>
  <c r="AK378" i="30"/>
  <c r="AY232" i="30"/>
  <c r="BJ232" i="30" s="1"/>
  <c r="AK232" i="30"/>
  <c r="AI226" i="30"/>
  <c r="BD226" i="30" s="1"/>
  <c r="AT232" i="30"/>
  <c r="BE232" i="30" s="1"/>
  <c r="AV234" i="30"/>
  <c r="BG234" i="30" s="1"/>
  <c r="AF234" i="30"/>
  <c r="AU234" i="30"/>
  <c r="BF234" i="30" s="1"/>
  <c r="AE234" i="30"/>
  <c r="AP234" i="30"/>
  <c r="BA234" i="30"/>
  <c r="BL234" i="30" s="1"/>
  <c r="AS232" i="30"/>
  <c r="AG378" i="30"/>
  <c r="AM232" i="30"/>
  <c r="AN232" i="30"/>
  <c r="AI232" i="30"/>
  <c r="BD232" i="30" s="1"/>
  <c r="AF232" i="30"/>
  <c r="AX378" i="30"/>
  <c r="BI378" i="30" s="1"/>
  <c r="AF378" i="30"/>
  <c r="AS378" i="30"/>
  <c r="AW232" i="30"/>
  <c r="BH232" i="30" s="1"/>
  <c r="AJ157" i="28"/>
  <c r="AF157" i="28"/>
  <c r="AN157" i="28"/>
  <c r="AI157" i="28"/>
  <c r="AL157" i="28" s="1"/>
  <c r="AE157" i="28"/>
  <c r="F158" i="28" a="1"/>
  <c r="F158" i="28" s="1"/>
  <c r="AK157" i="28"/>
  <c r="AG157" i="28"/>
  <c r="F243" i="28" a="1"/>
  <c r="F243" i="28" s="1"/>
  <c r="AK242" i="28"/>
  <c r="AG242" i="28"/>
  <c r="AJ242" i="28"/>
  <c r="AF242" i="28"/>
  <c r="AN242" i="28"/>
  <c r="AI242" i="28"/>
  <c r="AL242" i="28" s="1"/>
  <c r="AE242" i="28"/>
  <c r="AH62" i="29"/>
  <c r="AG53" i="29"/>
  <c r="AH53" i="29" s="1"/>
  <c r="BD386" i="30"/>
  <c r="BL386" i="30"/>
  <c r="BI386" i="30"/>
  <c r="AH30" i="29"/>
  <c r="AH233" i="28"/>
  <c r="AG231" i="28"/>
  <c r="AH231" i="28" s="1"/>
  <c r="AH191" i="29"/>
  <c r="AI191" i="29"/>
  <c r="BD191" i="29" s="1"/>
  <c r="BD194" i="29"/>
  <c r="AG56" i="28"/>
  <c r="AH56" i="28" s="1"/>
  <c r="AH58" i="28"/>
  <c r="AI226" i="28"/>
  <c r="AL226" i="28" s="1"/>
  <c r="AL228" i="28"/>
  <c r="AK28" i="29"/>
  <c r="D455" i="29"/>
  <c r="AB454" i="29"/>
  <c r="D311" i="29"/>
  <c r="AB310" i="29"/>
  <c r="AB310" i="30"/>
  <c r="D311" i="30"/>
  <c r="AB166" i="29"/>
  <c r="D167" i="29"/>
  <c r="AH50" i="29"/>
  <c r="AG47" i="29"/>
  <c r="AH47" i="29" s="1"/>
  <c r="AH61" i="28"/>
  <c r="AH194" i="29"/>
  <c r="V81" i="32" a="1"/>
  <c r="V81" i="32" s="1"/>
  <c r="AB81" i="32" a="1"/>
  <c r="AB81" i="32" s="1"/>
  <c r="BD235" i="30"/>
  <c r="BD338" i="29"/>
  <c r="AI335" i="29"/>
  <c r="BD335" i="29" s="1"/>
  <c r="AG318" i="29"/>
  <c r="AH323" i="29"/>
  <c r="D167" i="30"/>
  <c r="AB166" i="30"/>
  <c r="AH350" i="29"/>
  <c r="AG341" i="29"/>
  <c r="AH341" i="29" s="1"/>
  <c r="BD50" i="29"/>
  <c r="AI47" i="29"/>
  <c r="BD47" i="29" s="1"/>
  <c r="BD206" i="29"/>
  <c r="AI197" i="29"/>
  <c r="BD197" i="29" s="1"/>
  <c r="BO387" i="30"/>
  <c r="BB387" i="30"/>
  <c r="AX387" i="30"/>
  <c r="BI387" i="30" s="1"/>
  <c r="AT387" i="30"/>
  <c r="AP387" i="30"/>
  <c r="AL387" i="30"/>
  <c r="BA387" i="30"/>
  <c r="BL387" i="30" s="1"/>
  <c r="AW387" i="30"/>
  <c r="BH387" i="30" s="1"/>
  <c r="AS387" i="30"/>
  <c r="AO387" i="30"/>
  <c r="AK387" i="30"/>
  <c r="AG387" i="30"/>
  <c r="F388" i="30" a="1"/>
  <c r="F388" i="30" s="1"/>
  <c r="AZ387" i="30"/>
  <c r="BK387" i="30" s="1"/>
  <c r="AV387" i="30"/>
  <c r="AR387" i="30"/>
  <c r="AN387" i="30"/>
  <c r="AJ387" i="30"/>
  <c r="AF387" i="30"/>
  <c r="AU387" i="30"/>
  <c r="BF387" i="30" s="1"/>
  <c r="AE387" i="30"/>
  <c r="AQ387" i="30"/>
  <c r="BC387" i="30"/>
  <c r="AM387" i="30"/>
  <c r="AY387" i="30"/>
  <c r="AI387" i="30"/>
  <c r="BD387" i="30" s="1"/>
  <c r="T77" i="30"/>
  <c r="T78" i="30" s="1" a="1"/>
  <c r="T78" i="30" s="1"/>
  <c r="T79" i="30" s="1" a="1"/>
  <c r="T79" i="30" s="1"/>
  <c r="T80" i="30" s="1" a="1"/>
  <c r="T80" i="30" s="1"/>
  <c r="T81" i="30" s="1" a="1"/>
  <c r="T81" i="30" s="1"/>
  <c r="T82" i="30" s="1" a="1"/>
  <c r="T82" i="30" s="1"/>
  <c r="T83" i="30" s="1" a="1"/>
  <c r="T83" i="30" s="1"/>
  <c r="T84" i="30" s="1" a="1"/>
  <c r="T84" i="30" s="1"/>
  <c r="T85" i="30" s="1" a="1"/>
  <c r="T85" i="30" s="1"/>
  <c r="T86" i="30" s="1" a="1"/>
  <c r="T86" i="30" s="1"/>
  <c r="T87" i="30" s="1" a="1"/>
  <c r="T87" i="30" s="1"/>
  <c r="T88" i="30" s="1" a="1"/>
  <c r="T88" i="30" s="1"/>
  <c r="T89" i="30" s="1" a="1"/>
  <c r="T89" i="30" s="1"/>
  <c r="T90" i="30" s="1" a="1"/>
  <c r="T90" i="30" s="1"/>
  <c r="T91" i="30" s="1" a="1"/>
  <c r="T91" i="30" s="1"/>
  <c r="T92" i="30" s="1" a="1"/>
  <c r="T92" i="30" s="1"/>
  <c r="T93" i="30" s="1" a="1"/>
  <c r="T93" i="30" s="1"/>
  <c r="T94" i="30" s="1" a="1"/>
  <c r="T94" i="30" s="1"/>
  <c r="T95" i="30" s="1" a="1"/>
  <c r="T95" i="30" s="1"/>
  <c r="T96" i="30" s="1" a="1"/>
  <c r="T96" i="30" s="1"/>
  <c r="T97" i="30" s="1" a="1"/>
  <c r="T97" i="30" s="1"/>
  <c r="T98" i="30" s="1" a="1"/>
  <c r="T98" i="30" s="1"/>
  <c r="T99" i="30" s="1" a="1"/>
  <c r="T99" i="30" s="1"/>
  <c r="T100" i="30" s="1" a="1"/>
  <c r="T100" i="30" s="1"/>
  <c r="T101" i="30" s="1" a="1"/>
  <c r="T101" i="30" s="1"/>
  <c r="T102" i="30" s="1" a="1"/>
  <c r="T102" i="30" s="1"/>
  <c r="T103" i="30" s="1" a="1"/>
  <c r="T103" i="30" s="1"/>
  <c r="T104" i="30" s="1" a="1"/>
  <c r="T104" i="30" s="1"/>
  <c r="T105" i="30" s="1" a="1"/>
  <c r="T105" i="30" s="1"/>
  <c r="T106" i="30" s="1" a="1"/>
  <c r="T106" i="30" s="1"/>
  <c r="T107" i="30" s="1" a="1"/>
  <c r="T107" i="30" s="1"/>
  <c r="T108" i="30" s="1" a="1"/>
  <c r="T108" i="30" s="1"/>
  <c r="T109" i="30" s="1" a="1"/>
  <c r="T109" i="30" s="1"/>
  <c r="T110" i="30" s="1" a="1"/>
  <c r="T110" i="30" s="1"/>
  <c r="T111" i="30" s="1" a="1"/>
  <c r="T111" i="30" s="1"/>
  <c r="T112" i="30" s="1" a="1"/>
  <c r="T112" i="30" s="1"/>
  <c r="T113" i="30" s="1" a="1"/>
  <c r="T113" i="30" s="1"/>
  <c r="T114" i="30" s="1" a="1"/>
  <c r="T114" i="30" s="1"/>
  <c r="T115" i="30" s="1" a="1"/>
  <c r="T115" i="30" s="1"/>
  <c r="T116" i="30" s="1" a="1"/>
  <c r="T116" i="30" s="1"/>
  <c r="T117" i="30" s="1" a="1"/>
  <c r="T117" i="30" s="1"/>
  <c r="T118" i="30" s="1" a="1"/>
  <c r="T118" i="30" s="1"/>
  <c r="T119" i="30" s="1" a="1"/>
  <c r="T119" i="30" s="1"/>
  <c r="T120" i="30" s="1" a="1"/>
  <c r="T120" i="30" s="1"/>
  <c r="T121" i="30" s="1" a="1"/>
  <c r="T121" i="30" s="1"/>
  <c r="T122" i="30" s="1" a="1"/>
  <c r="T122" i="30" s="1"/>
  <c r="T123" i="30" s="1" a="1"/>
  <c r="T123" i="30" s="1"/>
  <c r="T124" i="30" s="1" a="1"/>
  <c r="T124" i="30" s="1"/>
  <c r="T125" i="30" s="1" a="1"/>
  <c r="T125" i="30" s="1"/>
  <c r="T126" i="30" s="1" a="1"/>
  <c r="T126" i="30" s="1"/>
  <c r="T127" i="30" s="1" a="1"/>
  <c r="T127" i="30" s="1"/>
  <c r="T128" i="30" s="1" a="1"/>
  <c r="T128" i="30" s="1"/>
  <c r="T129" i="30" s="1" a="1"/>
  <c r="T129" i="30" s="1"/>
  <c r="T130" i="30" s="1" a="1"/>
  <c r="T130" i="30" s="1"/>
  <c r="T131" i="30" s="1" a="1"/>
  <c r="T131" i="30" s="1"/>
  <c r="T132" i="30" s="1" a="1"/>
  <c r="T132" i="30" s="1"/>
  <c r="T133" i="30" s="1" a="1"/>
  <c r="T133" i="30" s="1"/>
  <c r="T134" i="30" s="1" a="1"/>
  <c r="T134" i="30" s="1"/>
  <c r="T135" i="30" s="1" a="1"/>
  <c r="T135" i="30" s="1"/>
  <c r="T136" i="30" s="1" a="1"/>
  <c r="T136" i="30" s="1"/>
  <c r="T137" i="30" s="1" a="1"/>
  <c r="T137" i="30" s="1"/>
  <c r="T138" i="30" s="1" a="1"/>
  <c r="T138" i="30" s="1"/>
  <c r="T139" i="30" s="1" a="1"/>
  <c r="T139" i="30" s="1"/>
  <c r="T140" i="30" s="1" a="1"/>
  <c r="T140" i="30" s="1"/>
  <c r="T141" i="30" s="1" a="1"/>
  <c r="T141" i="30" s="1"/>
  <c r="T142" i="30" s="1" a="1"/>
  <c r="T142" i="30" s="1"/>
  <c r="T143" i="30" s="1" a="1"/>
  <c r="T143" i="30" s="1"/>
  <c r="T144" i="30" s="1" a="1"/>
  <c r="T144" i="30" s="1"/>
  <c r="T145" i="30" s="1" a="1"/>
  <c r="T145" i="30" s="1"/>
  <c r="T146" i="30" s="1" a="1"/>
  <c r="T146" i="30" s="1"/>
  <c r="T147" i="30" s="1" a="1"/>
  <c r="T147" i="30" s="1"/>
  <c r="T148" i="30" s="1" a="1"/>
  <c r="T148" i="30" s="1"/>
  <c r="T149" i="30" s="1" a="1"/>
  <c r="T149" i="30" s="1"/>
  <c r="T150" i="30" s="1" a="1"/>
  <c r="T150" i="30" s="1"/>
  <c r="T151" i="30" s="1" a="1"/>
  <c r="T151" i="30" s="1"/>
  <c r="T152" i="30" s="1" a="1"/>
  <c r="T152" i="30" s="1"/>
  <c r="T153" i="30" s="1" a="1"/>
  <c r="T153" i="30" s="1"/>
  <c r="T154" i="30" s="1" a="1"/>
  <c r="T154" i="30" s="1"/>
  <c r="T155" i="30" s="1" a="1"/>
  <c r="T155" i="30" s="1"/>
  <c r="T156" i="30" s="1" a="1"/>
  <c r="T156" i="30" s="1"/>
  <c r="T157" i="30" s="1" a="1"/>
  <c r="T157" i="30" s="1"/>
  <c r="T158" i="30" s="1" a="1"/>
  <c r="T158" i="30" s="1"/>
  <c r="T159" i="30" s="1" a="1"/>
  <c r="T159" i="30" s="1"/>
  <c r="T160" i="30" s="1" a="1"/>
  <c r="T160" i="30" s="1"/>
  <c r="T161" i="30" s="1" a="1"/>
  <c r="T161" i="30" s="1"/>
  <c r="T162" i="30" s="1" a="1"/>
  <c r="T162" i="30" s="1"/>
  <c r="T163" i="30" s="1" a="1"/>
  <c r="T163" i="30" s="1"/>
  <c r="T164" i="30" s="1" a="1"/>
  <c r="T164" i="30" s="1"/>
  <c r="T165" i="30" s="1" a="1"/>
  <c r="T165" i="30" s="1"/>
  <c r="T166" i="30" s="1" a="1"/>
  <c r="T166" i="30" s="1"/>
  <c r="T167" i="30" s="1" a="1"/>
  <c r="T167" i="30" s="1"/>
  <c r="T168" i="30" s="1" a="1"/>
  <c r="T168" i="30" s="1"/>
  <c r="T169" i="30" s="1" a="1"/>
  <c r="T169" i="30" s="1"/>
  <c r="T170" i="30" s="1" a="1"/>
  <c r="T170" i="30" s="1"/>
  <c r="F78" i="30" a="1"/>
  <c r="F78" i="30" s="1"/>
  <c r="F79" i="30" s="1" a="1"/>
  <c r="F79" i="30" s="1"/>
  <c r="F80" i="30" s="1" a="1"/>
  <c r="F80" i="30" s="1"/>
  <c r="AH63" i="28"/>
  <c r="AL63" i="28"/>
  <c r="AI61" i="28"/>
  <c r="AL61" i="28" s="1"/>
  <c r="AG226" i="28"/>
  <c r="AH226" i="28" s="1"/>
  <c r="AH228" i="28"/>
  <c r="V185" i="32" a="1"/>
  <c r="V185" i="32" s="1"/>
  <c r="AB185" i="32" a="1"/>
  <c r="AB185" i="32" s="1"/>
  <c r="F78" i="29" a="1"/>
  <c r="F78" i="29" s="1"/>
  <c r="T77" i="29"/>
  <c r="BA28" i="30"/>
  <c r="BK28" i="30"/>
  <c r="AO49" i="24"/>
  <c r="AN50" i="24"/>
  <c r="AH235" i="30"/>
  <c r="BD35" i="29"/>
  <c r="AI30" i="29"/>
  <c r="AI56" i="28"/>
  <c r="AL56" i="28" s="1"/>
  <c r="AL58" i="28"/>
  <c r="AH179" i="29"/>
  <c r="AG174" i="29"/>
  <c r="AG141" i="28"/>
  <c r="AH141" i="28" s="1"/>
  <c r="AH143" i="28"/>
  <c r="BD350" i="29"/>
  <c r="AI341" i="29"/>
  <c r="BD341" i="29" s="1"/>
  <c r="BD323" i="29"/>
  <c r="AI318" i="29"/>
  <c r="AK316" i="29"/>
  <c r="AI172" i="29"/>
  <c r="BD174" i="29"/>
  <c r="T221" i="29"/>
  <c r="F222" i="29" a="1"/>
  <c r="F222" i="29" s="1"/>
  <c r="AU42" i="24"/>
  <c r="AV41" i="24"/>
  <c r="BF386" i="30"/>
  <c r="AH386" i="30"/>
  <c r="BH386" i="30"/>
  <c r="BE386" i="30"/>
  <c r="F366" i="29" a="1"/>
  <c r="F366" i="29" s="1"/>
  <c r="T365" i="29"/>
  <c r="AR378" i="30" l="1"/>
  <c r="AH157" i="28"/>
  <c r="AG28" i="29"/>
  <c r="AH28" i="29" s="1"/>
  <c r="AW41" i="24"/>
  <c r="AV42" i="24"/>
  <c r="V205" i="33" a="1"/>
  <c r="V205" i="33" s="1"/>
  <c r="AB205" i="33" a="1"/>
  <c r="AB205" i="33" s="1"/>
  <c r="BG387" i="30"/>
  <c r="AH318" i="29"/>
  <c r="AG316" i="29"/>
  <c r="AL28" i="29"/>
  <c r="AK73" i="28"/>
  <c r="AG73" i="28"/>
  <c r="AJ73" i="28"/>
  <c r="AF73" i="28"/>
  <c r="AN73" i="28"/>
  <c r="AI73" i="28"/>
  <c r="AL73" i="28" s="1"/>
  <c r="AE73" i="28"/>
  <c r="F74" i="28" a="1"/>
  <c r="F74" i="28" s="1"/>
  <c r="BF237" i="30"/>
  <c r="AV316" i="29"/>
  <c r="BF316" i="29"/>
  <c r="BD318" i="29"/>
  <c r="AI316" i="29"/>
  <c r="BL28" i="30"/>
  <c r="BB28" i="30"/>
  <c r="BD172" i="29"/>
  <c r="BM387" i="30"/>
  <c r="AB116" i="33" a="1"/>
  <c r="AB116" i="33" s="1"/>
  <c r="V116" i="33" a="1"/>
  <c r="V116" i="33" s="1"/>
  <c r="AB311" i="30" a="1"/>
  <c r="AB311" i="30" s="1"/>
  <c r="D312" i="30" a="1"/>
  <c r="D312" i="30" s="1"/>
  <c r="D312" i="29" a="1"/>
  <c r="D312" i="29" s="1"/>
  <c r="AB311" i="29" a="1"/>
  <c r="AB311" i="29" s="1"/>
  <c r="AK243" i="28"/>
  <c r="AG243" i="28"/>
  <c r="AJ243" i="28"/>
  <c r="AF243" i="28"/>
  <c r="AN243" i="28"/>
  <c r="AI243" i="28"/>
  <c r="AL243" i="28" s="1"/>
  <c r="AE243" i="28"/>
  <c r="F244" i="28" a="1"/>
  <c r="F244" i="28" s="1"/>
  <c r="AN158" i="28"/>
  <c r="AI158" i="28"/>
  <c r="AL158" i="28" s="1"/>
  <c r="AE158" i="28"/>
  <c r="F159" i="28" a="1"/>
  <c r="F159" i="28" s="1"/>
  <c r="AK158" i="28"/>
  <c r="AG158" i="28"/>
  <c r="AH158" i="28" s="1"/>
  <c r="AJ158" i="28"/>
  <c r="AF158" i="28"/>
  <c r="BG237" i="30"/>
  <c r="AH237" i="30"/>
  <c r="BH237" i="30"/>
  <c r="BE237" i="30"/>
  <c r="BD237" i="30"/>
  <c r="BJ237" i="30"/>
  <c r="F223" i="29" a="1"/>
  <c r="F223" i="29" s="1"/>
  <c r="F224" i="29" s="1" a="1"/>
  <c r="F224" i="29" s="1"/>
  <c r="T222" i="29"/>
  <c r="T223" i="29" s="1" a="1"/>
  <c r="T223" i="29" s="1"/>
  <c r="T224" i="29" s="1" a="1"/>
  <c r="T224" i="29" s="1"/>
  <c r="T225" i="29" s="1" a="1"/>
  <c r="T225" i="29" s="1"/>
  <c r="T226" i="29" s="1" a="1"/>
  <c r="T226" i="29" s="1"/>
  <c r="T227" i="29" s="1" a="1"/>
  <c r="T227" i="29" s="1"/>
  <c r="T228" i="29" s="1" a="1"/>
  <c r="T228" i="29" s="1"/>
  <c r="T229" i="29" s="1" a="1"/>
  <c r="T229" i="29" s="1"/>
  <c r="T230" i="29" s="1" a="1"/>
  <c r="T230" i="29" s="1"/>
  <c r="T231" i="29" s="1" a="1"/>
  <c r="T231" i="29" s="1"/>
  <c r="T232" i="29" s="1" a="1"/>
  <c r="T232" i="29" s="1"/>
  <c r="T233" i="29" s="1" a="1"/>
  <c r="T233" i="29" s="1"/>
  <c r="T234" i="29" s="1" a="1"/>
  <c r="T234" i="29" s="1"/>
  <c r="T235" i="29" s="1" a="1"/>
  <c r="T235" i="29" s="1"/>
  <c r="T236" i="29" s="1" a="1"/>
  <c r="T236" i="29" s="1"/>
  <c r="T237" i="29" s="1" a="1"/>
  <c r="T237" i="29" s="1"/>
  <c r="T238" i="29" s="1" a="1"/>
  <c r="T238" i="29" s="1"/>
  <c r="T239" i="29" s="1" a="1"/>
  <c r="T239" i="29" s="1"/>
  <c r="T240" i="29" s="1" a="1"/>
  <c r="T240" i="29" s="1"/>
  <c r="T241" i="29" s="1" a="1"/>
  <c r="T241" i="29" s="1"/>
  <c r="T242" i="29" s="1" a="1"/>
  <c r="T242" i="29" s="1"/>
  <c r="T243" i="29" s="1" a="1"/>
  <c r="T243" i="29" s="1"/>
  <c r="T244" i="29" s="1" a="1"/>
  <c r="T244" i="29" s="1"/>
  <c r="T245" i="29" s="1" a="1"/>
  <c r="T245" i="29" s="1"/>
  <c r="T246" i="29" s="1" a="1"/>
  <c r="T246" i="29" s="1"/>
  <c r="T247" i="29" s="1" a="1"/>
  <c r="T247" i="29" s="1"/>
  <c r="T248" i="29" s="1" a="1"/>
  <c r="T248" i="29" s="1"/>
  <c r="T249" i="29" s="1" a="1"/>
  <c r="T249" i="29" s="1"/>
  <c r="T250" i="29" s="1" a="1"/>
  <c r="T250" i="29" s="1"/>
  <c r="T251" i="29" s="1" a="1"/>
  <c r="T251" i="29" s="1"/>
  <c r="T252" i="29" s="1" a="1"/>
  <c r="T252" i="29" s="1"/>
  <c r="T253" i="29" s="1" a="1"/>
  <c r="T253" i="29" s="1"/>
  <c r="T254" i="29" s="1" a="1"/>
  <c r="T254" i="29" s="1"/>
  <c r="T255" i="29" s="1" a="1"/>
  <c r="T255" i="29" s="1"/>
  <c r="T256" i="29" s="1" a="1"/>
  <c r="T256" i="29" s="1"/>
  <c r="T257" i="29" s="1" a="1"/>
  <c r="T257" i="29" s="1"/>
  <c r="T258" i="29" s="1" a="1"/>
  <c r="T258" i="29" s="1"/>
  <c r="T259" i="29" s="1" a="1"/>
  <c r="T259" i="29" s="1"/>
  <c r="T260" i="29" s="1" a="1"/>
  <c r="T260" i="29" s="1"/>
  <c r="T261" i="29" s="1" a="1"/>
  <c r="T261" i="29" s="1"/>
  <c r="T262" i="29" s="1" a="1"/>
  <c r="T262" i="29" s="1"/>
  <c r="T263" i="29" s="1" a="1"/>
  <c r="T263" i="29" s="1"/>
  <c r="T264" i="29" s="1" a="1"/>
  <c r="T264" i="29" s="1"/>
  <c r="T265" i="29" s="1" a="1"/>
  <c r="T265" i="29" s="1"/>
  <c r="T266" i="29" s="1" a="1"/>
  <c r="T266" i="29" s="1"/>
  <c r="T267" i="29" s="1" a="1"/>
  <c r="T267" i="29" s="1"/>
  <c r="T268" i="29" s="1" a="1"/>
  <c r="T268" i="29" s="1"/>
  <c r="T269" i="29" s="1" a="1"/>
  <c r="T269" i="29" s="1"/>
  <c r="T270" i="29" s="1" a="1"/>
  <c r="T270" i="29" s="1"/>
  <c r="T271" i="29" s="1" a="1"/>
  <c r="T271" i="29" s="1"/>
  <c r="T272" i="29" s="1" a="1"/>
  <c r="T272" i="29" s="1"/>
  <c r="T273" i="29" s="1" a="1"/>
  <c r="T273" i="29" s="1"/>
  <c r="T274" i="29" s="1" a="1"/>
  <c r="T274" i="29" s="1"/>
  <c r="T275" i="29" s="1" a="1"/>
  <c r="T275" i="29" s="1"/>
  <c r="T276" i="29" s="1" a="1"/>
  <c r="T276" i="29" s="1"/>
  <c r="T277" i="29" s="1" a="1"/>
  <c r="T277" i="29" s="1"/>
  <c r="T278" i="29" s="1" a="1"/>
  <c r="T278" i="29" s="1"/>
  <c r="T279" i="29" s="1" a="1"/>
  <c r="T279" i="29" s="1"/>
  <c r="T280" i="29" s="1" a="1"/>
  <c r="T280" i="29" s="1"/>
  <c r="T281" i="29" s="1" a="1"/>
  <c r="T281" i="29" s="1"/>
  <c r="T282" i="29" s="1" a="1"/>
  <c r="T282" i="29" s="1"/>
  <c r="T283" i="29" s="1" a="1"/>
  <c r="T283" i="29" s="1"/>
  <c r="T284" i="29" s="1" a="1"/>
  <c r="T284" i="29" s="1"/>
  <c r="T285" i="29" s="1" a="1"/>
  <c r="T285" i="29" s="1"/>
  <c r="T286" i="29" s="1" a="1"/>
  <c r="T286" i="29" s="1"/>
  <c r="T287" i="29" s="1" a="1"/>
  <c r="T287" i="29" s="1"/>
  <c r="T288" i="29" s="1" a="1"/>
  <c r="T288" i="29" s="1"/>
  <c r="T289" i="29" s="1" a="1"/>
  <c r="T289" i="29" s="1"/>
  <c r="T290" i="29" s="1" a="1"/>
  <c r="T290" i="29" s="1"/>
  <c r="T291" i="29" s="1" a="1"/>
  <c r="T291" i="29" s="1"/>
  <c r="T292" i="29" s="1" a="1"/>
  <c r="T292" i="29" s="1"/>
  <c r="T293" i="29" s="1" a="1"/>
  <c r="T293" i="29" s="1"/>
  <c r="T294" i="29" s="1" a="1"/>
  <c r="T294" i="29" s="1"/>
  <c r="T295" i="29" s="1" a="1"/>
  <c r="T295" i="29" s="1"/>
  <c r="T296" i="29" s="1" a="1"/>
  <c r="T296" i="29" s="1"/>
  <c r="T297" i="29" s="1" a="1"/>
  <c r="T297" i="29" s="1"/>
  <c r="T298" i="29" s="1" a="1"/>
  <c r="T298" i="29" s="1"/>
  <c r="T299" i="29" s="1" a="1"/>
  <c r="T299" i="29" s="1"/>
  <c r="T300" i="29" s="1" a="1"/>
  <c r="T300" i="29" s="1"/>
  <c r="T301" i="29" s="1" a="1"/>
  <c r="T301" i="29" s="1"/>
  <c r="T302" i="29" s="1" a="1"/>
  <c r="T302" i="29" s="1"/>
  <c r="T303" i="29" s="1" a="1"/>
  <c r="T303" i="29" s="1"/>
  <c r="T304" i="29" s="1" a="1"/>
  <c r="T304" i="29" s="1"/>
  <c r="T305" i="29" s="1" a="1"/>
  <c r="T305" i="29" s="1"/>
  <c r="T306" i="29" s="1" a="1"/>
  <c r="T306" i="29" s="1"/>
  <c r="T307" i="29" s="1" a="1"/>
  <c r="T307" i="29" s="1"/>
  <c r="T308" i="29" s="1" a="1"/>
  <c r="T308" i="29" s="1"/>
  <c r="T309" i="29" s="1" a="1"/>
  <c r="T309" i="29" s="1"/>
  <c r="T310" i="29" s="1" a="1"/>
  <c r="T310" i="29" s="1"/>
  <c r="T311" i="29" s="1" a="1"/>
  <c r="T311" i="29" s="1"/>
  <c r="T312" i="29" s="1" a="1"/>
  <c r="T312" i="29" s="1"/>
  <c r="T313" i="29" s="1" a="1"/>
  <c r="T313" i="29" s="1"/>
  <c r="T314" i="29" s="1" a="1"/>
  <c r="T314" i="29" s="1"/>
  <c r="G223" i="29" a="1"/>
  <c r="G223" i="29" s="1"/>
  <c r="AH174" i="29"/>
  <c r="AG172" i="29"/>
  <c r="BD30" i="29"/>
  <c r="AI28" i="29"/>
  <c r="AP49" i="24"/>
  <c r="AO50" i="24"/>
  <c r="BJ387" i="30"/>
  <c r="BO388" i="30"/>
  <c r="BB388" i="30"/>
  <c r="BM388" i="30" s="1"/>
  <c r="AX388" i="30"/>
  <c r="BI388" i="30" s="1"/>
  <c r="AT388" i="30"/>
  <c r="AP388" i="30"/>
  <c r="AL388" i="30"/>
  <c r="BA388" i="30"/>
  <c r="BL388" i="30" s="1"/>
  <c r="AW388" i="30"/>
  <c r="AS388" i="30"/>
  <c r="AO388" i="30"/>
  <c r="AK388" i="30"/>
  <c r="AG388" i="30"/>
  <c r="F389" i="30" a="1"/>
  <c r="F389" i="30" s="1"/>
  <c r="AZ388" i="30"/>
  <c r="BK388" i="30" s="1"/>
  <c r="AV388" i="30"/>
  <c r="BG388" i="30" s="1"/>
  <c r="AR388" i="30"/>
  <c r="AN388" i="30"/>
  <c r="AJ388" i="30"/>
  <c r="AF388" i="30"/>
  <c r="BC388" i="30"/>
  <c r="AM388" i="30"/>
  <c r="AY388" i="30"/>
  <c r="BJ388" i="30" s="1"/>
  <c r="AI388" i="30"/>
  <c r="BD388" i="30" s="1"/>
  <c r="AU388" i="30"/>
  <c r="AE388" i="30"/>
  <c r="AQ388" i="30"/>
  <c r="D168" i="30" a="1"/>
  <c r="D168" i="30" s="1"/>
  <c r="AB167" i="30" a="1"/>
  <c r="AB167" i="30" s="1"/>
  <c r="AH232" i="30"/>
  <c r="AE121" i="28"/>
  <c r="AI36" i="28"/>
  <c r="AL36" i="28" s="1"/>
  <c r="AE35" i="28"/>
  <c r="AK124" i="28"/>
  <c r="AJ37" i="28"/>
  <c r="AE122" i="28"/>
  <c r="AG122" i="28"/>
  <c r="AI122" i="28"/>
  <c r="AL122" i="28" s="1"/>
  <c r="AG205" i="28"/>
  <c r="AE37" i="28"/>
  <c r="AI37" i="28"/>
  <c r="AL37" i="28" s="1"/>
  <c r="AK125" i="28"/>
  <c r="AJ207" i="28"/>
  <c r="AJ122" i="28"/>
  <c r="AF122" i="28"/>
  <c r="AG37" i="28"/>
  <c r="AE207" i="28"/>
  <c r="AK122" i="28"/>
  <c r="AI207" i="28"/>
  <c r="AL207" i="28" s="1"/>
  <c r="AF207" i="28"/>
  <c r="AF37" i="28"/>
  <c r="AK37" i="28"/>
  <c r="AG207" i="28"/>
  <c r="AI124" i="28"/>
  <c r="AL124" i="28" s="1"/>
  <c r="AG209" i="28"/>
  <c r="AE39" i="28"/>
  <c r="AE209" i="28"/>
  <c r="AJ39" i="28"/>
  <c r="AG124" i="28"/>
  <c r="AI209" i="28"/>
  <c r="AL209" i="28" s="1"/>
  <c r="AJ209" i="28"/>
  <c r="AK39" i="28"/>
  <c r="AJ208" i="28"/>
  <c r="AG123" i="28"/>
  <c r="AE38" i="28"/>
  <c r="AJ38" i="28"/>
  <c r="AK209" i="28"/>
  <c r="AI39" i="28"/>
  <c r="AL39" i="28" s="1"/>
  <c r="AI40" i="28"/>
  <c r="AL40" i="28" s="1"/>
  <c r="AF124" i="28"/>
  <c r="AG38" i="28"/>
  <c r="AK38" i="28"/>
  <c r="AJ124" i="28"/>
  <c r="AJ123" i="28"/>
  <c r="AK123" i="28"/>
  <c r="AE124" i="28"/>
  <c r="AE208" i="28"/>
  <c r="AG208" i="28"/>
  <c r="AF208" i="28"/>
  <c r="AI38" i="28"/>
  <c r="AL38" i="28" s="1"/>
  <c r="AK208" i="28"/>
  <c r="AI123" i="28"/>
  <c r="AL123" i="28" s="1"/>
  <c r="AF38" i="28"/>
  <c r="AF209" i="28"/>
  <c r="AI208" i="28"/>
  <c r="AL208" i="28" s="1"/>
  <c r="AE123" i="28"/>
  <c r="AF123" i="28"/>
  <c r="AI211" i="28"/>
  <c r="AL211" i="28" s="1"/>
  <c r="AF39" i="28"/>
  <c r="AT368" i="30"/>
  <c r="AE40" i="28"/>
  <c r="BC368" i="30"/>
  <c r="AF40" i="28"/>
  <c r="AG39" i="28"/>
  <c r="AK368" i="30"/>
  <c r="AG210" i="28"/>
  <c r="AF41" i="28"/>
  <c r="AR368" i="30"/>
  <c r="AK212" i="28"/>
  <c r="AJ212" i="28"/>
  <c r="AL368" i="30"/>
  <c r="AK41" i="28"/>
  <c r="AK40" i="28"/>
  <c r="AJ368" i="30"/>
  <c r="AI212" i="28"/>
  <c r="AL212" i="28" s="1"/>
  <c r="AJ210" i="28"/>
  <c r="AJ125" i="28"/>
  <c r="AK211" i="28"/>
  <c r="AG40" i="28"/>
  <c r="AH40" i="28" s="1"/>
  <c r="AJ40" i="28"/>
  <c r="AF368" i="30"/>
  <c r="AF125" i="28"/>
  <c r="AU368" i="30"/>
  <c r="BA368" i="30"/>
  <c r="AF210" i="28"/>
  <c r="AE211" i="28"/>
  <c r="AE210" i="28"/>
  <c r="AK210" i="28"/>
  <c r="AG211" i="28"/>
  <c r="AS368" i="30"/>
  <c r="AQ368" i="30"/>
  <c r="AM368" i="30"/>
  <c r="AE41" i="28"/>
  <c r="AI210" i="28"/>
  <c r="AL210" i="28" s="1"/>
  <c r="AG212" i="28"/>
  <c r="AG125" i="28"/>
  <c r="AO368" i="30"/>
  <c r="AE125" i="28"/>
  <c r="AN368" i="30"/>
  <c r="AY368" i="30"/>
  <c r="AF212" i="28"/>
  <c r="AZ368" i="30"/>
  <c r="AJ42" i="28"/>
  <c r="AG368" i="30"/>
  <c r="AP368" i="30"/>
  <c r="AW368" i="30"/>
  <c r="AI125" i="28"/>
  <c r="AL125" i="28" s="1"/>
  <c r="AJ211" i="28"/>
  <c r="AF126" i="28"/>
  <c r="AI368" i="30"/>
  <c r="AE42" i="28"/>
  <c r="AX368" i="30"/>
  <c r="AE126" i="28"/>
  <c r="AL369" i="30"/>
  <c r="AO369" i="30"/>
  <c r="AE212" i="28"/>
  <c r="AG41" i="28"/>
  <c r="AH41" i="28" s="1"/>
  <c r="BB368" i="30"/>
  <c r="AK126" i="28"/>
  <c r="AG126" i="28"/>
  <c r="AI41" i="28"/>
  <c r="AL41" i="28" s="1"/>
  <c r="AX369" i="30"/>
  <c r="BI369" i="30" s="1"/>
  <c r="AI127" i="28"/>
  <c r="AL127" i="28" s="1"/>
  <c r="AI126" i="28"/>
  <c r="AL126" i="28" s="1"/>
  <c r="AJ41" i="28"/>
  <c r="AM369" i="30"/>
  <c r="AE127" i="28"/>
  <c r="AF42" i="28"/>
  <c r="AE368" i="30"/>
  <c r="AJ126" i="28"/>
  <c r="AK127" i="28"/>
  <c r="AV368" i="30"/>
  <c r="AF127" i="28"/>
  <c r="AW369" i="30"/>
  <c r="BH369" i="30" s="1"/>
  <c r="BC369" i="30"/>
  <c r="AP369" i="30"/>
  <c r="AK369" i="30"/>
  <c r="BB369" i="30"/>
  <c r="BM369" i="30" s="1"/>
  <c r="AI42" i="28"/>
  <c r="AL42" i="28" s="1"/>
  <c r="AG42" i="28"/>
  <c r="AH42" i="28" s="1"/>
  <c r="AG127" i="28"/>
  <c r="AH127" i="28" s="1"/>
  <c r="AK42" i="28"/>
  <c r="AV369" i="30"/>
  <c r="BG369" i="30" s="1"/>
  <c r="AJ127" i="28"/>
  <c r="BA369" i="30"/>
  <c r="BL369" i="30" s="1"/>
  <c r="AY369" i="30"/>
  <c r="BJ369" i="30" s="1"/>
  <c r="AI370" i="30"/>
  <c r="BD370" i="30" s="1"/>
  <c r="AJ36" i="28"/>
  <c r="AS369" i="30"/>
  <c r="AF121" i="28"/>
  <c r="AU369" i="30"/>
  <c r="BF369" i="30" s="1"/>
  <c r="AE369" i="30"/>
  <c r="AG369" i="30"/>
  <c r="AZ369" i="30"/>
  <c r="BK369" i="30" s="1"/>
  <c r="AI369" i="30"/>
  <c r="BD369" i="30" s="1"/>
  <c r="AF370" i="30"/>
  <c r="AT369" i="30"/>
  <c r="BE369" i="30" s="1"/>
  <c r="AI206" i="28"/>
  <c r="AL206" i="28" s="1"/>
  <c r="AR369" i="30"/>
  <c r="AN369" i="30"/>
  <c r="AF369" i="30"/>
  <c r="AJ369" i="30"/>
  <c r="AQ369" i="30"/>
  <c r="AJ206" i="28"/>
  <c r="AY370" i="30"/>
  <c r="BJ370" i="30" s="1"/>
  <c r="AE370" i="30"/>
  <c r="AF211" i="28"/>
  <c r="AI121" i="28"/>
  <c r="AL121" i="28" s="1"/>
  <c r="AF120" i="28"/>
  <c r="AF118" i="28" s="1"/>
  <c r="AF113" i="28" s="1"/>
  <c r="AG120" i="28"/>
  <c r="AL370" i="30"/>
  <c r="AP370" i="30"/>
  <c r="AQ370" i="30"/>
  <c r="AX370" i="30"/>
  <c r="BI370" i="30" s="1"/>
  <c r="AZ370" i="30"/>
  <c r="BK370" i="30" s="1"/>
  <c r="AJ120" i="28"/>
  <c r="AG206" i="28"/>
  <c r="AE206" i="28"/>
  <c r="AK120" i="28"/>
  <c r="AG36" i="28"/>
  <c r="BA370" i="30"/>
  <c r="BL370" i="30" s="1"/>
  <c r="AN370" i="30"/>
  <c r="AI120" i="28"/>
  <c r="AK36" i="28"/>
  <c r="AG121" i="28"/>
  <c r="AH121" i="28" s="1"/>
  <c r="AF206" i="28"/>
  <c r="AF36" i="28"/>
  <c r="AG35" i="28"/>
  <c r="AV370" i="30"/>
  <c r="BG370" i="30" s="1"/>
  <c r="AG33" i="26"/>
  <c r="AJ205" i="28"/>
  <c r="AK121" i="28"/>
  <c r="AG370" i="30"/>
  <c r="AU370" i="30"/>
  <c r="BF370" i="30" s="1"/>
  <c r="AO370" i="30"/>
  <c r="AW370" i="30"/>
  <c r="BH370" i="30" s="1"/>
  <c r="AF205" i="28"/>
  <c r="AF33" i="26"/>
  <c r="AF32" i="26" s="1"/>
  <c r="AF30" i="26" s="1"/>
  <c r="AF28" i="26" s="1"/>
  <c r="AF77" i="26" s="1"/>
  <c r="AE36" i="28"/>
  <c r="AE120" i="28"/>
  <c r="AK35" i="28"/>
  <c r="AE205" i="28"/>
  <c r="AT370" i="30"/>
  <c r="BE370" i="30" s="1"/>
  <c r="AJ35" i="28"/>
  <c r="AK207" i="28"/>
  <c r="AF35" i="28"/>
  <c r="AS370" i="30"/>
  <c r="BB370" i="30"/>
  <c r="BM370" i="30" s="1"/>
  <c r="AJ370" i="30"/>
  <c r="AK205" i="28"/>
  <c r="AK206" i="28"/>
  <c r="AM370" i="30"/>
  <c r="BC370" i="30"/>
  <c r="AJ121" i="28"/>
  <c r="AI35" i="28"/>
  <c r="AR370" i="30"/>
  <c r="AI205" i="28"/>
  <c r="AK370" i="30"/>
  <c r="BC372" i="30"/>
  <c r="AW371" i="30"/>
  <c r="BH371" i="30" s="1"/>
  <c r="AT372" i="30"/>
  <c r="BE372" i="30" s="1"/>
  <c r="AK371" i="30"/>
  <c r="AO371" i="30"/>
  <c r="AZ377" i="30"/>
  <c r="BK377" i="30" s="1"/>
  <c r="AQ371" i="30"/>
  <c r="AX371" i="30"/>
  <c r="BI371" i="30" s="1"/>
  <c r="BC371" i="30"/>
  <c r="AI371" i="30"/>
  <c r="BD371" i="30" s="1"/>
  <c r="AM372" i="30"/>
  <c r="AO372" i="30"/>
  <c r="AU371" i="30"/>
  <c r="BF371" i="30" s="1"/>
  <c r="AL371" i="30"/>
  <c r="AG372" i="30"/>
  <c r="AR372" i="30"/>
  <c r="AR371" i="30"/>
  <c r="AG371" i="30"/>
  <c r="BA372" i="30"/>
  <c r="BL372" i="30" s="1"/>
  <c r="AU372" i="30"/>
  <c r="BF372" i="30" s="1"/>
  <c r="BB371" i="30"/>
  <c r="BM371" i="30" s="1"/>
  <c r="AE371" i="30"/>
  <c r="AP371" i="30"/>
  <c r="AX372" i="30"/>
  <c r="BI372" i="30" s="1"/>
  <c r="AM371" i="30"/>
  <c r="AT371" i="30"/>
  <c r="BE371" i="30" s="1"/>
  <c r="AY371" i="30"/>
  <c r="BJ371" i="30" s="1"/>
  <c r="AZ371" i="30"/>
  <c r="BK371" i="30" s="1"/>
  <c r="AY372" i="30"/>
  <c r="BJ372" i="30" s="1"/>
  <c r="AP372" i="30"/>
  <c r="AE372" i="30"/>
  <c r="AV372" i="30"/>
  <c r="BG372" i="30" s="1"/>
  <c r="AS371" i="30"/>
  <c r="BA371" i="30"/>
  <c r="BL371" i="30" s="1"/>
  <c r="AZ372" i="30"/>
  <c r="BK372" i="30" s="1"/>
  <c r="AF371" i="30"/>
  <c r="AK372" i="30"/>
  <c r="AN372" i="30"/>
  <c r="AN371" i="30"/>
  <c r="AJ371" i="30"/>
  <c r="AS372" i="30"/>
  <c r="AV371" i="30"/>
  <c r="BG371" i="30" s="1"/>
  <c r="AW372" i="30"/>
  <c r="BH372" i="30" s="1"/>
  <c r="AF372" i="30"/>
  <c r="BB372" i="30"/>
  <c r="BM372" i="30" s="1"/>
  <c r="AJ372" i="30"/>
  <c r="AI372" i="30"/>
  <c r="BD372" i="30" s="1"/>
  <c r="AQ372" i="30"/>
  <c r="AL372" i="30"/>
  <c r="AW375" i="30"/>
  <c r="BH375" i="30" s="1"/>
  <c r="BA375" i="30"/>
  <c r="BL375" i="30" s="1"/>
  <c r="AT375" i="30"/>
  <c r="BE375" i="30" s="1"/>
  <c r="AY377" i="30"/>
  <c r="BJ377" i="30" s="1"/>
  <c r="AO375" i="30"/>
  <c r="AE377" i="30"/>
  <c r="AF375" i="30"/>
  <c r="AP377" i="30"/>
  <c r="AV377" i="30"/>
  <c r="BG377" i="30" s="1"/>
  <c r="BB375" i="30"/>
  <c r="BM375" i="30" s="1"/>
  <c r="AU377" i="30"/>
  <c r="BF377" i="30" s="1"/>
  <c r="AU375" i="30"/>
  <c r="BF375" i="30" s="1"/>
  <c r="AL376" i="30"/>
  <c r="AS375" i="30"/>
  <c r="AV375" i="30"/>
  <c r="BG375" i="30" s="1"/>
  <c r="BA377" i="30"/>
  <c r="BL377" i="30" s="1"/>
  <c r="AZ375" i="30"/>
  <c r="BK375" i="30" s="1"/>
  <c r="AI375" i="30"/>
  <c r="BD375" i="30" s="1"/>
  <c r="AN375" i="30"/>
  <c r="AM375" i="30"/>
  <c r="AK377" i="30"/>
  <c r="AJ377" i="30"/>
  <c r="AX375" i="30"/>
  <c r="BI375" i="30" s="1"/>
  <c r="AL375" i="30"/>
  <c r="BC375" i="30"/>
  <c r="AR224" i="30"/>
  <c r="AK375" i="30"/>
  <c r="AS377" i="30"/>
  <c r="AY375" i="30"/>
  <c r="BJ375" i="30" s="1"/>
  <c r="AO224" i="30"/>
  <c r="AL224" i="30"/>
  <c r="AJ375" i="30"/>
  <c r="AT377" i="30"/>
  <c r="BE377" i="30" s="1"/>
  <c r="AI377" i="30"/>
  <c r="BD377" i="30" s="1"/>
  <c r="AQ375" i="30"/>
  <c r="AM376" i="30"/>
  <c r="AE375" i="30"/>
  <c r="AR375" i="30"/>
  <c r="AG375" i="30"/>
  <c r="AH375" i="30" s="1"/>
  <c r="AF377" i="30"/>
  <c r="AP375" i="30"/>
  <c r="BB224" i="30"/>
  <c r="AS376" i="30"/>
  <c r="AN376" i="30"/>
  <c r="AX377" i="30"/>
  <c r="BI377" i="30" s="1"/>
  <c r="AO376" i="30"/>
  <c r="BC224" i="30"/>
  <c r="AX224" i="30"/>
  <c r="BC376" i="30"/>
  <c r="AF224" i="30"/>
  <c r="AG376" i="30"/>
  <c r="AV376" i="30"/>
  <c r="BG376" i="30" s="1"/>
  <c r="AE376" i="30"/>
  <c r="AJ224" i="30"/>
  <c r="AN224" i="30"/>
  <c r="BB377" i="30"/>
  <c r="BM377" i="30" s="1"/>
  <c r="AJ376" i="30"/>
  <c r="BB376" i="30"/>
  <c r="BM376" i="30" s="1"/>
  <c r="AO377" i="30"/>
  <c r="AW224" i="30"/>
  <c r="BC377" i="30"/>
  <c r="AI376" i="30"/>
  <c r="BD376" i="30" s="1"/>
  <c r="AR377" i="30"/>
  <c r="AG377" i="30"/>
  <c r="AH377" i="30" s="1"/>
  <c r="AP376" i="30"/>
  <c r="AS224" i="30"/>
  <c r="AL377" i="30"/>
  <c r="AI224" i="30"/>
  <c r="BA224" i="30"/>
  <c r="AP224" i="30"/>
  <c r="AT376" i="30"/>
  <c r="BE376" i="30" s="1"/>
  <c r="AM224" i="30"/>
  <c r="AU224" i="30"/>
  <c r="BA376" i="30"/>
  <c r="BL376" i="30" s="1"/>
  <c r="AQ377" i="30"/>
  <c r="AW377" i="30"/>
  <c r="BH377" i="30" s="1"/>
  <c r="AF376" i="30"/>
  <c r="AQ224" i="30"/>
  <c r="AW376" i="30"/>
  <c r="BH376" i="30" s="1"/>
  <c r="AY224" i="30"/>
  <c r="AM377" i="30"/>
  <c r="AQ376" i="30"/>
  <c r="AZ376" i="30"/>
  <c r="BK376" i="30" s="1"/>
  <c r="AK376" i="30"/>
  <c r="AN377" i="30"/>
  <c r="AV224" i="30"/>
  <c r="AX376" i="30"/>
  <c r="BI376" i="30" s="1"/>
  <c r="AK224" i="30"/>
  <c r="AE224" i="30"/>
  <c r="AG224" i="30"/>
  <c r="AU376" i="30"/>
  <c r="BF376" i="30" s="1"/>
  <c r="AT224" i="30"/>
  <c r="AR376" i="30"/>
  <c r="AY376" i="30"/>
  <c r="BJ376" i="30" s="1"/>
  <c r="AZ224" i="30"/>
  <c r="AQ226" i="30"/>
  <c r="AV231" i="30"/>
  <c r="BG231" i="30" s="1"/>
  <c r="AY225" i="30"/>
  <c r="BJ225" i="30" s="1"/>
  <c r="AT228" i="30"/>
  <c r="BE228" i="30" s="1"/>
  <c r="AP226" i="30"/>
  <c r="AQ228" i="30"/>
  <c r="AX231" i="30"/>
  <c r="BI231" i="30" s="1"/>
  <c r="AM233" i="30"/>
  <c r="AV233" i="30"/>
  <c r="BG233" i="30" s="1"/>
  <c r="AL227" i="30"/>
  <c r="AZ231" i="30"/>
  <c r="BK231" i="30" s="1"/>
  <c r="AO227" i="30"/>
  <c r="AT231" i="30"/>
  <c r="BE231" i="30" s="1"/>
  <c r="AV226" i="30"/>
  <c r="BG226" i="30" s="1"/>
  <c r="AG228" i="30"/>
  <c r="AK226" i="30"/>
  <c r="BA228" i="30"/>
  <c r="BL228" i="30" s="1"/>
  <c r="AG226" i="30"/>
  <c r="AY233" i="30"/>
  <c r="BJ233" i="30" s="1"/>
  <c r="AG233" i="30"/>
  <c r="AQ227" i="30"/>
  <c r="AZ225" i="30"/>
  <c r="BK225" i="30" s="1"/>
  <c r="AJ233" i="30"/>
  <c r="AY228" i="30"/>
  <c r="BJ228" i="30" s="1"/>
  <c r="AZ227" i="30"/>
  <c r="BK227" i="30" s="1"/>
  <c r="AZ228" i="30"/>
  <c r="BK228" i="30" s="1"/>
  <c r="BA225" i="30"/>
  <c r="BL225" i="30" s="1"/>
  <c r="BC231" i="30"/>
  <c r="AJ225" i="30"/>
  <c r="AK231" i="30"/>
  <c r="AP233" i="30"/>
  <c r="BC378" i="30"/>
  <c r="AG231" i="30"/>
  <c r="AN227" i="30"/>
  <c r="AF226" i="30"/>
  <c r="AO233" i="30"/>
  <c r="AG234" i="30"/>
  <c r="AH234" i="30" s="1"/>
  <c r="BC234" i="30"/>
  <c r="AL234" i="30"/>
  <c r="AR234" i="30"/>
  <c r="AU225" i="30"/>
  <c r="BF225" i="30" s="1"/>
  <c r="AV228" i="30"/>
  <c r="BG228" i="30" s="1"/>
  <c r="AQ225" i="30"/>
  <c r="AW226" i="30"/>
  <c r="BH226" i="30" s="1"/>
  <c r="AO228" i="30"/>
  <c r="AG225" i="30"/>
  <c r="AN231" i="30"/>
  <c r="AX233" i="30"/>
  <c r="BI233" i="30" s="1"/>
  <c r="AT225" i="30"/>
  <c r="BE225" i="30" s="1"/>
  <c r="AN228" i="30"/>
  <c r="AF225" i="30"/>
  <c r="AK225" i="30"/>
  <c r="AS228" i="30"/>
  <c r="AI225" i="30"/>
  <c r="BD225" i="30" s="1"/>
  <c r="AK228" i="30"/>
  <c r="BB228" i="30"/>
  <c r="BM228" i="30" s="1"/>
  <c r="AJ226" i="30"/>
  <c r="AI228" i="30"/>
  <c r="BD228" i="30" s="1"/>
  <c r="AI233" i="30"/>
  <c r="BD233" i="30" s="1"/>
  <c r="AF233" i="30"/>
  <c r="AF231" i="30"/>
  <c r="AI227" i="30"/>
  <c r="BD227" i="30" s="1"/>
  <c r="AE227" i="30"/>
  <c r="AW231" i="30"/>
  <c r="BH231" i="30" s="1"/>
  <c r="BA227" i="30"/>
  <c r="BL227" i="30" s="1"/>
  <c r="AS231" i="30"/>
  <c r="AK227" i="30"/>
  <c r="AO231" i="30"/>
  <c r="AT227" i="30"/>
  <c r="BE227" i="30" s="1"/>
  <c r="BC228" i="30"/>
  <c r="AS233" i="30"/>
  <c r="AZ378" i="30"/>
  <c r="BK378" i="30" s="1"/>
  <c r="AR228" i="30"/>
  <c r="BB226" i="30"/>
  <c r="BM226" i="30" s="1"/>
  <c r="AM225" i="30"/>
  <c r="AN233" i="30"/>
  <c r="AS234" i="30"/>
  <c r="AN234" i="30"/>
  <c r="BB234" i="30"/>
  <c r="BM234" i="30" s="1"/>
  <c r="AX226" i="30"/>
  <c r="BI226" i="30" s="1"/>
  <c r="AM226" i="30"/>
  <c r="AQ231" i="30"/>
  <c r="AR225" i="30"/>
  <c r="BB231" i="30"/>
  <c r="BM231" i="30" s="1"/>
  <c r="BC227" i="30"/>
  <c r="AF228" i="30"/>
  <c r="BA233" i="30"/>
  <c r="BL233" i="30" s="1"/>
  <c r="AE225" i="30"/>
  <c r="AX225" i="30"/>
  <c r="BI225" i="30" s="1"/>
  <c r="AJ231" i="30"/>
  <c r="AW227" i="30"/>
  <c r="BH227" i="30" s="1"/>
  <c r="BA226" i="30"/>
  <c r="BL226" i="30" s="1"/>
  <c r="AL228" i="30"/>
  <c r="AL225" i="30"/>
  <c r="AL231" i="30"/>
  <c r="AV227" i="30"/>
  <c r="BG227" i="30" s="1"/>
  <c r="BA231" i="30"/>
  <c r="BL231" i="30" s="1"/>
  <c r="AT233" i="30"/>
  <c r="BE233" i="30" s="1"/>
  <c r="AJ378" i="30"/>
  <c r="AO226" i="30"/>
  <c r="AQ233" i="30"/>
  <c r="AS225" i="30"/>
  <c r="AX228" i="30"/>
  <c r="BI228" i="30" s="1"/>
  <c r="AG227" i="30"/>
  <c r="BB225" i="30"/>
  <c r="BM225" i="30" s="1"/>
  <c r="AO225" i="30"/>
  <c r="AW228" i="30"/>
  <c r="BH228" i="30" s="1"/>
  <c r="AR226" i="30"/>
  <c r="AU233" i="30"/>
  <c r="BF233" i="30" s="1"/>
  <c r="AZ233" i="30"/>
  <c r="BK233" i="30" s="1"/>
  <c r="AF227" i="30"/>
  <c r="AX227" i="30"/>
  <c r="BI227" i="30" s="1"/>
  <c r="BB227" i="30"/>
  <c r="BM227" i="30" s="1"/>
  <c r="AI231" i="30"/>
  <c r="BD231" i="30" s="1"/>
  <c r="AX234" i="30"/>
  <c r="BI234" i="30" s="1"/>
  <c r="AQ234" i="30"/>
  <c r="AE231" i="30"/>
  <c r="BC226" i="30"/>
  <c r="AP228" i="30"/>
  <c r="AR227" i="30"/>
  <c r="AR231" i="30"/>
  <c r="AU228" i="30"/>
  <c r="BF228" i="30" s="1"/>
  <c r="BC233" i="30"/>
  <c r="AK233" i="30"/>
  <c r="AU231" i="30"/>
  <c r="BF231" i="30" s="1"/>
  <c r="AE228" i="30"/>
  <c r="AV225" i="30"/>
  <c r="BG225" i="30" s="1"/>
  <c r="AJ228" i="30"/>
  <c r="AZ226" i="30"/>
  <c r="BK226" i="30" s="1"/>
  <c r="AP231" i="30"/>
  <c r="AP227" i="30"/>
  <c r="AM228" i="30"/>
  <c r="BC225" i="30"/>
  <c r="AN226" i="30"/>
  <c r="AW233" i="30"/>
  <c r="BH233" i="30" s="1"/>
  <c r="AW225" i="30"/>
  <c r="BH225" i="30" s="1"/>
  <c r="AM231" i="30"/>
  <c r="AL233" i="30"/>
  <c r="AM227" i="30"/>
  <c r="AP225" i="30"/>
  <c r="AT226" i="30"/>
  <c r="BE226" i="30" s="1"/>
  <c r="AJ227" i="30"/>
  <c r="AY227" i="30"/>
  <c r="BJ227" i="30" s="1"/>
  <c r="AU227" i="30"/>
  <c r="BF227" i="30" s="1"/>
  <c r="AY231" i="30"/>
  <c r="BJ231" i="30" s="1"/>
  <c r="AE233" i="30"/>
  <c r="AR233" i="30"/>
  <c r="AS227" i="30"/>
  <c r="AN225" i="30"/>
  <c r="AS226" i="30"/>
  <c r="BB233" i="30"/>
  <c r="BM233" i="30" s="1"/>
  <c r="AM234" i="30"/>
  <c r="AK234" i="30"/>
  <c r="AH72" i="28"/>
  <c r="AB455" i="30" a="1"/>
  <c r="AB455" i="30" s="1"/>
  <c r="D456" i="30" a="1"/>
  <c r="D456" i="30" s="1"/>
  <c r="AP33" i="24"/>
  <c r="AO34" i="24"/>
  <c r="BL237" i="30"/>
  <c r="BI237" i="30"/>
  <c r="G367" i="29" a="1"/>
  <c r="G367" i="29" s="1"/>
  <c r="F367" i="29" a="1"/>
  <c r="F367" i="29" s="1"/>
  <c r="F368" i="29" s="1" a="1"/>
  <c r="F368" i="29" s="1"/>
  <c r="T366" i="29"/>
  <c r="T367" i="29" s="1" a="1"/>
  <c r="T367" i="29" s="1"/>
  <c r="T368" i="29" s="1" a="1"/>
  <c r="T368" i="29" s="1"/>
  <c r="T369" i="29" s="1" a="1"/>
  <c r="T369" i="29" s="1"/>
  <c r="T370" i="29" s="1" a="1"/>
  <c r="T370" i="29" s="1"/>
  <c r="T371" i="29" s="1" a="1"/>
  <c r="T371" i="29" s="1"/>
  <c r="T372" i="29" s="1" a="1"/>
  <c r="T372" i="29" s="1"/>
  <c r="T373" i="29" s="1" a="1"/>
  <c r="T373" i="29" s="1"/>
  <c r="T374" i="29" s="1" a="1"/>
  <c r="T374" i="29" s="1"/>
  <c r="T375" i="29" s="1" a="1"/>
  <c r="T375" i="29" s="1"/>
  <c r="T376" i="29" s="1" a="1"/>
  <c r="T376" i="29" s="1"/>
  <c r="T377" i="29" s="1" a="1"/>
  <c r="T377" i="29" s="1"/>
  <c r="T378" i="29" s="1" a="1"/>
  <c r="T378" i="29" s="1"/>
  <c r="T379" i="29" s="1" a="1"/>
  <c r="T379" i="29" s="1"/>
  <c r="T380" i="29" s="1" a="1"/>
  <c r="T380" i="29" s="1"/>
  <c r="T381" i="29" s="1" a="1"/>
  <c r="T381" i="29" s="1"/>
  <c r="T382" i="29" s="1" a="1"/>
  <c r="T382" i="29" s="1"/>
  <c r="T383" i="29" s="1" a="1"/>
  <c r="T383" i="29" s="1"/>
  <c r="T384" i="29" s="1" a="1"/>
  <c r="T384" i="29" s="1"/>
  <c r="T385" i="29" s="1" a="1"/>
  <c r="T385" i="29" s="1"/>
  <c r="T386" i="29" s="1" a="1"/>
  <c r="T386" i="29" s="1"/>
  <c r="T387" i="29" s="1" a="1"/>
  <c r="T387" i="29" s="1"/>
  <c r="T388" i="29" s="1" a="1"/>
  <c r="T388" i="29" s="1"/>
  <c r="T389" i="29" s="1" a="1"/>
  <c r="T389" i="29" s="1"/>
  <c r="T390" i="29" s="1" a="1"/>
  <c r="T390" i="29" s="1"/>
  <c r="T391" i="29" s="1" a="1"/>
  <c r="T391" i="29" s="1"/>
  <c r="T392" i="29" s="1" a="1"/>
  <c r="T392" i="29" s="1"/>
  <c r="T393" i="29" s="1" a="1"/>
  <c r="T393" i="29" s="1"/>
  <c r="T394" i="29" s="1" a="1"/>
  <c r="T394" i="29" s="1"/>
  <c r="T395" i="29" s="1" a="1"/>
  <c r="T395" i="29" s="1"/>
  <c r="T396" i="29" s="1" a="1"/>
  <c r="T396" i="29" s="1"/>
  <c r="T397" i="29" s="1" a="1"/>
  <c r="T397" i="29" s="1"/>
  <c r="T398" i="29" s="1" a="1"/>
  <c r="T398" i="29" s="1"/>
  <c r="T399" i="29" s="1" a="1"/>
  <c r="T399" i="29" s="1"/>
  <c r="T400" i="29" s="1" a="1"/>
  <c r="T400" i="29" s="1"/>
  <c r="T401" i="29" s="1" a="1"/>
  <c r="T401" i="29" s="1"/>
  <c r="T402" i="29" s="1" a="1"/>
  <c r="T402" i="29" s="1"/>
  <c r="T403" i="29" s="1" a="1"/>
  <c r="T403" i="29" s="1"/>
  <c r="T404" i="29" s="1" a="1"/>
  <c r="T404" i="29" s="1"/>
  <c r="T405" i="29" s="1" a="1"/>
  <c r="T405" i="29" s="1"/>
  <c r="T406" i="29" s="1" a="1"/>
  <c r="T406" i="29" s="1"/>
  <c r="T407" i="29" s="1" a="1"/>
  <c r="T407" i="29" s="1"/>
  <c r="T408" i="29" s="1" a="1"/>
  <c r="T408" i="29" s="1"/>
  <c r="T409" i="29" s="1" a="1"/>
  <c r="T409" i="29" s="1"/>
  <c r="T410" i="29" s="1" a="1"/>
  <c r="T410" i="29" s="1"/>
  <c r="T411" i="29" s="1" a="1"/>
  <c r="T411" i="29" s="1"/>
  <c r="T412" i="29" s="1" a="1"/>
  <c r="T412" i="29" s="1"/>
  <c r="T413" i="29" s="1" a="1"/>
  <c r="T413" i="29" s="1"/>
  <c r="T414" i="29" s="1" a="1"/>
  <c r="T414" i="29" s="1"/>
  <c r="T415" i="29" s="1" a="1"/>
  <c r="T415" i="29" s="1"/>
  <c r="T416" i="29" s="1" a="1"/>
  <c r="T416" i="29" s="1"/>
  <c r="T417" i="29" s="1" a="1"/>
  <c r="T417" i="29" s="1"/>
  <c r="T418" i="29" s="1" a="1"/>
  <c r="T418" i="29" s="1"/>
  <c r="T419" i="29" s="1" a="1"/>
  <c r="T419" i="29" s="1"/>
  <c r="T420" i="29" s="1" a="1"/>
  <c r="T420" i="29" s="1"/>
  <c r="T421" i="29" s="1" a="1"/>
  <c r="T421" i="29" s="1"/>
  <c r="T422" i="29" s="1" a="1"/>
  <c r="T422" i="29" s="1"/>
  <c r="T423" i="29" s="1" a="1"/>
  <c r="T423" i="29" s="1"/>
  <c r="T424" i="29" s="1" a="1"/>
  <c r="T424" i="29" s="1"/>
  <c r="T425" i="29" s="1" a="1"/>
  <c r="T425" i="29" s="1"/>
  <c r="T426" i="29" s="1" a="1"/>
  <c r="T426" i="29" s="1"/>
  <c r="T427" i="29" s="1" a="1"/>
  <c r="T427" i="29" s="1"/>
  <c r="T428" i="29" s="1" a="1"/>
  <c r="T428" i="29" s="1"/>
  <c r="T429" i="29" s="1" a="1"/>
  <c r="T429" i="29" s="1"/>
  <c r="T430" i="29" s="1" a="1"/>
  <c r="T430" i="29" s="1"/>
  <c r="T431" i="29" s="1" a="1"/>
  <c r="T431" i="29" s="1"/>
  <c r="T432" i="29" s="1" a="1"/>
  <c r="T432" i="29" s="1"/>
  <c r="T433" i="29" s="1" a="1"/>
  <c r="T433" i="29" s="1"/>
  <c r="T434" i="29" s="1" a="1"/>
  <c r="T434" i="29" s="1"/>
  <c r="T435" i="29" s="1" a="1"/>
  <c r="T435" i="29" s="1"/>
  <c r="T436" i="29" s="1" a="1"/>
  <c r="T436" i="29" s="1"/>
  <c r="T437" i="29" s="1" a="1"/>
  <c r="T437" i="29" s="1"/>
  <c r="T438" i="29" s="1" a="1"/>
  <c r="T438" i="29" s="1"/>
  <c r="T439" i="29" s="1" a="1"/>
  <c r="T439" i="29" s="1"/>
  <c r="T440" i="29" s="1" a="1"/>
  <c r="T440" i="29" s="1"/>
  <c r="T441" i="29" s="1" a="1"/>
  <c r="T441" i="29" s="1"/>
  <c r="T442" i="29" s="1" a="1"/>
  <c r="T442" i="29" s="1"/>
  <c r="T443" i="29" s="1" a="1"/>
  <c r="T443" i="29" s="1"/>
  <c r="T444" i="29" s="1" a="1"/>
  <c r="T444" i="29" s="1"/>
  <c r="T445" i="29" s="1" a="1"/>
  <c r="T445" i="29" s="1"/>
  <c r="T446" i="29" s="1" a="1"/>
  <c r="T446" i="29" s="1"/>
  <c r="T447" i="29" s="1" a="1"/>
  <c r="T447" i="29" s="1"/>
  <c r="T448" i="29" s="1" a="1"/>
  <c r="T448" i="29" s="1"/>
  <c r="T449" i="29" s="1" a="1"/>
  <c r="T449" i="29" s="1"/>
  <c r="T450" i="29" s="1" a="1"/>
  <c r="T450" i="29" s="1"/>
  <c r="T451" i="29" s="1" a="1"/>
  <c r="T451" i="29" s="1"/>
  <c r="T452" i="29" s="1" a="1"/>
  <c r="T452" i="29" s="1"/>
  <c r="T453" i="29" s="1" a="1"/>
  <c r="T453" i="29" s="1"/>
  <c r="T454" i="29" s="1" a="1"/>
  <c r="T454" i="29" s="1"/>
  <c r="T455" i="29" s="1" a="1"/>
  <c r="T455" i="29" s="1"/>
  <c r="T456" i="29" s="1" a="1"/>
  <c r="T456" i="29" s="1"/>
  <c r="T457" i="29" s="1" a="1"/>
  <c r="T457" i="29" s="1"/>
  <c r="T458" i="29" s="1" a="1"/>
  <c r="T458" i="29" s="1"/>
  <c r="AL316" i="29"/>
  <c r="G79" i="29" a="1"/>
  <c r="G79" i="29" s="1"/>
  <c r="F79" i="29" a="1"/>
  <c r="F79" i="29" s="1"/>
  <c r="F80" i="29" s="1" a="1"/>
  <c r="F80" i="29" s="1"/>
  <c r="T78" i="29"/>
  <c r="T79" i="29" s="1" a="1"/>
  <c r="T79" i="29" s="1"/>
  <c r="T80" i="29" s="1" a="1"/>
  <c r="T80" i="29" s="1"/>
  <c r="T81" i="29" s="1" a="1"/>
  <c r="T81" i="29" s="1"/>
  <c r="T82" i="29" s="1" a="1"/>
  <c r="T82" i="29" s="1"/>
  <c r="T83" i="29" s="1" a="1"/>
  <c r="T83" i="29" s="1"/>
  <c r="T84" i="29" s="1" a="1"/>
  <c r="T84" i="29" s="1"/>
  <c r="T85" i="29" s="1" a="1"/>
  <c r="T85" i="29" s="1"/>
  <c r="T86" i="29" s="1" a="1"/>
  <c r="T86" i="29" s="1"/>
  <c r="T87" i="29" s="1" a="1"/>
  <c r="T87" i="29" s="1"/>
  <c r="T88" i="29" s="1" a="1"/>
  <c r="T88" i="29" s="1"/>
  <c r="T89" i="29" s="1" a="1"/>
  <c r="T89" i="29" s="1"/>
  <c r="T90" i="29" s="1" a="1"/>
  <c r="T90" i="29" s="1"/>
  <c r="T91" i="29" s="1" a="1"/>
  <c r="T91" i="29" s="1"/>
  <c r="T92" i="29" s="1" a="1"/>
  <c r="T92" i="29" s="1"/>
  <c r="T93" i="29" s="1" a="1"/>
  <c r="T93" i="29" s="1"/>
  <c r="T94" i="29" s="1" a="1"/>
  <c r="T94" i="29" s="1"/>
  <c r="T95" i="29" s="1" a="1"/>
  <c r="T95" i="29" s="1"/>
  <c r="T96" i="29" s="1" a="1"/>
  <c r="T96" i="29" s="1"/>
  <c r="T97" i="29" s="1" a="1"/>
  <c r="T97" i="29" s="1"/>
  <c r="T98" i="29" s="1" a="1"/>
  <c r="T98" i="29" s="1"/>
  <c r="T99" i="29" s="1" a="1"/>
  <c r="T99" i="29" s="1"/>
  <c r="T100" i="29" s="1" a="1"/>
  <c r="T100" i="29" s="1"/>
  <c r="T101" i="29" s="1" a="1"/>
  <c r="T101" i="29" s="1"/>
  <c r="T102" i="29" s="1" a="1"/>
  <c r="T102" i="29" s="1"/>
  <c r="T103" i="29" s="1" a="1"/>
  <c r="T103" i="29" s="1"/>
  <c r="T104" i="29" s="1" a="1"/>
  <c r="T104" i="29" s="1"/>
  <c r="T105" i="29" s="1" a="1"/>
  <c r="T105" i="29" s="1"/>
  <c r="T106" i="29" s="1" a="1"/>
  <c r="T106" i="29" s="1"/>
  <c r="T107" i="29" s="1" a="1"/>
  <c r="T107" i="29" s="1"/>
  <c r="T108" i="29" s="1" a="1"/>
  <c r="T108" i="29" s="1"/>
  <c r="T109" i="29" s="1" a="1"/>
  <c r="T109" i="29" s="1"/>
  <c r="T110" i="29" s="1" a="1"/>
  <c r="T110" i="29" s="1"/>
  <c r="T111" i="29" s="1" a="1"/>
  <c r="T111" i="29" s="1"/>
  <c r="T112" i="29" s="1" a="1"/>
  <c r="T112" i="29" s="1"/>
  <c r="T113" i="29" s="1" a="1"/>
  <c r="T113" i="29" s="1"/>
  <c r="T114" i="29" s="1" a="1"/>
  <c r="T114" i="29" s="1"/>
  <c r="T115" i="29" s="1" a="1"/>
  <c r="T115" i="29" s="1"/>
  <c r="T116" i="29" s="1" a="1"/>
  <c r="T116" i="29" s="1"/>
  <c r="T117" i="29" s="1" a="1"/>
  <c r="T117" i="29" s="1"/>
  <c r="T118" i="29" s="1" a="1"/>
  <c r="T118" i="29" s="1"/>
  <c r="T119" i="29" s="1" a="1"/>
  <c r="T119" i="29" s="1"/>
  <c r="T120" i="29" s="1" a="1"/>
  <c r="T120" i="29" s="1"/>
  <c r="T121" i="29" s="1" a="1"/>
  <c r="T121" i="29" s="1"/>
  <c r="T122" i="29" s="1" a="1"/>
  <c r="T122" i="29" s="1"/>
  <c r="T123" i="29" s="1" a="1"/>
  <c r="T123" i="29" s="1"/>
  <c r="T124" i="29" s="1" a="1"/>
  <c r="T124" i="29" s="1"/>
  <c r="T125" i="29" s="1" a="1"/>
  <c r="T125" i="29" s="1"/>
  <c r="T126" i="29" s="1" a="1"/>
  <c r="T126" i="29" s="1"/>
  <c r="T127" i="29" s="1" a="1"/>
  <c r="T127" i="29" s="1"/>
  <c r="T128" i="29" s="1" a="1"/>
  <c r="T128" i="29" s="1"/>
  <c r="T129" i="29" s="1" a="1"/>
  <c r="T129" i="29" s="1"/>
  <c r="T130" i="29" s="1" a="1"/>
  <c r="T130" i="29" s="1"/>
  <c r="T131" i="29" s="1" a="1"/>
  <c r="T131" i="29" s="1"/>
  <c r="T132" i="29" s="1" a="1"/>
  <c r="T132" i="29" s="1"/>
  <c r="T133" i="29" s="1" a="1"/>
  <c r="T133" i="29" s="1"/>
  <c r="T134" i="29" s="1" a="1"/>
  <c r="T134" i="29" s="1"/>
  <c r="T135" i="29" s="1" a="1"/>
  <c r="T135" i="29" s="1"/>
  <c r="T136" i="29" s="1" a="1"/>
  <c r="T136" i="29" s="1"/>
  <c r="T137" i="29" s="1" a="1"/>
  <c r="T137" i="29" s="1"/>
  <c r="T138" i="29" s="1" a="1"/>
  <c r="T138" i="29" s="1"/>
  <c r="T139" i="29" s="1" a="1"/>
  <c r="T139" i="29" s="1"/>
  <c r="T140" i="29" s="1" a="1"/>
  <c r="T140" i="29" s="1"/>
  <c r="T141" i="29" s="1" a="1"/>
  <c r="T141" i="29" s="1"/>
  <c r="T142" i="29" s="1" a="1"/>
  <c r="T142" i="29" s="1"/>
  <c r="T143" i="29" s="1" a="1"/>
  <c r="T143" i="29" s="1"/>
  <c r="T144" i="29" s="1" a="1"/>
  <c r="T144" i="29" s="1"/>
  <c r="T145" i="29" s="1" a="1"/>
  <c r="T145" i="29" s="1"/>
  <c r="T146" i="29" s="1" a="1"/>
  <c r="T146" i="29" s="1"/>
  <c r="T147" i="29" s="1" a="1"/>
  <c r="T147" i="29" s="1"/>
  <c r="T148" i="29" s="1" a="1"/>
  <c r="T148" i="29" s="1"/>
  <c r="T149" i="29" s="1" a="1"/>
  <c r="T149" i="29" s="1"/>
  <c r="T150" i="29" s="1" a="1"/>
  <c r="T150" i="29" s="1"/>
  <c r="T151" i="29" s="1" a="1"/>
  <c r="T151" i="29" s="1"/>
  <c r="T152" i="29" s="1" a="1"/>
  <c r="T152" i="29" s="1"/>
  <c r="T153" i="29" s="1" a="1"/>
  <c r="T153" i="29" s="1"/>
  <c r="T154" i="29" s="1" a="1"/>
  <c r="T154" i="29" s="1"/>
  <c r="T155" i="29" s="1" a="1"/>
  <c r="T155" i="29" s="1"/>
  <c r="T156" i="29" s="1" a="1"/>
  <c r="T156" i="29" s="1"/>
  <c r="T157" i="29" s="1" a="1"/>
  <c r="T157" i="29" s="1"/>
  <c r="T158" i="29" s="1" a="1"/>
  <c r="T158" i="29" s="1"/>
  <c r="T159" i="29" s="1" a="1"/>
  <c r="T159" i="29" s="1"/>
  <c r="T160" i="29" s="1" a="1"/>
  <c r="T160" i="29" s="1"/>
  <c r="T161" i="29" s="1" a="1"/>
  <c r="T161" i="29" s="1"/>
  <c r="T162" i="29" s="1" a="1"/>
  <c r="T162" i="29" s="1"/>
  <c r="T163" i="29" s="1" a="1"/>
  <c r="T163" i="29" s="1"/>
  <c r="T164" i="29" s="1" a="1"/>
  <c r="T164" i="29" s="1"/>
  <c r="T165" i="29" s="1" a="1"/>
  <c r="T165" i="29" s="1"/>
  <c r="T166" i="29" s="1" a="1"/>
  <c r="T166" i="29" s="1"/>
  <c r="T167" i="29" s="1" a="1"/>
  <c r="T167" i="29" s="1"/>
  <c r="T168" i="29" s="1" a="1"/>
  <c r="T168" i="29" s="1"/>
  <c r="T169" i="29" s="1" a="1"/>
  <c r="T169" i="29" s="1"/>
  <c r="T170" i="29" s="1" a="1"/>
  <c r="T170" i="29" s="1"/>
  <c r="BA80" i="30"/>
  <c r="AW80" i="30"/>
  <c r="AS80" i="30"/>
  <c r="AO80" i="30"/>
  <c r="AK80" i="30"/>
  <c r="AG80" i="30"/>
  <c r="F81" i="30" a="1"/>
  <c r="F81" i="30" s="1"/>
  <c r="AZ80" i="30"/>
  <c r="AV80" i="30"/>
  <c r="AR80" i="30"/>
  <c r="AN80" i="30"/>
  <c r="AJ80" i="30"/>
  <c r="AF80" i="30"/>
  <c r="BC80" i="30"/>
  <c r="AY80" i="30"/>
  <c r="AU80" i="30"/>
  <c r="AQ80" i="30"/>
  <c r="AM80" i="30"/>
  <c r="AI80" i="30"/>
  <c r="AE80" i="30"/>
  <c r="BO80" i="30"/>
  <c r="AX80" i="30"/>
  <c r="AT80" i="30"/>
  <c r="AP80" i="30"/>
  <c r="BB80" i="30"/>
  <c r="AL80" i="30"/>
  <c r="AH387" i="30"/>
  <c r="BE387" i="30"/>
  <c r="AB167" i="29" a="1"/>
  <c r="AB167" i="29" s="1"/>
  <c r="D168" i="29" a="1"/>
  <c r="D168" i="29" s="1"/>
  <c r="AB455" i="29" a="1"/>
  <c r="AB455" i="29" s="1"/>
  <c r="D456" i="29" a="1"/>
  <c r="D456" i="29" s="1"/>
  <c r="AH242" i="28"/>
  <c r="AH378" i="30"/>
  <c r="AR28" i="30"/>
  <c r="BK237" i="30"/>
  <c r="BM237" i="30"/>
  <c r="AZ238" i="30"/>
  <c r="AV238" i="30"/>
  <c r="AR238" i="30"/>
  <c r="AN238" i="30"/>
  <c r="AJ238" i="30"/>
  <c r="AF238" i="30"/>
  <c r="F239" i="30" a="1"/>
  <c r="F239" i="30" s="1"/>
  <c r="BC238" i="30"/>
  <c r="AY238" i="30"/>
  <c r="BJ238" i="30" s="1"/>
  <c r="AU238" i="30"/>
  <c r="BF238" i="30" s="1"/>
  <c r="AQ238" i="30"/>
  <c r="AM238" i="30"/>
  <c r="AI238" i="30"/>
  <c r="AE238" i="30"/>
  <c r="BB238" i="30"/>
  <c r="BM238" i="30" s="1"/>
  <c r="AX238" i="30"/>
  <c r="AT238" i="30"/>
  <c r="AP238" i="30"/>
  <c r="AL238" i="30"/>
  <c r="AW238" i="30"/>
  <c r="BH238" i="30" s="1"/>
  <c r="AG238" i="30"/>
  <c r="AS238" i="30"/>
  <c r="AO238" i="30"/>
  <c r="BA238" i="30"/>
  <c r="BL238" i="30" s="1"/>
  <c r="AK238" i="30"/>
  <c r="AV28" i="29"/>
  <c r="BF28" i="29"/>
  <c r="AH73" i="28" l="1"/>
  <c r="AH125" i="28"/>
  <c r="AH243" i="28"/>
  <c r="BI238" i="30"/>
  <c r="AH124" i="28"/>
  <c r="AH225" i="30"/>
  <c r="AH226" i="30"/>
  <c r="AH371" i="30"/>
  <c r="AJ33" i="28"/>
  <c r="AJ28" i="28" s="1"/>
  <c r="AE118" i="28"/>
  <c r="AE113" i="28" s="1"/>
  <c r="AH36" i="28"/>
  <c r="AH126" i="28"/>
  <c r="AH39" i="28"/>
  <c r="AH227" i="30"/>
  <c r="AK203" i="28"/>
  <c r="AK198" i="28" s="1"/>
  <c r="AF33" i="28"/>
  <c r="AF28" i="28" s="1"/>
  <c r="AE203" i="28"/>
  <c r="AE198" i="28" s="1"/>
  <c r="AH238" i="30"/>
  <c r="BE238" i="30"/>
  <c r="BD238" i="30"/>
  <c r="BK238" i="30"/>
  <c r="BM80" i="30"/>
  <c r="BG80" i="30"/>
  <c r="BL80" i="30"/>
  <c r="AM316" i="29"/>
  <c r="AH228" i="30"/>
  <c r="AH224" i="30"/>
  <c r="AG223" i="30"/>
  <c r="BG224" i="30"/>
  <c r="AV223" i="30"/>
  <c r="AQ223" i="30"/>
  <c r="AP223" i="30"/>
  <c r="AS223" i="30"/>
  <c r="AJ223" i="30"/>
  <c r="AF223" i="30"/>
  <c r="BB223" i="30"/>
  <c r="BM224" i="30"/>
  <c r="AO223" i="30"/>
  <c r="AR223" i="30"/>
  <c r="AH372" i="30"/>
  <c r="AL205" i="28"/>
  <c r="AI203" i="28"/>
  <c r="AK33" i="28"/>
  <c r="AK28" i="28" s="1"/>
  <c r="AF203" i="28"/>
  <c r="AF198" i="28" s="1"/>
  <c r="AH370" i="30"/>
  <c r="AH206" i="28"/>
  <c r="AH369" i="30"/>
  <c r="AE367" i="30"/>
  <c r="AP367" i="30"/>
  <c r="AO367" i="30"/>
  <c r="AH211" i="28"/>
  <c r="AF367" i="30"/>
  <c r="AK367" i="30"/>
  <c r="AH38" i="28"/>
  <c r="AH209" i="28"/>
  <c r="AH205" i="28"/>
  <c r="AG203" i="28"/>
  <c r="AB168" i="30"/>
  <c r="D169" i="30" a="1"/>
  <c r="D169" i="30" s="1"/>
  <c r="AB312" i="30"/>
  <c r="D313" i="30" a="1"/>
  <c r="D313" i="30" s="1"/>
  <c r="BM28" i="30"/>
  <c r="BC28" i="30"/>
  <c r="AH316" i="29"/>
  <c r="AB65" i="34" a="1"/>
  <c r="AB65" i="34" s="1"/>
  <c r="V65" i="34" a="1"/>
  <c r="V65" i="34" s="1"/>
  <c r="AS28" i="30"/>
  <c r="AB456" i="29"/>
  <c r="D457" i="29" a="1"/>
  <c r="D457" i="29" s="1"/>
  <c r="BF80" i="30"/>
  <c r="BK80" i="30"/>
  <c r="AE223" i="30"/>
  <c r="BF224" i="30"/>
  <c r="AU223" i="30"/>
  <c r="BA223" i="30"/>
  <c r="BL224" i="30"/>
  <c r="AH35" i="28"/>
  <c r="AG33" i="28"/>
  <c r="AJ118" i="28"/>
  <c r="AJ113" i="28" s="1"/>
  <c r="AV367" i="30"/>
  <c r="BG368" i="30"/>
  <c r="BI368" i="30"/>
  <c r="AX367" i="30"/>
  <c r="AH368" i="30"/>
  <c r="AG367" i="30"/>
  <c r="BJ368" i="30"/>
  <c r="AY367" i="30"/>
  <c r="AM367" i="30"/>
  <c r="BA367" i="30"/>
  <c r="BL368" i="30"/>
  <c r="AR367" i="30"/>
  <c r="BE368" i="30"/>
  <c r="AT367" i="30"/>
  <c r="AH208" i="28"/>
  <c r="AH37" i="28"/>
  <c r="AH172" i="29"/>
  <c r="BC224" i="29"/>
  <c r="AY224" i="29"/>
  <c r="AU224" i="29"/>
  <c r="AQ224" i="29"/>
  <c r="AM224" i="29"/>
  <c r="AI224" i="29"/>
  <c r="AE224" i="29"/>
  <c r="BO224" i="29"/>
  <c r="BB224" i="29"/>
  <c r="AX224" i="29"/>
  <c r="AT224" i="29"/>
  <c r="AP224" i="29"/>
  <c r="AL224" i="29"/>
  <c r="BA224" i="29"/>
  <c r="AW224" i="29"/>
  <c r="AS224" i="29"/>
  <c r="AO224" i="29"/>
  <c r="AK224" i="29"/>
  <c r="AG224" i="29"/>
  <c r="F225" i="29" a="1"/>
  <c r="F225" i="29" s="1"/>
  <c r="AZ224" i="29"/>
  <c r="AJ224" i="29"/>
  <c r="AV224" i="29"/>
  <c r="AF224" i="29"/>
  <c r="AR224" i="29"/>
  <c r="AN224" i="29"/>
  <c r="AW28" i="29"/>
  <c r="BG28" i="29"/>
  <c r="BA239" i="30"/>
  <c r="BL239" i="30" s="1"/>
  <c r="AW239" i="30"/>
  <c r="BH239" i="30" s="1"/>
  <c r="AS239" i="30"/>
  <c r="AO239" i="30"/>
  <c r="AK239" i="30"/>
  <c r="AG239" i="30"/>
  <c r="F240" i="30" a="1"/>
  <c r="F240" i="30" s="1"/>
  <c r="AZ239" i="30"/>
  <c r="AV239" i="30"/>
  <c r="BG239" i="30" s="1"/>
  <c r="AR239" i="30"/>
  <c r="AN239" i="30"/>
  <c r="AJ239" i="30"/>
  <c r="AF239" i="30"/>
  <c r="BC239" i="30"/>
  <c r="AY239" i="30"/>
  <c r="BJ239" i="30" s="1"/>
  <c r="AU239" i="30"/>
  <c r="BF239" i="30" s="1"/>
  <c r="AQ239" i="30"/>
  <c r="AM239" i="30"/>
  <c r="AI239" i="30"/>
  <c r="BD239" i="30" s="1"/>
  <c r="AE239" i="30"/>
  <c r="AP239" i="30"/>
  <c r="BB239" i="30"/>
  <c r="AL239" i="30"/>
  <c r="BO239" i="30"/>
  <c r="AX239" i="30"/>
  <c r="BI239" i="30" s="1"/>
  <c r="AT239" i="30"/>
  <c r="BE239" i="30" s="1"/>
  <c r="BE80" i="30"/>
  <c r="BD80" i="30"/>
  <c r="BJ80" i="30"/>
  <c r="BA81" i="30"/>
  <c r="BL81" i="30" s="1"/>
  <c r="AW81" i="30"/>
  <c r="BH81" i="30" s="1"/>
  <c r="AS81" i="30"/>
  <c r="AO81" i="30"/>
  <c r="AK81" i="30"/>
  <c r="AG81" i="30"/>
  <c r="F82" i="30" a="1"/>
  <c r="F82" i="30" s="1"/>
  <c r="AZ81" i="30"/>
  <c r="BK81" i="30" s="1"/>
  <c r="AV81" i="30"/>
  <c r="BG81" i="30" s="1"/>
  <c r="AR81" i="30"/>
  <c r="AN81" i="30"/>
  <c r="AJ81" i="30"/>
  <c r="AF81" i="30"/>
  <c r="BC81" i="30"/>
  <c r="AY81" i="30"/>
  <c r="BJ81" i="30" s="1"/>
  <c r="AU81" i="30"/>
  <c r="BF81" i="30" s="1"/>
  <c r="AQ81" i="30"/>
  <c r="AM81" i="30"/>
  <c r="AI81" i="30"/>
  <c r="BD81" i="30" s="1"/>
  <c r="AE81" i="30"/>
  <c r="AP81" i="30"/>
  <c r="BB81" i="30"/>
  <c r="BM81" i="30" s="1"/>
  <c r="AL81" i="30"/>
  <c r="BO81" i="30"/>
  <c r="AX81" i="30"/>
  <c r="BI81" i="30" s="1"/>
  <c r="AT81" i="30"/>
  <c r="BE81" i="30" s="1"/>
  <c r="BA80" i="29"/>
  <c r="AW80" i="29"/>
  <c r="AS80" i="29"/>
  <c r="AO80" i="29"/>
  <c r="AK80" i="29"/>
  <c r="AG80" i="29"/>
  <c r="F81" i="29" a="1"/>
  <c r="F81" i="29" s="1"/>
  <c r="AZ80" i="29"/>
  <c r="AV80" i="29"/>
  <c r="AR80" i="29"/>
  <c r="AN80" i="29"/>
  <c r="AJ80" i="29"/>
  <c r="AF80" i="29"/>
  <c r="BC80" i="29"/>
  <c r="AY80" i="29"/>
  <c r="AU80" i="29"/>
  <c r="AQ80" i="29"/>
  <c r="AM80" i="29"/>
  <c r="AI80" i="29"/>
  <c r="AE80" i="29"/>
  <c r="BB80" i="29"/>
  <c r="AL80" i="29"/>
  <c r="BO80" i="29"/>
  <c r="AX80" i="29"/>
  <c r="AT80" i="29"/>
  <c r="AP80" i="29"/>
  <c r="AQ33" i="24"/>
  <c r="AP34" i="24"/>
  <c r="AH231" i="30"/>
  <c r="AT223" i="30"/>
  <c r="BE224" i="30"/>
  <c r="AK223" i="30"/>
  <c r="BJ224" i="30"/>
  <c r="AY223" i="30"/>
  <c r="AM223" i="30"/>
  <c r="AI223" i="30"/>
  <c r="BD224" i="30"/>
  <c r="AW223" i="30"/>
  <c r="BH224" i="30"/>
  <c r="AX223" i="30"/>
  <c r="BI224" i="30"/>
  <c r="AL35" i="28"/>
  <c r="AI33" i="28"/>
  <c r="AJ203" i="28"/>
  <c r="AJ198" i="28" s="1"/>
  <c r="AL120" i="28"/>
  <c r="AI118" i="28"/>
  <c r="AK118" i="28"/>
  <c r="AK113" i="28" s="1"/>
  <c r="AN367" i="30"/>
  <c r="AH212" i="28"/>
  <c r="AQ367" i="30"/>
  <c r="BF368" i="30"/>
  <c r="AU367" i="30"/>
  <c r="AL367" i="30"/>
  <c r="AH207" i="28"/>
  <c r="AH122" i="28"/>
  <c r="AE33" i="28"/>
  <c r="AE28" i="28" s="1"/>
  <c r="BO389" i="30"/>
  <c r="BB389" i="30"/>
  <c r="BM389" i="30" s="1"/>
  <c r="AX389" i="30"/>
  <c r="BI389" i="30" s="1"/>
  <c r="AT389" i="30"/>
  <c r="BE389" i="30" s="1"/>
  <c r="AP389" i="30"/>
  <c r="AL389" i="30"/>
  <c r="BA389" i="30"/>
  <c r="BL389" i="30" s="1"/>
  <c r="AW389" i="30"/>
  <c r="BH389" i="30" s="1"/>
  <c r="AS389" i="30"/>
  <c r="AO389" i="30"/>
  <c r="AK389" i="30"/>
  <c r="AG389" i="30"/>
  <c r="F390" i="30" a="1"/>
  <c r="F390" i="30" s="1"/>
  <c r="AZ389" i="30"/>
  <c r="BK389" i="30" s="1"/>
  <c r="AV389" i="30"/>
  <c r="BG389" i="30" s="1"/>
  <c r="AR389" i="30"/>
  <c r="AN389" i="30"/>
  <c r="AJ389" i="30"/>
  <c r="AF389" i="30"/>
  <c r="AU389" i="30"/>
  <c r="BF389" i="30" s="1"/>
  <c r="AE389" i="30"/>
  <c r="AQ389" i="30"/>
  <c r="BC389" i="30"/>
  <c r="AM389" i="30"/>
  <c r="AY389" i="30"/>
  <c r="BJ389" i="30" s="1"/>
  <c r="AI389" i="30"/>
  <c r="BD389" i="30" s="1"/>
  <c r="AQ49" i="24"/>
  <c r="AP50" i="24"/>
  <c r="AK159" i="28"/>
  <c r="AG159" i="28"/>
  <c r="F160" i="28" a="1"/>
  <c r="F160" i="28" s="1"/>
  <c r="AJ159" i="28"/>
  <c r="AF159" i="28"/>
  <c r="AI159" i="28"/>
  <c r="AL159" i="28" s="1"/>
  <c r="AE159" i="28"/>
  <c r="AI244" i="28"/>
  <c r="AL244" i="28" s="1"/>
  <c r="AE244" i="28"/>
  <c r="AK244" i="28"/>
  <c r="AG244" i="28"/>
  <c r="F245" i="28" a="1"/>
  <c r="F245" i="28" s="1"/>
  <c r="AJ244" i="28"/>
  <c r="AF244" i="28"/>
  <c r="AW316" i="29"/>
  <c r="BG316" i="29"/>
  <c r="AM28" i="29"/>
  <c r="BG238" i="30"/>
  <c r="AB168" i="29"/>
  <c r="D169" i="29" a="1"/>
  <c r="D169" i="29" s="1"/>
  <c r="BI80" i="30"/>
  <c r="AH80" i="30"/>
  <c r="BH80" i="30"/>
  <c r="BA368" i="29"/>
  <c r="AW368" i="29"/>
  <c r="AS368" i="29"/>
  <c r="AO368" i="29"/>
  <c r="AK368" i="29"/>
  <c r="AG368" i="29"/>
  <c r="F369" i="29" a="1"/>
  <c r="F369" i="29" s="1"/>
  <c r="AZ368" i="29"/>
  <c r="AV368" i="29"/>
  <c r="AR368" i="29"/>
  <c r="AN368" i="29"/>
  <c r="AJ368" i="29"/>
  <c r="AF368" i="29"/>
  <c r="BC368" i="29"/>
  <c r="AY368" i="29"/>
  <c r="AU368" i="29"/>
  <c r="AQ368" i="29"/>
  <c r="AM368" i="29"/>
  <c r="AI368" i="29"/>
  <c r="AE368" i="29"/>
  <c r="BO368" i="29"/>
  <c r="AX368" i="29"/>
  <c r="AT368" i="29"/>
  <c r="AP368" i="29"/>
  <c r="AL368" i="29"/>
  <c r="BB368" i="29"/>
  <c r="D457" i="30" a="1"/>
  <c r="D457" i="30" s="1"/>
  <c r="AB456" i="30"/>
  <c r="AH233" i="30"/>
  <c r="BK224" i="30"/>
  <c r="AZ223" i="30"/>
  <c r="AN223" i="30"/>
  <c r="AH376" i="30"/>
  <c r="BC223" i="30"/>
  <c r="AL223" i="30"/>
  <c r="AH120" i="28"/>
  <c r="AG118" i="28"/>
  <c r="BM368" i="30"/>
  <c r="BB367" i="30"/>
  <c r="BD368" i="30"/>
  <c r="AI367" i="30"/>
  <c r="AW367" i="30"/>
  <c r="BH368" i="30"/>
  <c r="AZ367" i="30"/>
  <c r="BK368" i="30"/>
  <c r="AS367" i="30"/>
  <c r="AJ367" i="30"/>
  <c r="AH210" i="28"/>
  <c r="BC367" i="30"/>
  <c r="AH123" i="28"/>
  <c r="BF388" i="30"/>
  <c r="AH388" i="30"/>
  <c r="BH388" i="30"/>
  <c r="BE388" i="30"/>
  <c r="BD28" i="29"/>
  <c r="D313" i="29" a="1"/>
  <c r="D313" i="29" s="1"/>
  <c r="AB312" i="29"/>
  <c r="AB46" i="34" a="1"/>
  <c r="AB46" i="34" s="1"/>
  <c r="V46" i="34" a="1"/>
  <c r="V46" i="34" s="1"/>
  <c r="BD316" i="29"/>
  <c r="AI74" i="28"/>
  <c r="AL74" i="28" s="1"/>
  <c r="AE74" i="28"/>
  <c r="AK74" i="28"/>
  <c r="AG74" i="28"/>
  <c r="F75" i="28" a="1"/>
  <c r="F75" i="28" s="1"/>
  <c r="AJ74" i="28"/>
  <c r="AF74" i="28"/>
  <c r="AX41" i="24"/>
  <c r="AX42" i="24" s="1"/>
  <c r="AW42" i="24"/>
  <c r="AH159" i="28" l="1"/>
  <c r="AH389" i="30"/>
  <c r="AH81" i="30"/>
  <c r="BM368" i="29"/>
  <c r="BE80" i="29"/>
  <c r="BG80" i="29"/>
  <c r="BH368" i="29"/>
  <c r="AB169" i="29"/>
  <c r="D170" i="29" a="1"/>
  <c r="D170" i="29" s="1"/>
  <c r="AB170" i="29" s="1"/>
  <c r="BI223" i="30"/>
  <c r="AH224" i="29"/>
  <c r="AH203" i="28"/>
  <c r="AG198" i="28"/>
  <c r="BG223" i="30"/>
  <c r="BD367" i="30"/>
  <c r="AH118" i="28"/>
  <c r="AG113" i="28"/>
  <c r="BG368" i="29"/>
  <c r="BL368" i="29"/>
  <c r="AQ50" i="24"/>
  <c r="AR49" i="24"/>
  <c r="AL33" i="28"/>
  <c r="AI28" i="28"/>
  <c r="AQ34" i="24"/>
  <c r="AR33" i="24"/>
  <c r="BI80" i="29"/>
  <c r="BF80" i="29"/>
  <c r="BK80" i="29"/>
  <c r="BA82" i="30"/>
  <c r="AW82" i="30"/>
  <c r="AS82" i="30"/>
  <c r="AO82" i="30"/>
  <c r="AK82" i="30"/>
  <c r="AG82" i="30"/>
  <c r="F83" i="30" a="1"/>
  <c r="F83" i="30" s="1"/>
  <c r="AZ82" i="30"/>
  <c r="BK82" i="30" s="1"/>
  <c r="AV82" i="30"/>
  <c r="AR82" i="30"/>
  <c r="AN82" i="30"/>
  <c r="AJ82" i="30"/>
  <c r="AF82" i="30"/>
  <c r="BC82" i="30"/>
  <c r="AY82" i="30"/>
  <c r="BJ82" i="30" s="1"/>
  <c r="AU82" i="30"/>
  <c r="BF82" i="30" s="1"/>
  <c r="AQ82" i="30"/>
  <c r="AM82" i="30"/>
  <c r="AI82" i="30"/>
  <c r="BD82" i="30" s="1"/>
  <c r="AE82" i="30"/>
  <c r="BO82" i="30"/>
  <c r="AX82" i="30"/>
  <c r="AT82" i="30"/>
  <c r="BE82" i="30" s="1"/>
  <c r="AP82" i="30"/>
  <c r="BB82" i="30"/>
  <c r="BM82" i="30" s="1"/>
  <c r="AL82" i="30"/>
  <c r="BK239" i="30"/>
  <c r="BL224" i="29"/>
  <c r="BI224" i="29"/>
  <c r="BD224" i="29"/>
  <c r="BJ224" i="29"/>
  <c r="BJ367" i="30"/>
  <c r="BI367" i="30"/>
  <c r="BI368" i="29"/>
  <c r="AH368" i="29"/>
  <c r="BM80" i="29"/>
  <c r="BG224" i="29"/>
  <c r="BE224" i="29"/>
  <c r="AN75" i="28"/>
  <c r="AI75" i="28"/>
  <c r="AL75" i="28" s="1"/>
  <c r="AE75" i="28"/>
  <c r="F76" i="28" a="1"/>
  <c r="F76" i="28" s="1"/>
  <c r="AK75" i="28"/>
  <c r="AG75" i="28"/>
  <c r="AJ75" i="28"/>
  <c r="AF75" i="28"/>
  <c r="BK367" i="30"/>
  <c r="BF368" i="29"/>
  <c r="BK368" i="29"/>
  <c r="AN245" i="28"/>
  <c r="AI245" i="28"/>
  <c r="AE245" i="28"/>
  <c r="F246" i="28" a="1"/>
  <c r="F246" i="28" s="1"/>
  <c r="AK245" i="28"/>
  <c r="AG245" i="28"/>
  <c r="AJ245" i="28"/>
  <c r="AF245" i="28"/>
  <c r="AL118" i="28"/>
  <c r="AI113" i="28"/>
  <c r="BH223" i="30"/>
  <c r="BJ223" i="30"/>
  <c r="BE223" i="30"/>
  <c r="BD80" i="29"/>
  <c r="BJ80" i="29"/>
  <c r="BA81" i="29"/>
  <c r="BL81" i="29" s="1"/>
  <c r="AW81" i="29"/>
  <c r="BH81" i="29" s="1"/>
  <c r="AS81" i="29"/>
  <c r="AO81" i="29"/>
  <c r="AK81" i="29"/>
  <c r="AG81" i="29"/>
  <c r="F82" i="29" a="1"/>
  <c r="F82" i="29" s="1"/>
  <c r="AZ81" i="29"/>
  <c r="BK81" i="29" s="1"/>
  <c r="AV81" i="29"/>
  <c r="BG81" i="29" s="1"/>
  <c r="AR81" i="29"/>
  <c r="AN81" i="29"/>
  <c r="AJ81" i="29"/>
  <c r="AF81" i="29"/>
  <c r="BC81" i="29"/>
  <c r="AY81" i="29"/>
  <c r="BJ81" i="29" s="1"/>
  <c r="AU81" i="29"/>
  <c r="BF81" i="29" s="1"/>
  <c r="AQ81" i="29"/>
  <c r="AM81" i="29"/>
  <c r="AI81" i="29"/>
  <c r="BD81" i="29" s="1"/>
  <c r="AE81" i="29"/>
  <c r="AT81" i="29"/>
  <c r="BE81" i="29" s="1"/>
  <c r="AP81" i="29"/>
  <c r="BB81" i="29"/>
  <c r="BM81" i="29" s="1"/>
  <c r="AL81" i="29"/>
  <c r="BO81" i="29"/>
  <c r="AX81" i="29"/>
  <c r="BI81" i="29" s="1"/>
  <c r="BA240" i="30"/>
  <c r="BL240" i="30" s="1"/>
  <c r="AW240" i="30"/>
  <c r="AS240" i="30"/>
  <c r="AO240" i="30"/>
  <c r="AK240" i="30"/>
  <c r="AG240" i="30"/>
  <c r="AZ240" i="30"/>
  <c r="BK240" i="30" s="1"/>
  <c r="AV240" i="30"/>
  <c r="BG240" i="30" s="1"/>
  <c r="AR240" i="30"/>
  <c r="AN240" i="30"/>
  <c r="AJ240" i="30"/>
  <c r="AF240" i="30"/>
  <c r="F241" i="30" a="1"/>
  <c r="F241" i="30" s="1"/>
  <c r="BC240" i="30"/>
  <c r="AY240" i="30"/>
  <c r="AU240" i="30"/>
  <c r="BF240" i="30" s="1"/>
  <c r="AQ240" i="30"/>
  <c r="AM240" i="30"/>
  <c r="AI240" i="30"/>
  <c r="BD240" i="30" s="1"/>
  <c r="AE240" i="30"/>
  <c r="AX240" i="30"/>
  <c r="BI240" i="30" s="1"/>
  <c r="AT240" i="30"/>
  <c r="AP240" i="30"/>
  <c r="BB240" i="30"/>
  <c r="BM240" i="30" s="1"/>
  <c r="AL240" i="30"/>
  <c r="BH28" i="29"/>
  <c r="AX28" i="29"/>
  <c r="BK224" i="29"/>
  <c r="BM224" i="29"/>
  <c r="AH33" i="28"/>
  <c r="AG28" i="28"/>
  <c r="AB169" i="30"/>
  <c r="D170" i="30" a="1"/>
  <c r="D170" i="30" s="1"/>
  <c r="AB170" i="30" s="1"/>
  <c r="BM223" i="30"/>
  <c r="AH223" i="30"/>
  <c r="AN316" i="29"/>
  <c r="D314" i="29" a="1"/>
  <c r="D314" i="29" s="1"/>
  <c r="AB314" i="29" s="1"/>
  <c r="AB313" i="29"/>
  <c r="BH367" i="30"/>
  <c r="BF367" i="30"/>
  <c r="BD223" i="30"/>
  <c r="BL80" i="29"/>
  <c r="BH224" i="29"/>
  <c r="BF224" i="29"/>
  <c r="BG367" i="30"/>
  <c r="BF223" i="30"/>
  <c r="AL203" i="28"/>
  <c r="AI198" i="28"/>
  <c r="AH74" i="28"/>
  <c r="BM367" i="30"/>
  <c r="BK223" i="30"/>
  <c r="AB457" i="30"/>
  <c r="D458" i="30" a="1"/>
  <c r="D458" i="30" s="1"/>
  <c r="AB458" i="30" s="1"/>
  <c r="BE368" i="29"/>
  <c r="BD368" i="29"/>
  <c r="BJ368" i="29"/>
  <c r="BA369" i="29"/>
  <c r="BL369" i="29" s="1"/>
  <c r="AW369" i="29"/>
  <c r="BH369" i="29" s="1"/>
  <c r="AS369" i="29"/>
  <c r="AO369" i="29"/>
  <c r="AK369" i="29"/>
  <c r="AG369" i="29"/>
  <c r="F370" i="29" a="1"/>
  <c r="F370" i="29" s="1"/>
  <c r="AZ369" i="29"/>
  <c r="BK369" i="29" s="1"/>
  <c r="AV369" i="29"/>
  <c r="BG369" i="29" s="1"/>
  <c r="AR369" i="29"/>
  <c r="AN369" i="29"/>
  <c r="AJ369" i="29"/>
  <c r="AF369" i="29"/>
  <c r="BC369" i="29"/>
  <c r="AY369" i="29"/>
  <c r="BJ369" i="29" s="1"/>
  <c r="AU369" i="29"/>
  <c r="BF369" i="29" s="1"/>
  <c r="AQ369" i="29"/>
  <c r="AM369" i="29"/>
  <c r="AI369" i="29"/>
  <c r="BD369" i="29" s="1"/>
  <c r="AE369" i="29"/>
  <c r="AP369" i="29"/>
  <c r="BB369" i="29"/>
  <c r="BM369" i="29" s="1"/>
  <c r="AL369" i="29"/>
  <c r="BO369" i="29"/>
  <c r="AX369" i="29"/>
  <c r="BI369" i="29" s="1"/>
  <c r="AT369" i="29"/>
  <c r="BE369" i="29" s="1"/>
  <c r="AN28" i="29"/>
  <c r="BH316" i="29"/>
  <c r="AX316" i="29"/>
  <c r="AH244" i="28"/>
  <c r="F161" i="28" a="1"/>
  <c r="F161" i="28" s="1"/>
  <c r="AN160" i="28"/>
  <c r="AI160" i="28"/>
  <c r="AL160" i="28" s="1"/>
  <c r="AG160" i="28"/>
  <c r="AH160" i="28" s="1"/>
  <c r="AF160" i="28"/>
  <c r="AK160" i="28"/>
  <c r="AE160" i="28"/>
  <c r="AJ160" i="28"/>
  <c r="BO390" i="30"/>
  <c r="BB390" i="30"/>
  <c r="AX390" i="30"/>
  <c r="AT390" i="30"/>
  <c r="AP390" i="30"/>
  <c r="AP380" i="30" s="1"/>
  <c r="AL390" i="30"/>
  <c r="AL380" i="30" s="1"/>
  <c r="BA390" i="30"/>
  <c r="AW390" i="30"/>
  <c r="AS390" i="30"/>
  <c r="AS380" i="30" s="1"/>
  <c r="AO390" i="30"/>
  <c r="AO380" i="30" s="1"/>
  <c r="AK390" i="30"/>
  <c r="AK380" i="30" s="1"/>
  <c r="AG390" i="30"/>
  <c r="F391" i="30" a="1"/>
  <c r="F391" i="30" s="1"/>
  <c r="F392" i="30" s="1" a="1"/>
  <c r="F392" i="30" s="1"/>
  <c r="AZ390" i="30"/>
  <c r="AV390" i="30"/>
  <c r="AR390" i="30"/>
  <c r="AR380" i="30" s="1"/>
  <c r="AN390" i="30"/>
  <c r="AN380" i="30" s="1"/>
  <c r="AJ390" i="30"/>
  <c r="AJ380" i="30" s="1"/>
  <c r="AF390" i="30"/>
  <c r="AF380" i="30" s="1"/>
  <c r="BC390" i="30"/>
  <c r="BC380" i="30" s="1"/>
  <c r="AM390" i="30"/>
  <c r="AM380" i="30" s="1"/>
  <c r="AY390" i="30"/>
  <c r="AI390" i="30"/>
  <c r="AU390" i="30"/>
  <c r="AE390" i="30"/>
  <c r="AE380" i="30" s="1"/>
  <c r="AQ390" i="30"/>
  <c r="AQ380" i="30" s="1"/>
  <c r="AH80" i="29"/>
  <c r="BH80" i="29"/>
  <c r="BM239" i="30"/>
  <c r="AH239" i="30"/>
  <c r="BC225" i="29"/>
  <c r="AY225" i="29"/>
  <c r="BJ225" i="29" s="1"/>
  <c r="AU225" i="29"/>
  <c r="BF225" i="29" s="1"/>
  <c r="AQ225" i="29"/>
  <c r="AM225" i="29"/>
  <c r="AI225" i="29"/>
  <c r="BD225" i="29" s="1"/>
  <c r="AE225" i="29"/>
  <c r="BO225" i="29"/>
  <c r="BB225" i="29"/>
  <c r="BM225" i="29" s="1"/>
  <c r="AX225" i="29"/>
  <c r="BI225" i="29" s="1"/>
  <c r="AT225" i="29"/>
  <c r="BE225" i="29" s="1"/>
  <c r="AP225" i="29"/>
  <c r="AL225" i="29"/>
  <c r="BA225" i="29"/>
  <c r="BL225" i="29" s="1"/>
  <c r="AW225" i="29"/>
  <c r="BH225" i="29" s="1"/>
  <c r="AS225" i="29"/>
  <c r="AO225" i="29"/>
  <c r="AK225" i="29"/>
  <c r="AG225" i="29"/>
  <c r="AR225" i="29"/>
  <c r="AN225" i="29"/>
  <c r="F226" i="29" a="1"/>
  <c r="F226" i="29" s="1"/>
  <c r="AZ225" i="29"/>
  <c r="BK225" i="29" s="1"/>
  <c r="AJ225" i="29"/>
  <c r="AV225" i="29"/>
  <c r="BG225" i="29" s="1"/>
  <c r="AF225" i="29"/>
  <c r="BE367" i="30"/>
  <c r="BL367" i="30"/>
  <c r="AH367" i="30"/>
  <c r="BL223" i="30"/>
  <c r="AB457" i="29"/>
  <c r="D458" i="29" a="1"/>
  <c r="D458" i="29" s="1"/>
  <c r="AB458" i="29" s="1"/>
  <c r="AB313" i="30"/>
  <c r="D314" i="30" a="1"/>
  <c r="D314" i="30" s="1"/>
  <c r="AB314" i="30" s="1"/>
  <c r="AH75" i="28" l="1"/>
  <c r="AH245" i="28"/>
  <c r="AH225" i="29"/>
  <c r="BF390" i="30"/>
  <c r="AU380" i="30"/>
  <c r="AH390" i="30"/>
  <c r="AG380" i="30"/>
  <c r="BH390" i="30"/>
  <c r="AW380" i="30"/>
  <c r="BE390" i="30"/>
  <c r="AT380" i="30"/>
  <c r="AO28" i="29"/>
  <c r="BB241" i="30"/>
  <c r="AX241" i="30"/>
  <c r="AT241" i="30"/>
  <c r="AP241" i="30"/>
  <c r="AL241" i="30"/>
  <c r="BA241" i="30"/>
  <c r="BL241" i="30" s="1"/>
  <c r="AW241" i="30"/>
  <c r="BH241" i="30" s="1"/>
  <c r="AS241" i="30"/>
  <c r="AO241" i="30"/>
  <c r="AK241" i="30"/>
  <c r="AG241" i="30"/>
  <c r="AZ241" i="30"/>
  <c r="BK241" i="30" s="1"/>
  <c r="AV241" i="30"/>
  <c r="BG241" i="30" s="1"/>
  <c r="AR241" i="30"/>
  <c r="AN241" i="30"/>
  <c r="AJ241" i="30"/>
  <c r="AF241" i="30"/>
  <c r="AQ241" i="30"/>
  <c r="BC241" i="30"/>
  <c r="AM241" i="30"/>
  <c r="F242" i="30" a="1"/>
  <c r="F242" i="30" s="1"/>
  <c r="AY241" i="30"/>
  <c r="AI241" i="30"/>
  <c r="BD241" i="30" s="1"/>
  <c r="AU241" i="30"/>
  <c r="AE241" i="30"/>
  <c r="AK246" i="28"/>
  <c r="AG246" i="28"/>
  <c r="F247" i="28" a="1"/>
  <c r="F247" i="28" s="1"/>
  <c r="AJ246" i="28"/>
  <c r="AF246" i="28"/>
  <c r="AI246" i="28"/>
  <c r="AL246" i="28" s="1"/>
  <c r="AE246" i="28"/>
  <c r="BI82" i="30"/>
  <c r="AH82" i="30"/>
  <c r="BH82" i="30"/>
  <c r="AH198" i="28"/>
  <c r="BC226" i="29"/>
  <c r="AY226" i="29"/>
  <c r="BJ226" i="29" s="1"/>
  <c r="AU226" i="29"/>
  <c r="BF226" i="29" s="1"/>
  <c r="AQ226" i="29"/>
  <c r="AM226" i="29"/>
  <c r="AI226" i="29"/>
  <c r="BD226" i="29" s="1"/>
  <c r="AE226" i="29"/>
  <c r="BO226" i="29"/>
  <c r="BB226" i="29"/>
  <c r="BM226" i="29" s="1"/>
  <c r="AX226" i="29"/>
  <c r="BI226" i="29" s="1"/>
  <c r="AT226" i="29"/>
  <c r="BE226" i="29" s="1"/>
  <c r="AP226" i="29"/>
  <c r="AL226" i="29"/>
  <c r="BA226" i="29"/>
  <c r="BL226" i="29" s="1"/>
  <c r="AW226" i="29"/>
  <c r="BH226" i="29" s="1"/>
  <c r="AS226" i="29"/>
  <c r="AO226" i="29"/>
  <c r="AK226" i="29"/>
  <c r="AG226" i="29"/>
  <c r="F227" i="29" a="1"/>
  <c r="F227" i="29" s="1"/>
  <c r="AZ226" i="29"/>
  <c r="BK226" i="29" s="1"/>
  <c r="AJ226" i="29"/>
  <c r="AV226" i="29"/>
  <c r="BG226" i="29" s="1"/>
  <c r="AF226" i="29"/>
  <c r="AR226" i="29"/>
  <c r="AN226" i="29"/>
  <c r="BD390" i="30"/>
  <c r="AI380" i="30"/>
  <c r="BG390" i="30"/>
  <c r="AV380" i="30"/>
  <c r="BL390" i="30"/>
  <c r="BA380" i="30"/>
  <c r="BI390" i="30"/>
  <c r="AX380" i="30"/>
  <c r="BI316" i="29"/>
  <c r="AY316" i="29"/>
  <c r="BI28" i="29"/>
  <c r="AY28" i="29"/>
  <c r="AL113" i="28"/>
  <c r="BG82" i="30"/>
  <c r="BL82" i="30"/>
  <c r="AS49" i="24"/>
  <c r="AR50" i="24"/>
  <c r="BJ390" i="30"/>
  <c r="AY380" i="30"/>
  <c r="BK390" i="30"/>
  <c r="AZ380" i="30"/>
  <c r="BM390" i="30"/>
  <c r="BB380" i="30"/>
  <c r="BA370" i="29"/>
  <c r="BL370" i="29" s="1"/>
  <c r="AW370" i="29"/>
  <c r="BH370" i="29" s="1"/>
  <c r="AS370" i="29"/>
  <c r="AO370" i="29"/>
  <c r="AK370" i="29"/>
  <c r="AG370" i="29"/>
  <c r="F371" i="29" a="1"/>
  <c r="F371" i="29" s="1"/>
  <c r="AZ370" i="29"/>
  <c r="BK370" i="29" s="1"/>
  <c r="AV370" i="29"/>
  <c r="BG370" i="29" s="1"/>
  <c r="AR370" i="29"/>
  <c r="AN370" i="29"/>
  <c r="AJ370" i="29"/>
  <c r="AF370" i="29"/>
  <c r="BC370" i="29"/>
  <c r="AY370" i="29"/>
  <c r="BJ370" i="29" s="1"/>
  <c r="AU370" i="29"/>
  <c r="BF370" i="29" s="1"/>
  <c r="AQ370" i="29"/>
  <c r="AM370" i="29"/>
  <c r="AI370" i="29"/>
  <c r="BD370" i="29" s="1"/>
  <c r="AE370" i="29"/>
  <c r="BO370" i="29"/>
  <c r="AX370" i="29"/>
  <c r="BI370" i="29" s="1"/>
  <c r="AT370" i="29"/>
  <c r="BE370" i="29" s="1"/>
  <c r="AP370" i="29"/>
  <c r="BB370" i="29"/>
  <c r="BM370" i="29" s="1"/>
  <c r="AL370" i="29"/>
  <c r="AL198" i="28"/>
  <c r="AH28" i="28"/>
  <c r="BJ240" i="30"/>
  <c r="BA82" i="29"/>
  <c r="AW82" i="29"/>
  <c r="AS82" i="29"/>
  <c r="AO82" i="29"/>
  <c r="AK82" i="29"/>
  <c r="AG82" i="29"/>
  <c r="F83" i="29" a="1"/>
  <c r="F83" i="29" s="1"/>
  <c r="AZ82" i="29"/>
  <c r="BK82" i="29" s="1"/>
  <c r="AV82" i="29"/>
  <c r="BG82" i="29" s="1"/>
  <c r="AR82" i="29"/>
  <c r="AN82" i="29"/>
  <c r="AJ82" i="29"/>
  <c r="AF82" i="29"/>
  <c r="BC82" i="29"/>
  <c r="AY82" i="29"/>
  <c r="BJ82" i="29" s="1"/>
  <c r="AU82" i="29"/>
  <c r="BF82" i="29" s="1"/>
  <c r="AQ82" i="29"/>
  <c r="AM82" i="29"/>
  <c r="AI82" i="29"/>
  <c r="BD82" i="29" s="1"/>
  <c r="AE82" i="29"/>
  <c r="BB82" i="29"/>
  <c r="BM82" i="29" s="1"/>
  <c r="AL82" i="29"/>
  <c r="BO82" i="29"/>
  <c r="AX82" i="29"/>
  <c r="BI82" i="29" s="1"/>
  <c r="AT82" i="29"/>
  <c r="BE82" i="29" s="1"/>
  <c r="AP82" i="29"/>
  <c r="AL245" i="28"/>
  <c r="AL28" i="28"/>
  <c r="BC392" i="30"/>
  <c r="AY392" i="30"/>
  <c r="BJ392" i="30" s="1"/>
  <c r="AU392" i="30"/>
  <c r="BF392" i="30" s="1"/>
  <c r="AQ392" i="30"/>
  <c r="AM392" i="30"/>
  <c r="AI392" i="30"/>
  <c r="AE392" i="30"/>
  <c r="AE366" i="30" s="1"/>
  <c r="BB392" i="30"/>
  <c r="BM392" i="30" s="1"/>
  <c r="AX392" i="30"/>
  <c r="BI392" i="30" s="1"/>
  <c r="AT392" i="30"/>
  <c r="AP392" i="30"/>
  <c r="AL392" i="30"/>
  <c r="BA392" i="30"/>
  <c r="BL392" i="30" s="1"/>
  <c r="AW392" i="30"/>
  <c r="BH392" i="30" s="1"/>
  <c r="AS392" i="30"/>
  <c r="AO392" i="30"/>
  <c r="AK392" i="30"/>
  <c r="AG392" i="30"/>
  <c r="AV392" i="30"/>
  <c r="BG392" i="30" s="1"/>
  <c r="AF392" i="30"/>
  <c r="AF366" i="30" s="1"/>
  <c r="AR392" i="30"/>
  <c r="F393" i="30" a="1"/>
  <c r="F393" i="30" s="1"/>
  <c r="F394" i="30" s="1" a="1"/>
  <c r="F394" i="30" s="1"/>
  <c r="F395" i="30" s="1" a="1"/>
  <c r="F395" i="30" s="1"/>
  <c r="AN392" i="30"/>
  <c r="AZ392" i="30"/>
  <c r="BK392" i="30" s="1"/>
  <c r="AJ392" i="30"/>
  <c r="F162" i="28" a="1"/>
  <c r="F162" i="28" s="1"/>
  <c r="AJ161" i="28"/>
  <c r="AF161" i="28"/>
  <c r="AK161" i="28"/>
  <c r="AG161" i="28"/>
  <c r="AE161" i="28"/>
  <c r="AI161" i="28"/>
  <c r="AL161" i="28" s="1"/>
  <c r="AH369" i="29"/>
  <c r="AO316" i="29"/>
  <c r="BE240" i="30"/>
  <c r="AH240" i="30"/>
  <c r="BH240" i="30"/>
  <c r="AH81" i="29"/>
  <c r="AK76" i="28"/>
  <c r="AG76" i="28"/>
  <c r="F77" i="28" a="1"/>
  <c r="F77" i="28" s="1"/>
  <c r="AJ76" i="28"/>
  <c r="AF76" i="28"/>
  <c r="AI76" i="28"/>
  <c r="AL76" i="28" s="1"/>
  <c r="AE76" i="28"/>
  <c r="BA83" i="30"/>
  <c r="BL83" i="30" s="1"/>
  <c r="AW83" i="30"/>
  <c r="BH83" i="30" s="1"/>
  <c r="AS83" i="30"/>
  <c r="AO83" i="30"/>
  <c r="AK83" i="30"/>
  <c r="AG83" i="30"/>
  <c r="F84" i="30" a="1"/>
  <c r="F84" i="30" s="1"/>
  <c r="AZ83" i="30"/>
  <c r="AV83" i="30"/>
  <c r="BG83" i="30" s="1"/>
  <c r="AR83" i="30"/>
  <c r="AN83" i="30"/>
  <c r="AJ83" i="30"/>
  <c r="AF83" i="30"/>
  <c r="BC83" i="30"/>
  <c r="AY83" i="30"/>
  <c r="AU83" i="30"/>
  <c r="AQ83" i="30"/>
  <c r="AM83" i="30"/>
  <c r="AI83" i="30"/>
  <c r="AE83" i="30"/>
  <c r="AP83" i="30"/>
  <c r="BB83" i="30"/>
  <c r="AL83" i="30"/>
  <c r="BO83" i="30"/>
  <c r="AX83" i="30"/>
  <c r="BI83" i="30" s="1"/>
  <c r="AT83" i="30"/>
  <c r="AS33" i="24"/>
  <c r="AR34" i="24"/>
  <c r="AH113" i="28"/>
  <c r="BE392" i="30" l="1"/>
  <c r="AH161" i="28"/>
  <c r="AH392" i="30"/>
  <c r="AH83" i="30"/>
  <c r="AH226" i="29"/>
  <c r="BJ241" i="30"/>
  <c r="BF83" i="30"/>
  <c r="BK83" i="30"/>
  <c r="AH76" i="28"/>
  <c r="AP316" i="29"/>
  <c r="BA83" i="29"/>
  <c r="BL83" i="29" s="1"/>
  <c r="AW83" i="29"/>
  <c r="BH83" i="29" s="1"/>
  <c r="AS83" i="29"/>
  <c r="AO83" i="29"/>
  <c r="AK83" i="29"/>
  <c r="AG83" i="29"/>
  <c r="F84" i="29" a="1"/>
  <c r="F84" i="29" s="1"/>
  <c r="AZ83" i="29"/>
  <c r="BK83" i="29" s="1"/>
  <c r="AV83" i="29"/>
  <c r="AR83" i="29"/>
  <c r="AN83" i="29"/>
  <c r="AJ83" i="29"/>
  <c r="AF83" i="29"/>
  <c r="BC83" i="29"/>
  <c r="AY83" i="29"/>
  <c r="AU83" i="29"/>
  <c r="AQ83" i="29"/>
  <c r="AM83" i="29"/>
  <c r="AI83" i="29"/>
  <c r="BD83" i="29" s="1"/>
  <c r="AE83" i="29"/>
  <c r="AT83" i="29"/>
  <c r="AP83" i="29"/>
  <c r="BB83" i="29"/>
  <c r="BM83" i="29" s="1"/>
  <c r="AL83" i="29"/>
  <c r="BO83" i="29"/>
  <c r="AX83" i="29"/>
  <c r="BI83" i="29" s="1"/>
  <c r="AH370" i="29"/>
  <c r="BK380" i="30"/>
  <c r="F248" i="28" a="1"/>
  <c r="F248" i="28" s="1"/>
  <c r="AK247" i="28"/>
  <c r="AG247" i="28"/>
  <c r="AJ247" i="28"/>
  <c r="AF247" i="28"/>
  <c r="AN247" i="28"/>
  <c r="AI247" i="28"/>
  <c r="AE247" i="28"/>
  <c r="F243" i="30" a="1"/>
  <c r="F243" i="30" s="1"/>
  <c r="BC242" i="30"/>
  <c r="AY242" i="30"/>
  <c r="AU242" i="30"/>
  <c r="BF242" i="30" s="1"/>
  <c r="AQ242" i="30"/>
  <c r="AM242" i="30"/>
  <c r="AI242" i="30"/>
  <c r="AE242" i="30"/>
  <c r="BB242" i="30"/>
  <c r="BM242" i="30" s="1"/>
  <c r="AX242" i="30"/>
  <c r="AT242" i="30"/>
  <c r="AP242" i="30"/>
  <c r="AL242" i="30"/>
  <c r="BA242" i="30"/>
  <c r="AW242" i="30"/>
  <c r="AS242" i="30"/>
  <c r="AO242" i="30"/>
  <c r="AK242" i="30"/>
  <c r="AG242" i="30"/>
  <c r="AZ242" i="30"/>
  <c r="AJ242" i="30"/>
  <c r="AV242" i="30"/>
  <c r="BG242" i="30" s="1"/>
  <c r="AF242" i="30"/>
  <c r="AR242" i="30"/>
  <c r="AN242" i="30"/>
  <c r="BM241" i="30"/>
  <c r="BD83" i="30"/>
  <c r="BJ83" i="30"/>
  <c r="BA84" i="30"/>
  <c r="BL84" i="30" s="1"/>
  <c r="AW84" i="30"/>
  <c r="BH84" i="30" s="1"/>
  <c r="AS84" i="30"/>
  <c r="AO84" i="30"/>
  <c r="AK84" i="30"/>
  <c r="F85" i="30" a="1"/>
  <c r="F85" i="30" s="1"/>
  <c r="F86" i="30" s="1" a="1"/>
  <c r="F86" i="30" s="1"/>
  <c r="F87" i="30" s="1" a="1"/>
  <c r="F87" i="30" s="1"/>
  <c r="BC84" i="30"/>
  <c r="AY84" i="30"/>
  <c r="BJ84" i="30" s="1"/>
  <c r="AU84" i="30"/>
  <c r="BF84" i="30" s="1"/>
  <c r="AQ84" i="30"/>
  <c r="AM84" i="30"/>
  <c r="AI84" i="30"/>
  <c r="BD84" i="30" s="1"/>
  <c r="AV84" i="30"/>
  <c r="BG84" i="30" s="1"/>
  <c r="AN84" i="30"/>
  <c r="AG84" i="30"/>
  <c r="BB84" i="30"/>
  <c r="BM84" i="30" s="1"/>
  <c r="AT84" i="30"/>
  <c r="BE84" i="30" s="1"/>
  <c r="AL84" i="30"/>
  <c r="AF84" i="30"/>
  <c r="BO84" i="30"/>
  <c r="AZ84" i="30"/>
  <c r="BK84" i="30" s="1"/>
  <c r="AR84" i="30"/>
  <c r="AJ84" i="30"/>
  <c r="AE84" i="30"/>
  <c r="AX84" i="30"/>
  <c r="BI84" i="30" s="1"/>
  <c r="AP84" i="30"/>
  <c r="AJ162" i="28"/>
  <c r="AF162" i="28"/>
  <c r="F163" i="28" a="1"/>
  <c r="F163" i="28" s="1"/>
  <c r="AK162" i="28"/>
  <c r="AG162" i="28"/>
  <c r="AI162" i="28"/>
  <c r="AE162" i="28"/>
  <c r="AN162" i="28"/>
  <c r="AV395" i="30"/>
  <c r="BG395" i="30" s="1"/>
  <c r="AR395" i="30"/>
  <c r="AR366" i="30" s="1"/>
  <c r="AN395" i="30"/>
  <c r="AN366" i="30" s="1"/>
  <c r="AJ395" i="30"/>
  <c r="AJ366" i="30" s="1"/>
  <c r="F396" i="30" a="1"/>
  <c r="F396" i="30" s="1"/>
  <c r="F397" i="30" s="1" a="1"/>
  <c r="F397" i="30" s="1"/>
  <c r="F398" i="30" s="1" a="1"/>
  <c r="F398" i="30" s="1"/>
  <c r="F399" i="30" s="1" a="1"/>
  <c r="F399" i="30" s="1"/>
  <c r="F400" i="30" s="1" a="1"/>
  <c r="F400" i="30" s="1"/>
  <c r="F401" i="30" s="1" a="1"/>
  <c r="F401" i="30" s="1"/>
  <c r="F402" i="30" s="1" a="1"/>
  <c r="F402" i="30" s="1"/>
  <c r="AU395" i="30"/>
  <c r="BF395" i="30" s="1"/>
  <c r="AQ395" i="30"/>
  <c r="AQ366" i="30" s="1"/>
  <c r="AM395" i="30"/>
  <c r="AM366" i="30" s="1"/>
  <c r="AT395" i="30"/>
  <c r="BE395" i="30" s="1"/>
  <c r="AP395" i="30"/>
  <c r="AP366" i="30" s="1"/>
  <c r="AL395" i="30"/>
  <c r="AL366" i="30" s="1"/>
  <c r="AW395" i="30"/>
  <c r="BH395" i="30" s="1"/>
  <c r="AS395" i="30"/>
  <c r="AS366" i="30" s="1"/>
  <c r="AO395" i="30"/>
  <c r="AK395" i="30"/>
  <c r="AK366" i="30" s="1"/>
  <c r="BD392" i="30"/>
  <c r="AH82" i="29"/>
  <c r="BH82" i="29"/>
  <c r="AZ28" i="29"/>
  <c r="BJ28" i="29"/>
  <c r="AZ316" i="29"/>
  <c r="BJ316" i="29"/>
  <c r="BI380" i="30"/>
  <c r="BG380" i="30"/>
  <c r="AV366" i="30"/>
  <c r="AH246" i="28"/>
  <c r="BF241" i="30"/>
  <c r="BE380" i="30"/>
  <c r="AT366" i="30"/>
  <c r="AH380" i="30"/>
  <c r="AG366" i="30"/>
  <c r="BE83" i="30"/>
  <c r="BM83" i="30"/>
  <c r="BL82" i="29"/>
  <c r="BM380" i="30"/>
  <c r="BJ380" i="30"/>
  <c r="AT49" i="24"/>
  <c r="AS50" i="24"/>
  <c r="AX395" i="30" s="1"/>
  <c r="AH241" i="30"/>
  <c r="BE241" i="30"/>
  <c r="AT33" i="24"/>
  <c r="AS34" i="24"/>
  <c r="F78" i="28" a="1"/>
  <c r="F78" i="28" s="1"/>
  <c r="AK77" i="28"/>
  <c r="AG77" i="28"/>
  <c r="AJ77" i="28"/>
  <c r="AF77" i="28"/>
  <c r="AN77" i="28"/>
  <c r="AI77" i="28"/>
  <c r="AE77" i="28"/>
  <c r="AO366" i="30"/>
  <c r="BA371" i="29"/>
  <c r="AW371" i="29"/>
  <c r="AS371" i="29"/>
  <c r="AO371" i="29"/>
  <c r="AK371" i="29"/>
  <c r="AG371" i="29"/>
  <c r="F372" i="29" a="1"/>
  <c r="F372" i="29" s="1"/>
  <c r="AZ371" i="29"/>
  <c r="AV371" i="29"/>
  <c r="AR371" i="29"/>
  <c r="AN371" i="29"/>
  <c r="AJ371" i="29"/>
  <c r="AF371" i="29"/>
  <c r="BC371" i="29"/>
  <c r="AY371" i="29"/>
  <c r="AU371" i="29"/>
  <c r="BF371" i="29" s="1"/>
  <c r="AQ371" i="29"/>
  <c r="AM371" i="29"/>
  <c r="AI371" i="29"/>
  <c r="BD371" i="29" s="1"/>
  <c r="AE371" i="29"/>
  <c r="AP371" i="29"/>
  <c r="BB371" i="29"/>
  <c r="AL371" i="29"/>
  <c r="BO371" i="29"/>
  <c r="AX371" i="29"/>
  <c r="BI371" i="29" s="1"/>
  <c r="AT371" i="29"/>
  <c r="BL380" i="30"/>
  <c r="BD380" i="30"/>
  <c r="AI366" i="30"/>
  <c r="BC227" i="29"/>
  <c r="AY227" i="29"/>
  <c r="AU227" i="29"/>
  <c r="AQ227" i="29"/>
  <c r="AM227" i="29"/>
  <c r="AI227" i="29"/>
  <c r="BD227" i="29" s="1"/>
  <c r="AE227" i="29"/>
  <c r="BO227" i="29"/>
  <c r="BB227" i="29"/>
  <c r="AX227" i="29"/>
  <c r="AT227" i="29"/>
  <c r="AP227" i="29"/>
  <c r="AL227" i="29"/>
  <c r="BA227" i="29"/>
  <c r="BL227" i="29" s="1"/>
  <c r="AW227" i="29"/>
  <c r="BH227" i="29" s="1"/>
  <c r="AS227" i="29"/>
  <c r="AO227" i="29"/>
  <c r="AK227" i="29"/>
  <c r="AG227" i="29"/>
  <c r="AR227" i="29"/>
  <c r="AN227" i="29"/>
  <c r="F228" i="29" a="1"/>
  <c r="F228" i="29" s="1"/>
  <c r="AZ227" i="29"/>
  <c r="AJ227" i="29"/>
  <c r="AV227" i="29"/>
  <c r="AF227" i="29"/>
  <c r="BI241" i="30"/>
  <c r="AP28" i="29"/>
  <c r="BH380" i="30"/>
  <c r="AW366" i="30"/>
  <c r="BF380" i="30"/>
  <c r="AU366" i="30"/>
  <c r="BI395" i="30" l="1"/>
  <c r="AX366" i="30"/>
  <c r="BC228" i="29"/>
  <c r="AY228" i="29"/>
  <c r="BJ228" i="29" s="1"/>
  <c r="AU228" i="29"/>
  <c r="BF228" i="29" s="1"/>
  <c r="AQ228" i="29"/>
  <c r="AM228" i="29"/>
  <c r="AI228" i="29"/>
  <c r="BD228" i="29" s="1"/>
  <c r="AE228" i="29"/>
  <c r="BO228" i="29"/>
  <c r="BB228" i="29"/>
  <c r="BM228" i="29" s="1"/>
  <c r="AX228" i="29"/>
  <c r="BI228" i="29" s="1"/>
  <c r="AT228" i="29"/>
  <c r="BE228" i="29" s="1"/>
  <c r="AP228" i="29"/>
  <c r="AL228" i="29"/>
  <c r="BA228" i="29"/>
  <c r="BL228" i="29" s="1"/>
  <c r="AW228" i="29"/>
  <c r="BH228" i="29" s="1"/>
  <c r="AS228" i="29"/>
  <c r="AO228" i="29"/>
  <c r="AK228" i="29"/>
  <c r="AG228" i="29"/>
  <c r="AH228" i="29" s="1"/>
  <c r="F229" i="29" a="1"/>
  <c r="F229" i="29" s="1"/>
  <c r="F230" i="29" s="1" a="1"/>
  <c r="F230" i="29" s="1"/>
  <c r="F231" i="29" s="1" a="1"/>
  <c r="F231" i="29" s="1"/>
  <c r="AZ228" i="29"/>
  <c r="BK228" i="29" s="1"/>
  <c r="AJ228" i="29"/>
  <c r="AV228" i="29"/>
  <c r="BG228" i="29" s="1"/>
  <c r="AF228" i="29"/>
  <c r="AR228" i="29"/>
  <c r="AN228" i="29"/>
  <c r="BI227" i="29"/>
  <c r="BJ227" i="29"/>
  <c r="BJ371" i="29"/>
  <c r="BA372" i="29"/>
  <c r="BL372" i="29" s="1"/>
  <c r="AW372" i="29"/>
  <c r="BH372" i="29" s="1"/>
  <c r="AS372" i="29"/>
  <c r="AO372" i="29"/>
  <c r="AK372" i="29"/>
  <c r="AG372" i="29"/>
  <c r="F373" i="29" a="1"/>
  <c r="F373" i="29" s="1"/>
  <c r="F374" i="29" s="1" a="1"/>
  <c r="F374" i="29" s="1"/>
  <c r="F375" i="29" s="1" a="1"/>
  <c r="F375" i="29" s="1"/>
  <c r="AZ372" i="29"/>
  <c r="BK372" i="29" s="1"/>
  <c r="AV372" i="29"/>
  <c r="BG372" i="29" s="1"/>
  <c r="AR372" i="29"/>
  <c r="AN372" i="29"/>
  <c r="AJ372" i="29"/>
  <c r="AF372" i="29"/>
  <c r="BC372" i="29"/>
  <c r="AY372" i="29"/>
  <c r="BJ372" i="29" s="1"/>
  <c r="AU372" i="29"/>
  <c r="BF372" i="29" s="1"/>
  <c r="AQ372" i="29"/>
  <c r="AM372" i="29"/>
  <c r="AI372" i="29"/>
  <c r="BD372" i="29" s="1"/>
  <c r="AE372" i="29"/>
  <c r="BO372" i="29"/>
  <c r="AX372" i="29"/>
  <c r="BI372" i="29" s="1"/>
  <c r="AT372" i="29"/>
  <c r="BE372" i="29" s="1"/>
  <c r="AP372" i="29"/>
  <c r="BB372" i="29"/>
  <c r="BM372" i="29" s="1"/>
  <c r="AL372" i="29"/>
  <c r="F79" i="28" a="1"/>
  <c r="F79" i="28" s="1"/>
  <c r="F80" i="28" s="1" a="1"/>
  <c r="F80" i="28" s="1"/>
  <c r="AK78" i="28"/>
  <c r="AG78" i="28"/>
  <c r="AJ78" i="28"/>
  <c r="AF78" i="28"/>
  <c r="AN78" i="28"/>
  <c r="AI78" i="28"/>
  <c r="AL78" i="28" s="1"/>
  <c r="AE78" i="28"/>
  <c r="BE366" i="30"/>
  <c r="AN163" i="28"/>
  <c r="AI163" i="28"/>
  <c r="AE163" i="28"/>
  <c r="F164" i="28" a="1"/>
  <c r="F164" i="28" s="1"/>
  <c r="F165" i="28" s="1" a="1"/>
  <c r="F165" i="28" s="1"/>
  <c r="AK163" i="28"/>
  <c r="AG163" i="28"/>
  <c r="AH163" i="28" s="1"/>
  <c r="AJ163" i="28"/>
  <c r="AF163" i="28"/>
  <c r="BK242" i="30"/>
  <c r="BE83" i="29"/>
  <c r="BG83" i="29"/>
  <c r="BH366" i="30"/>
  <c r="BG227" i="29"/>
  <c r="BM227" i="29"/>
  <c r="BE371" i="29"/>
  <c r="BM371" i="29"/>
  <c r="AH371" i="29"/>
  <c r="BH371" i="29"/>
  <c r="BG366" i="30"/>
  <c r="BA28" i="29"/>
  <c r="BK28" i="29"/>
  <c r="BC402" i="30"/>
  <c r="AY402" i="30"/>
  <c r="AU402" i="30"/>
  <c r="AQ402" i="30"/>
  <c r="AM402" i="30"/>
  <c r="AI402" i="30"/>
  <c r="AE402" i="30"/>
  <c r="BB402" i="30"/>
  <c r="BM402" i="30" s="1"/>
  <c r="AX402" i="30"/>
  <c r="AT402" i="30"/>
  <c r="BE402" i="30" s="1"/>
  <c r="AP402" i="30"/>
  <c r="AL402" i="30"/>
  <c r="BA402" i="30"/>
  <c r="BL402" i="30" s="1"/>
  <c r="AW402" i="30"/>
  <c r="AS402" i="30"/>
  <c r="AO402" i="30"/>
  <c r="AK402" i="30"/>
  <c r="AG402" i="30"/>
  <c r="AR402" i="30"/>
  <c r="F403" i="30" a="1"/>
  <c r="F403" i="30" s="1"/>
  <c r="AN402" i="30"/>
  <c r="AZ402" i="30"/>
  <c r="AJ402" i="30"/>
  <c r="AV402" i="30"/>
  <c r="AF402" i="30"/>
  <c r="AL162" i="28"/>
  <c r="AH242" i="30"/>
  <c r="BH242" i="30"/>
  <c r="BE242" i="30"/>
  <c r="BD242" i="30"/>
  <c r="BJ242" i="30"/>
  <c r="AL247" i="28"/>
  <c r="AH247" i="28"/>
  <c r="BF83" i="29"/>
  <c r="AQ316" i="29"/>
  <c r="BD366" i="30"/>
  <c r="BG371" i="29"/>
  <c r="BL371" i="29"/>
  <c r="AL77" i="28"/>
  <c r="AH77" i="28"/>
  <c r="AU33" i="24"/>
  <c r="AT34" i="24"/>
  <c r="AU49" i="24"/>
  <c r="AT50" i="24"/>
  <c r="AY395" i="30" s="1"/>
  <c r="AH366" i="30"/>
  <c r="BA316" i="29"/>
  <c r="BK316" i="29"/>
  <c r="AH162" i="28"/>
  <c r="AH84" i="30"/>
  <c r="BL242" i="30"/>
  <c r="BI242" i="30"/>
  <c r="BJ83" i="29"/>
  <c r="BA84" i="29"/>
  <c r="BL84" i="29" s="1"/>
  <c r="AW84" i="29"/>
  <c r="AS84" i="29"/>
  <c r="AO84" i="29"/>
  <c r="AK84" i="29"/>
  <c r="AG84" i="29"/>
  <c r="F85" i="29" a="1"/>
  <c r="F85" i="29" s="1"/>
  <c r="F86" i="29" s="1" a="1"/>
  <c r="F86" i="29" s="1"/>
  <c r="F87" i="29" s="1" a="1"/>
  <c r="F87" i="29" s="1"/>
  <c r="AZ84" i="29"/>
  <c r="AV84" i="29"/>
  <c r="BG84" i="29" s="1"/>
  <c r="AR84" i="29"/>
  <c r="AN84" i="29"/>
  <c r="AJ84" i="29"/>
  <c r="AF84" i="29"/>
  <c r="BC84" i="29"/>
  <c r="AY84" i="29"/>
  <c r="BJ84" i="29" s="1"/>
  <c r="AU84" i="29"/>
  <c r="BF84" i="29" s="1"/>
  <c r="AQ84" i="29"/>
  <c r="AM84" i="29"/>
  <c r="AI84" i="29"/>
  <c r="AE84" i="29"/>
  <c r="BB84" i="29"/>
  <c r="AL84" i="29"/>
  <c r="BO84" i="29"/>
  <c r="AX84" i="29"/>
  <c r="AT84" i="29"/>
  <c r="BE84" i="29" s="1"/>
  <c r="AP84" i="29"/>
  <c r="BF366" i="30"/>
  <c r="AQ28" i="29"/>
  <c r="BK227" i="29"/>
  <c r="AH227" i="29"/>
  <c r="BE227" i="29"/>
  <c r="BF227" i="29"/>
  <c r="BK371" i="29"/>
  <c r="BC87" i="30"/>
  <c r="AY87" i="30"/>
  <c r="BJ87" i="30" s="1"/>
  <c r="AU87" i="30"/>
  <c r="BF87" i="30" s="1"/>
  <c r="AQ87" i="30"/>
  <c r="AM87" i="30"/>
  <c r="AI87" i="30"/>
  <c r="BD87" i="30" s="1"/>
  <c r="AE87" i="30"/>
  <c r="BO87" i="30"/>
  <c r="BB87" i="30"/>
  <c r="AX87" i="30"/>
  <c r="BI87" i="30" s="1"/>
  <c r="AT87" i="30"/>
  <c r="AP87" i="30"/>
  <c r="AL87" i="30"/>
  <c r="BA87" i="30"/>
  <c r="BL87" i="30" s="1"/>
  <c r="AW87" i="30"/>
  <c r="AS87" i="30"/>
  <c r="AO87" i="30"/>
  <c r="AK87" i="30"/>
  <c r="AG87" i="30"/>
  <c r="AV87" i="30"/>
  <c r="AF87" i="30"/>
  <c r="AR87" i="30"/>
  <c r="AN87" i="30"/>
  <c r="F88" i="30" a="1"/>
  <c r="F88" i="30" s="1"/>
  <c r="AZ87" i="30"/>
  <c r="BK87" i="30" s="1"/>
  <c r="AJ87" i="30"/>
  <c r="AZ243" i="30"/>
  <c r="BK243" i="30" s="1"/>
  <c r="AV243" i="30"/>
  <c r="BG243" i="30" s="1"/>
  <c r="AR243" i="30"/>
  <c r="AN243" i="30"/>
  <c r="AJ243" i="30"/>
  <c r="AF243" i="30"/>
  <c r="F244" i="30" a="1"/>
  <c r="F244" i="30" s="1"/>
  <c r="BC243" i="30"/>
  <c r="AY243" i="30"/>
  <c r="BJ243" i="30" s="1"/>
  <c r="AU243" i="30"/>
  <c r="BF243" i="30" s="1"/>
  <c r="AQ243" i="30"/>
  <c r="AM243" i="30"/>
  <c r="AI243" i="30"/>
  <c r="BD243" i="30" s="1"/>
  <c r="AE243" i="30"/>
  <c r="BB243" i="30"/>
  <c r="AX243" i="30"/>
  <c r="BI243" i="30" s="1"/>
  <c r="AT243" i="30"/>
  <c r="BE243" i="30" s="1"/>
  <c r="AP243" i="30"/>
  <c r="AL243" i="30"/>
  <c r="AS243" i="30"/>
  <c r="AO243" i="30"/>
  <c r="BA243" i="30"/>
  <c r="BL243" i="30" s="1"/>
  <c r="AK243" i="30"/>
  <c r="AW243" i="30"/>
  <c r="BH243" i="30" s="1"/>
  <c r="AG243" i="30"/>
  <c r="F249" i="28" a="1"/>
  <c r="F249" i="28" s="1"/>
  <c r="F250" i="28" s="1" a="1"/>
  <c r="F250" i="28" s="1"/>
  <c r="AK248" i="28"/>
  <c r="AG248" i="28"/>
  <c r="AJ248" i="28"/>
  <c r="AF248" i="28"/>
  <c r="AN248" i="28"/>
  <c r="AI248" i="28"/>
  <c r="AE248" i="28"/>
  <c r="AH83" i="29"/>
  <c r="AL163" i="28" l="1"/>
  <c r="BK402" i="30"/>
  <c r="BH402" i="30"/>
  <c r="BI402" i="30"/>
  <c r="AH243" i="30"/>
  <c r="AH87" i="30"/>
  <c r="AH248" i="28"/>
  <c r="BH87" i="30"/>
  <c r="BE87" i="30"/>
  <c r="BM84" i="29"/>
  <c r="BL316" i="29"/>
  <c r="BB316" i="29"/>
  <c r="AU34" i="24"/>
  <c r="AV33" i="24"/>
  <c r="AH402" i="30"/>
  <c r="BD402" i="30"/>
  <c r="BJ402" i="30"/>
  <c r="AJ80" i="28"/>
  <c r="AF80" i="28"/>
  <c r="AN80" i="28"/>
  <c r="AI80" i="28"/>
  <c r="AE80" i="28"/>
  <c r="F81" i="28" a="1"/>
  <c r="F81" i="28" s="1"/>
  <c r="AK80" i="28"/>
  <c r="AG80" i="28"/>
  <c r="AJ250" i="28"/>
  <c r="AF250" i="28"/>
  <c r="AN250" i="28"/>
  <c r="AI250" i="28"/>
  <c r="AE250" i="28"/>
  <c r="F251" i="28" a="1"/>
  <c r="F251" i="28" s="1"/>
  <c r="AK250" i="28"/>
  <c r="AG250" i="28"/>
  <c r="BM243" i="30"/>
  <c r="BA244" i="30"/>
  <c r="BL244" i="30" s="1"/>
  <c r="AW244" i="30"/>
  <c r="BH244" i="30" s="1"/>
  <c r="AS244" i="30"/>
  <c r="AO244" i="30"/>
  <c r="AK244" i="30"/>
  <c r="AG244" i="30"/>
  <c r="AZ244" i="30"/>
  <c r="BK244" i="30" s="1"/>
  <c r="AV244" i="30"/>
  <c r="BG244" i="30" s="1"/>
  <c r="AR244" i="30"/>
  <c r="AN244" i="30"/>
  <c r="AJ244" i="30"/>
  <c r="AF244" i="30"/>
  <c r="F245" i="30" a="1"/>
  <c r="F245" i="30" s="1"/>
  <c r="BC244" i="30"/>
  <c r="AY244" i="30"/>
  <c r="BJ244" i="30" s="1"/>
  <c r="AU244" i="30"/>
  <c r="BF244" i="30" s="1"/>
  <c r="AQ244" i="30"/>
  <c r="AM244" i="30"/>
  <c r="AI244" i="30"/>
  <c r="BD244" i="30" s="1"/>
  <c r="AE244" i="30"/>
  <c r="BB244" i="30"/>
  <c r="BM244" i="30" s="1"/>
  <c r="AL244" i="30"/>
  <c r="AX244" i="30"/>
  <c r="BI244" i="30" s="1"/>
  <c r="AT244" i="30"/>
  <c r="BE244" i="30" s="1"/>
  <c r="AP244" i="30"/>
  <c r="BI84" i="29"/>
  <c r="BK84" i="29"/>
  <c r="BJ395" i="30"/>
  <c r="AY366" i="30"/>
  <c r="BA231" i="29"/>
  <c r="AW231" i="29"/>
  <c r="AS231" i="29"/>
  <c r="AO231" i="29"/>
  <c r="AK231" i="29"/>
  <c r="AG231" i="29"/>
  <c r="F232" i="29" a="1"/>
  <c r="F232" i="29" s="1"/>
  <c r="AZ231" i="29"/>
  <c r="AV231" i="29"/>
  <c r="AR231" i="29"/>
  <c r="AN231" i="29"/>
  <c r="AJ231" i="29"/>
  <c r="AF231" i="29"/>
  <c r="BC231" i="29"/>
  <c r="AY231" i="29"/>
  <c r="AU231" i="29"/>
  <c r="AQ231" i="29"/>
  <c r="AM231" i="29"/>
  <c r="AI231" i="29"/>
  <c r="AE231" i="29"/>
  <c r="AT231" i="29"/>
  <c r="AP231" i="29"/>
  <c r="BB231" i="29"/>
  <c r="AL231" i="29"/>
  <c r="BO231" i="29"/>
  <c r="AX231" i="29"/>
  <c r="BM87" i="30"/>
  <c r="AR28" i="29"/>
  <c r="BD84" i="29"/>
  <c r="BC87" i="29"/>
  <c r="AY87" i="29"/>
  <c r="BJ87" i="29" s="1"/>
  <c r="AU87" i="29"/>
  <c r="BF87" i="29" s="1"/>
  <c r="AQ87" i="29"/>
  <c r="AM87" i="29"/>
  <c r="AI87" i="29"/>
  <c r="BD87" i="29" s="1"/>
  <c r="AE87" i="29"/>
  <c r="BO87" i="29"/>
  <c r="BB87" i="29"/>
  <c r="BM87" i="29" s="1"/>
  <c r="AX87" i="29"/>
  <c r="BI87" i="29" s="1"/>
  <c r="AT87" i="29"/>
  <c r="BE87" i="29" s="1"/>
  <c r="AP87" i="29"/>
  <c r="AL87" i="29"/>
  <c r="BA87" i="29"/>
  <c r="AW87" i="29"/>
  <c r="BH87" i="29" s="1"/>
  <c r="AS87" i="29"/>
  <c r="AO87" i="29"/>
  <c r="AK87" i="29"/>
  <c r="AG87" i="29"/>
  <c r="AR87" i="29"/>
  <c r="AN87" i="29"/>
  <c r="F88" i="29" a="1"/>
  <c r="F88" i="29" s="1"/>
  <c r="AZ87" i="29"/>
  <c r="BK87" i="29" s="1"/>
  <c r="AJ87" i="29"/>
  <c r="AV87" i="29"/>
  <c r="BG87" i="29" s="1"/>
  <c r="AF87" i="29"/>
  <c r="AU50" i="24"/>
  <c r="AZ395" i="30" s="1"/>
  <c r="AV49" i="24"/>
  <c r="BG402" i="30"/>
  <c r="BC403" i="30"/>
  <c r="AY403" i="30"/>
  <c r="BJ403" i="30" s="1"/>
  <c r="AU403" i="30"/>
  <c r="AQ403" i="30"/>
  <c r="AM403" i="30"/>
  <c r="AI403" i="30"/>
  <c r="AE403" i="30"/>
  <c r="BB403" i="30"/>
  <c r="BM403" i="30" s="1"/>
  <c r="AX403" i="30"/>
  <c r="BI403" i="30" s="1"/>
  <c r="AT403" i="30"/>
  <c r="AP403" i="30"/>
  <c r="AL403" i="30"/>
  <c r="F404" i="30" a="1"/>
  <c r="F404" i="30" s="1"/>
  <c r="BA403" i="30"/>
  <c r="BL403" i="30" s="1"/>
  <c r="AW403" i="30"/>
  <c r="BH403" i="30" s="1"/>
  <c r="AS403" i="30"/>
  <c r="AO403" i="30"/>
  <c r="AK403" i="30"/>
  <c r="AG403" i="30"/>
  <c r="AV403" i="30"/>
  <c r="BG403" i="30" s="1"/>
  <c r="AF403" i="30"/>
  <c r="AR403" i="30"/>
  <c r="AN403" i="30"/>
  <c r="AZ403" i="30"/>
  <c r="BK403" i="30" s="1"/>
  <c r="AJ403" i="30"/>
  <c r="AJ165" i="28"/>
  <c r="AF165" i="28"/>
  <c r="AN165" i="28"/>
  <c r="AI165" i="28"/>
  <c r="AE165" i="28"/>
  <c r="F166" i="28" a="1"/>
  <c r="F166" i="28" s="1"/>
  <c r="AK165" i="28"/>
  <c r="AG165" i="28"/>
  <c r="AH78" i="28"/>
  <c r="BC375" i="29"/>
  <c r="AY375" i="29"/>
  <c r="BJ375" i="29" s="1"/>
  <c r="AU375" i="29"/>
  <c r="AQ375" i="29"/>
  <c r="AM375" i="29"/>
  <c r="AI375" i="29"/>
  <c r="AE375" i="29"/>
  <c r="BO375" i="29"/>
  <c r="BB375" i="29"/>
  <c r="BM375" i="29" s="1"/>
  <c r="AX375" i="29"/>
  <c r="AT375" i="29"/>
  <c r="AP375" i="29"/>
  <c r="AL375" i="29"/>
  <c r="BA375" i="29"/>
  <c r="AW375" i="29"/>
  <c r="AS375" i="29"/>
  <c r="AO375" i="29"/>
  <c r="AK375" i="29"/>
  <c r="AG375" i="29"/>
  <c r="AN375" i="29"/>
  <c r="F376" i="29" a="1"/>
  <c r="F376" i="29" s="1"/>
  <c r="AZ375" i="29"/>
  <c r="AJ375" i="29"/>
  <c r="AV375" i="29"/>
  <c r="AF375" i="29"/>
  <c r="AR375" i="29"/>
  <c r="AL248" i="28"/>
  <c r="BC88" i="30"/>
  <c r="AY88" i="30"/>
  <c r="BJ88" i="30" s="1"/>
  <c r="AU88" i="30"/>
  <c r="BF88" i="30" s="1"/>
  <c r="AQ88" i="30"/>
  <c r="AM88" i="30"/>
  <c r="AI88" i="30"/>
  <c r="AE88" i="30"/>
  <c r="BO88" i="30"/>
  <c r="BB88" i="30"/>
  <c r="BM88" i="30" s="1"/>
  <c r="AX88" i="30"/>
  <c r="BI88" i="30" s="1"/>
  <c r="AT88" i="30"/>
  <c r="BE88" i="30" s="1"/>
  <c r="AP88" i="30"/>
  <c r="AL88" i="30"/>
  <c r="BA88" i="30"/>
  <c r="BL88" i="30" s="1"/>
  <c r="AW88" i="30"/>
  <c r="BH88" i="30" s="1"/>
  <c r="AS88" i="30"/>
  <c r="AO88" i="30"/>
  <c r="AK88" i="30"/>
  <c r="AG88" i="30"/>
  <c r="AN88" i="30"/>
  <c r="F89" i="30" a="1"/>
  <c r="F89" i="30" s="1"/>
  <c r="AZ88" i="30"/>
  <c r="BK88" i="30" s="1"/>
  <c r="AJ88" i="30"/>
  <c r="AV88" i="30"/>
  <c r="BG88" i="30" s="1"/>
  <c r="AF88" i="30"/>
  <c r="AR88" i="30"/>
  <c r="BG87" i="30"/>
  <c r="AH84" i="29"/>
  <c r="BH84" i="29"/>
  <c r="AR316" i="29"/>
  <c r="BF402" i="30"/>
  <c r="BL28" i="29"/>
  <c r="BB28" i="29"/>
  <c r="AH372" i="29"/>
  <c r="BI366" i="30"/>
  <c r="AH244" i="30" l="1"/>
  <c r="AS316" i="29"/>
  <c r="BG375" i="29"/>
  <c r="BE403" i="30"/>
  <c r="BD403" i="30"/>
  <c r="BK395" i="30"/>
  <c r="AZ366" i="30"/>
  <c r="BF231" i="29"/>
  <c r="BK231" i="29"/>
  <c r="BJ366" i="30"/>
  <c r="BB245" i="30"/>
  <c r="BM245" i="30" s="1"/>
  <c r="AX245" i="30"/>
  <c r="BI245" i="30" s="1"/>
  <c r="AT245" i="30"/>
  <c r="BE245" i="30" s="1"/>
  <c r="AP245" i="30"/>
  <c r="AL245" i="30"/>
  <c r="BA245" i="30"/>
  <c r="BL245" i="30" s="1"/>
  <c r="AW245" i="30"/>
  <c r="BH245" i="30" s="1"/>
  <c r="AS245" i="30"/>
  <c r="AO245" i="30"/>
  <c r="AK245" i="30"/>
  <c r="AG245" i="30"/>
  <c r="AZ245" i="30"/>
  <c r="BK245" i="30" s="1"/>
  <c r="AV245" i="30"/>
  <c r="BG245" i="30" s="1"/>
  <c r="AR245" i="30"/>
  <c r="AN245" i="30"/>
  <c r="AJ245" i="30"/>
  <c r="AF245" i="30"/>
  <c r="AU245" i="30"/>
  <c r="BF245" i="30" s="1"/>
  <c r="AE245" i="30"/>
  <c r="AQ245" i="30"/>
  <c r="BC245" i="30"/>
  <c r="AM245" i="30"/>
  <c r="AY245" i="30"/>
  <c r="BJ245" i="30" s="1"/>
  <c r="AI245" i="30"/>
  <c r="BD245" i="30" s="1"/>
  <c r="F246" i="30" a="1"/>
  <c r="F246" i="30" s="1"/>
  <c r="AH88" i="30"/>
  <c r="AH375" i="29"/>
  <c r="BH375" i="29"/>
  <c r="BE375" i="29"/>
  <c r="BF375" i="29"/>
  <c r="AH165" i="28"/>
  <c r="AL165" i="28"/>
  <c r="BC404" i="30"/>
  <c r="AY404" i="30"/>
  <c r="BJ404" i="30" s="1"/>
  <c r="AU404" i="30"/>
  <c r="BF404" i="30" s="1"/>
  <c r="AQ404" i="30"/>
  <c r="AM404" i="30"/>
  <c r="BB404" i="30"/>
  <c r="BM404" i="30" s="1"/>
  <c r="AX404" i="30"/>
  <c r="BI404" i="30" s="1"/>
  <c r="AT404" i="30"/>
  <c r="AP404" i="30"/>
  <c r="AL404" i="30"/>
  <c r="AG404" i="30"/>
  <c r="F405" i="30" a="1"/>
  <c r="F405" i="30" s="1"/>
  <c r="F406" i="30" s="1" a="1"/>
  <c r="F406" i="30" s="1"/>
  <c r="BA404" i="30"/>
  <c r="BL404" i="30" s="1"/>
  <c r="AW404" i="30"/>
  <c r="BH404" i="30" s="1"/>
  <c r="AS404" i="30"/>
  <c r="AO404" i="30"/>
  <c r="AK404" i="30"/>
  <c r="AF404" i="30"/>
  <c r="AN404" i="30"/>
  <c r="AZ404" i="30"/>
  <c r="BK404" i="30" s="1"/>
  <c r="AJ404" i="30"/>
  <c r="AV404" i="30"/>
  <c r="BG404" i="30" s="1"/>
  <c r="AE404" i="30"/>
  <c r="AR404" i="30"/>
  <c r="AH87" i="29"/>
  <c r="BM231" i="29"/>
  <c r="BD231" i="29"/>
  <c r="BJ231" i="29"/>
  <c r="BA232" i="29"/>
  <c r="BL232" i="29" s="1"/>
  <c r="AW232" i="29"/>
  <c r="BH232" i="29" s="1"/>
  <c r="AS232" i="29"/>
  <c r="AO232" i="29"/>
  <c r="AK232" i="29"/>
  <c r="AG232" i="29"/>
  <c r="F233" i="29" a="1"/>
  <c r="F233" i="29" s="1"/>
  <c r="AZ232" i="29"/>
  <c r="BK232" i="29" s="1"/>
  <c r="AV232" i="29"/>
  <c r="BG232" i="29" s="1"/>
  <c r="AR232" i="29"/>
  <c r="AN232" i="29"/>
  <c r="AJ232" i="29"/>
  <c r="AF232" i="29"/>
  <c r="BC232" i="29"/>
  <c r="AY232" i="29"/>
  <c r="BJ232" i="29" s="1"/>
  <c r="AU232" i="29"/>
  <c r="BF232" i="29" s="1"/>
  <c r="AQ232" i="29"/>
  <c r="AM232" i="29"/>
  <c r="AI232" i="29"/>
  <c r="BD232" i="29" s="1"/>
  <c r="AE232" i="29"/>
  <c r="BB232" i="29"/>
  <c r="BM232" i="29" s="1"/>
  <c r="AL232" i="29"/>
  <c r="BO232" i="29"/>
  <c r="AX232" i="29"/>
  <c r="BI232" i="29" s="1"/>
  <c r="AT232" i="29"/>
  <c r="BE232" i="29" s="1"/>
  <c r="AP232" i="29"/>
  <c r="AN251" i="28"/>
  <c r="AI251" i="28"/>
  <c r="AL251" i="28" s="1"/>
  <c r="AE251" i="28"/>
  <c r="F252" i="28" a="1"/>
  <c r="F252" i="28" s="1"/>
  <c r="F253" i="28" s="1" a="1"/>
  <c r="F253" i="28" s="1"/>
  <c r="F254" i="28" s="1" a="1"/>
  <c r="F254" i="28" s="1"/>
  <c r="F255" i="28" s="1" a="1"/>
  <c r="F255" i="28" s="1"/>
  <c r="AK251" i="28"/>
  <c r="AK249" i="28" s="1"/>
  <c r="AG251" i="28"/>
  <c r="AG249" i="28" s="1"/>
  <c r="AJ251" i="28"/>
  <c r="AF251" i="28"/>
  <c r="AF249" i="28" s="1"/>
  <c r="AF263" i="28" s="1"/>
  <c r="AN81" i="28"/>
  <c r="AI81" i="28"/>
  <c r="AL81" i="28" s="1"/>
  <c r="AE81" i="28"/>
  <c r="F82" i="28" a="1"/>
  <c r="F82" i="28" s="1"/>
  <c r="F83" i="28" s="1" a="1"/>
  <c r="F83" i="28" s="1"/>
  <c r="F84" i="28" s="1" a="1"/>
  <c r="F84" i="28" s="1"/>
  <c r="F85" i="28" s="1" a="1"/>
  <c r="F85" i="28" s="1"/>
  <c r="AK81" i="28"/>
  <c r="AK79" i="28" s="1"/>
  <c r="AG81" i="28"/>
  <c r="AG79" i="28" s="1"/>
  <c r="AJ81" i="28"/>
  <c r="AF81" i="28"/>
  <c r="AF79" i="28" s="1"/>
  <c r="AF93" i="28" s="1"/>
  <c r="AW33" i="24"/>
  <c r="AV34" i="24"/>
  <c r="BD88" i="30"/>
  <c r="BK375" i="29"/>
  <c r="BL375" i="29"/>
  <c r="BI375" i="29"/>
  <c r="BD375" i="29"/>
  <c r="BC88" i="29"/>
  <c r="AY88" i="29"/>
  <c r="BJ88" i="29" s="1"/>
  <c r="AU88" i="29"/>
  <c r="BF88" i="29" s="1"/>
  <c r="AQ88" i="29"/>
  <c r="AM88" i="29"/>
  <c r="AI88" i="29"/>
  <c r="BD88" i="29" s="1"/>
  <c r="AE88" i="29"/>
  <c r="BO88" i="29"/>
  <c r="BB88" i="29"/>
  <c r="BM88" i="29" s="1"/>
  <c r="AX88" i="29"/>
  <c r="BI88" i="29" s="1"/>
  <c r="AT88" i="29"/>
  <c r="AP88" i="29"/>
  <c r="AL88" i="29"/>
  <c r="BA88" i="29"/>
  <c r="BL88" i="29" s="1"/>
  <c r="AW88" i="29"/>
  <c r="AS88" i="29"/>
  <c r="AO88" i="29"/>
  <c r="AK88" i="29"/>
  <c r="AG88" i="29"/>
  <c r="F89" i="29" a="1"/>
  <c r="F89" i="29" s="1"/>
  <c r="AZ88" i="29"/>
  <c r="BK88" i="29" s="1"/>
  <c r="AJ88" i="29"/>
  <c r="AV88" i="29"/>
  <c r="BG88" i="29" s="1"/>
  <c r="AF88" i="29"/>
  <c r="AR88" i="29"/>
  <c r="AN88" i="29"/>
  <c r="BL87" i="29"/>
  <c r="BI231" i="29"/>
  <c r="AH231" i="29"/>
  <c r="BH231" i="29"/>
  <c r="AE249" i="28"/>
  <c r="AE263" i="28" s="1"/>
  <c r="AJ249" i="28"/>
  <c r="AJ263" i="28" s="1"/>
  <c r="AE79" i="28"/>
  <c r="AE93" i="28" s="1"/>
  <c r="AJ79" i="28"/>
  <c r="AJ93" i="28" s="1"/>
  <c r="BM28" i="29"/>
  <c r="BC28" i="29"/>
  <c r="BC89" i="30"/>
  <c r="AY89" i="30"/>
  <c r="BJ89" i="30" s="1"/>
  <c r="AU89" i="30"/>
  <c r="BF89" i="30" s="1"/>
  <c r="AQ89" i="30"/>
  <c r="AM89" i="30"/>
  <c r="AI89" i="30"/>
  <c r="BD89" i="30" s="1"/>
  <c r="AE89" i="30"/>
  <c r="BO89" i="30"/>
  <c r="BB89" i="30"/>
  <c r="BM89" i="30" s="1"/>
  <c r="AX89" i="30"/>
  <c r="BI89" i="30" s="1"/>
  <c r="AT89" i="30"/>
  <c r="BE89" i="30" s="1"/>
  <c r="AP89" i="30"/>
  <c r="AL89" i="30"/>
  <c r="BA89" i="30"/>
  <c r="BL89" i="30" s="1"/>
  <c r="AW89" i="30"/>
  <c r="BH89" i="30" s="1"/>
  <c r="AS89" i="30"/>
  <c r="AO89" i="30"/>
  <c r="AK89" i="30"/>
  <c r="AG89" i="30"/>
  <c r="AV89" i="30"/>
  <c r="AF89" i="30"/>
  <c r="AR89" i="30"/>
  <c r="AN89" i="30"/>
  <c r="AZ89" i="30"/>
  <c r="BK89" i="30" s="1"/>
  <c r="AJ89" i="30"/>
  <c r="F90" i="30" a="1"/>
  <c r="F90" i="30" s="1"/>
  <c r="BC376" i="29"/>
  <c r="AY376" i="29"/>
  <c r="BJ376" i="29" s="1"/>
  <c r="AU376" i="29"/>
  <c r="BF376" i="29" s="1"/>
  <c r="AQ376" i="29"/>
  <c r="AM376" i="29"/>
  <c r="AI376" i="29"/>
  <c r="BD376" i="29" s="1"/>
  <c r="AE376" i="29"/>
  <c r="BO376" i="29"/>
  <c r="BB376" i="29"/>
  <c r="BM376" i="29" s="1"/>
  <c r="AX376" i="29"/>
  <c r="BI376" i="29" s="1"/>
  <c r="AT376" i="29"/>
  <c r="BE376" i="29" s="1"/>
  <c r="AP376" i="29"/>
  <c r="AL376" i="29"/>
  <c r="BA376" i="29"/>
  <c r="BL376" i="29" s="1"/>
  <c r="AW376" i="29"/>
  <c r="BH376" i="29" s="1"/>
  <c r="AS376" i="29"/>
  <c r="AO376" i="29"/>
  <c r="AK376" i="29"/>
  <c r="AG376" i="29"/>
  <c r="AV376" i="29"/>
  <c r="BG376" i="29" s="1"/>
  <c r="AF376" i="29"/>
  <c r="AR376" i="29"/>
  <c r="AN376" i="29"/>
  <c r="AZ376" i="29"/>
  <c r="BK376" i="29" s="1"/>
  <c r="AJ376" i="29"/>
  <c r="F377" i="29" a="1"/>
  <c r="F377" i="29" s="1"/>
  <c r="F167" i="28" a="1"/>
  <c r="F167" i="28" s="1"/>
  <c r="F168" i="28" s="1" a="1"/>
  <c r="F168" i="28" s="1"/>
  <c r="F169" i="28" s="1" a="1"/>
  <c r="F169" i="28" s="1"/>
  <c r="F170" i="28" s="1" a="1"/>
  <c r="F170" i="28" s="1"/>
  <c r="AK166" i="28"/>
  <c r="AK164" i="28" s="1"/>
  <c r="AG166" i="28"/>
  <c r="AN166" i="28"/>
  <c r="AI166" i="28"/>
  <c r="AL166" i="28" s="1"/>
  <c r="AE166" i="28"/>
  <c r="AE164" i="28" s="1"/>
  <c r="AE178" i="28" s="1"/>
  <c r="AF166" i="28"/>
  <c r="AF164" i="28" s="1"/>
  <c r="AF178" i="28" s="1"/>
  <c r="AJ166" i="28"/>
  <c r="AJ164" i="28" s="1"/>
  <c r="AJ178" i="28" s="1"/>
  <c r="AH403" i="30"/>
  <c r="BF403" i="30"/>
  <c r="AW49" i="24"/>
  <c r="AV50" i="24"/>
  <c r="BA395" i="30" s="1"/>
  <c r="AS28" i="29"/>
  <c r="BE231" i="29"/>
  <c r="BG231" i="29"/>
  <c r="BL231" i="29"/>
  <c r="AH250" i="28"/>
  <c r="AI249" i="28"/>
  <c r="AL250" i="28"/>
  <c r="AH80" i="28"/>
  <c r="AI79" i="28"/>
  <c r="AL80" i="28"/>
  <c r="BM316" i="29"/>
  <c r="BC316" i="29"/>
  <c r="AH251" i="28" l="1"/>
  <c r="BL395" i="30"/>
  <c r="BA366" i="30"/>
  <c r="AH166" i="28"/>
  <c r="AH89" i="30"/>
  <c r="BC89" i="29"/>
  <c r="AY89" i="29"/>
  <c r="BJ89" i="29" s="1"/>
  <c r="AU89" i="29"/>
  <c r="BF89" i="29" s="1"/>
  <c r="AQ89" i="29"/>
  <c r="AM89" i="29"/>
  <c r="AI89" i="29"/>
  <c r="BD89" i="29" s="1"/>
  <c r="AE89" i="29"/>
  <c r="BO89" i="29"/>
  <c r="BB89" i="29"/>
  <c r="BM89" i="29" s="1"/>
  <c r="AX89" i="29"/>
  <c r="BI89" i="29" s="1"/>
  <c r="AT89" i="29"/>
  <c r="BE89" i="29" s="1"/>
  <c r="AP89" i="29"/>
  <c r="AL89" i="29"/>
  <c r="BA89" i="29"/>
  <c r="AW89" i="29"/>
  <c r="BH89" i="29" s="1"/>
  <c r="AS89" i="29"/>
  <c r="AO89" i="29"/>
  <c r="AK89" i="29"/>
  <c r="AG89" i="29"/>
  <c r="AR89" i="29"/>
  <c r="AN89" i="29"/>
  <c r="F90" i="29" a="1"/>
  <c r="F90" i="29" s="1"/>
  <c r="AZ89" i="29"/>
  <c r="BK89" i="29" s="1"/>
  <c r="AJ89" i="29"/>
  <c r="AV89" i="29"/>
  <c r="BG89" i="29" s="1"/>
  <c r="AF89" i="29"/>
  <c r="BA233" i="29"/>
  <c r="BL233" i="29" s="1"/>
  <c r="AW233" i="29"/>
  <c r="BH233" i="29" s="1"/>
  <c r="AS233" i="29"/>
  <c r="AO233" i="29"/>
  <c r="AK233" i="29"/>
  <c r="AG233" i="29"/>
  <c r="F234" i="29" a="1"/>
  <c r="F234" i="29" s="1"/>
  <c r="AZ233" i="29"/>
  <c r="BK233" i="29" s="1"/>
  <c r="AV233" i="29"/>
  <c r="AR233" i="29"/>
  <c r="AN233" i="29"/>
  <c r="AJ233" i="29"/>
  <c r="AF233" i="29"/>
  <c r="BC233" i="29"/>
  <c r="AY233" i="29"/>
  <c r="BJ233" i="29" s="1"/>
  <c r="AU233" i="29"/>
  <c r="BF233" i="29" s="1"/>
  <c r="AQ233" i="29"/>
  <c r="AM233" i="29"/>
  <c r="AI233" i="29"/>
  <c r="BD233" i="29" s="1"/>
  <c r="AE233" i="29"/>
  <c r="AT233" i="29"/>
  <c r="AP233" i="29"/>
  <c r="BB233" i="29"/>
  <c r="BM233" i="29" s="1"/>
  <c r="AL233" i="29"/>
  <c r="BO233" i="29"/>
  <c r="AX233" i="29"/>
  <c r="AH404" i="30"/>
  <c r="BK366" i="30"/>
  <c r="AX49" i="24"/>
  <c r="AX50" i="24" s="1"/>
  <c r="BC395" i="30" s="1"/>
  <c r="BC366" i="30" s="1"/>
  <c r="AW50" i="24"/>
  <c r="BB395" i="30" s="1"/>
  <c r="BC90" i="30"/>
  <c r="BC79" i="30" s="1"/>
  <c r="AY90" i="30"/>
  <c r="AU90" i="30"/>
  <c r="AQ90" i="30"/>
  <c r="AQ79" i="30" s="1"/>
  <c r="AM90" i="30"/>
  <c r="AM79" i="30" s="1"/>
  <c r="AI90" i="30"/>
  <c r="AE90" i="30"/>
  <c r="AE79" i="30" s="1"/>
  <c r="BO90" i="30"/>
  <c r="BB90" i="30"/>
  <c r="AX90" i="30"/>
  <c r="AT90" i="30"/>
  <c r="AP90" i="30"/>
  <c r="AP79" i="30" s="1"/>
  <c r="AL90" i="30"/>
  <c r="AL79" i="30" s="1"/>
  <c r="BA90" i="30"/>
  <c r="AW90" i="30"/>
  <c r="AS90" i="30"/>
  <c r="AS79" i="30" s="1"/>
  <c r="AO90" i="30"/>
  <c r="AO79" i="30" s="1"/>
  <c r="AK90" i="30"/>
  <c r="AK79" i="30" s="1"/>
  <c r="AG90" i="30"/>
  <c r="AN90" i="30"/>
  <c r="AN79" i="30" s="1"/>
  <c r="F91" i="30" a="1"/>
  <c r="F91" i="30" s="1"/>
  <c r="AZ90" i="30"/>
  <c r="AJ90" i="30"/>
  <c r="AJ79" i="30" s="1"/>
  <c r="AV90" i="30"/>
  <c r="BG90" i="30" s="1"/>
  <c r="AF90" i="30"/>
  <c r="AF79" i="30" s="1"/>
  <c r="AR90" i="30"/>
  <c r="AR79" i="30" s="1"/>
  <c r="AH88" i="29"/>
  <c r="BH88" i="29"/>
  <c r="BE88" i="29"/>
  <c r="AK85" i="28"/>
  <c r="F86" i="28" a="1"/>
  <c r="F86" i="28" s="1"/>
  <c r="AH232" i="29"/>
  <c r="AG164" i="28"/>
  <c r="AH245" i="30"/>
  <c r="AL79" i="28"/>
  <c r="AI93" i="28"/>
  <c r="AL93" i="28" s="1"/>
  <c r="AL249" i="28"/>
  <c r="AI263" i="28"/>
  <c r="AK170" i="28"/>
  <c r="F171" i="28" a="1"/>
  <c r="F171" i="28" s="1"/>
  <c r="AH376" i="29"/>
  <c r="AK255" i="28"/>
  <c r="F256" i="28" a="1"/>
  <c r="F256" i="28" s="1"/>
  <c r="AH79" i="28"/>
  <c r="AG93" i="28"/>
  <c r="AH93" i="28" s="1"/>
  <c r="AH249" i="28"/>
  <c r="AG263" i="28"/>
  <c r="AH263" i="28" s="1"/>
  <c r="BC377" i="29"/>
  <c r="AY377" i="29"/>
  <c r="BJ377" i="29" s="1"/>
  <c r="AU377" i="29"/>
  <c r="BF377" i="29" s="1"/>
  <c r="AQ377" i="29"/>
  <c r="AM377" i="29"/>
  <c r="AI377" i="29"/>
  <c r="BD377" i="29" s="1"/>
  <c r="AE377" i="29"/>
  <c r="BO377" i="29"/>
  <c r="BB377" i="29"/>
  <c r="BM377" i="29" s="1"/>
  <c r="AX377" i="29"/>
  <c r="BI377" i="29" s="1"/>
  <c r="AT377" i="29"/>
  <c r="BE377" i="29" s="1"/>
  <c r="AP377" i="29"/>
  <c r="AL377" i="29"/>
  <c r="BA377" i="29"/>
  <c r="BL377" i="29" s="1"/>
  <c r="AW377" i="29"/>
  <c r="BH377" i="29" s="1"/>
  <c r="AS377" i="29"/>
  <c r="AO377" i="29"/>
  <c r="AK377" i="29"/>
  <c r="AG377" i="29"/>
  <c r="AN377" i="29"/>
  <c r="F378" i="29" a="1"/>
  <c r="F378" i="29" s="1"/>
  <c r="AZ377" i="29"/>
  <c r="BK377" i="29" s="1"/>
  <c r="AJ377" i="29"/>
  <c r="AV377" i="29"/>
  <c r="BG377" i="29" s="1"/>
  <c r="AF377" i="29"/>
  <c r="AR377" i="29"/>
  <c r="BG89" i="30"/>
  <c r="AV79" i="30"/>
  <c r="AX33" i="24"/>
  <c r="AX34" i="24" s="1"/>
  <c r="AW34" i="24"/>
  <c r="AH81" i="28"/>
  <c r="F407" i="30" a="1"/>
  <c r="F407" i="30" s="1"/>
  <c r="BA406" i="30"/>
  <c r="AW406" i="30"/>
  <c r="AS406" i="30"/>
  <c r="AO406" i="30"/>
  <c r="AK406" i="30"/>
  <c r="AG406" i="30"/>
  <c r="AZ406" i="30"/>
  <c r="AV406" i="30"/>
  <c r="AR406" i="30"/>
  <c r="AN406" i="30"/>
  <c r="AJ406" i="30"/>
  <c r="AF406" i="30"/>
  <c r="BC406" i="30"/>
  <c r="AY406" i="30"/>
  <c r="AU406" i="30"/>
  <c r="AQ406" i="30"/>
  <c r="AM406" i="30"/>
  <c r="AI406" i="30"/>
  <c r="AE406" i="30"/>
  <c r="BB406" i="30"/>
  <c r="AL406" i="30"/>
  <c r="AX406" i="30"/>
  <c r="AT406" i="30"/>
  <c r="AP406" i="30"/>
  <c r="BE404" i="30"/>
  <c r="BD404" i="30"/>
  <c r="AI164" i="28"/>
  <c r="BC246" i="30"/>
  <c r="BC236" i="30" s="1"/>
  <c r="AY246" i="30"/>
  <c r="AU246" i="30"/>
  <c r="AQ246" i="30"/>
  <c r="AQ236" i="30" s="1"/>
  <c r="AM246" i="30"/>
  <c r="AM236" i="30" s="1"/>
  <c r="AI246" i="30"/>
  <c r="AE246" i="30"/>
  <c r="AE236" i="30" s="1"/>
  <c r="BO246" i="30"/>
  <c r="BB246" i="30"/>
  <c r="AX246" i="30"/>
  <c r="AT246" i="30"/>
  <c r="AP246" i="30"/>
  <c r="AP236" i="30" s="1"/>
  <c r="AL246" i="30"/>
  <c r="AL236" i="30" s="1"/>
  <c r="BA246" i="30"/>
  <c r="AW246" i="30"/>
  <c r="AS246" i="30"/>
  <c r="AS236" i="30" s="1"/>
  <c r="AO246" i="30"/>
  <c r="AO236" i="30" s="1"/>
  <c r="AK246" i="30"/>
  <c r="AK236" i="30" s="1"/>
  <c r="AG246" i="30"/>
  <c r="AN246" i="30"/>
  <c r="AN236" i="30" s="1"/>
  <c r="F247" i="30" a="1"/>
  <c r="F247" i="30" s="1"/>
  <c r="F248" i="30" s="1" a="1"/>
  <c r="F248" i="30" s="1"/>
  <c r="AZ246" i="30"/>
  <c r="AJ246" i="30"/>
  <c r="AJ236" i="30" s="1"/>
  <c r="AV246" i="30"/>
  <c r="AF246" i="30"/>
  <c r="AF236" i="30" s="1"/>
  <c r="AR246" i="30"/>
  <c r="AR236" i="30" s="1"/>
  <c r="AH377" i="29" l="1"/>
  <c r="AH246" i="30"/>
  <c r="AG236" i="30"/>
  <c r="BE246" i="30"/>
  <c r="AT236" i="30"/>
  <c r="BE406" i="30"/>
  <c r="BK246" i="30"/>
  <c r="AZ236" i="30"/>
  <c r="BL246" i="30"/>
  <c r="BA236" i="30"/>
  <c r="BI246" i="30"/>
  <c r="AX236" i="30"/>
  <c r="BD246" i="30"/>
  <c r="AI236" i="30"/>
  <c r="BJ246" i="30"/>
  <c r="AY236" i="30"/>
  <c r="BI406" i="30"/>
  <c r="BD406" i="30"/>
  <c r="BJ406" i="30"/>
  <c r="AH406" i="30"/>
  <c r="BH406" i="30"/>
  <c r="AK256" i="28"/>
  <c r="AK263" i="28" s="1"/>
  <c r="AL263" i="28" s="1"/>
  <c r="F257" i="28" a="1"/>
  <c r="F257" i="28" s="1"/>
  <c r="F258" i="28" s="1" a="1"/>
  <c r="F258" i="28" s="1"/>
  <c r="F259" i="28" s="1" a="1"/>
  <c r="F259" i="28" s="1"/>
  <c r="F260" i="28" s="1" a="1"/>
  <c r="F260" i="28" s="1"/>
  <c r="F261" i="28" s="1" a="1"/>
  <c r="F261" i="28" s="1"/>
  <c r="F262" i="28" s="1" a="1"/>
  <c r="F262" i="28" s="1"/>
  <c r="F263" i="28" s="1" a="1"/>
  <c r="F263" i="28" s="1"/>
  <c r="F264" i="28" s="1" a="1"/>
  <c r="F264" i="28" s="1"/>
  <c r="F265" i="28" s="1" a="1"/>
  <c r="F265" i="28" s="1"/>
  <c r="F266" i="28" s="1" a="1"/>
  <c r="F266" i="28" s="1"/>
  <c r="BK90" i="30"/>
  <c r="AZ79" i="30"/>
  <c r="BL90" i="30"/>
  <c r="BA79" i="30"/>
  <c r="BI90" i="30"/>
  <c r="AX79" i="30"/>
  <c r="BD90" i="30"/>
  <c r="AI79" i="30"/>
  <c r="BJ90" i="30"/>
  <c r="AY79" i="30"/>
  <c r="BI233" i="29"/>
  <c r="AH233" i="29"/>
  <c r="BH246" i="30"/>
  <c r="AW236" i="30"/>
  <c r="BF246" i="30"/>
  <c r="AU236" i="30"/>
  <c r="AL164" i="28"/>
  <c r="AI178" i="28"/>
  <c r="F249" i="30" a="1"/>
  <c r="F249" i="30" s="1"/>
  <c r="F250" i="30" s="1" a="1"/>
  <c r="F250" i="30" s="1"/>
  <c r="AZ248" i="30"/>
  <c r="AV248" i="30"/>
  <c r="AR248" i="30"/>
  <c r="AN248" i="30"/>
  <c r="AJ248" i="30"/>
  <c r="AF248" i="30"/>
  <c r="AF222" i="30" s="1"/>
  <c r="BC248" i="30"/>
  <c r="AY248" i="30"/>
  <c r="AU248" i="30"/>
  <c r="AQ248" i="30"/>
  <c r="AM248" i="30"/>
  <c r="AI248" i="30"/>
  <c r="AE248" i="30"/>
  <c r="AE222" i="30" s="1"/>
  <c r="BB248" i="30"/>
  <c r="BM248" i="30" s="1"/>
  <c r="AX248" i="30"/>
  <c r="AT248" i="30"/>
  <c r="BE248" i="30" s="1"/>
  <c r="AP248" i="30"/>
  <c r="AL248" i="30"/>
  <c r="AW248" i="30"/>
  <c r="BH248" i="30" s="1"/>
  <c r="AG248" i="30"/>
  <c r="AS248" i="30"/>
  <c r="AO248" i="30"/>
  <c r="BA248" i="30"/>
  <c r="BL248" i="30" s="1"/>
  <c r="AK248" i="30"/>
  <c r="BM246" i="30"/>
  <c r="BB236" i="30"/>
  <c r="BL406" i="30"/>
  <c r="BC378" i="29"/>
  <c r="BC367" i="29" s="1"/>
  <c r="AY378" i="29"/>
  <c r="AU378" i="29"/>
  <c r="AQ378" i="29"/>
  <c r="AQ367" i="29" s="1"/>
  <c r="AM378" i="29"/>
  <c r="AM367" i="29" s="1"/>
  <c r="AI378" i="29"/>
  <c r="AE378" i="29"/>
  <c r="AE367" i="29" s="1"/>
  <c r="BO378" i="29"/>
  <c r="BB378" i="29"/>
  <c r="AX378" i="29"/>
  <c r="AT378" i="29"/>
  <c r="AP378" i="29"/>
  <c r="AP367" i="29" s="1"/>
  <c r="AL378" i="29"/>
  <c r="AL367" i="29" s="1"/>
  <c r="BA378" i="29"/>
  <c r="AW378" i="29"/>
  <c r="AS378" i="29"/>
  <c r="AS367" i="29" s="1"/>
  <c r="AO378" i="29"/>
  <c r="AO367" i="29" s="1"/>
  <c r="AK378" i="29"/>
  <c r="AK367" i="29" s="1"/>
  <c r="AG378" i="29"/>
  <c r="AV378" i="29"/>
  <c r="AF378" i="29"/>
  <c r="AF367" i="29" s="1"/>
  <c r="AR378" i="29"/>
  <c r="AR367" i="29" s="1"/>
  <c r="AN378" i="29"/>
  <c r="AN367" i="29" s="1"/>
  <c r="AJ378" i="29"/>
  <c r="AJ367" i="29" s="1"/>
  <c r="F379" i="29" a="1"/>
  <c r="F379" i="29" s="1"/>
  <c r="AZ378" i="29"/>
  <c r="AH164" i="28"/>
  <c r="AG178" i="28"/>
  <c r="AH178" i="28" s="1"/>
  <c r="BC91" i="30"/>
  <c r="AY91" i="30"/>
  <c r="BJ91" i="30" s="1"/>
  <c r="AU91" i="30"/>
  <c r="BF91" i="30" s="1"/>
  <c r="AQ91" i="30"/>
  <c r="AM91" i="30"/>
  <c r="AI91" i="30"/>
  <c r="BD91" i="30" s="1"/>
  <c r="AE91" i="30"/>
  <c r="BO91" i="30"/>
  <c r="BB91" i="30"/>
  <c r="BM91" i="30" s="1"/>
  <c r="AX91" i="30"/>
  <c r="BI91" i="30" s="1"/>
  <c r="AT91" i="30"/>
  <c r="BE91" i="30" s="1"/>
  <c r="AP91" i="30"/>
  <c r="AL91" i="30"/>
  <c r="BA91" i="30"/>
  <c r="BL91" i="30" s="1"/>
  <c r="AW91" i="30"/>
  <c r="BH91" i="30" s="1"/>
  <c r="AS91" i="30"/>
  <c r="AO91" i="30"/>
  <c r="AK91" i="30"/>
  <c r="AG91" i="30"/>
  <c r="AV91" i="30"/>
  <c r="BG91" i="30" s="1"/>
  <c r="AF91" i="30"/>
  <c r="AR91" i="30"/>
  <c r="AN91" i="30"/>
  <c r="AJ91" i="30"/>
  <c r="F92" i="30" a="1"/>
  <c r="F92" i="30" s="1"/>
  <c r="AZ91" i="30"/>
  <c r="BK91" i="30" s="1"/>
  <c r="BM90" i="30"/>
  <c r="BB79" i="30"/>
  <c r="BE233" i="29"/>
  <c r="BG233" i="29"/>
  <c r="AH89" i="29"/>
  <c r="BG246" i="30"/>
  <c r="AV236" i="30"/>
  <c r="BM406" i="30"/>
  <c r="BG406" i="30"/>
  <c r="AZ407" i="30"/>
  <c r="BK407" i="30" s="1"/>
  <c r="AV407" i="30"/>
  <c r="BG407" i="30" s="1"/>
  <c r="AR407" i="30"/>
  <c r="AN407" i="30"/>
  <c r="AJ407" i="30"/>
  <c r="AF407" i="30"/>
  <c r="BC407" i="30"/>
  <c r="AY407" i="30"/>
  <c r="BJ407" i="30" s="1"/>
  <c r="AU407" i="30"/>
  <c r="BF407" i="30" s="1"/>
  <c r="AQ407" i="30"/>
  <c r="AM407" i="30"/>
  <c r="AI407" i="30"/>
  <c r="BD407" i="30" s="1"/>
  <c r="AE407" i="30"/>
  <c r="F408" i="30" a="1"/>
  <c r="F408" i="30" s="1"/>
  <c r="BO407" i="30"/>
  <c r="BB407" i="30"/>
  <c r="BM407" i="30" s="1"/>
  <c r="AX407" i="30"/>
  <c r="BI407" i="30" s="1"/>
  <c r="AT407" i="30"/>
  <c r="BE407" i="30" s="1"/>
  <c r="AP407" i="30"/>
  <c r="AL407" i="30"/>
  <c r="AS407" i="30"/>
  <c r="AO407" i="30"/>
  <c r="BA407" i="30"/>
  <c r="BL407" i="30" s="1"/>
  <c r="AK407" i="30"/>
  <c r="AW407" i="30"/>
  <c r="BH407" i="30" s="1"/>
  <c r="AG407" i="30"/>
  <c r="AH407" i="30" s="1"/>
  <c r="BG79" i="30"/>
  <c r="BM395" i="30"/>
  <c r="BB366" i="30"/>
  <c r="BC90" i="29"/>
  <c r="BC79" i="29" s="1"/>
  <c r="AY90" i="29"/>
  <c r="AU90" i="29"/>
  <c r="AQ90" i="29"/>
  <c r="AQ79" i="29" s="1"/>
  <c r="AM90" i="29"/>
  <c r="AM79" i="29" s="1"/>
  <c r="AI90" i="29"/>
  <c r="AE90" i="29"/>
  <c r="AE79" i="29" s="1"/>
  <c r="BO90" i="29"/>
  <c r="BB90" i="29"/>
  <c r="AX90" i="29"/>
  <c r="AT90" i="29"/>
  <c r="AP90" i="29"/>
  <c r="AP79" i="29" s="1"/>
  <c r="AL90" i="29"/>
  <c r="AL79" i="29" s="1"/>
  <c r="BA90" i="29"/>
  <c r="BL90" i="29" s="1"/>
  <c r="AW90" i="29"/>
  <c r="AS90" i="29"/>
  <c r="AS79" i="29" s="1"/>
  <c r="AO90" i="29"/>
  <c r="AO79" i="29" s="1"/>
  <c r="AK90" i="29"/>
  <c r="AK79" i="29" s="1"/>
  <c r="AG90" i="29"/>
  <c r="F91" i="29" a="1"/>
  <c r="F91" i="29" s="1"/>
  <c r="AZ90" i="29"/>
  <c r="AJ90" i="29"/>
  <c r="AJ79" i="29" s="1"/>
  <c r="AV90" i="29"/>
  <c r="AF90" i="29"/>
  <c r="AF79" i="29" s="1"/>
  <c r="AR90" i="29"/>
  <c r="AR79" i="29" s="1"/>
  <c r="AN90" i="29"/>
  <c r="AN79" i="29" s="1"/>
  <c r="BL89" i="29"/>
  <c r="BL366" i="30"/>
  <c r="BF406" i="30"/>
  <c r="BK406" i="30"/>
  <c r="AK171" i="28"/>
  <c r="AK178" i="28" s="1"/>
  <c r="F172" i="28" a="1"/>
  <c r="F172" i="28" s="1"/>
  <c r="F173" i="28" s="1" a="1"/>
  <c r="F173" i="28" s="1"/>
  <c r="F174" i="28" s="1" a="1"/>
  <c r="F174" i="28" s="1"/>
  <c r="F175" i="28" s="1" a="1"/>
  <c r="F175" i="28" s="1"/>
  <c r="F176" i="28" s="1" a="1"/>
  <c r="F176" i="28" s="1"/>
  <c r="F177" i="28" s="1" a="1"/>
  <c r="F177" i="28" s="1"/>
  <c r="F178" i="28" s="1" a="1"/>
  <c r="F178" i="28" s="1"/>
  <c r="F179" i="28" s="1" a="1"/>
  <c r="F179" i="28" s="1"/>
  <c r="F180" i="28" s="1" a="1"/>
  <c r="F180" i="28" s="1"/>
  <c r="F181" i="28" s="1" a="1"/>
  <c r="F181" i="28" s="1"/>
  <c r="AK86" i="28"/>
  <c r="AK93" i="28" s="1"/>
  <c r="F87" i="28" a="1"/>
  <c r="F87" i="28" s="1"/>
  <c r="F88" i="28" s="1" a="1"/>
  <c r="F88" i="28" s="1"/>
  <c r="F89" i="28" s="1" a="1"/>
  <c r="F89" i="28" s="1"/>
  <c r="F90" i="28" s="1" a="1"/>
  <c r="F90" i="28" s="1"/>
  <c r="F91" i="28" s="1" a="1"/>
  <c r="F91" i="28" s="1"/>
  <c r="F92" i="28" s="1" a="1"/>
  <c r="F92" i="28" s="1"/>
  <c r="F93" i="28" s="1" a="1"/>
  <c r="F93" i="28" s="1"/>
  <c r="F94" i="28" s="1" a="1"/>
  <c r="F94" i="28" s="1"/>
  <c r="F95" i="28" s="1" a="1"/>
  <c r="F95" i="28" s="1"/>
  <c r="F96" i="28" s="1" a="1"/>
  <c r="F96" i="28" s="1"/>
  <c r="AH90" i="30"/>
  <c r="AG79" i="30"/>
  <c r="BH90" i="30"/>
  <c r="AW79" i="30"/>
  <c r="BE90" i="30"/>
  <c r="AT79" i="30"/>
  <c r="BF90" i="30"/>
  <c r="AU79" i="30"/>
  <c r="BA234" i="29"/>
  <c r="AW234" i="29"/>
  <c r="AS234" i="29"/>
  <c r="AS223" i="29" s="1"/>
  <c r="AO234" i="29"/>
  <c r="AO223" i="29" s="1"/>
  <c r="AK234" i="29"/>
  <c r="AK223" i="29" s="1"/>
  <c r="AG234" i="29"/>
  <c r="F235" i="29" a="1"/>
  <c r="F235" i="29" s="1"/>
  <c r="AZ234" i="29"/>
  <c r="AV234" i="29"/>
  <c r="BG234" i="29" s="1"/>
  <c r="AR234" i="29"/>
  <c r="AR223" i="29" s="1"/>
  <c r="AN234" i="29"/>
  <c r="AN223" i="29" s="1"/>
  <c r="AJ234" i="29"/>
  <c r="AJ223" i="29" s="1"/>
  <c r="AF234" i="29"/>
  <c r="AF223" i="29" s="1"/>
  <c r="BC234" i="29"/>
  <c r="BC223" i="29" s="1"/>
  <c r="AY234" i="29"/>
  <c r="AU234" i="29"/>
  <c r="AQ234" i="29"/>
  <c r="AQ223" i="29" s="1"/>
  <c r="AM234" i="29"/>
  <c r="AM223" i="29" s="1"/>
  <c r="AI234" i="29"/>
  <c r="AE234" i="29"/>
  <c r="AE223" i="29" s="1"/>
  <c r="BB234" i="29"/>
  <c r="AL234" i="29"/>
  <c r="AL223" i="29" s="1"/>
  <c r="BO234" i="29"/>
  <c r="AX234" i="29"/>
  <c r="BI234" i="29" s="1"/>
  <c r="AT234" i="29"/>
  <c r="BE234" i="29" s="1"/>
  <c r="AP234" i="29"/>
  <c r="AP223" i="29" s="1"/>
  <c r="BJ248" i="30" l="1"/>
  <c r="BF248" i="30"/>
  <c r="AH248" i="30"/>
  <c r="BA79" i="29"/>
  <c r="BL79" i="29" s="1"/>
  <c r="BF234" i="29"/>
  <c r="AU223" i="29"/>
  <c r="BK234" i="29"/>
  <c r="AZ223" i="29"/>
  <c r="BE79" i="30"/>
  <c r="AH79" i="30"/>
  <c r="BC91" i="29"/>
  <c r="AY91" i="29"/>
  <c r="BJ91" i="29" s="1"/>
  <c r="AU91" i="29"/>
  <c r="BF91" i="29" s="1"/>
  <c r="AQ91" i="29"/>
  <c r="AM91" i="29"/>
  <c r="AI91" i="29"/>
  <c r="BD91" i="29" s="1"/>
  <c r="AE91" i="29"/>
  <c r="BO91" i="29"/>
  <c r="BB91" i="29"/>
  <c r="BM91" i="29" s="1"/>
  <c r="AX91" i="29"/>
  <c r="BI91" i="29" s="1"/>
  <c r="AT91" i="29"/>
  <c r="BE91" i="29" s="1"/>
  <c r="AP91" i="29"/>
  <c r="AL91" i="29"/>
  <c r="BA91" i="29"/>
  <c r="BL91" i="29" s="1"/>
  <c r="AW91" i="29"/>
  <c r="BH91" i="29" s="1"/>
  <c r="AS91" i="29"/>
  <c r="AO91" i="29"/>
  <c r="AK91" i="29"/>
  <c r="AG91" i="29"/>
  <c r="AR91" i="29"/>
  <c r="AN91" i="29"/>
  <c r="F92" i="29" a="1"/>
  <c r="F92" i="29" s="1"/>
  <c r="AZ91" i="29"/>
  <c r="BK91" i="29" s="1"/>
  <c r="AJ91" i="29"/>
  <c r="AV91" i="29"/>
  <c r="BG91" i="29" s="1"/>
  <c r="AF91" i="29"/>
  <c r="BM366" i="30"/>
  <c r="AT223" i="29"/>
  <c r="BM79" i="30"/>
  <c r="AH378" i="29"/>
  <c r="AG367" i="29"/>
  <c r="BH378" i="29"/>
  <c r="AW367" i="29"/>
  <c r="BE378" i="29"/>
  <c r="AT367" i="29"/>
  <c r="BF378" i="29"/>
  <c r="AU367" i="29"/>
  <c r="BM236" i="30"/>
  <c r="BD248" i="30"/>
  <c r="F251" i="30" a="1"/>
  <c r="F251" i="30" s="1"/>
  <c r="BO250" i="30"/>
  <c r="BF236" i="30"/>
  <c r="AX223" i="29"/>
  <c r="BD79" i="30"/>
  <c r="BL79" i="30"/>
  <c r="BK236" i="30"/>
  <c r="BD234" i="29"/>
  <c r="AI223" i="29"/>
  <c r="BJ234" i="29"/>
  <c r="AY223" i="29"/>
  <c r="BA235" i="29"/>
  <c r="BL235" i="29" s="1"/>
  <c r="AW235" i="29"/>
  <c r="AS235" i="29"/>
  <c r="AO235" i="29"/>
  <c r="AK235" i="29"/>
  <c r="AG235" i="29"/>
  <c r="F236" i="29" a="1"/>
  <c r="F236" i="29" s="1"/>
  <c r="F237" i="29" s="1" a="1"/>
  <c r="F237" i="29" s="1"/>
  <c r="AZ235" i="29"/>
  <c r="BK235" i="29" s="1"/>
  <c r="AV235" i="29"/>
  <c r="BG235" i="29" s="1"/>
  <c r="AR235" i="29"/>
  <c r="AN235" i="29"/>
  <c r="AJ235" i="29"/>
  <c r="AF235" i="29"/>
  <c r="BC235" i="29"/>
  <c r="AY235" i="29"/>
  <c r="BJ235" i="29" s="1"/>
  <c r="AU235" i="29"/>
  <c r="BF235" i="29" s="1"/>
  <c r="AQ235" i="29"/>
  <c r="AM235" i="29"/>
  <c r="AI235" i="29"/>
  <c r="AE235" i="29"/>
  <c r="AT235" i="29"/>
  <c r="BE235" i="29" s="1"/>
  <c r="AP235" i="29"/>
  <c r="BB235" i="29"/>
  <c r="BM235" i="29" s="1"/>
  <c r="AL235" i="29"/>
  <c r="BO235" i="29"/>
  <c r="AX235" i="29"/>
  <c r="BI235" i="29" s="1"/>
  <c r="BF79" i="30"/>
  <c r="F182" i="28" a="1"/>
  <c r="F182" i="28" s="1"/>
  <c r="F183" i="28" s="1" a="1"/>
  <c r="F183" i="28" s="1"/>
  <c r="F184" i="28" s="1" a="1"/>
  <c r="F184" i="28" s="1"/>
  <c r="F185" i="28" s="1" a="1"/>
  <c r="F185" i="28" s="1"/>
  <c r="F186" i="28" s="1" a="1"/>
  <c r="F186" i="28" s="1"/>
  <c r="F187" i="28" s="1" a="1"/>
  <c r="F187" i="28" s="1"/>
  <c r="F188" i="28" s="1" a="1"/>
  <c r="F188" i="28" s="1"/>
  <c r="F189" i="28" s="1" a="1"/>
  <c r="F189" i="28" s="1"/>
  <c r="AI181" i="28"/>
  <c r="AE181" i="28"/>
  <c r="AK181" i="28"/>
  <c r="AG181" i="28"/>
  <c r="AJ181" i="28"/>
  <c r="AF181" i="28"/>
  <c r="BG90" i="29"/>
  <c r="AV79" i="29"/>
  <c r="AH90" i="29"/>
  <c r="AG79" i="29"/>
  <c r="BH90" i="29"/>
  <c r="AW79" i="29"/>
  <c r="BE90" i="29"/>
  <c r="AT79" i="29"/>
  <c r="BF90" i="29"/>
  <c r="AU79" i="29"/>
  <c r="F409" i="30" a="1"/>
  <c r="F409" i="30" s="1"/>
  <c r="F410" i="30" s="1" a="1"/>
  <c r="F410" i="30" s="1"/>
  <c r="F411" i="30" s="1" a="1"/>
  <c r="F411" i="30" s="1"/>
  <c r="F412" i="30" s="1" a="1"/>
  <c r="F412" i="30" s="1"/>
  <c r="F413" i="30" s="1" a="1"/>
  <c r="F413" i="30" s="1"/>
  <c r="F414" i="30" s="1" a="1"/>
  <c r="F414" i="30" s="1"/>
  <c r="F415" i="30" s="1" a="1"/>
  <c r="F415" i="30" s="1"/>
  <c r="F416" i="30" s="1" a="1"/>
  <c r="F416" i="30" s="1"/>
  <c r="F417" i="30" s="1" a="1"/>
  <c r="F417" i="30" s="1"/>
  <c r="F418" i="30" s="1" a="1"/>
  <c r="F418" i="30" s="1"/>
  <c r="F419" i="30" s="1" a="1"/>
  <c r="F419" i="30" s="1"/>
  <c r="F420" i="30" s="1" a="1"/>
  <c r="F420" i="30" s="1"/>
  <c r="F421" i="30" s="1" a="1"/>
  <c r="F421" i="30" s="1"/>
  <c r="F422" i="30" s="1" a="1"/>
  <c r="F422" i="30" s="1"/>
  <c r="F423" i="30" s="1" a="1"/>
  <c r="F423" i="30" s="1"/>
  <c r="BO408" i="30"/>
  <c r="BB408" i="30"/>
  <c r="AX408" i="30"/>
  <c r="BI408" i="30" s="1"/>
  <c r="AT408" i="30"/>
  <c r="BE408" i="30" s="1"/>
  <c r="AP408" i="30"/>
  <c r="AP405" i="30" s="1"/>
  <c r="AP438" i="30" s="1"/>
  <c r="AL408" i="30"/>
  <c r="AL405" i="30" s="1"/>
  <c r="AL438" i="30" s="1"/>
  <c r="BA408" i="30"/>
  <c r="BL408" i="30" s="1"/>
  <c r="AW408" i="30"/>
  <c r="BH408" i="30" s="1"/>
  <c r="AS408" i="30"/>
  <c r="AS405" i="30" s="1"/>
  <c r="AS438" i="30" s="1"/>
  <c r="AO408" i="30"/>
  <c r="AO405" i="30" s="1"/>
  <c r="AO438" i="30" s="1"/>
  <c r="AK408" i="30"/>
  <c r="AK405" i="30" s="1"/>
  <c r="AK438" i="30" s="1"/>
  <c r="AG408" i="30"/>
  <c r="AH408" i="30" s="1"/>
  <c r="AZ408" i="30"/>
  <c r="AV408" i="30"/>
  <c r="AR408" i="30"/>
  <c r="AR405" i="30" s="1"/>
  <c r="AR438" i="30" s="1"/>
  <c r="AN408" i="30"/>
  <c r="AN405" i="30" s="1"/>
  <c r="AN438" i="30" s="1"/>
  <c r="AJ408" i="30"/>
  <c r="AJ405" i="30" s="1"/>
  <c r="AJ438" i="30" s="1"/>
  <c r="AF408" i="30"/>
  <c r="AF405" i="30" s="1"/>
  <c r="AF438" i="30" s="1"/>
  <c r="AY408" i="30"/>
  <c r="BJ408" i="30" s="1"/>
  <c r="AI408" i="30"/>
  <c r="BD408" i="30" s="1"/>
  <c r="AU408" i="30"/>
  <c r="AE408" i="30"/>
  <c r="AE405" i="30" s="1"/>
  <c r="AE438" i="30" s="1"/>
  <c r="AQ408" i="30"/>
  <c r="AQ405" i="30" s="1"/>
  <c r="AQ438" i="30" s="1"/>
  <c r="BC408" i="30"/>
  <c r="BC405" i="30" s="1"/>
  <c r="BC438" i="30" s="1"/>
  <c r="AM408" i="30"/>
  <c r="AM405" i="30" s="1"/>
  <c r="AM438" i="30" s="1"/>
  <c r="BO92" i="30"/>
  <c r="F93" i="30" a="1"/>
  <c r="F93" i="30" s="1"/>
  <c r="BK378" i="29"/>
  <c r="AZ367" i="29"/>
  <c r="BL378" i="29"/>
  <c r="BA367" i="29"/>
  <c r="BI378" i="29"/>
  <c r="AX367" i="29"/>
  <c r="BD378" i="29"/>
  <c r="AI367" i="29"/>
  <c r="BJ378" i="29"/>
  <c r="AY367" i="29"/>
  <c r="BI248" i="30"/>
  <c r="AX405" i="30"/>
  <c r="BD236" i="30"/>
  <c r="AI222" i="30"/>
  <c r="BL236" i="30"/>
  <c r="BE236" i="30"/>
  <c r="AH234" i="29"/>
  <c r="BH234" i="29"/>
  <c r="AW223" i="29"/>
  <c r="BH79" i="30"/>
  <c r="BI90" i="29"/>
  <c r="AX79" i="29"/>
  <c r="BD90" i="29"/>
  <c r="AI79" i="29"/>
  <c r="BJ90" i="29"/>
  <c r="AY79" i="29"/>
  <c r="AV223" i="29"/>
  <c r="BC379" i="29"/>
  <c r="AY379" i="29"/>
  <c r="BJ379" i="29" s="1"/>
  <c r="AU379" i="29"/>
  <c r="BF379" i="29" s="1"/>
  <c r="AQ379" i="29"/>
  <c r="AM379" i="29"/>
  <c r="AI379" i="29"/>
  <c r="AE379" i="29"/>
  <c r="BO379" i="29"/>
  <c r="BB379" i="29"/>
  <c r="BM379" i="29" s="1"/>
  <c r="AX379" i="29"/>
  <c r="BI379" i="29" s="1"/>
  <c r="AT379" i="29"/>
  <c r="BE379" i="29" s="1"/>
  <c r="AP379" i="29"/>
  <c r="AL379" i="29"/>
  <c r="BA379" i="29"/>
  <c r="BL379" i="29" s="1"/>
  <c r="AW379" i="29"/>
  <c r="BH379" i="29" s="1"/>
  <c r="AS379" i="29"/>
  <c r="AO379" i="29"/>
  <c r="AK379" i="29"/>
  <c r="AG379" i="29"/>
  <c r="AH379" i="29" s="1"/>
  <c r="AN379" i="29"/>
  <c r="F380" i="29" a="1"/>
  <c r="F380" i="29" s="1"/>
  <c r="F381" i="29" s="1" a="1"/>
  <c r="F381" i="29" s="1"/>
  <c r="AZ379" i="29"/>
  <c r="BK379" i="29" s="1"/>
  <c r="AJ379" i="29"/>
  <c r="AV379" i="29"/>
  <c r="BG379" i="29" s="1"/>
  <c r="AF379" i="29"/>
  <c r="AR379" i="29"/>
  <c r="BM378" i="29"/>
  <c r="BB367" i="29"/>
  <c r="BG248" i="30"/>
  <c r="AL178" i="28"/>
  <c r="AG223" i="29"/>
  <c r="BJ79" i="30"/>
  <c r="BI79" i="30"/>
  <c r="AK266" i="28"/>
  <c r="AG266" i="28"/>
  <c r="AJ266" i="28"/>
  <c r="AF266" i="28"/>
  <c r="F267" i="28" a="1"/>
  <c r="F267" i="28" s="1"/>
  <c r="F268" i="28" s="1" a="1"/>
  <c r="F268" i="28" s="1"/>
  <c r="F269" i="28" s="1" a="1"/>
  <c r="F269" i="28" s="1"/>
  <c r="F270" i="28" s="1" a="1"/>
  <c r="F270" i="28" s="1"/>
  <c r="F271" i="28" s="1" a="1"/>
  <c r="F271" i="28" s="1"/>
  <c r="F272" i="28" s="1" a="1"/>
  <c r="F272" i="28" s="1"/>
  <c r="F273" i="28" s="1" a="1"/>
  <c r="F273" i="28" s="1"/>
  <c r="F274" i="28" s="1" a="1"/>
  <c r="F274" i="28" s="1"/>
  <c r="AI266" i="28"/>
  <c r="AE266" i="28"/>
  <c r="BM234" i="29"/>
  <c r="BB223" i="29"/>
  <c r="BL234" i="29"/>
  <c r="BA223" i="29"/>
  <c r="AK96" i="28"/>
  <c r="AG96" i="28"/>
  <c r="AJ96" i="28"/>
  <c r="AF96" i="28"/>
  <c r="F97" i="28" a="1"/>
  <c r="F97" i="28" s="1"/>
  <c r="F98" i="28" s="1" a="1"/>
  <c r="F98" i="28" s="1"/>
  <c r="F99" i="28" s="1" a="1"/>
  <c r="F99" i="28" s="1"/>
  <c r="F100" i="28" s="1" a="1"/>
  <c r="F100" i="28" s="1"/>
  <c r="F101" i="28" s="1" a="1"/>
  <c r="F101" i="28" s="1"/>
  <c r="F102" i="28" s="1" a="1"/>
  <c r="F102" i="28" s="1"/>
  <c r="F103" i="28" s="1" a="1"/>
  <c r="F103" i="28" s="1"/>
  <c r="F104" i="28" s="1" a="1"/>
  <c r="F104" i="28" s="1"/>
  <c r="AI96" i="28"/>
  <c r="AE96" i="28"/>
  <c r="BK90" i="29"/>
  <c r="AZ79" i="29"/>
  <c r="BM90" i="29"/>
  <c r="BB79" i="29"/>
  <c r="BG236" i="30"/>
  <c r="AH91" i="30"/>
  <c r="BG378" i="29"/>
  <c r="AV367" i="29"/>
  <c r="BA405" i="30"/>
  <c r="BK248" i="30"/>
  <c r="BH236" i="30"/>
  <c r="BK79" i="30"/>
  <c r="AG405" i="30"/>
  <c r="AI405" i="30"/>
  <c r="BJ236" i="30"/>
  <c r="BI236" i="30"/>
  <c r="AT405" i="30"/>
  <c r="AH236" i="30"/>
  <c r="AG222" i="30"/>
  <c r="AM439" i="30" l="1"/>
  <c r="AM437" i="30"/>
  <c r="AP439" i="30"/>
  <c r="AP437" i="30"/>
  <c r="BC439" i="30"/>
  <c r="BC437" i="30"/>
  <c r="AQ439" i="30"/>
  <c r="AQ437" i="30"/>
  <c r="AR437" i="30"/>
  <c r="AR439" i="30"/>
  <c r="AK437" i="30"/>
  <c r="AK439" i="30"/>
  <c r="AF437" i="30"/>
  <c r="AF439" i="30"/>
  <c r="AO437" i="30"/>
  <c r="AO439" i="30"/>
  <c r="AL439" i="30"/>
  <c r="AL437" i="30"/>
  <c r="BD405" i="30"/>
  <c r="AI438" i="30"/>
  <c r="F105" i="28" a="1"/>
  <c r="F105" i="28" s="1"/>
  <c r="F106" i="28" s="1" a="1"/>
  <c r="F106" i="28" s="1"/>
  <c r="F107" i="28" s="1" a="1"/>
  <c r="F107" i="28" s="1"/>
  <c r="F108" i="28" s="1" a="1"/>
  <c r="F108" i="28" s="1"/>
  <c r="F109" i="28" s="1" a="1"/>
  <c r="F109" i="28" s="1"/>
  <c r="F110" i="28" s="1" a="1"/>
  <c r="F110" i="28" s="1"/>
  <c r="F111" i="28" s="1" a="1"/>
  <c r="F111" i="28" s="1"/>
  <c r="AI104" i="28"/>
  <c r="AE104" i="28"/>
  <c r="AK104" i="28"/>
  <c r="AG104" i="28"/>
  <c r="AJ104" i="28"/>
  <c r="AF104" i="28"/>
  <c r="AK102" i="28"/>
  <c r="AK97" i="28"/>
  <c r="AK99" i="28" s="1"/>
  <c r="AK100" i="28" s="1"/>
  <c r="AK103" i="28"/>
  <c r="AE272" i="28"/>
  <c r="AE267" i="28"/>
  <c r="AE269" i="28" s="1"/>
  <c r="AE270" i="28" s="1"/>
  <c r="AJ272" i="28"/>
  <c r="AJ267" i="28"/>
  <c r="AJ269" i="28" s="1"/>
  <c r="AJ270" i="28" s="1"/>
  <c r="BM367" i="29"/>
  <c r="BJ79" i="29"/>
  <c r="BI79" i="29"/>
  <c r="BJ367" i="29"/>
  <c r="BI367" i="29"/>
  <c r="BC93" i="30"/>
  <c r="AY93" i="30"/>
  <c r="AU93" i="30"/>
  <c r="AQ93" i="30"/>
  <c r="AM93" i="30"/>
  <c r="AI93" i="30"/>
  <c r="AE93" i="30"/>
  <c r="BO93" i="30"/>
  <c r="BB93" i="30"/>
  <c r="AX93" i="30"/>
  <c r="AT93" i="30"/>
  <c r="AP93" i="30"/>
  <c r="AL93" i="30"/>
  <c r="BA93" i="30"/>
  <c r="AW93" i="30"/>
  <c r="AS93" i="30"/>
  <c r="AO93" i="30"/>
  <c r="AK93" i="30"/>
  <c r="AG93" i="30"/>
  <c r="AV93" i="30"/>
  <c r="AF93" i="30"/>
  <c r="AR93" i="30"/>
  <c r="AN93" i="30"/>
  <c r="F94" i="30" a="1"/>
  <c r="F94" i="30" s="1"/>
  <c r="AZ93" i="30"/>
  <c r="AJ93" i="30"/>
  <c r="BF79" i="29"/>
  <c r="AJ187" i="28"/>
  <c r="AJ182" i="28"/>
  <c r="AJ184" i="28" s="1"/>
  <c r="AJ185" i="28" s="1"/>
  <c r="AI187" i="28"/>
  <c r="AI182" i="28"/>
  <c r="AI184" i="28" s="1"/>
  <c r="AI185" i="28" s="1"/>
  <c r="BD235" i="29"/>
  <c r="BO237" i="29"/>
  <c r="BB237" i="29"/>
  <c r="AX237" i="29"/>
  <c r="AT237" i="29"/>
  <c r="AP237" i="29"/>
  <c r="AL237" i="29"/>
  <c r="BA237" i="29"/>
  <c r="AW237" i="29"/>
  <c r="AS237" i="29"/>
  <c r="AO237" i="29"/>
  <c r="AK237" i="29"/>
  <c r="AG237" i="29"/>
  <c r="F238" i="29" a="1"/>
  <c r="F238" i="29" s="1"/>
  <c r="AZ237" i="29"/>
  <c r="AV237" i="29"/>
  <c r="AR237" i="29"/>
  <c r="AN237" i="29"/>
  <c r="AJ237" i="29"/>
  <c r="AF237" i="29"/>
  <c r="BC237" i="29"/>
  <c r="AU237" i="29"/>
  <c r="AE237" i="29"/>
  <c r="AQ237" i="29"/>
  <c r="AM237" i="29"/>
  <c r="AY237" i="29"/>
  <c r="AI237" i="29"/>
  <c r="BJ223" i="29"/>
  <c r="BI223" i="29"/>
  <c r="AZ251" i="30"/>
  <c r="AV251" i="30"/>
  <c r="AR251" i="30"/>
  <c r="AR222" i="30" s="1"/>
  <c r="AN251" i="30"/>
  <c r="AN222" i="30" s="1"/>
  <c r="AJ251" i="30"/>
  <c r="AJ222" i="30" s="1"/>
  <c r="F252" i="30" a="1"/>
  <c r="F252" i="30" s="1"/>
  <c r="F253" i="30" s="1" a="1"/>
  <c r="F253" i="30" s="1"/>
  <c r="F254" i="30" s="1" a="1"/>
  <c r="F254" i="30" s="1"/>
  <c r="F255" i="30" s="1" a="1"/>
  <c r="F255" i="30" s="1"/>
  <c r="F256" i="30" s="1" a="1"/>
  <c r="F256" i="30" s="1"/>
  <c r="F257" i="30" s="1" a="1"/>
  <c r="F257" i="30" s="1"/>
  <c r="F258" i="30" s="1" a="1"/>
  <c r="F258" i="30" s="1"/>
  <c r="BC251" i="30"/>
  <c r="BC222" i="30" s="1"/>
  <c r="AY251" i="30"/>
  <c r="AU251" i="30"/>
  <c r="AQ251" i="30"/>
  <c r="AQ222" i="30" s="1"/>
  <c r="AM251" i="30"/>
  <c r="AM222" i="30" s="1"/>
  <c r="BB251" i="30"/>
  <c r="AX251" i="30"/>
  <c r="AT251" i="30"/>
  <c r="AP251" i="30"/>
  <c r="AP222" i="30" s="1"/>
  <c r="AL251" i="30"/>
  <c r="AL222" i="30" s="1"/>
  <c r="AW251" i="30"/>
  <c r="AS251" i="30"/>
  <c r="AS222" i="30" s="1"/>
  <c r="AO251" i="30"/>
  <c r="AO222" i="30" s="1"/>
  <c r="BA251" i="30"/>
  <c r="AK251" i="30"/>
  <c r="AK222" i="30" s="1"/>
  <c r="BF367" i="29"/>
  <c r="BE223" i="29"/>
  <c r="BK223" i="29"/>
  <c r="AH222" i="30"/>
  <c r="AH405" i="30"/>
  <c r="AG438" i="30"/>
  <c r="AF102" i="28"/>
  <c r="AF97" i="28"/>
  <c r="AF99" i="28" s="1"/>
  <c r="AF100" i="28" s="1"/>
  <c r="AF103" i="28"/>
  <c r="BL223" i="29"/>
  <c r="AI272" i="28"/>
  <c r="AI267" i="28"/>
  <c r="AI269" i="28" s="1"/>
  <c r="AI270" i="28" s="1"/>
  <c r="AG272" i="28"/>
  <c r="AG267" i="28"/>
  <c r="AH266" i="28"/>
  <c r="BD379" i="29"/>
  <c r="BI405" i="30"/>
  <c r="AX438" i="30"/>
  <c r="AE439" i="30"/>
  <c r="AE437" i="30"/>
  <c r="BG408" i="30"/>
  <c r="AV405" i="30"/>
  <c r="BM408" i="30"/>
  <c r="BB405" i="30"/>
  <c r="BH79" i="29"/>
  <c r="BG79" i="29"/>
  <c r="AH181" i="28"/>
  <c r="AG187" i="28"/>
  <c r="AG182" i="28"/>
  <c r="AK189" i="28"/>
  <c r="AG189" i="28"/>
  <c r="AG188" i="28" s="1"/>
  <c r="AJ189" i="28"/>
  <c r="AF189" i="28"/>
  <c r="F190" i="28" a="1"/>
  <c r="F190" i="28" s="1"/>
  <c r="F191" i="28" s="1" a="1"/>
  <c r="F191" i="28" s="1"/>
  <c r="F192" i="28" s="1" a="1"/>
  <c r="F192" i="28" s="1"/>
  <c r="F193" i="28" s="1" a="1"/>
  <c r="F193" i="28" s="1"/>
  <c r="F194" i="28" s="1" a="1"/>
  <c r="F194" i="28" s="1"/>
  <c r="F195" i="28" s="1" a="1"/>
  <c r="F195" i="28" s="1"/>
  <c r="F196" i="28" s="1" a="1"/>
  <c r="F196" i="28" s="1"/>
  <c r="AI189" i="28"/>
  <c r="AE189" i="28"/>
  <c r="AH235" i="29"/>
  <c r="BH235" i="29"/>
  <c r="BH367" i="29"/>
  <c r="AH91" i="29"/>
  <c r="AE103" i="28"/>
  <c r="AE102" i="28"/>
  <c r="AE97" i="28"/>
  <c r="AE99" i="28" s="1"/>
  <c r="AE100" i="28" s="1"/>
  <c r="AJ102" i="28"/>
  <c r="AJ97" i="28"/>
  <c r="AJ99" i="28" s="1"/>
  <c r="AJ100" i="28" s="1"/>
  <c r="AJ103" i="28"/>
  <c r="BM223" i="29"/>
  <c r="F275" i="28" a="1"/>
  <c r="F275" i="28" s="1"/>
  <c r="F276" i="28" s="1" a="1"/>
  <c r="F276" i="28" s="1"/>
  <c r="F277" i="28" s="1" a="1"/>
  <c r="F277" i="28" s="1"/>
  <c r="F278" i="28" s="1" a="1"/>
  <c r="F278" i="28" s="1"/>
  <c r="F279" i="28" s="1" a="1"/>
  <c r="F279" i="28" s="1"/>
  <c r="F280" i="28" s="1" a="1"/>
  <c r="F280" i="28" s="1"/>
  <c r="F281" i="28" s="1" a="1"/>
  <c r="F281" i="28" s="1"/>
  <c r="AI274" i="28"/>
  <c r="AI273" i="28" s="1"/>
  <c r="AE274" i="28"/>
  <c r="AE273" i="28" s="1"/>
  <c r="AK274" i="28"/>
  <c r="AG274" i="28"/>
  <c r="AJ274" i="28"/>
  <c r="AJ273" i="28" s="1"/>
  <c r="AF274" i="28"/>
  <c r="AF273" i="28" s="1"/>
  <c r="AK272" i="28"/>
  <c r="AK267" i="28"/>
  <c r="AK269" i="28" s="1"/>
  <c r="AK270" i="28" s="1"/>
  <c r="AK273" i="28"/>
  <c r="F382" i="29" a="1"/>
  <c r="F382" i="29" s="1"/>
  <c r="AZ381" i="29"/>
  <c r="AV381" i="29"/>
  <c r="AR381" i="29"/>
  <c r="AN381" i="29"/>
  <c r="AJ381" i="29"/>
  <c r="AF381" i="29"/>
  <c r="BC381" i="29"/>
  <c r="AY381" i="29"/>
  <c r="AU381" i="29"/>
  <c r="AQ381" i="29"/>
  <c r="AM381" i="29"/>
  <c r="AI381" i="29"/>
  <c r="AE381" i="29"/>
  <c r="BO381" i="29"/>
  <c r="BB381" i="29"/>
  <c r="AX381" i="29"/>
  <c r="AT381" i="29"/>
  <c r="AP381" i="29"/>
  <c r="AL381" i="29"/>
  <c r="AO381" i="29"/>
  <c r="BA381" i="29"/>
  <c r="AK381" i="29"/>
  <c r="AW381" i="29"/>
  <c r="AG381" i="29"/>
  <c r="AS381" i="29"/>
  <c r="BD79" i="29"/>
  <c r="AY405" i="30"/>
  <c r="BD367" i="29"/>
  <c r="BL367" i="29"/>
  <c r="BK367" i="29"/>
  <c r="BF408" i="30"/>
  <c r="AU405" i="30"/>
  <c r="AJ437" i="30"/>
  <c r="AJ439" i="30"/>
  <c r="BK408" i="30"/>
  <c r="AZ405" i="30"/>
  <c r="AS437" i="30"/>
  <c r="AS439" i="30"/>
  <c r="AK188" i="28"/>
  <c r="AK187" i="28"/>
  <c r="AK182" i="28"/>
  <c r="AK184" i="28" s="1"/>
  <c r="AK185" i="28" s="1"/>
  <c r="BD223" i="29"/>
  <c r="BO92" i="29"/>
  <c r="F93" i="29" a="1"/>
  <c r="F93" i="29" s="1"/>
  <c r="BE405" i="30"/>
  <c r="AT438" i="30"/>
  <c r="BL405" i="30"/>
  <c r="BA438" i="30"/>
  <c r="BG367" i="29"/>
  <c r="BM79" i="29"/>
  <c r="BK79" i="29"/>
  <c r="AI103" i="28"/>
  <c r="AL103" i="28" s="1"/>
  <c r="AI102" i="28"/>
  <c r="AI97" i="28"/>
  <c r="AI99" i="28" s="1"/>
  <c r="AI100" i="28" s="1"/>
  <c r="AG102" i="28"/>
  <c r="AH102" i="28" s="1"/>
  <c r="AG97" i="28"/>
  <c r="AH97" i="28" s="1"/>
  <c r="AG103" i="28"/>
  <c r="AH96" i="28"/>
  <c r="AF272" i="28"/>
  <c r="AF269" i="28"/>
  <c r="AF270" i="28" s="1"/>
  <c r="AF267" i="28"/>
  <c r="AH223" i="29"/>
  <c r="BG223" i="29"/>
  <c r="BH223" i="29"/>
  <c r="AN437" i="30"/>
  <c r="AN439" i="30"/>
  <c r="F424" i="30" a="1"/>
  <c r="F424" i="30" s="1"/>
  <c r="F425" i="30" s="1" a="1"/>
  <c r="F425" i="30" s="1"/>
  <c r="BO423" i="30"/>
  <c r="BE79" i="29"/>
  <c r="AH79" i="29"/>
  <c r="AF187" i="28"/>
  <c r="AF184" i="28"/>
  <c r="AF185" i="28" s="1"/>
  <c r="AF182" i="28"/>
  <c r="AF188" i="28"/>
  <c r="AE187" i="28"/>
  <c r="AE184" i="28"/>
  <c r="AE185" i="28" s="1"/>
  <c r="AE182" i="28"/>
  <c r="AE188" i="28"/>
  <c r="AW405" i="30"/>
  <c r="BE367" i="29"/>
  <c r="AH367" i="29"/>
  <c r="BF223" i="29"/>
  <c r="AL273" i="28" l="1"/>
  <c r="BL381" i="29"/>
  <c r="BE381" i="29"/>
  <c r="BF381" i="29"/>
  <c r="BK381" i="29"/>
  <c r="AG276" i="28"/>
  <c r="AH274" i="28"/>
  <c r="AG277" i="28"/>
  <c r="AG275" i="28"/>
  <c r="AF193" i="28"/>
  <c r="AF190" i="28"/>
  <c r="AF192" i="28" s="1"/>
  <c r="AF191" i="28"/>
  <c r="AH182" i="28"/>
  <c r="AH267" i="28"/>
  <c r="BL251" i="30"/>
  <c r="BA222" i="30"/>
  <c r="BM251" i="30"/>
  <c r="BB222" i="30"/>
  <c r="BJ251" i="30"/>
  <c r="AY222" i="30"/>
  <c r="BD237" i="29"/>
  <c r="BK237" i="29"/>
  <c r="BM237" i="29"/>
  <c r="AH93" i="30"/>
  <c r="BH93" i="30"/>
  <c r="BE93" i="30"/>
  <c r="BF93" i="30"/>
  <c r="AK106" i="28"/>
  <c r="AK108" i="28"/>
  <c r="AK105" i="28"/>
  <c r="AK107" i="28" s="1"/>
  <c r="AI439" i="30"/>
  <c r="BD438" i="30"/>
  <c r="AI437" i="30"/>
  <c r="F426" i="30" a="1"/>
  <c r="F426" i="30" s="1"/>
  <c r="BO425" i="30"/>
  <c r="AT425" i="30"/>
  <c r="AJ425" i="30"/>
  <c r="BK405" i="30"/>
  <c r="AZ438" i="30"/>
  <c r="BF405" i="30"/>
  <c r="AU438" i="30"/>
  <c r="BE438" i="30" s="1"/>
  <c r="BJ405" i="30"/>
  <c r="AY438" i="30"/>
  <c r="AH381" i="29"/>
  <c r="BI381" i="29"/>
  <c r="BD381" i="29"/>
  <c r="BJ381" i="29"/>
  <c r="F383" i="29" a="1"/>
  <c r="F383" i="29" s="1"/>
  <c r="AZ382" i="29"/>
  <c r="BK382" i="29" s="1"/>
  <c r="AV382" i="29"/>
  <c r="BG382" i="29" s="1"/>
  <c r="AR382" i="29"/>
  <c r="AN382" i="29"/>
  <c r="AJ382" i="29"/>
  <c r="AF382" i="29"/>
  <c r="BC382" i="29"/>
  <c r="AY382" i="29"/>
  <c r="BJ382" i="29" s="1"/>
  <c r="AU382" i="29"/>
  <c r="BF382" i="29" s="1"/>
  <c r="AQ382" i="29"/>
  <c r="AM382" i="29"/>
  <c r="AI382" i="29"/>
  <c r="AE382" i="29"/>
  <c r="BO382" i="29"/>
  <c r="BB382" i="29"/>
  <c r="BM382" i="29" s="1"/>
  <c r="AX382" i="29"/>
  <c r="BI382" i="29" s="1"/>
  <c r="AT382" i="29"/>
  <c r="BE382" i="29" s="1"/>
  <c r="AP382" i="29"/>
  <c r="AL382" i="29"/>
  <c r="AW382" i="29"/>
  <c r="BH382" i="29" s="1"/>
  <c r="AG382" i="29"/>
  <c r="AS382" i="29"/>
  <c r="AO382" i="29"/>
  <c r="BA382" i="29"/>
  <c r="BL382" i="29" s="1"/>
  <c r="AK382" i="29"/>
  <c r="AK278" i="28"/>
  <c r="AK276" i="28"/>
  <c r="AK275" i="28"/>
  <c r="AK277" i="28" s="1"/>
  <c r="AE191" i="28"/>
  <c r="AE193" i="28"/>
  <c r="AE190" i="28"/>
  <c r="AE192" i="28" s="1"/>
  <c r="AJ193" i="28"/>
  <c r="AJ190" i="28"/>
  <c r="AJ192" i="28" s="1"/>
  <c r="AJ191" i="28"/>
  <c r="AG184" i="28"/>
  <c r="BM405" i="30"/>
  <c r="BB438" i="30"/>
  <c r="AG269" i="28"/>
  <c r="AG437" i="30"/>
  <c r="AH437" i="30" s="1"/>
  <c r="AG439" i="30"/>
  <c r="AH438" i="30"/>
  <c r="AH439" i="30" s="1"/>
  <c r="BJ237" i="29"/>
  <c r="BF237" i="29"/>
  <c r="BO238" i="29"/>
  <c r="BB238" i="29"/>
  <c r="BM238" i="29" s="1"/>
  <c r="AX238" i="29"/>
  <c r="AT238" i="29"/>
  <c r="AP238" i="29"/>
  <c r="AL238" i="29"/>
  <c r="BA238" i="29"/>
  <c r="BL238" i="29" s="1"/>
  <c r="AW238" i="29"/>
  <c r="AS238" i="29"/>
  <c r="AO238" i="29"/>
  <c r="AK238" i="29"/>
  <c r="AG238" i="29"/>
  <c r="F239" i="29" a="1"/>
  <c r="F239" i="29" s="1"/>
  <c r="AZ238" i="29"/>
  <c r="AV238" i="29"/>
  <c r="AR238" i="29"/>
  <c r="AN238" i="29"/>
  <c r="AJ238" i="29"/>
  <c r="AF238" i="29"/>
  <c r="AY238" i="29"/>
  <c r="AU238" i="29"/>
  <c r="AE238" i="29"/>
  <c r="AQ238" i="29"/>
  <c r="AI238" i="29"/>
  <c r="BD238" i="29" s="1"/>
  <c r="BC238" i="29"/>
  <c r="AM238" i="29"/>
  <c r="BL93" i="30"/>
  <c r="BI93" i="30"/>
  <c r="BD93" i="30"/>
  <c r="BJ93" i="30"/>
  <c r="AF105" i="28"/>
  <c r="AF107" i="28" s="1"/>
  <c r="AF106" i="28"/>
  <c r="AF108" i="28"/>
  <c r="AE108" i="28"/>
  <c r="AE105" i="28"/>
  <c r="AE107" i="28" s="1"/>
  <c r="AE106" i="28"/>
  <c r="BH381" i="29"/>
  <c r="BM381" i="29"/>
  <c r="AF275" i="28"/>
  <c r="AF277" i="28" s="1"/>
  <c r="AF276" i="28"/>
  <c r="AF278" i="28"/>
  <c r="AE278" i="28"/>
  <c r="AE275" i="28"/>
  <c r="AE277" i="28" s="1"/>
  <c r="AE276" i="28"/>
  <c r="AI191" i="28"/>
  <c r="AI193" i="28"/>
  <c r="AI190" i="28"/>
  <c r="AI192" i="28" s="1"/>
  <c r="AG190" i="28"/>
  <c r="AH190" i="28" s="1"/>
  <c r="AG191" i="28"/>
  <c r="AH191" i="28" s="1"/>
  <c r="AH189" i="28"/>
  <c r="AH187" i="28"/>
  <c r="AH272" i="28"/>
  <c r="BE251" i="30"/>
  <c r="AT222" i="30"/>
  <c r="BC258" i="30"/>
  <c r="AY258" i="30"/>
  <c r="AU258" i="30"/>
  <c r="AQ258" i="30"/>
  <c r="AM258" i="30"/>
  <c r="AI258" i="30"/>
  <c r="AE258" i="30"/>
  <c r="BB258" i="30"/>
  <c r="BM258" i="30" s="1"/>
  <c r="AX258" i="30"/>
  <c r="BI258" i="30" s="1"/>
  <c r="AT258" i="30"/>
  <c r="BE258" i="30" s="1"/>
  <c r="AP258" i="30"/>
  <c r="AL258" i="30"/>
  <c r="BA258" i="30"/>
  <c r="BL258" i="30" s="1"/>
  <c r="AW258" i="30"/>
  <c r="AS258" i="30"/>
  <c r="AO258" i="30"/>
  <c r="AK258" i="30"/>
  <c r="AG258" i="30"/>
  <c r="AR258" i="30"/>
  <c r="F259" i="30" a="1"/>
  <c r="F259" i="30" s="1"/>
  <c r="AN258" i="30"/>
  <c r="AZ258" i="30"/>
  <c r="AJ258" i="30"/>
  <c r="AV258" i="30"/>
  <c r="BG258" i="30" s="1"/>
  <c r="AF258" i="30"/>
  <c r="BG251" i="30"/>
  <c r="AV222" i="30"/>
  <c r="AH237" i="29"/>
  <c r="BH237" i="29"/>
  <c r="BE237" i="29"/>
  <c r="BK93" i="30"/>
  <c r="BM93" i="30"/>
  <c r="AJ105" i="28"/>
  <c r="AJ107" i="28" s="1"/>
  <c r="AJ106" i="28"/>
  <c r="AJ108" i="28"/>
  <c r="AI108" i="28"/>
  <c r="AI105" i="28"/>
  <c r="AI107" i="28" s="1"/>
  <c r="AI106" i="28"/>
  <c r="BH405" i="30"/>
  <c r="AW438" i="30"/>
  <c r="AG99" i="28"/>
  <c r="BA437" i="30"/>
  <c r="BL438" i="30"/>
  <c r="BA439" i="30"/>
  <c r="BC93" i="29"/>
  <c r="AY93" i="29"/>
  <c r="AU93" i="29"/>
  <c r="AQ93" i="29"/>
  <c r="AM93" i="29"/>
  <c r="AI93" i="29"/>
  <c r="AE93" i="29"/>
  <c r="BO93" i="29"/>
  <c r="BB93" i="29"/>
  <c r="AX93" i="29"/>
  <c r="AT93" i="29"/>
  <c r="AP93" i="29"/>
  <c r="AL93" i="29"/>
  <c r="BA93" i="29"/>
  <c r="AW93" i="29"/>
  <c r="AS93" i="29"/>
  <c r="AO93" i="29"/>
  <c r="AK93" i="29"/>
  <c r="AG93" i="29"/>
  <c r="AR93" i="29"/>
  <c r="AN93" i="29"/>
  <c r="F94" i="29" a="1"/>
  <c r="F94" i="29" s="1"/>
  <c r="AZ93" i="29"/>
  <c r="AJ93" i="29"/>
  <c r="AV93" i="29"/>
  <c r="AF93" i="29"/>
  <c r="BG381" i="29"/>
  <c r="AJ275" i="28"/>
  <c r="AJ277" i="28" s="1"/>
  <c r="AJ278" i="28"/>
  <c r="AJ276" i="28"/>
  <c r="AI278" i="28"/>
  <c r="AI275" i="28"/>
  <c r="AI277" i="28" s="1"/>
  <c r="AI276" i="28"/>
  <c r="AK193" i="28"/>
  <c r="AK190" i="28"/>
  <c r="AK192" i="28" s="1"/>
  <c r="AK191" i="28"/>
  <c r="BG405" i="30"/>
  <c r="AV438" i="30"/>
  <c r="BI438" i="30"/>
  <c r="AX439" i="30"/>
  <c r="AX437" i="30"/>
  <c r="AG273" i="28"/>
  <c r="BH251" i="30"/>
  <c r="AW222" i="30"/>
  <c r="BI251" i="30"/>
  <c r="AX222" i="30"/>
  <c r="BF251" i="30"/>
  <c r="AU222" i="30"/>
  <c r="BK251" i="30"/>
  <c r="AZ222" i="30"/>
  <c r="BG237" i="29"/>
  <c r="BL237" i="29"/>
  <c r="BI237" i="29"/>
  <c r="AI188" i="28"/>
  <c r="AL188" i="28" s="1"/>
  <c r="AJ188" i="28"/>
  <c r="BC94" i="30"/>
  <c r="AY94" i="30"/>
  <c r="BJ94" i="30" s="1"/>
  <c r="AU94" i="30"/>
  <c r="BF94" i="30" s="1"/>
  <c r="AQ94" i="30"/>
  <c r="AM94" i="30"/>
  <c r="AI94" i="30"/>
  <c r="BD94" i="30" s="1"/>
  <c r="AE94" i="30"/>
  <c r="BO94" i="30"/>
  <c r="BB94" i="30"/>
  <c r="BM94" i="30" s="1"/>
  <c r="AX94" i="30"/>
  <c r="BI94" i="30" s="1"/>
  <c r="AT94" i="30"/>
  <c r="BE94" i="30" s="1"/>
  <c r="AP94" i="30"/>
  <c r="AL94" i="30"/>
  <c r="BA94" i="30"/>
  <c r="BL94" i="30" s="1"/>
  <c r="AW94" i="30"/>
  <c r="BH94" i="30" s="1"/>
  <c r="AS94" i="30"/>
  <c r="AO94" i="30"/>
  <c r="AK94" i="30"/>
  <c r="AG94" i="30"/>
  <c r="AN94" i="30"/>
  <c r="F95" i="30" a="1"/>
  <c r="F95" i="30" s="1"/>
  <c r="AZ94" i="30"/>
  <c r="BK94" i="30" s="1"/>
  <c r="AJ94" i="30"/>
  <c r="AV94" i="30"/>
  <c r="BG94" i="30" s="1"/>
  <c r="AF94" i="30"/>
  <c r="AR94" i="30"/>
  <c r="BG93" i="30"/>
  <c r="AG106" i="28"/>
  <c r="AH106" i="28" s="1"/>
  <c r="AG107" i="28"/>
  <c r="AH104" i="28"/>
  <c r="AG108" i="28"/>
  <c r="AH108" i="28" s="1"/>
  <c r="AG105" i="28"/>
  <c r="AH105" i="28" s="1"/>
  <c r="BG238" i="29" l="1"/>
  <c r="AH382" i="29"/>
  <c r="BK258" i="30"/>
  <c r="BH258" i="30"/>
  <c r="AH107" i="28"/>
  <c r="BK238" i="29"/>
  <c r="BF238" i="29"/>
  <c r="BD382" i="29"/>
  <c r="AH103" i="28"/>
  <c r="BI222" i="30"/>
  <c r="BK93" i="29"/>
  <c r="AH93" i="29"/>
  <c r="BH93" i="29"/>
  <c r="BE93" i="29"/>
  <c r="BF93" i="29"/>
  <c r="AH258" i="30"/>
  <c r="BD258" i="30"/>
  <c r="BJ258" i="30"/>
  <c r="BJ238" i="29"/>
  <c r="AH238" i="29"/>
  <c r="BH238" i="29"/>
  <c r="BE238" i="29"/>
  <c r="AG185" i="28"/>
  <c r="AH184" i="28"/>
  <c r="BL222" i="30"/>
  <c r="AH275" i="28"/>
  <c r="AH94" i="30"/>
  <c r="AV437" i="30"/>
  <c r="BG438" i="30"/>
  <c r="AV439" i="30"/>
  <c r="BC94" i="29"/>
  <c r="AY94" i="29"/>
  <c r="BJ94" i="29" s="1"/>
  <c r="AU94" i="29"/>
  <c r="BF94" i="29" s="1"/>
  <c r="AQ94" i="29"/>
  <c r="AM94" i="29"/>
  <c r="AI94" i="29"/>
  <c r="BD94" i="29" s="1"/>
  <c r="AE94" i="29"/>
  <c r="BO94" i="29"/>
  <c r="BB94" i="29"/>
  <c r="BM94" i="29" s="1"/>
  <c r="AX94" i="29"/>
  <c r="BI94" i="29" s="1"/>
  <c r="AT94" i="29"/>
  <c r="BE94" i="29" s="1"/>
  <c r="AP94" i="29"/>
  <c r="AL94" i="29"/>
  <c r="BA94" i="29"/>
  <c r="BL94" i="29" s="1"/>
  <c r="AW94" i="29"/>
  <c r="BH94" i="29" s="1"/>
  <c r="AS94" i="29"/>
  <c r="AO94" i="29"/>
  <c r="AK94" i="29"/>
  <c r="AG94" i="29"/>
  <c r="AN94" i="29"/>
  <c r="F95" i="29" a="1"/>
  <c r="F95" i="29" s="1"/>
  <c r="AZ94" i="29"/>
  <c r="BK94" i="29" s="1"/>
  <c r="AV94" i="29"/>
  <c r="BG94" i="29" s="1"/>
  <c r="AF94" i="29"/>
  <c r="AR94" i="29"/>
  <c r="AJ94" i="29"/>
  <c r="BL93" i="29"/>
  <c r="BI93" i="29"/>
  <c r="BD93" i="29"/>
  <c r="BJ93" i="29"/>
  <c r="AG192" i="28"/>
  <c r="AH192" i="28" s="1"/>
  <c r="BI238" i="29"/>
  <c r="AH269" i="28"/>
  <c r="AG270" i="28"/>
  <c r="AY439" i="30"/>
  <c r="AY437" i="30"/>
  <c r="BJ438" i="30"/>
  <c r="AZ437" i="30"/>
  <c r="BK438" i="30"/>
  <c r="AZ439" i="30"/>
  <c r="BK439" i="30" s="1"/>
  <c r="F427" i="30" a="1"/>
  <c r="F427" i="30" s="1"/>
  <c r="F428" i="30" s="1" a="1"/>
  <c r="F428" i="30" s="1"/>
  <c r="AJ426" i="30"/>
  <c r="BM222" i="30"/>
  <c r="AH277" i="28"/>
  <c r="BF222" i="30"/>
  <c r="BH222" i="30"/>
  <c r="BG93" i="29"/>
  <c r="BM93" i="29"/>
  <c r="AH99" i="28"/>
  <c r="AG100" i="28"/>
  <c r="AH100" i="28" s="1"/>
  <c r="BC259" i="30"/>
  <c r="AY259" i="30"/>
  <c r="AU259" i="30"/>
  <c r="AQ259" i="30"/>
  <c r="AM259" i="30"/>
  <c r="AI259" i="30"/>
  <c r="AE259" i="30"/>
  <c r="BB259" i="30"/>
  <c r="BM259" i="30" s="1"/>
  <c r="AX259" i="30"/>
  <c r="BI259" i="30" s="1"/>
  <c r="AT259" i="30"/>
  <c r="BE259" i="30" s="1"/>
  <c r="AP259" i="30"/>
  <c r="AL259" i="30"/>
  <c r="F260" i="30" a="1"/>
  <c r="F260" i="30" s="1"/>
  <c r="BA259" i="30"/>
  <c r="BL259" i="30" s="1"/>
  <c r="AW259" i="30"/>
  <c r="BH259" i="30" s="1"/>
  <c r="AS259" i="30"/>
  <c r="AO259" i="30"/>
  <c r="AK259" i="30"/>
  <c r="AG259" i="30"/>
  <c r="AV259" i="30"/>
  <c r="BG259" i="30" s="1"/>
  <c r="AF259" i="30"/>
  <c r="AR259" i="30"/>
  <c r="AN259" i="30"/>
  <c r="AZ259" i="30"/>
  <c r="BK259" i="30" s="1"/>
  <c r="AJ259" i="30"/>
  <c r="BM438" i="30"/>
  <c r="BB439" i="30"/>
  <c r="BM439" i="30" s="1"/>
  <c r="BB437" i="30"/>
  <c r="F384" i="29" a="1"/>
  <c r="F384" i="29" s="1"/>
  <c r="AZ383" i="29"/>
  <c r="BK383" i="29" s="1"/>
  <c r="AV383" i="29"/>
  <c r="AR383" i="29"/>
  <c r="AN383" i="29"/>
  <c r="AJ383" i="29"/>
  <c r="AF383" i="29"/>
  <c r="BC383" i="29"/>
  <c r="AY383" i="29"/>
  <c r="BJ383" i="29" s="1"/>
  <c r="AU383" i="29"/>
  <c r="BF383" i="29" s="1"/>
  <c r="AQ383" i="29"/>
  <c r="AM383" i="29"/>
  <c r="AI383" i="29"/>
  <c r="BD383" i="29" s="1"/>
  <c r="AE383" i="29"/>
  <c r="BO383" i="29"/>
  <c r="BB383" i="29"/>
  <c r="AX383" i="29"/>
  <c r="BI383" i="29" s="1"/>
  <c r="AT383" i="29"/>
  <c r="BE383" i="29" s="1"/>
  <c r="AP383" i="29"/>
  <c r="AL383" i="29"/>
  <c r="AO383" i="29"/>
  <c r="BA383" i="29"/>
  <c r="BL383" i="29" s="1"/>
  <c r="AK383" i="29"/>
  <c r="AW383" i="29"/>
  <c r="AG383" i="29"/>
  <c r="AH383" i="29" s="1"/>
  <c r="AS383" i="29"/>
  <c r="BC95" i="30"/>
  <c r="AY95" i="30"/>
  <c r="BJ95" i="30" s="1"/>
  <c r="AU95" i="30"/>
  <c r="BF95" i="30" s="1"/>
  <c r="AQ95" i="30"/>
  <c r="AM95" i="30"/>
  <c r="AI95" i="30"/>
  <c r="BD95" i="30" s="1"/>
  <c r="AE95" i="30"/>
  <c r="BO95" i="30"/>
  <c r="BB95" i="30"/>
  <c r="BM95" i="30" s="1"/>
  <c r="AX95" i="30"/>
  <c r="BI95" i="30" s="1"/>
  <c r="AT95" i="30"/>
  <c r="BE95" i="30" s="1"/>
  <c r="AP95" i="30"/>
  <c r="AL95" i="30"/>
  <c r="BA95" i="30"/>
  <c r="BL95" i="30" s="1"/>
  <c r="AW95" i="30"/>
  <c r="BH95" i="30" s="1"/>
  <c r="AS95" i="30"/>
  <c r="AO95" i="30"/>
  <c r="AK95" i="30"/>
  <c r="AG95" i="30"/>
  <c r="AV95" i="30"/>
  <c r="AF95" i="30"/>
  <c r="AR95" i="30"/>
  <c r="AN95" i="30"/>
  <c r="F96" i="30" a="1"/>
  <c r="F96" i="30" s="1"/>
  <c r="AZ95" i="30"/>
  <c r="BK95" i="30" s="1"/>
  <c r="AJ95" i="30"/>
  <c r="BK222" i="30"/>
  <c r="BI439" i="30"/>
  <c r="BL439" i="30"/>
  <c r="AW437" i="30"/>
  <c r="BH438" i="30"/>
  <c r="AW439" i="30"/>
  <c r="BH439" i="30" s="1"/>
  <c r="BG222" i="30"/>
  <c r="BF258" i="30"/>
  <c r="BE222" i="30"/>
  <c r="BD222" i="30"/>
  <c r="BO239" i="29"/>
  <c r="BB239" i="29"/>
  <c r="BM239" i="29" s="1"/>
  <c r="AX239" i="29"/>
  <c r="AT239" i="29"/>
  <c r="AP239" i="29"/>
  <c r="AL239" i="29"/>
  <c r="BA239" i="29"/>
  <c r="AW239" i="29"/>
  <c r="AS239" i="29"/>
  <c r="AO239" i="29"/>
  <c r="AK239" i="29"/>
  <c r="AG239" i="29"/>
  <c r="F240" i="29" a="1"/>
  <c r="F240" i="29" s="1"/>
  <c r="AZ239" i="29"/>
  <c r="BK239" i="29" s="1"/>
  <c r="AV239" i="29"/>
  <c r="AR239" i="29"/>
  <c r="AN239" i="29"/>
  <c r="AJ239" i="29"/>
  <c r="AF239" i="29"/>
  <c r="AQ239" i="29"/>
  <c r="BC239" i="29"/>
  <c r="AM239" i="29"/>
  <c r="AY239" i="29"/>
  <c r="BJ239" i="29" s="1"/>
  <c r="AI239" i="29"/>
  <c r="BD239" i="29" s="1"/>
  <c r="AU239" i="29"/>
  <c r="BF239" i="29" s="1"/>
  <c r="AE239" i="29"/>
  <c r="AU439" i="30"/>
  <c r="BF439" i="30" s="1"/>
  <c r="AU437" i="30"/>
  <c r="BF438" i="30"/>
  <c r="BJ222" i="30"/>
  <c r="AH276" i="28"/>
  <c r="AH259" i="30" l="1"/>
  <c r="BG239" i="29"/>
  <c r="BL239" i="29"/>
  <c r="BI239" i="29"/>
  <c r="F385" i="29" a="1"/>
  <c r="F385" i="29" s="1"/>
  <c r="AZ384" i="29"/>
  <c r="BK384" i="29" s="1"/>
  <c r="AV384" i="29"/>
  <c r="BG384" i="29" s="1"/>
  <c r="AR384" i="29"/>
  <c r="AN384" i="29"/>
  <c r="AJ384" i="29"/>
  <c r="AF384" i="29"/>
  <c r="BC384" i="29"/>
  <c r="AY384" i="29"/>
  <c r="BJ384" i="29" s="1"/>
  <c r="AU384" i="29"/>
  <c r="BF384" i="29" s="1"/>
  <c r="AQ384" i="29"/>
  <c r="AM384" i="29"/>
  <c r="AI384" i="29"/>
  <c r="AE384" i="29"/>
  <c r="BO384" i="29"/>
  <c r="BB384" i="29"/>
  <c r="BM384" i="29" s="1"/>
  <c r="AX384" i="29"/>
  <c r="BI384" i="29" s="1"/>
  <c r="AT384" i="29"/>
  <c r="BE384" i="29" s="1"/>
  <c r="AP384" i="29"/>
  <c r="AL384" i="29"/>
  <c r="AW384" i="29"/>
  <c r="BH384" i="29" s="1"/>
  <c r="AG384" i="29"/>
  <c r="AS384" i="29"/>
  <c r="AO384" i="29"/>
  <c r="BA384" i="29"/>
  <c r="BL384" i="29" s="1"/>
  <c r="AK384" i="29"/>
  <c r="BF259" i="30"/>
  <c r="AJ428" i="30"/>
  <c r="F429" i="30" a="1"/>
  <c r="F429" i="30" s="1"/>
  <c r="BO428" i="30"/>
  <c r="BC96" i="30"/>
  <c r="AY96" i="30"/>
  <c r="BJ96" i="30" s="1"/>
  <c r="AU96" i="30"/>
  <c r="AQ96" i="30"/>
  <c r="AM96" i="30"/>
  <c r="AI96" i="30"/>
  <c r="BD96" i="30" s="1"/>
  <c r="AE96" i="30"/>
  <c r="BO96" i="30"/>
  <c r="BB96" i="30"/>
  <c r="BM96" i="30" s="1"/>
  <c r="AX96" i="30"/>
  <c r="BI96" i="30" s="1"/>
  <c r="AT96" i="30"/>
  <c r="BE96" i="30" s="1"/>
  <c r="AP96" i="30"/>
  <c r="AL96" i="30"/>
  <c r="BA96" i="30"/>
  <c r="BL96" i="30" s="1"/>
  <c r="AW96" i="30"/>
  <c r="BH96" i="30" s="1"/>
  <c r="AS96" i="30"/>
  <c r="AO96" i="30"/>
  <c r="AK96" i="30"/>
  <c r="AG96" i="30"/>
  <c r="AN96" i="30"/>
  <c r="F97" i="30" a="1"/>
  <c r="F97" i="30" s="1"/>
  <c r="AZ96" i="30"/>
  <c r="BK96" i="30" s="1"/>
  <c r="AJ96" i="30"/>
  <c r="AV96" i="30"/>
  <c r="BG96" i="30" s="1"/>
  <c r="AF96" i="30"/>
  <c r="AR96" i="30"/>
  <c r="BG95" i="30"/>
  <c r="BH383" i="29"/>
  <c r="BM383" i="29"/>
  <c r="BD259" i="30"/>
  <c r="BJ259" i="30"/>
  <c r="AH270" i="28"/>
  <c r="AG278" i="28"/>
  <c r="AH278" i="28" s="1"/>
  <c r="AH273" i="28" s="1"/>
  <c r="BC95" i="29"/>
  <c r="AY95" i="29"/>
  <c r="AU95" i="29"/>
  <c r="BF95" i="29" s="1"/>
  <c r="AQ95" i="29"/>
  <c r="AM95" i="29"/>
  <c r="AI95" i="29"/>
  <c r="AE95" i="29"/>
  <c r="BO95" i="29"/>
  <c r="BB95" i="29"/>
  <c r="AX95" i="29"/>
  <c r="AT95" i="29"/>
  <c r="BE95" i="29" s="1"/>
  <c r="AP95" i="29"/>
  <c r="AL95" i="29"/>
  <c r="BA95" i="29"/>
  <c r="AW95" i="29"/>
  <c r="BH95" i="29" s="1"/>
  <c r="AS95" i="29"/>
  <c r="AO95" i="29"/>
  <c r="AK95" i="29"/>
  <c r="AG95" i="29"/>
  <c r="AV95" i="29"/>
  <c r="AF95" i="29"/>
  <c r="AR95" i="29"/>
  <c r="AN95" i="29"/>
  <c r="F96" i="29" a="1"/>
  <c r="F96" i="29" s="1"/>
  <c r="AZ95" i="29"/>
  <c r="BK95" i="29" s="1"/>
  <c r="AJ95" i="29"/>
  <c r="F241" i="29" a="1"/>
  <c r="F241" i="29" s="1"/>
  <c r="AZ240" i="29"/>
  <c r="BK240" i="29" s="1"/>
  <c r="AV240" i="29"/>
  <c r="BG240" i="29" s="1"/>
  <c r="BC240" i="29"/>
  <c r="AY240" i="29"/>
  <c r="AU240" i="29"/>
  <c r="BF240" i="29" s="1"/>
  <c r="AQ240" i="29"/>
  <c r="AW240" i="29"/>
  <c r="BH240" i="29" s="1"/>
  <c r="AP240" i="29"/>
  <c r="AL240" i="29"/>
  <c r="BB240" i="29"/>
  <c r="BM240" i="29" s="1"/>
  <c r="AT240" i="29"/>
  <c r="AO240" i="29"/>
  <c r="AK240" i="29"/>
  <c r="AG240" i="29"/>
  <c r="BA240" i="29"/>
  <c r="BL240" i="29" s="1"/>
  <c r="AS240" i="29"/>
  <c r="AN240" i="29"/>
  <c r="AJ240" i="29"/>
  <c r="AF240" i="29"/>
  <c r="AI240" i="29"/>
  <c r="BD240" i="29" s="1"/>
  <c r="AX240" i="29"/>
  <c r="BI240" i="29" s="1"/>
  <c r="AE240" i="29"/>
  <c r="AR240" i="29"/>
  <c r="BO240" i="29"/>
  <c r="AM240" i="29"/>
  <c r="AH95" i="30"/>
  <c r="BG383" i="29"/>
  <c r="F261" i="30" a="1"/>
  <c r="F261" i="30" s="1"/>
  <c r="F262" i="30" s="1" a="1"/>
  <c r="F262" i="30" s="1"/>
  <c r="BA260" i="30"/>
  <c r="AS260" i="30"/>
  <c r="AG260" i="30"/>
  <c r="BC260" i="30"/>
  <c r="AR260" i="30"/>
  <c r="AF260" i="30"/>
  <c r="BB260" i="30"/>
  <c r="BM260" i="30" s="1"/>
  <c r="AQ260" i="30"/>
  <c r="AE260" i="30"/>
  <c r="BJ439" i="30"/>
  <c r="AH239" i="29"/>
  <c r="BH239" i="29"/>
  <c r="BE239" i="29"/>
  <c r="AH94" i="29"/>
  <c r="BG439" i="30"/>
  <c r="AH185" i="28"/>
  <c r="AG193" i="28"/>
  <c r="AH193" i="28" s="1"/>
  <c r="AH188" i="28" s="1"/>
  <c r="AH240" i="29" l="1"/>
  <c r="AH96" i="30"/>
  <c r="AH95" i="29"/>
  <c r="AH384" i="29"/>
  <c r="BL260" i="30"/>
  <c r="BK260" i="30"/>
  <c r="BL95" i="29"/>
  <c r="BI95" i="29"/>
  <c r="BD95" i="29"/>
  <c r="BJ95" i="29"/>
  <c r="BC97" i="30"/>
  <c r="AY97" i="30"/>
  <c r="AU97" i="30"/>
  <c r="BF97" i="30" s="1"/>
  <c r="AQ97" i="30"/>
  <c r="AM97" i="30"/>
  <c r="AI97" i="30"/>
  <c r="AE97" i="30"/>
  <c r="BO97" i="30"/>
  <c r="BB97" i="30"/>
  <c r="BM97" i="30" s="1"/>
  <c r="AX97" i="30"/>
  <c r="BI97" i="30" s="1"/>
  <c r="AT97" i="30"/>
  <c r="AP97" i="30"/>
  <c r="AL97" i="30"/>
  <c r="BA97" i="30"/>
  <c r="BL97" i="30" s="1"/>
  <c r="AW97" i="30"/>
  <c r="AS97" i="30"/>
  <c r="AO97" i="30"/>
  <c r="AK97" i="30"/>
  <c r="AG97" i="30"/>
  <c r="AV97" i="30"/>
  <c r="AF97" i="30"/>
  <c r="AR97" i="30"/>
  <c r="AN97" i="30"/>
  <c r="AZ97" i="30"/>
  <c r="AJ97" i="30"/>
  <c r="F98" i="30" a="1"/>
  <c r="F98" i="30" s="1"/>
  <c r="BD384" i="29"/>
  <c r="F386" i="29" a="1"/>
  <c r="F386" i="29" s="1"/>
  <c r="AZ385" i="29"/>
  <c r="AV385" i="29"/>
  <c r="AR385" i="29"/>
  <c r="AN385" i="29"/>
  <c r="AJ385" i="29"/>
  <c r="AF385" i="29"/>
  <c r="BC385" i="29"/>
  <c r="AY385" i="29"/>
  <c r="AU385" i="29"/>
  <c r="AQ385" i="29"/>
  <c r="AM385" i="29"/>
  <c r="AI385" i="29"/>
  <c r="BD385" i="29" s="1"/>
  <c r="AE385" i="29"/>
  <c r="BO385" i="29"/>
  <c r="BB385" i="29"/>
  <c r="AX385" i="29"/>
  <c r="AT385" i="29"/>
  <c r="AP385" i="29"/>
  <c r="AL385" i="29"/>
  <c r="AO385" i="29"/>
  <c r="BA385" i="29"/>
  <c r="AK385" i="29"/>
  <c r="AW385" i="29"/>
  <c r="AG385" i="29"/>
  <c r="AS385" i="29"/>
  <c r="BC262" i="30"/>
  <c r="AY262" i="30"/>
  <c r="AU262" i="30"/>
  <c r="AQ262" i="30"/>
  <c r="AM262" i="30"/>
  <c r="AI262" i="30"/>
  <c r="AE262" i="30"/>
  <c r="F263" i="30" a="1"/>
  <c r="F263" i="30" s="1"/>
  <c r="BO262" i="30"/>
  <c r="BB262" i="30"/>
  <c r="AX262" i="30"/>
  <c r="AT262" i="30"/>
  <c r="AP262" i="30"/>
  <c r="AL262" i="30"/>
  <c r="BA262" i="30"/>
  <c r="AW262" i="30"/>
  <c r="AS262" i="30"/>
  <c r="AO262" i="30"/>
  <c r="AK262" i="30"/>
  <c r="AG262" i="30"/>
  <c r="AV262" i="30"/>
  <c r="AF262" i="30"/>
  <c r="AR262" i="30"/>
  <c r="AN262" i="30"/>
  <c r="AJ262" i="30"/>
  <c r="AZ262" i="30"/>
  <c r="BJ240" i="29"/>
  <c r="F242" i="29" a="1"/>
  <c r="F242" i="29" s="1"/>
  <c r="AZ241" i="29"/>
  <c r="AV241" i="29"/>
  <c r="AR241" i="29"/>
  <c r="AN241" i="29"/>
  <c r="AJ241" i="29"/>
  <c r="AF241" i="29"/>
  <c r="BC241" i="29"/>
  <c r="AY241" i="29"/>
  <c r="AU241" i="29"/>
  <c r="AQ241" i="29"/>
  <c r="AM241" i="29"/>
  <c r="AI241" i="29"/>
  <c r="AE241" i="29"/>
  <c r="AW241" i="29"/>
  <c r="AO241" i="29"/>
  <c r="AG241" i="29"/>
  <c r="BB241" i="29"/>
  <c r="BM241" i="29" s="1"/>
  <c r="AT241" i="29"/>
  <c r="AL241" i="29"/>
  <c r="BA241" i="29"/>
  <c r="BL241" i="29" s="1"/>
  <c r="AS241" i="29"/>
  <c r="AK241" i="29"/>
  <c r="AX241" i="29"/>
  <c r="AP241" i="29"/>
  <c r="BO241" i="29"/>
  <c r="BM95" i="29"/>
  <c r="AJ429" i="30"/>
  <c r="F430" i="30" a="1"/>
  <c r="F430" i="30" s="1"/>
  <c r="BO429" i="30"/>
  <c r="AH260" i="30"/>
  <c r="BE240" i="29"/>
  <c r="BC96" i="29"/>
  <c r="AY96" i="29"/>
  <c r="BJ96" i="29" s="1"/>
  <c r="AU96" i="29"/>
  <c r="AQ96" i="29"/>
  <c r="AM96" i="29"/>
  <c r="AI96" i="29"/>
  <c r="BD96" i="29" s="1"/>
  <c r="AE96" i="29"/>
  <c r="BO96" i="29"/>
  <c r="BB96" i="29"/>
  <c r="BM96" i="29" s="1"/>
  <c r="AX96" i="29"/>
  <c r="BI96" i="29" s="1"/>
  <c r="AT96" i="29"/>
  <c r="AP96" i="29"/>
  <c r="AL96" i="29"/>
  <c r="BA96" i="29"/>
  <c r="BL96" i="29" s="1"/>
  <c r="AW96" i="29"/>
  <c r="AS96" i="29"/>
  <c r="AO96" i="29"/>
  <c r="AK96" i="29"/>
  <c r="AG96" i="29"/>
  <c r="AH96" i="29" s="1"/>
  <c r="AN96" i="29"/>
  <c r="F97" i="29" a="1"/>
  <c r="F97" i="29" s="1"/>
  <c r="AZ96" i="29"/>
  <c r="AJ96" i="29"/>
  <c r="AV96" i="29"/>
  <c r="BG96" i="29" s="1"/>
  <c r="AF96" i="29"/>
  <c r="AR96" i="29"/>
  <c r="BG95" i="29"/>
  <c r="BF96" i="30"/>
  <c r="BI241" i="29" l="1"/>
  <c r="AH385" i="29"/>
  <c r="BC97" i="29"/>
  <c r="AY97" i="29"/>
  <c r="BJ97" i="29" s="1"/>
  <c r="AU97" i="29"/>
  <c r="BF97" i="29" s="1"/>
  <c r="AQ97" i="29"/>
  <c r="AM97" i="29"/>
  <c r="AI97" i="29"/>
  <c r="BD97" i="29" s="1"/>
  <c r="AE97" i="29"/>
  <c r="BO97" i="29"/>
  <c r="BB97" i="29"/>
  <c r="BM97" i="29" s="1"/>
  <c r="AX97" i="29"/>
  <c r="BI97" i="29" s="1"/>
  <c r="AT97" i="29"/>
  <c r="BE97" i="29" s="1"/>
  <c r="AP97" i="29"/>
  <c r="AL97" i="29"/>
  <c r="BA97" i="29"/>
  <c r="BL97" i="29" s="1"/>
  <c r="AW97" i="29"/>
  <c r="BH97" i="29" s="1"/>
  <c r="AS97" i="29"/>
  <c r="AO97" i="29"/>
  <c r="AK97" i="29"/>
  <c r="AG97" i="29"/>
  <c r="AV97" i="29"/>
  <c r="AF97" i="29"/>
  <c r="AR97" i="29"/>
  <c r="AN97" i="29"/>
  <c r="F98" i="29" a="1"/>
  <c r="F98" i="29" s="1"/>
  <c r="AZ97" i="29"/>
  <c r="BK97" i="29" s="1"/>
  <c r="AJ97" i="29"/>
  <c r="AH262" i="30"/>
  <c r="BH262" i="30"/>
  <c r="BE262" i="30"/>
  <c r="BA263" i="30"/>
  <c r="BL263" i="30" s="1"/>
  <c r="AW263" i="30"/>
  <c r="BH263" i="30" s="1"/>
  <c r="AS263" i="30"/>
  <c r="AO263" i="30"/>
  <c r="AK263" i="30"/>
  <c r="AG263" i="30"/>
  <c r="AZ263" i="30"/>
  <c r="BK263" i="30" s="1"/>
  <c r="AV263" i="30"/>
  <c r="BG263" i="30" s="1"/>
  <c r="AR263" i="30"/>
  <c r="AN263" i="30"/>
  <c r="AJ263" i="30"/>
  <c r="AF263" i="30"/>
  <c r="BC263" i="30"/>
  <c r="AY263" i="30"/>
  <c r="BJ263" i="30" s="1"/>
  <c r="AU263" i="30"/>
  <c r="BF263" i="30" s="1"/>
  <c r="AQ263" i="30"/>
  <c r="AM263" i="30"/>
  <c r="AI263" i="30"/>
  <c r="BD263" i="30" s="1"/>
  <c r="AE263" i="30"/>
  <c r="F264" i="30" a="1"/>
  <c r="F264" i="30" s="1"/>
  <c r="BB263" i="30"/>
  <c r="BM263" i="30" s="1"/>
  <c r="AL263" i="30"/>
  <c r="BO263" i="30"/>
  <c r="AX263" i="30"/>
  <c r="BI263" i="30" s="1"/>
  <c r="AT263" i="30"/>
  <c r="BE263" i="30" s="1"/>
  <c r="AP263" i="30"/>
  <c r="BL385" i="29"/>
  <c r="BE385" i="29"/>
  <c r="BF385" i="29"/>
  <c r="BK385" i="29"/>
  <c r="AH97" i="30"/>
  <c r="BH97" i="30"/>
  <c r="BE97" i="30"/>
  <c r="F431" i="30" a="1"/>
  <c r="F431" i="30" s="1"/>
  <c r="BO430" i="30"/>
  <c r="AT430" i="30"/>
  <c r="AJ430" i="30"/>
  <c r="BE241" i="29"/>
  <c r="BH241" i="29"/>
  <c r="BG241" i="29"/>
  <c r="BL262" i="30"/>
  <c r="BI262" i="30"/>
  <c r="BF262" i="30"/>
  <c r="BI385" i="29"/>
  <c r="BJ385" i="29"/>
  <c r="F387" i="29" a="1"/>
  <c r="F387" i="29" s="1"/>
  <c r="AZ386" i="29"/>
  <c r="BK386" i="29" s="1"/>
  <c r="AV386" i="29"/>
  <c r="BG386" i="29" s="1"/>
  <c r="AR386" i="29"/>
  <c r="AN386" i="29"/>
  <c r="AJ386" i="29"/>
  <c r="AF386" i="29"/>
  <c r="BC386" i="29"/>
  <c r="AY386" i="29"/>
  <c r="BJ386" i="29" s="1"/>
  <c r="AU386" i="29"/>
  <c r="BF386" i="29" s="1"/>
  <c r="AQ386" i="29"/>
  <c r="AM386" i="29"/>
  <c r="AI386" i="29"/>
  <c r="BD386" i="29" s="1"/>
  <c r="AE386" i="29"/>
  <c r="BO386" i="29"/>
  <c r="BB386" i="29"/>
  <c r="BM386" i="29" s="1"/>
  <c r="AX386" i="29"/>
  <c r="BI386" i="29" s="1"/>
  <c r="AT386" i="29"/>
  <c r="BE386" i="29" s="1"/>
  <c r="AP386" i="29"/>
  <c r="AL386" i="29"/>
  <c r="AW386" i="29"/>
  <c r="BH386" i="29" s="1"/>
  <c r="AG386" i="29"/>
  <c r="AS386" i="29"/>
  <c r="AO386" i="29"/>
  <c r="AK386" i="29"/>
  <c r="BA386" i="29"/>
  <c r="BL386" i="29" s="1"/>
  <c r="BC98" i="30"/>
  <c r="AY98" i="30"/>
  <c r="BJ98" i="30" s="1"/>
  <c r="AU98" i="30"/>
  <c r="AQ98" i="30"/>
  <c r="AM98" i="30"/>
  <c r="AI98" i="30"/>
  <c r="BD98" i="30" s="1"/>
  <c r="AE98" i="30"/>
  <c r="BO98" i="30"/>
  <c r="BB98" i="30"/>
  <c r="BM98" i="30" s="1"/>
  <c r="AX98" i="30"/>
  <c r="AT98" i="30"/>
  <c r="BE98" i="30" s="1"/>
  <c r="AP98" i="30"/>
  <c r="AL98" i="30"/>
  <c r="BA98" i="30"/>
  <c r="AW98" i="30"/>
  <c r="BH98" i="30" s="1"/>
  <c r="AS98" i="30"/>
  <c r="AO98" i="30"/>
  <c r="AK98" i="30"/>
  <c r="AG98" i="30"/>
  <c r="AN98" i="30"/>
  <c r="F99" i="30" a="1"/>
  <c r="F99" i="30" s="1"/>
  <c r="AZ98" i="30"/>
  <c r="BK98" i="30" s="1"/>
  <c r="AJ98" i="30"/>
  <c r="AV98" i="30"/>
  <c r="BG98" i="30" s="1"/>
  <c r="AF98" i="30"/>
  <c r="AR98" i="30"/>
  <c r="BD97" i="30"/>
  <c r="BJ97" i="30"/>
  <c r="BH96" i="29"/>
  <c r="BE96" i="29"/>
  <c r="BF96" i="29"/>
  <c r="BF241" i="29"/>
  <c r="BK241" i="29"/>
  <c r="BK262" i="30"/>
  <c r="BM262" i="30"/>
  <c r="BD262" i="30"/>
  <c r="BJ262" i="30"/>
  <c r="BH385" i="29"/>
  <c r="BM385" i="29"/>
  <c r="BK96" i="29"/>
  <c r="AH241" i="29"/>
  <c r="BD241" i="29"/>
  <c r="BJ241" i="29"/>
  <c r="BA242" i="29"/>
  <c r="BL242" i="29" s="1"/>
  <c r="AW242" i="29"/>
  <c r="BH242" i="29" s="1"/>
  <c r="AS242" i="29"/>
  <c r="AO242" i="29"/>
  <c r="AK242" i="29"/>
  <c r="F243" i="29" a="1"/>
  <c r="F243" i="29" s="1"/>
  <c r="AZ242" i="29"/>
  <c r="BK242" i="29" s="1"/>
  <c r="AV242" i="29"/>
  <c r="AR242" i="29"/>
  <c r="AN242" i="29"/>
  <c r="AJ242" i="29"/>
  <c r="AF242" i="29"/>
  <c r="BC242" i="29"/>
  <c r="AY242" i="29"/>
  <c r="BJ242" i="29" s="1"/>
  <c r="AU242" i="29"/>
  <c r="BF242" i="29" s="1"/>
  <c r="AQ242" i="29"/>
  <c r="AM242" i="29"/>
  <c r="AI242" i="29"/>
  <c r="BD242" i="29" s="1"/>
  <c r="AE242" i="29"/>
  <c r="AT242" i="29"/>
  <c r="BE242" i="29" s="1"/>
  <c r="AG242" i="29"/>
  <c r="AP242" i="29"/>
  <c r="BB242" i="29"/>
  <c r="BM242" i="29" s="1"/>
  <c r="AL242" i="29"/>
  <c r="AX242" i="29"/>
  <c r="BO242" i="29"/>
  <c r="BG262" i="30"/>
  <c r="BG385" i="29"/>
  <c r="BK97" i="30"/>
  <c r="BG97" i="30"/>
  <c r="AH97" i="29" l="1"/>
  <c r="BG242" i="29"/>
  <c r="AH386" i="29"/>
  <c r="F432" i="30" a="1"/>
  <c r="F432" i="30" s="1"/>
  <c r="BO431" i="30"/>
  <c r="AJ431" i="30"/>
  <c r="BC264" i="30"/>
  <c r="BC261" i="30" s="1"/>
  <c r="BC294" i="30" s="1"/>
  <c r="AY264" i="30"/>
  <c r="AU264" i="30"/>
  <c r="AQ264" i="30"/>
  <c r="AQ261" i="30" s="1"/>
  <c r="AQ294" i="30" s="1"/>
  <c r="AM264" i="30"/>
  <c r="AM261" i="30" s="1"/>
  <c r="AM294" i="30" s="1"/>
  <c r="AI264" i="30"/>
  <c r="AE264" i="30"/>
  <c r="AE261" i="30" s="1"/>
  <c r="AE294" i="30" s="1"/>
  <c r="F265" i="30" a="1"/>
  <c r="F265" i="30" s="1"/>
  <c r="F266" i="30" s="1" a="1"/>
  <c r="F266" i="30" s="1"/>
  <c r="F267" i="30" s="1" a="1"/>
  <c r="F267" i="30" s="1"/>
  <c r="F268" i="30" s="1" a="1"/>
  <c r="F268" i="30" s="1"/>
  <c r="F269" i="30" s="1" a="1"/>
  <c r="F269" i="30" s="1"/>
  <c r="F270" i="30" s="1" a="1"/>
  <c r="F270" i="30" s="1"/>
  <c r="F271" i="30" s="1" a="1"/>
  <c r="F271" i="30" s="1"/>
  <c r="F272" i="30" s="1" a="1"/>
  <c r="F272" i="30" s="1"/>
  <c r="F273" i="30" s="1" a="1"/>
  <c r="F273" i="30" s="1"/>
  <c r="F274" i="30" s="1" a="1"/>
  <c r="F274" i="30" s="1"/>
  <c r="F275" i="30" s="1" a="1"/>
  <c r="F275" i="30" s="1"/>
  <c r="F276" i="30" s="1" a="1"/>
  <c r="F276" i="30" s="1"/>
  <c r="F277" i="30" s="1" a="1"/>
  <c r="F277" i="30" s="1"/>
  <c r="F278" i="30" s="1" a="1"/>
  <c r="F278" i="30" s="1"/>
  <c r="F279" i="30" s="1" a="1"/>
  <c r="F279" i="30" s="1"/>
  <c r="BO264" i="30"/>
  <c r="BB264" i="30"/>
  <c r="BM264" i="30" s="1"/>
  <c r="AX264" i="30"/>
  <c r="AT264" i="30"/>
  <c r="BE264" i="30" s="1"/>
  <c r="AP264" i="30"/>
  <c r="AP261" i="30" s="1"/>
  <c r="AP294" i="30" s="1"/>
  <c r="AL264" i="30"/>
  <c r="AL261" i="30" s="1"/>
  <c r="AL294" i="30" s="1"/>
  <c r="BA264" i="30"/>
  <c r="AW264" i="30"/>
  <c r="BH264" i="30" s="1"/>
  <c r="AS264" i="30"/>
  <c r="AS261" i="30" s="1"/>
  <c r="AS294" i="30" s="1"/>
  <c r="AO264" i="30"/>
  <c r="AO261" i="30" s="1"/>
  <c r="AO294" i="30" s="1"/>
  <c r="AK264" i="30"/>
  <c r="AK261" i="30" s="1"/>
  <c r="AK294" i="30" s="1"/>
  <c r="AG264" i="30"/>
  <c r="AR264" i="30"/>
  <c r="AR261" i="30" s="1"/>
  <c r="AR294" i="30" s="1"/>
  <c r="AN264" i="30"/>
  <c r="AN261" i="30" s="1"/>
  <c r="AN294" i="30" s="1"/>
  <c r="AZ264" i="30"/>
  <c r="AJ264" i="30"/>
  <c r="AJ261" i="30" s="1"/>
  <c r="AJ294" i="30" s="1"/>
  <c r="AV264" i="30"/>
  <c r="AF264" i="30"/>
  <c r="AF261" i="30" s="1"/>
  <c r="AF294" i="30" s="1"/>
  <c r="AT261" i="30"/>
  <c r="BA243" i="29"/>
  <c r="AW243" i="29"/>
  <c r="BH243" i="29" s="1"/>
  <c r="AS243" i="29"/>
  <c r="AO243" i="29"/>
  <c r="AK243" i="29"/>
  <c r="AG243" i="29"/>
  <c r="F244" i="29" a="1"/>
  <c r="F244" i="29" s="1"/>
  <c r="AZ243" i="29"/>
  <c r="BK243" i="29" s="1"/>
  <c r="AV243" i="29"/>
  <c r="BG243" i="29" s="1"/>
  <c r="AR243" i="29"/>
  <c r="AN243" i="29"/>
  <c r="AJ243" i="29"/>
  <c r="AF243" i="29"/>
  <c r="BC243" i="29"/>
  <c r="AY243" i="29"/>
  <c r="BJ243" i="29" s="1"/>
  <c r="AU243" i="29"/>
  <c r="BF243" i="29" s="1"/>
  <c r="AQ243" i="29"/>
  <c r="AM243" i="29"/>
  <c r="AI243" i="29"/>
  <c r="BD243" i="29" s="1"/>
  <c r="AE243" i="29"/>
  <c r="BB243" i="29"/>
  <c r="BM243" i="29" s="1"/>
  <c r="AL243" i="29"/>
  <c r="BO243" i="29"/>
  <c r="AX243" i="29"/>
  <c r="BI243" i="29" s="1"/>
  <c r="AT243" i="29"/>
  <c r="BE243" i="29" s="1"/>
  <c r="AP243" i="29"/>
  <c r="BB261" i="30"/>
  <c r="AH98" i="30"/>
  <c r="BF98" i="30"/>
  <c r="F388" i="29" a="1"/>
  <c r="F388" i="29" s="1"/>
  <c r="AZ387" i="29"/>
  <c r="BK387" i="29" s="1"/>
  <c r="AV387" i="29"/>
  <c r="BG387" i="29" s="1"/>
  <c r="AR387" i="29"/>
  <c r="AN387" i="29"/>
  <c r="AJ387" i="29"/>
  <c r="AF387" i="29"/>
  <c r="BC387" i="29"/>
  <c r="AY387" i="29"/>
  <c r="BJ387" i="29" s="1"/>
  <c r="AU387" i="29"/>
  <c r="AQ387" i="29"/>
  <c r="AM387" i="29"/>
  <c r="AI387" i="29"/>
  <c r="AE387" i="29"/>
  <c r="BO387" i="29"/>
  <c r="BB387" i="29"/>
  <c r="AX387" i="29"/>
  <c r="BI387" i="29" s="1"/>
  <c r="AT387" i="29"/>
  <c r="BE387" i="29" s="1"/>
  <c r="AP387" i="29"/>
  <c r="AL387" i="29"/>
  <c r="AO387" i="29"/>
  <c r="BA387" i="29"/>
  <c r="AK387" i="29"/>
  <c r="AW387" i="29"/>
  <c r="AG387" i="29"/>
  <c r="AS387" i="29"/>
  <c r="BC99" i="30"/>
  <c r="AY99" i="30"/>
  <c r="AU99" i="30"/>
  <c r="BF99" i="30" s="1"/>
  <c r="AQ99" i="30"/>
  <c r="AM99" i="30"/>
  <c r="AI99" i="30"/>
  <c r="AE99" i="30"/>
  <c r="BO99" i="30"/>
  <c r="BB99" i="30"/>
  <c r="BM99" i="30" s="1"/>
  <c r="AX99" i="30"/>
  <c r="BI99" i="30" s="1"/>
  <c r="AT99" i="30"/>
  <c r="BE99" i="30" s="1"/>
  <c r="AP99" i="30"/>
  <c r="AL99" i="30"/>
  <c r="BA99" i="30"/>
  <c r="BL99" i="30" s="1"/>
  <c r="AW99" i="30"/>
  <c r="BH99" i="30" s="1"/>
  <c r="AS99" i="30"/>
  <c r="AO99" i="30"/>
  <c r="AK99" i="30"/>
  <c r="AG99" i="30"/>
  <c r="AV99" i="30"/>
  <c r="AF99" i="30"/>
  <c r="AR99" i="30"/>
  <c r="AN99" i="30"/>
  <c r="AJ99" i="30"/>
  <c r="F100" i="30" a="1"/>
  <c r="F100" i="30" s="1"/>
  <c r="AZ99" i="30"/>
  <c r="BI242" i="29"/>
  <c r="AH242" i="29"/>
  <c r="BL98" i="30"/>
  <c r="BI98" i="30"/>
  <c r="AH263" i="30"/>
  <c r="AW261" i="30"/>
  <c r="BC98" i="29"/>
  <c r="AY98" i="29"/>
  <c r="AU98" i="29"/>
  <c r="BF98" i="29" s="1"/>
  <c r="AQ98" i="29"/>
  <c r="AM98" i="29"/>
  <c r="AI98" i="29"/>
  <c r="AE98" i="29"/>
  <c r="BO98" i="29"/>
  <c r="BB98" i="29"/>
  <c r="AX98" i="29"/>
  <c r="AT98" i="29"/>
  <c r="AP98" i="29"/>
  <c r="AL98" i="29"/>
  <c r="BA98" i="29"/>
  <c r="AW98" i="29"/>
  <c r="BH98" i="29" s="1"/>
  <c r="AS98" i="29"/>
  <c r="AO98" i="29"/>
  <c r="AK98" i="29"/>
  <c r="AG98" i="29"/>
  <c r="AN98" i="29"/>
  <c r="F99" i="29" a="1"/>
  <c r="F99" i="29" s="1"/>
  <c r="AZ98" i="29"/>
  <c r="AJ98" i="29"/>
  <c r="AV98" i="29"/>
  <c r="BG98" i="29" s="1"/>
  <c r="AF98" i="29"/>
  <c r="AR98" i="29"/>
  <c r="BG97" i="29"/>
  <c r="AK295" i="30" l="1"/>
  <c r="AK293" i="30"/>
  <c r="AN293" i="30"/>
  <c r="AN295" i="30"/>
  <c r="AR293" i="30"/>
  <c r="AR295" i="30"/>
  <c r="BC293" i="30"/>
  <c r="BC295" i="30"/>
  <c r="BH261" i="30"/>
  <c r="AW294" i="30"/>
  <c r="BG99" i="30"/>
  <c r="AH387" i="29"/>
  <c r="BD387" i="29"/>
  <c r="F389" i="29" a="1"/>
  <c r="F389" i="29" s="1"/>
  <c r="AZ388" i="29"/>
  <c r="BK388" i="29" s="1"/>
  <c r="AV388" i="29"/>
  <c r="BG388" i="29" s="1"/>
  <c r="AR388" i="29"/>
  <c r="AN388" i="29"/>
  <c r="AJ388" i="29"/>
  <c r="AF388" i="29"/>
  <c r="BC388" i="29"/>
  <c r="AY388" i="29"/>
  <c r="BJ388" i="29" s="1"/>
  <c r="AU388" i="29"/>
  <c r="BF388" i="29" s="1"/>
  <c r="AQ388" i="29"/>
  <c r="AM388" i="29"/>
  <c r="AI388" i="29"/>
  <c r="BD388" i="29" s="1"/>
  <c r="AE388" i="29"/>
  <c r="BO388" i="29"/>
  <c r="BB388" i="29"/>
  <c r="BM388" i="29" s="1"/>
  <c r="AX388" i="29"/>
  <c r="BI388" i="29" s="1"/>
  <c r="AT388" i="29"/>
  <c r="BE388" i="29" s="1"/>
  <c r="AP388" i="29"/>
  <c r="AL388" i="29"/>
  <c r="AW388" i="29"/>
  <c r="BH388" i="29" s="1"/>
  <c r="AG388" i="29"/>
  <c r="AS388" i="29"/>
  <c r="AO388" i="29"/>
  <c r="BA388" i="29"/>
  <c r="BL388" i="29" s="1"/>
  <c r="AK388" i="29"/>
  <c r="AH243" i="29"/>
  <c r="BG264" i="30"/>
  <c r="AV261" i="30"/>
  <c r="AS295" i="30"/>
  <c r="AS293" i="30"/>
  <c r="AP295" i="30"/>
  <c r="AP293" i="30"/>
  <c r="AM293" i="30"/>
  <c r="AM295" i="30"/>
  <c r="AJ432" i="30"/>
  <c r="F433" i="30" a="1"/>
  <c r="F433" i="30" s="1"/>
  <c r="BO432" i="30"/>
  <c r="AH98" i="29"/>
  <c r="BE98" i="29"/>
  <c r="AH99" i="30"/>
  <c r="BH387" i="29"/>
  <c r="BM387" i="29"/>
  <c r="BL243" i="29"/>
  <c r="AJ293" i="30"/>
  <c r="AJ295" i="30"/>
  <c r="AH264" i="30"/>
  <c r="BO279" i="30"/>
  <c r="F280" i="30" a="1"/>
  <c r="F280" i="30" s="1"/>
  <c r="F281" i="30" s="1" a="1"/>
  <c r="F281" i="30" s="1"/>
  <c r="AQ293" i="30"/>
  <c r="AQ295" i="30"/>
  <c r="BK98" i="29"/>
  <c r="BL98" i="29"/>
  <c r="BI98" i="29"/>
  <c r="BD98" i="29"/>
  <c r="BJ98" i="29"/>
  <c r="BK99" i="30"/>
  <c r="BD99" i="30"/>
  <c r="BJ99" i="30"/>
  <c r="BE261" i="30"/>
  <c r="AT294" i="30"/>
  <c r="BK264" i="30"/>
  <c r="AZ261" i="30"/>
  <c r="BL264" i="30"/>
  <c r="BA261" i="30"/>
  <c r="BI264" i="30"/>
  <c r="AX261" i="30"/>
  <c r="AE293" i="30"/>
  <c r="AE295" i="30"/>
  <c r="BF264" i="30"/>
  <c r="AU261" i="30"/>
  <c r="AG261" i="30"/>
  <c r="BC99" i="29"/>
  <c r="AY99" i="29"/>
  <c r="BJ99" i="29" s="1"/>
  <c r="AU99" i="29"/>
  <c r="BF99" i="29" s="1"/>
  <c r="AQ99" i="29"/>
  <c r="AM99" i="29"/>
  <c r="AI99" i="29"/>
  <c r="BD99" i="29" s="1"/>
  <c r="AE99" i="29"/>
  <c r="BO99" i="29"/>
  <c r="BB99" i="29"/>
  <c r="BM99" i="29" s="1"/>
  <c r="AX99" i="29"/>
  <c r="BI99" i="29" s="1"/>
  <c r="AT99" i="29"/>
  <c r="BE99" i="29" s="1"/>
  <c r="AP99" i="29"/>
  <c r="AL99" i="29"/>
  <c r="BA99" i="29"/>
  <c r="BL99" i="29" s="1"/>
  <c r="AW99" i="29"/>
  <c r="BH99" i="29" s="1"/>
  <c r="AS99" i="29"/>
  <c r="AO99" i="29"/>
  <c r="AK99" i="29"/>
  <c r="AG99" i="29"/>
  <c r="AV99" i="29"/>
  <c r="AF99" i="29"/>
  <c r="AR99" i="29"/>
  <c r="AN99" i="29"/>
  <c r="F100" i="29" a="1"/>
  <c r="F100" i="29" s="1"/>
  <c r="AZ99" i="29"/>
  <c r="BK99" i="29" s="1"/>
  <c r="AJ99" i="29"/>
  <c r="BM98" i="29"/>
  <c r="BC100" i="30"/>
  <c r="AY100" i="30"/>
  <c r="BJ100" i="30" s="1"/>
  <c r="AU100" i="30"/>
  <c r="BF100" i="30" s="1"/>
  <c r="AQ100" i="30"/>
  <c r="AM100" i="30"/>
  <c r="AI100" i="30"/>
  <c r="BD100" i="30" s="1"/>
  <c r="AE100" i="30"/>
  <c r="BO100" i="30"/>
  <c r="BB100" i="30"/>
  <c r="BM100" i="30" s="1"/>
  <c r="AX100" i="30"/>
  <c r="BI100" i="30" s="1"/>
  <c r="AT100" i="30"/>
  <c r="BE100" i="30" s="1"/>
  <c r="AP100" i="30"/>
  <c r="AL100" i="30"/>
  <c r="BA100" i="30"/>
  <c r="BL100" i="30" s="1"/>
  <c r="AW100" i="30"/>
  <c r="BH100" i="30" s="1"/>
  <c r="AS100" i="30"/>
  <c r="AO100" i="30"/>
  <c r="AK100" i="30"/>
  <c r="AG100" i="30"/>
  <c r="AN100" i="30"/>
  <c r="F101" i="30" a="1"/>
  <c r="F101" i="30" s="1"/>
  <c r="AZ100" i="30"/>
  <c r="BK100" i="30" s="1"/>
  <c r="AJ100" i="30"/>
  <c r="AV100" i="30"/>
  <c r="BG100" i="30" s="1"/>
  <c r="AF100" i="30"/>
  <c r="AR100" i="30"/>
  <c r="BL387" i="29"/>
  <c r="BF387" i="29"/>
  <c r="BM261" i="30"/>
  <c r="BB294" i="30"/>
  <c r="BA244" i="29"/>
  <c r="BL244" i="29" s="1"/>
  <c r="AW244" i="29"/>
  <c r="AS244" i="29"/>
  <c r="AO244" i="29"/>
  <c r="AK244" i="29"/>
  <c r="AG244" i="29"/>
  <c r="F245" i="29" a="1"/>
  <c r="F245" i="29" s="1"/>
  <c r="AZ244" i="29"/>
  <c r="BK244" i="29" s="1"/>
  <c r="AV244" i="29"/>
  <c r="BG244" i="29" s="1"/>
  <c r="AR244" i="29"/>
  <c r="AN244" i="29"/>
  <c r="AJ244" i="29"/>
  <c r="AF244" i="29"/>
  <c r="BC244" i="29"/>
  <c r="AY244" i="29"/>
  <c r="BJ244" i="29" s="1"/>
  <c r="AU244" i="29"/>
  <c r="BF244" i="29" s="1"/>
  <c r="AQ244" i="29"/>
  <c r="AM244" i="29"/>
  <c r="AI244" i="29"/>
  <c r="BD244" i="29" s="1"/>
  <c r="AE244" i="29"/>
  <c r="AT244" i="29"/>
  <c r="AP244" i="29"/>
  <c r="BB244" i="29"/>
  <c r="BM244" i="29" s="1"/>
  <c r="AL244" i="29"/>
  <c r="BO244" i="29"/>
  <c r="AX244" i="29"/>
  <c r="AF293" i="30"/>
  <c r="AF295" i="30"/>
  <c r="AO295" i="30"/>
  <c r="AO293" i="30"/>
  <c r="AL295" i="30"/>
  <c r="AL293" i="30"/>
  <c r="BD264" i="30"/>
  <c r="AI261" i="30"/>
  <c r="BJ264" i="30"/>
  <c r="AY261" i="30"/>
  <c r="AH388" i="29" l="1"/>
  <c r="BA245" i="29"/>
  <c r="BL245" i="29" s="1"/>
  <c r="AW245" i="29"/>
  <c r="BH245" i="29" s="1"/>
  <c r="AS245" i="29"/>
  <c r="AO245" i="29"/>
  <c r="AK245" i="29"/>
  <c r="AG245" i="29"/>
  <c r="F246" i="29" a="1"/>
  <c r="F246" i="29" s="1"/>
  <c r="AZ245" i="29"/>
  <c r="BK245" i="29" s="1"/>
  <c r="AV245" i="29"/>
  <c r="BG245" i="29" s="1"/>
  <c r="AR245" i="29"/>
  <c r="AN245" i="29"/>
  <c r="AJ245" i="29"/>
  <c r="AF245" i="29"/>
  <c r="BC245" i="29"/>
  <c r="AY245" i="29"/>
  <c r="BJ245" i="29" s="1"/>
  <c r="AU245" i="29"/>
  <c r="BF245" i="29" s="1"/>
  <c r="AQ245" i="29"/>
  <c r="AM245" i="29"/>
  <c r="AI245" i="29"/>
  <c r="BD245" i="29" s="1"/>
  <c r="AE245" i="29"/>
  <c r="BB245" i="29"/>
  <c r="BM245" i="29" s="1"/>
  <c r="AL245" i="29"/>
  <c r="BO245" i="29"/>
  <c r="AX245" i="29"/>
  <c r="BI245" i="29" s="1"/>
  <c r="AT245" i="29"/>
  <c r="BE245" i="29" s="1"/>
  <c r="AP245" i="29"/>
  <c r="AH100" i="30"/>
  <c r="AH99" i="29"/>
  <c r="BF261" i="30"/>
  <c r="AU294" i="30"/>
  <c r="BE294" i="30" s="1"/>
  <c r="BI261" i="30"/>
  <c r="AX294" i="30"/>
  <c r="BK261" i="30"/>
  <c r="AZ294" i="30"/>
  <c r="BD261" i="30"/>
  <c r="AI294" i="30"/>
  <c r="BI244" i="29"/>
  <c r="AH244" i="29"/>
  <c r="BH244" i="29"/>
  <c r="BE244" i="29"/>
  <c r="BC101" i="30"/>
  <c r="AY101" i="30"/>
  <c r="BJ101" i="30" s="1"/>
  <c r="AU101" i="30"/>
  <c r="BF101" i="30" s="1"/>
  <c r="AQ101" i="30"/>
  <c r="AM101" i="30"/>
  <c r="AI101" i="30"/>
  <c r="BD101" i="30" s="1"/>
  <c r="AE101" i="30"/>
  <c r="BO101" i="30"/>
  <c r="BB101" i="30"/>
  <c r="BM101" i="30" s="1"/>
  <c r="AX101" i="30"/>
  <c r="BI101" i="30" s="1"/>
  <c r="AT101" i="30"/>
  <c r="BE101" i="30" s="1"/>
  <c r="AP101" i="30"/>
  <c r="AL101" i="30"/>
  <c r="BA101" i="30"/>
  <c r="BL101" i="30" s="1"/>
  <c r="AW101" i="30"/>
  <c r="BH101" i="30" s="1"/>
  <c r="AS101" i="30"/>
  <c r="AO101" i="30"/>
  <c r="AK101" i="30"/>
  <c r="AG101" i="30"/>
  <c r="AV101" i="30"/>
  <c r="BG101" i="30" s="1"/>
  <c r="AF101" i="30"/>
  <c r="AR101" i="30"/>
  <c r="AN101" i="30"/>
  <c r="F102" i="30" a="1"/>
  <c r="F102" i="30" s="1"/>
  <c r="AZ101" i="30"/>
  <c r="BK101" i="30" s="1"/>
  <c r="AJ101" i="30"/>
  <c r="BL261" i="30"/>
  <c r="BA294" i="30"/>
  <c r="F434" i="30" a="1"/>
  <c r="F434" i="30" s="1"/>
  <c r="BO433" i="30"/>
  <c r="AT433" i="30"/>
  <c r="AT431" i="30" s="1"/>
  <c r="AJ433" i="30"/>
  <c r="BG261" i="30"/>
  <c r="AV294" i="30"/>
  <c r="BH294" i="30"/>
  <c r="AW295" i="30"/>
  <c r="AW293" i="30"/>
  <c r="BJ261" i="30"/>
  <c r="AY294" i="30"/>
  <c r="BB295" i="30"/>
  <c r="BM295" i="30" s="1"/>
  <c r="BB293" i="30"/>
  <c r="BM294" i="30"/>
  <c r="BC100" i="29"/>
  <c r="AY100" i="29"/>
  <c r="AU100" i="29"/>
  <c r="BF100" i="29" s="1"/>
  <c r="AQ100" i="29"/>
  <c r="AM100" i="29"/>
  <c r="AI100" i="29"/>
  <c r="BD100" i="29" s="1"/>
  <c r="AE100" i="29"/>
  <c r="BO100" i="29"/>
  <c r="BB100" i="29"/>
  <c r="AX100" i="29"/>
  <c r="BI100" i="29" s="1"/>
  <c r="AT100" i="29"/>
  <c r="BE100" i="29" s="1"/>
  <c r="AP100" i="29"/>
  <c r="AL100" i="29"/>
  <c r="BA100" i="29"/>
  <c r="BL100" i="29" s="1"/>
  <c r="AW100" i="29"/>
  <c r="BH100" i="29" s="1"/>
  <c r="AS100" i="29"/>
  <c r="AO100" i="29"/>
  <c r="AK100" i="29"/>
  <c r="AG100" i="29"/>
  <c r="AN100" i="29"/>
  <c r="F101" i="29" a="1"/>
  <c r="F101" i="29" s="1"/>
  <c r="AZ100" i="29"/>
  <c r="BK100" i="29" s="1"/>
  <c r="AJ100" i="29"/>
  <c r="AV100" i="29"/>
  <c r="BG100" i="29" s="1"/>
  <c r="AF100" i="29"/>
  <c r="AR100" i="29"/>
  <c r="BG99" i="29"/>
  <c r="AH261" i="30"/>
  <c r="AG294" i="30"/>
  <c r="AJ281" i="30"/>
  <c r="F282" i="30" a="1"/>
  <c r="F282" i="30" s="1"/>
  <c r="BO281" i="30"/>
  <c r="AT281" i="30"/>
  <c r="F390" i="29" a="1"/>
  <c r="F390" i="29" s="1"/>
  <c r="AZ389" i="29"/>
  <c r="BK389" i="29" s="1"/>
  <c r="AV389" i="29"/>
  <c r="BG389" i="29" s="1"/>
  <c r="AR389" i="29"/>
  <c r="AN389" i="29"/>
  <c r="AJ389" i="29"/>
  <c r="AF389" i="29"/>
  <c r="BC389" i="29"/>
  <c r="AY389" i="29"/>
  <c r="BJ389" i="29" s="1"/>
  <c r="AU389" i="29"/>
  <c r="BF389" i="29" s="1"/>
  <c r="AQ389" i="29"/>
  <c r="AM389" i="29"/>
  <c r="AI389" i="29"/>
  <c r="BD389" i="29" s="1"/>
  <c r="AE389" i="29"/>
  <c r="BO389" i="29"/>
  <c r="BB389" i="29"/>
  <c r="AX389" i="29"/>
  <c r="BI389" i="29" s="1"/>
  <c r="AT389" i="29"/>
  <c r="BE389" i="29" s="1"/>
  <c r="AP389" i="29"/>
  <c r="AL389" i="29"/>
  <c r="AO389" i="29"/>
  <c r="BA389" i="29"/>
  <c r="BL389" i="29" s="1"/>
  <c r="AK389" i="29"/>
  <c r="AW389" i="29"/>
  <c r="AG389" i="29"/>
  <c r="AS389" i="29"/>
  <c r="AH389" i="29" l="1"/>
  <c r="BC101" i="29"/>
  <c r="AY101" i="29"/>
  <c r="BJ101" i="29" s="1"/>
  <c r="AU101" i="29"/>
  <c r="BF101" i="29" s="1"/>
  <c r="AQ101" i="29"/>
  <c r="AM101" i="29"/>
  <c r="AI101" i="29"/>
  <c r="BD101" i="29" s="1"/>
  <c r="AE101" i="29"/>
  <c r="BO101" i="29"/>
  <c r="BB101" i="29"/>
  <c r="BM101" i="29" s="1"/>
  <c r="AX101" i="29"/>
  <c r="BI101" i="29" s="1"/>
  <c r="AT101" i="29"/>
  <c r="BE101" i="29" s="1"/>
  <c r="AP101" i="29"/>
  <c r="AL101" i="29"/>
  <c r="BA101" i="29"/>
  <c r="BL101" i="29" s="1"/>
  <c r="AW101" i="29"/>
  <c r="BH101" i="29" s="1"/>
  <c r="AS101" i="29"/>
  <c r="AO101" i="29"/>
  <c r="AK101" i="29"/>
  <c r="AG101" i="29"/>
  <c r="AV101" i="29"/>
  <c r="AF101" i="29"/>
  <c r="AR101" i="29"/>
  <c r="AN101" i="29"/>
  <c r="F102" i="29" a="1"/>
  <c r="F102" i="29" s="1"/>
  <c r="AZ101" i="29"/>
  <c r="BK101" i="29" s="1"/>
  <c r="AJ101" i="29"/>
  <c r="BM100" i="29"/>
  <c r="AY293" i="30"/>
  <c r="BJ294" i="30"/>
  <c r="AY295" i="30"/>
  <c r="BE431" i="30"/>
  <c r="BL294" i="30"/>
  <c r="BA295" i="30"/>
  <c r="BL295" i="30" s="1"/>
  <c r="BA293" i="30"/>
  <c r="BC102" i="30"/>
  <c r="BC92" i="30" s="1"/>
  <c r="AY102" i="30"/>
  <c r="AU102" i="30"/>
  <c r="AQ102" i="30"/>
  <c r="AQ92" i="30" s="1"/>
  <c r="AM102" i="30"/>
  <c r="AM92" i="30" s="1"/>
  <c r="AI102" i="30"/>
  <c r="AE102" i="30"/>
  <c r="AE92" i="30" s="1"/>
  <c r="BO102" i="30"/>
  <c r="BB102" i="30"/>
  <c r="AX102" i="30"/>
  <c r="AT102" i="30"/>
  <c r="AP102" i="30"/>
  <c r="AP92" i="30" s="1"/>
  <c r="AL102" i="30"/>
  <c r="AL92" i="30" s="1"/>
  <c r="BA102" i="30"/>
  <c r="AW102" i="30"/>
  <c r="AS102" i="30"/>
  <c r="AS92" i="30" s="1"/>
  <c r="AO102" i="30"/>
  <c r="AO92" i="30" s="1"/>
  <c r="AK102" i="30"/>
  <c r="AK92" i="30" s="1"/>
  <c r="AG102" i="30"/>
  <c r="AN102" i="30"/>
  <c r="AN92" i="30" s="1"/>
  <c r="F103" i="30" a="1"/>
  <c r="F103" i="30" s="1"/>
  <c r="F104" i="30" s="1" a="1"/>
  <c r="F104" i="30" s="1"/>
  <c r="AZ102" i="30"/>
  <c r="AJ102" i="30"/>
  <c r="AJ92" i="30" s="1"/>
  <c r="AV102" i="30"/>
  <c r="AF102" i="30"/>
  <c r="AF92" i="30" s="1"/>
  <c r="AR102" i="30"/>
  <c r="AR92" i="30" s="1"/>
  <c r="AX295" i="30"/>
  <c r="AX293" i="30"/>
  <c r="BI294" i="30"/>
  <c r="F283" i="30" a="1"/>
  <c r="F283" i="30" s="1"/>
  <c r="AJ282" i="30"/>
  <c r="AV293" i="30"/>
  <c r="BG294" i="30"/>
  <c r="AV295" i="30"/>
  <c r="BG295" i="30" s="1"/>
  <c r="AH101" i="30"/>
  <c r="BD294" i="30"/>
  <c r="AI293" i="30"/>
  <c r="AI295" i="30"/>
  <c r="BA246" i="29"/>
  <c r="AW246" i="29"/>
  <c r="AS246" i="29"/>
  <c r="AS236" i="29" s="1"/>
  <c r="AO246" i="29"/>
  <c r="AO236" i="29" s="1"/>
  <c r="AK246" i="29"/>
  <c r="AK236" i="29" s="1"/>
  <c r="AG246" i="29"/>
  <c r="F247" i="29" a="1"/>
  <c r="F247" i="29" s="1"/>
  <c r="F248" i="29" s="1" a="1"/>
  <c r="F248" i="29" s="1"/>
  <c r="AZ246" i="29"/>
  <c r="AV246" i="29"/>
  <c r="AR246" i="29"/>
  <c r="AR236" i="29" s="1"/>
  <c r="AN246" i="29"/>
  <c r="AN236" i="29" s="1"/>
  <c r="AJ246" i="29"/>
  <c r="AJ236" i="29" s="1"/>
  <c r="AF246" i="29"/>
  <c r="AF236" i="29" s="1"/>
  <c r="BC246" i="29"/>
  <c r="BC236" i="29" s="1"/>
  <c r="AY246" i="29"/>
  <c r="AU246" i="29"/>
  <c r="AQ246" i="29"/>
  <c r="AQ236" i="29" s="1"/>
  <c r="AM246" i="29"/>
  <c r="AM236" i="29" s="1"/>
  <c r="AI246" i="29"/>
  <c r="AE246" i="29"/>
  <c r="AE236" i="29" s="1"/>
  <c r="AT246" i="29"/>
  <c r="AP246" i="29"/>
  <c r="AP236" i="29" s="1"/>
  <c r="BB246" i="29"/>
  <c r="AL246" i="29"/>
  <c r="AL236" i="29" s="1"/>
  <c r="BO246" i="29"/>
  <c r="AX246" i="29"/>
  <c r="F391" i="29" a="1"/>
  <c r="F391" i="29" s="1"/>
  <c r="F392" i="29" s="1" a="1"/>
  <c r="F392" i="29" s="1"/>
  <c r="AZ390" i="29"/>
  <c r="AV390" i="29"/>
  <c r="AR390" i="29"/>
  <c r="AR380" i="29" s="1"/>
  <c r="AN390" i="29"/>
  <c r="AN380" i="29" s="1"/>
  <c r="AJ390" i="29"/>
  <c r="AJ380" i="29" s="1"/>
  <c r="AF390" i="29"/>
  <c r="AF380" i="29" s="1"/>
  <c r="BC390" i="29"/>
  <c r="BC380" i="29" s="1"/>
  <c r="AY390" i="29"/>
  <c r="AU390" i="29"/>
  <c r="AQ390" i="29"/>
  <c r="AQ380" i="29" s="1"/>
  <c r="AM390" i="29"/>
  <c r="AM380" i="29" s="1"/>
  <c r="AI390" i="29"/>
  <c r="AE390" i="29"/>
  <c r="AE380" i="29" s="1"/>
  <c r="BO390" i="29"/>
  <c r="BB390" i="29"/>
  <c r="BM390" i="29" s="1"/>
  <c r="AX390" i="29"/>
  <c r="AT390" i="29"/>
  <c r="AP390" i="29"/>
  <c r="AP380" i="29" s="1"/>
  <c r="AL390" i="29"/>
  <c r="AL380" i="29" s="1"/>
  <c r="AW390" i="29"/>
  <c r="BH390" i="29" s="1"/>
  <c r="AG390" i="29"/>
  <c r="AS390" i="29"/>
  <c r="AS380" i="29" s="1"/>
  <c r="AO390" i="29"/>
  <c r="AO380" i="29" s="1"/>
  <c r="BA390" i="29"/>
  <c r="AK390" i="29"/>
  <c r="AK380" i="29" s="1"/>
  <c r="AH100" i="29"/>
  <c r="F435" i="30" a="1"/>
  <c r="F435" i="30" s="1"/>
  <c r="BO434" i="30"/>
  <c r="AT434" i="30"/>
  <c r="AJ434" i="30"/>
  <c r="AZ293" i="30"/>
  <c r="BK294" i="30"/>
  <c r="AZ295" i="30"/>
  <c r="BK295" i="30" s="1"/>
  <c r="AU293" i="30"/>
  <c r="BF294" i="30"/>
  <c r="AU295" i="30"/>
  <c r="AH245" i="29"/>
  <c r="BH389" i="29"/>
  <c r="BM389" i="29"/>
  <c r="AG295" i="30"/>
  <c r="AH294" i="30"/>
  <c r="AH295" i="30" s="1"/>
  <c r="AG293" i="30"/>
  <c r="AH293" i="30" s="1"/>
  <c r="BJ100" i="29"/>
  <c r="BH295" i="30"/>
  <c r="AW380" i="29" l="1"/>
  <c r="BI295" i="30"/>
  <c r="BB380" i="29"/>
  <c r="BF295" i="30"/>
  <c r="BH380" i="29"/>
  <c r="AJ435" i="30"/>
  <c r="BO435" i="30"/>
  <c r="F436" i="30" a="1"/>
  <c r="F436" i="30" s="1"/>
  <c r="F437" i="30" s="1" a="1"/>
  <c r="F437" i="30" s="1"/>
  <c r="F438" i="30" s="1" a="1"/>
  <c r="F438" i="30" s="1"/>
  <c r="F439" i="30" s="1" a="1"/>
  <c r="F439" i="30" s="1"/>
  <c r="F440" i="30" s="1" a="1"/>
  <c r="F440" i="30" s="1"/>
  <c r="F441" i="30" s="1" a="1"/>
  <c r="F441" i="30" s="1"/>
  <c r="F442" i="30" s="1" a="1"/>
  <c r="F442" i="30" s="1"/>
  <c r="AT435" i="30"/>
  <c r="AT423" i="30" s="1"/>
  <c r="BI246" i="29"/>
  <c r="AX236" i="29"/>
  <c r="AH246" i="29"/>
  <c r="AG236" i="29"/>
  <c r="BH246" i="29"/>
  <c r="AW236" i="29"/>
  <c r="BG102" i="30"/>
  <c r="AV92" i="30"/>
  <c r="BC102" i="29"/>
  <c r="BC92" i="29" s="1"/>
  <c r="AY102" i="29"/>
  <c r="AU102" i="29"/>
  <c r="AQ102" i="29"/>
  <c r="AQ92" i="29" s="1"/>
  <c r="AM102" i="29"/>
  <c r="AM92" i="29" s="1"/>
  <c r="AI102" i="29"/>
  <c r="AE102" i="29"/>
  <c r="AE92" i="29" s="1"/>
  <c r="BO102" i="29"/>
  <c r="BB102" i="29"/>
  <c r="AX102" i="29"/>
  <c r="AT102" i="29"/>
  <c r="AP102" i="29"/>
  <c r="AP92" i="29" s="1"/>
  <c r="AL102" i="29"/>
  <c r="AL92" i="29" s="1"/>
  <c r="BA102" i="29"/>
  <c r="AW102" i="29"/>
  <c r="AS102" i="29"/>
  <c r="AS92" i="29" s="1"/>
  <c r="AO102" i="29"/>
  <c r="AO92" i="29" s="1"/>
  <c r="AK102" i="29"/>
  <c r="AK92" i="29" s="1"/>
  <c r="AG102" i="29"/>
  <c r="AN102" i="29"/>
  <c r="AN92" i="29" s="1"/>
  <c r="F103" i="29" a="1"/>
  <c r="F103" i="29" s="1"/>
  <c r="F104" i="29" s="1" a="1"/>
  <c r="F104" i="29" s="1"/>
  <c r="AZ102" i="29"/>
  <c r="AJ102" i="29"/>
  <c r="AJ92" i="29" s="1"/>
  <c r="AV102" i="29"/>
  <c r="BG102" i="29" s="1"/>
  <c r="AF102" i="29"/>
  <c r="AF92" i="29" s="1"/>
  <c r="AR102" i="29"/>
  <c r="AR92" i="29" s="1"/>
  <c r="BG101" i="29"/>
  <c r="AV92" i="29"/>
  <c r="BG390" i="29"/>
  <c r="AV380" i="29"/>
  <c r="BE246" i="29"/>
  <c r="AT236" i="29"/>
  <c r="BG246" i="29"/>
  <c r="AV236" i="29"/>
  <c r="BL246" i="29"/>
  <c r="BA236" i="29"/>
  <c r="AH102" i="30"/>
  <c r="AG92" i="30"/>
  <c r="BH102" i="30"/>
  <c r="AW92" i="30"/>
  <c r="BE102" i="30"/>
  <c r="AT92" i="30"/>
  <c r="BF102" i="30"/>
  <c r="AU92" i="30"/>
  <c r="BJ295" i="30"/>
  <c r="AH101" i="29"/>
  <c r="BM380" i="29"/>
  <c r="AH390" i="29"/>
  <c r="AG380" i="29"/>
  <c r="BE390" i="29"/>
  <c r="AT380" i="29"/>
  <c r="BF390" i="29"/>
  <c r="AU380" i="29"/>
  <c r="BK390" i="29"/>
  <c r="AZ380" i="29"/>
  <c r="BF246" i="29"/>
  <c r="AU236" i="29"/>
  <c r="BK246" i="29"/>
  <c r="AZ236" i="29"/>
  <c r="F284" i="30" a="1"/>
  <c r="F284" i="30" s="1"/>
  <c r="BK102" i="30"/>
  <c r="AZ92" i="30"/>
  <c r="BL102" i="30"/>
  <c r="BA92" i="30"/>
  <c r="BI102" i="30"/>
  <c r="AX92" i="30"/>
  <c r="BD102" i="30"/>
  <c r="AI92" i="30"/>
  <c r="BJ102" i="30"/>
  <c r="AY92" i="30"/>
  <c r="BL390" i="29"/>
  <c r="BA380" i="29"/>
  <c r="BI390" i="29"/>
  <c r="AX380" i="29"/>
  <c r="BD390" i="29"/>
  <c r="AI380" i="29"/>
  <c r="BJ390" i="29"/>
  <c r="AY380" i="29"/>
  <c r="F393" i="29" a="1"/>
  <c r="F393" i="29" s="1"/>
  <c r="F394" i="29" s="1" a="1"/>
  <c r="F394" i="29" s="1"/>
  <c r="BA392" i="29"/>
  <c r="BL392" i="29" s="1"/>
  <c r="AW392" i="29"/>
  <c r="BH392" i="29" s="1"/>
  <c r="AS392" i="29"/>
  <c r="AO392" i="29"/>
  <c r="AK392" i="29"/>
  <c r="AG392" i="29"/>
  <c r="AZ392" i="29"/>
  <c r="BK392" i="29" s="1"/>
  <c r="AV392" i="29"/>
  <c r="BG392" i="29" s="1"/>
  <c r="AR392" i="29"/>
  <c r="AN392" i="29"/>
  <c r="AJ392" i="29"/>
  <c r="AF392" i="29"/>
  <c r="BC392" i="29"/>
  <c r="AY392" i="29"/>
  <c r="BJ392" i="29" s="1"/>
  <c r="AU392" i="29"/>
  <c r="BF392" i="29" s="1"/>
  <c r="AQ392" i="29"/>
  <c r="AM392" i="29"/>
  <c r="AI392" i="29"/>
  <c r="AE392" i="29"/>
  <c r="AP392" i="29"/>
  <c r="BB392" i="29"/>
  <c r="BM392" i="29" s="1"/>
  <c r="AL392" i="29"/>
  <c r="BO392" i="29"/>
  <c r="AX392" i="29"/>
  <c r="BI392" i="29" s="1"/>
  <c r="AT392" i="29"/>
  <c r="BM246" i="29"/>
  <c r="BB236" i="29"/>
  <c r="BD246" i="29"/>
  <c r="AI236" i="29"/>
  <c r="BJ246" i="29"/>
  <c r="AY236" i="29"/>
  <c r="BO248" i="29"/>
  <c r="BB248" i="29"/>
  <c r="BM248" i="29" s="1"/>
  <c r="AX248" i="29"/>
  <c r="AT248" i="29"/>
  <c r="AP248" i="29"/>
  <c r="AL248" i="29"/>
  <c r="F249" i="29" a="1"/>
  <c r="F249" i="29" s="1"/>
  <c r="F250" i="29" s="1" a="1"/>
  <c r="F250" i="29" s="1"/>
  <c r="BA248" i="29"/>
  <c r="BL248" i="29" s="1"/>
  <c r="AW248" i="29"/>
  <c r="AS248" i="29"/>
  <c r="AO248" i="29"/>
  <c r="AK248" i="29"/>
  <c r="AG248" i="29"/>
  <c r="AZ248" i="29"/>
  <c r="AV248" i="29"/>
  <c r="AR248" i="29"/>
  <c r="AN248" i="29"/>
  <c r="AJ248" i="29"/>
  <c r="AF248" i="29"/>
  <c r="AY248" i="29"/>
  <c r="AI248" i="29"/>
  <c r="AU248" i="29"/>
  <c r="AE248" i="29"/>
  <c r="AQ248" i="29"/>
  <c r="BC248" i="29"/>
  <c r="AM248" i="29"/>
  <c r="AZ104" i="30"/>
  <c r="BK104" i="30" s="1"/>
  <c r="AV104" i="30"/>
  <c r="BG104" i="30" s="1"/>
  <c r="AR104" i="30"/>
  <c r="AN104" i="30"/>
  <c r="AJ104" i="30"/>
  <c r="AF104" i="30"/>
  <c r="AF78" i="30" s="1"/>
  <c r="BC104" i="30"/>
  <c r="AY104" i="30"/>
  <c r="BJ104" i="30" s="1"/>
  <c r="AU104" i="30"/>
  <c r="BF104" i="30" s="1"/>
  <c r="AQ104" i="30"/>
  <c r="AM104" i="30"/>
  <c r="AI104" i="30"/>
  <c r="BD104" i="30" s="1"/>
  <c r="AE104" i="30"/>
  <c r="AE78" i="30" s="1"/>
  <c r="BO104" i="30"/>
  <c r="BB104" i="30"/>
  <c r="BM104" i="30" s="1"/>
  <c r="AX104" i="30"/>
  <c r="BI104" i="30" s="1"/>
  <c r="AT104" i="30"/>
  <c r="BE104" i="30" s="1"/>
  <c r="AP104" i="30"/>
  <c r="AL104" i="30"/>
  <c r="AW104" i="30"/>
  <c r="BH104" i="30" s="1"/>
  <c r="AG104" i="30"/>
  <c r="AS104" i="30"/>
  <c r="F105" i="30" a="1"/>
  <c r="F105" i="30" s="1"/>
  <c r="F106" i="30" s="1" a="1"/>
  <c r="F106" i="30" s="1"/>
  <c r="AO104" i="30"/>
  <c r="BA104" i="30"/>
  <c r="BL104" i="30" s="1"/>
  <c r="AK104" i="30"/>
  <c r="BM102" i="30"/>
  <c r="BB92" i="30"/>
  <c r="AH104" i="30" l="1"/>
  <c r="BG248" i="29"/>
  <c r="AH392" i="29"/>
  <c r="BK248" i="29"/>
  <c r="BE392" i="29"/>
  <c r="BD248" i="29"/>
  <c r="BF248" i="29"/>
  <c r="BH248" i="29"/>
  <c r="BE423" i="30"/>
  <c r="AT437" i="30"/>
  <c r="AT439" i="30"/>
  <c r="BO106" i="30"/>
  <c r="F107" i="30" a="1"/>
  <c r="F107" i="30" s="1"/>
  <c r="AT250" i="29"/>
  <c r="AG250" i="29"/>
  <c r="BO250" i="29"/>
  <c r="AJ250" i="29"/>
  <c r="AJ249" i="29" s="1" a="1"/>
  <c r="AJ249" i="29" s="1"/>
  <c r="AF250" i="29"/>
  <c r="AF249" i="29" s="1" a="1"/>
  <c r="AF249" i="29" s="1"/>
  <c r="AF222" i="29" s="1"/>
  <c r="AI250" i="29"/>
  <c r="AE250" i="29"/>
  <c r="AE249" i="29" s="1" a="1"/>
  <c r="AE249" i="29" s="1"/>
  <c r="AE222" i="29" s="1"/>
  <c r="F251" i="29" a="1"/>
  <c r="F251" i="29" s="1"/>
  <c r="BI248" i="29"/>
  <c r="BJ236" i="29"/>
  <c r="BM236" i="29"/>
  <c r="BF236" i="29"/>
  <c r="BK380" i="29"/>
  <c r="AH380" i="29"/>
  <c r="BH92" i="30"/>
  <c r="BG236" i="29"/>
  <c r="BE236" i="29"/>
  <c r="BG92" i="29"/>
  <c r="BG92" i="30"/>
  <c r="AH236" i="29"/>
  <c r="BM92" i="30"/>
  <c r="BD392" i="29"/>
  <c r="BJ380" i="29"/>
  <c r="BI380" i="29"/>
  <c r="BJ92" i="30"/>
  <c r="BI92" i="30"/>
  <c r="BO284" i="30"/>
  <c r="AT284" i="30"/>
  <c r="F285" i="30" a="1"/>
  <c r="F285" i="30" s="1"/>
  <c r="AJ284" i="30"/>
  <c r="BK236" i="29"/>
  <c r="BL236" i="29"/>
  <c r="AH102" i="29"/>
  <c r="AG92" i="29"/>
  <c r="BH102" i="29"/>
  <c r="AW92" i="29"/>
  <c r="BE102" i="29"/>
  <c r="AT92" i="29"/>
  <c r="BF102" i="29"/>
  <c r="AU92" i="29"/>
  <c r="AH248" i="29"/>
  <c r="BD236" i="29"/>
  <c r="BK92" i="30"/>
  <c r="BE380" i="29"/>
  <c r="BE92" i="30"/>
  <c r="AH92" i="30"/>
  <c r="AG78" i="30"/>
  <c r="BG380" i="29"/>
  <c r="BK102" i="29"/>
  <c r="AZ92" i="29"/>
  <c r="BL102" i="29"/>
  <c r="BA92" i="29"/>
  <c r="BI102" i="29"/>
  <c r="AX92" i="29"/>
  <c r="BD102" i="29"/>
  <c r="AI92" i="29"/>
  <c r="BJ102" i="29"/>
  <c r="AY92" i="29"/>
  <c r="BH236" i="29"/>
  <c r="BI236" i="29"/>
  <c r="F443" i="30" a="1"/>
  <c r="F443" i="30" s="1"/>
  <c r="F444" i="30" s="1" a="1"/>
  <c r="F444" i="30" s="1"/>
  <c r="F445" i="30" s="1" a="1"/>
  <c r="F445" i="30" s="1"/>
  <c r="F446" i="30" s="1" a="1"/>
  <c r="F446" i="30" s="1"/>
  <c r="F447" i="30" s="1" a="1"/>
  <c r="F447" i="30" s="1"/>
  <c r="F448" i="30" s="1" a="1"/>
  <c r="F448" i="30" s="1"/>
  <c r="F449" i="30" s="1" a="1"/>
  <c r="F449" i="30" s="1"/>
  <c r="F450" i="30" s="1" a="1"/>
  <c r="F450" i="30" s="1"/>
  <c r="BC442" i="30"/>
  <c r="AY442" i="30"/>
  <c r="AU442" i="30"/>
  <c r="AQ442" i="30"/>
  <c r="AM442" i="30"/>
  <c r="AI442" i="30"/>
  <c r="AI445" i="30" s="1"/>
  <c r="AE442" i="30"/>
  <c r="AE445" i="30" s="1"/>
  <c r="BB442" i="30"/>
  <c r="AX442" i="30"/>
  <c r="AT442" i="30"/>
  <c r="AP442" i="30"/>
  <c r="AL442" i="30"/>
  <c r="BA442" i="30"/>
  <c r="AW442" i="30"/>
  <c r="AS442" i="30"/>
  <c r="AO442" i="30"/>
  <c r="AK442" i="30"/>
  <c r="AG442" i="30"/>
  <c r="AN442" i="30"/>
  <c r="AZ442" i="30"/>
  <c r="AJ442" i="30"/>
  <c r="AV442" i="30"/>
  <c r="AF442" i="30"/>
  <c r="AR442" i="30"/>
  <c r="BJ248" i="29"/>
  <c r="BE248" i="29"/>
  <c r="BO394" i="29"/>
  <c r="AJ394" i="29"/>
  <c r="AJ393" i="29" s="1" a="1"/>
  <c r="AJ393" i="29" s="1"/>
  <c r="AF394" i="29"/>
  <c r="AF393" i="29" s="1" a="1"/>
  <c r="AF393" i="29" s="1"/>
  <c r="AF366" i="29" s="1"/>
  <c r="AI394" i="29"/>
  <c r="AE394" i="29"/>
  <c r="AE393" i="29" s="1" a="1"/>
  <c r="AE393" i="29" s="1"/>
  <c r="AE366" i="29" s="1"/>
  <c r="F395" i="29" a="1"/>
  <c r="F395" i="29" s="1"/>
  <c r="AT394" i="29"/>
  <c r="AG394" i="29"/>
  <c r="BD380" i="29"/>
  <c r="BL380" i="29"/>
  <c r="BD92" i="30"/>
  <c r="AI78" i="30"/>
  <c r="BL92" i="30"/>
  <c r="BF380" i="29"/>
  <c r="BF92" i="30"/>
  <c r="AZ104" i="29"/>
  <c r="BK104" i="29" s="1"/>
  <c r="AV104" i="29"/>
  <c r="BG104" i="29" s="1"/>
  <c r="AR104" i="29"/>
  <c r="AN104" i="29"/>
  <c r="AJ104" i="29"/>
  <c r="AF104" i="29"/>
  <c r="BC104" i="29"/>
  <c r="AY104" i="29"/>
  <c r="BJ104" i="29" s="1"/>
  <c r="AU104" i="29"/>
  <c r="BF104" i="29" s="1"/>
  <c r="AQ104" i="29"/>
  <c r="AM104" i="29"/>
  <c r="AI104" i="29"/>
  <c r="BD104" i="29" s="1"/>
  <c r="AE104" i="29"/>
  <c r="BO104" i="29"/>
  <c r="BB104" i="29"/>
  <c r="BM104" i="29" s="1"/>
  <c r="AX104" i="29"/>
  <c r="BI104" i="29" s="1"/>
  <c r="AT104" i="29"/>
  <c r="BE104" i="29" s="1"/>
  <c r="AP104" i="29"/>
  <c r="AL104" i="29"/>
  <c r="AW104" i="29"/>
  <c r="BH104" i="29" s="1"/>
  <c r="AG104" i="29"/>
  <c r="AH104" i="29" s="1"/>
  <c r="AS104" i="29"/>
  <c r="F105" i="29" a="1"/>
  <c r="F105" i="29" s="1"/>
  <c r="F106" i="29" s="1" a="1"/>
  <c r="F106" i="29" s="1"/>
  <c r="AO104" i="29"/>
  <c r="BA104" i="29"/>
  <c r="BL104" i="29" s="1"/>
  <c r="AK104" i="29"/>
  <c r="BM102" i="29"/>
  <c r="BB92" i="29"/>
  <c r="BE394" i="29" l="1"/>
  <c r="AT393" i="29" a="1"/>
  <c r="AT393" i="29" s="1"/>
  <c r="AJ448" i="30"/>
  <c r="AJ443" i="30"/>
  <c r="AJ445" i="30" s="1"/>
  <c r="AJ446" i="30" s="1"/>
  <c r="AJ447" i="30" s="1"/>
  <c r="AK448" i="30"/>
  <c r="AK443" i="30"/>
  <c r="AK445" i="30" s="1"/>
  <c r="AK446" i="30" s="1"/>
  <c r="AK449" i="30"/>
  <c r="BA443" i="30"/>
  <c r="BA445" i="30" s="1"/>
  <c r="BA446" i="30" s="1"/>
  <c r="BB444" i="30" s="1" a="1"/>
  <c r="BB444" i="30" s="1"/>
  <c r="BB447" i="30" s="1"/>
  <c r="BA448" i="30"/>
  <c r="BA449" i="30"/>
  <c r="BL449" i="30" s="1"/>
  <c r="AX448" i="30"/>
  <c r="AX449" i="30"/>
  <c r="BI449" i="30" s="1"/>
  <c r="AX443" i="30"/>
  <c r="AX445" i="30" s="1"/>
  <c r="AX446" i="30" s="1"/>
  <c r="AY444" i="30" s="1" a="1"/>
  <c r="AY444" i="30" s="1"/>
  <c r="AY447" i="30" s="1"/>
  <c r="AM449" i="30"/>
  <c r="AM448" i="30"/>
  <c r="AM443" i="30"/>
  <c r="AM445" i="30" s="1"/>
  <c r="AM446" i="30" s="1"/>
  <c r="BC449" i="30"/>
  <c r="BC443" i="30"/>
  <c r="BC445" i="30" s="1"/>
  <c r="BC446" i="30" s="1"/>
  <c r="BC448" i="30"/>
  <c r="BD92" i="29"/>
  <c r="BL92" i="29"/>
  <c r="AH78" i="30"/>
  <c r="BF92" i="29"/>
  <c r="F252" i="29" a="1"/>
  <c r="F252" i="29" s="1"/>
  <c r="F253" i="29" s="1" a="1"/>
  <c r="F253" i="29" s="1"/>
  <c r="F254" i="29" s="1" a="1"/>
  <c r="F254" i="29" s="1"/>
  <c r="F255" i="29" s="1" a="1"/>
  <c r="F255" i="29" s="1"/>
  <c r="F256" i="29" s="1" a="1"/>
  <c r="F256" i="29" s="1"/>
  <c r="F257" i="29" s="1" a="1"/>
  <c r="F257" i="29" s="1"/>
  <c r="F258" i="29" s="1" a="1"/>
  <c r="F258" i="29" s="1"/>
  <c r="BC251" i="29"/>
  <c r="BC222" i="29" s="1"/>
  <c r="AY251" i="29"/>
  <c r="AU251" i="29"/>
  <c r="AQ251" i="29"/>
  <c r="AQ222" i="29" s="1"/>
  <c r="AM251" i="29"/>
  <c r="AM222" i="29" s="1"/>
  <c r="BB251" i="29"/>
  <c r="AX251" i="29"/>
  <c r="AT251" i="29"/>
  <c r="BE251" i="29" s="1"/>
  <c r="AP251" i="29"/>
  <c r="AP222" i="29" s="1"/>
  <c r="AL251" i="29"/>
  <c r="AL222" i="29" s="1"/>
  <c r="BA251" i="29"/>
  <c r="AW251" i="29"/>
  <c r="AS251" i="29"/>
  <c r="AS222" i="29" s="1"/>
  <c r="AO251" i="29"/>
  <c r="AO222" i="29" s="1"/>
  <c r="AK251" i="29"/>
  <c r="AK222" i="29" s="1"/>
  <c r="AZ251" i="29"/>
  <c r="AJ251" i="29"/>
  <c r="AJ222" i="29" s="1"/>
  <c r="AV251" i="29"/>
  <c r="AR251" i="29"/>
  <c r="AR222" i="29" s="1"/>
  <c r="AN251" i="29"/>
  <c r="AN222" i="29" s="1"/>
  <c r="F108" i="30" a="1"/>
  <c r="F108" i="30" s="1"/>
  <c r="F109" i="30" s="1" a="1"/>
  <c r="F109" i="30" s="1"/>
  <c r="F110" i="30" s="1" a="1"/>
  <c r="F110" i="30" s="1"/>
  <c r="F111" i="30" s="1" a="1"/>
  <c r="F111" i="30" s="1"/>
  <c r="F112" i="30" s="1" a="1"/>
  <c r="F112" i="30" s="1"/>
  <c r="F113" i="30" s="1" a="1"/>
  <c r="F113" i="30" s="1"/>
  <c r="F114" i="30" s="1" a="1"/>
  <c r="F114" i="30" s="1"/>
  <c r="BC107" i="30"/>
  <c r="BC78" i="30" s="1"/>
  <c r="AY107" i="30"/>
  <c r="AU107" i="30"/>
  <c r="AQ107" i="30"/>
  <c r="AQ78" i="30" s="1"/>
  <c r="AM107" i="30"/>
  <c r="AM78" i="30" s="1"/>
  <c r="BB107" i="30"/>
  <c r="AX107" i="30"/>
  <c r="AT107" i="30"/>
  <c r="AP107" i="30"/>
  <c r="AP78" i="30" s="1"/>
  <c r="AL107" i="30"/>
  <c r="AL78" i="30" s="1"/>
  <c r="BA107" i="30"/>
  <c r="AW107" i="30"/>
  <c r="AS107" i="30"/>
  <c r="AS78" i="30" s="1"/>
  <c r="AO107" i="30"/>
  <c r="AO78" i="30" s="1"/>
  <c r="AK107" i="30"/>
  <c r="AK78" i="30" s="1"/>
  <c r="AV107" i="30"/>
  <c r="AR107" i="30"/>
  <c r="AR78" i="30" s="1"/>
  <c r="AN107" i="30"/>
  <c r="AN78" i="30" s="1"/>
  <c r="AJ107" i="30"/>
  <c r="AJ78" i="30" s="1"/>
  <c r="AZ107" i="30"/>
  <c r="BD78" i="30"/>
  <c r="BB395" i="29"/>
  <c r="AX395" i="29"/>
  <c r="AT395" i="29"/>
  <c r="BE395" i="29" s="1"/>
  <c r="AP395" i="29"/>
  <c r="AP366" i="29" s="1"/>
  <c r="AL395" i="29"/>
  <c r="AL366" i="29" s="1"/>
  <c r="BA395" i="29"/>
  <c r="AW395" i="29"/>
  <c r="AS395" i="29"/>
  <c r="AS366" i="29" s="1"/>
  <c r="AO395" i="29"/>
  <c r="AO366" i="29" s="1"/>
  <c r="AK395" i="29"/>
  <c r="AK366" i="29" s="1"/>
  <c r="AZ395" i="29"/>
  <c r="AV395" i="29"/>
  <c r="AR395" i="29"/>
  <c r="AR366" i="29" s="1"/>
  <c r="AN395" i="29"/>
  <c r="AN366" i="29" s="1"/>
  <c r="AJ395" i="29"/>
  <c r="AJ366" i="29" s="1"/>
  <c r="AU395" i="29"/>
  <c r="AQ395" i="29"/>
  <c r="AQ366" i="29" s="1"/>
  <c r="F396" i="29" a="1"/>
  <c r="F396" i="29" s="1"/>
  <c r="F397" i="29" s="1" a="1"/>
  <c r="F397" i="29" s="1"/>
  <c r="F398" i="29" s="1" a="1"/>
  <c r="F398" i="29" s="1"/>
  <c r="F399" i="29" s="1" a="1"/>
  <c r="F399" i="29" s="1"/>
  <c r="F400" i="29" s="1" a="1"/>
  <c r="F400" i="29" s="1"/>
  <c r="F401" i="29" s="1" a="1"/>
  <c r="F401" i="29" s="1"/>
  <c r="F402" i="29" s="1" a="1"/>
  <c r="F402" i="29" s="1"/>
  <c r="BC395" i="29"/>
  <c r="BC366" i="29" s="1"/>
  <c r="AM395" i="29"/>
  <c r="AM366" i="29" s="1"/>
  <c r="AY395" i="29"/>
  <c r="AR449" i="30"/>
  <c r="AR448" i="30"/>
  <c r="AR443" i="30"/>
  <c r="AR445" i="30" s="1"/>
  <c r="AR446" i="30" s="1"/>
  <c r="AZ449" i="30"/>
  <c r="BK449" i="30" s="1"/>
  <c r="AZ443" i="30"/>
  <c r="AZ445" i="30" s="1"/>
  <c r="AZ446" i="30" s="1"/>
  <c r="BA444" i="30" s="1" a="1"/>
  <c r="BA444" i="30" s="1"/>
  <c r="BA447" i="30" s="1"/>
  <c r="AZ448" i="30"/>
  <c r="AO448" i="30"/>
  <c r="AO443" i="30"/>
  <c r="AO445" i="30" s="1"/>
  <c r="AO446" i="30" s="1"/>
  <c r="AO449" i="30"/>
  <c r="AL449" i="30"/>
  <c r="AL448" i="30"/>
  <c r="AL443" i="30"/>
  <c r="AL445" i="30" s="1"/>
  <c r="AL446" i="30" s="1"/>
  <c r="BB448" i="30"/>
  <c r="BB449" i="30"/>
  <c r="BM449" i="30" s="1"/>
  <c r="BB443" i="30"/>
  <c r="BB445" i="30" s="1"/>
  <c r="BB446" i="30" s="1"/>
  <c r="BC444" i="30" s="1" a="1"/>
  <c r="BC444" i="30" s="1"/>
  <c r="BC447" i="30" s="1"/>
  <c r="AQ449" i="30"/>
  <c r="AQ448" i="30"/>
  <c r="AQ443" i="30"/>
  <c r="AQ445" i="30" s="1"/>
  <c r="AQ446" i="30" s="1"/>
  <c r="BB450" i="30"/>
  <c r="AX450" i="30"/>
  <c r="AT450" i="30"/>
  <c r="AP450" i="30"/>
  <c r="AL450" i="30"/>
  <c r="BA450" i="30"/>
  <c r="AW450" i="30"/>
  <c r="AS450" i="30"/>
  <c r="AO450" i="30"/>
  <c r="AK450" i="30"/>
  <c r="AG450" i="30"/>
  <c r="AZ450" i="30"/>
  <c r="AV450" i="30"/>
  <c r="AR450" i="30"/>
  <c r="AN450" i="30"/>
  <c r="AJ450" i="30"/>
  <c r="AF450" i="30"/>
  <c r="AY450" i="30"/>
  <c r="AI450" i="30"/>
  <c r="AI453" i="30" s="1"/>
  <c r="AU450" i="30"/>
  <c r="AE450" i="30"/>
  <c r="AE453" i="30" s="1"/>
  <c r="F451" i="30" a="1"/>
  <c r="F451" i="30" s="1"/>
  <c r="F452" i="30" s="1" a="1"/>
  <c r="F452" i="30" s="1"/>
  <c r="F453" i="30" s="1" a="1"/>
  <c r="F453" i="30" s="1"/>
  <c r="F454" i="30" s="1" a="1"/>
  <c r="F454" i="30" s="1"/>
  <c r="F455" i="30" s="1" a="1"/>
  <c r="F455" i="30" s="1"/>
  <c r="F456" i="30" s="1" a="1"/>
  <c r="F456" i="30" s="1"/>
  <c r="F457" i="30" s="1" a="1"/>
  <c r="F457" i="30" s="1"/>
  <c r="F458" i="30" s="1" a="1"/>
  <c r="F458" i="30" s="1"/>
  <c r="AQ450" i="30"/>
  <c r="AM450" i="30"/>
  <c r="BC450" i="30"/>
  <c r="BH92" i="29"/>
  <c r="AI106" i="29"/>
  <c r="AE106" i="29"/>
  <c r="AE105" i="29" s="1" a="1"/>
  <c r="AE105" i="29" s="1"/>
  <c r="AE78" i="29" s="1"/>
  <c r="F107" i="29" a="1"/>
  <c r="F107" i="29" s="1"/>
  <c r="AT106" i="29"/>
  <c r="AG106" i="29"/>
  <c r="BO106" i="29"/>
  <c r="AJ106" i="29"/>
  <c r="AJ105" i="29" s="1" a="1"/>
  <c r="AJ105" i="29" s="1"/>
  <c r="AF106" i="29"/>
  <c r="AF105" i="29" s="1" a="1"/>
  <c r="AF105" i="29" s="1"/>
  <c r="AF78" i="29" s="1"/>
  <c r="AF448" i="30"/>
  <c r="AF443" i="30"/>
  <c r="AF445" i="30" s="1"/>
  <c r="AF446" i="30" s="1"/>
  <c r="AF447" i="30" s="1"/>
  <c r="AF449" i="30"/>
  <c r="AN449" i="30"/>
  <c r="AN448" i="30"/>
  <c r="AN443" i="30"/>
  <c r="AN445" i="30" s="1"/>
  <c r="AN446" i="30" s="1"/>
  <c r="AS448" i="30"/>
  <c r="AS443" i="30"/>
  <c r="AS445" i="30" s="1"/>
  <c r="AS446" i="30" s="1"/>
  <c r="AS449" i="30"/>
  <c r="AP449" i="30"/>
  <c r="AP448" i="30"/>
  <c r="AP443" i="30"/>
  <c r="AP445" i="30" s="1"/>
  <c r="AP446" i="30" s="1"/>
  <c r="AU449" i="30"/>
  <c r="BF449" i="30" s="1"/>
  <c r="AU443" i="30"/>
  <c r="AU445" i="30" s="1"/>
  <c r="AU446" i="30" s="1"/>
  <c r="AU448" i="30"/>
  <c r="BJ92" i="29"/>
  <c r="BI92" i="29"/>
  <c r="AI249" i="29" a="1"/>
  <c r="AI249" i="29" s="1"/>
  <c r="BD250" i="29"/>
  <c r="AG249" i="29" a="1"/>
  <c r="AG249" i="29" s="1"/>
  <c r="AH250" i="29"/>
  <c r="BE439" i="30"/>
  <c r="BD439" i="30"/>
  <c r="BM92" i="29"/>
  <c r="AG393" i="29" a="1"/>
  <c r="AG393" i="29" s="1"/>
  <c r="AH394" i="29"/>
  <c r="AI393" i="29" a="1"/>
  <c r="AI393" i="29" s="1"/>
  <c r="BD394" i="29"/>
  <c r="AV449" i="30"/>
  <c r="BG449" i="30" s="1"/>
  <c r="AV443" i="30"/>
  <c r="AV445" i="30" s="1"/>
  <c r="AV446" i="30" s="1"/>
  <c r="AW444" i="30" s="1" a="1"/>
  <c r="AW444" i="30" s="1"/>
  <c r="AW447" i="30" s="1"/>
  <c r="AV448" i="30"/>
  <c r="AH442" i="30"/>
  <c r="AG449" i="30"/>
  <c r="AG448" i="30"/>
  <c r="AG443" i="30"/>
  <c r="AW443" i="30"/>
  <c r="AW445" i="30" s="1"/>
  <c r="AW446" i="30" s="1"/>
  <c r="AX444" i="30" s="1" a="1"/>
  <c r="AX444" i="30" s="1"/>
  <c r="AX447" i="30" s="1"/>
  <c r="AW448" i="30"/>
  <c r="AW449" i="30"/>
  <c r="BH449" i="30" s="1"/>
  <c r="AT449" i="30"/>
  <c r="AT443" i="30"/>
  <c r="AT445" i="30" s="1"/>
  <c r="AY449" i="30"/>
  <c r="BJ449" i="30" s="1"/>
  <c r="AY443" i="30"/>
  <c r="AY445" i="30" s="1"/>
  <c r="AY446" i="30" s="1"/>
  <c r="AZ444" i="30" s="1" a="1"/>
  <c r="AZ444" i="30" s="1"/>
  <c r="AZ447" i="30" s="1"/>
  <c r="AY448" i="30"/>
  <c r="BK92" i="29"/>
  <c r="BE92" i="29"/>
  <c r="AH92" i="29"/>
  <c r="AT285" i="30"/>
  <c r="AJ285" i="30"/>
  <c r="F286" i="30" a="1"/>
  <c r="F286" i="30" s="1"/>
  <c r="BO285" i="30"/>
  <c r="AT249" i="29" a="1"/>
  <c r="AT249" i="29" s="1"/>
  <c r="BE250" i="29"/>
  <c r="AH448" i="30" l="1"/>
  <c r="AH443" i="30"/>
  <c r="F287" i="30" a="1"/>
  <c r="F287" i="30" s="1"/>
  <c r="BO286" i="30"/>
  <c r="AT286" i="30"/>
  <c r="AJ286" i="30"/>
  <c r="AH393" i="29"/>
  <c r="AG366" i="29"/>
  <c r="BD249" i="29"/>
  <c r="AI222" i="29"/>
  <c r="AV444" i="30" a="1"/>
  <c r="AV444" i="30" s="1"/>
  <c r="AV447" i="30" s="1"/>
  <c r="AU447" i="30"/>
  <c r="AH106" i="29"/>
  <c r="AG105" i="29" a="1"/>
  <c r="AG105" i="29" s="1"/>
  <c r="AI105" i="29" a="1"/>
  <c r="AI105" i="29" s="1"/>
  <c r="BD106" i="29"/>
  <c r="BC451" i="30"/>
  <c r="BC453" i="30" s="1"/>
  <c r="BC454" i="30"/>
  <c r="BC452" i="30"/>
  <c r="AF452" i="30"/>
  <c r="AF454" i="30"/>
  <c r="AF451" i="30"/>
  <c r="AF453" i="30" s="1"/>
  <c r="AV451" i="30"/>
  <c r="AV453" i="30" s="1"/>
  <c r="AV452" i="30"/>
  <c r="AV454" i="30"/>
  <c r="AO454" i="30"/>
  <c r="AO452" i="30"/>
  <c r="AO451" i="30"/>
  <c r="AO453" i="30" s="1"/>
  <c r="AL454" i="30"/>
  <c r="AL452" i="30"/>
  <c r="AL451" i="30"/>
  <c r="AL453" i="30" s="1"/>
  <c r="BB454" i="30"/>
  <c r="BB452" i="30"/>
  <c r="BB451" i="30"/>
  <c r="BB453" i="30" s="1"/>
  <c r="BA402" i="29"/>
  <c r="BL402" i="29" s="1"/>
  <c r="AW402" i="29"/>
  <c r="AS402" i="29"/>
  <c r="AO402" i="29"/>
  <c r="AK402" i="29"/>
  <c r="AG402" i="29"/>
  <c r="F403" i="29" a="1"/>
  <c r="F403" i="29" s="1"/>
  <c r="AZ402" i="29"/>
  <c r="AV402" i="29"/>
  <c r="AR402" i="29"/>
  <c r="AN402" i="29"/>
  <c r="AJ402" i="29"/>
  <c r="AF402" i="29"/>
  <c r="BC402" i="29"/>
  <c r="AY402" i="29"/>
  <c r="BJ402" i="29" s="1"/>
  <c r="AU402" i="29"/>
  <c r="AQ402" i="29"/>
  <c r="AM402" i="29"/>
  <c r="AI402" i="29"/>
  <c r="AE402" i="29"/>
  <c r="AT402" i="29"/>
  <c r="BE402" i="29" s="1"/>
  <c r="AP402" i="29"/>
  <c r="BB402" i="29"/>
  <c r="BM402" i="29" s="1"/>
  <c r="AL402" i="29"/>
  <c r="AX402" i="29"/>
  <c r="BI402" i="29" s="1"/>
  <c r="BL395" i="29"/>
  <c r="BA366" i="29"/>
  <c r="BI395" i="29"/>
  <c r="AX366" i="29"/>
  <c r="BK107" i="30"/>
  <c r="AZ78" i="30"/>
  <c r="BG107" i="30"/>
  <c r="AV78" i="30"/>
  <c r="BH107" i="30"/>
  <c r="AW78" i="30"/>
  <c r="BE107" i="30"/>
  <c r="AT78" i="30"/>
  <c r="BO114" i="30"/>
  <c r="BB114" i="30"/>
  <c r="BM114" i="30" s="1"/>
  <c r="AX114" i="30"/>
  <c r="BI114" i="30" s="1"/>
  <c r="AT114" i="30"/>
  <c r="BE114" i="30" s="1"/>
  <c r="AP114" i="30"/>
  <c r="AL114" i="30"/>
  <c r="F115" i="30" a="1"/>
  <c r="F115" i="30" s="1"/>
  <c r="BA114" i="30"/>
  <c r="BL114" i="30" s="1"/>
  <c r="AW114" i="30"/>
  <c r="BH114" i="30" s="1"/>
  <c r="AS114" i="30"/>
  <c r="AO114" i="30"/>
  <c r="AK114" i="30"/>
  <c r="AG114" i="30"/>
  <c r="AZ114" i="30"/>
  <c r="BK114" i="30" s="1"/>
  <c r="AV114" i="30"/>
  <c r="BG114" i="30" s="1"/>
  <c r="AR114" i="30"/>
  <c r="AN114" i="30"/>
  <c r="AJ114" i="30"/>
  <c r="AF114" i="30"/>
  <c r="AQ114" i="30"/>
  <c r="BC114" i="30"/>
  <c r="AM114" i="30"/>
  <c r="AY114" i="30"/>
  <c r="BJ114" i="30" s="1"/>
  <c r="AI114" i="30"/>
  <c r="AU114" i="30"/>
  <c r="BF114" i="30" s="1"/>
  <c r="AE114" i="30"/>
  <c r="BE106" i="29"/>
  <c r="AT105" i="29" a="1"/>
  <c r="AT105" i="29" s="1"/>
  <c r="AM451" i="30"/>
  <c r="AM453" i="30" s="1"/>
  <c r="AM454" i="30"/>
  <c r="AM452" i="30"/>
  <c r="AU454" i="30"/>
  <c r="AU451" i="30"/>
  <c r="AU453" i="30" s="1"/>
  <c r="AU452" i="30"/>
  <c r="AJ454" i="30"/>
  <c r="AJ451" i="30"/>
  <c r="AJ453" i="30" s="1"/>
  <c r="AJ452" i="30"/>
  <c r="AZ454" i="30"/>
  <c r="AZ451" i="30"/>
  <c r="AZ453" i="30" s="1"/>
  <c r="AZ452" i="30"/>
  <c r="AS454" i="30"/>
  <c r="AS452" i="30"/>
  <c r="AS451" i="30"/>
  <c r="AS453" i="30" s="1"/>
  <c r="AP454" i="30"/>
  <c r="AP452" i="30"/>
  <c r="AP451" i="30"/>
  <c r="AP453" i="30" s="1"/>
  <c r="BJ395" i="29"/>
  <c r="AY366" i="29"/>
  <c r="BM395" i="29"/>
  <c r="BB366" i="29"/>
  <c r="BL107" i="30"/>
  <c r="BA78" i="30"/>
  <c r="BI107" i="30"/>
  <c r="AX78" i="30"/>
  <c r="BF107" i="30"/>
  <c r="AU78" i="30"/>
  <c r="BK251" i="29"/>
  <c r="AZ222" i="29"/>
  <c r="BH251" i="29"/>
  <c r="AW222" i="29"/>
  <c r="BB258" i="29"/>
  <c r="BM258" i="29" s="1"/>
  <c r="AX258" i="29"/>
  <c r="AT258" i="29"/>
  <c r="AP258" i="29"/>
  <c r="AL258" i="29"/>
  <c r="BA258" i="29"/>
  <c r="BL258" i="29" s="1"/>
  <c r="AW258" i="29"/>
  <c r="AS258" i="29"/>
  <c r="AO258" i="29"/>
  <c r="AK258" i="29"/>
  <c r="AG258" i="29"/>
  <c r="F259" i="29" a="1"/>
  <c r="F259" i="29" s="1"/>
  <c r="AZ258" i="29"/>
  <c r="AV258" i="29"/>
  <c r="AR258" i="29"/>
  <c r="AN258" i="29"/>
  <c r="AJ258" i="29"/>
  <c r="AF258" i="29"/>
  <c r="AU258" i="29"/>
  <c r="AE258" i="29"/>
  <c r="AQ258" i="29"/>
  <c r="BC258" i="29"/>
  <c r="AM258" i="29"/>
  <c r="AY258" i="29"/>
  <c r="AI258" i="29"/>
  <c r="AJ449" i="30"/>
  <c r="BE249" i="29"/>
  <c r="AT222" i="29"/>
  <c r="BD449" i="30"/>
  <c r="BE449" i="30"/>
  <c r="AG445" i="30"/>
  <c r="BD393" i="29"/>
  <c r="AI366" i="29"/>
  <c r="AH249" i="29"/>
  <c r="AG222" i="29"/>
  <c r="BA107" i="29"/>
  <c r="AW107" i="29"/>
  <c r="AS107" i="29"/>
  <c r="AS78" i="29" s="1"/>
  <c r="AO107" i="29"/>
  <c r="AO78" i="29" s="1"/>
  <c r="AK107" i="29"/>
  <c r="AK78" i="29" s="1"/>
  <c r="AZ107" i="29"/>
  <c r="AV107" i="29"/>
  <c r="AR107" i="29"/>
  <c r="AR78" i="29" s="1"/>
  <c r="AN107" i="29"/>
  <c r="AN78" i="29" s="1"/>
  <c r="AJ107" i="29"/>
  <c r="AJ78" i="29" s="1"/>
  <c r="F108" i="29" a="1"/>
  <c r="F108" i="29" s="1"/>
  <c r="F109" i="29" s="1" a="1"/>
  <c r="F109" i="29" s="1"/>
  <c r="F110" i="29" s="1" a="1"/>
  <c r="F110" i="29" s="1"/>
  <c r="F111" i="29" s="1" a="1"/>
  <c r="F111" i="29" s="1"/>
  <c r="F112" i="29" s="1" a="1"/>
  <c r="F112" i="29" s="1"/>
  <c r="F113" i="29" s="1" a="1"/>
  <c r="F113" i="29" s="1"/>
  <c r="F114" i="29" s="1" a="1"/>
  <c r="F114" i="29" s="1"/>
  <c r="BC107" i="29"/>
  <c r="BC78" i="29" s="1"/>
  <c r="AY107" i="29"/>
  <c r="AU107" i="29"/>
  <c r="AQ107" i="29"/>
  <c r="AQ78" i="29" s="1"/>
  <c r="AM107" i="29"/>
  <c r="AM78" i="29" s="1"/>
  <c r="AP107" i="29"/>
  <c r="AP78" i="29" s="1"/>
  <c r="BB107" i="29"/>
  <c r="AL107" i="29"/>
  <c r="AL78" i="29" s="1"/>
  <c r="AX107" i="29"/>
  <c r="AT107" i="29"/>
  <c r="BE107" i="29" s="1"/>
  <c r="AQ451" i="30"/>
  <c r="AQ453" i="30" s="1"/>
  <c r="AQ454" i="30"/>
  <c r="AQ452" i="30"/>
  <c r="AN451" i="30"/>
  <c r="AN453" i="30" s="1"/>
  <c r="AN454" i="30"/>
  <c r="AN452" i="30"/>
  <c r="AG452" i="30"/>
  <c r="AH450" i="30"/>
  <c r="AG451" i="30"/>
  <c r="AH451" i="30" s="1"/>
  <c r="AW452" i="30"/>
  <c r="AW454" i="30"/>
  <c r="AW451" i="30"/>
  <c r="AW453" i="30" s="1"/>
  <c r="AT454" i="30"/>
  <c r="AT452" i="30"/>
  <c r="AT451" i="30"/>
  <c r="AT453" i="30" s="1"/>
  <c r="BF395" i="29"/>
  <c r="AU366" i="29"/>
  <c r="BG395" i="29"/>
  <c r="AV366" i="29"/>
  <c r="BM107" i="30"/>
  <c r="BB78" i="30"/>
  <c r="BJ107" i="30"/>
  <c r="AY78" i="30"/>
  <c r="BL251" i="29"/>
  <c r="BA222" i="29"/>
  <c r="BI251" i="29"/>
  <c r="AX222" i="29"/>
  <c r="BF251" i="29"/>
  <c r="AU222" i="29"/>
  <c r="BE393" i="29"/>
  <c r="AT366" i="29"/>
  <c r="AY454" i="30"/>
  <c r="AY451" i="30"/>
  <c r="AY453" i="30" s="1"/>
  <c r="AY452" i="30"/>
  <c r="AR451" i="30"/>
  <c r="AR453" i="30" s="1"/>
  <c r="AR454" i="30"/>
  <c r="AR452" i="30"/>
  <c r="AK452" i="30"/>
  <c r="AK451" i="30"/>
  <c r="AK453" i="30" s="1"/>
  <c r="AK454" i="30"/>
  <c r="BA452" i="30"/>
  <c r="BA454" i="30"/>
  <c r="BA451" i="30"/>
  <c r="BA453" i="30" s="1"/>
  <c r="AX454" i="30"/>
  <c r="AX452" i="30"/>
  <c r="AX451" i="30"/>
  <c r="AX453" i="30" s="1"/>
  <c r="BK395" i="29"/>
  <c r="AZ366" i="29"/>
  <c r="BH395" i="29"/>
  <c r="AW366" i="29"/>
  <c r="BG251" i="29"/>
  <c r="AV222" i="29"/>
  <c r="BM251" i="29"/>
  <c r="BB222" i="29"/>
  <c r="BJ251" i="29"/>
  <c r="AY222" i="29"/>
  <c r="AG453" i="30" l="1"/>
  <c r="BK258" i="29"/>
  <c r="BF258" i="29"/>
  <c r="BH258" i="29"/>
  <c r="BG402" i="29"/>
  <c r="AH258" i="29"/>
  <c r="BJ258" i="29"/>
  <c r="BF222" i="29"/>
  <c r="BL222" i="29"/>
  <c r="BJ78" i="30"/>
  <c r="BI107" i="29"/>
  <c r="AX78" i="29"/>
  <c r="AH222" i="29"/>
  <c r="AH445" i="30"/>
  <c r="AG446" i="30"/>
  <c r="BE258" i="29"/>
  <c r="BH222" i="29"/>
  <c r="AH114" i="30"/>
  <c r="BH78" i="30"/>
  <c r="BK78" i="30"/>
  <c r="BL366" i="29"/>
  <c r="BJ222" i="29"/>
  <c r="BG366" i="29"/>
  <c r="AH452" i="30"/>
  <c r="AZ114" i="29"/>
  <c r="BK114" i="29" s="1"/>
  <c r="AV114" i="29"/>
  <c r="BG114" i="29" s="1"/>
  <c r="AR114" i="29"/>
  <c r="AN114" i="29"/>
  <c r="AJ114" i="29"/>
  <c r="AF114" i="29"/>
  <c r="BC114" i="29"/>
  <c r="AY114" i="29"/>
  <c r="BJ114" i="29" s="1"/>
  <c r="AU114" i="29"/>
  <c r="BF114" i="29" s="1"/>
  <c r="AQ114" i="29"/>
  <c r="AM114" i="29"/>
  <c r="AI114" i="29"/>
  <c r="BD114" i="29" s="1"/>
  <c r="AE114" i="29"/>
  <c r="BO114" i="29"/>
  <c r="BB114" i="29"/>
  <c r="BM114" i="29" s="1"/>
  <c r="AX114" i="29"/>
  <c r="BI114" i="29" s="1"/>
  <c r="AT114" i="29"/>
  <c r="BE114" i="29" s="1"/>
  <c r="AP114" i="29"/>
  <c r="AL114" i="29"/>
  <c r="F115" i="29" a="1"/>
  <c r="F115" i="29" s="1"/>
  <c r="AO114" i="29"/>
  <c r="BA114" i="29"/>
  <c r="BL114" i="29" s="1"/>
  <c r="AK114" i="29"/>
  <c r="AW114" i="29"/>
  <c r="BH114" i="29" s="1"/>
  <c r="AG114" i="29"/>
  <c r="AH114" i="29" s="1"/>
  <c r="AS114" i="29"/>
  <c r="BG107" i="29"/>
  <c r="AV78" i="29"/>
  <c r="BG258" i="29"/>
  <c r="BI258" i="29"/>
  <c r="BF78" i="30"/>
  <c r="BL78" i="30"/>
  <c r="BM366" i="29"/>
  <c r="BE105" i="29"/>
  <c r="AT78" i="29"/>
  <c r="BD114" i="30"/>
  <c r="BF402" i="29"/>
  <c r="BK402" i="29"/>
  <c r="AH366" i="29"/>
  <c r="BK366" i="29"/>
  <c r="BH366" i="29"/>
  <c r="BE366" i="29"/>
  <c r="BI222" i="29"/>
  <c r="BM78" i="30"/>
  <c r="BM107" i="29"/>
  <c r="BB78" i="29"/>
  <c r="BF107" i="29"/>
  <c r="AU78" i="29"/>
  <c r="BK107" i="29"/>
  <c r="AZ78" i="29"/>
  <c r="BH107" i="29"/>
  <c r="AW78" i="29"/>
  <c r="BD366" i="29"/>
  <c r="BD258" i="29"/>
  <c r="BK222" i="29"/>
  <c r="BA115" i="30"/>
  <c r="BL115" i="30" s="1"/>
  <c r="AW115" i="30"/>
  <c r="BH115" i="30" s="1"/>
  <c r="AS115" i="30"/>
  <c r="AO115" i="30"/>
  <c r="AK115" i="30"/>
  <c r="AG115" i="30"/>
  <c r="AZ115" i="30"/>
  <c r="BK115" i="30" s="1"/>
  <c r="AV115" i="30"/>
  <c r="BG115" i="30" s="1"/>
  <c r="AR115" i="30"/>
  <c r="AN115" i="30"/>
  <c r="AJ115" i="30"/>
  <c r="AF115" i="30"/>
  <c r="BC115" i="30"/>
  <c r="AY115" i="30"/>
  <c r="BJ115" i="30" s="1"/>
  <c r="AU115" i="30"/>
  <c r="BF115" i="30" s="1"/>
  <c r="AQ115" i="30"/>
  <c r="AM115" i="30"/>
  <c r="AI115" i="30"/>
  <c r="BD115" i="30" s="1"/>
  <c r="AE115" i="30"/>
  <c r="BO115" i="30"/>
  <c r="AX115" i="30"/>
  <c r="BI115" i="30" s="1"/>
  <c r="AT115" i="30"/>
  <c r="BE115" i="30" s="1"/>
  <c r="AP115" i="30"/>
  <c r="BB115" i="30"/>
  <c r="BM115" i="30" s="1"/>
  <c r="AL115" i="30"/>
  <c r="F116" i="30" a="1"/>
  <c r="F116" i="30" s="1"/>
  <c r="BE78" i="30"/>
  <c r="BG78" i="30"/>
  <c r="BI366" i="29"/>
  <c r="BD402" i="29"/>
  <c r="BA403" i="29"/>
  <c r="BL403" i="29" s="1"/>
  <c r="AW403" i="29"/>
  <c r="BH403" i="29" s="1"/>
  <c r="AS403" i="29"/>
  <c r="AO403" i="29"/>
  <c r="AK403" i="29"/>
  <c r="AG403" i="29"/>
  <c r="AZ403" i="29"/>
  <c r="BK403" i="29" s="1"/>
  <c r="AV403" i="29"/>
  <c r="BG403" i="29" s="1"/>
  <c r="AR403" i="29"/>
  <c r="AN403" i="29"/>
  <c r="AJ403" i="29"/>
  <c r="AF403" i="29"/>
  <c r="BC403" i="29"/>
  <c r="AY403" i="29"/>
  <c r="BJ403" i="29" s="1"/>
  <c r="AU403" i="29"/>
  <c r="BF403" i="29" s="1"/>
  <c r="AQ403" i="29"/>
  <c r="AM403" i="29"/>
  <c r="AI403" i="29"/>
  <c r="AE403" i="29"/>
  <c r="F404" i="29" a="1"/>
  <c r="F404" i="29" s="1"/>
  <c r="BB403" i="29"/>
  <c r="BM403" i="29" s="1"/>
  <c r="AL403" i="29"/>
  <c r="BO403" i="29"/>
  <c r="AX403" i="29"/>
  <c r="BI403" i="29" s="1"/>
  <c r="AT403" i="29"/>
  <c r="BE403" i="29" s="1"/>
  <c r="AP403" i="29"/>
  <c r="BD105" i="29"/>
  <c r="AI78" i="29"/>
  <c r="F288" i="30" a="1"/>
  <c r="F288" i="30" s="1"/>
  <c r="BO287" i="30"/>
  <c r="AJ287" i="30"/>
  <c r="BM222" i="29"/>
  <c r="BG222" i="29"/>
  <c r="BF366" i="29"/>
  <c r="AH453" i="30"/>
  <c r="BJ107" i="29"/>
  <c r="AY78" i="29"/>
  <c r="BL107" i="29"/>
  <c r="BA78" i="29"/>
  <c r="BE222" i="29"/>
  <c r="F260" i="29" a="1"/>
  <c r="F260" i="29" s="1"/>
  <c r="BO259" i="29"/>
  <c r="BB259" i="29"/>
  <c r="BM259" i="29" s="1"/>
  <c r="AX259" i="29"/>
  <c r="AT259" i="29"/>
  <c r="AP259" i="29"/>
  <c r="AL259" i="29"/>
  <c r="BA259" i="29"/>
  <c r="BL259" i="29" s="1"/>
  <c r="AW259" i="29"/>
  <c r="BH259" i="29" s="1"/>
  <c r="AS259" i="29"/>
  <c r="AO259" i="29"/>
  <c r="AK259" i="29"/>
  <c r="AG259" i="29"/>
  <c r="AZ259" i="29"/>
  <c r="AV259" i="29"/>
  <c r="AR259" i="29"/>
  <c r="AN259" i="29"/>
  <c r="AJ259" i="29"/>
  <c r="AF259" i="29"/>
  <c r="AY259" i="29"/>
  <c r="AI259" i="29"/>
  <c r="BD259" i="29" s="1"/>
  <c r="AU259" i="29"/>
  <c r="AE259" i="29"/>
  <c r="AQ259" i="29"/>
  <c r="BC259" i="29"/>
  <c r="AM259" i="29"/>
  <c r="BI78" i="30"/>
  <c r="BJ366" i="29"/>
  <c r="AH402" i="29"/>
  <c r="BH402" i="29"/>
  <c r="AH105" i="29"/>
  <c r="AG78" i="29"/>
  <c r="BD222" i="29"/>
  <c r="BK259" i="29" l="1"/>
  <c r="BF259" i="29"/>
  <c r="AH259" i="29"/>
  <c r="AH78" i="29"/>
  <c r="BG259" i="29"/>
  <c r="BK78" i="29"/>
  <c r="BM78" i="29"/>
  <c r="BE78" i="29"/>
  <c r="BG78" i="29"/>
  <c r="BC115" i="29"/>
  <c r="AY115" i="29"/>
  <c r="BJ115" i="29" s="1"/>
  <c r="AU115" i="29"/>
  <c r="BF115" i="29" s="1"/>
  <c r="AQ115" i="29"/>
  <c r="AM115" i="29"/>
  <c r="AI115" i="29"/>
  <c r="BD115" i="29" s="1"/>
  <c r="AE115" i="29"/>
  <c r="F116" i="29" a="1"/>
  <c r="F116" i="29" s="1"/>
  <c r="BO115" i="29"/>
  <c r="BB115" i="29"/>
  <c r="BM115" i="29" s="1"/>
  <c r="AX115" i="29"/>
  <c r="BI115" i="29" s="1"/>
  <c r="AT115" i="29"/>
  <c r="BE115" i="29" s="1"/>
  <c r="AP115" i="29"/>
  <c r="AL115" i="29"/>
  <c r="BA115" i="29"/>
  <c r="BL115" i="29" s="1"/>
  <c r="AW115" i="29"/>
  <c r="BH115" i="29" s="1"/>
  <c r="AS115" i="29"/>
  <c r="AO115" i="29"/>
  <c r="AK115" i="29"/>
  <c r="AG115" i="29"/>
  <c r="AR115" i="29"/>
  <c r="AN115" i="29"/>
  <c r="AZ115" i="29"/>
  <c r="BK115" i="29" s="1"/>
  <c r="AJ115" i="29"/>
  <c r="AV115" i="29"/>
  <c r="BG115" i="29" s="1"/>
  <c r="AF115" i="29"/>
  <c r="AG447" i="30"/>
  <c r="AH446" i="30"/>
  <c r="AG454" i="30"/>
  <c r="AH454" i="30" s="1"/>
  <c r="AH449" i="30" s="1"/>
  <c r="BI78" i="29"/>
  <c r="BD403" i="29"/>
  <c r="AH403" i="29"/>
  <c r="BE259" i="29"/>
  <c r="BC260" i="29"/>
  <c r="AR260" i="29"/>
  <c r="AF260" i="29"/>
  <c r="BB260" i="29"/>
  <c r="BM260" i="29" s="1"/>
  <c r="AQ260" i="29"/>
  <c r="AE260" i="29"/>
  <c r="F261" i="29" a="1"/>
  <c r="F261" i="29" s="1"/>
  <c r="F262" i="29" s="1" a="1"/>
  <c r="F262" i="29" s="1"/>
  <c r="BA260" i="29"/>
  <c r="AS260" i="29"/>
  <c r="AG260" i="29"/>
  <c r="BL78" i="29"/>
  <c r="BJ78" i="29"/>
  <c r="AJ288" i="30"/>
  <c r="F289" i="30" a="1"/>
  <c r="F289" i="30" s="1"/>
  <c r="BO288" i="30"/>
  <c r="BC116" i="30"/>
  <c r="AY116" i="30"/>
  <c r="BJ116" i="30" s="1"/>
  <c r="AU116" i="30"/>
  <c r="BF116" i="30" s="1"/>
  <c r="AQ116" i="30"/>
  <c r="AM116" i="30"/>
  <c r="AI116" i="30"/>
  <c r="BD116" i="30" s="1"/>
  <c r="AE116" i="30"/>
  <c r="BB116" i="30"/>
  <c r="BM116" i="30" s="1"/>
  <c r="AX116" i="30"/>
  <c r="BI116" i="30" s="1"/>
  <c r="AT116" i="30"/>
  <c r="BE116" i="30" s="1"/>
  <c r="AP116" i="30"/>
  <c r="AL116" i="30"/>
  <c r="F117" i="30" a="1"/>
  <c r="F117" i="30" s="1"/>
  <c r="F118" i="30" s="1" a="1"/>
  <c r="F118" i="30" s="1"/>
  <c r="BA116" i="30"/>
  <c r="BL116" i="30" s="1"/>
  <c r="AW116" i="30"/>
  <c r="BH116" i="30" s="1"/>
  <c r="AS116" i="30"/>
  <c r="AO116" i="30"/>
  <c r="AK116" i="30"/>
  <c r="AG116" i="30"/>
  <c r="AN116" i="30"/>
  <c r="AZ116" i="30"/>
  <c r="BK116" i="30" s="1"/>
  <c r="AJ116" i="30"/>
  <c r="AV116" i="30"/>
  <c r="BG116" i="30" s="1"/>
  <c r="AF116" i="30"/>
  <c r="AR116" i="30"/>
  <c r="AH115" i="30"/>
  <c r="BH78" i="29"/>
  <c r="BF78" i="29"/>
  <c r="BJ259" i="29"/>
  <c r="BI259" i="29"/>
  <c r="BD78" i="29"/>
  <c r="AZ404" i="29"/>
  <c r="BK404" i="29" s="1"/>
  <c r="AV404" i="29"/>
  <c r="BG404" i="29" s="1"/>
  <c r="AR404" i="29"/>
  <c r="AN404" i="29"/>
  <c r="AJ404" i="29"/>
  <c r="AE404" i="29"/>
  <c r="BC404" i="29"/>
  <c r="AY404" i="29"/>
  <c r="BJ404" i="29" s="1"/>
  <c r="AU404" i="29"/>
  <c r="BF404" i="29" s="1"/>
  <c r="AQ404" i="29"/>
  <c r="AM404" i="29"/>
  <c r="BB404" i="29"/>
  <c r="BM404" i="29" s="1"/>
  <c r="AX404" i="29"/>
  <c r="BI404" i="29" s="1"/>
  <c r="AT404" i="29"/>
  <c r="AP404" i="29"/>
  <c r="AL404" i="29"/>
  <c r="AG404" i="29"/>
  <c r="AS404" i="29"/>
  <c r="AO404" i="29"/>
  <c r="F405" i="29" a="1"/>
  <c r="F405" i="29" s="1"/>
  <c r="F406" i="29" s="1" a="1"/>
  <c r="F406" i="29" s="1"/>
  <c r="BA404" i="29"/>
  <c r="BL404" i="29" s="1"/>
  <c r="AK404" i="29"/>
  <c r="AW404" i="29"/>
  <c r="BH404" i="29" s="1"/>
  <c r="AF404" i="29"/>
  <c r="AH116" i="30" l="1"/>
  <c r="AH260" i="29"/>
  <c r="AH115" i="29"/>
  <c r="BD404" i="29"/>
  <c r="BE404" i="29"/>
  <c r="BA118" i="30"/>
  <c r="AW118" i="30"/>
  <c r="AS118" i="30"/>
  <c r="AO118" i="30"/>
  <c r="AK118" i="30"/>
  <c r="AG118" i="30"/>
  <c r="AZ118" i="30"/>
  <c r="AV118" i="30"/>
  <c r="AR118" i="30"/>
  <c r="AN118" i="30"/>
  <c r="AJ118" i="30"/>
  <c r="AF118" i="30"/>
  <c r="BC118" i="30"/>
  <c r="AY118" i="30"/>
  <c r="AU118" i="30"/>
  <c r="AQ118" i="30"/>
  <c r="AM118" i="30"/>
  <c r="AI118" i="30"/>
  <c r="AE118" i="30"/>
  <c r="F119" i="30" a="1"/>
  <c r="F119" i="30" s="1"/>
  <c r="BB118" i="30"/>
  <c r="AL118" i="30"/>
  <c r="BO118" i="30"/>
  <c r="AX118" i="30"/>
  <c r="AT118" i="30"/>
  <c r="AP118" i="30"/>
  <c r="F117" i="29" a="1"/>
  <c r="F117" i="29" s="1"/>
  <c r="F118" i="29" s="1" a="1"/>
  <c r="F118" i="29" s="1"/>
  <c r="BA116" i="29"/>
  <c r="BL116" i="29" s="1"/>
  <c r="AW116" i="29"/>
  <c r="BH116" i="29" s="1"/>
  <c r="AS116" i="29"/>
  <c r="AO116" i="29"/>
  <c r="AK116" i="29"/>
  <c r="AG116" i="29"/>
  <c r="AZ116" i="29"/>
  <c r="BK116" i="29" s="1"/>
  <c r="AV116" i="29"/>
  <c r="BG116" i="29" s="1"/>
  <c r="AR116" i="29"/>
  <c r="AN116" i="29"/>
  <c r="AJ116" i="29"/>
  <c r="AF116" i="29"/>
  <c r="BC116" i="29"/>
  <c r="AY116" i="29"/>
  <c r="BJ116" i="29" s="1"/>
  <c r="AU116" i="29"/>
  <c r="BF116" i="29" s="1"/>
  <c r="AQ116" i="29"/>
  <c r="AM116" i="29"/>
  <c r="AI116" i="29"/>
  <c r="BD116" i="29" s="1"/>
  <c r="AE116" i="29"/>
  <c r="AX116" i="29"/>
  <c r="BI116" i="29" s="1"/>
  <c r="AT116" i="29"/>
  <c r="BE116" i="29" s="1"/>
  <c r="AP116" i="29"/>
  <c r="BB116" i="29"/>
  <c r="BM116" i="29" s="1"/>
  <c r="AL116" i="29"/>
  <c r="AH404" i="29"/>
  <c r="F290" i="30" a="1"/>
  <c r="F290" i="30" s="1"/>
  <c r="AT289" i="30"/>
  <c r="AT287" i="30" s="1"/>
  <c r="BE287" i="30" s="1"/>
  <c r="AJ289" i="30"/>
  <c r="BK260" i="29"/>
  <c r="BL260" i="29"/>
  <c r="F407" i="29" a="1"/>
  <c r="F407" i="29" s="1"/>
  <c r="BO406" i="29"/>
  <c r="BB406" i="29"/>
  <c r="AX406" i="29"/>
  <c r="AT406" i="29"/>
  <c r="AP406" i="29"/>
  <c r="AL406" i="29"/>
  <c r="BA406" i="29"/>
  <c r="AW406" i="29"/>
  <c r="AS406" i="29"/>
  <c r="AO406" i="29"/>
  <c r="AK406" i="29"/>
  <c r="AG406" i="29"/>
  <c r="AZ406" i="29"/>
  <c r="AV406" i="29"/>
  <c r="AR406" i="29"/>
  <c r="AN406" i="29"/>
  <c r="AJ406" i="29"/>
  <c r="AF406" i="29"/>
  <c r="AQ406" i="29"/>
  <c r="BC406" i="29"/>
  <c r="AM406" i="29"/>
  <c r="AY406" i="29"/>
  <c r="AI406" i="29"/>
  <c r="AU406" i="29"/>
  <c r="AE406" i="29"/>
  <c r="BA262" i="29"/>
  <c r="AW262" i="29"/>
  <c r="AS262" i="29"/>
  <c r="AO262" i="29"/>
  <c r="AK262" i="29"/>
  <c r="AG262" i="29"/>
  <c r="AZ262" i="29"/>
  <c r="AV262" i="29"/>
  <c r="AR262" i="29"/>
  <c r="AN262" i="29"/>
  <c r="AJ262" i="29"/>
  <c r="AF262" i="29"/>
  <c r="BC262" i="29"/>
  <c r="AY262" i="29"/>
  <c r="AU262" i="29"/>
  <c r="AQ262" i="29"/>
  <c r="AM262" i="29"/>
  <c r="AI262" i="29"/>
  <c r="AE262" i="29"/>
  <c r="BO262" i="29"/>
  <c r="AX262" i="29"/>
  <c r="AT262" i="29"/>
  <c r="AP262" i="29"/>
  <c r="F263" i="29" a="1"/>
  <c r="F263" i="29" s="1"/>
  <c r="BB262" i="29"/>
  <c r="AL262" i="29"/>
  <c r="AH116" i="29" l="1"/>
  <c r="BC263" i="29"/>
  <c r="AY263" i="29"/>
  <c r="BJ263" i="29" s="1"/>
  <c r="AU263" i="29"/>
  <c r="BF263" i="29" s="1"/>
  <c r="AQ263" i="29"/>
  <c r="AM263" i="29"/>
  <c r="AI263" i="29"/>
  <c r="BD263" i="29" s="1"/>
  <c r="AE263" i="29"/>
  <c r="F264" i="29" a="1"/>
  <c r="F264" i="29" s="1"/>
  <c r="BO263" i="29"/>
  <c r="BB263" i="29"/>
  <c r="BM263" i="29" s="1"/>
  <c r="AX263" i="29"/>
  <c r="BI263" i="29" s="1"/>
  <c r="AT263" i="29"/>
  <c r="BE263" i="29" s="1"/>
  <c r="AP263" i="29"/>
  <c r="AL263" i="29"/>
  <c r="BA263" i="29"/>
  <c r="BL263" i="29" s="1"/>
  <c r="AW263" i="29"/>
  <c r="BH263" i="29" s="1"/>
  <c r="AS263" i="29"/>
  <c r="AO263" i="29"/>
  <c r="AK263" i="29"/>
  <c r="AG263" i="29"/>
  <c r="AN263" i="29"/>
  <c r="AZ263" i="29"/>
  <c r="BK263" i="29" s="1"/>
  <c r="AJ263" i="29"/>
  <c r="AV263" i="29"/>
  <c r="BG263" i="29" s="1"/>
  <c r="AF263" i="29"/>
  <c r="AR263" i="29"/>
  <c r="BG262" i="29"/>
  <c r="BD406" i="29"/>
  <c r="BL406" i="29"/>
  <c r="BI406" i="29"/>
  <c r="BE118" i="30"/>
  <c r="BM118" i="30"/>
  <c r="BL118" i="30"/>
  <c r="BF262" i="29"/>
  <c r="BK262" i="29"/>
  <c r="BJ406" i="29"/>
  <c r="BG406" i="29"/>
  <c r="BM406" i="29"/>
  <c r="BI118" i="30"/>
  <c r="BC119" i="30"/>
  <c r="AY119" i="30"/>
  <c r="BJ119" i="30" s="1"/>
  <c r="AU119" i="30"/>
  <c r="BF119" i="30" s="1"/>
  <c r="AQ119" i="30"/>
  <c r="AM119" i="30"/>
  <c r="AI119" i="30"/>
  <c r="BD119" i="30" s="1"/>
  <c r="AE119" i="30"/>
  <c r="F120" i="30" a="1"/>
  <c r="F120" i="30" s="1"/>
  <c r="BO119" i="30"/>
  <c r="BB119" i="30"/>
  <c r="BM119" i="30" s="1"/>
  <c r="AX119" i="30"/>
  <c r="BI119" i="30" s="1"/>
  <c r="AT119" i="30"/>
  <c r="BE119" i="30" s="1"/>
  <c r="AP119" i="30"/>
  <c r="AL119" i="30"/>
  <c r="BA119" i="30"/>
  <c r="BL119" i="30" s="1"/>
  <c r="AW119" i="30"/>
  <c r="BH119" i="30" s="1"/>
  <c r="AS119" i="30"/>
  <c r="AO119" i="30"/>
  <c r="AK119" i="30"/>
  <c r="AG119" i="30"/>
  <c r="AR119" i="30"/>
  <c r="AN119" i="30"/>
  <c r="AZ119" i="30"/>
  <c r="BK119" i="30" s="1"/>
  <c r="AJ119" i="30"/>
  <c r="AV119" i="30"/>
  <c r="BG119" i="30" s="1"/>
  <c r="AF119" i="30"/>
  <c r="BG118" i="30"/>
  <c r="BE262" i="29"/>
  <c r="BD262" i="29"/>
  <c r="BJ262" i="29"/>
  <c r="AH262" i="29"/>
  <c r="BH262" i="29"/>
  <c r="BK406" i="29"/>
  <c r="AJ290" i="30"/>
  <c r="F291" i="30" a="1"/>
  <c r="F291" i="30" s="1"/>
  <c r="AT290" i="30"/>
  <c r="BC118" i="29"/>
  <c r="AY118" i="29"/>
  <c r="AU118" i="29"/>
  <c r="AQ118" i="29"/>
  <c r="AM118" i="29"/>
  <c r="AI118" i="29"/>
  <c r="AE118" i="29"/>
  <c r="F119" i="29" a="1"/>
  <c r="F119" i="29" s="1"/>
  <c r="BO118" i="29"/>
  <c r="BB118" i="29"/>
  <c r="AX118" i="29"/>
  <c r="AT118" i="29"/>
  <c r="AP118" i="29"/>
  <c r="AL118" i="29"/>
  <c r="BA118" i="29"/>
  <c r="AW118" i="29"/>
  <c r="AS118" i="29"/>
  <c r="AO118" i="29"/>
  <c r="AK118" i="29"/>
  <c r="AG118" i="29"/>
  <c r="AV118" i="29"/>
  <c r="AF118" i="29"/>
  <c r="AR118" i="29"/>
  <c r="AN118" i="29"/>
  <c r="AZ118" i="29"/>
  <c r="AJ118" i="29"/>
  <c r="BF118" i="30"/>
  <c r="BK118" i="30"/>
  <c r="BM262" i="29"/>
  <c r="BI262" i="29"/>
  <c r="BL262" i="29"/>
  <c r="BF406" i="29"/>
  <c r="AH406" i="29"/>
  <c r="BH406" i="29"/>
  <c r="BE406" i="29"/>
  <c r="AZ407" i="29"/>
  <c r="BK407" i="29" s="1"/>
  <c r="AV407" i="29"/>
  <c r="BG407" i="29" s="1"/>
  <c r="AR407" i="29"/>
  <c r="AN407" i="29"/>
  <c r="AJ407" i="29"/>
  <c r="AF407" i="29"/>
  <c r="BC407" i="29"/>
  <c r="AY407" i="29"/>
  <c r="BJ407" i="29" s="1"/>
  <c r="AU407" i="29"/>
  <c r="BF407" i="29" s="1"/>
  <c r="AQ407" i="29"/>
  <c r="AM407" i="29"/>
  <c r="AI407" i="29"/>
  <c r="BD407" i="29" s="1"/>
  <c r="AE407" i="29"/>
  <c r="F408" i="29" a="1"/>
  <c r="F408" i="29" s="1"/>
  <c r="BO407" i="29"/>
  <c r="BB407" i="29"/>
  <c r="BM407" i="29" s="1"/>
  <c r="AX407" i="29"/>
  <c r="BI407" i="29" s="1"/>
  <c r="AT407" i="29"/>
  <c r="BE407" i="29" s="1"/>
  <c r="AP407" i="29"/>
  <c r="AL407" i="29"/>
  <c r="AW407" i="29"/>
  <c r="BH407" i="29" s="1"/>
  <c r="AG407" i="29"/>
  <c r="AH407" i="29" s="1"/>
  <c r="AS407" i="29"/>
  <c r="AO407" i="29"/>
  <c r="BA407" i="29"/>
  <c r="BL407" i="29" s="1"/>
  <c r="AK407" i="29"/>
  <c r="BD118" i="30"/>
  <c r="BJ118" i="30"/>
  <c r="AH118" i="30"/>
  <c r="BH118" i="30"/>
  <c r="BM118" i="29" l="1"/>
  <c r="BD118" i="29"/>
  <c r="BJ118" i="29"/>
  <c r="AH263" i="29"/>
  <c r="BA264" i="29"/>
  <c r="AW264" i="29"/>
  <c r="AS264" i="29"/>
  <c r="AS261" i="29" s="1"/>
  <c r="AS294" i="29" s="1"/>
  <c r="AO264" i="29"/>
  <c r="AO261" i="29" s="1"/>
  <c r="AO294" i="29" s="1"/>
  <c r="AK264" i="29"/>
  <c r="AK261" i="29" s="1"/>
  <c r="AK294" i="29" s="1"/>
  <c r="AG264" i="29"/>
  <c r="AZ264" i="29"/>
  <c r="AV264" i="29"/>
  <c r="AR264" i="29"/>
  <c r="AR261" i="29" s="1"/>
  <c r="AR294" i="29" s="1"/>
  <c r="AN264" i="29"/>
  <c r="AN261" i="29" s="1"/>
  <c r="AN294" i="29" s="1"/>
  <c r="AJ264" i="29"/>
  <c r="AJ261" i="29" s="1"/>
  <c r="AJ294" i="29" s="1"/>
  <c r="AF264" i="29"/>
  <c r="AF261" i="29" s="1"/>
  <c r="AF294" i="29" s="1"/>
  <c r="BC264" i="29"/>
  <c r="BC261" i="29" s="1"/>
  <c r="BC294" i="29" s="1"/>
  <c r="AY264" i="29"/>
  <c r="AU264" i="29"/>
  <c r="AQ264" i="29"/>
  <c r="AQ261" i="29" s="1"/>
  <c r="AQ294" i="29" s="1"/>
  <c r="AM264" i="29"/>
  <c r="AM261" i="29" s="1"/>
  <c r="AM294" i="29" s="1"/>
  <c r="AI264" i="29"/>
  <c r="AE264" i="29"/>
  <c r="AE261" i="29" s="1"/>
  <c r="AE294" i="29" s="1"/>
  <c r="AT264" i="29"/>
  <c r="AP264" i="29"/>
  <c r="AP261" i="29" s="1"/>
  <c r="AP294" i="29" s="1"/>
  <c r="F265" i="29" a="1"/>
  <c r="F265" i="29" s="1"/>
  <c r="F266" i="29" s="1" a="1"/>
  <c r="F266" i="29" s="1"/>
  <c r="F267" i="29" s="1" a="1"/>
  <c r="F267" i="29" s="1"/>
  <c r="F268" i="29" s="1" a="1"/>
  <c r="F268" i="29" s="1"/>
  <c r="F269" i="29" s="1" a="1"/>
  <c r="F269" i="29" s="1"/>
  <c r="F270" i="29" s="1" a="1"/>
  <c r="F270" i="29" s="1"/>
  <c r="F271" i="29" s="1" a="1"/>
  <c r="F271" i="29" s="1"/>
  <c r="F272" i="29" s="1" a="1"/>
  <c r="F272" i="29" s="1"/>
  <c r="F273" i="29" s="1" a="1"/>
  <c r="F273" i="29" s="1"/>
  <c r="F274" i="29" s="1" a="1"/>
  <c r="F274" i="29" s="1"/>
  <c r="F275" i="29" s="1" a="1"/>
  <c r="F275" i="29" s="1"/>
  <c r="F276" i="29" s="1" a="1"/>
  <c r="F276" i="29" s="1"/>
  <c r="F277" i="29" s="1" a="1"/>
  <c r="F277" i="29" s="1"/>
  <c r="F278" i="29" s="1" a="1"/>
  <c r="F278" i="29" s="1"/>
  <c r="F279" i="29" s="1" a="1"/>
  <c r="F279" i="29" s="1"/>
  <c r="BB264" i="29"/>
  <c r="AL264" i="29"/>
  <c r="AL261" i="29" s="1"/>
  <c r="AL294" i="29" s="1"/>
  <c r="AX264" i="29"/>
  <c r="BO264" i="29"/>
  <c r="F409" i="29" a="1"/>
  <c r="F409" i="29" s="1"/>
  <c r="F410" i="29" s="1" a="1"/>
  <c r="F410" i="29" s="1"/>
  <c r="F411" i="29" s="1" a="1"/>
  <c r="F411" i="29" s="1"/>
  <c r="F412" i="29" s="1" a="1"/>
  <c r="F412" i="29" s="1"/>
  <c r="F413" i="29" s="1" a="1"/>
  <c r="F413" i="29" s="1"/>
  <c r="F414" i="29" s="1" a="1"/>
  <c r="F414" i="29" s="1"/>
  <c r="F415" i="29" s="1" a="1"/>
  <c r="F415" i="29" s="1"/>
  <c r="F416" i="29" s="1" a="1"/>
  <c r="F416" i="29" s="1"/>
  <c r="F417" i="29" s="1" a="1"/>
  <c r="F417" i="29" s="1"/>
  <c r="F418" i="29" s="1" a="1"/>
  <c r="F418" i="29" s="1"/>
  <c r="F419" i="29" s="1" a="1"/>
  <c r="F419" i="29" s="1"/>
  <c r="F420" i="29" s="1" a="1"/>
  <c r="F420" i="29" s="1"/>
  <c r="F421" i="29" s="1" a="1"/>
  <c r="F421" i="29" s="1"/>
  <c r="F422" i="29" s="1" a="1"/>
  <c r="F422" i="29" s="1"/>
  <c r="F423" i="29" s="1" a="1"/>
  <c r="F423" i="29" s="1"/>
  <c r="BO408" i="29"/>
  <c r="BB408" i="29"/>
  <c r="BM408" i="29" s="1"/>
  <c r="AX408" i="29"/>
  <c r="BI408" i="29" s="1"/>
  <c r="AT408" i="29"/>
  <c r="BE408" i="29" s="1"/>
  <c r="AP408" i="29"/>
  <c r="AP405" i="29" s="1"/>
  <c r="AP438" i="29" s="1"/>
  <c r="AL408" i="29"/>
  <c r="AL405" i="29" s="1"/>
  <c r="AL438" i="29" s="1"/>
  <c r="BA408" i="29"/>
  <c r="BL408" i="29" s="1"/>
  <c r="AW408" i="29"/>
  <c r="BH408" i="29" s="1"/>
  <c r="AS408" i="29"/>
  <c r="AS405" i="29" s="1"/>
  <c r="AS438" i="29" s="1"/>
  <c r="AO408" i="29"/>
  <c r="AO405" i="29" s="1"/>
  <c r="AO438" i="29" s="1"/>
  <c r="AK408" i="29"/>
  <c r="AK405" i="29" s="1"/>
  <c r="AK438" i="29" s="1"/>
  <c r="AG408" i="29"/>
  <c r="AZ408" i="29"/>
  <c r="BK408" i="29" s="1"/>
  <c r="AV408" i="29"/>
  <c r="BG408" i="29" s="1"/>
  <c r="AR408" i="29"/>
  <c r="AR405" i="29" s="1"/>
  <c r="AR438" i="29" s="1"/>
  <c r="AN408" i="29"/>
  <c r="AN405" i="29" s="1"/>
  <c r="AN438" i="29" s="1"/>
  <c r="AJ408" i="29"/>
  <c r="AJ405" i="29" s="1"/>
  <c r="AJ438" i="29" s="1"/>
  <c r="AF408" i="29"/>
  <c r="AF405" i="29" s="1"/>
  <c r="AF438" i="29" s="1"/>
  <c r="BC408" i="29"/>
  <c r="BC405" i="29" s="1"/>
  <c r="BC438" i="29" s="1"/>
  <c r="AM408" i="29"/>
  <c r="AM405" i="29" s="1"/>
  <c r="AM438" i="29" s="1"/>
  <c r="AY408" i="29"/>
  <c r="BJ408" i="29" s="1"/>
  <c r="AI408" i="29"/>
  <c r="BD408" i="29" s="1"/>
  <c r="AU408" i="29"/>
  <c r="AE408" i="29"/>
  <c r="AE405" i="29" s="1"/>
  <c r="AE438" i="29" s="1"/>
  <c r="AQ408" i="29"/>
  <c r="AQ405" i="29" s="1"/>
  <c r="AQ438" i="29" s="1"/>
  <c r="AW405" i="29"/>
  <c r="BK118" i="29"/>
  <c r="BG118" i="29"/>
  <c r="BB405" i="29"/>
  <c r="AV405" i="29"/>
  <c r="AH118" i="29"/>
  <c r="BH118" i="29"/>
  <c r="BE118" i="29"/>
  <c r="BA119" i="29"/>
  <c r="BL119" i="29" s="1"/>
  <c r="AW119" i="29"/>
  <c r="BH119" i="29" s="1"/>
  <c r="AS119" i="29"/>
  <c r="AO119" i="29"/>
  <c r="AK119" i="29"/>
  <c r="AG119" i="29"/>
  <c r="AZ119" i="29"/>
  <c r="BK119" i="29" s="1"/>
  <c r="AV119" i="29"/>
  <c r="BG119" i="29" s="1"/>
  <c r="AR119" i="29"/>
  <c r="AN119" i="29"/>
  <c r="AJ119" i="29"/>
  <c r="AF119" i="29"/>
  <c r="BC119" i="29"/>
  <c r="AY119" i="29"/>
  <c r="BJ119" i="29" s="1"/>
  <c r="AU119" i="29"/>
  <c r="BF119" i="29" s="1"/>
  <c r="AQ119" i="29"/>
  <c r="AM119" i="29"/>
  <c r="AI119" i="29"/>
  <c r="BD119" i="29" s="1"/>
  <c r="AE119" i="29"/>
  <c r="F120" i="29" a="1"/>
  <c r="F120" i="29" s="1"/>
  <c r="BB119" i="29"/>
  <c r="BM119" i="29" s="1"/>
  <c r="AL119" i="29"/>
  <c r="BO119" i="29"/>
  <c r="AX119" i="29"/>
  <c r="BI119" i="29" s="1"/>
  <c r="AT119" i="29"/>
  <c r="BE119" i="29" s="1"/>
  <c r="AP119" i="29"/>
  <c r="AT291" i="30"/>
  <c r="F292" i="30" a="1"/>
  <c r="F292" i="30" s="1"/>
  <c r="F293" i="30" s="1" a="1"/>
  <c r="F293" i="30" s="1"/>
  <c r="F294" i="30" s="1" a="1"/>
  <c r="F294" i="30" s="1"/>
  <c r="F295" i="30" s="1" a="1"/>
  <c r="F295" i="30" s="1"/>
  <c r="F296" i="30" s="1" a="1"/>
  <c r="F296" i="30" s="1"/>
  <c r="F297" i="30" s="1" a="1"/>
  <c r="F297" i="30" s="1"/>
  <c r="F298" i="30" s="1" a="1"/>
  <c r="F298" i="30" s="1"/>
  <c r="AJ291" i="30"/>
  <c r="BA405" i="29"/>
  <c r="AT405" i="29"/>
  <c r="AG405" i="29"/>
  <c r="BL118" i="29"/>
  <c r="BI118" i="29"/>
  <c r="BF118" i="29"/>
  <c r="AZ405" i="29"/>
  <c r="AH119" i="30"/>
  <c r="BA120" i="30"/>
  <c r="BL120" i="30" s="1"/>
  <c r="AW120" i="30"/>
  <c r="AS120" i="30"/>
  <c r="AS117" i="30" s="1"/>
  <c r="AS150" i="30" s="1"/>
  <c r="AO120" i="30"/>
  <c r="AO117" i="30" s="1"/>
  <c r="AO150" i="30" s="1"/>
  <c r="AK120" i="30"/>
  <c r="AK117" i="30" s="1"/>
  <c r="AK150" i="30" s="1"/>
  <c r="AG120" i="30"/>
  <c r="AZ120" i="30"/>
  <c r="AV120" i="30"/>
  <c r="AR120" i="30"/>
  <c r="AR117" i="30" s="1"/>
  <c r="AR150" i="30" s="1"/>
  <c r="AN120" i="30"/>
  <c r="AN117" i="30" s="1"/>
  <c r="AN150" i="30" s="1"/>
  <c r="AJ120" i="30"/>
  <c r="AJ117" i="30" s="1"/>
  <c r="AJ150" i="30" s="1"/>
  <c r="AF120" i="30"/>
  <c r="AF117" i="30" s="1"/>
  <c r="AF150" i="30" s="1"/>
  <c r="BC120" i="30"/>
  <c r="BC117" i="30" s="1"/>
  <c r="BC150" i="30" s="1"/>
  <c r="AY120" i="30"/>
  <c r="AU120" i="30"/>
  <c r="AQ120" i="30"/>
  <c r="AQ117" i="30" s="1"/>
  <c r="AQ150" i="30" s="1"/>
  <c r="AM120" i="30"/>
  <c r="AM117" i="30" s="1"/>
  <c r="AM150" i="30" s="1"/>
  <c r="AI120" i="30"/>
  <c r="AE120" i="30"/>
  <c r="AE117" i="30" s="1"/>
  <c r="BO120" i="30"/>
  <c r="AX120" i="30"/>
  <c r="BI120" i="30" s="1"/>
  <c r="AT120" i="30"/>
  <c r="BE120" i="30" s="1"/>
  <c r="AP120" i="30"/>
  <c r="AP117" i="30" s="1"/>
  <c r="AP150" i="30" s="1"/>
  <c r="AL120" i="30"/>
  <c r="AL117" i="30" s="1"/>
  <c r="AL150" i="30" s="1"/>
  <c r="F121" i="30" a="1"/>
  <c r="F121" i="30" s="1"/>
  <c r="BB120" i="30"/>
  <c r="BM120" i="30" s="1"/>
  <c r="AX117" i="30" l="1"/>
  <c r="AQ437" i="29"/>
  <c r="AQ439" i="29"/>
  <c r="AS439" i="29"/>
  <c r="AS437" i="29"/>
  <c r="AP437" i="29"/>
  <c r="AP439" i="29"/>
  <c r="AF295" i="29"/>
  <c r="AF293" i="29"/>
  <c r="AE437" i="29"/>
  <c r="AE439" i="29"/>
  <c r="AM437" i="29"/>
  <c r="AM439" i="29"/>
  <c r="AN439" i="29"/>
  <c r="AN437" i="29"/>
  <c r="AM151" i="30"/>
  <c r="AM149" i="30"/>
  <c r="BC151" i="30"/>
  <c r="BC149" i="30"/>
  <c r="AR151" i="30"/>
  <c r="AR149" i="30"/>
  <c r="AK149" i="30"/>
  <c r="AK151" i="30"/>
  <c r="BC437" i="29"/>
  <c r="BC439" i="29"/>
  <c r="AR439" i="29"/>
  <c r="AR437" i="29"/>
  <c r="AK439" i="29"/>
  <c r="AK437" i="29"/>
  <c r="AF439" i="29"/>
  <c r="AF437" i="29"/>
  <c r="AO439" i="29"/>
  <c r="AO437" i="29"/>
  <c r="AL437" i="29"/>
  <c r="AL439" i="29"/>
  <c r="AP149" i="30"/>
  <c r="AP151" i="30"/>
  <c r="AE150" i="30"/>
  <c r="BF120" i="30"/>
  <c r="AU117" i="30"/>
  <c r="AJ149" i="30"/>
  <c r="BK120" i="30"/>
  <c r="AZ117" i="30"/>
  <c r="AS149" i="30"/>
  <c r="AS151" i="30"/>
  <c r="BK405" i="29"/>
  <c r="AZ438" i="29"/>
  <c r="BL405" i="29"/>
  <c r="BA438" i="29"/>
  <c r="BB298" i="30"/>
  <c r="AX298" i="30"/>
  <c r="AX301" i="30" s="1"/>
  <c r="AT298" i="30"/>
  <c r="AT301" i="30" s="1"/>
  <c r="AP298" i="30"/>
  <c r="AP301" i="30" s="1"/>
  <c r="AL298" i="30"/>
  <c r="AL301" i="30" s="1"/>
  <c r="BA298" i="30"/>
  <c r="AW298" i="30"/>
  <c r="AW301" i="30" s="1"/>
  <c r="AS298" i="30"/>
  <c r="AO298" i="30"/>
  <c r="AO301" i="30" s="1"/>
  <c r="AK298" i="30"/>
  <c r="AK301" i="30" s="1"/>
  <c r="AG298" i="30"/>
  <c r="AZ298" i="30"/>
  <c r="AZ301" i="30" s="1"/>
  <c r="AV298" i="30"/>
  <c r="AV301" i="30" s="1"/>
  <c r="AR298" i="30"/>
  <c r="AN298" i="30"/>
  <c r="AN301" i="30" s="1"/>
  <c r="AJ298" i="30"/>
  <c r="AJ301" i="30" s="1"/>
  <c r="AF298" i="30"/>
  <c r="AU298" i="30"/>
  <c r="AU301" i="30" s="1"/>
  <c r="AE298" i="30"/>
  <c r="AE301" i="30" s="1"/>
  <c r="F299" i="30" a="1"/>
  <c r="F299" i="30" s="1"/>
  <c r="F300" i="30" s="1" a="1"/>
  <c r="F300" i="30" s="1"/>
  <c r="F301" i="30" s="1" a="1"/>
  <c r="F301" i="30" s="1"/>
  <c r="F302" i="30" s="1" a="1"/>
  <c r="F302" i="30" s="1"/>
  <c r="F303" i="30" s="1" a="1"/>
  <c r="F303" i="30" s="1"/>
  <c r="F304" i="30" s="1" a="1"/>
  <c r="F304" i="30" s="1"/>
  <c r="F305" i="30" s="1" a="1"/>
  <c r="F305" i="30" s="1"/>
  <c r="F306" i="30" s="1" a="1"/>
  <c r="F306" i="30" s="1"/>
  <c r="AQ298" i="30"/>
  <c r="BC298" i="30"/>
  <c r="AM298" i="30"/>
  <c r="AM301" i="30" s="1"/>
  <c r="AY298" i="30"/>
  <c r="AY301" i="30" s="1"/>
  <c r="AI298" i="30"/>
  <c r="AI301" i="30" s="1"/>
  <c r="BG405" i="29"/>
  <c r="AV438" i="29"/>
  <c r="AH408" i="29"/>
  <c r="F424" i="29" a="1"/>
  <c r="F424" i="29" s="1"/>
  <c r="F425" i="29" s="1" a="1"/>
  <c r="F425" i="29" s="1"/>
  <c r="BO423" i="29"/>
  <c r="AJ423" i="29"/>
  <c r="AJ439" i="29" s="1"/>
  <c r="BM264" i="29"/>
  <c r="BB261" i="29"/>
  <c r="AE295" i="29"/>
  <c r="AE293" i="29"/>
  <c r="BF264" i="29"/>
  <c r="AU261" i="29"/>
  <c r="BK264" i="29"/>
  <c r="AZ261" i="29"/>
  <c r="AS293" i="29"/>
  <c r="AS295" i="29"/>
  <c r="AI405" i="29"/>
  <c r="BD120" i="30"/>
  <c r="AI117" i="30"/>
  <c r="BJ120" i="30"/>
  <c r="AY117" i="30"/>
  <c r="AN151" i="30"/>
  <c r="AN149" i="30"/>
  <c r="AH120" i="30"/>
  <c r="AG117" i="30"/>
  <c r="BH120" i="30"/>
  <c r="AW117" i="30"/>
  <c r="AT117" i="30"/>
  <c r="BC120" i="29"/>
  <c r="BC117" i="29" s="1"/>
  <c r="BC150" i="29" s="1"/>
  <c r="AY120" i="29"/>
  <c r="BJ120" i="29" s="1"/>
  <c r="AU120" i="29"/>
  <c r="AQ120" i="29"/>
  <c r="AQ117" i="29" s="1"/>
  <c r="AQ150" i="29" s="1"/>
  <c r="AM120" i="29"/>
  <c r="AM117" i="29" s="1"/>
  <c r="AM150" i="29" s="1"/>
  <c r="AI120" i="29"/>
  <c r="BD120" i="29" s="1"/>
  <c r="AE120" i="29"/>
  <c r="AE117" i="29" s="1"/>
  <c r="AE150" i="29" s="1"/>
  <c r="F121" i="29" a="1"/>
  <c r="F121" i="29" s="1"/>
  <c r="F122" i="29" s="1" a="1"/>
  <c r="F122" i="29" s="1"/>
  <c r="F123" i="29" s="1" a="1"/>
  <c r="F123" i="29" s="1"/>
  <c r="F124" i="29" s="1" a="1"/>
  <c r="F124" i="29" s="1"/>
  <c r="F125" i="29" s="1" a="1"/>
  <c r="F125" i="29" s="1"/>
  <c r="F126" i="29" s="1" a="1"/>
  <c r="F126" i="29" s="1"/>
  <c r="F127" i="29" s="1" a="1"/>
  <c r="F127" i="29" s="1"/>
  <c r="F128" i="29" s="1" a="1"/>
  <c r="F128" i="29" s="1"/>
  <c r="F129" i="29" s="1" a="1"/>
  <c r="F129" i="29" s="1"/>
  <c r="F130" i="29" s="1" a="1"/>
  <c r="F130" i="29" s="1"/>
  <c r="F131" i="29" s="1" a="1"/>
  <c r="F131" i="29" s="1"/>
  <c r="F132" i="29" s="1" a="1"/>
  <c r="F132" i="29" s="1"/>
  <c r="F133" i="29" s="1" a="1"/>
  <c r="F133" i="29" s="1"/>
  <c r="F134" i="29" s="1" a="1"/>
  <c r="F134" i="29" s="1"/>
  <c r="F135" i="29" s="1" a="1"/>
  <c r="F135" i="29" s="1"/>
  <c r="BO120" i="29"/>
  <c r="BB120" i="29"/>
  <c r="BM120" i="29" s="1"/>
  <c r="AX120" i="29"/>
  <c r="AT120" i="29"/>
  <c r="BE120" i="29" s="1"/>
  <c r="AP120" i="29"/>
  <c r="AP117" i="29" s="1"/>
  <c r="AP150" i="29" s="1"/>
  <c r="AL120" i="29"/>
  <c r="AL117" i="29" s="1"/>
  <c r="AL150" i="29" s="1"/>
  <c r="BA120" i="29"/>
  <c r="AW120" i="29"/>
  <c r="BH120" i="29" s="1"/>
  <c r="AS120" i="29"/>
  <c r="AS117" i="29" s="1"/>
  <c r="AS150" i="29" s="1"/>
  <c r="AO120" i="29"/>
  <c r="AO117" i="29" s="1"/>
  <c r="AO150" i="29" s="1"/>
  <c r="AK120" i="29"/>
  <c r="AK117" i="29" s="1"/>
  <c r="AK150" i="29" s="1"/>
  <c r="AG120" i="29"/>
  <c r="AG117" i="29" s="1"/>
  <c r="AR120" i="29"/>
  <c r="AR117" i="29" s="1"/>
  <c r="AR150" i="29" s="1"/>
  <c r="AN120" i="29"/>
  <c r="AN117" i="29" s="1"/>
  <c r="AN150" i="29" s="1"/>
  <c r="AZ120" i="29"/>
  <c r="BK120" i="29" s="1"/>
  <c r="AJ120" i="29"/>
  <c r="AJ117" i="29" s="1"/>
  <c r="AJ150" i="29" s="1"/>
  <c r="AV120" i="29"/>
  <c r="BG120" i="29" s="1"/>
  <c r="AF120" i="29"/>
  <c r="AF117" i="29" s="1"/>
  <c r="AF150" i="29" s="1"/>
  <c r="BM405" i="29"/>
  <c r="BB438" i="29"/>
  <c r="BF408" i="29"/>
  <c r="AU405" i="29"/>
  <c r="F280" i="29" a="1"/>
  <c r="F280" i="29" s="1"/>
  <c r="F281" i="29" s="1" a="1"/>
  <c r="F281" i="29" s="1"/>
  <c r="BO279" i="29"/>
  <c r="AJ279" i="29"/>
  <c r="AJ295" i="29" s="1"/>
  <c r="BD264" i="29"/>
  <c r="AI261" i="29"/>
  <c r="BJ264" i="29"/>
  <c r="AY261" i="29"/>
  <c r="AN295" i="29"/>
  <c r="AN293" i="29"/>
  <c r="AH264" i="29"/>
  <c r="AG261" i="29"/>
  <c r="BH264" i="29"/>
  <c r="AW261" i="29"/>
  <c r="AX405" i="29"/>
  <c r="F122" i="30" a="1"/>
  <c r="F122" i="30" s="1"/>
  <c r="AH405" i="29"/>
  <c r="AG438" i="29"/>
  <c r="BA117" i="30"/>
  <c r="AV117" i="29"/>
  <c r="BH405" i="29"/>
  <c r="AW438" i="29"/>
  <c r="BI264" i="29"/>
  <c r="AX261" i="29"/>
  <c r="AP293" i="29"/>
  <c r="AP295" i="29"/>
  <c r="AM295" i="29"/>
  <c r="AM293" i="29"/>
  <c r="BC295" i="29"/>
  <c r="BC293" i="29"/>
  <c r="AR295" i="29"/>
  <c r="AR293" i="29"/>
  <c r="AK293" i="29"/>
  <c r="AK295" i="29"/>
  <c r="BL264" i="29"/>
  <c r="BA261" i="29"/>
  <c r="BB117" i="30"/>
  <c r="BI117" i="30"/>
  <c r="AX150" i="30"/>
  <c r="AL149" i="30"/>
  <c r="AL151" i="30"/>
  <c r="AQ151" i="30"/>
  <c r="AQ149" i="30"/>
  <c r="AF151" i="30"/>
  <c r="AF149" i="30"/>
  <c r="BG120" i="30"/>
  <c r="AV117" i="30"/>
  <c r="AO149" i="30"/>
  <c r="AO151" i="30"/>
  <c r="BE405" i="29"/>
  <c r="AT438" i="29"/>
  <c r="AH119" i="29"/>
  <c r="AL293" i="29"/>
  <c r="AL295" i="29"/>
  <c r="BE264" i="29"/>
  <c r="AT261" i="29"/>
  <c r="AQ295" i="29"/>
  <c r="AQ293" i="29"/>
  <c r="BG264" i="29"/>
  <c r="AV261" i="29"/>
  <c r="AO293" i="29"/>
  <c r="AO295" i="29"/>
  <c r="AY405" i="29"/>
  <c r="AI117" i="29" l="1"/>
  <c r="AW117" i="29"/>
  <c r="AT117" i="29"/>
  <c r="AF149" i="29"/>
  <c r="AF151" i="29"/>
  <c r="AN149" i="29"/>
  <c r="AN151" i="29"/>
  <c r="AO151" i="29"/>
  <c r="AO149" i="29"/>
  <c r="AL151" i="29"/>
  <c r="AL149" i="29"/>
  <c r="AS151" i="29"/>
  <c r="AS149" i="29"/>
  <c r="AP151" i="29"/>
  <c r="AP149" i="29"/>
  <c r="AM149" i="29"/>
  <c r="AM151" i="29"/>
  <c r="BC149" i="29"/>
  <c r="BC151" i="29"/>
  <c r="AJ149" i="29"/>
  <c r="AH117" i="29"/>
  <c r="AG150" i="29"/>
  <c r="BG117" i="30"/>
  <c r="AV150" i="30"/>
  <c r="AX149" i="30"/>
  <c r="BI150" i="30"/>
  <c r="AX151" i="30"/>
  <c r="BI151" i="30" s="1"/>
  <c r="BL117" i="30"/>
  <c r="BA150" i="30"/>
  <c r="F123" i="30" a="1"/>
  <c r="F123" i="30" s="1"/>
  <c r="AH261" i="29"/>
  <c r="AG294" i="29"/>
  <c r="BJ261" i="29"/>
  <c r="AY294" i="29"/>
  <c r="BF405" i="29"/>
  <c r="AU438" i="29"/>
  <c r="BE117" i="29"/>
  <c r="AT150" i="29"/>
  <c r="AK151" i="29"/>
  <c r="AK149" i="29"/>
  <c r="BL120" i="29"/>
  <c r="BA117" i="29"/>
  <c r="BI120" i="29"/>
  <c r="AX117" i="29"/>
  <c r="AE149" i="29"/>
  <c r="AE151" i="29"/>
  <c r="BF120" i="29"/>
  <c r="AU117" i="29"/>
  <c r="BH117" i="30"/>
  <c r="AW150" i="30"/>
  <c r="BD117" i="30"/>
  <c r="AI150" i="30"/>
  <c r="BD405" i="29"/>
  <c r="AI438" i="29"/>
  <c r="BC305" i="30"/>
  <c r="BC304" i="30"/>
  <c r="BC299" i="30"/>
  <c r="BC301" i="30" s="1"/>
  <c r="BC302" i="30" s="1"/>
  <c r="AR305" i="30"/>
  <c r="AR304" i="30"/>
  <c r="AR299" i="30"/>
  <c r="AR301" i="30" s="1"/>
  <c r="AR302" i="30" s="1"/>
  <c r="BA305" i="30"/>
  <c r="BA304" i="30"/>
  <c r="BA299" i="30"/>
  <c r="BA301" i="30" s="1"/>
  <c r="BA302" i="30" s="1"/>
  <c r="BK438" i="29"/>
  <c r="AZ439" i="29"/>
  <c r="AZ437" i="29"/>
  <c r="BK117" i="30"/>
  <c r="AZ150" i="30"/>
  <c r="BF117" i="30"/>
  <c r="AU150" i="30"/>
  <c r="AW439" i="29"/>
  <c r="AW437" i="29"/>
  <c r="AG439" i="29"/>
  <c r="AH438" i="29"/>
  <c r="AH439" i="29" s="1"/>
  <c r="AG437" i="29"/>
  <c r="AH437" i="29" s="1"/>
  <c r="BI405" i="29"/>
  <c r="AX438" i="29"/>
  <c r="AJ293" i="29"/>
  <c r="AQ299" i="30"/>
  <c r="AQ301" i="30" s="1"/>
  <c r="AQ302" i="30" s="1"/>
  <c r="AQ305" i="30"/>
  <c r="AQ304" i="30"/>
  <c r="AF304" i="30"/>
  <c r="AF299" i="30"/>
  <c r="AF301" i="30" s="1"/>
  <c r="AF302" i="30" s="1"/>
  <c r="AF303" i="30" s="1"/>
  <c r="BB299" i="30"/>
  <c r="BB301" i="30" s="1"/>
  <c r="BB302" i="30" s="1"/>
  <c r="BC300" i="30" s="1" a="1"/>
  <c r="BC300" i="30" s="1"/>
  <c r="BC303" i="30" s="1"/>
  <c r="BB305" i="30"/>
  <c r="BM305" i="30" s="1"/>
  <c r="BB304" i="30"/>
  <c r="BD117" i="29"/>
  <c r="AI150" i="29"/>
  <c r="BG261" i="29"/>
  <c r="AV294" i="29"/>
  <c r="BE261" i="29"/>
  <c r="AT294" i="29"/>
  <c r="BH117" i="29"/>
  <c r="AW150" i="29"/>
  <c r="BM117" i="30"/>
  <c r="BB150" i="30"/>
  <c r="BH261" i="29"/>
  <c r="AW294" i="29"/>
  <c r="BD261" i="29"/>
  <c r="AI294" i="29"/>
  <c r="BB437" i="29"/>
  <c r="BM438" i="29"/>
  <c r="BB439" i="29"/>
  <c r="BM439" i="29" s="1"/>
  <c r="AR149" i="29"/>
  <c r="AR151" i="29"/>
  <c r="AH117" i="30"/>
  <c r="AG150" i="30"/>
  <c r="BJ117" i="30"/>
  <c r="AY150" i="30"/>
  <c r="BB117" i="29"/>
  <c r="AZ117" i="29"/>
  <c r="F307" i="30" a="1"/>
  <c r="F307" i="30" s="1"/>
  <c r="F308" i="30" s="1" a="1"/>
  <c r="F308" i="30" s="1"/>
  <c r="F309" i="30" s="1" a="1"/>
  <c r="F309" i="30" s="1"/>
  <c r="F310" i="30" s="1" a="1"/>
  <c r="F310" i="30" s="1"/>
  <c r="F311" i="30" s="1" a="1"/>
  <c r="F311" i="30" s="1"/>
  <c r="F312" i="30" s="1" a="1"/>
  <c r="F312" i="30" s="1"/>
  <c r="F313" i="30" s="1" a="1"/>
  <c r="F313" i="30" s="1"/>
  <c r="F314" i="30" s="1" a="1"/>
  <c r="F314" i="30" s="1"/>
  <c r="BC306" i="30"/>
  <c r="AY306" i="30"/>
  <c r="AY309" i="30" s="1"/>
  <c r="AU306" i="30"/>
  <c r="AU309" i="30" s="1"/>
  <c r="AQ306" i="30"/>
  <c r="AM306" i="30"/>
  <c r="AM309" i="30" s="1"/>
  <c r="AI306" i="30"/>
  <c r="AI309" i="30" s="1"/>
  <c r="AE306" i="30"/>
  <c r="AE309" i="30" s="1"/>
  <c r="BB306" i="30"/>
  <c r="AX306" i="30"/>
  <c r="AX309" i="30" s="1"/>
  <c r="AT306" i="30"/>
  <c r="AT309" i="30" s="1"/>
  <c r="AP306" i="30"/>
  <c r="AP309" i="30" s="1"/>
  <c r="AL306" i="30"/>
  <c r="AL309" i="30" s="1"/>
  <c r="BA306" i="30"/>
  <c r="AW306" i="30"/>
  <c r="AW309" i="30" s="1"/>
  <c r="AS306" i="30"/>
  <c r="AO306" i="30"/>
  <c r="AO309" i="30" s="1"/>
  <c r="AK306" i="30"/>
  <c r="AK309" i="30" s="1"/>
  <c r="AG306" i="30"/>
  <c r="AZ306" i="30"/>
  <c r="AZ309" i="30" s="1"/>
  <c r="AJ306" i="30"/>
  <c r="AJ309" i="30" s="1"/>
  <c r="AV306" i="30"/>
  <c r="AV309" i="30" s="1"/>
  <c r="AF306" i="30"/>
  <c r="AF305" i="30" s="1"/>
  <c r="AR306" i="30"/>
  <c r="AN306" i="30"/>
  <c r="AN309" i="30" s="1"/>
  <c r="AS305" i="30"/>
  <c r="AS304" i="30"/>
  <c r="AS299" i="30"/>
  <c r="AS301" i="30" s="1"/>
  <c r="AS302" i="30" s="1"/>
  <c r="BA439" i="29"/>
  <c r="BL439" i="29" s="1"/>
  <c r="BA437" i="29"/>
  <c r="BL438" i="29"/>
  <c r="AJ437" i="29"/>
  <c r="BJ405" i="29"/>
  <c r="AY438" i="29"/>
  <c r="BL261" i="29"/>
  <c r="BA294" i="29"/>
  <c r="BI261" i="29"/>
  <c r="AX294" i="29"/>
  <c r="BG117" i="29"/>
  <c r="AV150" i="29"/>
  <c r="AT281" i="29"/>
  <c r="AJ281" i="29"/>
  <c r="F282" i="29" a="1"/>
  <c r="F282" i="29" s="1"/>
  <c r="BO281" i="29"/>
  <c r="AH120" i="29"/>
  <c r="F136" i="29" a="1"/>
  <c r="F136" i="29" s="1"/>
  <c r="F137" i="29" s="1" a="1"/>
  <c r="F137" i="29" s="1"/>
  <c r="BO135" i="29"/>
  <c r="AJ135" i="29"/>
  <c r="AJ151" i="29" s="1"/>
  <c r="AQ149" i="29"/>
  <c r="AQ151" i="29"/>
  <c r="BE117" i="30"/>
  <c r="AT150" i="30"/>
  <c r="AY117" i="29"/>
  <c r="BK261" i="29"/>
  <c r="AZ294" i="29"/>
  <c r="BF261" i="29"/>
  <c r="AU294" i="29"/>
  <c r="BM261" i="29"/>
  <c r="BB294" i="29"/>
  <c r="F426" i="29" a="1"/>
  <c r="F426" i="29" s="1"/>
  <c r="BO425" i="29"/>
  <c r="AT425" i="29"/>
  <c r="AJ425" i="29"/>
  <c r="BG438" i="29"/>
  <c r="AV439" i="29"/>
  <c r="BG439" i="29" s="1"/>
  <c r="AV437" i="29"/>
  <c r="AH298" i="30"/>
  <c r="AG305" i="30"/>
  <c r="AG304" i="30"/>
  <c r="AH304" i="30" s="1"/>
  <c r="AG299" i="30"/>
  <c r="AH299" i="30" s="1"/>
  <c r="AE151" i="30"/>
  <c r="AE149" i="30"/>
  <c r="AG301" i="30" l="1"/>
  <c r="F138" i="29" a="1"/>
  <c r="F138" i="29" s="1"/>
  <c r="BO137" i="29"/>
  <c r="AT137" i="29"/>
  <c r="AJ137" i="29"/>
  <c r="F283" i="29" a="1"/>
  <c r="F283" i="29" s="1"/>
  <c r="BO282" i="29"/>
  <c r="AT282" i="29"/>
  <c r="AJ282" i="29"/>
  <c r="AV149" i="29"/>
  <c r="BG150" i="29"/>
  <c r="AV151" i="29"/>
  <c r="BG151" i="29" s="1"/>
  <c r="BA293" i="29"/>
  <c r="BL294" i="29"/>
  <c r="BA295" i="29"/>
  <c r="BA310" i="30"/>
  <c r="BA309" i="30"/>
  <c r="BA308" i="30"/>
  <c r="BA307" i="30"/>
  <c r="BC310" i="30"/>
  <c r="BC309" i="30"/>
  <c r="BC308" i="30"/>
  <c r="BC307" i="30"/>
  <c r="BJ150" i="30"/>
  <c r="AY151" i="30"/>
  <c r="BJ151" i="30" s="1"/>
  <c r="AY149" i="30"/>
  <c r="AX437" i="29"/>
  <c r="BI438" i="29"/>
  <c r="AX439" i="29"/>
  <c r="BH439" i="29" s="1"/>
  <c r="BB300" i="30" a="1"/>
  <c r="BB300" i="30" s="1"/>
  <c r="BB303" i="30" s="1"/>
  <c r="BA303" i="30"/>
  <c r="AI437" i="29"/>
  <c r="AI439" i="29"/>
  <c r="BD438" i="29"/>
  <c r="AW149" i="30"/>
  <c r="BH150" i="30"/>
  <c r="AW151" i="30"/>
  <c r="BH151" i="30" s="1"/>
  <c r="BL117" i="29"/>
  <c r="BA150" i="29"/>
  <c r="AT149" i="29"/>
  <c r="BE150" i="29"/>
  <c r="BJ294" i="29"/>
  <c r="AY295" i="29"/>
  <c r="AY293" i="29"/>
  <c r="AG151" i="29"/>
  <c r="AH150" i="29"/>
  <c r="AH151" i="29" s="1"/>
  <c r="AG149" i="29"/>
  <c r="AH149" i="29" s="1"/>
  <c r="BF294" i="29"/>
  <c r="AU295" i="29"/>
  <c r="AU293" i="29"/>
  <c r="BJ117" i="29"/>
  <c r="AY150" i="29"/>
  <c r="BB310" i="30"/>
  <c r="BB308" i="30"/>
  <c r="BB307" i="30"/>
  <c r="BB309" i="30" s="1"/>
  <c r="AQ310" i="30"/>
  <c r="AQ308" i="30"/>
  <c r="AQ307" i="30"/>
  <c r="AQ309" i="30" s="1"/>
  <c r="AI295" i="29"/>
  <c r="BD294" i="29"/>
  <c r="AI293" i="29"/>
  <c r="BB149" i="30"/>
  <c r="BM150" i="30"/>
  <c r="BB151" i="30"/>
  <c r="BM151" i="30" s="1"/>
  <c r="BE294" i="29"/>
  <c r="BD150" i="29"/>
  <c r="AI149" i="29"/>
  <c r="AI151" i="29"/>
  <c r="BD151" i="29" s="1"/>
  <c r="BH438" i="29"/>
  <c r="BF150" i="30"/>
  <c r="AU151" i="30"/>
  <c r="BF151" i="30" s="1"/>
  <c r="AU149" i="30"/>
  <c r="F124" i="30" a="1"/>
  <c r="F124" i="30" s="1"/>
  <c r="F427" i="29" a="1"/>
  <c r="F427" i="29" s="1"/>
  <c r="BO426" i="29"/>
  <c r="AT426" i="29"/>
  <c r="AJ426" i="29"/>
  <c r="AT149" i="30"/>
  <c r="BE150" i="30"/>
  <c r="AX293" i="29"/>
  <c r="BI294" i="29"/>
  <c r="AX295" i="29"/>
  <c r="BI295" i="29" s="1"/>
  <c r="AY437" i="29"/>
  <c r="BJ438" i="29"/>
  <c r="AY439" i="29"/>
  <c r="BJ439" i="29" s="1"/>
  <c r="AR310" i="30"/>
  <c r="AR308" i="30"/>
  <c r="AR307" i="30"/>
  <c r="AR309" i="30" s="1"/>
  <c r="AS310" i="30"/>
  <c r="AS308" i="30"/>
  <c r="AS307" i="30"/>
  <c r="AS309" i="30" s="1"/>
  <c r="BK117" i="29"/>
  <c r="AZ150" i="29"/>
  <c r="AH150" i="30"/>
  <c r="AH151" i="30" s="1"/>
  <c r="AG149" i="30"/>
  <c r="AH149" i="30" s="1"/>
  <c r="AG151" i="30"/>
  <c r="BK439" i="29"/>
  <c r="AI151" i="30"/>
  <c r="BD151" i="30" s="1"/>
  <c r="BD150" i="30"/>
  <c r="AI149" i="30"/>
  <c r="BF117" i="29"/>
  <c r="AU150" i="29"/>
  <c r="BI117" i="29"/>
  <c r="AX150" i="29"/>
  <c r="AU437" i="29"/>
  <c r="BF438" i="29"/>
  <c r="AU439" i="29"/>
  <c r="BF439" i="29" s="1"/>
  <c r="AH294" i="29"/>
  <c r="AH295" i="29" s="1"/>
  <c r="AG293" i="29"/>
  <c r="AH293" i="29" s="1"/>
  <c r="AG295" i="29"/>
  <c r="BA149" i="30"/>
  <c r="BL150" i="30"/>
  <c r="BA151" i="30"/>
  <c r="BL151" i="30" s="1"/>
  <c r="BE438" i="29"/>
  <c r="AG302" i="30"/>
  <c r="AG310" i="30" s="1"/>
  <c r="AH301" i="30"/>
  <c r="BB293" i="29"/>
  <c r="BM294" i="29"/>
  <c r="BB295" i="29"/>
  <c r="BM295" i="29" s="1"/>
  <c r="AZ295" i="29"/>
  <c r="BK295" i="29" s="1"/>
  <c r="AZ293" i="29"/>
  <c r="BK294" i="29"/>
  <c r="AF310" i="30"/>
  <c r="AF308" i="30"/>
  <c r="AF307" i="30"/>
  <c r="AF309" i="30" s="1"/>
  <c r="AH306" i="30"/>
  <c r="AG308" i="30"/>
  <c r="AG307" i="30"/>
  <c r="BM117" i="29"/>
  <c r="BB150" i="29"/>
  <c r="AW293" i="29"/>
  <c r="BH294" i="29"/>
  <c r="AW295" i="29"/>
  <c r="BH295" i="29" s="1"/>
  <c r="BH150" i="29"/>
  <c r="AW151" i="29"/>
  <c r="BH151" i="29" s="1"/>
  <c r="AW149" i="29"/>
  <c r="AV295" i="29"/>
  <c r="BG295" i="29" s="1"/>
  <c r="AV293" i="29"/>
  <c r="BG294" i="29"/>
  <c r="AZ151" i="30"/>
  <c r="BK151" i="30" s="1"/>
  <c r="AZ149" i="30"/>
  <c r="BK150" i="30"/>
  <c r="BL305" i="30"/>
  <c r="BK305" i="30"/>
  <c r="AV151" i="30"/>
  <c r="BG151" i="30" s="1"/>
  <c r="AV149" i="30"/>
  <c r="BG150" i="30"/>
  <c r="AH307" i="30" l="1"/>
  <c r="AH308" i="30"/>
  <c r="AH310" i="30"/>
  <c r="BB151" i="29"/>
  <c r="BM151" i="29" s="1"/>
  <c r="BB149" i="29"/>
  <c r="BM150" i="29"/>
  <c r="AZ149" i="29"/>
  <c r="BK150" i="29"/>
  <c r="AZ151" i="29"/>
  <c r="BK151" i="29" s="1"/>
  <c r="AY149" i="29"/>
  <c r="BJ150" i="29"/>
  <c r="AY151" i="29"/>
  <c r="BJ151" i="29" s="1"/>
  <c r="BL150" i="29"/>
  <c r="BA151" i="29"/>
  <c r="BL151" i="29" s="1"/>
  <c r="BA149" i="29"/>
  <c r="AG303" i="30"/>
  <c r="AH302" i="30"/>
  <c r="AJ427" i="29"/>
  <c r="F428" i="29" a="1"/>
  <c r="F428" i="29" s="1"/>
  <c r="AG309" i="30"/>
  <c r="AH309" i="30" s="1"/>
  <c r="AH305" i="30" s="1"/>
  <c r="AU149" i="29"/>
  <c r="BF150" i="29"/>
  <c r="AU151" i="29"/>
  <c r="BF151" i="29" s="1"/>
  <c r="BL295" i="29"/>
  <c r="BI439" i="29"/>
  <c r="F284" i="29" a="1"/>
  <c r="F284" i="29" s="1"/>
  <c r="AJ283" i="29"/>
  <c r="AJ138" i="29"/>
  <c r="F139" i="29" a="1"/>
  <c r="F139" i="29" s="1"/>
  <c r="BO138" i="29"/>
  <c r="AT138" i="29"/>
  <c r="AX151" i="29"/>
  <c r="BI151" i="29" s="1"/>
  <c r="AX149" i="29"/>
  <c r="BI150" i="29"/>
  <c r="F125" i="30" a="1"/>
  <c r="F125" i="30" s="1"/>
  <c r="BF295" i="29"/>
  <c r="BJ295" i="29"/>
  <c r="F126" i="30" l="1" a="1"/>
  <c r="F126" i="30" s="1"/>
  <c r="AJ139" i="29"/>
  <c r="F140" i="29" a="1"/>
  <c r="F140" i="29" s="1"/>
  <c r="F285" i="29" a="1"/>
  <c r="F285" i="29" s="1"/>
  <c r="AJ284" i="29"/>
  <c r="BO284" i="29"/>
  <c r="AT284" i="29"/>
  <c r="AT428" i="29"/>
  <c r="F429" i="29" a="1"/>
  <c r="F429" i="29" s="1"/>
  <c r="AJ428" i="29"/>
  <c r="BO428" i="29"/>
  <c r="AJ429" i="29" l="1"/>
  <c r="F430" i="29" a="1"/>
  <c r="F430" i="29" s="1"/>
  <c r="BO429" i="29"/>
  <c r="AT429" i="29"/>
  <c r="F286" i="29" a="1"/>
  <c r="F286" i="29" s="1"/>
  <c r="BO285" i="29"/>
  <c r="AT285" i="29"/>
  <c r="AJ285" i="29"/>
  <c r="BO140" i="29"/>
  <c r="AT140" i="29"/>
  <c r="F141" i="29" a="1"/>
  <c r="F141" i="29" s="1"/>
  <c r="AJ140" i="29"/>
  <c r="F127" i="30" a="1"/>
  <c r="F127" i="30" s="1"/>
  <c r="AT141" i="29" l="1"/>
  <c r="AJ141" i="29"/>
  <c r="BO141" i="29"/>
  <c r="F142" i="29" a="1"/>
  <c r="F142" i="29" s="1"/>
  <c r="AT430" i="29"/>
  <c r="AJ430" i="29"/>
  <c r="BO430" i="29"/>
  <c r="F431" i="29" a="1"/>
  <c r="F431" i="29" s="1"/>
  <c r="F128" i="30" a="1"/>
  <c r="F128" i="30" s="1"/>
  <c r="AJ286" i="29"/>
  <c r="F287" i="29" a="1"/>
  <c r="F287" i="29" s="1"/>
  <c r="BO286" i="29"/>
  <c r="AT286" i="29"/>
  <c r="F432" i="29" l="1" a="1"/>
  <c r="F432" i="29" s="1"/>
  <c r="BO431" i="29"/>
  <c r="AT431" i="29"/>
  <c r="BE431" i="29" s="1"/>
  <c r="AJ431" i="29"/>
  <c r="F143" i="29" a="1"/>
  <c r="F143" i="29" s="1"/>
  <c r="BO142" i="29"/>
  <c r="AT142" i="29"/>
  <c r="AJ142" i="29"/>
  <c r="AJ287" i="29"/>
  <c r="BO287" i="29"/>
  <c r="AT287" i="29"/>
  <c r="BE287" i="29" s="1"/>
  <c r="F288" i="29" a="1"/>
  <c r="F288" i="29" s="1"/>
  <c r="F129" i="30" a="1"/>
  <c r="F129" i="30" s="1"/>
  <c r="F130" i="30" l="1" a="1"/>
  <c r="F130" i="30" s="1"/>
  <c r="F144" i="29" a="1"/>
  <c r="F144" i="29" s="1"/>
  <c r="BO143" i="29"/>
  <c r="AT143" i="29"/>
  <c r="BE143" i="29" s="1"/>
  <c r="AJ143" i="29"/>
  <c r="F433" i="29" a="1"/>
  <c r="F433" i="29" s="1"/>
  <c r="BO432" i="29"/>
  <c r="AT432" i="29"/>
  <c r="AJ432" i="29"/>
  <c r="F289" i="29" a="1"/>
  <c r="F289" i="29" s="1"/>
  <c r="BO288" i="29"/>
  <c r="AT288" i="29"/>
  <c r="AJ288" i="29"/>
  <c r="AJ433" i="29" l="1"/>
  <c r="F434" i="29" a="1"/>
  <c r="F434" i="29" s="1"/>
  <c r="BO433" i="29"/>
  <c r="AT433" i="29"/>
  <c r="AJ144" i="29"/>
  <c r="F145" i="29" a="1"/>
  <c r="F145" i="29" s="1"/>
  <c r="BO144" i="29"/>
  <c r="AT144" i="29"/>
  <c r="F290" i="29" a="1"/>
  <c r="F290" i="29" s="1"/>
  <c r="BO289" i="29"/>
  <c r="AT289" i="29"/>
  <c r="AJ289" i="29"/>
  <c r="F131" i="30" a="1"/>
  <c r="F131" i="30" s="1"/>
  <c r="AT145" i="29" l="1"/>
  <c r="AJ145" i="29"/>
  <c r="F146" i="29" a="1"/>
  <c r="F146" i="29" s="1"/>
  <c r="BO145" i="29"/>
  <c r="AT434" i="29"/>
  <c r="AJ434" i="29"/>
  <c r="F435" i="29" a="1"/>
  <c r="F435" i="29" s="1"/>
  <c r="BO434" i="29"/>
  <c r="F132" i="30" a="1"/>
  <c r="F132" i="30" s="1"/>
  <c r="F133" i="30" s="1" a="1"/>
  <c r="F133" i="30" s="1"/>
  <c r="F134" i="30" s="1" a="1"/>
  <c r="F134" i="30" s="1"/>
  <c r="F135" i="30" s="1" a="1"/>
  <c r="F135" i="30" s="1"/>
  <c r="AJ290" i="29"/>
  <c r="F291" i="29" a="1"/>
  <c r="F291" i="29" s="1"/>
  <c r="BO290" i="29"/>
  <c r="AT290" i="29"/>
  <c r="BO435" i="29" l="1"/>
  <c r="F436" i="29" a="1"/>
  <c r="F436" i="29" s="1"/>
  <c r="F437" i="29" s="1" a="1"/>
  <c r="F437" i="29" s="1"/>
  <c r="F438" i="29" s="1" a="1"/>
  <c r="F438" i="29" s="1"/>
  <c r="F439" i="29" s="1" a="1"/>
  <c r="F439" i="29" s="1"/>
  <c r="F440" i="29" s="1" a="1"/>
  <c r="F440" i="29" s="1"/>
  <c r="F441" i="29" s="1" a="1"/>
  <c r="F441" i="29" s="1"/>
  <c r="F442" i="29" s="1" a="1"/>
  <c r="F442" i="29" s="1"/>
  <c r="AT435" i="29"/>
  <c r="AJ435" i="29"/>
  <c r="F147" i="29" a="1"/>
  <c r="F147" i="29" s="1"/>
  <c r="BO146" i="29"/>
  <c r="AT146" i="29"/>
  <c r="AJ146" i="29"/>
  <c r="F292" i="29" a="1"/>
  <c r="F292" i="29" s="1"/>
  <c r="F293" i="29" s="1" a="1"/>
  <c r="F293" i="29" s="1"/>
  <c r="F294" i="29" s="1" a="1"/>
  <c r="F294" i="29" s="1"/>
  <c r="F295" i="29" s="1" a="1"/>
  <c r="F295" i="29" s="1"/>
  <c r="F296" i="29" s="1" a="1"/>
  <c r="F296" i="29" s="1"/>
  <c r="F297" i="29" s="1" a="1"/>
  <c r="F297" i="29" s="1"/>
  <c r="F298" i="29" s="1" a="1"/>
  <c r="F298" i="29" s="1"/>
  <c r="AT291" i="29"/>
  <c r="AJ291" i="29"/>
  <c r="BO291" i="29"/>
  <c r="F136" i="30" a="1"/>
  <c r="F136" i="30" s="1"/>
  <c r="F137" i="30" s="1" a="1"/>
  <c r="F137" i="30" s="1"/>
  <c r="BO135" i="30"/>
  <c r="AJ135" i="30"/>
  <c r="AJ151" i="30" s="1"/>
  <c r="BA442" i="29" l="1"/>
  <c r="AW442" i="29"/>
  <c r="AS442" i="29"/>
  <c r="AO442" i="29"/>
  <c r="AK442" i="29"/>
  <c r="AG442" i="29"/>
  <c r="AZ442" i="29"/>
  <c r="AV442" i="29"/>
  <c r="AR442" i="29"/>
  <c r="AN442" i="29"/>
  <c r="AJ442" i="29"/>
  <c r="AF442" i="29"/>
  <c r="F443" i="29" a="1"/>
  <c r="F443" i="29" s="1"/>
  <c r="F444" i="29" s="1" a="1"/>
  <c r="F444" i="29" s="1"/>
  <c r="F445" i="29" s="1" a="1"/>
  <c r="F445" i="29" s="1"/>
  <c r="F446" i="29" s="1" a="1"/>
  <c r="F446" i="29" s="1"/>
  <c r="F447" i="29" s="1" a="1"/>
  <c r="F447" i="29" s="1"/>
  <c r="F448" i="29" s="1" a="1"/>
  <c r="F448" i="29" s="1"/>
  <c r="F449" i="29" s="1" a="1"/>
  <c r="F449" i="29" s="1"/>
  <c r="F450" i="29" s="1" a="1"/>
  <c r="F450" i="29" s="1"/>
  <c r="BC442" i="29"/>
  <c r="AY442" i="29"/>
  <c r="AU442" i="29"/>
  <c r="AQ442" i="29"/>
  <c r="AM442" i="29"/>
  <c r="AI442" i="29"/>
  <c r="AI445" i="29" s="1"/>
  <c r="AE442" i="29"/>
  <c r="AE445" i="29" s="1"/>
  <c r="AP442" i="29"/>
  <c r="BB442" i="29"/>
  <c r="AL442" i="29"/>
  <c r="AX442" i="29"/>
  <c r="AT442" i="29"/>
  <c r="AT137" i="30"/>
  <c r="AJ137" i="30"/>
  <c r="BO137" i="30"/>
  <c r="F138" i="30" a="1"/>
  <c r="F138" i="30" s="1"/>
  <c r="AZ298" i="29"/>
  <c r="AZ301" i="29" s="1"/>
  <c r="AV298" i="29"/>
  <c r="AV301" i="29" s="1"/>
  <c r="AR298" i="29"/>
  <c r="AN298" i="29"/>
  <c r="AN301" i="29" s="1"/>
  <c r="AJ298" i="29"/>
  <c r="AJ301" i="29" s="1"/>
  <c r="AF298" i="29"/>
  <c r="F299" i="29" a="1"/>
  <c r="F299" i="29" s="1"/>
  <c r="F300" i="29" s="1" a="1"/>
  <c r="F300" i="29" s="1"/>
  <c r="F301" i="29" s="1" a="1"/>
  <c r="F301" i="29" s="1"/>
  <c r="F302" i="29" s="1" a="1"/>
  <c r="F302" i="29" s="1"/>
  <c r="F303" i="29" s="1" a="1"/>
  <c r="F303" i="29" s="1"/>
  <c r="F304" i="29" s="1" a="1"/>
  <c r="F304" i="29" s="1"/>
  <c r="F305" i="29" s="1" a="1"/>
  <c r="F305" i="29" s="1"/>
  <c r="F306" i="29" s="1" a="1"/>
  <c r="F306" i="29" s="1"/>
  <c r="BC298" i="29"/>
  <c r="AY298" i="29"/>
  <c r="AY301" i="29" s="1"/>
  <c r="AU298" i="29"/>
  <c r="AU301" i="29" s="1"/>
  <c r="AQ298" i="29"/>
  <c r="AM298" i="29"/>
  <c r="AM301" i="29" s="1"/>
  <c r="AI298" i="29"/>
  <c r="AI301" i="29" s="1"/>
  <c r="AE298" i="29"/>
  <c r="AE301" i="29" s="1"/>
  <c r="BB298" i="29"/>
  <c r="AX298" i="29"/>
  <c r="AX301" i="29" s="1"/>
  <c r="AT298" i="29"/>
  <c r="AT301" i="29" s="1"/>
  <c r="AP298" i="29"/>
  <c r="AP301" i="29" s="1"/>
  <c r="AL298" i="29"/>
  <c r="AL301" i="29" s="1"/>
  <c r="AW298" i="29"/>
  <c r="AW301" i="29" s="1"/>
  <c r="AG298" i="29"/>
  <c r="AS298" i="29"/>
  <c r="AO298" i="29"/>
  <c r="AO301" i="29" s="1"/>
  <c r="BA298" i="29"/>
  <c r="AK298" i="29"/>
  <c r="AK301" i="29" s="1"/>
  <c r="BO147" i="29"/>
  <c r="F148" i="29" a="1"/>
  <c r="F148" i="29" s="1"/>
  <c r="F149" i="29" s="1" a="1"/>
  <c r="F149" i="29" s="1"/>
  <c r="F150" i="29" s="1" a="1"/>
  <c r="F150" i="29" s="1"/>
  <c r="F151" i="29" s="1" a="1"/>
  <c r="F151" i="29" s="1"/>
  <c r="F152" i="29" s="1" a="1"/>
  <c r="F152" i="29" s="1"/>
  <c r="F153" i="29" s="1" a="1"/>
  <c r="F153" i="29" s="1"/>
  <c r="F154" i="29" s="1" a="1"/>
  <c r="F154" i="29" s="1"/>
  <c r="AT147" i="29"/>
  <c r="AJ147" i="29"/>
  <c r="AS299" i="29" l="1"/>
  <c r="AS301" i="29"/>
  <c r="AS302" i="29" s="1"/>
  <c r="AS305" i="29"/>
  <c r="AS304" i="29"/>
  <c r="AF304" i="29"/>
  <c r="AF299" i="29"/>
  <c r="AF301" i="29" s="1"/>
  <c r="AF302" i="29" s="1"/>
  <c r="AX448" i="29"/>
  <c r="AX443" i="29"/>
  <c r="AX445" i="29" s="1"/>
  <c r="AX446" i="29" s="1"/>
  <c r="AY444" i="29" s="1" a="1"/>
  <c r="AY444" i="29" s="1"/>
  <c r="AY447" i="29" s="1"/>
  <c r="AX449" i="29"/>
  <c r="BI449" i="29" s="1"/>
  <c r="AU443" i="29"/>
  <c r="AU445" i="29" s="1"/>
  <c r="AU446" i="29" s="1"/>
  <c r="AV444" i="29" s="1" a="1"/>
  <c r="AV444" i="29" s="1"/>
  <c r="AV447" i="29" s="1"/>
  <c r="AU449" i="29"/>
  <c r="BF449" i="29" s="1"/>
  <c r="AU448" i="29"/>
  <c r="AF448" i="29"/>
  <c r="AF443" i="29"/>
  <c r="AF445" i="29" s="1"/>
  <c r="AF446" i="29" s="1"/>
  <c r="AV449" i="29"/>
  <c r="BG449" i="29" s="1"/>
  <c r="AV448" i="29"/>
  <c r="AV443" i="29"/>
  <c r="AV445" i="29" s="1"/>
  <c r="AV446" i="29" s="1"/>
  <c r="AW444" i="29" s="1" a="1"/>
  <c r="AW444" i="29" s="1"/>
  <c r="AW447" i="29" s="1"/>
  <c r="AO448" i="29"/>
  <c r="AO443" i="29"/>
  <c r="AO445" i="29" s="1"/>
  <c r="AO446" i="29" s="1"/>
  <c r="AO449" i="29"/>
  <c r="AG299" i="29"/>
  <c r="AG301" i="29" s="1"/>
  <c r="AH298" i="29"/>
  <c r="AG304" i="29"/>
  <c r="AH304" i="29" s="1"/>
  <c r="AL448" i="29"/>
  <c r="AL443" i="29"/>
  <c r="AL445" i="29" s="1"/>
  <c r="AL446" i="29" s="1"/>
  <c r="AL449" i="29"/>
  <c r="AY443" i="29"/>
  <c r="AY445" i="29" s="1"/>
  <c r="AY446" i="29" s="1"/>
  <c r="AZ444" i="29" s="1" a="1"/>
  <c r="AZ444" i="29" s="1"/>
  <c r="AZ447" i="29" s="1"/>
  <c r="AY449" i="29"/>
  <c r="BJ449" i="29" s="1"/>
  <c r="AY448" i="29"/>
  <c r="AJ448" i="29"/>
  <c r="AJ443" i="29"/>
  <c r="AJ445" i="29" s="1"/>
  <c r="AJ446" i="29" s="1"/>
  <c r="AZ449" i="29"/>
  <c r="BK449" i="29" s="1"/>
  <c r="AZ448" i="29"/>
  <c r="AZ443" i="29"/>
  <c r="AZ445" i="29" s="1"/>
  <c r="AZ446" i="29" s="1"/>
  <c r="BA444" i="29" s="1" a="1"/>
  <c r="BA444" i="29" s="1"/>
  <c r="BA447" i="29" s="1"/>
  <c r="AS448" i="29"/>
  <c r="AS443" i="29"/>
  <c r="AS445" i="29" s="1"/>
  <c r="AS446" i="29" s="1"/>
  <c r="AS449" i="29"/>
  <c r="BA301" i="29"/>
  <c r="BA302" i="29" s="1"/>
  <c r="BA305" i="29"/>
  <c r="BA304" i="29"/>
  <c r="BA299" i="29"/>
  <c r="BC305" i="29"/>
  <c r="BC304" i="29"/>
  <c r="BC299" i="29"/>
  <c r="BC301" i="29" s="1"/>
  <c r="BC302" i="29" s="1"/>
  <c r="F139" i="30" a="1"/>
  <c r="F139" i="30" s="1"/>
  <c r="BO138" i="30"/>
  <c r="AT138" i="30"/>
  <c r="AJ138" i="30"/>
  <c r="BB448" i="29"/>
  <c r="BB443" i="29"/>
  <c r="BB445" i="29" s="1"/>
  <c r="BB446" i="29" s="1"/>
  <c r="BC444" i="29" s="1" a="1"/>
  <c r="BC444" i="29" s="1"/>
  <c r="BC447" i="29" s="1"/>
  <c r="BB449" i="29"/>
  <c r="BM449" i="29" s="1"/>
  <c r="AM443" i="29"/>
  <c r="AM445" i="29" s="1"/>
  <c r="AM446" i="29" s="1"/>
  <c r="AM449" i="29"/>
  <c r="AM448" i="29"/>
  <c r="BC443" i="29"/>
  <c r="BC445" i="29" s="1"/>
  <c r="BC446" i="29" s="1"/>
  <c r="BC449" i="29"/>
  <c r="BC448" i="29"/>
  <c r="AN449" i="29"/>
  <c r="AN448" i="29"/>
  <c r="AN443" i="29"/>
  <c r="AN445" i="29" s="1"/>
  <c r="AN446" i="29" s="1"/>
  <c r="AG448" i="29"/>
  <c r="AH448" i="29" s="1"/>
  <c r="AG443" i="29"/>
  <c r="AH443" i="29" s="1"/>
  <c r="AH442" i="29"/>
  <c r="AW448" i="29"/>
  <c r="AW443" i="29"/>
  <c r="AW445" i="29" s="1"/>
  <c r="AW446" i="29" s="1"/>
  <c r="AX444" i="29" s="1" a="1"/>
  <c r="AX444" i="29" s="1"/>
  <c r="AX447" i="29" s="1"/>
  <c r="AW449" i="29"/>
  <c r="BH449" i="29" s="1"/>
  <c r="BB154" i="29"/>
  <c r="AX154" i="29"/>
  <c r="AT154" i="29"/>
  <c r="AP154" i="29"/>
  <c r="AL154" i="29"/>
  <c r="BA154" i="29"/>
  <c r="AW154" i="29"/>
  <c r="AS154" i="29"/>
  <c r="AO154" i="29"/>
  <c r="AK154" i="29"/>
  <c r="AG154" i="29"/>
  <c r="AZ154" i="29"/>
  <c r="AV154" i="29"/>
  <c r="AR154" i="29"/>
  <c r="AN154" i="29"/>
  <c r="AJ154" i="29"/>
  <c r="AF154" i="29"/>
  <c r="F155" i="29" a="1"/>
  <c r="F155" i="29" s="1"/>
  <c r="F156" i="29" s="1" a="1"/>
  <c r="F156" i="29" s="1"/>
  <c r="F157" i="29" s="1" a="1"/>
  <c r="F157" i="29" s="1"/>
  <c r="F158" i="29" s="1" a="1"/>
  <c r="F158" i="29" s="1"/>
  <c r="F159" i="29" s="1" a="1"/>
  <c r="F159" i="29" s="1"/>
  <c r="F160" i="29" s="1" a="1"/>
  <c r="F160" i="29" s="1"/>
  <c r="F161" i="29" s="1" a="1"/>
  <c r="F161" i="29" s="1"/>
  <c r="F162" i="29" s="1" a="1"/>
  <c r="F162" i="29" s="1"/>
  <c r="AQ154" i="29"/>
  <c r="BC154" i="29"/>
  <c r="AM154" i="29"/>
  <c r="AY154" i="29"/>
  <c r="AI154" i="29"/>
  <c r="AU154" i="29"/>
  <c r="AE154" i="29"/>
  <c r="BB305" i="29"/>
  <c r="BM305" i="29" s="1"/>
  <c r="BB304" i="29"/>
  <c r="BB299" i="29"/>
  <c r="BB301" i="29" s="1"/>
  <c r="BB302" i="29" s="1"/>
  <c r="BC300" i="29" s="1" a="1"/>
  <c r="BC300" i="29" s="1"/>
  <c r="BC303" i="29" s="1"/>
  <c r="AQ305" i="29"/>
  <c r="AQ304" i="29"/>
  <c r="AQ299" i="29"/>
  <c r="AQ301" i="29"/>
  <c r="AQ302" i="29" s="1"/>
  <c r="BA306" i="29"/>
  <c r="AW306" i="29"/>
  <c r="AW309" i="29" s="1"/>
  <c r="AS306" i="29"/>
  <c r="AO306" i="29"/>
  <c r="AO309" i="29" s="1"/>
  <c r="AK306" i="29"/>
  <c r="AK309" i="29" s="1"/>
  <c r="AG306" i="29"/>
  <c r="AG305" i="29" s="1"/>
  <c r="AZ306" i="29"/>
  <c r="AZ309" i="29" s="1"/>
  <c r="AV306" i="29"/>
  <c r="AV309" i="29" s="1"/>
  <c r="AR306" i="29"/>
  <c r="AN306" i="29"/>
  <c r="AN309" i="29" s="1"/>
  <c r="AJ306" i="29"/>
  <c r="AJ309" i="29" s="1"/>
  <c r="AF306" i="29"/>
  <c r="F307" i="29" a="1"/>
  <c r="F307" i="29" s="1"/>
  <c r="F308" i="29" s="1" a="1"/>
  <c r="F308" i="29" s="1"/>
  <c r="F309" i="29" s="1" a="1"/>
  <c r="F309" i="29" s="1"/>
  <c r="F310" i="29" s="1" a="1"/>
  <c r="F310" i="29" s="1"/>
  <c r="F311" i="29" s="1" a="1"/>
  <c r="F311" i="29" s="1"/>
  <c r="F312" i="29" s="1" a="1"/>
  <c r="F312" i="29" s="1"/>
  <c r="F313" i="29" s="1" a="1"/>
  <c r="F313" i="29" s="1"/>
  <c r="F314" i="29" s="1" a="1"/>
  <c r="F314" i="29" s="1"/>
  <c r="BC306" i="29"/>
  <c r="AY306" i="29"/>
  <c r="AY309" i="29" s="1"/>
  <c r="AU306" i="29"/>
  <c r="AU309" i="29" s="1"/>
  <c r="AQ306" i="29"/>
  <c r="AM306" i="29"/>
  <c r="AM309" i="29" s="1"/>
  <c r="AI306" i="29"/>
  <c r="AI309" i="29" s="1"/>
  <c r="AE306" i="29"/>
  <c r="AE309" i="29" s="1"/>
  <c r="BB306" i="29"/>
  <c r="AL306" i="29"/>
  <c r="AL309" i="29" s="1"/>
  <c r="AX306" i="29"/>
  <c r="AX309" i="29" s="1"/>
  <c r="AT306" i="29"/>
  <c r="AT309" i="29" s="1"/>
  <c r="AP306" i="29"/>
  <c r="AP309" i="29" s="1"/>
  <c r="AR305" i="29"/>
  <c r="AR304" i="29"/>
  <c r="AR299" i="29"/>
  <c r="AR301" i="29" s="1"/>
  <c r="AR302" i="29" s="1"/>
  <c r="AT443" i="29"/>
  <c r="AT445" i="29" s="1"/>
  <c r="AP448" i="29"/>
  <c r="AP443" i="29"/>
  <c r="AP445" i="29" s="1"/>
  <c r="AP446" i="29" s="1"/>
  <c r="AP449" i="29"/>
  <c r="AQ443" i="29"/>
  <c r="AQ445" i="29" s="1"/>
  <c r="AQ446" i="29" s="1"/>
  <c r="AQ449" i="29"/>
  <c r="AQ448" i="29"/>
  <c r="BB450" i="29"/>
  <c r="AX450" i="29"/>
  <c r="AT450" i="29"/>
  <c r="AP450" i="29"/>
  <c r="AL450" i="29"/>
  <c r="BA450" i="29"/>
  <c r="AW450" i="29"/>
  <c r="AS450" i="29"/>
  <c r="AO450" i="29"/>
  <c r="AK450" i="29"/>
  <c r="AG450" i="29"/>
  <c r="AZ450" i="29"/>
  <c r="AV450" i="29"/>
  <c r="AR450" i="29"/>
  <c r="AN450" i="29"/>
  <c r="AJ450" i="29"/>
  <c r="AF450" i="29"/>
  <c r="AF449" i="29" s="1"/>
  <c r="AU450" i="29"/>
  <c r="AE450" i="29"/>
  <c r="AE453" i="29" s="1"/>
  <c r="F451" i="29" a="1"/>
  <c r="F451" i="29" s="1"/>
  <c r="F452" i="29" s="1" a="1"/>
  <c r="F452" i="29" s="1"/>
  <c r="F453" i="29" s="1" a="1"/>
  <c r="F453" i="29" s="1"/>
  <c r="F454" i="29" s="1" a="1"/>
  <c r="F454" i="29" s="1"/>
  <c r="F455" i="29" s="1" a="1"/>
  <c r="F455" i="29" s="1"/>
  <c r="F456" i="29" s="1" a="1"/>
  <c r="F456" i="29" s="1"/>
  <c r="F457" i="29" s="1" a="1"/>
  <c r="F457" i="29" s="1"/>
  <c r="F458" i="29" s="1" a="1"/>
  <c r="F458" i="29" s="1"/>
  <c r="AQ450" i="29"/>
  <c r="BC450" i="29"/>
  <c r="AM450" i="29"/>
  <c r="AY450" i="29"/>
  <c r="AI450" i="29"/>
  <c r="AI453" i="29" s="1"/>
  <c r="AR449" i="29"/>
  <c r="AR448" i="29"/>
  <c r="AR443" i="29"/>
  <c r="AR445" i="29" s="1"/>
  <c r="AR446" i="29" s="1"/>
  <c r="AK448" i="29"/>
  <c r="AK443" i="29"/>
  <c r="AK445" i="29" s="1"/>
  <c r="AK446" i="29" s="1"/>
  <c r="AK449" i="29"/>
  <c r="BA448" i="29"/>
  <c r="BA443" i="29"/>
  <c r="BA445" i="29" s="1"/>
  <c r="BA446" i="29" s="1"/>
  <c r="BB444" i="29" s="1" a="1"/>
  <c r="BB444" i="29" s="1"/>
  <c r="BB447" i="29" s="1"/>
  <c r="BA449" i="29"/>
  <c r="BL449" i="29" s="1"/>
  <c r="AY454" i="29" l="1"/>
  <c r="AY451" i="29"/>
  <c r="AY453" i="29" s="1"/>
  <c r="AY452" i="29"/>
  <c r="AJ454" i="29"/>
  <c r="AJ451" i="29"/>
  <c r="AJ453" i="29" s="1"/>
  <c r="AJ452" i="29"/>
  <c r="AZ454" i="29"/>
  <c r="AZ451" i="29"/>
  <c r="AZ453" i="29" s="1"/>
  <c r="AZ452" i="29"/>
  <c r="AS452" i="29"/>
  <c r="AS451" i="29"/>
  <c r="AS453" i="29" s="1"/>
  <c r="AS454" i="29"/>
  <c r="AP452" i="29"/>
  <c r="AP454" i="29"/>
  <c r="AP451" i="29"/>
  <c r="AP453" i="29" s="1"/>
  <c r="BB310" i="29"/>
  <c r="BB308" i="29"/>
  <c r="BB307" i="29"/>
  <c r="BB309" i="29" s="1"/>
  <c r="AQ310" i="29"/>
  <c r="AQ308" i="29"/>
  <c r="AQ307" i="29"/>
  <c r="AQ309" i="29" s="1"/>
  <c r="AR310" i="29"/>
  <c r="AR308" i="29"/>
  <c r="AR307" i="29"/>
  <c r="AR309" i="29" s="1"/>
  <c r="BA310" i="29"/>
  <c r="BA308" i="29"/>
  <c r="BA307" i="29"/>
  <c r="BA309" i="29" s="1"/>
  <c r="AY161" i="29"/>
  <c r="BJ161" i="29" s="1"/>
  <c r="AY160" i="29"/>
  <c r="AY155" i="29"/>
  <c r="AY157" i="29" s="1"/>
  <c r="AY158" i="29" s="1"/>
  <c r="AZ156" i="29" s="1" a="1"/>
  <c r="AZ156" i="29" s="1"/>
  <c r="AZ159" i="29" s="1"/>
  <c r="F163" i="29" a="1"/>
  <c r="F163" i="29" s="1"/>
  <c r="F164" i="29" s="1" a="1"/>
  <c r="F164" i="29" s="1"/>
  <c r="F165" i="29" s="1" a="1"/>
  <c r="F165" i="29" s="1"/>
  <c r="F166" i="29" s="1" a="1"/>
  <c r="F166" i="29" s="1"/>
  <c r="F167" i="29" s="1" a="1"/>
  <c r="F167" i="29" s="1"/>
  <c r="F168" i="29" s="1" a="1"/>
  <c r="F168" i="29" s="1"/>
  <c r="F169" i="29" s="1" a="1"/>
  <c r="F169" i="29" s="1"/>
  <c r="F170" i="29" s="1" a="1"/>
  <c r="F170" i="29" s="1"/>
  <c r="BC162" i="29"/>
  <c r="AY162" i="29"/>
  <c r="AU162" i="29"/>
  <c r="AQ162" i="29"/>
  <c r="AM162" i="29"/>
  <c r="AI162" i="29"/>
  <c r="AE162" i="29"/>
  <c r="BB162" i="29"/>
  <c r="AX162" i="29"/>
  <c r="AT162" i="29"/>
  <c r="AP162" i="29"/>
  <c r="AL162" i="29"/>
  <c r="BA162" i="29"/>
  <c r="AW162" i="29"/>
  <c r="AS162" i="29"/>
  <c r="AO162" i="29"/>
  <c r="AK162" i="29"/>
  <c r="AG162" i="29"/>
  <c r="AR162" i="29"/>
  <c r="AN162" i="29"/>
  <c r="AZ162" i="29"/>
  <c r="AJ162" i="29"/>
  <c r="AV162" i="29"/>
  <c r="AF162" i="29"/>
  <c r="AR161" i="29"/>
  <c r="AR160" i="29"/>
  <c r="AR155" i="29"/>
  <c r="AR157" i="29" s="1"/>
  <c r="AR158" i="29" s="1"/>
  <c r="AK161" i="29"/>
  <c r="AK160" i="29"/>
  <c r="AK155" i="29"/>
  <c r="AK157" i="29" s="1"/>
  <c r="AK158" i="29" s="1"/>
  <c r="BA161" i="29"/>
  <c r="BL161" i="29" s="1"/>
  <c r="BA160" i="29"/>
  <c r="BA155" i="29"/>
  <c r="BA157" i="29" s="1"/>
  <c r="BA158" i="29" s="1"/>
  <c r="BB156" i="29" s="1" a="1"/>
  <c r="BB156" i="29" s="1"/>
  <c r="BB159" i="29" s="1"/>
  <c r="AX155" i="29"/>
  <c r="AX157" i="29" s="1"/>
  <c r="AX158" i="29" s="1"/>
  <c r="AY156" i="29" s="1" a="1"/>
  <c r="AY156" i="29" s="1"/>
  <c r="AY159" i="29" s="1"/>
  <c r="AX161" i="29"/>
  <c r="BI161" i="29" s="1"/>
  <c r="AX160" i="29"/>
  <c r="AM454" i="29"/>
  <c r="AM451" i="29"/>
  <c r="AM453" i="29" s="1"/>
  <c r="AM452" i="29"/>
  <c r="AN454" i="29"/>
  <c r="AN451" i="29"/>
  <c r="AN453" i="29" s="1"/>
  <c r="AN452" i="29"/>
  <c r="AG452" i="29"/>
  <c r="AH450" i="29"/>
  <c r="AG451" i="29"/>
  <c r="AG453" i="29" s="1"/>
  <c r="AW452" i="29"/>
  <c r="AW451" i="29"/>
  <c r="AW453" i="29" s="1"/>
  <c r="AW454" i="29"/>
  <c r="AT452" i="29"/>
  <c r="AT451" i="29"/>
  <c r="AT453" i="29" s="1"/>
  <c r="AF310" i="29"/>
  <c r="AF308" i="29"/>
  <c r="AF307" i="29"/>
  <c r="AF309" i="29" s="1"/>
  <c r="AE161" i="29"/>
  <c r="AE160" i="29"/>
  <c r="AE155" i="29"/>
  <c r="AE157" i="29" s="1"/>
  <c r="AE158" i="29" s="1"/>
  <c r="AM161" i="29"/>
  <c r="AM160" i="29"/>
  <c r="AM155" i="29"/>
  <c r="AM157" i="29" s="1"/>
  <c r="AM158" i="29" s="1"/>
  <c r="AF161" i="29"/>
  <c r="AF160" i="29"/>
  <c r="AF155" i="29"/>
  <c r="AF157" i="29" s="1"/>
  <c r="AF158" i="29" s="1"/>
  <c r="AV161" i="29"/>
  <c r="BG161" i="29" s="1"/>
  <c r="AV160" i="29"/>
  <c r="AV155" i="29"/>
  <c r="AV157" i="29" s="1"/>
  <c r="AV158" i="29" s="1"/>
  <c r="AW156" i="29" s="1" a="1"/>
  <c r="AW156" i="29" s="1"/>
  <c r="AW159" i="29" s="1"/>
  <c r="AO161" i="29"/>
  <c r="AO160" i="29"/>
  <c r="AO155" i="29"/>
  <c r="AO157" i="29" s="1"/>
  <c r="AO158" i="29" s="1"/>
  <c r="AL155" i="29"/>
  <c r="AL157" i="29" s="1"/>
  <c r="AL158" i="29" s="1"/>
  <c r="AL161" i="29"/>
  <c r="AL160" i="29"/>
  <c r="BB155" i="29"/>
  <c r="BB157" i="29" s="1"/>
  <c r="BB158" i="29" s="1"/>
  <c r="BC156" i="29" s="1" a="1"/>
  <c r="BC156" i="29" s="1"/>
  <c r="BC159" i="29" s="1"/>
  <c r="BB161" i="29"/>
  <c r="BM161" i="29" s="1"/>
  <c r="BB160" i="29"/>
  <c r="AG445" i="29"/>
  <c r="BK305" i="29"/>
  <c r="BL305" i="29"/>
  <c r="BC454" i="29"/>
  <c r="BC451" i="29"/>
  <c r="BC453" i="29" s="1"/>
  <c r="BC452" i="29"/>
  <c r="AU454" i="29"/>
  <c r="AU451" i="29"/>
  <c r="AU453" i="29" s="1"/>
  <c r="AU452" i="29"/>
  <c r="AR454" i="29"/>
  <c r="AR451" i="29"/>
  <c r="AR453" i="29" s="1"/>
  <c r="AR452" i="29"/>
  <c r="AK452" i="29"/>
  <c r="AK454" i="29"/>
  <c r="AK451" i="29"/>
  <c r="AK453" i="29" s="1"/>
  <c r="BA452" i="29"/>
  <c r="BA454" i="29"/>
  <c r="BA451" i="29"/>
  <c r="BA453" i="29" s="1"/>
  <c r="AX452" i="29"/>
  <c r="AX454" i="29"/>
  <c r="AX451" i="29"/>
  <c r="AX453" i="29" s="1"/>
  <c r="AS310" i="29"/>
  <c r="AS308" i="29"/>
  <c r="AS307" i="29"/>
  <c r="AS309" i="29" s="1"/>
  <c r="AU161" i="29"/>
  <c r="BF161" i="29" s="1"/>
  <c r="AU160" i="29"/>
  <c r="AU155" i="29"/>
  <c r="AU157" i="29" s="1"/>
  <c r="AU158" i="29" s="1"/>
  <c r="AV156" i="29" s="1" a="1"/>
  <c r="AV156" i="29" s="1"/>
  <c r="AV159" i="29" s="1"/>
  <c r="BC161" i="29"/>
  <c r="BC160" i="29"/>
  <c r="BC155" i="29"/>
  <c r="BC157" i="29" s="1"/>
  <c r="BC158" i="29" s="1"/>
  <c r="AJ161" i="29"/>
  <c r="AJ160" i="29"/>
  <c r="AJ155" i="29"/>
  <c r="AJ157" i="29" s="1"/>
  <c r="AJ158" i="29" s="1"/>
  <c r="AZ161" i="29"/>
  <c r="BK161" i="29" s="1"/>
  <c r="AZ160" i="29"/>
  <c r="AZ155" i="29"/>
  <c r="AZ157" i="29" s="1"/>
  <c r="AZ158" i="29" s="1"/>
  <c r="BA156" i="29" s="1" a="1"/>
  <c r="BA156" i="29" s="1"/>
  <c r="BA159" i="29" s="1"/>
  <c r="AS161" i="29"/>
  <c r="AS160" i="29"/>
  <c r="AS155" i="29"/>
  <c r="AS157" i="29" s="1"/>
  <c r="AS158" i="29" s="1"/>
  <c r="AP155" i="29"/>
  <c r="AP157" i="29" s="1"/>
  <c r="AP158" i="29" s="1"/>
  <c r="AP161" i="29"/>
  <c r="AP160" i="29"/>
  <c r="F140" i="30" a="1"/>
  <c r="F140" i="30" s="1"/>
  <c r="AJ139" i="30"/>
  <c r="BB300" i="29" a="1"/>
  <c r="BB300" i="29" s="1"/>
  <c r="BB303" i="29" s="1"/>
  <c r="BA303" i="29"/>
  <c r="AJ449" i="29"/>
  <c r="AH301" i="29"/>
  <c r="AG302" i="29"/>
  <c r="AH302" i="29" s="1"/>
  <c r="AQ454" i="29"/>
  <c r="AQ451" i="29"/>
  <c r="AQ453" i="29"/>
  <c r="AQ452" i="29"/>
  <c r="AF452" i="29"/>
  <c r="AF451" i="29"/>
  <c r="AF453" i="29" s="1"/>
  <c r="AF454" i="29"/>
  <c r="AV454" i="29"/>
  <c r="AV451" i="29"/>
  <c r="AV453" i="29" s="1"/>
  <c r="AV452" i="29"/>
  <c r="AO452" i="29"/>
  <c r="AO451" i="29"/>
  <c r="AO453" i="29" s="1"/>
  <c r="AO454" i="29"/>
  <c r="AL453" i="29"/>
  <c r="AL452" i="29"/>
  <c r="AL454" i="29"/>
  <c r="AL451" i="29"/>
  <c r="BB453" i="29"/>
  <c r="BB452" i="29"/>
  <c r="BB454" i="29"/>
  <c r="BB451" i="29"/>
  <c r="BC310" i="29"/>
  <c r="BC309" i="29"/>
  <c r="BC308" i="29"/>
  <c r="BC307" i="29"/>
  <c r="AG309" i="29"/>
  <c r="AG310" i="29"/>
  <c r="AG308" i="29"/>
  <c r="AG307" i="29"/>
  <c r="AH306" i="29"/>
  <c r="AI161" i="29"/>
  <c r="BD161" i="29" s="1"/>
  <c r="AI160" i="29"/>
  <c r="AI155" i="29"/>
  <c r="AI157" i="29" s="1"/>
  <c r="AI158" i="29" s="1"/>
  <c r="AQ161" i="29"/>
  <c r="AQ160" i="29"/>
  <c r="AQ155" i="29"/>
  <c r="AQ157" i="29" s="1"/>
  <c r="AQ158" i="29" s="1"/>
  <c r="AN161" i="29"/>
  <c r="AN160" i="29"/>
  <c r="AN155" i="29"/>
  <c r="AN157" i="29" s="1"/>
  <c r="AN158" i="29" s="1"/>
  <c r="AG161" i="29"/>
  <c r="AG160" i="29"/>
  <c r="AH154" i="29"/>
  <c r="AG155" i="29"/>
  <c r="AH155" i="29" s="1"/>
  <c r="AW161" i="29"/>
  <c r="BH161" i="29" s="1"/>
  <c r="AW160" i="29"/>
  <c r="AW155" i="29"/>
  <c r="AW157" i="29" s="1"/>
  <c r="AW158" i="29" s="1"/>
  <c r="AX156" i="29" s="1" a="1"/>
  <c r="AX156" i="29" s="1"/>
  <c r="AX159" i="29" s="1"/>
  <c r="AT155" i="29"/>
  <c r="AT157" i="29" s="1"/>
  <c r="AT158" i="29" s="1"/>
  <c r="AU156" i="29" s="1" a="1"/>
  <c r="AU156" i="29" s="1"/>
  <c r="AU159" i="29" s="1"/>
  <c r="AT161" i="29"/>
  <c r="BE161" i="29" s="1"/>
  <c r="AT160" i="29"/>
  <c r="AG449" i="29"/>
  <c r="AH299" i="29"/>
  <c r="AF305" i="29"/>
  <c r="AH160" i="29" l="1"/>
  <c r="AH308" i="29"/>
  <c r="AG157" i="29"/>
  <c r="AH310" i="29"/>
  <c r="AG446" i="29"/>
  <c r="AH445" i="29"/>
  <c r="AJ166" i="29"/>
  <c r="AJ164" i="29"/>
  <c r="AJ163" i="29"/>
  <c r="AJ165" i="29" s="1"/>
  <c r="AH162" i="29"/>
  <c r="AG166" i="29"/>
  <c r="AG164" i="29"/>
  <c r="AG163" i="29"/>
  <c r="AG165" i="29" s="1"/>
  <c r="AW166" i="29"/>
  <c r="AW164" i="29"/>
  <c r="AW163" i="29"/>
  <c r="AW165" i="29" s="1"/>
  <c r="AT166" i="29"/>
  <c r="AT164" i="29"/>
  <c r="AT163" i="29"/>
  <c r="AT165" i="29" s="1"/>
  <c r="AI166" i="29"/>
  <c r="AI164" i="29"/>
  <c r="AI163" i="29"/>
  <c r="AI165" i="29" s="1"/>
  <c r="AY166" i="29"/>
  <c r="AY164" i="29"/>
  <c r="AY163" i="29"/>
  <c r="AY165" i="29" s="1"/>
  <c r="AH309" i="29"/>
  <c r="F141" i="30" a="1"/>
  <c r="F141" i="30" s="1"/>
  <c r="AJ140" i="30"/>
  <c r="BO140" i="30"/>
  <c r="AT140" i="30"/>
  <c r="AH451" i="29"/>
  <c r="AH452" i="29"/>
  <c r="AZ166" i="29"/>
  <c r="AZ164" i="29"/>
  <c r="AZ163" i="29"/>
  <c r="AZ165" i="29" s="1"/>
  <c r="AK166" i="29"/>
  <c r="AK164" i="29"/>
  <c r="AK163" i="29"/>
  <c r="AK165" i="29" s="1"/>
  <c r="BA166" i="29"/>
  <c r="BA164" i="29"/>
  <c r="BA163" i="29"/>
  <c r="BA165" i="29" s="1"/>
  <c r="AX166" i="29"/>
  <c r="AX164" i="29"/>
  <c r="AX163" i="29"/>
  <c r="AX165" i="29" s="1"/>
  <c r="AM166" i="29"/>
  <c r="AM164" i="29"/>
  <c r="AM163" i="29"/>
  <c r="AM165" i="29" s="1"/>
  <c r="BC166" i="29"/>
  <c r="BC164" i="29"/>
  <c r="BC163" i="29"/>
  <c r="BC165" i="29" s="1"/>
  <c r="AH307" i="29"/>
  <c r="AH305" i="29" s="1"/>
  <c r="AF166" i="29"/>
  <c r="AF164" i="29"/>
  <c r="AF163" i="29"/>
  <c r="AF165" i="29" s="1"/>
  <c r="AN166" i="29"/>
  <c r="AN164" i="29"/>
  <c r="AN163" i="29"/>
  <c r="AN165" i="29" s="1"/>
  <c r="AO166" i="29"/>
  <c r="AO164" i="29"/>
  <c r="AO163" i="29"/>
  <c r="AO165" i="29" s="1"/>
  <c r="AL166" i="29"/>
  <c r="AL164" i="29"/>
  <c r="AL163" i="29"/>
  <c r="AL165" i="29" s="1"/>
  <c r="BB166" i="29"/>
  <c r="BB164" i="29"/>
  <c r="BB163" i="29"/>
  <c r="BB165" i="29" s="1"/>
  <c r="AQ166" i="29"/>
  <c r="AQ164" i="29"/>
  <c r="AQ163" i="29"/>
  <c r="AQ165" i="29" s="1"/>
  <c r="AH453" i="29"/>
  <c r="AV166" i="29"/>
  <c r="AV164" i="29"/>
  <c r="AV163" i="29"/>
  <c r="AV165" i="29" s="1"/>
  <c r="AR166" i="29"/>
  <c r="AR164" i="29"/>
  <c r="AR163" i="29"/>
  <c r="AR165" i="29" s="1"/>
  <c r="AS166" i="29"/>
  <c r="AS164" i="29"/>
  <c r="AS163" i="29"/>
  <c r="AS165" i="29" s="1"/>
  <c r="AP166" i="29"/>
  <c r="AP164" i="29"/>
  <c r="AP163" i="29"/>
  <c r="AP165" i="29" s="1"/>
  <c r="AE166" i="29"/>
  <c r="AE164" i="29"/>
  <c r="AE163" i="29"/>
  <c r="AE165" i="29" s="1"/>
  <c r="AU166" i="29"/>
  <c r="AU164" i="29"/>
  <c r="AU163" i="29"/>
  <c r="AU165" i="29" s="1"/>
  <c r="AH164" i="29" l="1"/>
  <c r="F142" i="30" a="1"/>
  <c r="F142" i="30" s="1"/>
  <c r="BO141" i="30"/>
  <c r="AT141" i="30"/>
  <c r="AJ141" i="30"/>
  <c r="AH165" i="29"/>
  <c r="AH446" i="29"/>
  <c r="AG454" i="29"/>
  <c r="AH454" i="29" s="1"/>
  <c r="AH449" i="29" s="1"/>
  <c r="AH166" i="29"/>
  <c r="AH163" i="29"/>
  <c r="AH157" i="29"/>
  <c r="AG158" i="29"/>
  <c r="AH158" i="29" s="1"/>
  <c r="AH161" i="29" l="1"/>
  <c r="AJ142" i="30"/>
  <c r="F143" i="30" a="1"/>
  <c r="F143" i="30" s="1"/>
  <c r="BO142" i="30"/>
  <c r="AT142" i="30"/>
  <c r="AJ143" i="30" l="1"/>
  <c r="F144" i="30" a="1"/>
  <c r="F144" i="30" s="1"/>
  <c r="BO143" i="30"/>
  <c r="AT143" i="30"/>
  <c r="BE143" i="30" s="1"/>
  <c r="F145" i="30" l="1" a="1"/>
  <c r="F145" i="30" s="1"/>
  <c r="BO144" i="30"/>
  <c r="AT144" i="30"/>
  <c r="AJ144" i="30"/>
  <c r="F146" i="30" l="1" a="1"/>
  <c r="F146" i="30" s="1"/>
  <c r="BO145" i="30"/>
  <c r="AT145" i="30"/>
  <c r="AJ145" i="30"/>
  <c r="AJ146" i="30" l="1"/>
  <c r="F147" i="30" a="1"/>
  <c r="F147" i="30" s="1"/>
  <c r="BO146" i="30"/>
  <c r="AT146" i="30"/>
  <c r="F148" i="30" l="1" a="1"/>
  <c r="F148" i="30" s="1"/>
  <c r="F149" i="30" s="1" a="1"/>
  <c r="F149" i="30" s="1"/>
  <c r="F150" i="30" s="1" a="1"/>
  <c r="F150" i="30" s="1"/>
  <c r="F151" i="30" s="1" a="1"/>
  <c r="F151" i="30" s="1"/>
  <c r="F152" i="30" s="1" a="1"/>
  <c r="F152" i="30" s="1"/>
  <c r="F153" i="30" s="1" a="1"/>
  <c r="F153" i="30" s="1"/>
  <c r="F154" i="30" s="1" a="1"/>
  <c r="F154" i="30" s="1"/>
  <c r="AT147" i="30"/>
  <c r="AJ147" i="30"/>
  <c r="BO147" i="30"/>
  <c r="AZ154" i="30" l="1"/>
  <c r="AV154" i="30"/>
  <c r="AR154" i="30"/>
  <c r="AN154" i="30"/>
  <c r="AJ154" i="30"/>
  <c r="AF154" i="30"/>
  <c r="F155" i="30" a="1"/>
  <c r="F155" i="30" s="1"/>
  <c r="F156" i="30" s="1" a="1"/>
  <c r="F156" i="30" s="1"/>
  <c r="F157" i="30" s="1" a="1"/>
  <c r="F157" i="30" s="1"/>
  <c r="F158" i="30" s="1" a="1"/>
  <c r="F158" i="30" s="1"/>
  <c r="F159" i="30" s="1" a="1"/>
  <c r="F159" i="30" s="1"/>
  <c r="F160" i="30" s="1" a="1"/>
  <c r="F160" i="30" s="1"/>
  <c r="F161" i="30" s="1" a="1"/>
  <c r="F161" i="30" s="1"/>
  <c r="F162" i="30" s="1" a="1"/>
  <c r="F162" i="30" s="1"/>
  <c r="BC154" i="30"/>
  <c r="AY154" i="30"/>
  <c r="AU154" i="30"/>
  <c r="AQ154" i="30"/>
  <c r="AM154" i="30"/>
  <c r="AI154" i="30"/>
  <c r="AE154" i="30"/>
  <c r="BB154" i="30"/>
  <c r="AX154" i="30"/>
  <c r="AT154" i="30"/>
  <c r="AP154" i="30"/>
  <c r="AL154" i="30"/>
  <c r="BA154" i="30"/>
  <c r="AK154" i="30"/>
  <c r="AW154" i="30"/>
  <c r="AG154" i="30"/>
  <c r="AS154" i="30"/>
  <c r="AO154" i="30"/>
  <c r="AS161" i="30" l="1"/>
  <c r="AS160" i="30"/>
  <c r="AS155" i="30"/>
  <c r="AS157" i="30" s="1"/>
  <c r="AS158" i="30" s="1"/>
  <c r="BA161" i="30"/>
  <c r="BL161" i="30" s="1"/>
  <c r="BA160" i="30"/>
  <c r="BA155" i="30"/>
  <c r="BA157" i="30" s="1"/>
  <c r="BA158" i="30" s="1"/>
  <c r="BB156" i="30" s="1" a="1"/>
  <c r="BB156" i="30" s="1"/>
  <c r="BB159" i="30" s="1"/>
  <c r="AX161" i="30"/>
  <c r="BI161" i="30" s="1"/>
  <c r="AX160" i="30"/>
  <c r="AX155" i="30"/>
  <c r="AX157" i="30" s="1"/>
  <c r="AX158" i="30" s="1"/>
  <c r="AY156" i="30" s="1" a="1"/>
  <c r="AY156" i="30" s="1"/>
  <c r="AY159" i="30" s="1"/>
  <c r="AM161" i="30"/>
  <c r="AM160" i="30"/>
  <c r="AM155" i="30"/>
  <c r="AM157" i="30" s="1"/>
  <c r="AM158" i="30" s="1"/>
  <c r="BC161" i="30"/>
  <c r="BC160" i="30"/>
  <c r="BC155" i="30"/>
  <c r="BC157" i="30" s="1"/>
  <c r="BC158" i="30" s="1"/>
  <c r="AN155" i="30"/>
  <c r="AN157" i="30" s="1"/>
  <c r="AN158" i="30" s="1"/>
  <c r="AN161" i="30"/>
  <c r="AN160" i="30"/>
  <c r="AG161" i="30"/>
  <c r="AG160" i="30"/>
  <c r="AH154" i="30"/>
  <c r="AG155" i="30"/>
  <c r="AL157" i="30"/>
  <c r="AL158" i="30" s="1"/>
  <c r="AL161" i="30"/>
  <c r="AL160" i="30"/>
  <c r="AL155" i="30"/>
  <c r="BB157" i="30"/>
  <c r="BB158" i="30" s="1"/>
  <c r="BC156" i="30" s="1" a="1"/>
  <c r="BC156" i="30" s="1"/>
  <c r="BC159" i="30" s="1"/>
  <c r="BB161" i="30"/>
  <c r="BM161" i="30" s="1"/>
  <c r="BB160" i="30"/>
  <c r="BB155" i="30"/>
  <c r="AQ161" i="30"/>
  <c r="AQ160" i="30"/>
  <c r="AQ155" i="30"/>
  <c r="AQ157" i="30" s="1"/>
  <c r="AQ158" i="30" s="1"/>
  <c r="BA162" i="30"/>
  <c r="AW162" i="30"/>
  <c r="AS162" i="30"/>
  <c r="AO162" i="30"/>
  <c r="AK162" i="30"/>
  <c r="AG162" i="30"/>
  <c r="AZ162" i="30"/>
  <c r="AV162" i="30"/>
  <c r="AR162" i="30"/>
  <c r="AN162" i="30"/>
  <c r="AJ162" i="30"/>
  <c r="AF162" i="30"/>
  <c r="F163" i="30" a="1"/>
  <c r="F163" i="30" s="1"/>
  <c r="F164" i="30" s="1" a="1"/>
  <c r="F164" i="30" s="1"/>
  <c r="F165" i="30" s="1" a="1"/>
  <c r="F165" i="30" s="1"/>
  <c r="F166" i="30" s="1" a="1"/>
  <c r="F166" i="30" s="1"/>
  <c r="F167" i="30" s="1" a="1"/>
  <c r="F167" i="30" s="1"/>
  <c r="F168" i="30" s="1" a="1"/>
  <c r="F168" i="30" s="1"/>
  <c r="F169" i="30" s="1" a="1"/>
  <c r="F169" i="30" s="1"/>
  <c r="BC162" i="30"/>
  <c r="AY162" i="30"/>
  <c r="AU162" i="30"/>
  <c r="AQ162" i="30"/>
  <c r="AM162" i="30"/>
  <c r="AI162" i="30"/>
  <c r="AE162" i="30"/>
  <c r="AX162" i="30"/>
  <c r="AT162" i="30"/>
  <c r="AP162" i="30"/>
  <c r="BB162" i="30"/>
  <c r="AL162" i="30"/>
  <c r="AR155" i="30"/>
  <c r="AR157" i="30" s="1"/>
  <c r="AR158" i="30" s="1"/>
  <c r="AR161" i="30"/>
  <c r="AR160" i="30"/>
  <c r="AW161" i="30"/>
  <c r="BH161" i="30" s="1"/>
  <c r="AW160" i="30"/>
  <c r="AW155" i="30"/>
  <c r="AW157" i="30" s="1"/>
  <c r="AW158" i="30" s="1"/>
  <c r="AX156" i="30" s="1" a="1"/>
  <c r="AX156" i="30" s="1"/>
  <c r="AX159" i="30" s="1"/>
  <c r="AP161" i="30"/>
  <c r="AP160" i="30"/>
  <c r="AP155" i="30"/>
  <c r="AP157" i="30" s="1"/>
  <c r="AP158" i="30" s="1"/>
  <c r="AE161" i="30"/>
  <c r="AE160" i="30"/>
  <c r="AE155" i="30"/>
  <c r="AE157" i="30" s="1"/>
  <c r="AE158" i="30" s="1"/>
  <c r="AU161" i="30"/>
  <c r="BF161" i="30" s="1"/>
  <c r="AU160" i="30"/>
  <c r="AU155" i="30"/>
  <c r="AU157" i="30" s="1"/>
  <c r="AU158" i="30" s="1"/>
  <c r="AV156" i="30" s="1" a="1"/>
  <c r="AV156" i="30" s="1"/>
  <c r="AV159" i="30" s="1"/>
  <c r="AF155" i="30"/>
  <c r="AF157" i="30" s="1"/>
  <c r="AF158" i="30" s="1"/>
  <c r="AF160" i="30"/>
  <c r="AF161" i="30"/>
  <c r="AV155" i="30"/>
  <c r="AV157" i="30" s="1"/>
  <c r="AV158" i="30" s="1"/>
  <c r="AW156" i="30" s="1" a="1"/>
  <c r="AW156" i="30" s="1"/>
  <c r="AW159" i="30" s="1"/>
  <c r="AV161" i="30"/>
  <c r="BG161" i="30" s="1"/>
  <c r="AV160" i="30"/>
  <c r="AO161" i="30"/>
  <c r="AO160" i="30"/>
  <c r="AO155" i="30"/>
  <c r="AO157" i="30" s="1"/>
  <c r="AO158" i="30" s="1"/>
  <c r="AK161" i="30"/>
  <c r="AK160" i="30"/>
  <c r="AK155" i="30"/>
  <c r="AK157" i="30" s="1"/>
  <c r="AK158" i="30" s="1"/>
  <c r="AT161" i="30"/>
  <c r="BE161" i="30" s="1"/>
  <c r="AT160" i="30"/>
  <c r="AT155" i="30"/>
  <c r="AT157" i="30" s="1"/>
  <c r="AT158" i="30" s="1"/>
  <c r="AU156" i="30" s="1" a="1"/>
  <c r="AU156" i="30" s="1"/>
  <c r="AU159" i="30" s="1"/>
  <c r="AI161" i="30"/>
  <c r="BD161" i="30" s="1"/>
  <c r="AI160" i="30"/>
  <c r="AI155" i="30"/>
  <c r="AI157" i="30" s="1"/>
  <c r="AI158" i="30" s="1"/>
  <c r="AY161" i="30"/>
  <c r="BJ161" i="30" s="1"/>
  <c r="AY160" i="30"/>
  <c r="AY155" i="30"/>
  <c r="AY157" i="30" s="1"/>
  <c r="AY158" i="30" s="1"/>
  <c r="AZ156" i="30" s="1" a="1"/>
  <c r="AZ156" i="30" s="1"/>
  <c r="AZ159" i="30" s="1"/>
  <c r="AJ155" i="30"/>
  <c r="AJ157" i="30" s="1"/>
  <c r="AJ158" i="30" s="1"/>
  <c r="AJ161" i="30"/>
  <c r="AJ160" i="30"/>
  <c r="AZ155" i="30"/>
  <c r="AZ157" i="30" s="1"/>
  <c r="AZ158" i="30" s="1"/>
  <c r="BA156" i="30" s="1" a="1"/>
  <c r="BA156" i="30" s="1"/>
  <c r="BA159" i="30" s="1"/>
  <c r="AZ161" i="30"/>
  <c r="BK161" i="30" s="1"/>
  <c r="AZ160" i="30"/>
  <c r="BB163" i="30" l="1"/>
  <c r="BB165" i="30" s="1"/>
  <c r="BB166" i="30"/>
  <c r="BB164" i="30"/>
  <c r="AP166" i="30"/>
  <c r="AP164" i="30"/>
  <c r="AP163" i="30"/>
  <c r="AP165" i="30" s="1"/>
  <c r="AI166" i="30"/>
  <c r="AI164" i="30"/>
  <c r="AI163" i="30"/>
  <c r="AI165" i="30" s="1"/>
  <c r="AY166" i="30"/>
  <c r="AY164" i="30"/>
  <c r="AY163" i="30"/>
  <c r="AY165" i="30" s="1"/>
  <c r="AJ166" i="30"/>
  <c r="AJ164" i="30"/>
  <c r="AJ163" i="30"/>
  <c r="AJ165" i="30" s="1"/>
  <c r="AZ166" i="30"/>
  <c r="AZ164" i="30"/>
  <c r="AZ163" i="30"/>
  <c r="AZ165" i="30" s="1"/>
  <c r="AS166" i="30"/>
  <c r="AS164" i="30"/>
  <c r="AS163" i="30"/>
  <c r="AS165" i="30" s="1"/>
  <c r="AE166" i="30"/>
  <c r="AE164" i="30"/>
  <c r="AE163" i="30"/>
  <c r="AE165" i="30" s="1"/>
  <c r="AT166" i="30"/>
  <c r="AT164" i="30"/>
  <c r="AT163" i="30"/>
  <c r="AT165" i="30" s="1"/>
  <c r="AM166" i="30"/>
  <c r="AM164" i="30"/>
  <c r="AM163" i="30"/>
  <c r="AM165" i="30" s="1"/>
  <c r="BC166" i="30"/>
  <c r="BC164" i="30"/>
  <c r="BC163" i="30"/>
  <c r="BC165" i="30" s="1"/>
  <c r="AN166" i="30"/>
  <c r="AN164" i="30"/>
  <c r="AN163" i="30"/>
  <c r="AN165" i="30" s="1"/>
  <c r="AG166" i="30"/>
  <c r="AG164" i="30"/>
  <c r="AG163" i="30"/>
  <c r="AH162" i="30"/>
  <c r="AW166" i="30"/>
  <c r="AW164" i="30"/>
  <c r="AW163" i="30"/>
  <c r="AW165" i="30" s="1"/>
  <c r="AH160" i="30"/>
  <c r="AL163" i="30"/>
  <c r="AL165" i="30" s="1"/>
  <c r="AL166" i="30"/>
  <c r="AL164" i="30"/>
  <c r="AX166" i="30"/>
  <c r="AX164" i="30"/>
  <c r="AX163" i="30"/>
  <c r="AX165" i="30" s="1"/>
  <c r="AQ166" i="30"/>
  <c r="AQ164" i="30"/>
  <c r="AQ163" i="30"/>
  <c r="AQ165" i="30" s="1"/>
  <c r="F170" i="30" a="1"/>
  <c r="F170" i="30" s="1"/>
  <c r="AC31" i="31"/>
  <c r="AR166" i="30"/>
  <c r="AR164" i="30"/>
  <c r="AR163" i="30"/>
  <c r="AR165" i="30" s="1"/>
  <c r="AK166" i="30"/>
  <c r="AK164" i="30"/>
  <c r="AK163" i="30"/>
  <c r="AK165" i="30" s="1"/>
  <c r="BA166" i="30"/>
  <c r="BA164" i="30"/>
  <c r="BA163" i="30"/>
  <c r="BA165" i="30" s="1"/>
  <c r="AU166" i="30"/>
  <c r="AU164" i="30"/>
  <c r="AU163" i="30"/>
  <c r="AU165" i="30" s="1"/>
  <c r="AF166" i="30"/>
  <c r="AF164" i="30"/>
  <c r="AF163" i="30"/>
  <c r="AF165" i="30" s="1"/>
  <c r="AV166" i="30"/>
  <c r="AV164" i="30"/>
  <c r="AV163" i="30"/>
  <c r="AV165" i="30" s="1"/>
  <c r="AO166" i="30"/>
  <c r="AO164" i="30"/>
  <c r="AO163" i="30"/>
  <c r="AO165" i="30" s="1"/>
  <c r="AH155" i="30"/>
  <c r="AG157" i="30"/>
  <c r="AH163" i="30" l="1"/>
  <c r="AH39" i="27"/>
  <c r="AV81" i="27"/>
  <c r="AX81" i="27" s="1"/>
  <c r="AP161" i="27"/>
  <c r="AT78" i="27"/>
  <c r="AT80" i="27" s="1"/>
  <c r="AD161" i="27"/>
  <c r="AN37" i="27"/>
  <c r="AE179" i="27"/>
  <c r="AE177" i="27" s="1"/>
  <c r="AW179" i="27"/>
  <c r="AW177" i="27" s="1"/>
  <c r="BC111" i="27"/>
  <c r="BC109" i="27" s="1"/>
  <c r="AG135" i="27"/>
  <c r="AV149" i="27"/>
  <c r="AX149" i="27" s="1"/>
  <c r="AP179" i="27"/>
  <c r="AP49" i="27"/>
  <c r="AQ179" i="27"/>
  <c r="AQ177" i="27" s="1"/>
  <c r="AS95" i="27"/>
  <c r="AY34" i="27"/>
  <c r="BE105" i="27"/>
  <c r="AP191" i="27"/>
  <c r="AR191" i="27" s="1"/>
  <c r="BB137" i="27"/>
  <c r="BD137" i="27" s="1"/>
  <c r="AN94" i="27"/>
  <c r="AP134" i="27"/>
  <c r="AW150" i="27"/>
  <c r="AW152" i="27" s="1"/>
  <c r="AV97" i="27"/>
  <c r="AD117" i="27"/>
  <c r="AE79" i="27"/>
  <c r="AZ41" i="27"/>
  <c r="AG61" i="27"/>
  <c r="AN39" i="27"/>
  <c r="AS78" i="27"/>
  <c r="AW78" i="27"/>
  <c r="AW80" i="27" s="1"/>
  <c r="AW97" i="27"/>
  <c r="AD179" i="27"/>
  <c r="AM147" i="27"/>
  <c r="AO147" i="27" s="1"/>
  <c r="BF150" i="27"/>
  <c r="BF152" i="27" s="1"/>
  <c r="BF146" i="27"/>
  <c r="BF148" i="27" s="1"/>
  <c r="AP105" i="27"/>
  <c r="BE49" i="27"/>
  <c r="AK149" i="27"/>
  <c r="BC37" i="27"/>
  <c r="AP123" i="27"/>
  <c r="AM79" i="27"/>
  <c r="AO79" i="27" s="1"/>
  <c r="AG144" i="26"/>
  <c r="BF97" i="27"/>
  <c r="AY150" i="27"/>
  <c r="AJ150" i="27"/>
  <c r="AY55" i="27"/>
  <c r="AZ78" i="27"/>
  <c r="AZ80" i="27" s="1"/>
  <c r="AK193" i="27"/>
  <c r="AV147" i="27"/>
  <c r="AX147" i="27" s="1"/>
  <c r="AN81" i="27"/>
  <c r="AY190" i="27"/>
  <c r="BE123" i="27"/>
  <c r="AY67" i="27"/>
  <c r="AN179" i="27"/>
  <c r="AN177" i="27" s="1"/>
  <c r="BF49" i="27"/>
  <c r="BF47" i="27" s="1"/>
  <c r="AM123" i="27"/>
  <c r="BE90" i="27"/>
  <c r="AG190" i="27"/>
  <c r="AN91" i="27"/>
  <c r="BB97" i="27"/>
  <c r="BD97" i="27" s="1"/>
  <c r="BE95" i="27"/>
  <c r="BG95" i="27" s="1"/>
  <c r="BC67" i="27"/>
  <c r="BC65" i="27" s="1"/>
  <c r="AG36" i="26"/>
  <c r="AD153" i="27"/>
  <c r="AZ137" i="27"/>
  <c r="AD49" i="27"/>
  <c r="AM49" i="27"/>
  <c r="AY179" i="27"/>
  <c r="AS173" i="27"/>
  <c r="BE111" i="27"/>
  <c r="AW193" i="27"/>
  <c r="AH117" i="27"/>
  <c r="AH115" i="27" s="1"/>
  <c r="AV37" i="27"/>
  <c r="AX37" i="27" s="1"/>
  <c r="AG100" i="26"/>
  <c r="AD38" i="27"/>
  <c r="AN117" i="27"/>
  <c r="AN115" i="27" s="1"/>
  <c r="AP94" i="27"/>
  <c r="AQ39" i="27"/>
  <c r="AQ93" i="27"/>
  <c r="BC81" i="27"/>
  <c r="AM179" i="27"/>
  <c r="AG91" i="27"/>
  <c r="BC91" i="27"/>
  <c r="AG139" i="26"/>
  <c r="AG94" i="26"/>
  <c r="AP150" i="27"/>
  <c r="AV39" i="27"/>
  <c r="AX39" i="27" s="1"/>
  <c r="AS123" i="27"/>
  <c r="AV111" i="27"/>
  <c r="AJ173" i="27"/>
  <c r="BC173" i="27"/>
  <c r="BC171" i="27" s="1"/>
  <c r="AN67" i="27"/>
  <c r="AN65" i="27" s="1"/>
  <c r="AV190" i="27"/>
  <c r="AS135" i="27"/>
  <c r="AT151" i="27"/>
  <c r="BB105" i="27"/>
  <c r="AT49" i="27"/>
  <c r="AT47" i="27" s="1"/>
  <c r="AZ190" i="27"/>
  <c r="AZ192" i="27" s="1"/>
  <c r="BF173" i="27"/>
  <c r="BF171" i="27" s="1"/>
  <c r="AG191" i="27"/>
  <c r="AI191" i="27" s="1"/>
  <c r="AN34" i="27"/>
  <c r="AN36" i="27" s="1"/>
  <c r="AE191" i="27"/>
  <c r="AE39" i="27"/>
  <c r="AK38" i="27"/>
  <c r="AK40" i="27" s="1"/>
  <c r="BF123" i="27"/>
  <c r="BF121" i="27" s="1"/>
  <c r="AP79" i="27"/>
  <c r="AR79" i="27" s="1"/>
  <c r="AQ81" i="27"/>
  <c r="BE37" i="27"/>
  <c r="BG37" i="27" s="1"/>
  <c r="AY161" i="27"/>
  <c r="AK137" i="27"/>
  <c r="AG92" i="26"/>
  <c r="BE149" i="27"/>
  <c r="BG149" i="27" s="1"/>
  <c r="BC147" i="27"/>
  <c r="AW190" i="27"/>
  <c r="AW192" i="27" s="1"/>
  <c r="AG99" i="26"/>
  <c r="AV146" i="27"/>
  <c r="AS61" i="27"/>
  <c r="AY149" i="27"/>
  <c r="BA149" i="27" s="1"/>
  <c r="AY137" i="27"/>
  <c r="BA137" i="27" s="1"/>
  <c r="AD190" i="27"/>
  <c r="BC137" i="27"/>
  <c r="AV137" i="27"/>
  <c r="AM190" i="27"/>
  <c r="BE191" i="27"/>
  <c r="BG191" i="27" s="1"/>
  <c r="AQ55" i="27"/>
  <c r="AQ53" i="27" s="1"/>
  <c r="AK153" i="27"/>
  <c r="AV94" i="27"/>
  <c r="AQ41" i="27"/>
  <c r="AZ150" i="27"/>
  <c r="AZ152" i="27" s="1"/>
  <c r="AM117" i="27"/>
  <c r="BC97" i="27"/>
  <c r="AK111" i="27"/>
  <c r="AK109" i="27" s="1"/>
  <c r="BB41" i="27"/>
  <c r="BD41" i="27" s="1"/>
  <c r="AT134" i="27"/>
  <c r="AZ90" i="27"/>
  <c r="AJ147" i="27"/>
  <c r="AL147" i="27" s="1"/>
  <c r="AG90" i="27"/>
  <c r="AG50" i="26"/>
  <c r="AS193" i="27"/>
  <c r="AU193" i="27" s="1"/>
  <c r="AT147" i="27"/>
  <c r="AV151" i="27"/>
  <c r="AX151" i="27" s="1"/>
  <c r="AZ55" i="27"/>
  <c r="AZ53" i="27" s="1"/>
  <c r="AS91" i="27"/>
  <c r="AK41" i="27"/>
  <c r="AQ146" i="27"/>
  <c r="AQ148" i="27" s="1"/>
  <c r="AK90" i="27"/>
  <c r="AK94" i="27"/>
  <c r="AY97" i="27"/>
  <c r="BA97" i="27" s="1"/>
  <c r="BB147" i="27"/>
  <c r="BD147" i="27" s="1"/>
  <c r="AD91" i="27"/>
  <c r="AK55" i="27"/>
  <c r="AK53" i="27" s="1"/>
  <c r="BB161" i="27"/>
  <c r="BE91" i="27"/>
  <c r="BG91" i="27" s="1"/>
  <c r="AW149" i="27"/>
  <c r="BC93" i="27"/>
  <c r="AV34" i="27"/>
  <c r="AW161" i="27"/>
  <c r="AW159" i="27" s="1"/>
  <c r="AM105" i="27"/>
  <c r="AH193" i="27"/>
  <c r="BC55" i="27"/>
  <c r="BC53" i="27" s="1"/>
  <c r="AN105" i="27"/>
  <c r="AN103" i="27" s="1"/>
  <c r="AP137" i="27"/>
  <c r="AY191" i="27"/>
  <c r="BA191" i="27" s="1"/>
  <c r="AK150" i="27"/>
  <c r="AK152" i="27" s="1"/>
  <c r="AT38" i="27"/>
  <c r="AT40" i="27" s="1"/>
  <c r="AW61" i="27"/>
  <c r="AW59" i="27" s="1"/>
  <c r="BB34" i="27"/>
  <c r="AQ105" i="27"/>
  <c r="AQ103" i="27" s="1"/>
  <c r="AM94" i="27"/>
  <c r="BB94" i="27"/>
  <c r="BF78" i="27"/>
  <c r="BF80" i="27" s="1"/>
  <c r="AN150" i="27"/>
  <c r="AN152" i="27" s="1"/>
  <c r="AE161" i="27"/>
  <c r="AE159" i="27" s="1"/>
  <c r="AE137" i="27"/>
  <c r="AK49" i="27"/>
  <c r="AK47" i="27" s="1"/>
  <c r="BB93" i="27"/>
  <c r="BD93" i="27" s="1"/>
  <c r="AD78" i="27"/>
  <c r="AP111" i="27"/>
  <c r="AH79" i="27"/>
  <c r="AW35" i="27"/>
  <c r="AN193" i="27"/>
  <c r="AH81" i="27"/>
  <c r="BB190" i="27"/>
  <c r="AN173" i="27"/>
  <c r="AN171" i="27" s="1"/>
  <c r="AQ153" i="27"/>
  <c r="BC78" i="27"/>
  <c r="BC80" i="27" s="1"/>
  <c r="BE34" i="27"/>
  <c r="AD61" i="27"/>
  <c r="AN190" i="27"/>
  <c r="AN192" i="27" s="1"/>
  <c r="BC193" i="27"/>
  <c r="AS191" i="27"/>
  <c r="AU191" i="27" s="1"/>
  <c r="BE134" i="27"/>
  <c r="AD146" i="27"/>
  <c r="AJ38" i="27"/>
  <c r="AM91" i="27"/>
  <c r="AO91" i="27" s="1"/>
  <c r="AT39" i="27"/>
  <c r="AW191" i="27"/>
  <c r="AT79" i="27"/>
  <c r="BF94" i="27"/>
  <c r="BF96" i="27" s="1"/>
  <c r="AK37" i="27"/>
  <c r="AJ55" i="27"/>
  <c r="AW34" i="27"/>
  <c r="AW36" i="27" s="1"/>
  <c r="AE35" i="27"/>
  <c r="BF105" i="27"/>
  <c r="BF103" i="27" s="1"/>
  <c r="AM95" i="27"/>
  <c r="AE123" i="27"/>
  <c r="AE121" i="27" s="1"/>
  <c r="AG48" i="26"/>
  <c r="BB81" i="27"/>
  <c r="BD81" i="27" s="1"/>
  <c r="AZ167" i="27"/>
  <c r="AZ165" i="27" s="1"/>
  <c r="AV41" i="27"/>
  <c r="AX41" i="27" s="1"/>
  <c r="AP78" i="27"/>
  <c r="AW123" i="27"/>
  <c r="AW121" i="27" s="1"/>
  <c r="AK123" i="27"/>
  <c r="AK121" i="27" s="1"/>
  <c r="AE38" i="27"/>
  <c r="AE40" i="27" s="1"/>
  <c r="AE78" i="27"/>
  <c r="AE80" i="27" s="1"/>
  <c r="AV105" i="27"/>
  <c r="BF193" i="27"/>
  <c r="AM150" i="27"/>
  <c r="AN161" i="27"/>
  <c r="AN159" i="27" s="1"/>
  <c r="AK167" i="27"/>
  <c r="AK165" i="27" s="1"/>
  <c r="AW90" i="27"/>
  <c r="AY117" i="27"/>
  <c r="AG39" i="27"/>
  <c r="AI39" i="27" s="1"/>
  <c r="AG142" i="26"/>
  <c r="AZ117" i="27"/>
  <c r="AZ115" i="27" s="1"/>
  <c r="AZ38" i="27"/>
  <c r="AZ40" i="27" s="1"/>
  <c r="AV93" i="27"/>
  <c r="AE49" i="27"/>
  <c r="AE47" i="27" s="1"/>
  <c r="BC191" i="27"/>
  <c r="AS137" i="27"/>
  <c r="AH161" i="27"/>
  <c r="AH159" i="27" s="1"/>
  <c r="AE93" i="27"/>
  <c r="AY95" i="27"/>
  <c r="BA95" i="27" s="1"/>
  <c r="AJ193" i="27"/>
  <c r="AL193" i="27" s="1"/>
  <c r="AY35" i="27"/>
  <c r="BA35" i="27" s="1"/>
  <c r="AM90" i="27"/>
  <c r="AZ79" i="27"/>
  <c r="AV90" i="27"/>
  <c r="BB135" i="27"/>
  <c r="BD135" i="27" s="1"/>
  <c r="AN41" i="27"/>
  <c r="AM35" i="27"/>
  <c r="AO35" i="27" s="1"/>
  <c r="AE105" i="27"/>
  <c r="AE103" i="27" s="1"/>
  <c r="AK79" i="27"/>
  <c r="AP34" i="27"/>
  <c r="AG41" i="26"/>
  <c r="AH34" i="27"/>
  <c r="AH36" i="27" s="1"/>
  <c r="AG79" i="27"/>
  <c r="AI79" i="27" s="1"/>
  <c r="AH167" i="27"/>
  <c r="AH165" i="27" s="1"/>
  <c r="AQ161" i="27"/>
  <c r="AQ159" i="27" s="1"/>
  <c r="BB191" i="27"/>
  <c r="BD191" i="27" s="1"/>
  <c r="AD34" i="27"/>
  <c r="AG49" i="27"/>
  <c r="AN97" i="27"/>
  <c r="BF137" i="27"/>
  <c r="AQ37" i="27"/>
  <c r="AT191" i="27"/>
  <c r="AW153" i="27"/>
  <c r="AG94" i="27"/>
  <c r="AJ35" i="27"/>
  <c r="AL35" i="27" s="1"/>
  <c r="AV79" i="27"/>
  <c r="AX79" i="27" s="1"/>
  <c r="AS81" i="27"/>
  <c r="AU81" i="27" s="1"/>
  <c r="AZ49" i="27"/>
  <c r="AZ47" i="27" s="1"/>
  <c r="AQ135" i="27"/>
  <c r="AW38" i="27"/>
  <c r="AW40" i="27" s="1"/>
  <c r="AH153" i="27"/>
  <c r="AQ61" i="27"/>
  <c r="AQ59" i="27" s="1"/>
  <c r="AN35" i="27"/>
  <c r="AJ123" i="27"/>
  <c r="BC39" i="27"/>
  <c r="AV193" i="27"/>
  <c r="AX193" i="27" s="1"/>
  <c r="AZ39" i="27"/>
  <c r="BC79" i="27"/>
  <c r="AT123" i="27"/>
  <c r="AT121" i="27" s="1"/>
  <c r="AD105" i="27"/>
  <c r="AH91" i="27"/>
  <c r="AP55" i="27"/>
  <c r="AT137" i="27"/>
  <c r="BB90" i="27"/>
  <c r="AM167" i="27"/>
  <c r="AD149" i="27"/>
  <c r="AY38" i="27"/>
  <c r="AT117" i="27"/>
  <c r="AT115" i="27" s="1"/>
  <c r="AD193" i="27"/>
  <c r="BB37" i="27"/>
  <c r="BD37" i="27" s="1"/>
  <c r="AS151" i="27"/>
  <c r="AU151" i="27" s="1"/>
  <c r="BC135" i="27"/>
  <c r="AE61" i="27"/>
  <c r="AE59" i="27" s="1"/>
  <c r="AS37" i="27"/>
  <c r="AU37" i="27" s="1"/>
  <c r="AE91" i="27"/>
  <c r="AE95" i="27" s="1"/>
  <c r="AE81" i="27"/>
  <c r="AT61" i="27"/>
  <c r="AT59" i="27" s="1"/>
  <c r="AZ134" i="27"/>
  <c r="AY94" i="27"/>
  <c r="AN149" i="27"/>
  <c r="AK93" i="27"/>
  <c r="AT135" i="27"/>
  <c r="AE37" i="27"/>
  <c r="AY135" i="27"/>
  <c r="BA135" i="27" s="1"/>
  <c r="BF111" i="27"/>
  <c r="BF109" i="27" s="1"/>
  <c r="AG141" i="26"/>
  <c r="AT90" i="27"/>
  <c r="AJ191" i="27"/>
  <c r="AL191" i="27" s="1"/>
  <c r="AH95" i="27"/>
  <c r="AJ111" i="27"/>
  <c r="AZ37" i="27"/>
  <c r="AJ49" i="27"/>
  <c r="AP135" i="27"/>
  <c r="AR135" i="27" s="1"/>
  <c r="AM93" i="27"/>
  <c r="BC94" i="27"/>
  <c r="BC96" i="27" s="1"/>
  <c r="BE146" i="27"/>
  <c r="AJ94" i="27"/>
  <c r="AP41" i="27"/>
  <c r="AR41" i="27" s="1"/>
  <c r="AZ91" i="27"/>
  <c r="AM78" i="27"/>
  <c r="AS167" i="27"/>
  <c r="AN78" i="27"/>
  <c r="AN80" i="27" s="1"/>
  <c r="AH97" i="27"/>
  <c r="AT35" i="27"/>
  <c r="AH35" i="27"/>
  <c r="AG137" i="27"/>
  <c r="BE117" i="27"/>
  <c r="AS117" i="27"/>
  <c r="BE78" i="27"/>
  <c r="AH93" i="27"/>
  <c r="AJ135" i="27"/>
  <c r="BF161" i="27"/>
  <c r="BF159" i="27" s="1"/>
  <c r="AZ151" i="27"/>
  <c r="AZ149" i="27"/>
  <c r="AT161" i="27"/>
  <c r="AT159" i="27" s="1"/>
  <c r="AQ123" i="27"/>
  <c r="AQ121" i="27" s="1"/>
  <c r="AD67" i="27"/>
  <c r="AT91" i="27"/>
  <c r="AG150" i="27"/>
  <c r="AK135" i="27"/>
  <c r="AY153" i="27"/>
  <c r="BA153" i="27" s="1"/>
  <c r="AW91" i="27"/>
  <c r="BB55" i="27"/>
  <c r="AW55" i="27"/>
  <c r="AW53" i="27" s="1"/>
  <c r="AK161" i="27"/>
  <c r="AK159" i="27" s="1"/>
  <c r="AK39" i="27"/>
  <c r="AV35" i="27"/>
  <c r="AX35" i="27" s="1"/>
  <c r="AZ95" i="27"/>
  <c r="AQ149" i="27"/>
  <c r="AM39" i="27"/>
  <c r="AO39" i="27" s="1"/>
  <c r="AQ137" i="27"/>
  <c r="AH147" i="27"/>
  <c r="AW167" i="27"/>
  <c r="AW165" i="27" s="1"/>
  <c r="AP37" i="27"/>
  <c r="AR37" i="27" s="1"/>
  <c r="BF61" i="27"/>
  <c r="BF59" i="27" s="1"/>
  <c r="AZ135" i="27"/>
  <c r="BB179" i="27"/>
  <c r="AZ81" i="27"/>
  <c r="AJ67" i="27"/>
  <c r="AG151" i="26"/>
  <c r="AE135" i="27"/>
  <c r="AJ146" i="27"/>
  <c r="AH67" i="27"/>
  <c r="AH65" i="27" s="1"/>
  <c r="BE173" i="27"/>
  <c r="AE153" i="27"/>
  <c r="BC49" i="27"/>
  <c r="BC47" i="27" s="1"/>
  <c r="AW49" i="27"/>
  <c r="AW47" i="27" s="1"/>
  <c r="AY105" i="27"/>
  <c r="BE153" i="27"/>
  <c r="BG153" i="27" s="1"/>
  <c r="BC95" i="27"/>
  <c r="AP91" i="27"/>
  <c r="AP95" i="27"/>
  <c r="AY134" i="27"/>
  <c r="AM137" i="27"/>
  <c r="BE79" i="27"/>
  <c r="BG79" i="27" s="1"/>
  <c r="AD37" i="27"/>
  <c r="AF37" i="27" s="1"/>
  <c r="AD191" i="27"/>
  <c r="AF191" i="27" s="1"/>
  <c r="AG161" i="27"/>
  <c r="AP81" i="27"/>
  <c r="AR81" i="27" s="1"/>
  <c r="AM173" i="27"/>
  <c r="BC161" i="27"/>
  <c r="BC159" i="27" s="1"/>
  <c r="AG81" i="27"/>
  <c r="AI81" i="27" s="1"/>
  <c r="AG193" i="27"/>
  <c r="AI193" i="27" s="1"/>
  <c r="AT55" i="27"/>
  <c r="AT53" i="27" s="1"/>
  <c r="BF55" i="27"/>
  <c r="BF53" i="27" s="1"/>
  <c r="AV95" i="27"/>
  <c r="BF134" i="27"/>
  <c r="BF136" i="27" s="1"/>
  <c r="AV91" i="27"/>
  <c r="AX91" i="27" s="1"/>
  <c r="AP61" i="27"/>
  <c r="AS147" i="27"/>
  <c r="AU147" i="27" s="1"/>
  <c r="AS190" i="27"/>
  <c r="AK81" i="27"/>
  <c r="AK173" i="27"/>
  <c r="AK171" i="27" s="1"/>
  <c r="BB79" i="27"/>
  <c r="BD79" i="27" s="1"/>
  <c r="AW37" i="27"/>
  <c r="AN49" i="27"/>
  <c r="AN47" i="27" s="1"/>
  <c r="AW146" i="27"/>
  <c r="AW148" i="27" s="1"/>
  <c r="AQ134" i="27"/>
  <c r="AD55" i="27"/>
  <c r="AZ193" i="27"/>
  <c r="AG134" i="27"/>
  <c r="BC146" i="27"/>
  <c r="BC148" i="27" s="1"/>
  <c r="AY147" i="27"/>
  <c r="BA147" i="27" s="1"/>
  <c r="AK147" i="27"/>
  <c r="AJ97" i="27"/>
  <c r="AJ39" i="27"/>
  <c r="AL39" i="27" s="1"/>
  <c r="AM38" i="27"/>
  <c r="AS35" i="27"/>
  <c r="AU35" i="27" s="1"/>
  <c r="AJ79" i="27"/>
  <c r="AL79" i="27" s="1"/>
  <c r="AG145" i="26"/>
  <c r="BC34" i="27"/>
  <c r="BC36" i="27" s="1"/>
  <c r="AS97" i="27"/>
  <c r="AT94" i="27"/>
  <c r="AV38" i="27"/>
  <c r="AS41" i="27"/>
  <c r="AU41" i="27" s="1"/>
  <c r="AG34" i="27"/>
  <c r="AY41" i="27"/>
  <c r="BA41" i="27" s="1"/>
  <c r="AG43" i="26"/>
  <c r="AT93" i="27"/>
  <c r="BE193" i="27"/>
  <c r="BG193" i="27" s="1"/>
  <c r="AS67" i="27"/>
  <c r="BC105" i="27"/>
  <c r="BC103" i="27" s="1"/>
  <c r="BE94" i="27"/>
  <c r="BE150" i="27"/>
  <c r="AH173" i="27"/>
  <c r="AH171" i="27" s="1"/>
  <c r="AY90" i="27"/>
  <c r="AQ79" i="27"/>
  <c r="AE117" i="27"/>
  <c r="AE115" i="27" s="1"/>
  <c r="AP90" i="27"/>
  <c r="BB153" i="27"/>
  <c r="BD153" i="27" s="1"/>
  <c r="AH105" i="27"/>
  <c r="AH103" i="27" s="1"/>
  <c r="AQ147" i="27"/>
  <c r="BC35" i="27"/>
  <c r="BE38" i="27"/>
  <c r="AQ167" i="27"/>
  <c r="AQ165" i="27" s="1"/>
  <c r="AV150" i="27"/>
  <c r="AH135" i="27"/>
  <c r="AY81" i="27"/>
  <c r="BA81" i="27" s="1"/>
  <c r="BF91" i="27"/>
  <c r="AH151" i="27"/>
  <c r="AH55" i="27"/>
  <c r="AH53" i="27" s="1"/>
  <c r="AN111" i="27"/>
  <c r="AN109" i="27" s="1"/>
  <c r="BF37" i="27"/>
  <c r="AW39" i="27"/>
  <c r="AQ117" i="27"/>
  <c r="AQ115" i="27" s="1"/>
  <c r="AG87" i="26"/>
  <c r="BB193" i="27"/>
  <c r="BD193" i="27" s="1"/>
  <c r="AH146" i="27"/>
  <c r="AH148" i="27" s="1"/>
  <c r="AG42" i="26"/>
  <c r="BB49" i="27"/>
  <c r="AG91" i="26"/>
  <c r="BB95" i="27"/>
  <c r="BD95" i="27" s="1"/>
  <c r="AN95" i="27"/>
  <c r="AZ94" i="27"/>
  <c r="AZ96" i="27" s="1"/>
  <c r="AM135" i="27"/>
  <c r="AN146" i="27"/>
  <c r="AN148" i="27" s="1"/>
  <c r="AJ37" i="27"/>
  <c r="AL37" i="27" s="1"/>
  <c r="AG39" i="26"/>
  <c r="AN147" i="27"/>
  <c r="AS94" i="27"/>
  <c r="AE146" i="27"/>
  <c r="AK97" i="27"/>
  <c r="AQ90" i="27"/>
  <c r="AJ81" i="27"/>
  <c r="AL81" i="27" s="1"/>
  <c r="AP167" i="27"/>
  <c r="AN135" i="27"/>
  <c r="AY79" i="27"/>
  <c r="BA79" i="27" s="1"/>
  <c r="AJ134" i="27"/>
  <c r="AD81" i="27"/>
  <c r="AF81" i="27" s="1"/>
  <c r="BB134" i="27"/>
  <c r="AH137" i="27"/>
  <c r="AS105" i="27"/>
  <c r="BF190" i="27"/>
  <c r="BF192" i="27" s="1"/>
  <c r="AN134" i="27"/>
  <c r="AN136" i="27" s="1"/>
  <c r="AE67" i="27"/>
  <c r="AE65" i="27" s="1"/>
  <c r="AZ67" i="27"/>
  <c r="AZ65" i="27" s="1"/>
  <c r="AJ167" i="27"/>
  <c r="AP153" i="27"/>
  <c r="AR153" i="27" s="1"/>
  <c r="AK78" i="27"/>
  <c r="AK80" i="27" s="1"/>
  <c r="AD93" i="27"/>
  <c r="AF93" i="27" s="1"/>
  <c r="AT173" i="27"/>
  <c r="AT171" i="27" s="1"/>
  <c r="AN55" i="27"/>
  <c r="AN53" i="27" s="1"/>
  <c r="BC117" i="27"/>
  <c r="BC115" i="27" s="1"/>
  <c r="AG95" i="27"/>
  <c r="AJ153" i="27"/>
  <c r="AL153" i="27" s="1"/>
  <c r="AJ117" i="27"/>
  <c r="AQ150" i="27"/>
  <c r="AQ152" i="27" s="1"/>
  <c r="AN93" i="27"/>
  <c r="AW135" i="27"/>
  <c r="AG41" i="27"/>
  <c r="AI41" i="27" s="1"/>
  <c r="AW147" i="27"/>
  <c r="AW93" i="27"/>
  <c r="BE137" i="27"/>
  <c r="BG137" i="27" s="1"/>
  <c r="AE111" i="27"/>
  <c r="AE109" i="27" s="1"/>
  <c r="AP147" i="27"/>
  <c r="AR147" i="27" s="1"/>
  <c r="AV61" i="27"/>
  <c r="AY61" i="27"/>
  <c r="AW173" i="27"/>
  <c r="AW171" i="27" s="1"/>
  <c r="AZ93" i="27"/>
  <c r="AD90" i="27"/>
  <c r="AN151" i="27"/>
  <c r="AD134" i="27"/>
  <c r="AW111" i="27"/>
  <c r="AW109" i="27" s="1"/>
  <c r="AP38" i="27"/>
  <c r="AQ94" i="27"/>
  <c r="AY146" i="27"/>
  <c r="BB91" i="27"/>
  <c r="BD91" i="27" s="1"/>
  <c r="AV173" i="27"/>
  <c r="AJ105" i="27"/>
  <c r="AD137" i="27"/>
  <c r="AF137" i="27" s="1"/>
  <c r="AH111" i="27"/>
  <c r="AH109" i="27" s="1"/>
  <c r="AP117" i="27"/>
  <c r="BB123" i="27"/>
  <c r="AW41" i="27"/>
  <c r="AS39" i="27"/>
  <c r="AU39" i="27" s="1"/>
  <c r="AJ149" i="27"/>
  <c r="AL149" i="27" s="1"/>
  <c r="AP39" i="27"/>
  <c r="AR39" i="27" s="1"/>
  <c r="AE173" i="27"/>
  <c r="AE171" i="27" s="1"/>
  <c r="AJ91" i="27"/>
  <c r="AW137" i="27"/>
  <c r="BB38" i="27"/>
  <c r="AV123" i="27"/>
  <c r="AQ78" i="27"/>
  <c r="AQ80" i="27" s="1"/>
  <c r="AK67" i="27"/>
  <c r="AK65" i="27" s="1"/>
  <c r="AG49" i="26"/>
  <c r="AE134" i="27"/>
  <c r="BF147" i="27"/>
  <c r="BF191" i="27"/>
  <c r="AZ35" i="27"/>
  <c r="BE135" i="27"/>
  <c r="BG135" i="27" s="1"/>
  <c r="BB149" i="27"/>
  <c r="BD149" i="27" s="1"/>
  <c r="AW151" i="27"/>
  <c r="AT97" i="27"/>
  <c r="BF90" i="27"/>
  <c r="BF92" i="27" s="1"/>
  <c r="AY37" i="27"/>
  <c r="BA37" i="27" s="1"/>
  <c r="AG143" i="26"/>
  <c r="AJ190" i="27"/>
  <c r="AT81" i="27"/>
  <c r="AG37" i="27"/>
  <c r="AI37" i="27" s="1"/>
  <c r="AW117" i="27"/>
  <c r="AW115" i="27" s="1"/>
  <c r="AT193" i="27"/>
  <c r="BC123" i="27"/>
  <c r="BC121" i="27" s="1"/>
  <c r="AK146" i="27"/>
  <c r="AK148" i="27" s="1"/>
  <c r="AT150" i="27"/>
  <c r="AT152" i="27" s="1"/>
  <c r="AH150" i="27"/>
  <c r="AH152" i="27" s="1"/>
  <c r="AG35" i="27"/>
  <c r="AI35" i="27" s="1"/>
  <c r="AS93" i="27"/>
  <c r="AU93" i="27" s="1"/>
  <c r="AH61" i="27"/>
  <c r="AH59" i="27" s="1"/>
  <c r="AS146" i="27"/>
  <c r="AS90" i="27"/>
  <c r="AQ173" i="27"/>
  <c r="AQ171" i="27" s="1"/>
  <c r="AP35" i="27"/>
  <c r="AR35" i="27" s="1"/>
  <c r="AZ146" i="27"/>
  <c r="AZ148" i="27" s="1"/>
  <c r="AG37" i="26"/>
  <c r="BE55" i="27"/>
  <c r="AE149" i="27"/>
  <c r="AQ111" i="27"/>
  <c r="AQ109" i="27" s="1"/>
  <c r="AG105" i="27"/>
  <c r="BC167" i="27"/>
  <c r="BC165" i="27" s="1"/>
  <c r="AW94" i="27"/>
  <c r="BB173" i="27"/>
  <c r="AW134" i="27"/>
  <c r="AG55" i="27"/>
  <c r="AP149" i="27"/>
  <c r="AR149" i="27" s="1"/>
  <c r="AZ173" i="27"/>
  <c r="AZ171" i="27" s="1"/>
  <c r="BE39" i="27"/>
  <c r="BG39" i="27" s="1"/>
  <c r="AG151" i="27"/>
  <c r="AI151" i="27" s="1"/>
  <c r="AY49" i="27"/>
  <c r="AM191" i="27"/>
  <c r="AO191" i="27" s="1"/>
  <c r="AV55" i="27"/>
  <c r="BB146" i="27"/>
  <c r="AH179" i="27"/>
  <c r="AH177" i="27" s="1"/>
  <c r="AG89" i="26"/>
  <c r="AE190" i="27"/>
  <c r="AE192" i="27" s="1"/>
  <c r="AY93" i="27"/>
  <c r="BA93" i="27" s="1"/>
  <c r="AG88" i="26"/>
  <c r="AQ91" i="27"/>
  <c r="AM111" i="27"/>
  <c r="AQ34" i="27"/>
  <c r="AQ36" i="27" s="1"/>
  <c r="BB117" i="27"/>
  <c r="AT190" i="27"/>
  <c r="AT192" i="27" s="1"/>
  <c r="AZ147" i="27"/>
  <c r="AD147" i="27"/>
  <c r="AD41" i="27"/>
  <c r="AF41" i="27" s="1"/>
  <c r="AT146" i="27"/>
  <c r="AT148" i="27" s="1"/>
  <c r="AJ34" i="27"/>
  <c r="AT67" i="27"/>
  <c r="AT65" i="27" s="1"/>
  <c r="AZ34" i="27"/>
  <c r="AZ36" i="27" s="1"/>
  <c r="AH90" i="27"/>
  <c r="AH92" i="27" s="1"/>
  <c r="BC153" i="27"/>
  <c r="AN79" i="27"/>
  <c r="AE147" i="27"/>
  <c r="AE151" i="27" s="1"/>
  <c r="AH38" i="27"/>
  <c r="AH40" i="27" s="1"/>
  <c r="AJ78" i="27"/>
  <c r="AV153" i="27"/>
  <c r="AX153" i="27" s="1"/>
  <c r="AJ95" i="27"/>
  <c r="AG117" i="27"/>
  <c r="AG150" i="26"/>
  <c r="AD173" i="27"/>
  <c r="AJ137" i="27"/>
  <c r="AL137" i="27" s="1"/>
  <c r="AK105" i="27"/>
  <c r="AK103" i="27" s="1"/>
  <c r="AS55" i="27"/>
  <c r="BB151" i="27"/>
  <c r="BD151" i="27" s="1"/>
  <c r="AK95" i="27"/>
  <c r="AT153" i="27"/>
  <c r="AD35" i="27"/>
  <c r="AF35" i="27" s="1"/>
  <c r="AV134" i="27"/>
  <c r="AE167" i="27"/>
  <c r="AE165" i="27" s="1"/>
  <c r="AH190" i="27"/>
  <c r="AK91" i="27"/>
  <c r="AT37" i="27"/>
  <c r="AM61" i="27"/>
  <c r="BC149" i="27"/>
  <c r="AN137" i="27"/>
  <c r="AQ193" i="27"/>
  <c r="BE93" i="27"/>
  <c r="BG93" i="27" s="1"/>
  <c r="AK34" i="27"/>
  <c r="AK36" i="27" s="1"/>
  <c r="AD167" i="27"/>
  <c r="AD79" i="27"/>
  <c r="AF79" i="27" s="1"/>
  <c r="BB39" i="27"/>
  <c r="BD39" i="27" s="1"/>
  <c r="AG147" i="27"/>
  <c r="AI147" i="27" s="1"/>
  <c r="AP67" i="27"/>
  <c r="BF34" i="27"/>
  <c r="BF36" i="27" s="1"/>
  <c r="BC61" i="27"/>
  <c r="BC59" i="27" s="1"/>
  <c r="AP193" i="27"/>
  <c r="AR193" i="27" s="1"/>
  <c r="AM55" i="27"/>
  <c r="AE55" i="27"/>
  <c r="AE53" i="27" s="1"/>
  <c r="AW105" i="27"/>
  <c r="AW103" i="27" s="1"/>
  <c r="BB61" i="27"/>
  <c r="BF35" i="27"/>
  <c r="BB67" i="27"/>
  <c r="AJ90" i="27"/>
  <c r="BE161" i="27"/>
  <c r="BF79" i="27"/>
  <c r="AD111" i="27"/>
  <c r="BC38" i="27"/>
  <c r="BC40" i="27" s="1"/>
  <c r="AJ179" i="27"/>
  <c r="BE179" i="27"/>
  <c r="AZ191" i="27"/>
  <c r="AZ111" i="27"/>
  <c r="AZ109" i="27" s="1"/>
  <c r="AD135" i="27"/>
  <c r="AF135" i="27" s="1"/>
  <c r="AY111" i="27"/>
  <c r="AP151" i="27"/>
  <c r="AR151" i="27" s="1"/>
  <c r="AE41" i="27"/>
  <c r="AM34" i="27"/>
  <c r="AG138" i="26"/>
  <c r="AM161" i="27"/>
  <c r="BB111" i="27"/>
  <c r="AM81" i="27"/>
  <c r="AO81" i="27" s="1"/>
  <c r="AQ35" i="27"/>
  <c r="AZ105" i="27"/>
  <c r="AZ103" i="27" s="1"/>
  <c r="BF149" i="27"/>
  <c r="AJ151" i="27"/>
  <c r="AL151" i="27" s="1"/>
  <c r="AD39" i="27"/>
  <c r="AF39" i="27" s="1"/>
  <c r="BE190" i="27"/>
  <c r="AP93" i="27"/>
  <c r="AR93" i="27" s="1"/>
  <c r="AH94" i="27"/>
  <c r="AH96" i="27" s="1"/>
  <c r="AG173" i="27"/>
  <c r="AE97" i="27"/>
  <c r="BF39" i="27"/>
  <c r="AH149" i="27"/>
  <c r="AM67" i="27"/>
  <c r="AD97" i="27"/>
  <c r="AF97" i="27" s="1"/>
  <c r="BB167" i="27"/>
  <c r="BF67" i="27"/>
  <c r="BF65" i="27" s="1"/>
  <c r="AH37" i="27"/>
  <c r="AY123" i="27"/>
  <c r="AY78" i="27"/>
  <c r="AG146" i="27"/>
  <c r="AH191" i="27"/>
  <c r="AP97" i="27"/>
  <c r="BC179" i="27"/>
  <c r="BC177" i="27" s="1"/>
  <c r="BE97" i="27"/>
  <c r="BG97" i="27" s="1"/>
  <c r="AM134" i="27"/>
  <c r="AS34" i="27"/>
  <c r="AN61" i="27"/>
  <c r="AN59" i="27" s="1"/>
  <c r="AQ97" i="27"/>
  <c r="AG93" i="26"/>
  <c r="AY193" i="27"/>
  <c r="BA193" i="27" s="1"/>
  <c r="AZ61" i="27"/>
  <c r="AZ59" i="27" s="1"/>
  <c r="AV167" i="27"/>
  <c r="BF151" i="27"/>
  <c r="AM151" i="27"/>
  <c r="AO151" i="27" s="1"/>
  <c r="AQ49" i="27"/>
  <c r="AQ47" i="27" s="1"/>
  <c r="AN123" i="27"/>
  <c r="AN121" i="27" s="1"/>
  <c r="AK179" i="27"/>
  <c r="AK177" i="27" s="1"/>
  <c r="AG153" i="27"/>
  <c r="AI153" i="27" s="1"/>
  <c r="BC150" i="27"/>
  <c r="BC152" i="27" s="1"/>
  <c r="AD123" i="27"/>
  <c r="BF41" i="27"/>
  <c r="BF135" i="27"/>
  <c r="AZ153" i="27"/>
  <c r="AK151" i="27"/>
  <c r="AE90" i="27"/>
  <c r="AM153" i="27"/>
  <c r="AO153" i="27" s="1"/>
  <c r="AM41" i="27"/>
  <c r="AO41" i="27" s="1"/>
  <c r="AN191" i="27"/>
  <c r="AH49" i="27"/>
  <c r="AH47" i="27" s="1"/>
  <c r="BC190" i="27"/>
  <c r="BC192" i="27" s="1"/>
  <c r="AP190" i="27"/>
  <c r="BF179" i="27"/>
  <c r="BF177" i="27" s="1"/>
  <c r="AN90" i="27"/>
  <c r="AN92" i="27" s="1"/>
  <c r="AQ67" i="27"/>
  <c r="AQ65" i="27" s="1"/>
  <c r="BB35" i="27"/>
  <c r="BD35" i="27" s="1"/>
  <c r="BF153" i="27"/>
  <c r="AY167" i="27"/>
  <c r="AG97" i="27"/>
  <c r="AI97" i="27" s="1"/>
  <c r="AS49" i="27"/>
  <c r="AV161" i="27"/>
  <c r="AT34" i="27"/>
  <c r="AT36" i="27" s="1"/>
  <c r="AZ123" i="27"/>
  <c r="AZ121" i="27" s="1"/>
  <c r="AG179" i="27"/>
  <c r="AW79" i="27"/>
  <c r="AV135" i="27"/>
  <c r="AV117" i="27"/>
  <c r="AG90" i="26"/>
  <c r="BC134" i="27"/>
  <c r="BC136" i="27" s="1"/>
  <c r="AQ95" i="27"/>
  <c r="AQ151" i="27"/>
  <c r="AS153" i="27"/>
  <c r="AU153" i="27" s="1"/>
  <c r="AS161" i="27"/>
  <c r="AT95" i="27"/>
  <c r="AV179" i="27"/>
  <c r="AM149" i="27"/>
  <c r="AO149" i="27" s="1"/>
  <c r="AV49" i="27"/>
  <c r="AJ41" i="27"/>
  <c r="AL41" i="27" s="1"/>
  <c r="AH123" i="27"/>
  <c r="AH121" i="27" s="1"/>
  <c r="AN167" i="27"/>
  <c r="AN165" i="27" s="1"/>
  <c r="AV78" i="27"/>
  <c r="AS134" i="27"/>
  <c r="AY173" i="27"/>
  <c r="AG40" i="26"/>
  <c r="AS38" i="27"/>
  <c r="AT41" i="27"/>
  <c r="AZ161" i="27"/>
  <c r="AZ159" i="27" s="1"/>
  <c r="AN153" i="27"/>
  <c r="AM97" i="27"/>
  <c r="AO97" i="27" s="1"/>
  <c r="AG93" i="27"/>
  <c r="AI93" i="27" s="1"/>
  <c r="AG38" i="26"/>
  <c r="AT179" i="27"/>
  <c r="AT177" i="27" s="1"/>
  <c r="AG123" i="27"/>
  <c r="BC151" i="27"/>
  <c r="BE81" i="27"/>
  <c r="BG81" i="27" s="1"/>
  <c r="AT105" i="27"/>
  <c r="AT103" i="27" s="1"/>
  <c r="BF38" i="27"/>
  <c r="BF40" i="27" s="1"/>
  <c r="AK35" i="27"/>
  <c r="AQ38" i="27"/>
  <c r="AQ40" i="27" s="1"/>
  <c r="AS150" i="27"/>
  <c r="BE61" i="27"/>
  <c r="AZ97" i="27"/>
  <c r="AT149" i="27"/>
  <c r="AJ93" i="27"/>
  <c r="AL93" i="27" s="1"/>
  <c r="BE67" i="27"/>
  <c r="AE193" i="27"/>
  <c r="AJ61" i="27"/>
  <c r="BE41" i="27"/>
  <c r="BG41" i="27" s="1"/>
  <c r="AK190" i="27"/>
  <c r="AK192" i="27" s="1"/>
  <c r="AY39" i="27"/>
  <c r="BA39" i="27" s="1"/>
  <c r="AK61" i="27"/>
  <c r="AK59" i="27" s="1"/>
  <c r="BF117" i="27"/>
  <c r="BF115" i="27" s="1"/>
  <c r="AY151" i="27"/>
  <c r="BA151" i="27" s="1"/>
  <c r="AW67" i="27"/>
  <c r="AW65" i="27" s="1"/>
  <c r="AT167" i="27"/>
  <c r="AT165" i="27" s="1"/>
  <c r="AW95" i="27"/>
  <c r="AT111" i="27"/>
  <c r="AT109" i="27" s="1"/>
  <c r="AG149" i="27"/>
  <c r="AI149" i="27" s="1"/>
  <c r="AP173" i="27"/>
  <c r="AZ179" i="27"/>
  <c r="AZ177" i="27" s="1"/>
  <c r="BE35" i="27"/>
  <c r="BG35" i="27" s="1"/>
  <c r="AE34" i="27"/>
  <c r="AE36" i="27" s="1"/>
  <c r="BE167" i="27"/>
  <c r="BF81" i="27"/>
  <c r="BF167" i="27"/>
  <c r="BF165" i="27" s="1"/>
  <c r="AJ161" i="27"/>
  <c r="AG38" i="27"/>
  <c r="AW81" i="27"/>
  <c r="AG67" i="27"/>
  <c r="BF95" i="27"/>
  <c r="BE147" i="27"/>
  <c r="BG147" i="27" s="1"/>
  <c r="AS149" i="27"/>
  <c r="AU149" i="27" s="1"/>
  <c r="AH78" i="27"/>
  <c r="AH80" i="27" s="1"/>
  <c r="BB78" i="27"/>
  <c r="AG140" i="26"/>
  <c r="AG111" i="27"/>
  <c r="AK191" i="27"/>
  <c r="AS111" i="27"/>
  <c r="AS79" i="27"/>
  <c r="AU79" i="27" s="1"/>
  <c r="AM37" i="27"/>
  <c r="AO37" i="27" s="1"/>
  <c r="AV67" i="27"/>
  <c r="AQ190" i="27"/>
  <c r="AQ192" i="27" s="1"/>
  <c r="AH134" i="27"/>
  <c r="AH136" i="27" s="1"/>
  <c r="AM193" i="27"/>
  <c r="AO193" i="27" s="1"/>
  <c r="AM146" i="27"/>
  <c r="BF93" i="27"/>
  <c r="AH41" i="27"/>
  <c r="AV191" i="27"/>
  <c r="AX191" i="27" s="1"/>
  <c r="AY91" i="27"/>
  <c r="BA91" i="27" s="1"/>
  <c r="AN38" i="27"/>
  <c r="AN40" i="27" s="1"/>
  <c r="AG78" i="27"/>
  <c r="BB150" i="27"/>
  <c r="BE151" i="27"/>
  <c r="BG151" i="27" s="1"/>
  <c r="BC41" i="27"/>
  <c r="BC90" i="27"/>
  <c r="BC92" i="27" s="1"/>
  <c r="AS179" i="27"/>
  <c r="AG167" i="27"/>
  <c r="AK134" i="27"/>
  <c r="AK136" i="27" s="1"/>
  <c r="AQ191" i="27"/>
  <c r="AK117" i="27"/>
  <c r="AK115" i="27" s="1"/>
  <c r="AP146" i="27"/>
  <c r="AH164" i="30"/>
  <c r="AH157" i="30"/>
  <c r="AG158" i="30"/>
  <c r="AH158" i="30" s="1"/>
  <c r="AG165" i="30"/>
  <c r="AH165" i="30" s="1"/>
  <c r="AH166" i="30"/>
  <c r="AI95" i="27" l="1"/>
  <c r="AX135" i="27"/>
  <c r="AW136" i="27"/>
  <c r="AE136" i="27"/>
  <c r="AQ136" i="27"/>
  <c r="AP148" i="27"/>
  <c r="AR146" i="27"/>
  <c r="AI167" i="27"/>
  <c r="AG165" i="27"/>
  <c r="AI165" i="27" s="1"/>
  <c r="AO146" i="27"/>
  <c r="AM148" i="27"/>
  <c r="AX67" i="27"/>
  <c r="AV65" i="27"/>
  <c r="AX65" i="27" s="1"/>
  <c r="AI67" i="27"/>
  <c r="AG65" i="27"/>
  <c r="AI65" i="27" s="1"/>
  <c r="BG67" i="27"/>
  <c r="BE65" i="27"/>
  <c r="BG65" i="27" s="1"/>
  <c r="BG61" i="27"/>
  <c r="BE59" i="27"/>
  <c r="BG59" i="27" s="1"/>
  <c r="AI123" i="27"/>
  <c r="AG121" i="27"/>
  <c r="AI121" i="27" s="1"/>
  <c r="AS40" i="27"/>
  <c r="AU38" i="27"/>
  <c r="AV80" i="27"/>
  <c r="AX78" i="27"/>
  <c r="AX49" i="27"/>
  <c r="AV47" i="27"/>
  <c r="AX47" i="27" s="1"/>
  <c r="AS159" i="27"/>
  <c r="AU159" i="27" s="1"/>
  <c r="AU161" i="27"/>
  <c r="AX161" i="27"/>
  <c r="AV159" i="27"/>
  <c r="AX159" i="27" s="1"/>
  <c r="AF123" i="27"/>
  <c r="AD121" i="27"/>
  <c r="AF121" i="27" s="1"/>
  <c r="AX167" i="27"/>
  <c r="AV165" i="27"/>
  <c r="AX165" i="27" s="1"/>
  <c r="AI146" i="27"/>
  <c r="AG148" i="27"/>
  <c r="AM36" i="27"/>
  <c r="AO34" i="27"/>
  <c r="AL179" i="27"/>
  <c r="AJ177" i="27"/>
  <c r="AL177" i="27" s="1"/>
  <c r="BG161" i="27"/>
  <c r="BE159" i="27"/>
  <c r="BG159" i="27" s="1"/>
  <c r="BD61" i="27"/>
  <c r="BB59" i="27"/>
  <c r="BD59" i="27" s="1"/>
  <c r="AH192" i="27"/>
  <c r="AI117" i="27"/>
  <c r="AG115" i="27"/>
  <c r="AI115" i="27" s="1"/>
  <c r="BD173" i="27"/>
  <c r="BB171" i="27"/>
  <c r="BD171" i="27" s="1"/>
  <c r="AU146" i="27"/>
  <c r="AS148" i="27"/>
  <c r="AJ192" i="27"/>
  <c r="AL190" i="27"/>
  <c r="BB40" i="27"/>
  <c r="BD38" i="27"/>
  <c r="BD123" i="27"/>
  <c r="BB121" i="27"/>
  <c r="BD121" i="27" s="1"/>
  <c r="AL105" i="27"/>
  <c r="AJ103" i="27"/>
  <c r="AL103" i="27" s="1"/>
  <c r="AQ96" i="27"/>
  <c r="BA61" i="27"/>
  <c r="AY59" i="27"/>
  <c r="BA59" i="27" s="1"/>
  <c r="AL167" i="27"/>
  <c r="AJ165" i="27"/>
  <c r="AL165" i="27" s="1"/>
  <c r="AR167" i="27"/>
  <c r="AP165" i="27"/>
  <c r="AR165" i="27" s="1"/>
  <c r="AE150" i="27"/>
  <c r="AE152" i="27" s="1"/>
  <c r="AE148" i="27"/>
  <c r="AR90" i="27"/>
  <c r="AP92" i="27"/>
  <c r="AU67" i="27"/>
  <c r="AS65" i="27"/>
  <c r="AU65" i="27" s="1"/>
  <c r="AT96" i="27"/>
  <c r="AL97" i="27"/>
  <c r="AG136" i="27"/>
  <c r="AI134" i="27"/>
  <c r="AR61" i="27"/>
  <c r="AP59" i="27"/>
  <c r="AR59" i="27" s="1"/>
  <c r="AY136" i="27"/>
  <c r="BA134" i="27"/>
  <c r="BD179" i="27"/>
  <c r="BB177" i="27"/>
  <c r="BD177" i="27" s="1"/>
  <c r="AF67" i="27"/>
  <c r="AD65" i="27"/>
  <c r="AF65" i="27" s="1"/>
  <c r="BE80" i="27"/>
  <c r="BG78" i="27"/>
  <c r="AU167" i="27"/>
  <c r="AS165" i="27"/>
  <c r="AU165" i="27" s="1"/>
  <c r="AJ96" i="27"/>
  <c r="AL94" i="27"/>
  <c r="AF193" i="27"/>
  <c r="AO167" i="27"/>
  <c r="AM165" i="27"/>
  <c r="AO165" i="27" s="1"/>
  <c r="AF34" i="27"/>
  <c r="AD36" i="27"/>
  <c r="AX93" i="27"/>
  <c r="AR78" i="27"/>
  <c r="AP80" i="27"/>
  <c r="BE36" i="27"/>
  <c r="BG34" i="27"/>
  <c r="BD190" i="27"/>
  <c r="BB192" i="27"/>
  <c r="BD34" i="27"/>
  <c r="BB36" i="27"/>
  <c r="AK96" i="27"/>
  <c r="AU91" i="27"/>
  <c r="AZ92" i="27"/>
  <c r="AV96" i="27"/>
  <c r="AX94" i="27"/>
  <c r="AO190" i="27"/>
  <c r="AM192" i="27"/>
  <c r="AD40" i="27"/>
  <c r="AF38" i="27"/>
  <c r="AO49" i="27"/>
  <c r="AM47" i="27"/>
  <c r="AO47" i="27" s="1"/>
  <c r="AG32" i="26"/>
  <c r="AG30" i="26" s="1"/>
  <c r="AG28" i="26" s="1"/>
  <c r="BA190" i="27"/>
  <c r="AY192" i="27"/>
  <c r="AI61" i="27"/>
  <c r="AG59" i="27"/>
  <c r="AI59" i="27" s="1"/>
  <c r="AX97" i="27"/>
  <c r="AU95" i="27"/>
  <c r="AR161" i="27"/>
  <c r="AP159" i="27"/>
  <c r="AR159" i="27" s="1"/>
  <c r="BD150" i="27"/>
  <c r="BB152" i="27"/>
  <c r="AI111" i="27"/>
  <c r="AG109" i="27"/>
  <c r="AI109" i="27" s="1"/>
  <c r="AU150" i="27"/>
  <c r="AS152" i="27"/>
  <c r="AI179" i="27"/>
  <c r="AG177" i="27"/>
  <c r="AI177" i="27" s="1"/>
  <c r="AU49" i="27"/>
  <c r="AS47" i="27"/>
  <c r="AU47" i="27" s="1"/>
  <c r="AR190" i="27"/>
  <c r="AP192" i="27"/>
  <c r="AY80" i="27"/>
  <c r="BA78" i="27"/>
  <c r="BD167" i="27"/>
  <c r="BB165" i="27"/>
  <c r="BD165" i="27" s="1"/>
  <c r="BD111" i="27"/>
  <c r="BB109" i="27"/>
  <c r="BD109" i="27" s="1"/>
  <c r="AJ92" i="27"/>
  <c r="AL90" i="27"/>
  <c r="AO61" i="27"/>
  <c r="AM59" i="27"/>
  <c r="AO59" i="27" s="1"/>
  <c r="AL95" i="27"/>
  <c r="BD117" i="27"/>
  <c r="BB115" i="27"/>
  <c r="BD115" i="27" s="1"/>
  <c r="BA49" i="27"/>
  <c r="AY47" i="27"/>
  <c r="BA47" i="27" s="1"/>
  <c r="AW96" i="27"/>
  <c r="AR117" i="27"/>
  <c r="AP115" i="27"/>
  <c r="AR115" i="27" s="1"/>
  <c r="AX173" i="27"/>
  <c r="AV171" i="27"/>
  <c r="AX171" i="27" s="1"/>
  <c r="AP40" i="27"/>
  <c r="AR38" i="27"/>
  <c r="AD94" i="27"/>
  <c r="AF90" i="27"/>
  <c r="AD92" i="27"/>
  <c r="AX61" i="27"/>
  <c r="AV59" i="27"/>
  <c r="AX59" i="27" s="1"/>
  <c r="AU105" i="27"/>
  <c r="AS103" i="27"/>
  <c r="AU103" i="27" s="1"/>
  <c r="AJ136" i="27"/>
  <c r="AL134" i="27"/>
  <c r="AU94" i="27"/>
  <c r="AS96" i="27"/>
  <c r="AV152" i="27"/>
  <c r="AX150" i="27"/>
  <c r="BG150" i="27"/>
  <c r="BE152" i="27"/>
  <c r="AG36" i="27"/>
  <c r="AI34" i="27"/>
  <c r="AU97" i="27"/>
  <c r="AO173" i="27"/>
  <c r="AM171" i="27"/>
  <c r="AO171" i="27" s="1"/>
  <c r="AR95" i="27"/>
  <c r="AY103" i="27"/>
  <c r="BA103" i="27" s="1"/>
  <c r="BA105" i="27"/>
  <c r="BG173" i="27"/>
  <c r="BE171" i="27"/>
  <c r="BG171" i="27" s="1"/>
  <c r="AU117" i="27"/>
  <c r="AS115" i="27"/>
  <c r="AU115" i="27" s="1"/>
  <c r="AM80" i="27"/>
  <c r="AO78" i="27"/>
  <c r="BG146" i="27"/>
  <c r="BE148" i="27"/>
  <c r="AL49" i="27"/>
  <c r="AJ47" i="27"/>
  <c r="AL47" i="27" s="1"/>
  <c r="BD90" i="27"/>
  <c r="BB92" i="27"/>
  <c r="AF105" i="27"/>
  <c r="AD103" i="27"/>
  <c r="AF103" i="27" s="1"/>
  <c r="AI94" i="27"/>
  <c r="AG96" i="27"/>
  <c r="AV92" i="27"/>
  <c r="AX90" i="27"/>
  <c r="AU137" i="27"/>
  <c r="BA117" i="27"/>
  <c r="AY115" i="27"/>
  <c r="BA115" i="27" s="1"/>
  <c r="AO150" i="27"/>
  <c r="AM152" i="27"/>
  <c r="AJ40" i="27"/>
  <c r="AL38" i="27"/>
  <c r="AR111" i="27"/>
  <c r="AP109" i="27"/>
  <c r="AR109" i="27" s="1"/>
  <c r="BB96" i="27"/>
  <c r="BD94" i="27"/>
  <c r="AR137" i="27"/>
  <c r="AO105" i="27"/>
  <c r="AM103" i="27"/>
  <c r="AO103" i="27" s="1"/>
  <c r="AD95" i="27"/>
  <c r="AF95" i="27" s="1"/>
  <c r="AF91" i="27"/>
  <c r="AK92" i="27"/>
  <c r="AT136" i="27"/>
  <c r="AO117" i="27"/>
  <c r="AM115" i="27"/>
  <c r="AO115" i="27" s="1"/>
  <c r="AX137" i="27"/>
  <c r="AU135" i="27"/>
  <c r="AL173" i="27"/>
  <c r="AJ171" i="27"/>
  <c r="AL171" i="27" s="1"/>
  <c r="AR150" i="27"/>
  <c r="AP152" i="27"/>
  <c r="AI91" i="27"/>
  <c r="BG111" i="27"/>
  <c r="BE109" i="27"/>
  <c r="BG109" i="27" s="1"/>
  <c r="AF49" i="27"/>
  <c r="AD47" i="27"/>
  <c r="AF47" i="27" s="1"/>
  <c r="AG192" i="27"/>
  <c r="AI190" i="27"/>
  <c r="BA55" i="27"/>
  <c r="AY53" i="27"/>
  <c r="BA53" i="27" s="1"/>
  <c r="AI135" i="27"/>
  <c r="AU179" i="27"/>
  <c r="AS177" i="27"/>
  <c r="AU177" i="27" s="1"/>
  <c r="AG80" i="27"/>
  <c r="AI78" i="27"/>
  <c r="AG40" i="27"/>
  <c r="AI38" i="27"/>
  <c r="BG167" i="27"/>
  <c r="BE165" i="27"/>
  <c r="BG165" i="27" s="1"/>
  <c r="AR173" i="27"/>
  <c r="AP171" i="27"/>
  <c r="AR171" i="27" s="1"/>
  <c r="AJ59" i="27"/>
  <c r="AL59" i="27" s="1"/>
  <c r="AL61" i="27"/>
  <c r="BA173" i="27"/>
  <c r="AY171" i="27"/>
  <c r="BA171" i="27" s="1"/>
  <c r="AX179" i="27"/>
  <c r="AV177" i="27"/>
  <c r="AX177" i="27" s="1"/>
  <c r="AX117" i="27"/>
  <c r="AV115" i="27"/>
  <c r="AX115" i="27" s="1"/>
  <c r="AS36" i="27"/>
  <c r="AU34" i="27"/>
  <c r="AR97" i="27"/>
  <c r="BA123" i="27"/>
  <c r="AY121" i="27"/>
  <c r="BA121" i="27" s="1"/>
  <c r="BE192" i="27"/>
  <c r="BG190" i="27"/>
  <c r="AO161" i="27"/>
  <c r="AM159" i="27"/>
  <c r="AO159" i="27" s="1"/>
  <c r="AF111" i="27"/>
  <c r="AD109" i="27"/>
  <c r="AF109" i="27" s="1"/>
  <c r="BD67" i="27"/>
  <c r="BB65" i="27"/>
  <c r="BD65" i="27" s="1"/>
  <c r="AV136" i="27"/>
  <c r="AX134" i="27"/>
  <c r="AF173" i="27"/>
  <c r="AD171" i="27"/>
  <c r="AF171" i="27" s="1"/>
  <c r="AD151" i="27"/>
  <c r="AF151" i="27" s="1"/>
  <c r="AF147" i="27"/>
  <c r="BB148" i="27"/>
  <c r="BD146" i="27"/>
  <c r="AI55" i="27"/>
  <c r="AG53" i="27"/>
  <c r="AI53" i="27" s="1"/>
  <c r="BE53" i="27"/>
  <c r="BG53" i="27" s="1"/>
  <c r="BG55" i="27"/>
  <c r="AL91" i="27"/>
  <c r="AQ92" i="27"/>
  <c r="AO135" i="27"/>
  <c r="BG94" i="27"/>
  <c r="BE96" i="27"/>
  <c r="AO38" i="27"/>
  <c r="AM40" i="27"/>
  <c r="AF55" i="27"/>
  <c r="AD53" i="27"/>
  <c r="AF53" i="27" s="1"/>
  <c r="AS192" i="27"/>
  <c r="AU190" i="27"/>
  <c r="AR91" i="27"/>
  <c r="AL67" i="27"/>
  <c r="AJ65" i="27"/>
  <c r="AL65" i="27" s="1"/>
  <c r="BD55" i="27"/>
  <c r="BB53" i="27"/>
  <c r="BD53" i="27" s="1"/>
  <c r="AI150" i="27"/>
  <c r="AG152" i="27"/>
  <c r="AL135" i="27"/>
  <c r="BG117" i="27"/>
  <c r="BE115" i="27"/>
  <c r="BG115" i="27" s="1"/>
  <c r="AT92" i="27"/>
  <c r="BA94" i="27"/>
  <c r="AY96" i="27"/>
  <c r="BA38" i="27"/>
  <c r="AY40" i="27"/>
  <c r="AW92" i="27"/>
  <c r="AO95" i="27"/>
  <c r="AL55" i="27"/>
  <c r="AJ53" i="27"/>
  <c r="AL53" i="27" s="1"/>
  <c r="AD148" i="27"/>
  <c r="AD150" i="27"/>
  <c r="AF146" i="27"/>
  <c r="AF78" i="27"/>
  <c r="AD80" i="27"/>
  <c r="AO94" i="27"/>
  <c r="AM96" i="27"/>
  <c r="AG92" i="27"/>
  <c r="AI90" i="27"/>
  <c r="AU61" i="27"/>
  <c r="AS59" i="27"/>
  <c r="AU59" i="27" s="1"/>
  <c r="BA161" i="27"/>
  <c r="AY159" i="27"/>
  <c r="BA159" i="27" s="1"/>
  <c r="AV192" i="27"/>
  <c r="AX190" i="27"/>
  <c r="AX111" i="27"/>
  <c r="AV109" i="27"/>
  <c r="AX109" i="27" s="1"/>
  <c r="AO179" i="27"/>
  <c r="AM177" i="27"/>
  <c r="AO177" i="27" s="1"/>
  <c r="AP96" i="27"/>
  <c r="AR94" i="27"/>
  <c r="AU173" i="27"/>
  <c r="AS171" i="27"/>
  <c r="AU171" i="27" s="1"/>
  <c r="BE92" i="27"/>
  <c r="BG90" i="27"/>
  <c r="BA67" i="27"/>
  <c r="AY65" i="27"/>
  <c r="BA65" i="27" s="1"/>
  <c r="AJ152" i="27"/>
  <c r="AL150" i="27"/>
  <c r="BG49" i="27"/>
  <c r="BE47" i="27"/>
  <c r="BG47" i="27" s="1"/>
  <c r="AS80" i="27"/>
  <c r="AU78" i="27"/>
  <c r="AR134" i="27"/>
  <c r="AP136" i="27"/>
  <c r="BG105" i="27"/>
  <c r="BE103" i="27"/>
  <c r="BG103" i="27" s="1"/>
  <c r="AR49" i="27"/>
  <c r="AP47" i="27"/>
  <c r="AR47" i="27" s="1"/>
  <c r="AF161" i="27"/>
  <c r="AD159" i="27"/>
  <c r="AF159" i="27" s="1"/>
  <c r="AU111" i="27"/>
  <c r="AS109" i="27"/>
  <c r="AU109" i="27" s="1"/>
  <c r="BD78" i="27"/>
  <c r="BB80" i="27"/>
  <c r="AL161" i="27"/>
  <c r="AJ159" i="27"/>
  <c r="AL159" i="27" s="1"/>
  <c r="AS136" i="27"/>
  <c r="AU134" i="27"/>
  <c r="BA167" i="27"/>
  <c r="AY165" i="27"/>
  <c r="BA165" i="27" s="1"/>
  <c r="AE94" i="27"/>
  <c r="AE96" i="27" s="1"/>
  <c r="AE92" i="27"/>
  <c r="AM136" i="27"/>
  <c r="AO134" i="27"/>
  <c r="AM65" i="27"/>
  <c r="AO65" i="27" s="1"/>
  <c r="AO67" i="27"/>
  <c r="AI173" i="27"/>
  <c r="AG171" i="27"/>
  <c r="AI171" i="27" s="1"/>
  <c r="AG134" i="26"/>
  <c r="AG132" i="26" s="1"/>
  <c r="AG130" i="26" s="1"/>
  <c r="BA111" i="27"/>
  <c r="AY109" i="27"/>
  <c r="BA109" i="27" s="1"/>
  <c r="BG179" i="27"/>
  <c r="BE177" i="27"/>
  <c r="BG177" i="27" s="1"/>
  <c r="AO55" i="27"/>
  <c r="AM53" i="27"/>
  <c r="AO53" i="27" s="1"/>
  <c r="AR67" i="27"/>
  <c r="AP65" i="27"/>
  <c r="AR65" i="27" s="1"/>
  <c r="AF167" i="27"/>
  <c r="AD165" i="27"/>
  <c r="AF165" i="27" s="1"/>
  <c r="AS53" i="27"/>
  <c r="AU53" i="27" s="1"/>
  <c r="AU55" i="27"/>
  <c r="AJ80" i="27"/>
  <c r="AL78" i="27"/>
  <c r="AJ36" i="27"/>
  <c r="AL34" i="27"/>
  <c r="AO111" i="27"/>
  <c r="AM109" i="27"/>
  <c r="AO109" i="27" s="1"/>
  <c r="AX55" i="27"/>
  <c r="AV53" i="27"/>
  <c r="AX53" i="27" s="1"/>
  <c r="AI105" i="27"/>
  <c r="AG103" i="27"/>
  <c r="AI103" i="27" s="1"/>
  <c r="AS92" i="27"/>
  <c r="AU90" i="27"/>
  <c r="AX123" i="27"/>
  <c r="AV121" i="27"/>
  <c r="AX121" i="27" s="1"/>
  <c r="BA146" i="27"/>
  <c r="AY148" i="27"/>
  <c r="AF134" i="27"/>
  <c r="AD136" i="27"/>
  <c r="AL117" i="27"/>
  <c r="AJ115" i="27"/>
  <c r="AL115" i="27" s="1"/>
  <c r="BD134" i="27"/>
  <c r="BB136" i="27"/>
  <c r="BB47" i="27"/>
  <c r="BD47" i="27" s="1"/>
  <c r="BD49" i="27"/>
  <c r="AG83" i="26"/>
  <c r="AG81" i="26" s="1"/>
  <c r="AG79" i="26" s="1"/>
  <c r="BE40" i="27"/>
  <c r="BG38" i="27"/>
  <c r="BA90" i="27"/>
  <c r="AY92" i="27"/>
  <c r="AV40" i="27"/>
  <c r="AX38" i="27"/>
  <c r="AX95" i="27"/>
  <c r="AG159" i="27"/>
  <c r="AI159" i="27" s="1"/>
  <c r="AI161" i="27"/>
  <c r="AO137" i="27"/>
  <c r="AJ148" i="27"/>
  <c r="AL146" i="27"/>
  <c r="AI137" i="27"/>
  <c r="AO93" i="27"/>
  <c r="AL111" i="27"/>
  <c r="AJ109" i="27"/>
  <c r="AL109" i="27" s="1"/>
  <c r="AZ136" i="27"/>
  <c r="AF149" i="27"/>
  <c r="AR55" i="27"/>
  <c r="AP53" i="27"/>
  <c r="AR53" i="27" s="1"/>
  <c r="AL123" i="27"/>
  <c r="AJ121" i="27"/>
  <c r="AL121" i="27" s="1"/>
  <c r="AI49" i="27"/>
  <c r="AG47" i="27"/>
  <c r="AI47" i="27" s="1"/>
  <c r="AR34" i="27"/>
  <c r="AP36" i="27"/>
  <c r="AO90" i="27"/>
  <c r="AM92" i="27"/>
  <c r="AX105" i="27"/>
  <c r="AV103" i="27"/>
  <c r="AX103" i="27" s="1"/>
  <c r="BE136" i="27"/>
  <c r="BG134" i="27"/>
  <c r="AF61" i="27"/>
  <c r="AD59" i="27"/>
  <c r="AF59" i="27" s="1"/>
  <c r="AV36" i="27"/>
  <c r="AX34" i="27"/>
  <c r="BD161" i="27"/>
  <c r="BB159" i="27"/>
  <c r="BD159" i="27" s="1"/>
  <c r="AF190" i="27"/>
  <c r="AD192" i="27"/>
  <c r="AV148" i="27"/>
  <c r="AX146" i="27"/>
  <c r="BD105" i="27"/>
  <c r="BB103" i="27"/>
  <c r="BD103" i="27" s="1"/>
  <c r="AU123" i="27"/>
  <c r="AS121" i="27"/>
  <c r="AU121" i="27" s="1"/>
  <c r="BA179" i="27"/>
  <c r="AY177" i="27"/>
  <c r="BA177" i="27" s="1"/>
  <c r="AF153" i="27"/>
  <c r="AO123" i="27"/>
  <c r="AM121" i="27"/>
  <c r="AO121" i="27" s="1"/>
  <c r="BG123" i="27"/>
  <c r="BE121" i="27"/>
  <c r="BG121" i="27" s="1"/>
  <c r="BA150" i="27"/>
  <c r="AY152" i="27"/>
  <c r="AR123" i="27"/>
  <c r="AP121" i="27"/>
  <c r="AR121" i="27" s="1"/>
  <c r="AR105" i="27"/>
  <c r="AP103" i="27"/>
  <c r="AR103" i="27" s="1"/>
  <c r="AF179" i="27"/>
  <c r="AD177" i="27"/>
  <c r="AF177" i="27" s="1"/>
  <c r="AF117" i="27"/>
  <c r="AD115" i="27"/>
  <c r="AF115" i="27" s="1"/>
  <c r="AN96" i="27"/>
  <c r="AY36" i="27"/>
  <c r="BA34" i="27"/>
  <c r="AR179" i="27"/>
  <c r="AP177" i="27"/>
  <c r="AR177" i="27" s="1"/>
  <c r="AH161" i="30"/>
  <c r="AG179" i="26" l="1"/>
  <c r="AT423" i="29" s="1"/>
  <c r="AT427" i="29"/>
  <c r="AG77" i="26"/>
  <c r="AT139" i="29"/>
  <c r="AT139" i="30"/>
  <c r="AD96" i="27"/>
  <c r="AF94" i="27"/>
  <c r="AF150" i="27"/>
  <c r="AD152" i="27"/>
  <c r="AG128" i="26"/>
  <c r="AT279" i="29" s="1"/>
  <c r="AT283" i="30"/>
  <c r="AT279" i="30" s="1"/>
  <c r="AT283" i="29"/>
  <c r="BE279" i="30" l="1"/>
  <c r="AT295" i="30"/>
  <c r="AT293" i="30"/>
  <c r="AT135" i="29"/>
  <c r="AT135" i="30"/>
  <c r="BE279" i="29"/>
  <c r="AT293" i="29"/>
  <c r="AT295" i="29"/>
  <c r="BE423" i="29"/>
  <c r="AT437" i="29"/>
  <c r="AT439" i="29"/>
  <c r="BE439" i="29" l="1"/>
  <c r="BD439" i="29"/>
  <c r="AT448" i="29"/>
  <c r="AT449" i="29"/>
  <c r="AT446" i="29"/>
  <c r="BE295" i="29"/>
  <c r="BD295" i="29"/>
  <c r="BE135" i="29"/>
  <c r="AT151" i="29"/>
  <c r="BE151" i="29" s="1"/>
  <c r="BE295" i="30"/>
  <c r="BD295" i="30"/>
  <c r="BE135" i="30"/>
  <c r="AT151" i="30"/>
  <c r="BE151" i="30" s="1"/>
  <c r="BD449" i="29" l="1"/>
  <c r="BE449" i="29"/>
  <c r="AU444" i="29" a="1"/>
  <c r="AU444" i="29" s="1"/>
  <c r="AU447" i="29" s="1"/>
  <c r="AT454" i="2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<sst xmlns="http://schemas.openxmlformats.org/spreadsheetml/2006/main" count="24412" uniqueCount="4586">
  <si>
    <t>Расположение</t>
  </si>
  <si>
    <t>Тип</t>
  </si>
  <si>
    <t>Комментарий</t>
  </si>
  <si>
    <t xml:space="preserve"> (требуется обновление)</t>
  </si>
  <si>
    <t>Код отчёта: EXPERT.VSVO.2026.EIAS</t>
  </si>
  <si>
    <t>Версия отчёта: 1.0.9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</si>
  <si>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</si>
  <si>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</si>
  <si>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</si>
  <si>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</si>
  <si>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</si>
  <si>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</si>
  <si>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</si>
  <si>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</si>
  <si>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</si>
  <si>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</si>
  <si>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</si>
  <si>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</si>
  <si>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</si>
  <si>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</si>
  <si>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</si>
  <si>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</si>
  <si>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</si>
  <si>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</si>
  <si>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</si>
  <si>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</si>
  <si>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</si>
  <si>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u/>
        <sz val="9"/>
        <color rgb="FFFF0000"/>
        <rFont val="Tahoma"/>
        <family val="2"/>
        <charset val="204"/>
      </rPr>
      <t>от 27.06.2013 N 543 (ред. от 17.08.2020)</t>
    </r>
    <r>
      <rPr>
        <sz val="9"/>
        <rFont val="Tahoma"/>
        <family val="2"/>
        <charset val="204"/>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</si>
  <si>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</si>
  <si>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</si>
  <si>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</si>
  <si>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</si>
  <si>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</si>
  <si>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</si>
  <si>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</si>
  <si>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</si>
  <si>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</si>
  <si>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</si>
  <si>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</si>
  <si>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</si>
  <si>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</si>
  <si>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</si>
  <si>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</si>
  <si>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</si>
  <si>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</si>
  <si>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</si>
  <si>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</si>
  <si>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</si>
  <si>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</si>
  <si>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</si>
  <si>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</si>
  <si>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</si>
  <si>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</si>
  <si>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отобразить</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</si>
  <si>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</si>
  <si>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</si>
  <si>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</si>
  <si>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</si>
  <si>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</si>
  <si>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</si>
  <si>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</si>
  <si>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</si>
  <si>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</si>
  <si>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</si>
  <si>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</si>
  <si>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</si>
  <si>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</si>
  <si>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</si>
  <si>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</si>
  <si>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</si>
  <si>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</si>
  <si>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</si>
  <si>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</si>
  <si>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</si>
  <si>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</si>
  <si>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</si>
  <si>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</si>
  <si>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</si>
  <si>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</si>
  <si>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</si>
  <si>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</si>
  <si>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</si>
  <si>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</si>
  <si>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</si>
  <si>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</si>
  <si>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</si>
  <si>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</si>
  <si>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</si>
  <si>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</si>
  <si>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</si>
  <si>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</si>
  <si>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</si>
  <si>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</si>
  <si>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</si>
  <si>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</si>
  <si>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</si>
  <si>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</si>
  <si>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</si>
  <si>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</si>
  <si>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</si>
  <si>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</si>
  <si>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</si>
  <si>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</si>
  <si>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</si>
  <si>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</si>
  <si>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</si>
  <si>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</si>
  <si>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</si>
  <si>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</si>
  <si>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</si>
  <si>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</si>
  <si>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"Чистая вода"</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</si>
  <si>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</si>
  <si>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</si>
  <si>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"Чистая вода"</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</si>
  <si>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</si>
  <si>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</si>
  <si>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</si>
  <si>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1214200011321</t>
  </si>
  <si>
    <t>ИНН</t>
  </si>
  <si>
    <t>4246023100</t>
  </si>
  <si>
    <t>КПП</t>
  </si>
  <si>
    <t>424601001</t>
  </si>
  <si>
    <t>Код по ОКПО</t>
  </si>
  <si>
    <t>59209528</t>
  </si>
  <si>
    <t>L2_7</t>
  </si>
  <si>
    <t>Организационно-правовая форма</t>
  </si>
  <si>
    <t>1 23 00 | Общества с ограниченной ответственностью</t>
  </si>
  <si>
    <t>L2_8</t>
  </si>
  <si>
    <t>Юридический адрес</t>
  </si>
  <si>
    <t>652470,Кемеровская область-Кузбасс, г. Анжеро-Судженск, ул. Горняцкая, д. 4</t>
  </si>
  <si>
    <t>L2_9</t>
  </si>
  <si>
    <t>Фактический адрес</t>
  </si>
  <si>
    <t>L2_10</t>
  </si>
  <si>
    <t>Телефон организации</t>
  </si>
  <si>
    <t>8-384-53-5-05-63</t>
  </si>
  <si>
    <t>L2_11</t>
  </si>
  <si>
    <t>e-mail</t>
  </si>
  <si>
    <t>chistaya_voda@internet.ru</t>
  </si>
  <si>
    <t>L2_12</t>
  </si>
  <si>
    <t>ФИО руководителя</t>
  </si>
  <si>
    <t>Баранов Евгений Сергеевич</t>
  </si>
  <si>
    <t>L2_13</t>
  </si>
  <si>
    <t>Должность руководителя</t>
  </si>
  <si>
    <t>генеральный директор</t>
  </si>
  <si>
    <t>L2_14</t>
  </si>
  <si>
    <t>Официальный сайт регулируемой организации в сети "Интернет"</t>
  </si>
  <si>
    <t/>
  </si>
  <si>
    <t>L2_15</t>
  </si>
  <si>
    <t>Государственное и (или) муниципальное участие в юридическом лице</t>
  </si>
  <si>
    <t>Наличие</t>
  </si>
  <si>
    <t>да</t>
  </si>
  <si>
    <t>L3_1</t>
  </si>
  <si>
    <t>Сведения о доле, %</t>
  </si>
  <si>
    <t>50 % и более</t>
  </si>
  <si>
    <t>L3_2</t>
  </si>
  <si>
    <t>Преобладающий тип собственности в юридическом лице</t>
  </si>
  <si>
    <t>частная</t>
  </si>
  <si>
    <t>L3_3</t>
  </si>
  <si>
    <t>Наличие раздельного учёта затрат по регулируемым видам деятельности в сфере холодного водоснабжения / водоотведения</t>
  </si>
  <si>
    <t>L4_1</t>
  </si>
  <si>
    <t>Система налогообложения</t>
  </si>
  <si>
    <t>ОСНО</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</si>
  <si>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</si>
  <si>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</si>
  <si>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</si>
  <si>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</si>
  <si>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</si>
  <si>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</si>
  <si>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</si>
  <si>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</si>
  <si>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https://portal.eias.ru/Portal/DownloadPage.aspx?type=12&amp;guid=305c7425-72c2-4c3a-852a-fab9ca4bb4b5</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</si>
  <si>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</si>
  <si>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</si>
  <si>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</si>
  <si>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</si>
  <si>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</si>
  <si>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</si>
  <si>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</si>
  <si>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</si>
  <si>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</si>
  <si>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</si>
  <si>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</si>
  <si>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</si>
  <si>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</si>
  <si>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</si>
  <si>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</si>
  <si>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</si>
  <si>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</si>
  <si>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</si>
  <si>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</si>
  <si>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нет</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</si>
  <si>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</si>
  <si>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</si>
  <si>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</si>
  <si>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</si>
  <si>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</si>
  <si>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</si>
  <si>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</si>
  <si>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</si>
  <si>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</si>
  <si>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</si>
  <si>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Схема водоснабжения и водоотведения Анжеро-Судженского городского округа на перспективу до 2031 года</t>
  </si>
  <si>
    <t>постановление</t>
  </si>
  <si>
    <t>1693</t>
  </si>
  <si>
    <t>https://portal.eias.ru/Portal/DownloadPage.aspx?type=12&amp;guid=36169690-4aec-42fa-983c-43071d91daf3</t>
  </si>
  <si>
    <t>HAS_DOC4</t>
  </si>
  <si>
    <t>Наличие закона субъекта по льготным тарифам</t>
  </si>
  <si>
    <t>L4_9</t>
  </si>
  <si>
    <t>"Об установлении льготных цен (тарифов) на холодное, горячее водоснабжение, водоотведение, тепловую энергию (мощность), твердое топливо, сжиженный газ на территории Анжеро-Судженского городского округа"</t>
  </si>
  <si>
    <t>749</t>
  </si>
  <si>
    <t>https://data-platform.ru/lk/ru_6_42/?public_token=NDA1MjAxMzE7YnB0cg==#/</t>
  </si>
  <si>
    <t>HAS_DOC5</t>
  </si>
  <si>
    <t>L4_10</t>
  </si>
  <si>
    <t>Об утверждении инвестиционной программы ООО «Чистая вода» в сфере холодного водоснабжения и водоотведения на территории Анжеро-Судженского городского округа на 2024-2032 годы</t>
  </si>
  <si>
    <t>109</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</si>
  <si>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</si>
  <si>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</si>
  <si>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</si>
  <si>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</si>
  <si>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</si>
  <si>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</si>
  <si>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Концессионное соглашение в отношении объектов водоотведения, находящихся в собственности муниципального образования "Анжеро-Судженский городской округ"</t>
  </si>
  <si>
    <t>Концессионное соглашение</t>
  </si>
  <si>
    <t>24</t>
  </si>
  <si>
    <t>Дата начала реализации / действия концессионного соглашения</t>
  </si>
  <si>
    <t>Дата окончания реализации / действия концессионного соглашения</t>
  </si>
  <si>
    <t>Концессионное соглашение в отношении объектов водоснабжения, находящихся в собственности муниципального образования "Анжеро-Судженский городской округ"</t>
  </si>
  <si>
    <t>25</t>
  </si>
  <si>
    <t>Иные сведения</t>
  </si>
  <si>
    <t>L4_13</t>
  </si>
  <si>
    <t>Полезный отпуск рассчитывается с учётом собственных нужд предприятия _x000D_
(п.8.1 баланса ВС и п.3 баланса ВО)</t>
  </si>
  <si>
    <t>L4_14</t>
  </si>
  <si>
    <t>Данные об ответственном исполнителе от организации</t>
  </si>
  <si>
    <t>ФИО исполнителя</t>
  </si>
  <si>
    <t>Зарубина Елена Анатольевна</t>
  </si>
  <si>
    <t>L5_1</t>
  </si>
  <si>
    <t>Должность исполнителя</t>
  </si>
  <si>
    <t>экономист</t>
  </si>
  <si>
    <t>L5_2</t>
  </si>
  <si>
    <t>Контактный телефон исполнителя</t>
  </si>
  <si>
    <t>8 (38453) 5-05-63</t>
  </si>
  <si>
    <t>L5_3</t>
  </si>
  <si>
    <t>e-mail исполнителя</t>
  </si>
  <si>
    <t>eazarubina23@mail.ru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</si>
  <si>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</si>
  <si>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</si>
  <si>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</si>
  <si>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</si>
  <si>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</si>
  <si>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</si>
  <si>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</si>
  <si>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</si>
  <si>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</si>
  <si>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</si>
  <si>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</si>
  <si>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</si>
  <si>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</si>
  <si>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</si>
  <si>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</si>
  <si>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</si>
  <si>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</si>
  <si>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</si>
  <si>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</si>
  <si>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</si>
  <si>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126</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</si>
  <si>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</si>
  <si>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</si>
  <si>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</si>
  <si>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</si>
  <si>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</si>
  <si>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</si>
  <si>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</si>
  <si>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</si>
  <si>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</si>
  <si>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</si>
  <si>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</si>
  <si>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</si>
  <si>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</si>
  <si>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</si>
  <si>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</si>
  <si>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</si>
  <si>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</si>
  <si>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</si>
  <si>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ХВС.42.31528492.0006</t>
  </si>
  <si>
    <t>тариф на питьевую воду</t>
  </si>
  <si>
    <t>одноставочный</t>
  </si>
  <si>
    <t>Производство (подъём / добыча) воды :: Очистка воды :: Транспортировка воды</t>
  </si>
  <si>
    <t>питьевая вода</t>
  </si>
  <si>
    <t>2</t>
  </si>
  <si>
    <t>Водоотведение</t>
  </si>
  <si>
    <t>ВО.42.31528492.0005</t>
  </si>
  <si>
    <t>тариф на водоотведение</t>
  </si>
  <si>
    <t>Приём сточных вод :: Очистка сточных вод :: Транспортировка сточных вод</t>
  </si>
  <si>
    <t>без дифференциации</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</si>
  <si>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</si>
  <si>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</si>
  <si>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</si>
  <si>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</si>
  <si>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</si>
  <si>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34-ВС и ВО</t>
  </si>
  <si>
    <t>L7_2</t>
  </si>
  <si>
    <t>ФИО уполномоченного по делу</t>
  </si>
  <si>
    <t>Ланщикова Марина Сергеевна</t>
  </si>
  <si>
    <t>L7_3</t>
  </si>
  <si>
    <t>Должность уполномоченного по делу</t>
  </si>
  <si>
    <t>ведущий консультант</t>
  </si>
  <si>
    <t>L7_4</t>
  </si>
  <si>
    <t>Контактный телефон уполномоченного по делу</t>
  </si>
  <si>
    <t>8 (3842) 36-65-85</t>
  </si>
  <si>
    <t>L7_5</t>
  </si>
  <si>
    <t>e-mail уполномоченного по делу</t>
  </si>
  <si>
    <t>lanshikova-mc@recko.ako.ru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</si>
  <si>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</si>
  <si>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</si>
  <si>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</si>
  <si>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</si>
  <si>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</si>
  <si>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</si>
  <si>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</si>
  <si>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</si>
  <si>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</si>
  <si>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</si>
  <si>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</si>
  <si>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</si>
  <si>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</si>
  <si>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</si>
  <si>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</si>
  <si>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</si>
  <si>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</si>
  <si>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</si>
  <si>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</si>
  <si>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</si>
  <si>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</si>
  <si>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</si>
  <si>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</si>
  <si>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</si>
  <si>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</si>
  <si>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</si>
  <si>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</si>
  <si>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</si>
  <si>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</si>
  <si>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</si>
  <si>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</si>
  <si>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</si>
  <si>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</si>
  <si>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</si>
  <si>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</si>
  <si>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</si>
  <si>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</si>
  <si>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</si>
  <si>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Анжеро-Судженск</t>
  </si>
  <si>
    <t>32704000</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</si>
  <si>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</si>
  <si>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</si>
  <si>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</si>
  <si>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</si>
  <si>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</si>
  <si>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</si>
  <si>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</si>
  <si>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</si>
  <si>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</si>
  <si>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</si>
  <si>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</si>
  <si>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</si>
  <si>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</si>
  <si>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</si>
  <si>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</si>
  <si>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</si>
  <si>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</si>
  <si>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</si>
  <si>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</si>
  <si>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</si>
  <si>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</si>
  <si>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</si>
  <si>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</si>
  <si>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</si>
  <si>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</si>
  <si>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</si>
  <si>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</si>
  <si>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</si>
  <si>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</si>
  <si>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</si>
  <si>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</si>
  <si>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</si>
  <si>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</si>
  <si>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</si>
  <si>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</si>
  <si>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</si>
  <si>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</si>
  <si>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</si>
  <si>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</si>
  <si>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</si>
  <si>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</si>
  <si>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</si>
  <si>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</si>
  <si>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</si>
  <si>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</si>
  <si>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</si>
  <si>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 xml:space="preserve">Схема водозабора: вода из реки Яя через водоприемные окна поступает в водоприемный колодец, проходя через грубую очистку на решетках. Далее проходя через сетки, вода поступает во всасывающую камеру, затем насосами 1-го подъема вода подается на очистные водопроводные сооружения. Водозаборные и очистные сооружения расположены на одной площадке. На водопроводных сетях г. Анжеро-Судженска находятся подкачивающие насосные станции. С учетом рельефа местности объем поднятой и очищенной воды с водозабора транспортируется потребителям г. Анжеро-Судженск и пгт. Рудничный. </t>
  </si>
  <si>
    <t xml:space="preserve"> Сточные воды от десяти насосных станций по напорным коллекторам направляются в городской канализационный самотечный коллектор и поступают на главную насосную станцию (ГНС). От ГНС по канализационному напорному коллектору стоки поступают на очистные канализационные сооружения, где очищаются и сбрасываются в р. Алчедат.</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</si>
  <si>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</si>
  <si>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</si>
  <si>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</si>
  <si>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</si>
  <si>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</si>
  <si>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</si>
  <si>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</si>
  <si>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</si>
  <si>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</si>
  <si>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</si>
  <si>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</si>
  <si>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</si>
  <si>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</si>
  <si>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</si>
  <si>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</si>
  <si>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</si>
  <si>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</si>
  <si>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</si>
  <si>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</si>
  <si>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</si>
  <si>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</si>
  <si>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</si>
  <si>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Водопроводные сети города</t>
  </si>
  <si>
    <t>г Анжеро-Судженск, г Анжеро-Судженск, -</t>
  </si>
  <si>
    <t>концессионное соглашение</t>
  </si>
  <si>
    <t>соглашение</t>
  </si>
  <si>
    <t>22.04.2024</t>
  </si>
  <si>
    <t>до 31.12.2032</t>
  </si>
  <si>
    <t>Насосная станция Лебедянка</t>
  </si>
  <si>
    <t>г Анжеро-Судженск, район ул. Семеновка, -</t>
  </si>
  <si>
    <t>аренда</t>
  </si>
  <si>
    <t>договор</t>
  </si>
  <si>
    <t>55-Н/2023</t>
  </si>
  <si>
    <t>01.12.2023</t>
  </si>
  <si>
    <t>Станция насосная водопроводная "Гидроузел"</t>
  </si>
  <si>
    <t>г Анжеро-Судженск, ул. Комбайновая, -</t>
  </si>
  <si>
    <t>43-Н/2022</t>
  </si>
  <si>
    <t>01.12.2022</t>
  </si>
  <si>
    <t>Насосная станция 3-го подъема</t>
  </si>
  <si>
    <t>г Анжеро-Судженск, ул. Сеченова, -</t>
  </si>
  <si>
    <t>4</t>
  </si>
  <si>
    <t>Водопроводные сети пгт. Рудничный</t>
  </si>
  <si>
    <t>пгт Рудничный, пгт. Рудничный, -</t>
  </si>
  <si>
    <t>5</t>
  </si>
  <si>
    <t>Здание насосной станции 1-го подъема</t>
  </si>
  <si>
    <t>6</t>
  </si>
  <si>
    <t>Здание насосной станции 2-го подъема</t>
  </si>
  <si>
    <t>7</t>
  </si>
  <si>
    <t>Очистные водопроводные сооружения</t>
  </si>
  <si>
    <t>8</t>
  </si>
  <si>
    <t>Здание канализационной насосной станции, Восточный район</t>
  </si>
  <si>
    <t>г Анжеро-Судженск, Восточный район, -</t>
  </si>
  <si>
    <t>Канализационные сети города</t>
  </si>
  <si>
    <t>г Анжеро-Судженск, г. Анжеро-Судженск, -</t>
  </si>
  <si>
    <t>Очистные канализационные сооружения</t>
  </si>
  <si>
    <t>г Анжеро-Судженск, р-н бывшей ш. "Судженская", -</t>
  </si>
  <si>
    <t>Здание канализационной насосной станции, ст.Челы</t>
  </si>
  <si>
    <t>г Анжеро-Судженск, ст. Челы, -</t>
  </si>
  <si>
    <t>Здание канализационной насосной станции, ул. Водоканальная</t>
  </si>
  <si>
    <t>г Анжеро-Судженск, ул. Водоканальная, 65</t>
  </si>
  <si>
    <t>Здание канализационной насосной станции, ул. К.Маркса</t>
  </si>
  <si>
    <t>г Анжеро-Судженск, ул. К.Маркса, 9</t>
  </si>
  <si>
    <t>Здание канализационной насосной станции №2</t>
  </si>
  <si>
    <t>г Анжеро-Судженск, ул. Камышинская, -</t>
  </si>
  <si>
    <t>Здание канализационной насосной станции №1</t>
  </si>
  <si>
    <t>г Анжеро-Судженск, ул. Междуреченская, -</t>
  </si>
  <si>
    <t>Здание канализационной насосной станции, ул. Ново-Анжерская подстанция</t>
  </si>
  <si>
    <t>г Анжеро-Судженск, ул. Ново-Анжерская подстанция, -</t>
  </si>
  <si>
    <t>9</t>
  </si>
  <si>
    <t>Здание канализационной насосной станции, ул. Тырганская</t>
  </si>
  <si>
    <t>г Анжеро-Судженск, ул. Тырганская, -</t>
  </si>
  <si>
    <t>10</t>
  </si>
  <si>
    <t>Здание канализационной насосной станции №3</t>
  </si>
  <si>
    <t>г Анжеро-Судженск, ул. Фестивальная, -</t>
  </si>
  <si>
    <t>11</t>
  </si>
  <si>
    <t>Здание канализационной насосной станции, ул. Чередниченко</t>
  </si>
  <si>
    <t>г Анжеро-Судженск, ул. Чередниченко, -</t>
  </si>
  <si>
    <t>12</t>
  </si>
  <si>
    <t>Здание канализационной насосной станции №4</t>
  </si>
  <si>
    <t>г Анжеро-Судженск, ул. Юргинская, -</t>
  </si>
  <si>
    <t>13</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</si>
  <si>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</si>
  <si>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</si>
  <si>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</si>
  <si>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</si>
  <si>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</si>
  <si>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</si>
  <si>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</si>
  <si>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</si>
  <si>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</si>
  <si>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</si>
  <si>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</si>
  <si>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</si>
  <si>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</si>
  <si>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</si>
  <si>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</si>
  <si>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</si>
  <si>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</si>
  <si>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</si>
  <si>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</si>
  <si>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</si>
  <si>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</si>
  <si>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</si>
  <si>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</si>
  <si>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</si>
  <si>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</si>
  <si>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</si>
  <si>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</si>
  <si>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</si>
  <si>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</si>
  <si>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</si>
  <si>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</si>
  <si>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</si>
  <si>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</si>
  <si>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</si>
  <si>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</si>
  <si>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</si>
  <si>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</si>
  <si>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</si>
  <si>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</si>
  <si>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</si>
  <si>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</si>
  <si>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</si>
  <si>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</si>
  <si>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</si>
  <si>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</si>
  <si>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</si>
  <si>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</si>
  <si>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</si>
  <si>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</si>
  <si>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</si>
  <si>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</si>
  <si>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</si>
  <si>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</si>
  <si>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</si>
  <si>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</si>
  <si>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</si>
  <si>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</si>
  <si>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</si>
  <si>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</si>
  <si>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</si>
  <si>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</si>
  <si>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</si>
  <si>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</si>
  <si>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Доля общехозяйственных расходов</t>
  </si>
  <si>
    <t>P_HOZ_EXP</t>
  </si>
  <si>
    <t>l7</t>
  </si>
  <si>
    <t>Доля общепроизводственных расходов</t>
  </si>
  <si>
    <t>P_PROD_EXP</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</si>
  <si>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</si>
  <si>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</si>
  <si>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</si>
  <si>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</si>
  <si>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</si>
  <si>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</si>
  <si>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</si>
  <si>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</si>
  <si>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</si>
  <si>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</si>
  <si>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</si>
  <si>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</si>
  <si>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</si>
  <si>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</si>
  <si>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</si>
  <si>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</si>
  <si>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</si>
  <si>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</si>
  <si>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</si>
  <si>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</si>
  <si>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</si>
  <si>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</si>
  <si>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</si>
  <si>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</si>
  <si>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</si>
  <si>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</si>
  <si>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</si>
  <si>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</si>
  <si>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</si>
  <si>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</si>
  <si>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</si>
  <si>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</si>
  <si>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</si>
  <si>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</si>
  <si>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</si>
  <si>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</si>
  <si>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</si>
  <si>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</si>
  <si>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</si>
  <si>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</si>
  <si>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</si>
  <si>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</si>
  <si>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</si>
  <si>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</si>
  <si>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</si>
  <si>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</si>
  <si>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</si>
  <si>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</si>
  <si>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</si>
  <si>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</si>
  <si>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</si>
  <si>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</si>
  <si>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</si>
  <si>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</si>
  <si>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</si>
  <si>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</si>
  <si>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</si>
  <si>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Потери воды</t>
  </si>
  <si>
    <t>P_VS_LOSS</t>
  </si>
  <si>
    <t>l9_1</t>
  </si>
  <si>
    <t>7.1</t>
  </si>
  <si>
    <t>Уровень потерь воды</t>
  </si>
  <si>
    <t>P_VS_LOSS_PERCENT</t>
  </si>
  <si>
    <t>l10</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</si>
  <si>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</si>
  <si>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</si>
  <si>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</si>
  <si>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</si>
  <si>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</si>
  <si>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</si>
  <si>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</si>
  <si>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</si>
  <si>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</si>
  <si>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</si>
  <si>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</si>
  <si>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</si>
  <si>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</si>
  <si>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</si>
  <si>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</si>
  <si>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</si>
  <si>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</si>
  <si>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</si>
  <si>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</si>
  <si>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</si>
  <si>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</si>
  <si>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</si>
  <si>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</si>
  <si>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</si>
  <si>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</si>
  <si>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</si>
  <si>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</si>
  <si>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</si>
  <si>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</si>
  <si>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</si>
  <si>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</si>
  <si>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</si>
  <si>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</si>
  <si>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</si>
  <si>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</si>
  <si>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</si>
  <si>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</si>
  <si>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</si>
  <si>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</si>
  <si>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</si>
  <si>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</si>
  <si>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</si>
  <si>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</si>
  <si>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</si>
  <si>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</si>
  <si>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</si>
  <si>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</si>
  <si>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</si>
  <si>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</si>
  <si>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</si>
  <si>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</si>
  <si>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</si>
  <si>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</si>
  <si>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</si>
  <si>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</si>
  <si>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</si>
  <si>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</si>
  <si>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</si>
  <si>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</si>
  <si>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</si>
  <si>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</si>
  <si>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</si>
  <si>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</si>
  <si>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</si>
  <si>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</si>
  <si>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</si>
  <si>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</si>
  <si>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</si>
  <si>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</si>
  <si>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</si>
  <si>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</si>
  <si>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</si>
  <si>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</si>
  <si>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</si>
  <si>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</si>
  <si>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</si>
  <si>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</si>
  <si>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</si>
  <si>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</si>
  <si>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</si>
  <si>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</si>
  <si>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</si>
  <si>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</si>
  <si>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</si>
  <si>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</si>
  <si>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</si>
  <si>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</si>
  <si>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</si>
  <si>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</si>
  <si>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</si>
  <si>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</si>
  <si>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</si>
  <si>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</si>
  <si>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</si>
  <si>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</si>
  <si>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</si>
  <si>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</si>
  <si>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</si>
  <si>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</si>
  <si>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</si>
  <si>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</si>
  <si>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</si>
  <si>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</si>
  <si>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</si>
  <si>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</si>
  <si>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</si>
  <si>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</si>
  <si>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</si>
  <si>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</si>
  <si>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</si>
  <si>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</si>
  <si>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</si>
  <si>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</si>
  <si>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</si>
  <si>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</si>
  <si>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</si>
  <si>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</si>
  <si>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</si>
  <si>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</si>
  <si>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</si>
  <si>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</si>
  <si>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</si>
  <si>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</si>
  <si>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</si>
  <si>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</si>
  <si>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</si>
  <si>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</si>
  <si>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</si>
  <si>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</si>
  <si>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</si>
  <si>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</si>
  <si>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</si>
  <si>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</si>
  <si>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</si>
  <si>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</si>
  <si>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</si>
  <si>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</si>
  <si>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</si>
  <si>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</si>
  <si>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</si>
  <si>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</si>
  <si>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</si>
  <si>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</si>
  <si>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</si>
  <si>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</si>
  <si>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</si>
  <si>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</si>
  <si>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</si>
  <si>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</si>
  <si>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</si>
  <si>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</si>
  <si>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</si>
  <si>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</si>
  <si>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</si>
  <si>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</si>
  <si>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</si>
  <si>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</si>
  <si>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P_VO_RELEASE_OTHER_TERR</t>
  </si>
  <si>
    <t>l12</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</si>
  <si>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</si>
  <si>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</si>
  <si>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</si>
  <si>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</si>
  <si>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</si>
  <si>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</si>
  <si>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</si>
  <si>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</si>
  <si>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</si>
  <si>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</si>
  <si>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</si>
  <si>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</si>
  <si>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</si>
  <si>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</si>
  <si>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</si>
  <si>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</si>
  <si>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</si>
  <si>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</si>
  <si>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</si>
  <si>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</si>
  <si>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</si>
  <si>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</si>
  <si>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</si>
  <si>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</si>
  <si>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</si>
  <si>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в соответствии с представленными "Сведениями об использовании воды за 2024 год"</t>
  </si>
  <si>
    <t>согласно расчету в соответствии с Методическими указаниями № 1746-э, с учетом установленных ДПР  потери воды- 35,86%</t>
  </si>
  <si>
    <t>в соответствии с утвержденными ДПР</t>
  </si>
  <si>
    <t xml:space="preserve"> рассчитано  в соответствии с п. 4  Методических указаний № 1746-э</t>
  </si>
  <si>
    <t>учтено на уровне факта 2024 года  (статистическая отчетность и сведения об использовании воды за 2024 год)</t>
  </si>
  <si>
    <t>{                  _x000D_
         funcDyn: 'msg1',_x000D_
         blok: 'blok_1',_x000D_
         wsCross: 'Условные метры',_x000D_
         linkFormula: 'AB-AB',_x000D_
         levelDyn: ''_x000D_
}</t>
  </si>
  <si>
    <t xml:space="preserve"> Согласно п. 4, 5  Методических указаний № 1746-э расчетный объем отпуска воды, объем принятых сточных вод, оказываемых услуг определяются в соответствии с Приложениями 1, 1.1 к  Методическим указаниям на очередной год и каждый год в течение долгосрочного периода регулирования (при установлении тарифов на долгосрочный период регулирования), исходя из фактического объема отпуска воды (приема сточных вод) за последний отчетный год и динамики отпуска воды (приема сточных вод) за последние 3 года, в том числе с учетом подключения (технологического присоединения) объектов потребителей к централизованным системам водоснабжения и (или) водоотведения и прекращения подачи воды (приема сточных вод) в отношении объектов потребителей, а также изменения порядка определения количества поданной воды (принятых сточных вод), включая переход от применения расчетных способов определения количества поданной воды (принятых сточных вод) к использованию приборов учета воды (сточных вод)</t>
  </si>
  <si>
    <t>При расчете объема воды, отпускаемой абонентам, на очередной год используются расчетные объемы отпуска воды за текущий год и фактические объемы отпуска воды за предшествующие три года, определяемые органом регулирования с учетом представленной регулируемыми организациями информации в соответствии со Стандартами раскрытия информации организациями коммунального комплекса.
Темп изменения (снижения) потребления воды не должен превышать 5 процентов в год.</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</si>
  <si>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</si>
  <si>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</si>
  <si>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</si>
  <si>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</si>
  <si>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</si>
  <si>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</si>
  <si>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</si>
  <si>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</si>
  <si>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</si>
  <si>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</si>
  <si>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</si>
  <si>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</si>
  <si>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</si>
  <si>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</si>
  <si>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</si>
  <si>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</si>
  <si>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</si>
  <si>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</si>
  <si>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</si>
  <si>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</si>
  <si>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</si>
  <si>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'msg',_x000D_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</si>
  <si>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</si>
  <si>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</si>
  <si>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</si>
  <si>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</si>
  <si>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</si>
  <si>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PJ_REAG</t>
  </si>
  <si>
    <t>DYN_REAG</t>
  </si>
  <si>
    <t>{                  _x000D_
         funcDyn: 'msg',_x000D_
         blok: '',_x000D_
         wsCross: '',_x000D_
         linkFormula: '',_x000D_
         levelDyn: '',_x000D_
         addDynValue: 'det_name|AC|0'_x000D_
}</t>
  </si>
  <si>
    <t>Согласно п. 49.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Неподконтрольные расходы включают в себя: 10) расходы на реагенты. (пп. 10 введен Приказом ФАС России от 08.10.2020 N 976/20)</t>
  </si>
  <si>
    <t>Активированный уголь</t>
  </si>
  <si>
    <t>Подробно в комментариях к таблице</t>
  </si>
  <si>
    <t>Гипохлорит натрия</t>
  </si>
  <si>
    <t>Оксихлорид алюминия</t>
  </si>
  <si>
    <t>Сульфат аммония</t>
  </si>
  <si>
    <t>Флокулянт Праестол</t>
  </si>
  <si>
    <t>БИНГСТИ</t>
  </si>
  <si>
    <t>{                  _x000D_
         funcDyn: 'msg1',_x000D_
         blok: 'blok_1',_x000D_
         wsCross: 'ЭЭ',_x000D_
         linkFormula: 'AB-AB',_x000D_
         levelDyn: ''_x000D_
}</t>
  </si>
  <si>
    <t>Водоснабжение: Активированный уголь: объем реагента рассчитан исходя из фактического расхода в 2024 году - 2800 кг., в пересчете на плановый объем воды - 10275,98 тыс.м3 (2800/13067,69*10275,98=2201,82 кг.) Объем на 2026 год учтен в количестве 2201,82 кг. Стоимость учтена по предложению организации в размере 286 руб./кг, не превышает экономически обоснованную.</t>
  </si>
  <si>
    <t>Водоснабжение: Гипохлорит натрия: объем реагента рассчитан исходя из фактического расхода в 2024 году - 412,94 тн., в пересчете на плановый объем воды - 10275,98 тыс.м3 (412,94/13067,69*10275,98=323,31 тн.) Объем на 2026 год учтен в количестве 323,31 тн. Стоимость учтена от факта 2024 года (25500 руб/тн) с применением ИЦП Минэкономразвития РФ на 2025 год 104,2%, 2026 год 104% - в размере 27633,84 руб./тн.</t>
  </si>
  <si>
    <t>Водоснабжение: Оксихлорид алюминия: объем реагента рассчитан исходя из фактического расхода в 2024 году - 296,9 тн., в пересчете на плановый объем воды - 10275,98 тыс.м3 (296,6/13067,69*10275,98=211,61 тн.) Объем на 2026 год учтен в количестве 211,61 тн. Стоимость учтена от факта 2024 года (34166,67 руб/тн) с применением ИЦП Минэкономразвития РФ на 2025 год 104,2%, 2026 год 104% - в размере 37025,74 руб./тн.</t>
  </si>
  <si>
    <t>Водоснабжение: Сульфат аммония: объем реагента рассчитан исходя из фактического расхода в 2024 году - 21,525 тн., в пересчете на плановый объем воды - 10275,98 тыс.м3 (21,525/13067,69*10275,98=16,93 тн.) Объем на 2026 год учтен в количестве 16,93 тн. Стоимость учтена от факта 2024 года (45000 руб/тн) с применением ИЦП Минэкономразвития РФ на 2025 год 104,2%, 2026 год 104% - в размере 48765,60 руб./тн.</t>
  </si>
  <si>
    <t>Водоснабжение: Флокулянт Праестол: объем реагента рассчитан исходя из фактического расхода в 2024 году - 753,20 тн., в пересчете на плановый объем воды - 10275,98 тыс.м3 (753,20/13067,69*10275,98=592,29 тн.) Объем на 2026 год учтен в количестве 592,29 тн. Стоимость учтена от факта 2024 года (527,42 руб/тн) с применением ИЦП Минэкономразвития РФ на 2025 год 104,2%, 2026 год 104% - в размере 571,55 руб./тн.</t>
  </si>
  <si>
    <t>Водоотведение: Гипохлорит натрия: объем реагента рассчитан исходя из фактического расхода в 2024 году - 40,1 тн., в пересчете на плановый объем воды - 2451,44 тыс.м3 (40,1/2636,95*2451,44=37,85 тн.) Объем на 2026 год учтен в количестве 37,85 тн. Стоимость учтена от факта 2024 года (25500,00 руб/тн) с применением ИЦП Минэкономразвития РФ на 2025 год 104,2%, 2026 год 104% - в размере 27633,84 руб./тн.</t>
  </si>
  <si>
    <t>Водоотведение: БИНГСТИ: объем реагента рассчитан исходя из фактического расхода в 2024 году - 17,96 л., в пересчете на плановый объем воды - 2451,44 тыс.м3 (17,96/2636,95*2451,44=16,95 л.) Объем на 2026 год учтен в количестве 16,95 л. Стоимость учтена от факта 2024 года (4959,52,00 руб/л) с применением ИЦП Минэкономразвития РФ на 2025 год 104,2%, 2026 год 104% - в размере 5374,53 руб./л.</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</si>
  <si>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</si>
  <si>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</si>
  <si>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</si>
  <si>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</si>
  <si>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</si>
  <si>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</si>
  <si>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</si>
  <si>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</si>
  <si>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</si>
  <si>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</si>
  <si>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</si>
  <si>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</si>
  <si>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</si>
  <si>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</si>
  <si>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</si>
  <si>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</si>
  <si>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</si>
  <si>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</si>
  <si>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</si>
  <si>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</si>
  <si>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</si>
  <si>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</si>
  <si>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</si>
  <si>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</si>
  <si>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</si>
  <si>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</si>
  <si>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</si>
  <si>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</si>
  <si>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</si>
  <si>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</si>
  <si>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</si>
  <si>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</si>
  <si>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</si>
  <si>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</si>
  <si>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</si>
  <si>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</si>
  <si>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</si>
  <si>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</si>
  <si>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</si>
  <si>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</si>
  <si>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</si>
  <si>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</si>
  <si>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</si>
  <si>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</si>
  <si>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Скорректированная величина расходов на приобретение энергетических ресурсов, холодной воды на год i долгосрочного периода регулирования, определялась  в соответствии с формулой (39.1) Методических указаний № 1746-э.</t>
  </si>
  <si>
    <t>Согласно утвержденным долгосрочным параметрам</t>
  </si>
  <si>
    <t>СН2</t>
  </si>
  <si>
    <t>учтено от фактической стоимости за 2024 год с применением ИЦП Минэкономразвития России на 2025 год 114,4%, на 2026 год 113,2%</t>
  </si>
  <si>
    <t>учтено в соотвествии с ДПР</t>
  </si>
  <si>
    <t>НН</t>
  </si>
  <si>
    <t>СН1</t>
  </si>
  <si>
    <t>от факта 2024 года</t>
  </si>
  <si>
    <t>{                  _x000D_
         funcDyn: 'msg1',_x000D_
         blok: 'blok_1',_x000D_
         wsCross: 'Амортизация',_x000D_
         linkFormula: 'AB-AB',_x000D_
         levelDyn: ''_x000D_
}</t>
  </si>
  <si>
    <t>На 2026 год применены индексы согласно основных параметров прогноза социально-экономического развития Российской Федерации на 2025 год и на плановый период 2026 год, определенных в базовом варианте прогноза социально-экономического развития Российской Федерации на 2025 год и на плановый период 2026 год, опубликованном 26.09.2025 года на официальном сайте Министерства экономического развития Российской Федерации</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</si>
  <si>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</si>
  <si>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</si>
  <si>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</si>
  <si>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</si>
  <si>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</si>
  <si>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</si>
  <si>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</si>
  <si>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</si>
  <si>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</si>
  <si>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</si>
  <si>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</si>
  <si>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</si>
  <si>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</si>
  <si>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</si>
  <si>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</si>
  <si>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</si>
  <si>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</si>
  <si>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</si>
  <si>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</si>
  <si>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</si>
  <si>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</si>
  <si>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</si>
  <si>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</si>
  <si>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</si>
  <si>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</si>
  <si>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</si>
  <si>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</si>
  <si>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</si>
  <si>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</si>
  <si>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</si>
  <si>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</si>
  <si>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</si>
  <si>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</si>
  <si>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</si>
  <si>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</si>
  <si>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</si>
  <si>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</si>
  <si>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</si>
  <si>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</si>
  <si>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</si>
  <si>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</si>
  <si>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</si>
  <si>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</si>
  <si>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</si>
  <si>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</si>
  <si>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</si>
  <si>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</si>
  <si>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</si>
  <si>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</si>
  <si>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</si>
  <si>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</si>
  <si>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</si>
  <si>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</si>
  <si>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</si>
  <si>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</si>
  <si>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</si>
  <si>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</si>
  <si>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</si>
  <si>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</si>
  <si>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</si>
  <si>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</si>
  <si>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</si>
  <si>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</si>
  <si>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</si>
  <si>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</si>
  <si>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</si>
  <si>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</si>
  <si>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</si>
  <si>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</si>
  <si>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</si>
  <si>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</si>
  <si>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</si>
  <si>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</si>
  <si>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</si>
  <si>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</si>
  <si>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</si>
  <si>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</si>
  <si>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</si>
  <si>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</si>
  <si>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</si>
  <si>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</si>
  <si>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</si>
  <si>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</si>
  <si>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</si>
  <si>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</si>
  <si>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</si>
  <si>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</si>
  <si>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</si>
  <si>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</si>
  <si>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</si>
  <si>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</si>
  <si>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</si>
  <si>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</si>
  <si>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</si>
  <si>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</si>
  <si>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</si>
  <si>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</si>
  <si>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</si>
  <si>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</si>
  <si>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П. 89, п. 28, п 18(7)  Методических указаний ФСТ № 1746-э.</t>
  </si>
  <si>
    <t>Организация приобрела Станцию углевания: 2365,5/15=157,70 тыс.руб. (6 аморт. Гр., макс. Срок 15 лет)</t>
  </si>
  <si>
    <t>в соответствии с утвержденной инвестиционной программой (в рамках Концессионного соглашения)</t>
  </si>
  <si>
    <t>{                  _x000D_
         funcDyn: 'msg1',_x000D_
         blok: 'blok_1',_x000D_
         wsCross: 'Амортизация (аналог)',_x000D_
         linkFormula: 'AB-AB',_x000D_
         levelDyn: ''_x000D_
}</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</si>
  <si>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</si>
  <si>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</si>
  <si>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</si>
  <si>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</si>
  <si>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</si>
  <si>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</si>
  <si>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</si>
  <si>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</si>
  <si>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</si>
  <si>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</si>
  <si>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</si>
  <si>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</si>
  <si>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</si>
  <si>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</si>
  <si>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</si>
  <si>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</si>
  <si>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</si>
  <si>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</si>
  <si>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</si>
  <si>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</si>
  <si>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</si>
  <si>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</si>
  <si>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</si>
  <si>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</si>
  <si>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</si>
  <si>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</si>
  <si>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</si>
  <si>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</si>
  <si>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</si>
  <si>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</si>
  <si>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Пункты 49 (3), 51, 29 Методических указаний ФСТ № 1746-э.</t>
  </si>
  <si>
    <t>учтено в экономически обоснованном размере по расчету регулятора (представлены договоры: № 43-н/2022 от 01.12.2022 учтено 31,84 тыс.руб. в размере амортизации и налога на имущество в доле на водоснабжение (0,4448), арендная плата за землю в доле на водоснабжение (0,4448) в сумме 64,98 тыс. руб. в размере налога на землю; № 55-Н/2023 от 01.12.2023 учтено в размере 0,04 тыс. руб., нет расчета, в размере амортизации и налога на имущества; № 22/0-21 от 03.12.2021 учтено в размере 0,00 тыс. руб., нет данных об остаточной стоимости и амортизации объектов.</t>
  </si>
  <si>
    <t>учтено в экономически обоснованном размере по расчету регулятора (представлены договоры: № 43-н/2022 от 01.12.2022 учтено 28,53 тыс.руб. в размере амортизации и налога на имущество в доле на водоотведение (0,5552), арендная плата за землю учтена в доле на водоотведение (0,5552) в сумме 81,11 тыс. руб. в размере налога на землю;  № 22/0-21 от 03.12.2021 учтено в размере 0,00 тыс. руб., нет данных об остаточной стоимости и амортизации объектов.</t>
  </si>
  <si>
    <t>{                  _x000D_
         funcDyn: 'msg1',_x000D_
         blok: 'blok_1',_x000D_
         wsCross: 'Покупка',_x000D_
         linkFormula: 'AB-AB',_x000D_
         levelDyn: ''_x000D_
}</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</si>
  <si>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</si>
  <si>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</si>
  <si>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</si>
  <si>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</si>
  <si>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</si>
  <si>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</si>
  <si>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</si>
  <si>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</si>
  <si>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</si>
  <si>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</si>
  <si>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</si>
  <si>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</si>
  <si>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</si>
  <si>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</si>
  <si>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</si>
  <si>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</si>
  <si>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</si>
  <si>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</si>
  <si>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</si>
  <si>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</si>
  <si>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P_MONEY</t>
  </si>
  <si>
    <t>DYN_ORG_VS</t>
  </si>
  <si>
    <t>Объём холодной воды (покупка)</t>
  </si>
  <si>
    <t>P_VOL</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</si>
  <si>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</si>
  <si>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</si>
  <si>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</si>
  <si>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</si>
  <si>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</si>
  <si>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</si>
  <si>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</si>
  <si>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</si>
  <si>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</si>
  <si>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</si>
  <si>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</si>
  <si>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</si>
  <si>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</si>
  <si>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</si>
  <si>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</si>
  <si>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</si>
  <si>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</si>
  <si>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</si>
  <si>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</si>
  <si>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</si>
  <si>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</si>
  <si>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</si>
  <si>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</si>
  <si>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</si>
  <si>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                  _x000D_
         funcDyn: 'org',_x000D_
         blok: '',_x000D_
         wsCross: '',_x000D_
         linkFormula: '',_x000D_
         levelDyn: 4,_x000D_
         sphere: 'VO',_x000D_
         addDynValue: 'det_name|AC|0'_x000D_
}</t>
  </si>
  <si>
    <t>Затраты на тепловую энергию</t>
  </si>
  <si>
    <t>P_TE</t>
  </si>
  <si>
    <t>Затраты на теплоноситель</t>
  </si>
  <si>
    <t>P_TN</t>
  </si>
  <si>
    <t>Затраты на горячую воду</t>
  </si>
  <si>
    <t>P_GVS</t>
  </si>
  <si>
    <t>Затраты на топливо</t>
  </si>
  <si>
    <t>P_FUEL</t>
  </si>
  <si>
    <t>учтено на 2026 год по расчету регулятора  по факту 2024 года в доле на водоснабжение 0,94, объемы учтены на основании представленных счет фактур: тепло 2436,85 Гкал, горячая вода - 295,85 м3, тарифы на 2024 год учтены в соответствии с постановлениями РЭК Кузбасса для ООО "ТеплоРесурс" от 19.12.2024 № 721, от 24.07.2025 №216 без НДС: на 9 мес. на уровне установленного постановлением тарифа на 2 пол 2025 года, на 3 мес. 2026 года учтено на уровне 9 мес. 2026 с ИПЦ МИнэкономразвития России на 2026 год 105,1%: тепло 1 пол 2026 - 4292,87 руб/Гкал, 2 пол - 4511,806 руб/Гкал, на горячую воду с неизолированными стояками без полотенцесушителей на 1 полугодие - 318,33 руб./м3., 2 полугодие 334,57 руб./м3, на 1 полугодие для горячей воды   с неизолированными стояками+полотенцесущитель, тариф применен в размере 338,77 руб./м3</t>
  </si>
  <si>
    <t>учтено на 2026 год по расчету регулятора  по факту 2024 года в доле на водоотведение 0,06: объемы учтены на основании представленных счет фактур: тепло 2436,85 Гкал, горячая вода - 295,85 м3, тарифы на 2024 год учтены в соответствии с постановлениями РЭК Кузбасса для ООО "ТеплоРесурс" от 19.12.2024 № 721, от 24.07.2025 №216 без НДС: на 9 мес. на уровне установленного постановлением тарифа на 2 пол 2025 года, на 3 мес. 2026 года учтено на уровне 9 мес. 2026 с ИПЦ МИнэкономразвития России на 2026 год 105,1%: тепло 1 пол 2026 - 4292,87 руб/Гкал, 2 пол - 4511,806 руб/Гкал, на горячую воду с неизолированными стояками без полотенцесушителей на 1 полугодие - 318,33 руб./м3., 2 полугодие 334,57 руб./м3, на 1 полугодие для горячей воды   с неизолированными стояками+полотенцесущитель, тариф применен в размере 338,77 руб./м3</t>
  </si>
  <si>
    <t>{                  _x000D_
         funcDyn: 'msg1',_x000D_
         blok: 'blok_1',_x000D_
         wsCross: 'ФОТ',_x000D_
         linkFormula: 'AB-AB',_x000D_
         levelDyn: ''_x000D_
}</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</si>
  <si>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</si>
  <si>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</si>
  <si>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</si>
  <si>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</si>
  <si>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</si>
  <si>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</si>
  <si>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</si>
  <si>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</si>
  <si>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</si>
  <si>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</si>
  <si>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</si>
  <si>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</si>
  <si>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</si>
  <si>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</si>
  <si>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</si>
  <si>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</si>
  <si>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</si>
  <si>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</si>
  <si>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</si>
  <si>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</si>
  <si>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</si>
  <si>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</si>
  <si>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</si>
  <si>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</si>
  <si>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</si>
  <si>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</si>
  <si>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</si>
  <si>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</si>
  <si>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</si>
  <si>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</si>
  <si>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</si>
  <si>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</si>
  <si>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</si>
  <si>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</si>
  <si>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</si>
  <si>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</si>
  <si>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</si>
  <si>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</si>
  <si>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</si>
  <si>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</si>
  <si>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основной персонала</t>
  </si>
  <si>
    <t>учтено по факту 2023 года, не превышает нормативную численность</t>
  </si>
  <si>
    <t>учтено от факта 2023 года с применением ИПЦ Минэкономразвития РФ на 2024 год 107,2%</t>
  </si>
  <si>
    <t>цеховый персонал</t>
  </si>
  <si>
    <t>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t>
  </si>
  <si>
    <t>АВР</t>
  </si>
  <si>
    <t>Ремонтный персонал</t>
  </si>
  <si>
    <t>Абоненский отдел</t>
  </si>
  <si>
    <t>учтено в пределах нормативной численности  на 22500 абонента 16,5 человек, на ВС учтено в доле распределения по учетной политике организации 7,61 чел.</t>
  </si>
  <si>
    <t>учтено в пределах нормативной численности  на 22506 абонента 16,5 человек, на ВО учтено в доле распределения по учетной политике организации 8,89 чел.</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</si>
  <si>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</si>
  <si>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</si>
  <si>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</si>
  <si>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</si>
  <si>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</si>
  <si>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</si>
  <si>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</si>
  <si>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</si>
  <si>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</si>
  <si>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</si>
  <si>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</si>
  <si>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</si>
  <si>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</si>
  <si>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</si>
  <si>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</si>
  <si>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</si>
  <si>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</si>
  <si>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</si>
  <si>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</si>
  <si>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</si>
  <si>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</si>
  <si>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</si>
  <si>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</si>
  <si>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</si>
  <si>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</si>
  <si>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</si>
  <si>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</si>
  <si>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</si>
  <si>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</si>
  <si>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</si>
  <si>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</si>
  <si>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</si>
  <si>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</si>
  <si>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</si>
  <si>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</si>
  <si>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</si>
  <si>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</si>
  <si>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</si>
  <si>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</si>
  <si>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</si>
  <si>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</si>
  <si>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</si>
  <si>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</si>
  <si>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</si>
  <si>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</si>
  <si>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</si>
  <si>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</si>
  <si>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</si>
  <si>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</si>
  <si>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</si>
  <si>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</si>
  <si>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</si>
  <si>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</si>
  <si>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Расчет на листе "ФОТ"</t>
  </si>
  <si>
    <t>Подробное описание смотреть в комментарии</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</si>
  <si>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</si>
  <si>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</si>
  <si>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</si>
  <si>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</si>
  <si>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</si>
  <si>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</si>
  <si>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</si>
  <si>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</si>
  <si>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</si>
  <si>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</si>
  <si>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</si>
  <si>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</si>
  <si>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</si>
  <si>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</si>
  <si>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</si>
  <si>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</si>
  <si>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</si>
  <si>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</si>
  <si>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</si>
  <si>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отклонено по причине отсутствия обоснования для включения затрат, нет расчета, нет сведений о стоимости объектов для расчета амортизации и налога на имущество (представлены договоры: №1-07/2023 от 10.07.2023 - просрочен, нет расчета аренды, ком.плат. Вкл.; № 754 от 31.10.2023 на 5 лет, расчета аренды нет, ком.пл. не вх.; №1/А-24 от 09.01.2024 до 07.2024, нет расчета, ком.пл. входят)</t>
  </si>
  <si>
    <t>учтено от факта 2023 года с применением ИПЦ Минэкономразвития РФ на 2024 год 107,2%: 205,59*1,072=220,40 тыс.руб.</t>
  </si>
  <si>
    <t>проанализирован факт 2023 года по адресу К.Маркса, 8: на основании части представленных платежных документов была провереность правильность выставления счета для Чистая вода и  было определено, что МП ЕРКЦ выставляет ООО Чистая вода счета с учетом НДС, итого за 2023 год выставлено счетов на сумму 97,55 тыс.руб. с НДС.  в доле на ВС 54,77% с ИПЦ 1,072: 97,62*0,5477*1,072=57,32</t>
  </si>
  <si>
    <t>отклонено по причине отсутствия факта несения затрат</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</si>
  <si>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</si>
  <si>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</si>
  <si>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</si>
  <si>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</si>
  <si>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</si>
  <si>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</si>
  <si>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</si>
  <si>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</si>
  <si>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</si>
  <si>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</si>
  <si>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</si>
  <si>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</si>
  <si>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</si>
  <si>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</si>
  <si>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</si>
  <si>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</si>
  <si>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</si>
  <si>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</si>
  <si>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</si>
  <si>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</si>
  <si>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</si>
  <si>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</si>
  <si>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</si>
  <si>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</si>
  <si>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</si>
  <si>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</si>
  <si>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учтено по предложению организации, не превышает экономически обоснованный размер по расчету регулятора</t>
  </si>
  <si>
    <t>учтено по расчету регулятора, в соответствии с договором водопользования и постановлением правительства от 26.12.2014 № 1509</t>
  </si>
  <si>
    <t xml:space="preserve">Учтено по расчету регулятора  в соответствии с действующим законодательством, налог на имущество в соответствии с утвержденной ИП - 93,33 тыс. руб.. налог на иное имущество, переданное по концессионному соглашению № 25 - 6666,80 тыс. руб. </t>
  </si>
  <si>
    <t>учтено от факта 2024 года в соответствии с представленной декларацией о плате за негативное воздействие</t>
  </si>
  <si>
    <t xml:space="preserve">Учтено по расчету регулятора  в соответствии с действующим законодательством, налог на имущество в соответствии с утвержденной ИП - 50,67 тыс. руб.. налог на иное имущество, переданное по концессионному соглашению № 24 - 418,22 тыс. руб. </t>
  </si>
  <si>
    <t>{                  _x000D_
         funcDyn: 'msg1',_x000D_
         blok: 'blok_1',_x000D_
         wsCross: 'ИП + источники',_x000D_
         linkFormula: 'AB-AB',_x000D_
         levelDyn: ''_x000D_
}</t>
  </si>
  <si>
    <t>Согласно п. 30.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водоотведения"При определении размера расходов, связанных с уплатой налогов и сборов, учитываются:
налог на прибыль;
налог на имущество организаций;
земельный налог;
водный налог и плата за пользование водным объектом;
транспортный налог;
прочие налоги и сборы, за исключением налогов и сборов с фонда оплаты труда, учитываемых в составе производственных, ремонтных и административных расходов;
плата за негативное воздействие на окружающую среду, размещение отходов и другие виды негативного воздействия на окружающую среду, размер которой определяется исходя из того, что указанные выбросы (сбросы) и размещение осуществляются в пределах установленных нормативов и (или) лимитов, в том числе в соответствии с планами снижения</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</si>
  <si>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</si>
  <si>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</si>
  <si>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</si>
  <si>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</si>
  <si>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</si>
  <si>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</si>
  <si>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</si>
  <si>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</si>
  <si>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</si>
  <si>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</si>
  <si>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</si>
  <si>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</si>
  <si>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</si>
  <si>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</si>
  <si>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</si>
  <si>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</si>
  <si>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</si>
  <si>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</si>
  <si>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</si>
  <si>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</si>
  <si>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</si>
  <si>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</si>
  <si>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</si>
  <si>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</si>
  <si>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</si>
  <si>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</si>
  <si>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</si>
  <si>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</si>
  <si>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</si>
  <si>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</si>
  <si>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</si>
  <si>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</si>
  <si>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</si>
  <si>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</si>
  <si>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</si>
  <si>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</si>
  <si>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</si>
  <si>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</si>
  <si>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</si>
  <si>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</si>
  <si>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</si>
  <si>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</si>
  <si>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</si>
  <si>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</si>
  <si>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</si>
  <si>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</si>
  <si>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</si>
  <si>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</si>
  <si>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</si>
  <si>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</si>
  <si>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</si>
  <si>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</si>
  <si>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</si>
  <si>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</si>
  <si>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</si>
  <si>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</si>
  <si>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</si>
  <si>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</si>
  <si>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</si>
  <si>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</si>
  <si>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</si>
  <si>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</si>
  <si>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</si>
  <si>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</si>
  <si>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</si>
  <si>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</si>
  <si>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</si>
  <si>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</si>
  <si>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</si>
  <si>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</si>
  <si>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</si>
  <si>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</si>
  <si>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</si>
  <si>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</si>
  <si>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</si>
  <si>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</si>
  <si>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</si>
  <si>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</si>
  <si>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</si>
  <si>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</si>
  <si>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</si>
  <si>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</si>
  <si>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</si>
  <si>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</si>
  <si>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в соответствии с утвержденной инвестиционной программой Постановление РЭК Кузбасса от 11.06.2024 № 109</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</si>
  <si>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</si>
  <si>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</si>
  <si>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</si>
  <si>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</si>
  <si>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</si>
  <si>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</si>
  <si>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</si>
  <si>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</si>
  <si>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</si>
  <si>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</si>
  <si>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</si>
  <si>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</si>
  <si>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</si>
  <si>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</si>
  <si>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</si>
  <si>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</si>
  <si>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</si>
  <si>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</si>
  <si>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</si>
  <si>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</si>
  <si>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</si>
  <si>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</si>
  <si>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</si>
  <si>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</si>
  <si>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</si>
  <si>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</si>
  <si>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</si>
  <si>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</si>
  <si>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</si>
  <si>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</si>
  <si>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</si>
  <si>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в соответствии с пунктом 11.1 Методических указаний ФСТ № 1746-э, средства, начисленные регулируемой организацией в течение текущего долгосрочного периода, за исключением последних 2 лет текущего долгосрочного периода, и оставшиеся в ее распоряжении, подлежат исключению из необходимой валовой выручки регулируемой организации в последний год текущего долгосрочного периода, а средства, начисленные регулируемой организацией в течение последних 2 лет указанного долгосрочного периода и оставшиеся в ее распоряжении, подлежат исключению из необходимой валовой выручки регулируемой организации при установлении (корректировке) тарифов для регулируемой организации на второй год следующего долгосрочного периода регулирования, за исключением случаев, указанных в абзацах втором - четвертом настоящего пункта. КВ соответствии с вышесказанным, при корректировке тарифов на 2026 год подлежат к снятию  доходы, полученные за 2023 год. Доходы от платы за негативное воздействие за 2024 год будут учтены в 2032 году.</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</si>
  <si>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</si>
  <si>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</si>
  <si>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</si>
  <si>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</si>
  <si>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</si>
  <si>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vertAlign val="superscript"/>
        <sz val="9"/>
        <rFont val="Tahoma"/>
        <family val="2"/>
        <charset val="204"/>
      </rPr>
      <t>K</t>
    </r>
    <r>
      <rPr>
        <b/>
        <vertAlign val="subscript"/>
        <sz val="9"/>
        <rFont val="Tahoma"/>
        <family val="2"/>
        <charset val="204"/>
      </rPr>
      <t>i-2</t>
    </r>
  </si>
  <si>
    <t>P_NVV_CORR_AMOUNT</t>
  </si>
  <si>
    <t>Товарная выручка</t>
  </si>
  <si>
    <r>
      <t>ТВ</t>
    </r>
    <r>
      <rPr>
        <b/>
        <vertAlign val="superscript"/>
        <sz val="9"/>
        <rFont val="Tahoma"/>
        <family val="2"/>
        <charset val="204"/>
      </rPr>
      <t>Ф</t>
    </r>
    <r>
      <rPr>
        <b/>
        <vertAlign val="subscript"/>
        <sz val="9"/>
        <rFont val="Tahoma"/>
        <family val="2"/>
        <charset val="204"/>
      </rPr>
      <t>i-2</t>
    </r>
  </si>
  <si>
    <t>P_GOODS_INCOME</t>
  </si>
  <si>
    <t>Скорректированная фактическая величина необходимой валовой выручки</t>
  </si>
  <si>
    <r>
      <t>HBB</t>
    </r>
    <r>
      <rPr>
        <b/>
        <vertAlign val="superscript"/>
        <sz val="9"/>
        <rFont val="Tahoma"/>
        <family val="2"/>
        <charset val="204"/>
      </rPr>
      <t>Ф</t>
    </r>
    <r>
      <rPr>
        <b/>
        <vertAlign val="subscript"/>
        <sz val="9"/>
        <rFont val="Tahoma"/>
        <family val="2"/>
        <charset val="204"/>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</si>
  <si>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</si>
  <si>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</si>
  <si>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</si>
  <si>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vertAlign val="superscript"/>
        <sz val="9"/>
        <rFont val="Tahoma"/>
        <family val="2"/>
        <charset val="204"/>
      </rPr>
      <t>Ф</t>
    </r>
    <r>
      <rPr>
        <vertAlign val="subscript"/>
        <sz val="9"/>
        <rFont val="Tahoma"/>
        <family val="2"/>
        <charset val="204"/>
      </rPr>
      <t>i-2</t>
    </r>
  </si>
  <si>
    <t>P_EXP_FROM_FACT</t>
  </si>
  <si>
    <t>фактические документально подтвержденные неподконтрольные расходы, в том числе:</t>
  </si>
  <si>
    <r>
      <t>Н Р</t>
    </r>
    <r>
      <rPr>
        <vertAlign val="superscript"/>
        <sz val="9"/>
        <rFont val="Tahoma"/>
        <family val="2"/>
        <charset val="204"/>
      </rPr>
      <t>Ф</t>
    </r>
    <r>
      <rPr>
        <vertAlign val="subscript"/>
        <sz val="9"/>
        <rFont val="Tahoma"/>
        <family val="2"/>
        <charset val="204"/>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</si>
  <si>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</si>
  <si>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</si>
  <si>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</si>
  <si>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</si>
  <si>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</si>
  <si>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</si>
  <si>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</si>
  <si>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</si>
  <si>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</si>
  <si>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</si>
  <si>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</si>
  <si>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</si>
  <si>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</si>
  <si>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</si>
  <si>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</si>
  <si>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</si>
  <si>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</si>
  <si>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</si>
  <si>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</si>
  <si>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</si>
  <si>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</si>
  <si>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</si>
  <si>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</si>
  <si>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</si>
  <si>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</si>
  <si>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</si>
  <si>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</si>
  <si>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</si>
  <si>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</si>
  <si>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</si>
  <si>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</si>
  <si>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</si>
  <si>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</si>
  <si>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</si>
  <si>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</si>
  <si>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</si>
  <si>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</si>
  <si>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</si>
  <si>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</si>
  <si>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</si>
  <si>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</si>
  <si>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</si>
  <si>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</si>
  <si>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</si>
  <si>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</si>
  <si>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</si>
  <si>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</si>
  <si>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</si>
  <si>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</si>
  <si>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</si>
  <si>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</si>
  <si>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</si>
  <si>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vertAlign val="superscript"/>
        <sz val="9"/>
        <rFont val="Tahoma"/>
        <family val="2"/>
        <charset val="204"/>
      </rPr>
      <t>Ф</t>
    </r>
    <r>
      <rPr>
        <vertAlign val="subscript"/>
        <sz val="9"/>
        <rFont val="Tahoma"/>
        <family val="2"/>
        <charset val="204"/>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</si>
  <si>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</si>
  <si>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</si>
  <si>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</si>
  <si>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</si>
  <si>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</si>
  <si>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</si>
  <si>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</si>
  <si>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</si>
  <si>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</si>
  <si>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</si>
  <si>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</si>
  <si>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</si>
  <si>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</si>
  <si>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</si>
  <si>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</si>
  <si>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</si>
  <si>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</si>
  <si>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</si>
  <si>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vertAlign val="superscript"/>
        <sz val="9"/>
        <rFont val="Tahoma"/>
        <family val="2"/>
        <charset val="204"/>
      </rPr>
      <t>Ф</t>
    </r>
    <r>
      <rPr>
        <vertAlign val="subscript"/>
        <sz val="9"/>
        <rFont val="Tahoma"/>
        <family val="2"/>
        <charset val="204"/>
      </rPr>
      <t>i-2</t>
    </r>
  </si>
  <si>
    <t>Нормативная прибыль</t>
  </si>
  <si>
    <t>l1_2_5</t>
  </si>
  <si>
    <t>величина нормативной прибыли</t>
  </si>
  <si>
    <r>
      <t>ПР</t>
    </r>
    <r>
      <rPr>
        <vertAlign val="subscript"/>
        <sz val="9"/>
        <rFont val="Tahoma"/>
        <family val="2"/>
        <charset val="204"/>
      </rPr>
      <t>i-2</t>
    </r>
  </si>
  <si>
    <t>P_NORM_INCOME</t>
  </si>
  <si>
    <t>РПП</t>
  </si>
  <si>
    <t>l1_2_6</t>
  </si>
  <si>
    <t>2.6</t>
  </si>
  <si>
    <t>расчетная предпринимательская прибыль гарантирующей организации</t>
  </si>
  <si>
    <r>
      <t>ПР</t>
    </r>
    <r>
      <rPr>
        <vertAlign val="superscript"/>
        <sz val="9"/>
        <rFont val="Tahoma"/>
        <family val="2"/>
        <charset val="204"/>
      </rPr>
      <t>ГО Ф</t>
    </r>
    <r>
      <rPr>
        <vertAlign val="subscript"/>
        <sz val="9"/>
        <rFont val="Tahoma"/>
        <family val="2"/>
        <charset val="204"/>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</si>
  <si>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</si>
  <si>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</si>
  <si>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</si>
  <si>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</si>
  <si>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</si>
  <si>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</si>
  <si>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</si>
  <si>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</si>
  <si>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vertAlign val="subscript"/>
        <sz val="9"/>
        <rFont val="Tahoma"/>
        <family val="2"/>
        <charset val="204"/>
      </rPr>
      <t>i-4</t>
    </r>
  </si>
  <si>
    <t>P_WATER_OBJ_IN</t>
  </si>
  <si>
    <t>l1_2_8</t>
  </si>
  <si>
    <t>2.7.2</t>
  </si>
  <si>
    <t>степень исполнения регулируемой организацией производственной программы</t>
  </si>
  <si>
    <r>
      <t>ΔЦП</t>
    </r>
    <r>
      <rPr>
        <vertAlign val="subscript"/>
        <sz val="9"/>
        <rFont val="Tahoma"/>
        <family val="2"/>
        <charset val="204"/>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</si>
  <si>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</si>
  <si>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</si>
  <si>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</si>
  <si>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</si>
  <si>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</si>
  <si>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</si>
  <si>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</si>
  <si>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</si>
  <si>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</si>
  <si>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</si>
  <si>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</si>
  <si>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</si>
  <si>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</si>
  <si>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</si>
  <si>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</si>
  <si>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</si>
  <si>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</si>
  <si>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</si>
  <si>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</si>
  <si>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</si>
  <si>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</si>
  <si>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</si>
  <si>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</si>
  <si>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</si>
  <si>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</si>
  <si>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</si>
  <si>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</si>
  <si>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</si>
  <si>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</si>
  <si>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</si>
  <si>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</si>
  <si>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vertAlign val="subscript"/>
        <sz val="9"/>
        <rFont val="Tahoma"/>
        <family val="2"/>
        <charset val="204"/>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</si>
  <si>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</si>
  <si>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</si>
  <si>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</si>
  <si>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vertAlign val="superscript"/>
        <sz val="9"/>
        <rFont val="Tahoma"/>
        <family val="2"/>
        <charset val="204"/>
      </rPr>
      <t>+</t>
    </r>
    <r>
      <rPr>
        <vertAlign val="subscript"/>
        <sz val="9"/>
        <rFont val="Tahoma"/>
        <family val="2"/>
        <charset val="204"/>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</si>
  <si>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</si>
  <si>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</si>
  <si>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</si>
  <si>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vertAlign val="superscript"/>
        <sz val="9"/>
        <rFont val="Tahoma"/>
        <family val="2"/>
        <charset val="204"/>
      </rPr>
      <t>-</t>
    </r>
    <r>
      <rPr>
        <vertAlign val="subscript"/>
        <sz val="9"/>
        <rFont val="Tahoma"/>
        <family val="2"/>
        <charset val="204"/>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</si>
  <si>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</si>
  <si>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</si>
  <si>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</si>
  <si>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vertAlign val="subscript"/>
        <sz val="9"/>
        <rFont val="Tahoma"/>
        <family val="2"/>
        <charset val="204"/>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</si>
  <si>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</si>
  <si>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</si>
  <si>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</si>
  <si>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vertAlign val="subscript"/>
        <sz val="9"/>
        <rFont val="Tahoma"/>
        <family val="2"/>
        <charset val="204"/>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</si>
  <si>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</si>
  <si>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</si>
  <si>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</si>
  <si>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</si>
  <si>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</si>
  <si>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</si>
  <si>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</si>
  <si>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</si>
  <si>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</si>
  <si>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</si>
  <si>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</si>
  <si>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</si>
  <si>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</si>
  <si>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</si>
  <si>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</si>
  <si>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корректировка состоит из двух периодов: 1) с 01.01.2024 по 11.07.2024 утверждено при корректировке долгосрочного периода 2023-2025 гг, 2) с 12.07.2024 по 31.12.2024 утверждено при перерегулировании в связи с заключением КС на период 2024-2032гг: Тариф с 01.01.2024 по 30.06.2024 - 40,10 руб/м3, тариф с 01.07.2024 по 11.07.2024 - 34,77 руб./м3, тариф с 12.07.2024 по 31.12.2024 - 47,73 руб./м3</t>
  </si>
  <si>
    <t>В связи с тем, в 2024 году поизошло перерегулирование по причине заключения концессионного соглашения, опреционные расходы расчитаны исходя: 1) из базового уровня операционных расходов 2023 года расчитанных при установлении долгосрочных тарифов на 2023-2025 годы, в пересчте на 193 дня (с 01.01.2024 по 11.07.2024),  с применением коэффициента индексации на 2024 год, рассчитанного в соответствии с Методическими указаниями (с учетом ИПЦ Минэкономразвития РФ  на 2024 год 108%, а также с учетом индекса эффективности операционных расходов 1%); 2) из базового уровня операционных расходов 2023 года расчитаных на транспортировку при выдаче ДПР при заключении концессионного соглашения на транспортировку питьевой воды на период 2023-2032 гг, в пересчете на 173 дня ( с 12.07.2024 по 31.12.2024), с применением коэффициента индексации на 2024 год, рассчитанного в соответствии с Методическими указаниями (с учетом ИПЦ Минэкономразвития РФ  на 2024 год 108%, а также с учетом индекса эффективности операционных расходов 1%); 3) из базового уровня операционных расходов 2024 года расчитанных на подъем и водоподготовку при установлении ДПР на период 2024-2032 гг, в пересчете на 173 дня ( с 12.07.2024 по 31.12.2024).</t>
  </si>
  <si>
    <t>фактические расходы на теплоэнергию  учтены регулятором в размере 7743,85 тыс. руб. в соответствии с подтверждающими бухгалтерскими документами</t>
  </si>
  <si>
    <t>подтверждено бухгалтерскими документами (карточка счета 10)</t>
  </si>
  <si>
    <t>Водный налог: принят регулятором в размере 53,36 тыс. руб. в соответствии налоговой декларацией за 2024 год; плата за пользование водным объектом: принята в размере 6179,49 тыс. руб. - по расчету регулятора исходя из объема поднятой воды принятой регулятором по факту 2024 года 8235928,75 м3; налог на имущество, принят в размере 4986,89 тыс. руб. в соответствии с представленной налоговой декларацией и бухгалтерскими документами за 2024 год.</t>
  </si>
  <si>
    <t>принято регулятором в экономически обоснованном размере в соответствии с п. 29 Приказа ФСТ России от 27.12.2013 N 1746-э в размере амортизации</t>
  </si>
  <si>
    <t>учтено по факту 2024 года</t>
  </si>
  <si>
    <t xml:space="preserve">регулятором не принята сумма амортизации в размере 29649,01 руб. согласно предложению организации и представленного расчета. Организацией предложено учесть амортизацию на объекты, переданные ей по концессионному соглашению. Предложение не принято по причине того, что организация не понесла расходы на строительство данных объектов. </t>
  </si>
  <si>
    <t>в соответствии с планом 2024 года</t>
  </si>
  <si>
    <t>корректировка состоит из двух периодов: 1) с 01.01.2024 по 11.07.2024 утверждено при корректировке долгосрочного периода 2023-2025 гг, 2) с 12.07.2024 по 31.12.2024 утверждено при перерегулировании в связи с заключением КС на период 2024-2032гг: Тариф с 01.01.2024 по 30.06.2024 - 33,74 руб/м3, тариф с 01.07.2024 по 11.07.2024 - 36,99 руб./м3, тариф с 12.07.2024 по 31.12.2024 - 39,82 руб./м3</t>
  </si>
  <si>
    <t>В связи с тем, в 2024 году поизошло перерегулирование по причине заключения концессионного соглашения, опреционные расходы расчитаны исходя: 1) из базового уровня операционных расходов 2023 года расчитанных при установлении долгосрочных тарифов на 2023-2025 годы, в пересчте на 193 дня (с 01.01.2024 по 11.07.2024),  с применением коэффициента индексации на 2024 год, рассчитанного в соответствии с Методическими указаниями (с учетом ИПЦ Минэкономразвития РФ  на 2024 год 108%, а также с учетом индекса эффективности операционных расходов 1%); 2) из базового уровня операционных расходов 2023 года расчитаных на транспортировку при выдаче ДПР при заключении концессионного соглашения на транспортировку сточных вод на период 2023-2032 гг, в пересчете на 173 дня ( с 12.07.2024 по 31.12.2024), с применением коэффициента индексации на 2024 год, рассчитанного в соответствии с Методическими указаниями (с учетом ИПЦ Минэкономразвития РФ  на 2024 год 108%, а также с учетом индекса эффективности операционных расходов 1%); 3) из базового уровня операционных расходов 2024 года расчитанных на прием и очистку сточных вод при установлении ДПР на период 2024-2032 гг, в пересчете на 173 дня ( с 12.07.2024 по 31.12.2024).</t>
  </si>
  <si>
    <t>фактические расходы на теплоэнергию  учтены регулятором в размере 538,28 тыс. руб. в соответствии с подтверждающими бухгалтерскими документами</t>
  </si>
  <si>
    <t>принято в размере 1111,62 тыс. руб., подтверждено бухгалтерскими документами (карточка счета 10)</t>
  </si>
  <si>
    <t>Плата за негативное воздействие на окружающую среду принята в размере 36,32 тыс. руб. в соответствии с бухгалтерскими документами и налоговой декларацией; налог на имущество принят регулятором в размере 333,97 тыс. руб. -  в соответствии с бухгалтерскими документами и налоговой декларацией.</t>
  </si>
  <si>
    <t>принято регулятором в экономически обоснованном размере 110,07 тыс. руб. в соответствии с п. 29 Приказа ФСТ России от 27.12.2013 N 1746-э в размере амортизации</t>
  </si>
  <si>
    <t>Расчитаны исходя из фактического объема, с учетом планового удельного расхода электроэнергии, согласно утврежденным параметрам и фактического тарифа на электроэнергию за 2024 год.</t>
  </si>
  <si>
    <t>по плану 2024 года</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</si>
  <si>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</si>
  <si>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</si>
  <si>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</si>
  <si>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</si>
  <si>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</si>
  <si>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</si>
  <si>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</si>
  <si>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</si>
  <si>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</si>
  <si>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</si>
  <si>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</si>
  <si>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</si>
  <si>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</si>
  <si>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</si>
  <si>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</si>
  <si>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</si>
  <si>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</si>
  <si>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</si>
  <si>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</si>
  <si>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sz val="9"/>
        <rFont val="Tahoma"/>
        <family val="2"/>
        <charset val="204"/>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</si>
  <si>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</si>
  <si>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</si>
  <si>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</si>
  <si>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</si>
  <si>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</si>
  <si>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</si>
  <si>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</si>
  <si>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</si>
  <si>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</si>
  <si>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</si>
  <si>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</si>
  <si>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</si>
  <si>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</si>
  <si>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</si>
  <si>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</si>
  <si>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</si>
  <si>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</si>
  <si>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</si>
  <si>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</si>
  <si>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</si>
  <si>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</si>
  <si>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</si>
  <si>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</si>
  <si>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</si>
  <si>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</si>
  <si>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</si>
  <si>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</si>
  <si>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</si>
  <si>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</si>
  <si>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</si>
  <si>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</si>
  <si>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</si>
  <si>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</si>
  <si>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</si>
  <si>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</si>
  <si>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</si>
  <si>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</si>
  <si>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</si>
  <si>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</si>
  <si>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</si>
  <si>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</si>
  <si>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</si>
  <si>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</si>
  <si>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</si>
  <si>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</si>
  <si>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</si>
  <si>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</si>
  <si>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</si>
  <si>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</si>
  <si>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</si>
  <si>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</si>
  <si>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</si>
  <si>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</si>
  <si>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</si>
  <si>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</si>
  <si>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</si>
  <si>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</si>
  <si>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</si>
  <si>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</si>
  <si>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</si>
  <si>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</si>
  <si>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</si>
  <si>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</si>
  <si>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</si>
  <si>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</si>
  <si>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</si>
  <si>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</si>
  <si>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</si>
  <si>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</si>
  <si>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</si>
  <si>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</si>
  <si>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sz val="9"/>
        <rFont val="Tahoma"/>
        <family val="2"/>
        <charset val="204"/>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</si>
  <si>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</si>
  <si>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</si>
  <si>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</si>
  <si>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</si>
  <si>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</si>
  <si>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</si>
  <si>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</si>
  <si>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</si>
  <si>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</si>
  <si>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</si>
  <si>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</si>
  <si>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</si>
  <si>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</si>
  <si>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</si>
  <si>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</si>
  <si>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</si>
  <si>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</si>
  <si>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</si>
  <si>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</si>
  <si>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</si>
  <si>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</si>
  <si>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</si>
  <si>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</si>
  <si>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</si>
  <si>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</si>
  <si>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</si>
  <si>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</si>
  <si>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</si>
  <si>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</si>
  <si>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</si>
  <si>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</si>
  <si>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</si>
  <si>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</si>
  <si>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</si>
  <si>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</si>
  <si>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</si>
  <si>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</si>
  <si>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</si>
  <si>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</si>
  <si>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</si>
  <si>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</si>
  <si>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</si>
  <si>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</si>
  <si>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</si>
  <si>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</si>
  <si>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</si>
  <si>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</si>
  <si>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</si>
  <si>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</si>
  <si>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</si>
  <si>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</si>
  <si>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</si>
  <si>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</si>
  <si>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</si>
  <si>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</si>
  <si>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</si>
  <si>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</si>
  <si>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</si>
  <si>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</si>
  <si>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</si>
  <si>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</si>
  <si>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</si>
  <si>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</si>
  <si>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</si>
  <si>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</si>
  <si>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</si>
  <si>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</si>
  <si>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</si>
  <si>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</si>
  <si>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</si>
  <si>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</si>
  <si>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</si>
  <si>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</si>
  <si>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</si>
  <si>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</si>
  <si>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</si>
  <si>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</si>
  <si>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</si>
  <si>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DYN_OTHER</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</si>
  <si>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</si>
  <si>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</si>
  <si>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</si>
  <si>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</si>
  <si>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</si>
  <si>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</si>
  <si>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</si>
  <si>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</si>
  <si>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</si>
  <si>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</si>
  <si>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</si>
  <si>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</si>
  <si>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</si>
  <si>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</si>
  <si>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</si>
  <si>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</si>
  <si>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</si>
  <si>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</si>
  <si>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</si>
  <si>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</si>
  <si>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</si>
  <si>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</si>
  <si>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</si>
  <si>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</si>
  <si>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</si>
  <si>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</si>
  <si>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</si>
  <si>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</si>
  <si>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</si>
  <si>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</si>
  <si>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</si>
  <si>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</si>
  <si>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</si>
  <si>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</si>
  <si>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</si>
  <si>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</si>
  <si>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</si>
  <si>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</si>
  <si>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</si>
  <si>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</si>
  <si>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</si>
  <si>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</si>
  <si>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</si>
  <si>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</si>
  <si>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</si>
  <si>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</si>
  <si>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</si>
  <si>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</si>
  <si>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</si>
  <si>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</si>
  <si>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</si>
  <si>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</si>
  <si>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</si>
  <si>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</si>
  <si>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Недополученные доходы, выпадающие расходы</t>
  </si>
  <si>
    <t>14</t>
  </si>
  <si>
    <t>Избыток средств, полученный за отчётные периоды регулирования, в том числе:</t>
  </si>
  <si>
    <t>l14_1</t>
  </si>
  <si>
    <t>14.1</t>
  </si>
  <si>
    <t>l14_2</t>
  </si>
  <si>
    <t>14.2</t>
  </si>
  <si>
    <t>P_BUDJ_SUBS</t>
  </si>
  <si>
    <t>l15</t>
  </si>
  <si>
    <t>l16</t>
  </si>
  <si>
    <t>16</t>
  </si>
  <si>
    <t>l17</t>
  </si>
  <si>
    <t>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</si>
  <si>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</si>
  <si>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</si>
  <si>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</si>
  <si>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</si>
  <si>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</si>
  <si>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</si>
  <si>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</si>
  <si>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</si>
  <si>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</si>
  <si>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</si>
  <si>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</si>
  <si>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</si>
  <si>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</si>
  <si>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</si>
  <si>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</si>
  <si>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</si>
  <si>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</si>
  <si>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</si>
  <si>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</si>
  <si>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</si>
  <si>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</si>
  <si>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</si>
  <si>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</si>
  <si>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</si>
  <si>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</si>
  <si>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</si>
  <si>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</si>
  <si>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</si>
  <si>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</si>
  <si>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</si>
  <si>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</si>
  <si>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</si>
  <si>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</si>
  <si>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</si>
  <si>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</si>
  <si>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</si>
  <si>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</si>
  <si>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</si>
  <si>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</si>
  <si>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19</t>
  </si>
  <si>
    <t>Итого НВВ для населения</t>
  </si>
  <si>
    <t>P_NVV_PPL</t>
  </si>
  <si>
    <t>l20</t>
  </si>
  <si>
    <t>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</si>
  <si>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</si>
  <si>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</si>
  <si>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</si>
  <si>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</si>
  <si>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</si>
  <si>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</si>
  <si>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</si>
  <si>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</si>
  <si>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</si>
  <si>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</si>
  <si>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</si>
  <si>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</si>
  <si>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</si>
  <si>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</si>
  <si>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</si>
  <si>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</si>
  <si>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</si>
  <si>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21</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</si>
  <si>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</si>
  <si>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</si>
  <si>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</si>
  <si>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</si>
  <si>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</si>
  <si>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</si>
  <si>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</si>
  <si>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</si>
  <si>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</si>
  <si>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</si>
  <si>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</si>
  <si>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</si>
  <si>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</si>
  <si>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</si>
  <si>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</si>
  <si>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</si>
  <si>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</si>
  <si>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</si>
  <si>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</si>
  <si>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</si>
  <si>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</si>
  <si>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</si>
  <si>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</si>
  <si>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</si>
  <si>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</si>
  <si>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</si>
  <si>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</si>
  <si>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</si>
  <si>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</si>
  <si>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</si>
  <si>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</si>
  <si>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</si>
  <si>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</si>
  <si>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</si>
  <si>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</si>
  <si>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</si>
  <si>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</si>
  <si>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</si>
  <si>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</si>
  <si>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</si>
  <si>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</si>
  <si>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</si>
  <si>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</si>
  <si>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</si>
  <si>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</si>
  <si>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</si>
  <si>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</si>
  <si>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</si>
  <si>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</si>
  <si>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</si>
  <si>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</si>
  <si>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</si>
  <si>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</si>
  <si>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</si>
  <si>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</si>
  <si>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</si>
  <si>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</si>
  <si>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</si>
  <si>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</si>
  <si>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</si>
  <si>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</si>
  <si>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</si>
  <si>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</si>
  <si>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</si>
  <si>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</si>
  <si>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</si>
  <si>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</si>
  <si>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</si>
  <si>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</si>
  <si>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</si>
  <si>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</si>
  <si>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</si>
  <si>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</si>
  <si>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</si>
  <si>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</si>
  <si>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</si>
  <si>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</si>
  <si>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</si>
  <si>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</si>
  <si>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</si>
  <si>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</si>
  <si>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</si>
  <si>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</si>
  <si>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</si>
  <si>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</si>
  <si>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</si>
  <si>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</si>
  <si>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</si>
  <si>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</si>
  <si>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</si>
  <si>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</si>
  <si>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</si>
  <si>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</si>
  <si>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</si>
  <si>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</si>
  <si>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</si>
  <si>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</si>
  <si>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</si>
  <si>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</si>
  <si>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</si>
  <si>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</si>
  <si>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</si>
  <si>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</si>
  <si>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</si>
  <si>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</si>
  <si>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</si>
  <si>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</si>
  <si>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</si>
  <si>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</si>
  <si>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</si>
  <si>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</si>
  <si>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</si>
  <si>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</si>
  <si>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</si>
  <si>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</si>
  <si>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</si>
  <si>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</si>
  <si>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</si>
  <si>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</si>
  <si>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</si>
  <si>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</si>
  <si>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</si>
  <si>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</si>
  <si>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</si>
  <si>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</si>
  <si>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</si>
  <si>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</si>
  <si>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</si>
  <si>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</si>
  <si>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</si>
  <si>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</si>
  <si>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</si>
  <si>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</si>
  <si>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</si>
  <si>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</si>
  <si>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</si>
  <si>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</si>
  <si>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</si>
  <si>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</si>
  <si>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</si>
  <si>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</si>
  <si>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</si>
  <si>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</si>
  <si>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</si>
  <si>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</si>
  <si>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</si>
  <si>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</si>
  <si>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</si>
  <si>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</si>
  <si>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</si>
  <si>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</si>
  <si>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</si>
  <si>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</si>
  <si>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</si>
  <si>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</si>
  <si>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</si>
  <si>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</si>
  <si>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</si>
  <si>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</si>
  <si>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</si>
  <si>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</si>
  <si>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</si>
  <si>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</si>
  <si>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</si>
  <si>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</si>
  <si>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</si>
  <si>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</si>
  <si>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</si>
  <si>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</si>
  <si>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</si>
  <si>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</si>
  <si>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</si>
  <si>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</si>
  <si>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</si>
  <si>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</si>
  <si>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</si>
  <si>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</si>
  <si>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</si>
  <si>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</si>
  <si>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</si>
  <si>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</si>
  <si>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</si>
  <si>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</si>
  <si>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</si>
  <si>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</si>
  <si>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</si>
  <si>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</si>
  <si>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</si>
  <si>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</si>
  <si>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</si>
  <si>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</si>
  <si>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</si>
  <si>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</si>
  <si>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</si>
  <si>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</si>
  <si>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</si>
  <si>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</si>
  <si>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</si>
  <si>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</si>
  <si>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</si>
  <si>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</si>
  <si>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</si>
  <si>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</si>
  <si>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</si>
  <si>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</si>
  <si>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</si>
  <si>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</si>
  <si>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</si>
  <si>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</si>
  <si>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</si>
  <si>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</si>
  <si>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</si>
  <si>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</si>
  <si>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</si>
  <si>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</si>
  <si>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</si>
  <si>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</si>
  <si>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</si>
  <si>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</si>
  <si>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</si>
  <si>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</si>
  <si>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</si>
  <si>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</si>
  <si>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</si>
  <si>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</si>
  <si>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</si>
  <si>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</si>
  <si>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</si>
  <si>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</si>
  <si>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</si>
  <si>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</si>
  <si>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</si>
  <si>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</si>
  <si>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</si>
  <si>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</si>
  <si>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</si>
  <si>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</si>
  <si>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</si>
  <si>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</si>
  <si>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</si>
  <si>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</si>
  <si>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</si>
  <si>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</si>
  <si>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</si>
  <si>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</si>
  <si>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</si>
  <si>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</si>
  <si>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</si>
  <si>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</si>
  <si>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</si>
  <si>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</si>
  <si>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</si>
  <si>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</si>
  <si>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</si>
  <si>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</si>
  <si>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</si>
  <si>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</si>
  <si>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</si>
  <si>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</si>
  <si>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</si>
  <si>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</si>
  <si>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</si>
  <si>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</si>
  <si>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</si>
  <si>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</si>
  <si>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</si>
  <si>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</si>
  <si>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</si>
  <si>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</si>
  <si>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</si>
  <si>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</si>
  <si>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</si>
  <si>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</si>
  <si>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</si>
  <si>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</si>
  <si>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</si>
  <si>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</si>
  <si>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</si>
  <si>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</si>
  <si>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</si>
  <si>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</si>
  <si>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</si>
  <si>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</si>
  <si>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</si>
  <si>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</si>
  <si>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</si>
  <si>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</si>
  <si>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</si>
  <si>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</si>
  <si>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</si>
  <si>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</si>
  <si>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https://portal.eias.ru/Portal/DownloadPage.aspx?type=12&amp;guid=fa4f5d8b-ab19-496c-8cf1-2f0ecacfcc93, https://portal.eias.ru/Portal/DownloadPage.aspx?type=12&amp;guid=18d42bda-846a-4be4-9abb-afc1f6415637, https://portal.eias.ru/Portal/DownloadPage.aspx?type=12&amp;guid=5346c23c-418f-45ac-940b-e00720ffd1d8, https://portal.eias.ru/Portal/DownloadPage.aspx?type=12&amp;guid=9c109532-6b41-4ca8-94c2-ee2c75930a56, https://portal.eias.ru/Portal/DownloadPage.aspx?type=12&amp;guid=f6f5e750-d3e3-410c-abcd-5312bf19739e</t>
  </si>
  <si>
    <t>На основании п. 85 Методических указаний № 1746-э при установлении тарифов с применением метода индексации до начала очередного долгосрочного периода регулирования необходимая валовая выручка регулируемой организации рассчитывается отдельно на каждый i-й расчетный период регулирования долгосрочного периода регулирования по формуле 30.  Величина текущих расходов регулируемой организации определяется в соответствии с главой VI.I  Методических указаний № 1746-э (п. 88).</t>
  </si>
  <si>
    <t>https://portal.eias.ru/Portal/DownloadPage.aspx?type=12&amp;guid=d740da49-4646-4bbb-af04-81d1d839bf39, https://portal.eias.ru/Portal/DownloadPage.aspx?type=12&amp;guid=f2dacbcd-1214-4879-9079-a628d109e2f1,  https://portal.eias.ru/Portal/DownloadPage.aspx?type=12&amp;guid=c1dfff80-fb4c-4e29-b86b-531f15ea700e, https://portal.eias.ru/Portal/DownloadPage.aspx?type=12&amp;guid=8e1bbc8b-b59b-412b-9521-0f3ccc93a5f7, https://portal.eias.ru/Portal/DownloadPage.aspx?type=12&amp;guid=652acc11-0238-4a8d-bb3e-9b707eeff8ae, https://portal.eias.ru/Portal/DownloadPage.aspx?type=12&amp;guid=4328c92e-e2a7-4d33-905e-7e406e6a5301, https://portal.eias.ru/Portal/DownloadPage.aspx?type=12&amp;guid=c5a2aaa3-b9d8-4492-87fd-3c2e6e8b818b, https://portal.eias.ru/Portal/DownloadPage.aspx?type=12&amp;guid=5777e2db-6700-49a6-a589-82df39651b1f, https://portal.eias.ru/Portal/DownloadPage.aspx?type=12&amp;guid=f77a99ed-69bc-4040-a2c0-106bf68f7163</t>
  </si>
  <si>
    <t>https://portal.eias.ru/Portal/DownloadPage.aspx?type=12&amp;guid=5d617ece-6386-4a3f-96f5-03aaa1600944, https://portal.eias.ru/Portal/DownloadPage.aspx?type=12&amp;guid=8b2f3b31-96e3-44d3-bc99-779245ae1ea9 , https://portal.eias.ru/Portal/DownloadPage.aspx?type=12&amp;guid=399ed7f8-3dfc-430c-b23b-021f4754f17b</t>
  </si>
  <si>
    <t>Подробно на листе "ФОТ"</t>
  </si>
  <si>
    <t>https://portal.eias.ru/Portal/DownloadPage.aspx?type=12&amp;guid=e8e7b6dd-bf00-4d54-b18c-42413b40e16a, https://portal.eias.ru/Portal/DownloadPage.aspx?type=12&amp;guid=5aea34ad-6bf3-49f9-9f6b-d43bfe33667e, https://portal.eias.ru/Portal/DownloadPage.aspx?type=12&amp;guid=5803e5f8-3228-4259-b7db-043d95c85f43, https://portal.eias.ru/Portal/DownloadPage.aspx?type=12&amp;guid=93032d0c-81f7-432e-834b-73dbbaa427d6, https://portal.eias.ru/Portal/DownloadPage.aspx?type=12&amp;guid=17faeff1-716b-4c1e-acd6-ae1fc9847ce1, https://portal.eias.ru/Portal/DownloadPage.aspx?type=12&amp;guid=f2632122-6f03-4a36-9163-7a7611b19d55, https://portal.eias.ru/Portal/DownloadPage.aspx?type=12&amp;guid=0db43e07-af0c-4ff5-b78b-da37b03c3df7, https://portal.eias.ru/Portal/DownloadPage.aspx?type=12&amp;guid=167ecb53-f638-40d5-9b73-82d46c2d10a4, https://portal.eias.ru/Portal/DownloadPage.aspx?type=12&amp;guid=1c0930d6-d233-4ed1-8fbc-b0ab5221d25a</t>
  </si>
  <si>
    <t>https://portal.eias.ru/Portal/DownloadPage.aspx?type=12&amp;guid=686f7e50-057e-4dc9-8b80-238999d829fb, https://portal.eias.ru/Portal/DownloadPage.aspx?type=12&amp;guid=de1af467-88a4-41ae-83b5-be757d21c556, https://portal.eias.ru/Portal/DownloadPage.aspx?type=12&amp;guid=3740a5d7-4f37-4616-88c9-3ecd47ad9c7d, https://portal.eias.ru/Portal/DownloadPage.aspx?type=12&amp;guid=d74f1adf-9d42-4d22-98da-52403aaef769, https://portal.eias.ru/Portal/DownloadPage.aspx?type=12&amp;guid=b8271765-5124-4cc2-b7bf-d1501da24e6b, https://portal.eias.ru/Portal/DownloadPage.aspx?type=12&amp;guid=476b2067-90ca-45ff-b2f7-feee71c58ce2, https://portal.eias.ru/Portal/DownloadPage.aspx?type=12&amp;guid=d86ed753-d36a-4948-97fa-a55cfbbf41f5, https://portal.eias.ru/Portal/DownloadPage.aspx?type=12&amp;guid=e87bc17d-3aae-4e6b-9582-46a85d176113, https://portal.eias.ru/Portal/DownloadPage.aspx?type=12&amp;guid=420e272f-9988-47e8-9568-eb137950ca2b</t>
  </si>
  <si>
    <t>Охрана труда, поверка приборов, обучение персонала - учтено от факта 2023 года с применением ИПЦ Минэкономразвития РФ на 2024 год 107,2%. Охрана объектов, канцелярия, связь - по предложению организации, не превышает экономически обоснованный размер. Аренда основных средств -  по предложению на основании представленного договора аренды с ООО Аспект № 22/О-2021 от 30.12.2021 в доле на ВС 45,23%.</t>
  </si>
  <si>
    <t>учтено в соответствии с заключением технических специалистов</t>
  </si>
  <si>
    <t>https://portal.eias.ru/Portal/DownloadPage.aspx?type=12&amp;guid=420e272f-9988-47e8-9568-eb137950ca2b, https://portal.eias.ru/Portal/DownloadPage.aspx?type=12&amp;guid=118e7ac3-50e7-4679-85e2-0da4a3a31f06, https://portal.eias.ru/Portal/DownloadPage.aspx?type=12&amp;guid=8415af5c-583f-4dc8-b04b-8820476097b1, https://portal.eias.ru/Portal/DownloadPage.aspx?type=12&amp;guid=2ddddd8f-3de4-4416-a597-3e6f6c9ce142, https://portal.eias.ru/Portal/DownloadPage.aspx?type=12&amp;guid=afc1d6a1-b480-4231-b9d1-7415ce5f10b3, https://portal.eias.ru/Portal/DownloadPage.aspx?type=12&amp;guid=d63af8c5-88a3-4541-8ccf-39203f5276ed, https://portal.eias.ru/Portal/DownloadPage.aspx?type=12&amp;guid=34e649ee-19b2-42cc-84ab-673b6354c015, https://portal.eias.ru/Portal/DownloadPage.aspx?type=12&amp;guid=dfad0031-9913-41db-b9c0-d942fd72c46d</t>
  </si>
  <si>
    <t>Подробно на листе "Административные"</t>
  </si>
  <si>
    <t>п. 49 Методических указаний 1746-э.</t>
  </si>
  <si>
    <t>https://portal.eias.ru/Portal/DownloadPage.aspx?type=12&amp;guid=1c31c90f-9b56-4b88-be23-e21a67837d33, https://portal.eias.ru/Portal/DownloadPage.aspx?type=12&amp;guid=442fd157-2d47-4eed-b9ea-df814f1d59ed, https://portal.eias.ru/Portal/DownloadPage.aspx?type=12&amp;guid=941b4812-8998-45b9-a6b0-9ee65f9299ad</t>
  </si>
  <si>
    <t>Подробно на листе "Покупка"</t>
  </si>
  <si>
    <t>https://portal.eias.ru/Portal/DownloadPage.aspx?type=12&amp;guid=9d729fdc-20d5-4453-9433-816dd44df0c8, https://portal.eias.ru/Portal/DownloadPage.aspx?type=12&amp;guid=9de5212b-1ccb-4e8e-a9c1-24ab8e566b75, https://portal.eias.ru/Portal/DownloadPage.aspx?type=12&amp;guid=0f3701dd-afe0-4b9c-a4d6-88390e173476, https://portal.eias.ru/Portal/DownloadPage.aspx?type=12&amp;guid=214aa923-2dc1-493d-9fb5-a67bf4a0accc, https://portal.eias.ru/Portal/DownloadPage.aspx?type=12&amp;guid=3f50d7f9-b376-44df-be09-674d7dc4f9cf</t>
  </si>
  <si>
    <t>Подробно на листе "Реагенты"</t>
  </si>
  <si>
    <t>В соответствии с п.п.2 п.49 Методических указаний 1746-э.</t>
  </si>
  <si>
    <t>Подробный расчет на листе "Налоги"</t>
  </si>
  <si>
    <t>https://portal.eias.ru/Portal/DownloadPage.aspx?type=12&amp;guid=fa4f5d8b-ab19-496c-8cf1-2f0ecacfcc93, https://portal.eias.ru/Portal/DownloadPage.aspx?type=12&amp;guid=18d42bda-846a-4be4-9abb-afc1f6415637, https://portal.eias.ru/Portal/DownloadPage.aspx?type=12&amp;g, https://portal.eias.ru/Portal/DownloadPage.aspx?type=12&amp;guid=9c109532-6b41-4ca8-94c2-ee2c75930a56, https://portal.eias.ru/Portal/DownloadPage.aspx?type=12&amp;guid=f6f5e750-d3e3-410c-abcd-5312bf19739e</t>
  </si>
  <si>
    <t>https://portal.eias.ru/Portal/DownloadPage.aspx?type=12&amp;guid=b0c01564-c15e-445c-8d50-e47d2f6b559a</t>
  </si>
  <si>
    <t>https://portal.eias.ru/Portal/DownloadPage.aspx?type=12&amp;guid=53ec55f9-f2f6-4c73-9dff-4ea6fbeaa8a4, https://portal.eias.ru/Portal/DownloadPage.aspx?type=12&amp;guid=23b654ee-4ab1-4454-bf6e-768820220e8e, https://portal.eias.ru/Portal/DownloadPage.aspx?type=12&amp;guid=2ffa7924-357b-4596-95ae-c1f5bf3b630d, https://portal.eias.ru/Portal/DownloadPage.aspx?type=12&amp;guid=b18ed2b1-175e-46a6-a160-b0054d16573a, https://portal.eias.ru/Portal/DownloadPage.aspx?type=12&amp;guid=0050e63a-a089-48ec-a86f-cf64e2d18120, https://portal.eias.ru/Portal/DownloadPage.aspx?type=12&amp;guid=c1b00568-db29-4aeb-8e14-ef5360c1be1b</t>
  </si>
  <si>
    <t>Подробно на листе "Аренда"</t>
  </si>
  <si>
    <t>https://portal.eias.ru/Portal/DownloadPage.aspx?type=12&amp;guid=06073c0d-e532-4309-98f2-feba01a8a22c, https://portal.eias.ru/Portal/DownloadPage.aspx?type=12&amp;guid=78e4bfb1-98fd-44a7-bbf7-239036d3a350, https://portal.eias.ru/Portal/DownloadPage.aspx?type=12&amp;guid=d689a08c-d9da-45cc-a5bc-931baa7153f7, https://portal.eias.ru/Portal/DownloadPage.aspx?type=12&amp;guid=9b7f9b1c-a9de-4a28-91e9-0181f3161133</t>
  </si>
  <si>
    <t>В соответствии с п. 20 Методических указаний № 1746-э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t>
  </si>
  <si>
    <t>Подробно на листе "ЭЭ"</t>
  </si>
  <si>
    <t>https://portal.eias.ru/Portal/DownloadPage.aspx?type=12&amp;guid=ea69ff93-d09d-43c1-86bb-ac867fb7d4c5, https://portal.eias.ru/Portal/DownloadPage.aspx?type=12&amp;guid=2d8b20a6-4b06-4bca-a2d8-b070f7c81e66, https://portal.eias.ru/Portal/DownloadPage.aspx?type=12&amp;guid=1e76c516-cccc-4ed2-8bca-33cf07915d26</t>
  </si>
  <si>
    <t>Подробно на листе "Амортизация"</t>
  </si>
  <si>
    <t>Подробно на листе "ИП+источники"</t>
  </si>
  <si>
    <t>Величина изменения необходимой валовой выручки в году i, проводимого в целях сглаживания, определенная при корректировке тарифа на каждый год долгосрочного периода регулирования, рассчитанная в соответствии с пунктом 42 Методических указаний, утвержденных Приказом ФСТ России от 27.12.2013 N 1746-э (ред. от 05.07.2022).</t>
  </si>
  <si>
    <t>https://portal.eias.ru/Portal/DownloadPage.aspx?type=12&amp;guid=6103c65b-4327-4339-886a-d41c96e31130</t>
  </si>
  <si>
    <t>учтено по предложению организации, не превышает экономически обоснованный размер</t>
  </si>
  <si>
    <t>Поверка приборов, обучение, охрана труда, химреагенты, предоставление водного объекта в пользование (нормативы образвания отходов, ПДВ) - учтено от факта 2023 года с применением ИПЦ Минэкономразвития РФ на 2024 год 107,2%. Охрана объектов, канцелярия, связь, прочие - учтено по предложению организации, в размере не превышающем экономически обоснованный размер. Аренда основных средств - по предложению на основании представленного договора аренды с ООО Аспект № 22/О-2021 от 30.12.2021 в доле на ВО 54,77%</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</si>
  <si>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</si>
  <si>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</si>
  <si>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</si>
  <si>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Скорректированная величина операционных расходов на год i долгосрочного периода регулирования, определялась исходя из актуальных значений параметров расчета тарифов (прогнозных показателей, определенных в подпункте "в" пункта 16  Методических указаний № 1746-э) в соответствии с формулой (39)  Методических указаний № 1746-э.  Рассчитывались исходя из утвержденного базового уровня операционных расходов 2023 года на транспортировку  воды в размере 35588,62 тыс. руб.  с применением прогнозного ИПЦ Минэкономразвития РФ на 2024 года -108,5%, на 2025 год 109% , на 2026 год 109% и индекса эффективности на 2024-2026 годы -1%, индекс изменения количества активов 0 и  исходя из утвержденного базового уровня операционных расходов 2024 года на очистку воды в размере 62055,85 тыс. руб.  с применением прогнозного ИПЦ Минэкономразвития РФ на 2025 год 109% , на 2026 год 109% и индекса эффективности на 2024-2026 годы -1%, индекс изменения количества активов 0</t>
  </si>
  <si>
    <t>Скорректированная величина уровня неподконтрольных расходов на год i долгосрочного периода регулирования, определяемая в соответствии с пунктами 49 и 88 Методических указаний № 1746-э</t>
  </si>
  <si>
    <t>Подробный расчет на листе "Покупка"</t>
  </si>
  <si>
    <t>Подробный расчет на листе "Сырье и материалы"</t>
  </si>
  <si>
    <t>Согласно п. 30.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t>
  </si>
  <si>
    <t xml:space="preserve"> п. 29, п.51 Методических указаний 1746-э. </t>
  </si>
  <si>
    <t>подробное описание на листе "Аренда"</t>
  </si>
  <si>
    <t>подробное описание на листе "ЭЭ"</t>
  </si>
  <si>
    <t>Величина амортизационных отчислений на год i долгосрочного периода регулирования, определялась  в соответствии с пунктом 28 Методических указаний № 1746-э.</t>
  </si>
  <si>
    <t>подробное описание на листе "Амортизация"</t>
  </si>
  <si>
    <t>в соответствии с письмом ФАС от 18.07.2018г. № ВК/55514/18 о том, что корректировка планового значения расчетной предпринимательской прибыли не предусмотрена Методическими указаниями № 1746-э</t>
  </si>
  <si>
    <t>в соответствии с плановым значением на 2026 год , утвержденным при формировании долгосрочных тарифов, в соответствии с письмом ФАС от 18.07.2018г. № ВК/55514/18 о том, что корректировка планового значения расчетной предпринимательской прибыли не предусмотрена Методическими указаниями № 1746-э</t>
  </si>
  <si>
    <t xml:space="preserve"> п.93 Методических указаний 1746-э. </t>
  </si>
  <si>
    <t xml:space="preserve"> п.90 Методических указаний 1746-э. </t>
  </si>
  <si>
    <t>учтено не выполнение капитального ремонта (план 2024 год 18147,04 тыс. руб., факт 5526,86 тыс. руб., к снятию 12620,18 тыс. руб.)</t>
  </si>
  <si>
    <t xml:space="preserve">Величина изменения необходимой валовой выручки в году i, проводимого в целях сглаживания, определенная при корректировке тарифа на каждый год долгосрочного периода регулирования, рассчитанная в соответствии с пунктом 42 Методических указаний, утвержденных Приказом ФСТ России от 27.12.2013 N 1746-э (ред. от 27.05.2024). </t>
  </si>
  <si>
    <t>10795,16 тыс. руб. применено сглаживание в сторону уменьшения, в целях недопущения резкого роста тарифов</t>
  </si>
  <si>
    <t>Согласно п. 4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t>
  </si>
  <si>
    <t>Распределение тарифов на 2026 год в соответствии с постановлением Правительства Российской Федерации  от 20.11.2025 № 1834 «О внесении изменений в некоторые акты Правительства Российской Федерации», с календарной разбивкой с 01.01.2026 г. по 30.09.2026 г. и с 01.10.2026 г. по 31.2.2026 г.</t>
  </si>
  <si>
    <t>Скорректированная величина операционных расходов на год i долгосрочного периода регулирования, определялась исходя из актуальных значений параметров расчета тарифов (прогнозных показателей, определенных в подпункте "в" пункта 16  Методических указаний № 1746-э) в соответствии с формулой (39)  Методических указаний № 1746-э.  Рассчитывались исходя из утвержденного базового уровня операционных расходов 2023 года на транспортировку  сточных вод в размере 14646,98 тыс. руб.  с применением прогнозного ИПЦ Минэкономразвития РФ на 2024 года -108,5%, на 2025 год 109% , на 2026 год 109% и индекса эффективности на 2024-2026 годы -1%, индекс изменения количества активов 0 и  исходя из утвержденного базового уровня операционных расходов 2024 года на очистку сточных вод в размере 71523,23 тыс. руб.  с применением прогнозного ИПЦ Минэкономразвития РФ на 2025 год 109% , на 2026 год 109% и индекса эффективности на 2024-2026 годы -1%, индекс изменения количества активов 0</t>
  </si>
  <si>
    <t>Скорректированная величина уровня неподконтрольных расходов на год i долгосрочного периода регулирования, определялась в соответствии с пунктами 49 и 88  Методических указаний № 1746-э</t>
  </si>
  <si>
    <t>Подробное описание на листе "Покупка"</t>
  </si>
  <si>
    <t>п. 49 и п. 88 Методических указаний № 1746-э</t>
  </si>
  <si>
    <t>Подробное описание на листе "Сырье и материалы"</t>
  </si>
  <si>
    <t>п.п.2 п.49 Методических указаний 1746-э.</t>
  </si>
  <si>
    <t>подробное описание расчета на листе "Налоги"</t>
  </si>
  <si>
    <t>учтено не выполнение капитального ремонта (план 2024 год 8059,71 тыс. руб., факт 1853,86 тыс. руб., к снятию 6205,85 тыс.руб.) и доходы от платы за негативное воздействие на ЦСВ за 2023 год в размере 19698,95 тыс. руб. в соответствии с п. 11.1 методических указаний (с учетом платы за негативное воздействие на окружающую среду 7,43 тыс. руб. (ОСВ 20) (19698,95-7,43=19691,52 тыс. руб.) Подробно на листе "Плата за негативное воздействие"</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</si>
  <si>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</si>
  <si>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</si>
  <si>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</si>
  <si>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</si>
  <si>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</si>
  <si>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</si>
  <si>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</si>
  <si>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</si>
  <si>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</si>
  <si>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</si>
  <si>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</si>
  <si>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</si>
  <si>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</si>
  <si>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</si>
  <si>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</si>
  <si>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</si>
  <si>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</si>
  <si>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</si>
  <si>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</si>
  <si>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</si>
  <si>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</si>
  <si>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</si>
  <si>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</si>
  <si>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</si>
  <si>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</si>
  <si>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</si>
  <si>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</si>
  <si>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</si>
  <si>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В связи с тем, что на оказание услуг по транспортировке воды и сточных вод организация заключила концессионное соглашение,  ДПР установлены: 1) Подъем, водоподготовка; 2) Транспортировка воды; 3) Прием, очистка сточных вод; 4) Транспортировка сточных вод. В данном разделе отражены ДПР на услуги:  1) Подъем и водоподготовка; 2) Прием, очистка сточных вод.</t>
  </si>
  <si>
    <t>В связи с тем, что ДПР выданы постановлением РЭК КУзбасса от 11.07.2024 № 125, где установлен удельный расход электроэнергии на прием и очистку сточных вод в размере  1,32 кВт*ч/м3, а на транспортировку сточных вод 0,05  кВт*ч/м3, функциональные особенности шаблона не позволяют корректно отразить эту информацию, для того чтобы устранить ошибку шаблона, на данном листе удельный расход указан в размере 1,369  кВт*ч/м3, что соответствует суммарному удельному расходу по подготовке, очистке и транспортировке сточных вод. А на листе "ДПР (концессия) указан удельный расход электроэнергии именно на транспортировку, в размере 0,05  кВт*ч/м3.</t>
  </si>
  <si>
    <t>DYN_DPR</t>
  </si>
  <si>
    <t>{                  _x000D_
         funcDyn: 'msg',_x000D_
         blok: '',_x000D_
         wsCross: '',_x000D_
         linkFormula: '',_x000D_
         levelDyn: '1',_x000D_
         addDynValue: 'det_name|AB|0'_x000D_
}</t>
  </si>
  <si>
    <t>транспортировка</t>
  </si>
  <si>
    <t>{                  _x000D_
         funcDyn: 'msg1',_x000D_
         blok: 'blok_1',_x000D_
         wsCross: 'ГО',_x000D_
         linkFormula: 'AB-AB',_x000D_
         levelDyn: ''_x000D_
}</t>
  </si>
  <si>
    <t>ДПР (концессия) выданы в 2023 году, в шаблоне нет технической возможности добавить 2023 год, поэтому в таблице Операционные расходы обозначены в 2024 году. Ниже указаны показатели в соотвествии с утвержденными ДПР:</t>
  </si>
  <si>
    <t>Водоснабжение (транспортировка) КС от 22.04.2024 № 25:  Базовый уровень операционных расходов 2023 год - 35588,62 тыс. руб. Уровень потерь воды: с 2023-2032 годы - 35,86 %</t>
  </si>
  <si>
    <t>Водоотведение (транспортировка) КС от 22.04.2024 № 24:  Базовый уровень операционных расходов 2023 год - 14646,98 тыс. руб.Удельный расход электрической энергии: с 2023 по 2032 годы - 0,050 кВтч/куб.м.</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</si>
  <si>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</si>
  <si>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</si>
  <si>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</si>
  <si>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</si>
  <si>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</si>
  <si>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</si>
  <si>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</si>
  <si>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</si>
  <si>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</si>
  <si>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</si>
  <si>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</si>
  <si>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</si>
  <si>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</si>
  <si>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</si>
  <si>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</si>
  <si>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</si>
  <si>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</si>
  <si>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</si>
  <si>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</si>
  <si>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</si>
  <si>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</si>
  <si>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</si>
  <si>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</si>
  <si>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</si>
  <si>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</si>
  <si>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</si>
  <si>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</si>
  <si>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</si>
  <si>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</si>
  <si>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</si>
  <si>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</si>
  <si>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</si>
  <si>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</si>
  <si>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</si>
  <si>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</si>
  <si>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</si>
  <si>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</si>
  <si>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</si>
  <si>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</si>
  <si>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</si>
  <si>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</si>
  <si>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</si>
  <si>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</si>
  <si>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</si>
  <si>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</si>
  <si>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</si>
  <si>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</si>
  <si>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</si>
  <si>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</si>
  <si>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</si>
  <si>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</si>
  <si>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</si>
  <si>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</si>
  <si>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</si>
  <si>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</si>
  <si>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</si>
  <si>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</si>
  <si>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</si>
  <si>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</si>
  <si>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</si>
  <si>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</si>
  <si>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</si>
  <si>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</si>
  <si>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</si>
  <si>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</si>
  <si>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</si>
  <si>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</si>
  <si>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</si>
  <si>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</si>
  <si>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</si>
  <si>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</si>
  <si>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</si>
  <si>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</si>
  <si>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</si>
  <si>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</si>
  <si>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</si>
  <si>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</si>
  <si>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</si>
  <si>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</si>
  <si>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</si>
  <si>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</si>
  <si>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</si>
  <si>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</si>
  <si>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</si>
  <si>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</si>
  <si>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</si>
  <si>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</si>
  <si>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</si>
  <si>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</si>
  <si>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</si>
  <si>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</si>
  <si>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</si>
  <si>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</si>
  <si>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</si>
  <si>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</si>
  <si>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</si>
  <si>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</si>
  <si>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</si>
  <si>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</si>
  <si>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</si>
  <si>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</si>
  <si>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</si>
  <si>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</si>
  <si>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</si>
  <si>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</si>
  <si>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</si>
  <si>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</si>
  <si>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</si>
  <si>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</si>
  <si>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</si>
  <si>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</si>
  <si>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</si>
  <si>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</si>
  <si>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</si>
  <si>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</si>
  <si>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</si>
  <si>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</si>
  <si>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</si>
  <si>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</si>
  <si>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</si>
  <si>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</si>
  <si>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</si>
  <si>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</si>
  <si>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</si>
  <si>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</si>
  <si>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</si>
  <si>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</si>
  <si>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</si>
  <si>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</si>
  <si>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</si>
  <si>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</si>
  <si>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</si>
  <si>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</si>
  <si>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</si>
  <si>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</si>
  <si>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</si>
  <si>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</si>
  <si>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</si>
  <si>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</si>
  <si>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</si>
  <si>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</si>
  <si>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</si>
  <si>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</si>
  <si>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</si>
  <si>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</si>
  <si>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</si>
  <si>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</si>
  <si>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</si>
  <si>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</si>
  <si>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</si>
  <si>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</si>
  <si>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</si>
  <si>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</si>
  <si>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</si>
  <si>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</si>
  <si>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</si>
  <si>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</si>
  <si>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</si>
  <si>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</si>
  <si>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</si>
  <si>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</si>
  <si>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</si>
  <si>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</si>
  <si>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</si>
  <si>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</si>
  <si>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</si>
  <si>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</si>
  <si>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</si>
  <si>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</si>
  <si>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</si>
  <si>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</si>
  <si>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</si>
  <si>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</si>
  <si>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</si>
  <si>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</si>
  <si>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</si>
  <si>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</si>
  <si>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</si>
  <si>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</si>
  <si>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</si>
  <si>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</si>
  <si>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</si>
  <si>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</si>
  <si>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</si>
  <si>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</si>
  <si>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</si>
  <si>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</si>
  <si>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</si>
  <si>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</si>
  <si>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</si>
  <si>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</si>
  <si>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</si>
  <si>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</si>
  <si>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</si>
  <si>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</si>
  <si>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</si>
  <si>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</si>
  <si>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</si>
  <si>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</si>
  <si>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</si>
  <si>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</si>
  <si>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</si>
  <si>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</si>
  <si>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</si>
  <si>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</si>
  <si>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</si>
  <si>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</si>
  <si>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</si>
  <si>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</si>
  <si>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</si>
  <si>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</si>
  <si>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</si>
  <si>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</si>
  <si>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</si>
  <si>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</si>
  <si>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</si>
  <si>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</si>
  <si>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</si>
  <si>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</si>
  <si>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</si>
  <si>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</si>
  <si>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</si>
  <si>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</si>
  <si>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</si>
  <si>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</si>
  <si>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</si>
  <si>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</si>
  <si>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</si>
  <si>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</si>
  <si>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</si>
  <si>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</si>
  <si>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</si>
  <si>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</si>
  <si>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</si>
  <si>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</si>
  <si>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</si>
  <si>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</si>
  <si>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</si>
  <si>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</si>
  <si>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</si>
  <si>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</si>
  <si>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</si>
  <si>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</si>
  <si>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</si>
  <si>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</si>
  <si>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</si>
  <si>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</si>
  <si>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</si>
  <si>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</si>
  <si>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</si>
  <si>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</si>
  <si>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</si>
  <si>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</si>
  <si>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</si>
  <si>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</si>
  <si>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</si>
  <si>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</si>
  <si>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</si>
  <si>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</si>
  <si>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</si>
  <si>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</si>
  <si>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</si>
  <si>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</si>
  <si>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</si>
  <si>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</si>
  <si>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</si>
  <si>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</si>
  <si>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</si>
  <si>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</si>
  <si>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</si>
  <si>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</si>
  <si>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</si>
  <si>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</si>
  <si>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</si>
  <si>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</si>
  <si>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</si>
  <si>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</si>
  <si>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</si>
  <si>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</si>
  <si>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</si>
  <si>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</si>
  <si>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</si>
  <si>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</si>
  <si>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</si>
  <si>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</si>
  <si>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</si>
  <si>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</si>
  <si>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</si>
  <si>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</si>
  <si>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</si>
  <si>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</si>
  <si>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</si>
  <si>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</si>
  <si>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</si>
  <si>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</si>
  <si>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</si>
  <si>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</si>
  <si>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</si>
  <si>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</si>
  <si>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</si>
  <si>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</si>
  <si>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</si>
  <si>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</si>
  <si>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</si>
  <si>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</si>
  <si>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</si>
  <si>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</si>
  <si>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</si>
  <si>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</si>
  <si>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</si>
  <si>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</si>
  <si>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</si>
  <si>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</si>
  <si>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</si>
  <si>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</si>
  <si>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</si>
  <si>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</si>
  <si>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</si>
  <si>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</si>
  <si>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</si>
  <si>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</si>
  <si>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</si>
  <si>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</si>
  <si>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</si>
  <si>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</si>
  <si>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</si>
  <si>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</si>
  <si>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</si>
  <si>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</si>
  <si>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</si>
  <si>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</si>
  <si>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</si>
  <si>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</si>
  <si>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</si>
  <si>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</si>
  <si>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</si>
  <si>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</si>
  <si>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</si>
  <si>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</si>
  <si>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</si>
  <si>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</si>
  <si>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</si>
  <si>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</si>
  <si>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</si>
  <si>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</si>
  <si>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</si>
  <si>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</si>
  <si>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</si>
  <si>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</si>
  <si>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</si>
  <si>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</si>
  <si>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</si>
  <si>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</si>
  <si>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</si>
  <si>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</si>
  <si>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</si>
  <si>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</si>
  <si>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</si>
  <si>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</si>
  <si>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</si>
  <si>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</si>
  <si>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</si>
  <si>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</si>
  <si>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</si>
  <si>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</si>
  <si>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</si>
  <si>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</si>
  <si>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</si>
  <si>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</si>
  <si>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</si>
  <si>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</si>
  <si>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</si>
  <si>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</si>
  <si>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</si>
  <si>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</si>
  <si>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</si>
  <si>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</si>
  <si>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</si>
  <si>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</si>
  <si>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</si>
  <si>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</si>
  <si>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</si>
  <si>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</si>
  <si>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</si>
  <si>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</si>
  <si>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</si>
  <si>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</si>
  <si>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</si>
  <si>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</si>
  <si>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</si>
  <si>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</si>
  <si>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</si>
  <si>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</si>
  <si>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</si>
  <si>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</si>
  <si>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</si>
  <si>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</si>
  <si>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</si>
  <si>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</si>
  <si>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</si>
  <si>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</si>
  <si>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</si>
  <si>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</si>
  <si>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</si>
  <si>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</si>
  <si>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</si>
  <si>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</si>
  <si>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</si>
  <si>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</si>
  <si>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</si>
  <si>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</si>
  <si>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</si>
  <si>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</si>
  <si>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</si>
  <si>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</si>
  <si>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</si>
  <si>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</si>
  <si>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</si>
  <si>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</si>
  <si>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</si>
  <si>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</si>
  <si>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</si>
  <si>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</si>
  <si>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</si>
  <si>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</si>
  <si>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</si>
  <si>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</si>
  <si>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</si>
  <si>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</si>
  <si>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</si>
  <si>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</si>
  <si>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</si>
  <si>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</si>
  <si>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</si>
  <si>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</si>
  <si>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</si>
  <si>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</si>
  <si>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</si>
  <si>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</si>
  <si>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</si>
  <si>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</si>
  <si>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</si>
  <si>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</si>
  <si>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</si>
  <si>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</si>
  <si>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</si>
  <si>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</si>
  <si>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</si>
  <si>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</si>
  <si>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</si>
  <si>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</si>
  <si>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</si>
  <si>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</si>
  <si>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</si>
  <si>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</si>
  <si>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</si>
  <si>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</si>
  <si>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</si>
  <si>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</si>
  <si>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</si>
  <si>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</si>
  <si>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</si>
  <si>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</si>
  <si>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</si>
  <si>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</si>
  <si>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</si>
  <si>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</si>
  <si>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</si>
  <si>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</si>
  <si>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</si>
  <si>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</si>
  <si>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</si>
  <si>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</si>
  <si>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</si>
  <si>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</si>
  <si>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</si>
  <si>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</si>
  <si>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</si>
  <si>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</si>
  <si>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</si>
  <si>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</si>
  <si>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</si>
  <si>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</si>
  <si>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</si>
  <si>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</si>
  <si>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</si>
  <si>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</si>
  <si>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</si>
  <si>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</si>
  <si>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</si>
  <si>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</si>
  <si>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</si>
  <si>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</si>
  <si>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</si>
  <si>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</si>
  <si>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</si>
  <si>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</si>
  <si>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</si>
  <si>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</si>
  <si>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</si>
  <si>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</si>
  <si>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</si>
  <si>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</si>
  <si>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</si>
  <si>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</si>
  <si>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</si>
  <si>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</si>
  <si>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</si>
  <si>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</si>
  <si>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</si>
  <si>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</si>
  <si>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</si>
  <si>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</si>
  <si>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</si>
  <si>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</si>
  <si>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</si>
  <si>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</si>
  <si>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</si>
  <si>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</si>
  <si>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</si>
  <si>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</si>
  <si>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</si>
  <si>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</si>
  <si>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</si>
  <si>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</si>
  <si>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</si>
  <si>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</si>
  <si>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</si>
  <si>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</si>
  <si>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</si>
  <si>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</si>
  <si>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</si>
  <si>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</si>
  <si>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</si>
  <si>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</si>
  <si>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</si>
  <si>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</si>
  <si>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</si>
  <si>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</si>
  <si>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</si>
  <si>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</si>
  <si>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</si>
  <si>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</si>
  <si>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</si>
  <si>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</si>
  <si>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</si>
  <si>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</si>
  <si>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</si>
  <si>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</si>
  <si>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</si>
  <si>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</si>
  <si>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</si>
  <si>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</si>
  <si>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</si>
  <si>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</si>
  <si>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</si>
  <si>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</si>
  <si>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</si>
  <si>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</si>
  <si>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</si>
  <si>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</si>
  <si>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</si>
  <si>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</si>
  <si>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</si>
  <si>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</si>
  <si>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</si>
  <si>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</si>
  <si>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</si>
  <si>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</si>
  <si>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</si>
  <si>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</si>
  <si>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</si>
  <si>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</si>
  <si>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</si>
  <si>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</si>
  <si>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</si>
  <si>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</si>
  <si>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</si>
  <si>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</si>
  <si>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</si>
  <si>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</si>
  <si>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</si>
  <si>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</si>
  <si>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</si>
  <si>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</si>
  <si>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</si>
  <si>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</si>
  <si>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</si>
  <si>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</si>
  <si>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</si>
  <si>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</si>
  <si>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</si>
  <si>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</si>
  <si>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</si>
  <si>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</si>
  <si>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</si>
  <si>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</si>
  <si>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</si>
  <si>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</si>
  <si>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</si>
  <si>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</si>
  <si>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</si>
  <si>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</si>
  <si>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</si>
  <si>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</si>
  <si>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</si>
  <si>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</si>
  <si>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</si>
  <si>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</si>
  <si>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</si>
  <si>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</si>
  <si>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</si>
  <si>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</si>
  <si>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</si>
  <si>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</si>
  <si>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</si>
  <si>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</si>
  <si>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</si>
  <si>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</si>
  <si>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</si>
  <si>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</si>
  <si>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</si>
  <si>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</si>
  <si>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</si>
  <si>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</si>
  <si>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</si>
  <si>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</si>
  <si>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</si>
  <si>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</si>
  <si>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</si>
  <si>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</si>
  <si>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</si>
  <si>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</si>
  <si>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</si>
  <si>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</si>
  <si>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</si>
  <si>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</si>
  <si>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</si>
  <si>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</si>
  <si>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</si>
  <si>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</si>
  <si>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</si>
  <si>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</si>
  <si>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</si>
  <si>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</si>
  <si>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</si>
  <si>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</si>
  <si>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</si>
  <si>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</si>
  <si>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</si>
  <si>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</si>
  <si>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</si>
  <si>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</si>
  <si>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</si>
  <si>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</si>
  <si>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</si>
  <si>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</si>
  <si>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</si>
  <si>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</si>
  <si>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</si>
  <si>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</si>
  <si>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</si>
  <si>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</si>
  <si>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</si>
  <si>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</si>
  <si>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</si>
  <si>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</si>
  <si>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</si>
  <si>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</si>
  <si>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</si>
  <si>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</si>
  <si>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</si>
  <si>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</si>
  <si>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</si>
  <si>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</si>
  <si>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</si>
  <si>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</si>
  <si>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</si>
  <si>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</si>
  <si>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</si>
  <si>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</si>
  <si>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</si>
  <si>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</si>
  <si>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</si>
  <si>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</si>
  <si>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</si>
  <si>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</si>
  <si>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</si>
  <si>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</si>
  <si>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</si>
  <si>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</si>
  <si>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</si>
  <si>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</si>
  <si>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</si>
  <si>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</si>
  <si>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</si>
  <si>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</si>
  <si>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</si>
  <si>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</si>
  <si>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</si>
  <si>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</si>
  <si>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</si>
  <si>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</si>
  <si>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</si>
  <si>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</si>
  <si>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</si>
  <si>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</si>
  <si>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</si>
  <si>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</si>
  <si>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</si>
  <si>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</si>
  <si>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</si>
  <si>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</si>
  <si>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</si>
  <si>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</si>
  <si>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</si>
  <si>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</si>
  <si>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</si>
  <si>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</si>
  <si>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</si>
  <si>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</si>
  <si>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</si>
  <si>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</si>
  <si>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</si>
  <si>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</si>
  <si>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</si>
  <si>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</si>
  <si>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</si>
  <si>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</si>
  <si>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</si>
  <si>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</si>
  <si>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</si>
  <si>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</si>
  <si>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</si>
  <si>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</si>
  <si>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</si>
  <si>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</si>
  <si>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</si>
  <si>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</si>
  <si>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</si>
  <si>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</si>
  <si>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</si>
  <si>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</si>
  <si>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</si>
  <si>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</si>
  <si>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</si>
  <si>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</si>
  <si>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</si>
  <si>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</si>
  <si>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</si>
  <si>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</si>
  <si>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</si>
  <si>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</si>
  <si>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</si>
  <si>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</si>
  <si>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</si>
  <si>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</si>
  <si>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</si>
  <si>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</si>
  <si>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</si>
  <si>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</si>
  <si>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</si>
  <si>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</si>
  <si>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</si>
  <si>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</si>
  <si>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</si>
  <si>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</si>
  <si>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</si>
  <si>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</si>
  <si>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</si>
  <si>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</si>
  <si>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</si>
  <si>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</si>
  <si>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</si>
  <si>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</si>
  <si>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</si>
  <si>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</si>
  <si>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</si>
  <si>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</si>
  <si>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</si>
  <si>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</si>
  <si>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</si>
  <si>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</si>
  <si>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</si>
  <si>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</si>
  <si>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</si>
  <si>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</si>
  <si>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</si>
  <si>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</si>
  <si>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</si>
  <si>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</si>
  <si>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</si>
  <si>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</si>
  <si>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</si>
  <si>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</si>
  <si>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</si>
  <si>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</si>
  <si>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</si>
  <si>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</si>
  <si>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</si>
  <si>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</si>
  <si>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</si>
  <si>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</si>
  <si>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</si>
  <si>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</si>
  <si>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</si>
  <si>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</si>
  <si>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</si>
  <si>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</si>
  <si>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</si>
  <si>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</si>
  <si>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</si>
  <si>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</si>
  <si>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</si>
  <si>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</si>
  <si>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</si>
  <si>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</si>
  <si>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</si>
  <si>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</si>
  <si>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</si>
  <si>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</si>
  <si>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</si>
  <si>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</si>
  <si>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</si>
  <si>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</si>
  <si>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</si>
  <si>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</si>
  <si>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</si>
  <si>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</si>
  <si>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</si>
  <si>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</si>
  <si>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</si>
  <si>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</si>
  <si>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</si>
  <si>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</si>
  <si>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</si>
  <si>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</si>
  <si>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</si>
  <si>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</si>
  <si>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</si>
  <si>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</si>
  <si>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</si>
  <si>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</si>
  <si>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</si>
  <si>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</si>
  <si>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</si>
  <si>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</si>
  <si>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</si>
  <si>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</si>
  <si>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</si>
  <si>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</si>
  <si>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</si>
  <si>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</si>
  <si>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</si>
  <si>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</si>
  <si>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</si>
  <si>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</si>
  <si>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</si>
  <si>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</si>
  <si>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</si>
  <si>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</si>
  <si>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</si>
  <si>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</si>
  <si>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</si>
  <si>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</si>
  <si>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</si>
  <si>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</si>
  <si>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</si>
  <si>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</si>
  <si>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</si>
  <si>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</si>
  <si>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</si>
  <si>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</si>
  <si>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</si>
  <si>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</si>
  <si>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</si>
  <si>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</si>
  <si>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</si>
  <si>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</si>
  <si>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</si>
  <si>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</si>
  <si>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</si>
  <si>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</si>
  <si>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</si>
  <si>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</si>
  <si>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</si>
  <si>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</si>
  <si>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</si>
  <si>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</si>
  <si>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</si>
  <si>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</si>
  <si>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</si>
  <si>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</si>
  <si>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</si>
  <si>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</si>
  <si>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</si>
  <si>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</si>
  <si>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</si>
  <si>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</si>
  <si>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</si>
  <si>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</si>
  <si>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</si>
  <si>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</si>
  <si>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</si>
  <si>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</si>
  <si>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</si>
  <si>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</si>
  <si>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</si>
  <si>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</si>
  <si>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</si>
  <si>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</si>
  <si>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</si>
  <si>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</si>
  <si>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</si>
  <si>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</si>
  <si>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</si>
  <si>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</si>
  <si>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</si>
  <si>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</si>
  <si>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</si>
  <si>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</si>
  <si>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</si>
  <si>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</si>
  <si>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</si>
  <si>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</si>
  <si>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</si>
  <si>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</si>
  <si>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</si>
  <si>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</si>
  <si>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</si>
  <si>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</si>
  <si>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</si>
  <si>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</si>
  <si>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</si>
  <si>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</si>
  <si>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</si>
  <si>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</si>
  <si>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</si>
  <si>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</si>
  <si>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</si>
  <si>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</si>
  <si>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</si>
  <si>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</si>
  <si>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</si>
  <si>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</si>
  <si>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</si>
  <si>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</si>
  <si>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</si>
  <si>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</si>
  <si>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</si>
  <si>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</si>
  <si>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</si>
  <si>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</si>
  <si>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</si>
  <si>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</si>
  <si>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</si>
  <si>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</si>
  <si>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</si>
  <si>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</si>
  <si>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</si>
  <si>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</si>
  <si>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</si>
  <si>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</si>
  <si>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</si>
  <si>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</si>
  <si>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</si>
  <si>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</si>
  <si>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</si>
  <si>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</si>
  <si>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</si>
  <si>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</si>
  <si>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</si>
  <si>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</si>
  <si>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</si>
  <si>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</si>
  <si>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</si>
  <si>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</si>
  <si>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</si>
  <si>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</si>
  <si>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</si>
  <si>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</si>
  <si>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</si>
  <si>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</si>
  <si>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</si>
  <si>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</si>
  <si>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</si>
  <si>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</si>
  <si>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</si>
  <si>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</si>
  <si>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</si>
  <si>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</si>
  <si>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</si>
  <si>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</si>
  <si>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</si>
  <si>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</si>
  <si>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</si>
  <si>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</si>
  <si>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</si>
  <si>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</si>
  <si>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</si>
  <si>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</si>
  <si>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</si>
  <si>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</si>
  <si>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</si>
  <si>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</si>
  <si>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</si>
  <si>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</si>
  <si>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</si>
  <si>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</si>
  <si>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</si>
  <si>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</si>
  <si>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</si>
  <si>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</si>
  <si>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</si>
  <si>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</si>
  <si>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</si>
  <si>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</si>
  <si>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</si>
  <si>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</si>
  <si>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</si>
  <si>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</si>
  <si>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</si>
  <si>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</si>
  <si>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</si>
  <si>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</si>
  <si>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</si>
  <si>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</si>
  <si>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</si>
  <si>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</si>
  <si>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</si>
  <si>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</si>
  <si>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</si>
  <si>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</si>
  <si>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</si>
  <si>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</si>
  <si>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</si>
  <si>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</si>
  <si>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</si>
  <si>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</si>
  <si>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</si>
  <si>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</si>
  <si>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</si>
  <si>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</si>
  <si>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</si>
  <si>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</si>
  <si>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</si>
  <si>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</si>
  <si>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</si>
  <si>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</si>
  <si>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</si>
  <si>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</si>
  <si>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</si>
  <si>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</si>
  <si>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</si>
  <si>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</si>
  <si>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</si>
  <si>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</si>
  <si>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</si>
  <si>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</si>
  <si>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</si>
  <si>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</si>
  <si>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</si>
  <si>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</si>
  <si>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</si>
  <si>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</si>
  <si>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</si>
  <si>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</si>
  <si>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</si>
  <si>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</si>
  <si>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</si>
  <si>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</si>
  <si>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</si>
  <si>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</si>
  <si>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</si>
  <si>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</si>
  <si>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</si>
  <si>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</si>
  <si>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</si>
  <si>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</si>
  <si>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</si>
  <si>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</si>
  <si>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</si>
  <si>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</si>
  <si>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</si>
  <si>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</si>
  <si>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</si>
  <si>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</si>
  <si>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</si>
  <si>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</si>
  <si>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</si>
  <si>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</si>
  <si>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</si>
  <si>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</si>
  <si>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</si>
  <si>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</si>
  <si>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</si>
  <si>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</si>
  <si>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</si>
  <si>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</si>
  <si>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</si>
  <si>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</si>
  <si>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</si>
  <si>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</si>
  <si>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</si>
  <si>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</si>
  <si>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</si>
  <si>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</si>
  <si>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</si>
  <si>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</si>
  <si>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</si>
  <si>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</si>
  <si>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</si>
  <si>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</si>
  <si>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</si>
  <si>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</si>
  <si>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</si>
  <si>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</si>
  <si>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</si>
  <si>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</si>
  <si>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</si>
  <si>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</si>
  <si>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</si>
  <si>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</si>
  <si>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</si>
  <si>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</si>
  <si>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</si>
  <si>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</si>
  <si>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</si>
  <si>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</si>
  <si>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</si>
  <si>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</si>
  <si>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</si>
  <si>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</si>
  <si>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</si>
  <si>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</si>
  <si>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</si>
  <si>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</si>
  <si>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</si>
  <si>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</si>
  <si>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</si>
  <si>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</si>
  <si>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</si>
  <si>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</si>
  <si>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</si>
  <si>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</si>
  <si>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</si>
  <si>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</si>
  <si>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</si>
  <si>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</si>
  <si>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</si>
  <si>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</si>
  <si>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</si>
  <si>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</si>
  <si>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</si>
  <si>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</si>
  <si>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</si>
  <si>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</si>
  <si>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</si>
  <si>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</si>
  <si>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</si>
  <si>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</si>
  <si>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</si>
  <si>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</si>
  <si>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</si>
  <si>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</si>
  <si>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</si>
  <si>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</si>
  <si>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</si>
  <si>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</si>
  <si>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</si>
  <si>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</si>
  <si>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</si>
  <si>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</si>
  <si>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</si>
  <si>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</si>
  <si>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</si>
  <si>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</si>
  <si>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</si>
  <si>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</si>
  <si>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</si>
  <si>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</si>
  <si>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</si>
  <si>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</si>
  <si>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</si>
  <si>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</si>
  <si>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</si>
  <si>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</si>
  <si>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</si>
  <si>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</si>
  <si>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</si>
  <si>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</si>
  <si>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</si>
  <si>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</si>
  <si>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</si>
  <si>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</si>
  <si>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</si>
  <si>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</si>
  <si>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</si>
  <si>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</si>
  <si>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</si>
  <si>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</si>
  <si>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</si>
  <si>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</si>
  <si>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</si>
  <si>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</si>
  <si>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</si>
  <si>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</si>
  <si>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</si>
  <si>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</si>
  <si>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</si>
  <si>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</si>
  <si>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</si>
  <si>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</si>
  <si>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</si>
  <si>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</si>
  <si>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</si>
  <si>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</si>
  <si>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</si>
  <si>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</si>
  <si>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</si>
  <si>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</si>
  <si>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</si>
  <si>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</si>
  <si>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</si>
  <si>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</si>
  <si>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</si>
  <si>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</si>
  <si>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</si>
  <si>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</si>
  <si>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</si>
  <si>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</si>
  <si>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</si>
  <si>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</si>
  <si>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</si>
  <si>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</si>
  <si>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</si>
  <si>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</si>
  <si>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</si>
  <si>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</si>
  <si>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</si>
  <si>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</si>
  <si>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</si>
  <si>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</si>
  <si>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</si>
  <si>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</si>
  <si>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</si>
  <si>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</si>
  <si>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</si>
  <si>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</si>
  <si>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</si>
  <si>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</si>
  <si>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</si>
  <si>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</si>
  <si>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</si>
  <si>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</si>
  <si>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</si>
  <si>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</si>
  <si>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</si>
  <si>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</si>
  <si>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</si>
  <si>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</si>
  <si>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</si>
  <si>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</si>
  <si>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</si>
  <si>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</si>
  <si>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</si>
  <si>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</si>
  <si>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</si>
  <si>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</si>
  <si>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</si>
  <si>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</si>
  <si>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</si>
  <si>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</si>
  <si>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</si>
  <si>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</si>
  <si>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</si>
  <si>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</si>
  <si>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</si>
  <si>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</si>
  <si>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</si>
  <si>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</si>
  <si>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</si>
  <si>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</si>
  <si>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</si>
  <si>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</si>
  <si>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</si>
  <si>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</si>
  <si>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</si>
  <si>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</si>
  <si>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</si>
  <si>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</si>
  <si>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</si>
  <si>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</si>
  <si>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</si>
  <si>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</si>
  <si>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</si>
  <si>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</si>
  <si>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</si>
  <si>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</si>
  <si>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</si>
  <si>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</si>
  <si>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</si>
  <si>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</si>
  <si>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</si>
  <si>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</si>
  <si>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</si>
  <si>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</si>
  <si>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</si>
  <si>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</si>
  <si>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</si>
  <si>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</si>
  <si>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</si>
  <si>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</si>
  <si>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</si>
  <si>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</si>
  <si>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</si>
  <si>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</si>
  <si>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</si>
  <si>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</si>
  <si>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</si>
  <si>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</si>
  <si>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</si>
  <si>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</si>
  <si>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</si>
  <si>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</si>
  <si>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</si>
  <si>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</si>
  <si>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</si>
  <si>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</si>
  <si>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</si>
  <si>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</si>
  <si>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</si>
  <si>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</si>
  <si>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</si>
  <si>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</si>
  <si>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</si>
  <si>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</si>
  <si>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</si>
  <si>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</si>
  <si>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</si>
  <si>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</si>
  <si>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</si>
  <si>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</si>
  <si>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</si>
  <si>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</si>
  <si>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</si>
  <si>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</si>
  <si>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</si>
  <si>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</si>
  <si>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</si>
  <si>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</si>
  <si>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</si>
  <si>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</si>
  <si>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</si>
  <si>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</si>
  <si>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</si>
  <si>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</si>
  <si>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</si>
  <si>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</si>
  <si>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</si>
  <si>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</si>
  <si>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</si>
  <si>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</si>
  <si>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</si>
  <si>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</si>
  <si>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</si>
  <si>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</si>
  <si>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</si>
  <si>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</si>
  <si>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</si>
  <si>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</si>
  <si>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</si>
  <si>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</si>
  <si>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</si>
  <si>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</si>
  <si>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</si>
  <si>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</si>
  <si>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</si>
  <si>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</si>
  <si>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</si>
  <si>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</si>
  <si>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</si>
  <si>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</si>
  <si>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</si>
  <si>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</si>
  <si>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</si>
  <si>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</si>
  <si>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</si>
  <si>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</si>
  <si>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</si>
  <si>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</si>
  <si>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</si>
  <si>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</si>
  <si>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</si>
  <si>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</si>
  <si>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</si>
  <si>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</si>
  <si>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</si>
  <si>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</si>
  <si>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</si>
  <si>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</si>
  <si>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</si>
  <si>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</si>
  <si>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</si>
  <si>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</si>
  <si>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</si>
  <si>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</si>
  <si>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</si>
  <si>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</si>
  <si>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</si>
  <si>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</si>
  <si>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</si>
  <si>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</si>
  <si>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</si>
  <si>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</si>
  <si>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</si>
  <si>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</si>
  <si>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</si>
  <si>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</si>
  <si>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</si>
  <si>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</si>
  <si>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</si>
  <si>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</si>
  <si>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</si>
  <si>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</si>
  <si>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</si>
  <si>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</si>
  <si>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</si>
  <si>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</si>
  <si>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</si>
  <si>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</si>
  <si>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</si>
  <si>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</si>
  <si>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</si>
  <si>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</si>
  <si>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</si>
  <si>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</si>
  <si>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</si>
  <si>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</si>
  <si>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</si>
  <si>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</si>
  <si>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</si>
  <si>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</si>
  <si>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</si>
  <si>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sce:REESTR.VSNA.SOURCE.2025</t>
  </si>
  <si>
    <t>НС</t>
  </si>
  <si>
    <t>г Анжеро-Судженск</t>
  </si>
  <si>
    <t>32704000001</t>
  </si>
  <si>
    <t>ул. Комбайновая</t>
  </si>
  <si>
    <t>-</t>
  </si>
  <si>
    <t>400.0000000000</t>
  </si>
  <si>
    <t>125.0000000000</t>
  </si>
  <si>
    <t>3 подъёма</t>
  </si>
  <si>
    <t>питьевая</t>
  </si>
  <si>
    <t>75.0000000000</t>
  </si>
  <si>
    <t>01.01.1992</t>
  </si>
  <si>
    <t>эксплуатируется</t>
  </si>
  <si>
    <t>частная собственность</t>
  </si>
  <si>
    <t>https://portal.eias.ru/Portal/DownloadPage.aspx?type=12&amp;guid=4f0b451c-4269-4e51-962d-9844dfba33a5</t>
  </si>
  <si>
    <t>ул. Сеченова</t>
  </si>
  <si>
    <t>1080.0000000000</t>
  </si>
  <si>
    <t>700.0000000000</t>
  </si>
  <si>
    <t>район ул. Семеновка</t>
  </si>
  <si>
    <t>4.5000000000</t>
  </si>
  <si>
    <t>2.5000000000</t>
  </si>
  <si>
    <t>85.0000000000</t>
  </si>
  <si>
    <t>02.01.1975</t>
  </si>
  <si>
    <t>https://portal.eias.ru/Portal/DownloadPage.aspx?type=12&amp;guid=02dcb29b-3150-4c56-9c07-bed9fa68db11</t>
  </si>
  <si>
    <t>сеть</t>
  </si>
  <si>
    <t>0.0500000000</t>
  </si>
  <si>
    <t>0.0000000000</t>
  </si>
  <si>
    <t>4246023100.0</t>
  </si>
  <si>
    <t>32704000.0</t>
  </si>
  <si>
    <t>пгт Рудничный</t>
  </si>
  <si>
    <t>32704000056.0</t>
  </si>
  <si>
    <t>пгт. Рудничный</t>
  </si>
  <si>
    <t>транзитная</t>
  </si>
  <si>
    <t>579.3900000000</t>
  </si>
  <si>
    <t>504.0900000000</t>
  </si>
  <si>
    <t>32.8000000000</t>
  </si>
  <si>
    <t>27.7000000000</t>
  </si>
  <si>
    <t>14.8000000000</t>
  </si>
  <si>
    <t>65.0000000000</t>
  </si>
  <si>
    <t>муниципальное имущество</t>
  </si>
  <si>
    <t>https://portal.eias.ru/Portal/DownloadPage.aspx?type=12&amp;guid=0e4ae5d6-c237-48b5-bc8f-1f63d23b0138</t>
  </si>
  <si>
    <t>32704000056</t>
  </si>
  <si>
    <t>33.6000000000</t>
  </si>
  <si>
    <t>67.0000000000</t>
  </si>
  <si>
    <t>2083.0000000000</t>
  </si>
  <si>
    <t>1324.0000000000</t>
  </si>
  <si>
    <t>1 подъёма</t>
  </si>
  <si>
    <t>01.01.1965</t>
  </si>
  <si>
    <t>1833.0000000000</t>
  </si>
  <si>
    <t>1193.0000000000</t>
  </si>
  <si>
    <t>2 подъёма</t>
  </si>
  <si>
    <t>ОС</t>
  </si>
  <si>
    <t>79.0000000000</t>
  </si>
  <si>
    <t>sce:REESTR.VOTV.SOURCE.2025</t>
  </si>
  <si>
    <t>р-н бывшей ш. "Судженская"</t>
  </si>
  <si>
    <t>2042.0000000000</t>
  </si>
  <si>
    <t>410.3000000000</t>
  </si>
  <si>
    <t>32704000001.0</t>
  </si>
  <si>
    <t>ул. Междуреченская</t>
  </si>
  <si>
    <t>68.0000000000</t>
  </si>
  <si>
    <t>КНС</t>
  </si>
  <si>
    <t>ул. Камышинская</t>
  </si>
  <si>
    <t>200.0000000000</t>
  </si>
  <si>
    <t>100.0000000000</t>
  </si>
  <si>
    <t>низковольтная КНС</t>
  </si>
  <si>
    <t>80.0000000000</t>
  </si>
  <si>
    <t>01.12.1983</t>
  </si>
  <si>
    <t>ул. Фестивальная</t>
  </si>
  <si>
    <t>230.0000000000</t>
  </si>
  <si>
    <t>01.01.1989</t>
  </si>
  <si>
    <t>ул. Юргинская</t>
  </si>
  <si>
    <t>800.0000000000</t>
  </si>
  <si>
    <t>83.0000000000</t>
  </si>
  <si>
    <t>01.05.1976</t>
  </si>
  <si>
    <t>ул. Чередниченко</t>
  </si>
  <si>
    <t>81.0000000000</t>
  </si>
  <si>
    <t>01.01.1974</t>
  </si>
  <si>
    <t>https://portal.eias.ru/Portal/DownloadPage.aspx?type=12&amp;guid=813711ec-73bd-4d12-b3ee-cf1a131f5a22</t>
  </si>
  <si>
    <t>ул. К.Маркса</t>
  </si>
  <si>
    <t>50.0000000000</t>
  </si>
  <si>
    <t>69.0000000000</t>
  </si>
  <si>
    <t>01.01.1993</t>
  </si>
  <si>
    <t>ул. Водоканальная</t>
  </si>
  <si>
    <t>65</t>
  </si>
  <si>
    <t>25.0000000000</t>
  </si>
  <si>
    <t>ул. Ново-Анжерская подстанция</t>
  </si>
  <si>
    <t>01.01.1995</t>
  </si>
  <si>
    <t>ст. Челы</t>
  </si>
  <si>
    <t>160.0000000000</t>
  </si>
  <si>
    <t>89.0000000000</t>
  </si>
  <si>
    <t>01.01.1988</t>
  </si>
  <si>
    <t>Восточный район</t>
  </si>
  <si>
    <t>1200.0000000000</t>
  </si>
  <si>
    <t>500.0000000000</t>
  </si>
  <si>
    <t>51.0000000000</t>
  </si>
  <si>
    <t>01.01.2010</t>
  </si>
  <si>
    <t>2400.0000000000</t>
  </si>
  <si>
    <t>1500.0000000000</t>
  </si>
  <si>
    <t>01.12.1980</t>
  </si>
  <si>
    <t>ул. Тырганская</t>
  </si>
  <si>
    <t>г. Анжеро-Судженск</t>
  </si>
  <si>
    <t>208.8000000000</t>
  </si>
  <si>
    <t>208.3000000000</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</si>
  <si>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</si>
  <si>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</si>
  <si>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</si>
  <si>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</si>
  <si>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</si>
  <si>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</si>
  <si>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</si>
  <si>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</si>
  <si>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</si>
  <si>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</si>
  <si>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</si>
  <si>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</si>
  <si>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</si>
  <si>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</si>
  <si>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</si>
  <si>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</si>
  <si>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</si>
  <si>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</si>
  <si>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</si>
  <si>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</si>
  <si>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</si>
  <si>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</si>
  <si>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2024</t>
  </si>
  <si>
    <t>9.0</t>
  </si>
  <si>
    <t>Принят</t>
  </si>
  <si>
    <t>47.73</t>
  </si>
  <si>
    <t>ХВС.42.31528492.0004</t>
  </si>
  <si>
    <t>Производство (подъём / добыча) воды :: Очистка воды :: Транспортировка воды :: Сбыт (распределение) воды</t>
  </si>
  <si>
    <t>2565</t>
  </si>
  <si>
    <t>2023-04-28</t>
  </si>
  <si>
    <t>2023</t>
  </si>
  <si>
    <t>3.0</t>
  </si>
  <si>
    <t>40.10</t>
  </si>
  <si>
    <t>34.77</t>
  </si>
  <si>
    <t>39.82</t>
  </si>
  <si>
    <t>ВО.42.31528492.0004</t>
  </si>
  <si>
    <t>2566</t>
  </si>
  <si>
    <t>33.74</t>
  </si>
  <si>
    <t>36.99</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</si>
  <si>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</si>
  <si>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</si>
  <si>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</si>
  <si>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</si>
  <si>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</si>
  <si>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</si>
  <si>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</si>
  <si>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</si>
  <si>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</si>
  <si>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</si>
  <si>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</si>
  <si>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</si>
  <si>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</si>
  <si>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</si>
  <si>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</si>
  <si>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</si>
  <si>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</si>
  <si>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</si>
  <si>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</si>
  <si>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</si>
  <si>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</si>
  <si>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</si>
  <si>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</si>
  <si>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</si>
  <si>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</si>
  <si>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</si>
  <si>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</si>
  <si>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</si>
  <si>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</si>
  <si>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</si>
  <si>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</si>
  <si>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</si>
  <si>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</si>
  <si>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</si>
  <si>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</si>
  <si>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</si>
  <si>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</si>
  <si>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</si>
  <si>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</si>
  <si>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</si>
  <si>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</si>
  <si>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</si>
  <si>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</si>
  <si>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</si>
  <si>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</si>
  <si>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</si>
  <si>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</si>
  <si>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</si>
  <si>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</si>
  <si>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</si>
  <si>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</si>
  <si>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</si>
  <si>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</si>
  <si>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</si>
  <si>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</si>
  <si>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</si>
  <si>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</si>
  <si>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</si>
  <si>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</si>
  <si>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</si>
  <si>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</si>
  <si>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</si>
  <si>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</si>
  <si>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</si>
  <si>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</si>
  <si>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</si>
  <si>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</si>
  <si>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</si>
  <si>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</si>
  <si>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</si>
  <si>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</si>
  <si>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</si>
  <si>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</si>
  <si>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</si>
  <si>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</si>
  <si>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</si>
  <si>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</si>
  <si>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</si>
  <si>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</si>
  <si>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</si>
  <si>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</si>
  <si>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</si>
  <si>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</si>
  <si>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</si>
  <si>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</si>
  <si>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</si>
  <si>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</si>
  <si>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</si>
  <si>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</si>
  <si>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</si>
  <si>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</si>
  <si>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</si>
  <si>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</si>
  <si>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</si>
  <si>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</si>
  <si>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</si>
  <si>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</si>
  <si>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</si>
  <si>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</si>
  <si>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</si>
  <si>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</si>
  <si>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</si>
  <si>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</si>
  <si>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01 02 | Индивидуальные предприниматели</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</si>
  <si>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</si>
  <si>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</si>
  <si>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</si>
  <si>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</si>
  <si>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</si>
  <si>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</si>
  <si>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</si>
  <si>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</si>
  <si>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</si>
  <si>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</si>
  <si>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</si>
  <si>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</si>
  <si>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</si>
  <si>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</si>
  <si>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</si>
  <si>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</si>
  <si>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03 | Федеральные государственные бюджетные учреждения</t>
  </si>
  <si>
    <t>7 51 05 | Государственные внебюджетные фонды Российской Федерации</t>
  </si>
  <si>
    <t>7 52 01 | Государственные автономные учреждения субъектов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</si>
  <si>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</si>
  <si>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</si>
  <si>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</si>
  <si>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</si>
  <si>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</si>
  <si>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</si>
  <si>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</si>
  <si>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</si>
  <si>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</si>
  <si>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</si>
  <si>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</si>
  <si>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</si>
  <si>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</si>
  <si>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</si>
  <si>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</si>
  <si>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</si>
  <si>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</si>
  <si>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</si>
  <si>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</si>
  <si>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</si>
  <si>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</si>
  <si>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</si>
  <si>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</si>
  <si>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</si>
  <si>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</si>
  <si>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</si>
  <si>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</si>
  <si>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</si>
  <si>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</si>
  <si>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</si>
  <si>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</si>
  <si>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</si>
  <si>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</si>
  <si>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</si>
  <si>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</si>
  <si>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</si>
  <si>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</si>
  <si>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Без разбивки</t>
  </si>
  <si>
    <t>Утверждённые укрупнённые НЦС</t>
  </si>
  <si>
    <t>100</t>
  </si>
  <si>
    <t>чугун</t>
  </si>
  <si>
    <t>сухой</t>
  </si>
  <si>
    <t>0-15</t>
  </si>
  <si>
    <t>0-55</t>
  </si>
  <si>
    <t>Архангельская область</t>
  </si>
  <si>
    <t>RU29</t>
  </si>
  <si>
    <t>Февраль</t>
  </si>
  <si>
    <t>двухставочный</t>
  </si>
  <si>
    <t>техническая вода</t>
  </si>
  <si>
    <t>тариф на техническую воду</t>
  </si>
  <si>
    <t>безвозмездное пользование</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</si>
  <si>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</si>
  <si>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</si>
  <si>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</si>
  <si>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</si>
  <si>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</si>
  <si>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</si>
  <si>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</si>
  <si>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</si>
  <si>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</si>
  <si>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</si>
  <si>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</si>
  <si>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</si>
  <si>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</si>
  <si>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ВН</t>
  </si>
  <si>
    <t>125</t>
  </si>
  <si>
    <t>железобетон</t>
  </si>
  <si>
    <t>26-35</t>
  </si>
  <si>
    <t>66-75</t>
  </si>
  <si>
    <t>Белгородская область</t>
  </si>
  <si>
    <t>RU31</t>
  </si>
  <si>
    <t>STATE_SHARE</t>
  </si>
  <si>
    <t>NSRF</t>
  </si>
  <si>
    <t>Апрель</t>
  </si>
  <si>
    <t>VOTV_VTOV</t>
  </si>
  <si>
    <t>VOTV_VTARIFF</t>
  </si>
  <si>
    <t>оперативное управление</t>
  </si>
  <si>
    <t>150</t>
  </si>
  <si>
    <t>полиэтилен</t>
  </si>
  <si>
    <t>36-45</t>
  </si>
  <si>
    <t>76-85</t>
  </si>
  <si>
    <t>Брянская область</t>
  </si>
  <si>
    <t>RU32</t>
  </si>
  <si>
    <t>VALUABLE_STATE_SHARE</t>
  </si>
  <si>
    <t>MR_NAME</t>
  </si>
  <si>
    <t>Май</t>
  </si>
  <si>
    <t>собственность</t>
  </si>
  <si>
    <t>160</t>
  </si>
  <si>
    <t>46-55</t>
  </si>
  <si>
    <t>86-95</t>
  </si>
  <si>
    <t>Владимирская область</t>
  </si>
  <si>
    <t>RU33</t>
  </si>
  <si>
    <t>менее 50 %</t>
  </si>
  <si>
    <t>OKTMO_MR_NAME</t>
  </si>
  <si>
    <t>PERIOD</t>
  </si>
  <si>
    <t>Июнь</t>
  </si>
  <si>
    <t>жидкие бытовые отходы</t>
  </si>
  <si>
    <t>хозяйственное ведение</t>
  </si>
  <si>
    <t>200</t>
  </si>
  <si>
    <t>96-105</t>
  </si>
  <si>
    <t>Волгоградская область</t>
  </si>
  <si>
    <t>RU34</t>
  </si>
  <si>
    <t>MO_NAME</t>
  </si>
  <si>
    <t>Июль</t>
  </si>
  <si>
    <t>поверхностные сточные воды</t>
  </si>
  <si>
    <t>договор хранения</t>
  </si>
  <si>
    <t>Генерация напряжения</t>
  </si>
  <si>
    <t>250</t>
  </si>
  <si>
    <t>106-115</t>
  </si>
  <si>
    <t>Вологодская область</t>
  </si>
  <si>
    <t>RU35</t>
  </si>
  <si>
    <t>100 %</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</si>
  <si>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</si>
  <si>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</si>
  <si>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</si>
  <si>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</si>
  <si>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</si>
  <si>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</si>
  <si>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</si>
  <si>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</si>
  <si>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</si>
  <si>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</si>
  <si>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</si>
  <si>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</si>
  <si>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</si>
  <si>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</si>
  <si>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</si>
  <si>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</si>
  <si>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</si>
  <si>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</si>
  <si>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</si>
  <si>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</si>
  <si>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</si>
  <si>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</si>
  <si>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бесхозяйный объект</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</si>
  <si>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</si>
  <si>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</si>
  <si>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</si>
  <si>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</si>
  <si>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</si>
  <si>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</si>
  <si>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</si>
  <si>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</si>
  <si>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</si>
  <si>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</si>
  <si>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</si>
  <si>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</si>
  <si>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</si>
  <si>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</si>
  <si>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</si>
  <si>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</si>
  <si>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</si>
  <si>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</si>
  <si>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</si>
  <si>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</si>
  <si>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</si>
  <si>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</si>
  <si>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</si>
  <si>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</si>
  <si>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</si>
  <si>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</si>
  <si>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</si>
  <si>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муниципальная</t>
  </si>
  <si>
    <t>Метод экономически обоснованных расходов</t>
  </si>
  <si>
    <t>500</t>
  </si>
  <si>
    <t>176-185</t>
  </si>
  <si>
    <t>Еврейская автономная область</t>
  </si>
  <si>
    <t>RU79</t>
  </si>
  <si>
    <t>Метод сравнения аналогов</t>
  </si>
  <si>
    <t>support_docs_list</t>
  </si>
  <si>
    <t>600</t>
  </si>
  <si>
    <t>186-195</t>
  </si>
  <si>
    <t>Забайкальский край</t>
  </si>
  <si>
    <t>RU75</t>
  </si>
  <si>
    <t>Метод обеспечения доходности инвестированного капитала</t>
  </si>
  <si>
    <t>630</t>
  </si>
  <si>
    <t>196-205</t>
  </si>
  <si>
    <t>Запорожская область</t>
  </si>
  <si>
    <t>NALOG_SYSTEM_LIST</t>
  </si>
  <si>
    <t>Территории</t>
  </si>
  <si>
    <t>свидетельство</t>
  </si>
  <si>
    <t>700</t>
  </si>
  <si>
    <t>206-215</t>
  </si>
  <si>
    <t>Ивановская область</t>
  </si>
  <si>
    <t>RU37</t>
  </si>
  <si>
    <t>COLDVSNA_VDET_LIST</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</si>
  <si>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</si>
  <si>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</si>
  <si>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</si>
  <si>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</si>
  <si>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</si>
  <si>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</si>
  <si>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</si>
  <si>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</si>
  <si>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</si>
  <si>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</si>
  <si>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</si>
  <si>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</si>
  <si>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</si>
  <si>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</si>
  <si>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</si>
  <si>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</si>
  <si>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</si>
  <si>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</si>
  <si>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</si>
  <si>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</si>
  <si>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</si>
  <si>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</si>
  <si>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</si>
  <si>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</si>
  <si>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</si>
  <si>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</si>
  <si>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</si>
  <si>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</si>
  <si>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Подвоз воды</t>
  </si>
  <si>
    <t>лицензия</t>
  </si>
  <si>
    <t>266-275</t>
  </si>
  <si>
    <t>Карачаево-Черкесская республика</t>
  </si>
  <si>
    <t>RU09</t>
  </si>
  <si>
    <t>Республика Карачаево-Черкессия</t>
  </si>
  <si>
    <t>акт приёма-передачи</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</si>
  <si>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</si>
  <si>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</si>
  <si>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</si>
  <si>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</si>
  <si>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</si>
  <si>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</si>
  <si>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</si>
  <si>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</si>
  <si>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</si>
  <si>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</si>
  <si>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</si>
  <si>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</si>
  <si>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</si>
  <si>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</si>
  <si>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</si>
  <si>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</si>
  <si>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</si>
  <si>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Транспортировка сточных вод</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</si>
  <si>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</si>
  <si>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</si>
  <si>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</si>
  <si>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</si>
  <si>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</si>
  <si>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</si>
  <si>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</si>
  <si>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</si>
  <si>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</si>
  <si>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</si>
  <si>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</si>
  <si>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</si>
  <si>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</si>
  <si>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</si>
  <si>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</si>
  <si>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</si>
  <si>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</si>
  <si>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</si>
  <si>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</si>
  <si>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</si>
  <si>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</si>
  <si>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</si>
  <si>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</si>
  <si>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</si>
  <si>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</si>
  <si>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</si>
  <si>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</si>
  <si>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</si>
  <si>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</si>
  <si>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</si>
  <si>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</si>
  <si>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</si>
  <si>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</si>
  <si>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</si>
  <si>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</si>
  <si>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</si>
  <si>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</si>
  <si>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</si>
  <si>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</si>
  <si>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</si>
  <si>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</si>
  <si>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</si>
  <si>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</si>
  <si>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</si>
  <si>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</si>
  <si>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</si>
  <si>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</si>
  <si>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</si>
  <si>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</si>
  <si>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</si>
  <si>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</si>
  <si>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</si>
  <si>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</si>
  <si>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</si>
  <si>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</si>
  <si>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</si>
  <si>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</si>
  <si>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</si>
  <si>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</si>
  <si>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</si>
  <si>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</si>
  <si>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</si>
  <si>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</si>
  <si>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</si>
  <si>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</si>
  <si>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</si>
  <si>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</si>
  <si>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</si>
  <si>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</si>
  <si>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</si>
  <si>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</si>
  <si>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</si>
  <si>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</si>
  <si>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</si>
  <si>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</si>
  <si>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</si>
  <si>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</si>
  <si>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</si>
  <si>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</si>
  <si>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</si>
  <si>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</si>
  <si>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</si>
  <si>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</si>
  <si>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</si>
  <si>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</si>
  <si>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</si>
  <si>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</si>
  <si>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</si>
  <si>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</si>
  <si>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</si>
  <si>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</si>
  <si>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закон</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</si>
  <si>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</si>
  <si>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</si>
  <si>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</si>
  <si>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</si>
  <si>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</si>
  <si>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</si>
  <si>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</si>
  <si>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</si>
  <si>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</si>
  <si>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</si>
  <si>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</si>
  <si>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</si>
  <si>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</si>
  <si>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</si>
  <si>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</si>
  <si>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</si>
  <si>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</si>
  <si>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</si>
  <si>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</si>
  <si>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</si>
  <si>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</si>
  <si>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</si>
  <si>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</si>
  <si>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</si>
  <si>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</si>
  <si>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</si>
  <si>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</si>
  <si>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</si>
  <si>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</si>
  <si>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</si>
  <si>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</si>
  <si>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</si>
  <si>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</si>
  <si>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</si>
  <si>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</si>
  <si>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</si>
  <si>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</si>
  <si>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</si>
  <si>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</si>
  <si>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</si>
  <si>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</si>
  <si>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</si>
  <si>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</si>
  <si>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</si>
  <si>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</si>
  <si>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</si>
  <si>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</si>
  <si>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</si>
  <si>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</si>
  <si>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</si>
  <si>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</si>
  <si>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</si>
  <si>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</si>
  <si>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</si>
  <si>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</si>
  <si>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</si>
  <si>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</si>
  <si>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</si>
  <si>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</si>
  <si>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</si>
  <si>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</si>
  <si>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</si>
  <si>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</si>
  <si>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</si>
  <si>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</si>
  <si>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</si>
  <si>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</si>
  <si>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</si>
  <si>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</si>
  <si>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</si>
  <si>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</si>
  <si>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</si>
  <si>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</si>
  <si>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</si>
  <si>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</si>
  <si>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</si>
  <si>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</si>
  <si>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</si>
  <si>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</si>
  <si>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</si>
  <si>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</si>
  <si>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</si>
  <si>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</si>
  <si>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</si>
  <si>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</si>
  <si>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</si>
  <si>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</si>
  <si>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</si>
  <si>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</si>
  <si>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</si>
  <si>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</si>
  <si>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</si>
  <si>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</si>
  <si>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</si>
  <si>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</si>
  <si>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</si>
  <si>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</si>
  <si>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</si>
  <si>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</si>
  <si>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</si>
  <si>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</si>
  <si>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</si>
  <si>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</si>
  <si>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</si>
  <si>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</si>
  <si>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</si>
  <si>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</si>
  <si>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</si>
  <si>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</si>
  <si>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</si>
  <si>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</si>
  <si>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</si>
  <si>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</si>
  <si>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</si>
  <si>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</si>
  <si>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</si>
  <si>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</si>
  <si>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</si>
  <si>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</si>
  <si>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</si>
  <si>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</si>
  <si>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</si>
  <si>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</si>
  <si>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</si>
  <si>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</si>
  <si>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</si>
  <si>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</si>
  <si>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</si>
  <si>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</si>
  <si>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</si>
  <si>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</si>
  <si>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</si>
  <si>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</si>
  <si>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</si>
  <si>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</si>
  <si>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</si>
  <si>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</si>
  <si>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</si>
  <si>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</si>
  <si>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</si>
  <si>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</si>
  <si>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</si>
  <si>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</si>
  <si>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</si>
  <si>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</si>
  <si>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</si>
  <si>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</si>
  <si>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</si>
  <si>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</si>
  <si>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</si>
  <si>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</si>
  <si>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</si>
  <si>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</si>
  <si>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</si>
  <si>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</si>
  <si>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</si>
  <si>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</si>
  <si>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</si>
  <si>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</si>
  <si>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</si>
  <si>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</si>
  <si>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</si>
  <si>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</si>
  <si>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</si>
  <si>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</si>
  <si>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</si>
  <si>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</si>
  <si>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</si>
  <si>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</si>
  <si>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</si>
  <si>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</si>
  <si>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</si>
  <si>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</si>
  <si>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</si>
  <si>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</si>
  <si>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</si>
  <si>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</si>
  <si>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</si>
  <si>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</si>
  <si>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</si>
  <si>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</si>
  <si>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</si>
  <si>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</si>
  <si>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</si>
  <si>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</si>
  <si>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</si>
  <si>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</si>
  <si>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</si>
  <si>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</si>
  <si>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</si>
  <si>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</si>
  <si>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</si>
  <si>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</si>
  <si>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</si>
  <si>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</si>
  <si>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</si>
  <si>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</si>
  <si>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</si>
  <si>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</si>
  <si>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</si>
  <si>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</si>
  <si>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</si>
  <si>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</si>
  <si>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</si>
  <si>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</si>
  <si>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</si>
  <si>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</si>
  <si>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</si>
  <si>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</si>
  <si>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</si>
  <si>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</si>
  <si>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</si>
  <si>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</si>
  <si>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</si>
  <si>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</si>
  <si>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</si>
  <si>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</si>
  <si>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</si>
  <si>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</si>
  <si>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</si>
  <si>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</si>
  <si>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</si>
  <si>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</si>
  <si>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</si>
  <si>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</si>
  <si>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</si>
  <si>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</si>
  <si>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</si>
  <si>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</si>
  <si>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</si>
  <si>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</si>
  <si>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</si>
  <si>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</si>
  <si>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</si>
  <si>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</si>
  <si>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</si>
  <si>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</si>
  <si>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</si>
  <si>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</si>
  <si>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</si>
  <si>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</si>
  <si>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</si>
  <si>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</si>
  <si>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</si>
  <si>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</si>
  <si>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</si>
  <si>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</si>
  <si>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</si>
  <si>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</si>
  <si>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</si>
  <si>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</si>
  <si>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</si>
  <si>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</si>
  <si>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</si>
  <si>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</si>
  <si>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</si>
  <si>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</si>
  <si>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</si>
  <si>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</si>
  <si>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</si>
  <si>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</si>
  <si>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</si>
  <si>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</si>
  <si>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</si>
  <si>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</si>
  <si>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</si>
  <si>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</si>
  <si>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</si>
  <si>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</si>
  <si>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</si>
  <si>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</si>
  <si>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</si>
  <si>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</si>
  <si>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</si>
  <si>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</si>
  <si>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</si>
  <si>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</si>
  <si>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</si>
  <si>
    <t>Оказание услуг на территории: город Анжеро-Судженск (ОКТМО: 32704000) - имущество, переданное по договорам аренды</t>
  </si>
  <si>
    <t>Оказание услуг на территории: город Анжеро-Судженск (ОКТМО: 32704000) - имущество, переданное по концессионному соглашению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</si>
</sst>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8" formatCode=";;;"/>
    <numFmt numFmtId="169" formatCode="#,##0.000"/>
    <numFmt numFmtId="170" formatCode="0.000%"/>
    <numFmt numFmtId="171" formatCode="dd\.mm\.yyyy"/>
    <numFmt numFmtId="172" formatCode="0.0"/>
  </numFmts>
  <fonts count="72" x14ac:knownFonts="1">
    <font>
      <sz val="9"/>
      <color rgb="FF000000"/>
      <name val="Tahoma"/>
    </font>
    <font>
      <sz val="11"/>
      <color theme="1"/>
      <name val="Calibri"/>
      <family val="2"/>
      <charset val="204"/>
      <scheme val="minor"/>
    </font>
    <font>
      <b/>
      <sz val="11"/>
      <color theme="1"/>
      <name val="Calibri"/>
      <family val="2"/>
      <charset val="204"/>
      <scheme val="minor"/>
    </font>
    <font>
      <sz val="9"/>
      <name val="Tahoma"/>
      <family val="2"/>
      <charset val="204"/>
    </font>
    <font>
      <sz val="10"/>
      <name val="Arial Cyr"/>
    </font>
    <font>
      <sz val="9"/>
      <color theme="1"/>
      <name val="Tahoma"/>
      <family val="2"/>
      <charset val="204"/>
    </font>
    <font>
      <b/>
      <sz val="9"/>
      <name val="Tahoma"/>
      <family val="2"/>
      <charset val="204"/>
    </font>
    <font>
      <sz val="8"/>
      <name val="Tahoma"/>
      <family val="2"/>
      <charset val="204"/>
    </font>
    <font>
      <sz val="9"/>
      <color rgb="FFFFFFFF"/>
      <name val="Tahoma"/>
      <family val="2"/>
      <charset val="204"/>
    </font>
    <font>
      <b/>
      <sz val="10"/>
      <name val="Tahoma"/>
      <family val="2"/>
      <charset val="204"/>
    </font>
    <font>
      <b/>
      <sz val="8"/>
      <name val="Tahoma"/>
      <family val="2"/>
      <charset val="204"/>
    </font>
    <font>
      <sz val="8"/>
      <color rgb="FF0070C0"/>
      <name val="Tahoma"/>
      <family val="2"/>
      <charset val="204"/>
    </font>
    <font>
      <sz val="10"/>
      <name val="Tahoma"/>
      <family val="2"/>
      <charset val="204"/>
    </font>
    <font>
      <sz val="9"/>
      <color rgb="FFFF0000"/>
      <name val="Tahoma"/>
      <family val="2"/>
      <charset val="204"/>
    </font>
    <font>
      <sz val="9"/>
      <color rgb="FF0070C0"/>
      <name val="Tahoma"/>
      <family val="2"/>
      <charset val="204"/>
    </font>
    <font>
      <b/>
      <sz val="9"/>
      <color rgb="FF000000"/>
      <name val="Tahoma"/>
      <family val="2"/>
      <charset val="204"/>
    </font>
    <font>
      <b/>
      <u/>
      <sz val="9"/>
      <color theme="1"/>
      <name val="Tahoma"/>
      <family val="2"/>
      <charset val="204"/>
    </font>
    <font>
      <sz val="8"/>
      <color theme="1"/>
      <name val="Tahoma"/>
      <family val="2"/>
      <charset val="204"/>
    </font>
    <font>
      <b/>
      <sz val="8"/>
      <color theme="1"/>
      <name val="Tahoma"/>
      <family val="2"/>
      <charset val="204"/>
    </font>
    <font>
      <sz val="8"/>
      <color rgb="FFFFFFFF"/>
      <name val="Tahoma"/>
      <family val="2"/>
      <charset val="204"/>
    </font>
    <font>
      <sz val="11"/>
      <color rgb="FFBCBCBC"/>
      <name val="Wingdings 2"/>
      <family val="1"/>
      <charset val="2"/>
    </font>
    <font>
      <sz val="9"/>
      <color theme="0"/>
      <name val="Tahoma"/>
      <family val="2"/>
      <charset val="204"/>
    </font>
    <font>
      <b/>
      <sz val="9"/>
      <color rgb="FF333399"/>
      <name val="Tahoma"/>
      <family val="2"/>
      <charset val="204"/>
    </font>
    <font>
      <b/>
      <sz val="9"/>
      <color theme="1"/>
      <name val="Calibri"/>
      <family val="2"/>
      <charset val="204"/>
      <scheme val="minor"/>
    </font>
    <font>
      <b/>
      <sz val="9"/>
      <color theme="1"/>
      <name val="Tahoma"/>
      <family val="2"/>
      <charset val="204"/>
    </font>
    <font>
      <sz val="9"/>
      <color rgb="FF000080"/>
      <name val="Tahoma"/>
      <family val="2"/>
      <charset val="204"/>
    </font>
    <font>
      <sz val="9"/>
      <color theme="0" tint="-0.14999847407452621"/>
      <name val="Tahoma"/>
      <family val="2"/>
      <charset val="204"/>
    </font>
    <font>
      <b/>
      <sz val="9"/>
      <color theme="0"/>
      <name val="Tahoma"/>
      <family val="2"/>
      <charset val="204"/>
    </font>
    <font>
      <u/>
      <sz val="10"/>
      <color rgb="FF000080"/>
      <name val="Tahoma"/>
      <family val="2"/>
      <charset val="204"/>
    </font>
    <font>
      <sz val="12"/>
      <color theme="1"/>
      <name val="Tahoma"/>
      <family val="2"/>
      <charset val="204"/>
    </font>
    <font>
      <sz val="16"/>
      <name val="Tahoma"/>
      <family val="2"/>
      <charset val="204"/>
    </font>
    <font>
      <b/>
      <sz val="16"/>
      <name val="Tahoma"/>
      <family val="2"/>
      <charset val="204"/>
    </font>
    <font>
      <u/>
      <sz val="9"/>
      <color rgb="FF000080"/>
      <name val="Tahoma"/>
      <family val="2"/>
      <charset val="204"/>
    </font>
    <font>
      <sz val="8"/>
      <color rgb="FF000000"/>
      <name val="Tahoma"/>
      <family val="2"/>
      <charset val="204"/>
    </font>
    <font>
      <sz val="14"/>
      <color rgb="FFBCBCBC"/>
      <name val="Calibri"/>
      <family val="2"/>
      <charset val="204"/>
      <scheme val="minor"/>
    </font>
    <font>
      <b/>
      <u/>
      <sz val="11"/>
      <color rgb="FF0000FF"/>
      <name val="Tahoma"/>
      <family val="2"/>
      <charset val="204"/>
    </font>
    <font>
      <sz val="11"/>
      <color rgb="FFFFFFFF"/>
      <name val="Tahoma"/>
      <family val="2"/>
      <charset val="204"/>
    </font>
    <font>
      <b/>
      <sz val="8"/>
      <color rgb="FF000000"/>
      <name val="Tahoma"/>
      <family val="2"/>
      <charset val="204"/>
    </font>
    <font>
      <sz val="11"/>
      <color rgb="FF000000"/>
      <name val="Tahoma"/>
      <family val="2"/>
      <charset val="204"/>
    </font>
    <font>
      <sz val="10"/>
      <color rgb="FF000000"/>
      <name val="Arial Cyr"/>
    </font>
    <font>
      <sz val="10"/>
      <color rgb="FF000000"/>
      <name val="Tahoma"/>
      <family val="2"/>
      <charset val="204"/>
    </font>
    <font>
      <sz val="11"/>
      <color theme="1"/>
      <name val="Tahoma"/>
      <family val="2"/>
      <charset val="204"/>
    </font>
    <font>
      <sz val="11"/>
      <color rgb="FFBCBCBC"/>
      <name val="Tahoma"/>
      <family val="2"/>
      <charset val="204"/>
    </font>
    <font>
      <u/>
      <sz val="9"/>
      <name val="Tahoma"/>
      <family val="2"/>
      <charset val="204"/>
    </font>
    <font>
      <sz val="20"/>
      <name val="Tahoma"/>
      <family val="2"/>
      <charset val="204"/>
    </font>
    <font>
      <sz val="12"/>
      <name val="Tahoma"/>
      <family val="2"/>
      <charset val="204"/>
    </font>
    <font>
      <sz val="18"/>
      <name val="Tahoma"/>
      <family val="2"/>
      <charset val="204"/>
    </font>
    <font>
      <b/>
      <sz val="9"/>
      <color rgb="FFFF0000"/>
      <name val="Tahoma"/>
      <family val="2"/>
      <charset val="204"/>
    </font>
    <font>
      <sz val="8"/>
      <color rgb="FFFF0000"/>
      <name val="Tahoma"/>
      <family val="2"/>
      <charset val="204"/>
    </font>
    <font>
      <sz val="14"/>
      <color theme="0" tint="-0.14999847407452621"/>
      <name val="Calibri"/>
      <family val="2"/>
      <charset val="204"/>
      <scheme val="minor"/>
    </font>
    <font>
      <sz val="16"/>
      <color theme="0"/>
      <name val="Tahoma"/>
      <family val="2"/>
      <charset val="204"/>
    </font>
    <font>
      <sz val="8"/>
      <color theme="0"/>
      <name val="Tahoma"/>
      <family val="2"/>
      <charset val="204"/>
    </font>
    <font>
      <sz val="11"/>
      <name val="Calibri"/>
      <family val="2"/>
      <charset val="204"/>
      <scheme val="minor"/>
    </font>
    <font>
      <sz val="9"/>
      <color rgb="FFCC0000"/>
      <name val="Tahoma"/>
      <family val="2"/>
      <charset val="204"/>
    </font>
    <font>
      <b/>
      <u/>
      <sz val="9"/>
      <color rgb="FFFFFFFF"/>
      <name val="Tahoma"/>
      <family val="2"/>
      <charset val="204"/>
    </font>
    <font>
      <b/>
      <sz val="9"/>
      <color rgb="FFBCBCBC"/>
      <name val="Tahoma"/>
      <family val="2"/>
      <charset val="204"/>
    </font>
    <font>
      <b/>
      <sz val="10"/>
      <color rgb="FF000000"/>
      <name val="Tahoma"/>
      <family val="2"/>
      <charset val="204"/>
    </font>
    <font>
      <u/>
      <sz val="20"/>
      <color rgb="FF000000"/>
      <name val="Tahoma"/>
      <family val="2"/>
      <charset val="204"/>
    </font>
    <font>
      <u/>
      <sz val="20"/>
      <color rgb="FF003366"/>
      <name val="Tahoma"/>
      <family val="2"/>
      <charset val="204"/>
    </font>
    <font>
      <sz val="11"/>
      <color rgb="FF000000"/>
      <name val="Marlett"/>
      <charset val="2"/>
    </font>
    <font>
      <sz val="11"/>
      <color rgb="FF000000"/>
      <name val="Calibri"/>
      <family val="2"/>
      <charset val="204"/>
    </font>
    <font>
      <sz val="9"/>
      <color theme="1"/>
      <name val="Calibri"/>
      <family val="2"/>
      <charset val="204"/>
      <scheme val="minor"/>
    </font>
    <font>
      <sz val="9"/>
      <name val="Calibri"/>
      <family val="2"/>
      <charset val="204"/>
      <scheme val="minor"/>
    </font>
    <font>
      <sz val="11"/>
      <name val="Tahoma"/>
      <family val="2"/>
      <charset val="204"/>
    </font>
    <font>
      <u/>
      <sz val="9"/>
      <color theme="10"/>
      <name val="Tahoma"/>
      <family val="2"/>
      <charset val="204"/>
    </font>
    <font>
      <b/>
      <sz val="11"/>
      <color rgb="FF000000"/>
      <name val="Calibri"/>
      <scheme val="minor"/>
    </font>
    <font>
      <b/>
      <sz val="9"/>
      <color rgb="FFFFFFFF"/>
      <name val="Tahoma"/>
      <family val="2"/>
      <charset val="204"/>
    </font>
    <font>
      <b/>
      <u/>
      <sz val="9"/>
      <color rgb="FFFF0000"/>
      <name val="Tahoma"/>
      <family val="2"/>
      <charset val="204"/>
    </font>
    <font>
      <b/>
      <vertAlign val="superscript"/>
      <sz val="9"/>
      <name val="Tahoma"/>
      <family val="2"/>
      <charset val="204"/>
    </font>
    <font>
      <b/>
      <vertAlign val="subscript"/>
      <sz val="9"/>
      <name val="Tahoma"/>
      <family val="2"/>
      <charset val="204"/>
    </font>
    <font>
      <vertAlign val="superscript"/>
      <sz val="9"/>
      <name val="Tahoma"/>
      <family val="2"/>
      <charset val="204"/>
    </font>
    <font>
      <vertAlign val="subscript"/>
      <sz val="9"/>
      <name val="Tahoma"/>
      <family val="2"/>
      <charset val="204"/>
    </font>
  </fonts>
  <fills count="31">
    <fill>
      <patternFill patternType="none"/>
    </fill>
    <fill>
      <patternFill patternType="gray125"/>
    </fill>
    <fill>
      <patternFill patternType="solid">
        <fgColor theme="6" tint="0.79998168889431442"/>
        <bgColor indexed="65"/>
      </patternFill>
    </fill>
    <fill>
      <patternFill patternType="solid">
        <fgColor theme="7" tint="0.59999389629810485"/>
        <bgColor indexed="65"/>
      </patternFill>
    </fill>
    <fill>
      <patternFill patternType="solid">
        <fgColor theme="9" tint="0.39997558519241921"/>
        <bgColor indexed="65"/>
      </patternFill>
    </fill>
    <fill>
      <patternFill patternType="solid">
        <fgColor theme="9"/>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4999847407452621"/>
        <bgColor indexed="65"/>
      </patternFill>
    </fill>
    <fill>
      <patternFill patternType="solid">
        <fgColor theme="0" tint="-0.249977111117893"/>
        <bgColor indexed="6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0F075"/>
      </patternFill>
    </fill>
    <fill>
      <patternFill patternType="solid">
        <fgColor rgb="FFCCC0DA"/>
      </patternFill>
    </fill>
    <fill>
      <patternFill patternType="solid">
        <fgColor rgb="FFF79646"/>
      </patternFill>
    </fill>
    <fill>
      <patternFill patternType="solid">
        <fgColor rgb="FFBCBCBC"/>
      </patternFill>
    </fill>
    <fill>
      <patternFill patternType="solid">
        <fgColor theme="0" tint="-4.9989318521683403E-2"/>
        <bgColor indexed="65"/>
      </patternFill>
    </fill>
    <fill>
      <patternFill patternType="solid">
        <fgColor rgb="FFEAEBEE"/>
      </patternFill>
    </fill>
  </fills>
  <borders count="71">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right/>
      <top style="thin">
        <color rgb="FFBCBCBC"/>
      </top>
      <bottom style="thin">
        <color rgb="FFBCBCBC"/>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right/>
      <top style="thin">
        <color rgb="FFBCBCBC"/>
      </top>
      <bottom/>
      <diagonal/>
    </border>
    <border>
      <left style="thin">
        <color rgb="FFBCBCBC"/>
      </left>
      <right style="thin">
        <color rgb="FFBCBCBC"/>
      </right>
      <top style="thin">
        <color rgb="FFBCBCBC"/>
      </top>
      <bottom/>
      <diagonal/>
    </border>
    <border>
      <left/>
      <right style="thin">
        <color theme="0" tint="-0.34998626667073579"/>
      </right>
      <top style="thin">
        <color theme="0" tint="-0.34998626667073579"/>
      </top>
      <bottom style="thin">
        <color rgb="FFBCBCBC"/>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BCBCBC"/>
      </bottom>
      <diagonal/>
    </border>
    <border>
      <left style="thin">
        <color rgb="FFBCBCBC"/>
      </left>
      <right/>
      <top/>
      <bottom style="thin">
        <color rgb="FFBCBCBC"/>
      </bottom>
      <diagonal/>
    </border>
    <border>
      <left/>
      <right/>
      <top/>
      <bottom style="thin">
        <color rgb="FFBCBCBC"/>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rgb="FFBCBCBC"/>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BCBCBC"/>
      </left>
      <right/>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rgb="FFBCBCBC"/>
      </top>
      <bottom style="thin">
        <color rgb="FFBCBCBC"/>
      </bottom>
      <diagonal/>
    </border>
    <border>
      <left/>
      <right style="thin">
        <color theme="0" tint="-0.249977111117893"/>
      </right>
      <top/>
      <bottom/>
      <diagonal/>
    </border>
    <border>
      <left style="thin">
        <color rgb="FFBCBCBC"/>
      </left>
      <right/>
      <top style="thin">
        <color rgb="FFBCBCBC"/>
      </top>
      <bottom/>
      <diagonal/>
    </border>
    <border>
      <left/>
      <right/>
      <top style="thin">
        <color theme="0" tint="-0.14999847407452621"/>
      </top>
      <bottom style="thin">
        <color rgb="FFBCBCBC"/>
      </bottom>
      <diagonal/>
    </border>
    <border>
      <left style="thin">
        <color rgb="FFBCBCBC"/>
      </left>
      <right style="thin">
        <color theme="0" tint="-0.249977111117893"/>
      </right>
      <top style="thin">
        <color rgb="FFBCBCBC"/>
      </top>
      <bottom style="thin">
        <color rgb="FFBCBCBC"/>
      </bottom>
      <diagonal/>
    </border>
    <border>
      <left/>
      <right style="thin">
        <color rgb="FFBCBCBC"/>
      </right>
      <top/>
      <bottom style="thin">
        <color rgb="FFBCBCBC"/>
      </bottom>
      <diagonal/>
    </border>
    <border>
      <left/>
      <right/>
      <top style="thin">
        <color rgb="FF969696"/>
      </top>
      <bottom style="thin">
        <color rgb="FF969696"/>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top style="thin">
        <color rgb="FFC0C0C0"/>
      </top>
      <bottom style="thin">
        <color rgb="FFC0C0C0"/>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bottom style="thin">
        <color theme="0" tint="-0.249977111117893"/>
      </bottom>
      <diagonal/>
    </border>
    <border>
      <left style="thin">
        <color theme="0" tint="-0.34998626667073579"/>
      </left>
      <right/>
      <top style="thin">
        <color rgb="FFBCBCBC"/>
      </top>
      <bottom style="thin">
        <color rgb="FFBCBCBC"/>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thin">
        <color rgb="FFBCBCBC"/>
      </left>
      <right style="thin">
        <color rgb="FFBCBCBC"/>
      </right>
      <top/>
      <bottom style="thin">
        <color rgb="FFBCBCBC"/>
      </bottom>
      <diagonal/>
    </border>
    <border>
      <left style="thin">
        <color rgb="FFBCBCBC"/>
      </left>
      <right style="thin">
        <color rgb="FFBCBCBC"/>
      </right>
      <top/>
      <bottom/>
      <diagonal/>
    </border>
    <border>
      <left style="thin">
        <color rgb="FFBCBCBC"/>
      </left>
      <right/>
      <top style="thin">
        <color theme="0" tint="-0.249977111117893"/>
      </top>
      <bottom/>
      <diagonal/>
    </border>
    <border>
      <left style="thin">
        <color theme="0" tint="-0.34998626667073579"/>
      </left>
      <right/>
      <top style="thin">
        <color theme="0" tint="-0.34998626667073579"/>
      </top>
      <bottom/>
      <diagonal/>
    </border>
    <border>
      <left style="thin">
        <color rgb="FFBFBFBF"/>
      </left>
      <right style="thin">
        <color rgb="FFBFBFBF"/>
      </right>
      <top style="thin">
        <color rgb="FFBFBFBF"/>
      </top>
      <bottom style="thin">
        <color rgb="FFBFBFBF"/>
      </bottom>
      <diagonal/>
    </border>
  </borders>
  <cellStyleXfs count="5">
    <xf numFmtId="49" fontId="0" fillId="0" borderId="0" applyFill="0" applyBorder="0">
      <alignment vertical="top"/>
    </xf>
    <xf numFmtId="49" fontId="3" fillId="0" borderId="0" applyFill="0" applyBorder="0">
      <alignment vertical="top"/>
    </xf>
    <xf numFmtId="0" fontId="4" fillId="0" borderId="0" applyFill="0" applyBorder="0"/>
    <xf numFmtId="0" fontId="1" fillId="0" borderId="0" applyFill="0" applyBorder="0"/>
    <xf numFmtId="0" fontId="3" fillId="0" borderId="0" applyFill="0" applyBorder="0">
      <alignment horizontal="left" vertical="center"/>
    </xf>
  </cellStyleXfs>
  <cellXfs count="2145">
    <xf numFmtId="49" fontId="0" fillId="0" borderId="0" xfId="0" applyNumberFormat="1" applyFont="1">
      <alignment vertical="top"/>
    </xf>
    <xf numFmtId="49" fontId="3" fillId="0" borderId="0" xfId="1" applyNumberFormat="1" applyFont="1">
      <alignment vertical="top"/>
    </xf>
    <xf numFmtId="0" fontId="1" fillId="0" borderId="0" xfId="3" applyFont="1"/>
    <xf numFmtId="0" fontId="3" fillId="0" borderId="0" xfId="4" applyFont="1">
      <alignment horizontal="left" vertical="center"/>
    </xf>
    <xf numFmtId="49" fontId="3" fillId="0" borderId="0" xfId="0" applyNumberFormat="1" applyFont="1">
      <alignment vertical="top"/>
    </xf>
    <xf numFmtId="49" fontId="3" fillId="0" borderId="1" xfId="0" applyNumberFormat="1" applyFont="1" applyBorder="1" applyAlignment="1">
      <alignment horizontal="center" vertical="center" wrapText="1"/>
    </xf>
    <xf numFmtId="0" fontId="5" fillId="0" borderId="1" xfId="0" applyNumberFormat="1" applyFont="1" applyBorder="1" applyAlignment="1">
      <alignment vertical="center" wrapText="1"/>
    </xf>
    <xf numFmtId="0" fontId="3" fillId="0" borderId="1" xfId="0" applyNumberFormat="1" applyFont="1" applyBorder="1" applyAlignment="1">
      <alignment horizontal="center" vertical="center"/>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6" fillId="0" borderId="0" xfId="0" applyNumberFormat="1" applyFont="1" applyAlignment="1">
      <alignment horizontal="center" vertical="center" wrapText="1" shrinkToFit="1"/>
    </xf>
    <xf numFmtId="0" fontId="7"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vertical="center"/>
    </xf>
    <xf numFmtId="0" fontId="3" fillId="0" borderId="2" xfId="0" applyNumberFormat="1" applyFont="1" applyBorder="1" applyAlignment="1">
      <alignment horizontal="right" vertical="center" wrapText="1" indent="1"/>
    </xf>
    <xf numFmtId="0" fontId="8" fillId="0" borderId="0" xfId="0" applyNumberFormat="1" applyFont="1">
      <alignment vertical="top"/>
    </xf>
    <xf numFmtId="49" fontId="8" fillId="0" borderId="0" xfId="0" applyNumberFormat="1" applyFont="1">
      <alignment vertical="top"/>
    </xf>
    <xf numFmtId="49" fontId="3" fillId="0" borderId="0" xfId="0" applyNumberFormat="1" applyFont="1" applyAlignment="1">
      <alignment vertical="center" wrapText="1"/>
    </xf>
    <xf numFmtId="0" fontId="9" fillId="0" borderId="4" xfId="0" applyNumberFormat="1" applyFont="1" applyBorder="1" applyAlignment="1">
      <alignment horizontal="center" vertical="center"/>
    </xf>
    <xf numFmtId="0" fontId="3" fillId="0" borderId="0" xfId="0" applyNumberFormat="1" applyFont="1" applyAlignment="1"/>
    <xf numFmtId="0" fontId="3" fillId="7" borderId="0" xfId="0" applyNumberFormat="1" applyFont="1" applyFill="1" applyAlignment="1"/>
    <xf numFmtId="49" fontId="3" fillId="8" borderId="5" xfId="0" applyNumberFormat="1" applyFont="1" applyFill="1" applyBorder="1" applyAlignment="1" applyProtection="1">
      <alignment horizontal="left" vertical="center" wrapText="1"/>
      <protection locked="0"/>
    </xf>
    <xf numFmtId="0" fontId="7" fillId="0" borderId="0" xfId="0" applyNumberFormat="1" applyFont="1" applyAlignment="1">
      <alignment vertical="center"/>
    </xf>
    <xf numFmtId="0" fontId="7" fillId="0" borderId="0" xfId="0" applyNumberFormat="1" applyFont="1" applyAlignment="1">
      <alignment vertical="center" wrapText="1"/>
    </xf>
    <xf numFmtId="0" fontId="10" fillId="0" borderId="0" xfId="0" applyNumberFormat="1" applyFont="1" applyAlignment="1">
      <alignment vertical="center"/>
    </xf>
    <xf numFmtId="0" fontId="11" fillId="0" borderId="0" xfId="0" applyNumberFormat="1" applyFont="1" applyAlignment="1">
      <alignment vertical="center"/>
    </xf>
    <xf numFmtId="0" fontId="10" fillId="0" borderId="0" xfId="0" applyNumberFormat="1" applyFont="1" applyAlignment="1">
      <alignment horizontal="center" vertical="center"/>
    </xf>
    <xf numFmtId="0" fontId="7" fillId="0" borderId="0" xfId="0" applyNumberFormat="1" applyFont="1" applyAlignment="1">
      <alignment horizontal="left" vertical="center" wrapText="1"/>
    </xf>
    <xf numFmtId="49" fontId="12" fillId="0" borderId="0" xfId="0" applyNumberFormat="1" applyFont="1" applyAlignment="1">
      <alignment horizontal="right" vertical="center" wrapText="1"/>
    </xf>
    <xf numFmtId="49" fontId="3" fillId="0" borderId="0" xfId="0" applyNumberFormat="1" applyFont="1" applyAlignment="1">
      <alignment vertical="center" wrapText="1"/>
    </xf>
    <xf numFmtId="49" fontId="6" fillId="0" borderId="0" xfId="0" applyNumberFormat="1" applyFont="1" applyAlignment="1">
      <alignment vertical="center" wrapText="1"/>
    </xf>
    <xf numFmtId="49" fontId="3" fillId="0" borderId="0" xfId="0" applyNumberFormat="1" applyFont="1" applyAlignment="1">
      <alignment horizontal="left" vertical="center" wrapText="1"/>
    </xf>
    <xf numFmtId="0" fontId="3" fillId="7" borderId="6" xfId="0" applyNumberFormat="1" applyFont="1" applyFill="1" applyBorder="1" applyAlignment="1">
      <alignment horizontal="center" vertical="center" wrapText="1"/>
    </xf>
    <xf numFmtId="0" fontId="3" fillId="7" borderId="7" xfId="0" applyNumberFormat="1" applyFont="1" applyFill="1" applyBorder="1" applyAlignment="1">
      <alignment horizontal="center" vertical="center" wrapText="1"/>
    </xf>
    <xf numFmtId="0" fontId="3" fillId="7" borderId="8" xfId="0"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49" fontId="3" fillId="0" borderId="0" xfId="0" applyNumberFormat="1" applyFont="1" applyAlignment="1">
      <alignment horizontal="right" vertical="center" wrapText="1"/>
    </xf>
    <xf numFmtId="0" fontId="5" fillId="0" borderId="0" xfId="0" applyNumberFormat="1" applyFont="1" applyAlignment="1"/>
    <xf numFmtId="49" fontId="3" fillId="0" borderId="2" xfId="0" applyNumberFormat="1" applyFont="1" applyBorder="1" applyAlignment="1">
      <alignment horizontal="center" vertical="center"/>
    </xf>
    <xf numFmtId="0" fontId="13" fillId="0" borderId="0" xfId="0" applyNumberFormat="1" applyFont="1" applyAlignment="1"/>
    <xf numFmtId="0" fontId="0" fillId="0" borderId="0" xfId="0" applyNumberFormat="1" applyFont="1" applyAlignment="1">
      <alignment horizontal="left" vertical="center"/>
    </xf>
    <xf numFmtId="0" fontId="5" fillId="0" borderId="0" xfId="0" applyNumberFormat="1" applyFont="1" applyAlignment="1">
      <alignment horizontal="center" vertical="center"/>
    </xf>
    <xf numFmtId="0" fontId="0" fillId="0" borderId="0" xfId="0" applyNumberFormat="1" applyFont="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14" fillId="0" borderId="0" xfId="0" applyNumberFormat="1" applyFont="1" applyAlignment="1">
      <alignment vertical="center" wrapText="1"/>
    </xf>
    <xf numFmtId="0" fontId="5" fillId="0" borderId="0" xfId="0" applyNumberFormat="1" applyFont="1" applyAlignment="1">
      <alignment horizontal="center"/>
    </xf>
    <xf numFmtId="0" fontId="3" fillId="0" borderId="2" xfId="0" applyNumberFormat="1" applyFont="1" applyBorder="1" applyAlignment="1">
      <alignment horizontal="center" vertical="center"/>
    </xf>
    <xf numFmtId="0" fontId="5" fillId="9" borderId="2" xfId="0" applyNumberFormat="1" applyFont="1" applyFill="1" applyBorder="1" applyAlignment="1">
      <alignment horizontal="lef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0" fontId="5"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5" fillId="0" borderId="0" xfId="0" applyNumberFormat="1" applyFont="1" applyAlignment="1">
      <alignment wrapText="1"/>
    </xf>
    <xf numFmtId="4" fontId="3" fillId="8" borderId="2" xfId="0" applyNumberFormat="1" applyFont="1" applyFill="1" applyBorder="1" applyAlignment="1" applyProtection="1">
      <alignment horizontal="right" vertical="center"/>
      <protection locked="0"/>
    </xf>
    <xf numFmtId="4" fontId="3" fillId="10" borderId="2" xfId="0" applyNumberFormat="1" applyFont="1" applyFill="1" applyBorder="1" applyAlignment="1">
      <alignment horizontal="right" vertical="center"/>
    </xf>
    <xf numFmtId="0" fontId="3" fillId="0" borderId="0" xfId="0" applyNumberFormat="1" applyFont="1" applyAlignment="1">
      <alignment vertical="center"/>
    </xf>
    <xf numFmtId="0" fontId="5" fillId="0" borderId="0" xfId="0" applyNumberFormat="1" applyFont="1" applyAlignment="1">
      <alignment vertical="center" wrapText="1"/>
    </xf>
    <xf numFmtId="49" fontId="3" fillId="7" borderId="2"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0" fontId="5" fillId="0" borderId="0" xfId="0" applyNumberFormat="1" applyFont="1" applyAlignment="1"/>
    <xf numFmtId="0" fontId="5" fillId="0" borderId="0" xfId="0" applyNumberFormat="1" applyFont="1" applyAlignment="1">
      <alignment horizontal="center"/>
    </xf>
    <xf numFmtId="168" fontId="15" fillId="0" borderId="0" xfId="0" applyNumberFormat="1" applyFont="1" applyAlignment="1">
      <alignment horizontal="left" vertical="center" wrapText="1"/>
    </xf>
    <xf numFmtId="0" fontId="7" fillId="0" borderId="0" xfId="0" applyNumberFormat="1" applyFont="1" applyAlignment="1"/>
    <xf numFmtId="0" fontId="10" fillId="0" borderId="0" xfId="0" applyNumberFormat="1" applyFont="1" applyAlignment="1"/>
    <xf numFmtId="0" fontId="10" fillId="0" borderId="0" xfId="0" applyNumberFormat="1" applyFont="1" applyAlignment="1">
      <alignment horizontal="left"/>
    </xf>
    <xf numFmtId="0" fontId="7"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NumberFormat="1" applyFont="1" applyAlignment="1">
      <alignment horizontal="left" vertical="center" wrapText="1" indent="4"/>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7" fillId="0" borderId="0" xfId="0" applyNumberFormat="1" applyFont="1" applyAlignment="1">
      <alignment vertical="center" wrapText="1"/>
    </xf>
    <xf numFmtId="49" fontId="19" fillId="11" borderId="0" xfId="0" applyNumberFormat="1" applyFont="1" applyFill="1" applyAlignment="1">
      <alignment horizontal="center" vertical="center"/>
    </xf>
    <xf numFmtId="0" fontId="7" fillId="12" borderId="0" xfId="0" applyNumberFormat="1" applyFont="1" applyFill="1" applyAlignment="1">
      <alignment horizontal="right" vertical="center"/>
    </xf>
    <xf numFmtId="0" fontId="7" fillId="12" borderId="0" xfId="0" applyNumberFormat="1" applyFont="1" applyFill="1" applyAlignment="1">
      <alignment horizontal="center" vertical="center"/>
    </xf>
    <xf numFmtId="0" fontId="17" fillId="12" borderId="0" xfId="0" applyNumberFormat="1" applyFont="1" applyFill="1" applyAlignment="1">
      <alignment horizontal="right" vertical="center"/>
    </xf>
    <xf numFmtId="49" fontId="17" fillId="0" borderId="0" xfId="0" applyNumberFormat="1" applyFont="1" applyAlignment="1">
      <alignment vertical="center" wrapText="1"/>
    </xf>
    <xf numFmtId="49" fontId="7" fillId="0" borderId="0" xfId="0" applyNumberFormat="1" applyFont="1">
      <alignment vertical="top"/>
    </xf>
    <xf numFmtId="0" fontId="7" fillId="12" borderId="0" xfId="0" applyNumberFormat="1" applyFont="1" applyFill="1" applyAlignment="1">
      <alignment horizontal="left" vertical="center"/>
    </xf>
    <xf numFmtId="49" fontId="8" fillId="11" borderId="0" xfId="0" applyNumberFormat="1" applyFont="1" applyFill="1" applyAlignment="1">
      <alignment horizontal="center" vertical="center"/>
    </xf>
    <xf numFmtId="49" fontId="3" fillId="13" borderId="0" xfId="0" applyNumberFormat="1" applyFont="1" applyFill="1">
      <alignment vertical="top"/>
    </xf>
    <xf numFmtId="49" fontId="20" fillId="0" borderId="0" xfId="0" applyNumberFormat="1" applyFont="1" applyAlignment="1">
      <alignment horizontal="center" vertical="center" wrapText="1"/>
    </xf>
    <xf numFmtId="49" fontId="21" fillId="14" borderId="9" xfId="0" applyNumberFormat="1" applyFont="1" applyFill="1" applyBorder="1" applyAlignment="1">
      <alignment horizontal="left" vertical="center" wrapText="1"/>
    </xf>
    <xf numFmtId="49" fontId="22" fillId="15" borderId="10" xfId="0" applyNumberFormat="1" applyFont="1" applyFill="1" applyBorder="1" applyAlignment="1">
      <alignment horizontal="left" vertical="center" wrapText="1" indent="1"/>
    </xf>
    <xf numFmtId="49" fontId="22" fillId="15" borderId="11" xfId="0" applyNumberFormat="1" applyFont="1" applyFill="1" applyBorder="1" applyAlignment="1">
      <alignment horizontal="left" vertical="center" wrapText="1" indent="1"/>
    </xf>
    <xf numFmtId="49" fontId="22" fillId="15" borderId="12" xfId="0" applyNumberFormat="1" applyFont="1" applyFill="1" applyBorder="1" applyAlignment="1">
      <alignment horizontal="left" vertical="center" wrapText="1" indent="1"/>
    </xf>
    <xf numFmtId="49" fontId="22" fillId="15" borderId="11" xfId="0" applyNumberFormat="1" applyFont="1" applyFill="1" applyBorder="1" applyAlignment="1">
      <alignment vertical="center" wrapText="1"/>
    </xf>
    <xf numFmtId="49" fontId="3" fillId="10" borderId="13" xfId="0" applyNumberFormat="1" applyFont="1" applyFill="1" applyBorder="1" applyAlignment="1">
      <alignment horizontal="left" vertical="center" wrapText="1" indent="1"/>
    </xf>
    <xf numFmtId="0" fontId="21" fillId="14" borderId="9" xfId="0" applyNumberFormat="1" applyFont="1" applyFill="1" applyBorder="1" applyAlignment="1">
      <alignment horizontal="left" vertical="center"/>
    </xf>
    <xf numFmtId="0" fontId="3" fillId="12" borderId="0" xfId="0" applyNumberFormat="1" applyFont="1" applyFill="1" applyAlignment="1">
      <alignment horizontal="left" vertical="center"/>
    </xf>
    <xf numFmtId="49" fontId="3" fillId="0" borderId="14" xfId="0" applyNumberFormat="1" applyFont="1" applyBorder="1" applyAlignment="1">
      <alignment vertical="center" wrapText="1"/>
    </xf>
    <xf numFmtId="0" fontId="21" fillId="14" borderId="15" xfId="0" applyNumberFormat="1" applyFont="1" applyFill="1" applyBorder="1" applyAlignment="1">
      <alignment horizontal="left" vertical="center"/>
    </xf>
    <xf numFmtId="0" fontId="5" fillId="0" borderId="1" xfId="0" applyNumberFormat="1" applyFont="1" applyBorder="1" applyAlignment="1">
      <alignment horizontal="center" vertical="center"/>
    </xf>
    <xf numFmtId="0" fontId="3" fillId="9" borderId="1" xfId="0" applyNumberFormat="1" applyFont="1" applyFill="1" applyBorder="1" applyAlignment="1">
      <alignment horizontal="center" vertical="center" wrapText="1"/>
    </xf>
    <xf numFmtId="0" fontId="3" fillId="9" borderId="16" xfId="0" applyNumberFormat="1" applyFont="1" applyFill="1" applyBorder="1" applyAlignment="1">
      <alignment horizontal="center" vertical="center" wrapText="1"/>
    </xf>
    <xf numFmtId="49" fontId="22" fillId="15" borderId="17" xfId="0" applyNumberFormat="1" applyFont="1" applyFill="1" applyBorder="1" applyAlignment="1">
      <alignment horizontal="left" vertical="center" wrapText="1" indent="1"/>
    </xf>
    <xf numFmtId="3" fontId="3" fillId="8" borderId="2" xfId="0" applyNumberFormat="1" applyFont="1" applyFill="1" applyBorder="1" applyAlignment="1" applyProtection="1">
      <alignment horizontal="right" vertical="center"/>
      <protection locked="0"/>
    </xf>
    <xf numFmtId="49" fontId="3" fillId="8" borderId="1" xfId="0" applyNumberFormat="1" applyFont="1" applyFill="1" applyBorder="1" applyAlignment="1" applyProtection="1">
      <alignment horizontal="left" vertical="center" wrapText="1"/>
      <protection locked="0"/>
    </xf>
    <xf numFmtId="0" fontId="0" fillId="0" borderId="2" xfId="0" applyNumberFormat="1" applyFont="1" applyBorder="1" applyAlignment="1">
      <alignment horizontal="center" vertical="center" wrapText="1"/>
    </xf>
    <xf numFmtId="4" fontId="3" fillId="10" borderId="2" xfId="0" applyNumberFormat="1" applyFont="1" applyFill="1" applyBorder="1" applyAlignment="1">
      <alignment horizontal="right" vertical="center"/>
    </xf>
    <xf numFmtId="0" fontId="3" fillId="0" borderId="2" xfId="0" applyNumberFormat="1" applyFont="1" applyBorder="1" applyAlignment="1">
      <alignment horizontal="left" vertical="center" wrapText="1" indent="1"/>
    </xf>
    <xf numFmtId="0" fontId="23" fillId="0" borderId="4" xfId="0" applyNumberFormat="1" applyFont="1" applyBorder="1" applyAlignment="1">
      <alignment vertical="center"/>
    </xf>
    <xf numFmtId="0" fontId="23" fillId="0" borderId="4" xfId="0" applyNumberFormat="1" applyFont="1" applyBorder="1" applyAlignment="1"/>
    <xf numFmtId="0" fontId="24" fillId="0" borderId="4" xfId="0" applyNumberFormat="1" applyFont="1" applyBorder="1" applyAlignment="1">
      <alignment vertical="center" wrapText="1"/>
    </xf>
    <xf numFmtId="49" fontId="3" fillId="8" borderId="18" xfId="0" applyNumberFormat="1" applyFont="1" applyFill="1" applyBorder="1" applyAlignment="1" applyProtection="1">
      <alignment horizontal="left" vertical="center" wrapText="1" indent="1"/>
      <protection locked="0"/>
    </xf>
    <xf numFmtId="0" fontId="5" fillId="0" borderId="2" xfId="0" applyNumberFormat="1" applyFont="1" applyBorder="1" applyAlignment="1">
      <alignment horizontal="right" vertical="center" wrapText="1" indent="1"/>
    </xf>
    <xf numFmtId="0" fontId="5" fillId="0" borderId="2" xfId="0" applyNumberFormat="1" applyFont="1" applyBorder="1" applyAlignment="1">
      <alignment horizontal="right" vertical="center" indent="1"/>
    </xf>
    <xf numFmtId="0" fontId="3" fillId="16" borderId="2" xfId="0" applyNumberFormat="1" applyFont="1" applyFill="1" applyBorder="1" applyAlignment="1" applyProtection="1">
      <alignment horizontal="left" vertical="center" wrapText="1"/>
      <protection locked="0"/>
    </xf>
    <xf numFmtId="49" fontId="5" fillId="8" borderId="2" xfId="0" applyNumberFormat="1" applyFont="1" applyFill="1" applyBorder="1" applyAlignment="1" applyProtection="1">
      <alignment horizontal="left" vertical="center" wrapText="1"/>
      <protection locked="0"/>
    </xf>
    <xf numFmtId="49" fontId="24" fillId="0" borderId="19" xfId="0" applyNumberFormat="1" applyFont="1" applyBorder="1" applyAlignment="1">
      <alignment horizontal="left" vertical="center" wrapText="1" indent="4"/>
    </xf>
    <xf numFmtId="49" fontId="24" fillId="0" borderId="0" xfId="0" applyNumberFormat="1" applyFont="1" applyAlignment="1">
      <alignment horizontal="left" vertical="center" wrapText="1" indent="4"/>
    </xf>
    <xf numFmtId="49" fontId="24" fillId="0" borderId="4" xfId="0" applyNumberFormat="1" applyFont="1" applyBorder="1" applyAlignment="1">
      <alignment horizontal="left" vertical="center" indent="1"/>
    </xf>
    <xf numFmtId="0" fontId="3" fillId="0" borderId="0" xfId="0" applyNumberFormat="1" applyFont="1" applyAlignment="1">
      <alignment horizontal="left" vertical="center" wrapText="1"/>
    </xf>
    <xf numFmtId="0" fontId="6" fillId="7" borderId="2" xfId="0" applyNumberFormat="1" applyFont="1" applyFill="1" applyBorder="1" applyAlignment="1">
      <alignment horizontal="center" vertical="center" wrapText="1"/>
    </xf>
    <xf numFmtId="49" fontId="24" fillId="0" borderId="4" xfId="0" applyNumberFormat="1" applyFont="1" applyBorder="1" applyAlignment="1">
      <alignment vertical="center" wrapText="1"/>
    </xf>
    <xf numFmtId="0" fontId="5" fillId="0" borderId="0" xfId="0" applyNumberFormat="1" applyFont="1" applyAlignment="1">
      <alignment horizontal="left" vertical="center" wrapText="1"/>
    </xf>
    <xf numFmtId="0" fontId="1" fillId="0" borderId="4" xfId="0" applyNumberFormat="1" applyFont="1" applyBorder="1" applyAlignment="1"/>
    <xf numFmtId="49" fontId="24" fillId="0" borderId="4" xfId="0" applyNumberFormat="1" applyFont="1" applyBorder="1" applyAlignment="1">
      <alignment horizontal="center" vertical="center" wrapText="1"/>
    </xf>
    <xf numFmtId="49" fontId="21" fillId="14" borderId="20" xfId="0" applyNumberFormat="1"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4" xfId="0" applyNumberFormat="1" applyFont="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0" fontId="21" fillId="14" borderId="21" xfId="0" applyNumberFormat="1" applyFont="1" applyFill="1" applyBorder="1" applyAlignment="1">
      <alignment horizontal="left" vertical="center"/>
    </xf>
    <xf numFmtId="0" fontId="1" fillId="0" borderId="4" xfId="0" applyNumberFormat="1" applyFont="1" applyBorder="1" applyAlignment="1">
      <alignment vertical="center"/>
    </xf>
    <xf numFmtId="0" fontId="21" fillId="14" borderId="20"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protection locked="0"/>
    </xf>
    <xf numFmtId="0" fontId="5" fillId="0" borderId="4" xfId="0" applyNumberFormat="1" applyFont="1" applyBorder="1" applyAlignment="1">
      <alignment vertical="center"/>
    </xf>
    <xf numFmtId="4" fontId="24" fillId="10" borderId="1" xfId="0" applyNumberFormat="1" applyFont="1" applyFill="1" applyBorder="1" applyAlignment="1">
      <alignment horizontal="right" vertical="center" wrapText="1"/>
    </xf>
    <xf numFmtId="4" fontId="3"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protection locked="0"/>
    </xf>
    <xf numFmtId="49" fontId="22" fillId="15" borderId="21" xfId="0" applyNumberFormat="1" applyFont="1" applyFill="1" applyBorder="1" applyAlignment="1">
      <alignment horizontal="left" vertical="center" wrapText="1" indent="1"/>
    </xf>
    <xf numFmtId="49" fontId="22" fillId="15" borderId="9" xfId="0" applyNumberFormat="1" applyFont="1" applyFill="1" applyBorder="1" applyAlignment="1">
      <alignment horizontal="left" vertical="center" wrapText="1" indent="1"/>
    </xf>
    <xf numFmtId="49" fontId="22" fillId="15" borderId="20"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xf>
    <xf numFmtId="0" fontId="5" fillId="0" borderId="4" xfId="0" applyNumberFormat="1" applyFont="1" applyBorder="1" applyAlignment="1">
      <alignment vertical="center" wrapText="1"/>
    </xf>
    <xf numFmtId="0" fontId="5" fillId="0" borderId="4" xfId="0" applyNumberFormat="1" applyFont="1" applyBorder="1" applyAlignment="1"/>
    <xf numFmtId="4" fontId="5" fillId="10" borderId="1" xfId="0" applyNumberFormat="1" applyFont="1" applyFill="1" applyBorder="1" applyAlignment="1">
      <alignment horizontal="right" vertical="center"/>
    </xf>
    <xf numFmtId="4" fontId="5" fillId="8" borderId="1" xfId="0" applyNumberFormat="1" applyFont="1" applyFill="1" applyBorder="1" applyAlignment="1" applyProtection="1">
      <alignment horizontal="right" vertical="center"/>
      <protection locked="0"/>
    </xf>
    <xf numFmtId="49" fontId="5" fillId="0" borderId="1" xfId="0" applyNumberFormat="1" applyFont="1" applyBorder="1" applyAlignment="1">
      <alignment horizontal="center" vertical="center"/>
    </xf>
    <xf numFmtId="0" fontId="24" fillId="0" borderId="0" xfId="0" applyNumberFormat="1" applyFont="1" applyAlignment="1"/>
    <xf numFmtId="0" fontId="21" fillId="14" borderId="22" xfId="0" applyNumberFormat="1" applyFont="1" applyFill="1" applyBorder="1" applyAlignment="1">
      <alignment horizontal="left" vertical="center"/>
    </xf>
    <xf numFmtId="0" fontId="21" fillId="14" borderId="23" xfId="0" applyNumberFormat="1" applyFont="1" applyFill="1" applyBorder="1" applyAlignment="1">
      <alignment horizontal="left" vertical="center"/>
    </xf>
    <xf numFmtId="49" fontId="3"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 fontId="0" fillId="8" borderId="1" xfId="0" applyNumberFormat="1" applyFont="1" applyFill="1" applyBorder="1" applyAlignment="1" applyProtection="1">
      <alignment horizontal="right" vertical="center" wrapText="1"/>
      <protection locked="0"/>
    </xf>
    <xf numFmtId="0" fontId="1" fillId="0" borderId="4" xfId="0" applyNumberFormat="1" applyFont="1" applyBorder="1" applyAlignment="1">
      <alignment wrapText="1"/>
    </xf>
    <xf numFmtId="0" fontId="16" fillId="0" borderId="0" xfId="0" applyNumberFormat="1" applyFont="1" applyAlignment="1">
      <alignment horizontal="left" vertical="center" wrapText="1"/>
    </xf>
    <xf numFmtId="49" fontId="18" fillId="0" borderId="4" xfId="0" applyNumberFormat="1" applyFont="1" applyBorder="1" applyAlignment="1">
      <alignment vertical="center"/>
    </xf>
    <xf numFmtId="0" fontId="21" fillId="14" borderId="0" xfId="0" applyNumberFormat="1" applyFont="1" applyFill="1" applyAlignment="1">
      <alignment horizontal="left" vertical="center"/>
    </xf>
    <xf numFmtId="49" fontId="7" fillId="0" borderId="0" xfId="0" applyNumberFormat="1" applyFont="1" applyAlignment="1">
      <alignment vertical="center"/>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indent="1"/>
    </xf>
    <xf numFmtId="0" fontId="5" fillId="0" borderId="1" xfId="0" applyNumberFormat="1" applyFont="1" applyBorder="1" applyAlignment="1">
      <alignment horizontal="left" vertical="center" wrapText="1"/>
    </xf>
    <xf numFmtId="4" fontId="3" fillId="10" borderId="1" xfId="0" applyNumberFormat="1" applyFont="1" applyFill="1" applyBorder="1" applyAlignment="1">
      <alignment horizontal="right" vertical="center"/>
    </xf>
    <xf numFmtId="49" fontId="22" fillId="15" borderId="11" xfId="0" applyNumberFormat="1" applyFont="1" applyFill="1" applyBorder="1" applyAlignment="1">
      <alignment horizontal="left" vertical="center" indent="1"/>
    </xf>
    <xf numFmtId="0" fontId="3" fillId="12" borderId="0" xfId="0" applyNumberFormat="1" applyFont="1" applyFill="1" applyAlignment="1">
      <alignment horizontal="left" vertical="center" wrapText="1"/>
    </xf>
    <xf numFmtId="49" fontId="22" fillId="15" borderId="25" xfId="0" applyNumberFormat="1" applyFont="1" applyFill="1" applyBorder="1" applyAlignment="1">
      <alignment horizontal="left" vertical="center" wrapText="1" indent="1"/>
    </xf>
    <xf numFmtId="49" fontId="22" fillId="15" borderId="26" xfId="0" applyNumberFormat="1" applyFont="1" applyFill="1" applyBorder="1" applyAlignment="1">
      <alignment horizontal="left" vertical="center" wrapText="1" indent="1"/>
    </xf>
    <xf numFmtId="49" fontId="22" fillId="15" borderId="25" xfId="0" applyNumberFormat="1" applyFont="1" applyFill="1" applyBorder="1" applyAlignment="1">
      <alignment horizontal="left" vertical="center" wrapText="1"/>
    </xf>
    <xf numFmtId="49" fontId="22" fillId="15" borderId="27" xfId="0" applyNumberFormat="1" applyFont="1" applyFill="1" applyBorder="1" applyAlignment="1">
      <alignment horizontal="left" vertical="center" wrapText="1"/>
    </xf>
    <xf numFmtId="0" fontId="3" fillId="17" borderId="0" xfId="0" applyNumberFormat="1" applyFont="1" applyFill="1" applyAlignment="1">
      <alignment horizontal="left" vertical="center" wrapText="1"/>
    </xf>
    <xf numFmtId="0" fontId="5" fillId="17" borderId="0" xfId="0" applyNumberFormat="1" applyFont="1" applyFill="1" applyAlignment="1">
      <alignment horizontal="center" vertical="center" wrapText="1"/>
    </xf>
    <xf numFmtId="4" fontId="3" fillId="17" borderId="0" xfId="0" applyNumberFormat="1" applyFont="1" applyFill="1" applyAlignment="1">
      <alignment horizontal="right" vertical="center"/>
    </xf>
    <xf numFmtId="49" fontId="3" fillId="17" borderId="20" xfId="0" applyNumberFormat="1" applyFont="1" applyFill="1" applyBorder="1" applyAlignment="1">
      <alignment horizontal="left" vertical="center"/>
    </xf>
    <xf numFmtId="49" fontId="25" fillId="17" borderId="28" xfId="0" applyNumberFormat="1" applyFont="1" applyFill="1" applyBorder="1" applyAlignment="1">
      <alignment horizontal="left" vertical="center" indent="1"/>
    </xf>
    <xf numFmtId="49" fontId="3" fillId="17" borderId="29" xfId="0" applyNumberFormat="1" applyFont="1" applyFill="1" applyBorder="1" applyAlignment="1">
      <alignment horizontal="left" vertical="center" indent="1"/>
    </xf>
    <xf numFmtId="49" fontId="25" fillId="17" borderId="29" xfId="0" applyNumberFormat="1" applyFont="1" applyFill="1" applyBorder="1" applyAlignment="1">
      <alignment horizontal="left" vertical="center" indent="1"/>
    </xf>
    <xf numFmtId="4" fontId="21" fillId="14" borderId="23" xfId="0" applyNumberFormat="1" applyFont="1" applyFill="1" applyBorder="1" applyAlignment="1">
      <alignment horizontal="right" vertical="center"/>
    </xf>
    <xf numFmtId="0" fontId="3" fillId="10" borderId="1" xfId="0" applyNumberFormat="1" applyFont="1" applyFill="1" applyBorder="1" applyAlignment="1">
      <alignment horizontal="left" vertical="center" wrapText="1" indent="1"/>
    </xf>
    <xf numFmtId="0" fontId="5" fillId="15" borderId="20" xfId="0" applyNumberFormat="1" applyFont="1" applyFill="1" applyBorder="1" applyAlignment="1">
      <alignment vertical="center" wrapText="1"/>
    </xf>
    <xf numFmtId="169" fontId="5" fillId="8" borderId="2" xfId="0" applyNumberFormat="1" applyFont="1" applyFill="1" applyBorder="1" applyAlignment="1" applyProtection="1">
      <alignment horizontal="right" vertical="center"/>
      <protection locked="0"/>
    </xf>
    <xf numFmtId="169" fontId="25" fillId="17" borderId="29" xfId="0" applyNumberFormat="1" applyFont="1" applyFill="1" applyBorder="1" applyAlignment="1">
      <alignment horizontal="left" vertical="center" indent="1"/>
    </xf>
    <xf numFmtId="169" fontId="0" fillId="8" borderId="2" xfId="0" applyNumberFormat="1" applyFont="1" applyFill="1" applyBorder="1" applyAlignment="1" applyProtection="1">
      <alignment horizontal="right" vertical="center"/>
      <protection locked="0"/>
    </xf>
    <xf numFmtId="169" fontId="3" fillId="8" borderId="2" xfId="0" applyNumberFormat="1" applyFont="1" applyFill="1" applyBorder="1" applyAlignment="1" applyProtection="1">
      <alignment horizontal="right" vertical="center"/>
      <protection locked="0"/>
    </xf>
    <xf numFmtId="169" fontId="0" fillId="10" borderId="2" xfId="0" applyNumberFormat="1" applyFont="1" applyFill="1" applyBorder="1" applyAlignment="1">
      <alignment horizontal="right" vertical="center"/>
    </xf>
    <xf numFmtId="170" fontId="0" fillId="10" borderId="2" xfId="0" applyNumberFormat="1" applyFont="1" applyFill="1" applyBorder="1" applyAlignment="1">
      <alignment horizontal="right" vertical="center"/>
    </xf>
    <xf numFmtId="170" fontId="25" fillId="17" borderId="29" xfId="0" applyNumberFormat="1" applyFont="1" applyFill="1" applyBorder="1" applyAlignment="1">
      <alignment horizontal="left" vertical="center" indent="1"/>
    </xf>
    <xf numFmtId="169" fontId="25" fillId="17" borderId="14" xfId="0" applyNumberFormat="1" applyFont="1" applyFill="1" applyBorder="1" applyAlignment="1">
      <alignment horizontal="left" vertical="center" indent="1"/>
    </xf>
    <xf numFmtId="49" fontId="3" fillId="8" borderId="2" xfId="0" applyNumberFormat="1" applyFont="1" applyFill="1" applyBorder="1" applyAlignment="1" applyProtection="1">
      <alignment horizontal="left" vertical="center" wrapText="1"/>
      <protection locked="0"/>
    </xf>
    <xf numFmtId="49" fontId="24" fillId="0" borderId="4" xfId="0" applyNumberFormat="1" applyFont="1" applyBorder="1" applyAlignment="1">
      <alignment horizontal="left" vertical="center" wrapText="1" indent="1"/>
    </xf>
    <xf numFmtId="0" fontId="6" fillId="10" borderId="29" xfId="0" applyNumberFormat="1" applyFont="1" applyFill="1" applyBorder="1" applyAlignment="1">
      <alignment vertical="center" wrapText="1"/>
    </xf>
    <xf numFmtId="0" fontId="6" fillId="10" borderId="14" xfId="0" applyNumberFormat="1" applyFont="1" applyFill="1" applyBorder="1" applyAlignment="1">
      <alignment vertical="center" wrapText="1"/>
    </xf>
    <xf numFmtId="49" fontId="6" fillId="10" borderId="29" xfId="0" applyNumberFormat="1" applyFont="1" applyFill="1" applyBorder="1" applyAlignment="1">
      <alignment vertical="center" wrapText="1"/>
    </xf>
    <xf numFmtId="49" fontId="6" fillId="10" borderId="14" xfId="0" applyNumberFormat="1" applyFont="1" applyFill="1" applyBorder="1" applyAlignment="1">
      <alignment vertical="center" wrapTex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24"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24" fillId="8" borderId="2" xfId="0" applyNumberFormat="1" applyFont="1" applyFill="1" applyBorder="1" applyAlignment="1" applyProtection="1">
      <alignment horizontal="right" vertical="center"/>
      <protection locked="0"/>
    </xf>
    <xf numFmtId="4" fontId="6" fillId="10" borderId="2" xfId="0" applyNumberFormat="1" applyFont="1" applyFill="1" applyBorder="1" applyAlignment="1">
      <alignment vertical="center"/>
    </xf>
    <xf numFmtId="0" fontId="3" fillId="0" borderId="0" xfId="0" applyNumberFormat="1" applyFont="1" applyAlignment="1">
      <alignment horizontal="center" vertical="center" wrapText="1"/>
    </xf>
    <xf numFmtId="4" fontId="3" fillId="8" borderId="1" xfId="0" applyNumberFormat="1" applyFont="1" applyFill="1" applyBorder="1" applyAlignment="1" applyProtection="1">
      <alignment horizontal="right" vertical="center" wrapText="1"/>
      <protection locked="0"/>
    </xf>
    <xf numFmtId="49"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0" fontId="5" fillId="0" borderId="30" xfId="0" applyNumberFormat="1" applyFont="1" applyBorder="1" applyAlignment="1">
      <alignment horizontal="center" vertical="center" wrapText="1"/>
    </xf>
    <xf numFmtId="4" fontId="5" fillId="8" borderId="31" xfId="0" applyNumberFormat="1" applyFont="1" applyFill="1" applyBorder="1" applyAlignment="1" applyProtection="1">
      <alignment horizontal="right" vertical="center"/>
      <protection locked="0"/>
    </xf>
    <xf numFmtId="4" fontId="5" fillId="15" borderId="32" xfId="0" applyNumberFormat="1" applyFont="1" applyFill="1" applyBorder="1" applyAlignment="1">
      <alignment horizontal="right" vertical="center"/>
    </xf>
    <xf numFmtId="0" fontId="26" fillId="17" borderId="29" xfId="0" applyNumberFormat="1" applyFont="1" applyFill="1" applyBorder="1" applyAlignment="1">
      <alignment horizontal="left" vertical="center" indent="1"/>
    </xf>
    <xf numFmtId="4" fontId="27" fillId="14" borderId="9" xfId="0" applyNumberFormat="1" applyFont="1" applyFill="1" applyBorder="1" applyAlignment="1">
      <alignment horizontal="right" vertical="center"/>
    </xf>
    <xf numFmtId="169" fontId="5" fillId="8" borderId="1" xfId="0" applyNumberFormat="1" applyFont="1" applyFill="1" applyBorder="1" applyAlignment="1" applyProtection="1">
      <alignment horizontal="right" vertical="center"/>
      <protection locked="0"/>
    </xf>
    <xf numFmtId="49" fontId="22" fillId="15" borderId="11" xfId="0" applyNumberFormat="1" applyFont="1" applyFill="1" applyBorder="1" applyAlignment="1">
      <alignment horizontal="left" vertical="center"/>
    </xf>
    <xf numFmtId="49" fontId="5" fillId="8" borderId="1" xfId="0" applyNumberFormat="1" applyFont="1" applyFill="1" applyBorder="1" applyAlignment="1" applyProtection="1">
      <alignment horizontal="left" vertical="center" wrapText="1"/>
      <protection locked="0"/>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15" borderId="11" xfId="0" applyNumberFormat="1" applyFont="1" applyFill="1" applyBorder="1" applyAlignment="1">
      <alignment vertical="center" wrapText="1"/>
    </xf>
    <xf numFmtId="0" fontId="5" fillId="15" borderId="17" xfId="0" applyNumberFormat="1" applyFont="1" applyFill="1" applyBorder="1" applyAlignment="1">
      <alignment vertical="center" wrapText="1"/>
    </xf>
    <xf numFmtId="169" fontId="3" fillId="10" borderId="2" xfId="0" applyNumberFormat="1" applyFont="1" applyFill="1" applyBorder="1" applyAlignment="1">
      <alignment horizontal="right" vertical="center"/>
    </xf>
    <xf numFmtId="169" fontId="5" fillId="8" borderId="31" xfId="0" applyNumberFormat="1" applyFont="1" applyFill="1" applyBorder="1" applyAlignment="1" applyProtection="1">
      <alignment horizontal="right" vertical="center"/>
      <protection locked="0"/>
    </xf>
    <xf numFmtId="0" fontId="6" fillId="0" borderId="4" xfId="0" quotePrefix="1" applyNumberFormat="1" applyFont="1" applyBorder="1" applyAlignment="1">
      <alignment horizontal="left" vertical="center" indent="1"/>
    </xf>
    <xf numFmtId="0" fontId="24" fillId="0" borderId="4" xfId="0" quotePrefix="1" applyNumberFormat="1" applyFont="1" applyBorder="1" applyAlignment="1">
      <alignment horizontal="left" vertical="center" indent="1"/>
    </xf>
    <xf numFmtId="49" fontId="24" fillId="0" borderId="4" xfId="0" quotePrefix="1" applyNumberFormat="1" applyFont="1" applyBorder="1" applyAlignment="1">
      <alignment horizontal="left" vertical="center" indent="1"/>
    </xf>
    <xf numFmtId="0" fontId="12" fillId="0" borderId="0" xfId="0" applyNumberFormat="1" applyFont="1" applyAlignment="1"/>
    <xf numFmtId="0" fontId="9" fillId="0" borderId="4" xfId="0" applyNumberFormat="1" applyFont="1" applyBorder="1" applyAlignment="1">
      <alignment horizontal="left" vertical="center" indent="1"/>
    </xf>
    <xf numFmtId="0" fontId="12" fillId="0" borderId="4" xfId="0" applyNumberFormat="1" applyFont="1" applyBorder="1" applyAlignment="1"/>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0" borderId="0" xfId="0" applyNumberFormat="1" applyFont="1" applyAlignment="1">
      <alignment horizontal="left" vertical="center" indent="1"/>
    </xf>
    <xf numFmtId="0" fontId="5" fillId="0" borderId="14" xfId="0" applyNumberFormat="1" applyFont="1" applyBorder="1" applyAlignment="1">
      <alignment vertical="center"/>
    </xf>
    <xf numFmtId="0" fontId="5" fillId="0" borderId="14" xfId="0" applyNumberFormat="1" applyFont="1" applyBorder="1" applyAlignment="1">
      <alignment vertical="center" wrapText="1"/>
    </xf>
    <xf numFmtId="0" fontId="3" fillId="0" borderId="2" xfId="0" applyNumberFormat="1" applyFont="1" applyBorder="1" applyAlignment="1">
      <alignment vertical="center" wrapText="1"/>
    </xf>
    <xf numFmtId="0" fontId="3" fillId="0" borderId="14" xfId="0" applyNumberFormat="1" applyFont="1" applyBorder="1" applyAlignment="1">
      <alignment horizontal="left" vertical="center" wrapText="1" indent="1"/>
    </xf>
    <xf numFmtId="0" fontId="3"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3"/>
    </xf>
    <xf numFmtId="0" fontId="3" fillId="0" borderId="29" xfId="0" applyNumberFormat="1" applyFont="1" applyBorder="1" applyAlignment="1">
      <alignment horizontal="left" vertical="center" wrapText="1" indent="1"/>
    </xf>
    <xf numFmtId="0" fontId="3" fillId="0" borderId="33" xfId="0" applyNumberFormat="1" applyFont="1" applyBorder="1" applyAlignment="1">
      <alignment vertical="center" wrapText="1"/>
    </xf>
    <xf numFmtId="0" fontId="3" fillId="0" borderId="33" xfId="0" applyNumberFormat="1" applyFont="1" applyBorder="1" applyAlignment="1">
      <alignment horizontal="left" vertical="center" wrapText="1" indent="1"/>
    </xf>
    <xf numFmtId="0" fontId="3" fillId="0" borderId="29" xfId="0" applyNumberFormat="1" applyFont="1" applyBorder="1" applyAlignment="1">
      <alignment vertical="center" wrapText="1"/>
    </xf>
    <xf numFmtId="0" fontId="5"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xf>
    <xf numFmtId="0" fontId="3" fillId="0" borderId="1" xfId="0" applyNumberFormat="1" applyFont="1" applyBorder="1" applyAlignment="1">
      <alignment vertical="center" wrapText="1"/>
    </xf>
    <xf numFmtId="0" fontId="5" fillId="0" borderId="1" xfId="0" applyNumberFormat="1" applyFont="1" applyBorder="1" applyAlignment="1">
      <alignment horizontal="left" vertical="center" indent="1"/>
    </xf>
    <xf numFmtId="0" fontId="5" fillId="0" borderId="1" xfId="0" applyNumberFormat="1" applyFont="1" applyBorder="1" applyAlignment="1">
      <alignment horizontal="left" vertical="center" indent="2"/>
    </xf>
    <xf numFmtId="169" fontId="3" fillId="0" borderId="0" xfId="0" applyNumberFormat="1" applyFont="1">
      <alignment vertical="top"/>
    </xf>
    <xf numFmtId="169" fontId="8" fillId="0" borderId="0" xfId="0" applyNumberFormat="1" applyFont="1">
      <alignment vertical="top"/>
    </xf>
    <xf numFmtId="169" fontId="5" fillId="10" borderId="2" xfId="0" applyNumberFormat="1" applyFont="1" applyFill="1" applyBorder="1" applyAlignment="1">
      <alignment horizontal="right" vertical="center"/>
    </xf>
    <xf numFmtId="169" fontId="5" fillId="10" borderId="2" xfId="0" applyNumberFormat="1" applyFont="1" applyFill="1" applyBorder="1" applyAlignment="1">
      <alignment horizontal="right" vertical="center"/>
    </xf>
    <xf numFmtId="0" fontId="17" fillId="16" borderId="2"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left" vertical="center"/>
    </xf>
    <xf numFmtId="49" fontId="24" fillId="0" borderId="4" xfId="0" applyNumberFormat="1" applyFont="1" applyBorder="1" applyAlignment="1">
      <alignment horizontal="left" vertical="center" wrapText="1" indent="4"/>
    </xf>
    <xf numFmtId="49" fontId="24" fillId="0" borderId="0" xfId="0" quotePrefix="1" applyNumberFormat="1" applyFont="1" applyAlignment="1">
      <alignment horizontal="left" vertical="center" wrapText="1" indent="4"/>
    </xf>
    <xf numFmtId="49" fontId="3" fillId="7" borderId="1" xfId="0" applyNumberFormat="1" applyFont="1" applyFill="1" applyBorder="1" applyAlignment="1">
      <alignment horizontal="center" vertical="center" wrapText="1"/>
    </xf>
    <xf numFmtId="4" fontId="3" fillId="10" borderId="1" xfId="0" applyNumberFormat="1" applyFont="1" applyFill="1" applyBorder="1" applyAlignment="1">
      <alignment horizontal="right" vertical="center"/>
    </xf>
    <xf numFmtId="4" fontId="8" fillId="0" borderId="0" xfId="0" applyNumberFormat="1" applyFont="1" applyAlignment="1">
      <alignment horizontal="right" vertical="center"/>
    </xf>
    <xf numFmtId="4" fontId="3" fillId="0" borderId="0" xfId="0" applyNumberFormat="1" applyFont="1" applyAlignment="1">
      <alignment horizontal="right" vertical="center"/>
    </xf>
    <xf numFmtId="0" fontId="5" fillId="0" borderId="1" xfId="0" applyNumberFormat="1" applyFont="1" applyBorder="1" applyAlignment="1">
      <alignment horizontal="center" vertical="center"/>
    </xf>
    <xf numFmtId="0" fontId="12" fillId="2" borderId="1" xfId="0" quotePrefix="1"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5" fillId="0" borderId="34"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6" fillId="0" borderId="1" xfId="0" applyNumberFormat="1" applyFont="1" applyBorder="1" applyAlignment="1">
      <alignment horizontal="left" vertical="center" wrapText="1" indent="1"/>
    </xf>
    <xf numFmtId="0" fontId="5" fillId="10" borderId="29" xfId="0" applyNumberFormat="1" applyFont="1" applyFill="1" applyBorder="1" applyAlignment="1">
      <alignment horizontal="left" vertical="center" indent="1"/>
    </xf>
    <xf numFmtId="0" fontId="5" fillId="10" borderId="14" xfId="0" applyNumberFormat="1" applyFont="1" applyFill="1" applyBorder="1" applyAlignment="1">
      <alignment horizontal="left" vertical="center" indent="1"/>
    </xf>
    <xf numFmtId="0" fontId="29" fillId="0" borderId="0" xfId="0" applyNumberFormat="1" applyFont="1" applyAlignment="1">
      <alignmen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2"/>
    </xf>
    <xf numFmtId="49" fontId="22" fillId="15" borderId="26" xfId="0" applyNumberFormat="1" applyFont="1" applyFill="1" applyBorder="1" applyAlignment="1">
      <alignment horizontal="left" vertical="center" wrapText="1"/>
    </xf>
    <xf numFmtId="49" fontId="5" fillId="0" borderId="0" xfId="0" applyNumberFormat="1" applyFont="1" applyAlignment="1"/>
    <xf numFmtId="49" fontId="24" fillId="18" borderId="29" xfId="0" applyNumberFormat="1" applyFont="1" applyFill="1" applyBorder="1" applyAlignment="1">
      <alignment horizontal="left" vertical="center" wrapText="1"/>
    </xf>
    <xf numFmtId="49" fontId="24" fillId="18" borderId="14" xfId="0" applyNumberFormat="1" applyFont="1" applyFill="1" applyBorder="1" applyAlignment="1">
      <alignment horizontal="left" vertical="center" wrapText="1"/>
    </xf>
    <xf numFmtId="0" fontId="3" fillId="7" borderId="35" xfId="0" applyNumberFormat="1" applyFont="1" applyFill="1" applyBorder="1" applyAlignment="1">
      <alignment horizontal="center" vertical="center" wrapText="1"/>
    </xf>
    <xf numFmtId="0"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xf>
    <xf numFmtId="0" fontId="5" fillId="0" borderId="0" xfId="0" applyNumberFormat="1" applyFont="1" applyAlignment="1">
      <alignment horizontal="left"/>
    </xf>
    <xf numFmtId="0" fontId="17" fillId="0" borderId="0" xfId="0" applyNumberFormat="1" applyFont="1" applyAlignment="1">
      <alignment horizontal="left" vertical="center" wrapText="1"/>
    </xf>
    <xf numFmtId="0" fontId="17" fillId="0" borderId="0" xfId="0" applyNumberFormat="1" applyFont="1" applyAlignment="1">
      <alignment horizontal="left" vertical="center"/>
    </xf>
    <xf numFmtId="0" fontId="1" fillId="0" borderId="0" xfId="0" applyNumberFormat="1" applyFont="1" applyAlignment="1"/>
    <xf numFmtId="0" fontId="17" fillId="13" borderId="0" xfId="0" applyNumberFormat="1" applyFont="1" applyFill="1" applyAlignment="1">
      <alignment vertical="center"/>
    </xf>
    <xf numFmtId="0" fontId="21" fillId="14" borderId="1"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wrapText="1"/>
      <protection locked="0"/>
    </xf>
    <xf numFmtId="0" fontId="5" fillId="15" borderId="20" xfId="0" applyNumberFormat="1" applyFont="1" applyFill="1" applyBorder="1" applyAlignment="1"/>
    <xf numFmtId="0" fontId="7" fillId="13" borderId="0" xfId="0" applyNumberFormat="1" applyFont="1" applyFill="1" applyAlignment="1">
      <alignment vertical="center"/>
    </xf>
    <xf numFmtId="49" fontId="3" fillId="8" borderId="2" xfId="0" applyNumberFormat="1" applyFont="1" applyFill="1" applyBorder="1" applyAlignment="1" applyProtection="1">
      <alignment horizontal="left" vertical="center" wrapText="1" indent="1"/>
      <protection locked="0"/>
    </xf>
    <xf numFmtId="49" fontId="3" fillId="16"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xf>
    <xf numFmtId="0" fontId="30" fillId="0" borderId="0" xfId="0" applyNumberFormat="1" applyFont="1" applyAlignment="1">
      <alignment vertical="center" wrapText="1"/>
    </xf>
    <xf numFmtId="0" fontId="31" fillId="0" borderId="0" xfId="0" applyNumberFormat="1" applyFont="1" applyAlignment="1">
      <alignment vertical="center"/>
    </xf>
    <xf numFmtId="0" fontId="3" fillId="16" borderId="2" xfId="0" applyNumberFormat="1" applyFont="1" applyFill="1" applyBorder="1" applyAlignment="1" applyProtection="1">
      <alignment horizontal="left" vertical="center" wrapText="1" indent="1"/>
      <protection locked="0"/>
    </xf>
    <xf numFmtId="0" fontId="3" fillId="16" borderId="2" xfId="0" applyNumberFormat="1" applyFont="1" applyFill="1" applyBorder="1" applyAlignment="1" applyProtection="1">
      <alignment horizontal="left" vertical="center" wrapText="1" indent="1"/>
      <protection locked="0"/>
    </xf>
    <xf numFmtId="0" fontId="3" fillId="8" borderId="2" xfId="0" applyNumberFormat="1" applyFont="1" applyFill="1" applyBorder="1" applyAlignment="1" applyProtection="1">
      <alignment horizontal="left" vertical="center" wrapText="1" indent="1"/>
      <protection locked="0"/>
    </xf>
    <xf numFmtId="49" fontId="5" fillId="16" borderId="2" xfId="0" applyNumberFormat="1" applyFont="1" applyFill="1" applyBorder="1" applyAlignment="1" applyProtection="1">
      <alignment horizontal="left" vertical="center" wrapText="1" indent="1"/>
      <protection locked="0"/>
    </xf>
    <xf numFmtId="49" fontId="5" fillId="10" borderId="2" xfId="0" applyNumberFormat="1" applyFont="1" applyFill="1" applyBorder="1" applyAlignment="1">
      <alignment horizontal="left" vertical="center" wrapText="1" indent="1"/>
    </xf>
    <xf numFmtId="49" fontId="3" fillId="0" borderId="14" xfId="0" applyNumberFormat="1" applyFont="1" applyBorder="1" applyAlignment="1">
      <alignment horizontal="right" vertical="center" wrapText="1" indent="1"/>
    </xf>
    <xf numFmtId="0" fontId="5" fillId="16" borderId="2" xfId="0" applyNumberFormat="1" applyFont="1" applyFill="1" applyBorder="1" applyAlignment="1" applyProtection="1">
      <alignment horizontal="left" vertical="center" wrapText="1" indent="1"/>
      <protection locked="0"/>
    </xf>
    <xf numFmtId="49" fontId="3" fillId="0" borderId="2" xfId="0" applyNumberFormat="1" applyFont="1" applyBorder="1" applyAlignment="1">
      <alignment horizontal="right" vertical="center" wrapText="1" indent="1"/>
    </xf>
    <xf numFmtId="49" fontId="22" fillId="15" borderId="27" xfId="0" applyNumberFormat="1" applyFont="1" applyFill="1" applyBorder="1" applyAlignment="1">
      <alignment horizontal="right" vertical="center" wrapText="1" indent="1"/>
    </xf>
    <xf numFmtId="0" fontId="5" fillId="10" borderId="2" xfId="0" applyNumberFormat="1" applyFont="1" applyFill="1" applyBorder="1" applyAlignment="1">
      <alignment horizontal="left" vertical="center" wrapText="1" indent="1"/>
    </xf>
    <xf numFmtId="0" fontId="3" fillId="10"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24" fillId="10" borderId="2" xfId="0" applyNumberFormat="1" applyFont="1" applyFill="1" applyBorder="1" applyAlignment="1">
      <alignment horizontal="left" vertical="center" wrapText="1" indent="1"/>
    </xf>
    <xf numFmtId="49" fontId="3" fillId="0" borderId="2" xfId="0" applyNumberFormat="1" applyFont="1" applyBorder="1" applyAlignment="1">
      <alignment horizontal="right" vertical="center" wrapText="1" indent="1"/>
    </xf>
    <xf numFmtId="0" fontId="3" fillId="8" borderId="2" xfId="0" applyNumberFormat="1" applyFont="1" applyFill="1" applyBorder="1" applyAlignment="1" applyProtection="1">
      <alignment horizontal="left" vertical="center" wrapText="1" indent="1"/>
      <protection locked="0"/>
    </xf>
    <xf numFmtId="14" fontId="5" fillId="8" borderId="2" xfId="0" applyNumberFormat="1" applyFont="1" applyFill="1" applyBorder="1" applyAlignment="1" applyProtection="1">
      <alignment horizontal="left" vertical="center" wrapText="1" indent="1"/>
      <protection locked="0"/>
    </xf>
    <xf numFmtId="49" fontId="32" fillId="8" borderId="2" xfId="0" applyNumberFormat="1" applyFont="1" applyFill="1" applyBorder="1" applyAlignment="1" applyProtection="1">
      <alignment horizontal="left" vertical="center" wrapText="1" indent="1"/>
      <protection locked="0"/>
    </xf>
    <xf numFmtId="0" fontId="5" fillId="0" borderId="36" xfId="0" applyNumberFormat="1" applyFont="1" applyBorder="1" applyAlignment="1"/>
    <xf numFmtId="0" fontId="17" fillId="0" borderId="36" xfId="0" applyNumberFormat="1" applyFont="1" applyBorder="1" applyAlignment="1">
      <alignment vertical="center"/>
    </xf>
    <xf numFmtId="169" fontId="5" fillId="8" borderId="30" xfId="0" applyNumberFormat="1" applyFont="1" applyFill="1" applyBorder="1" applyAlignment="1" applyProtection="1">
      <alignment horizontal="right" vertical="center"/>
      <protection locked="0"/>
    </xf>
    <xf numFmtId="49" fontId="3" fillId="10" borderId="1" xfId="0" applyNumberFormat="1" applyFont="1" applyFill="1" applyBorder="1" applyAlignment="1">
      <alignment horizontal="left" vertical="center" wrapText="1" indent="1"/>
    </xf>
    <xf numFmtId="49" fontId="30" fillId="0" borderId="0" xfId="0" applyNumberFormat="1" applyFont="1">
      <alignment vertical="top"/>
    </xf>
    <xf numFmtId="49" fontId="24" fillId="18" borderId="28" xfId="0" applyNumberFormat="1" applyFont="1" applyFill="1" applyBorder="1" applyAlignment="1">
      <alignment horizontal="left" vertical="center"/>
    </xf>
    <xf numFmtId="4" fontId="5" fillId="0" borderId="31" xfId="0" applyNumberFormat="1" applyFont="1" applyBorder="1" applyAlignment="1">
      <alignment horizontal="right" vertical="center"/>
    </xf>
    <xf numFmtId="0" fontId="7" fillId="19" borderId="0" xfId="0" applyNumberFormat="1" applyFont="1" applyFill="1" applyAlignment="1">
      <alignment vertical="center" wrapText="1"/>
    </xf>
    <xf numFmtId="0" fontId="7" fillId="20" borderId="0" xfId="0" applyNumberFormat="1" applyFont="1" applyFill="1" applyAlignment="1">
      <alignment vertical="center" wrapText="1"/>
    </xf>
    <xf numFmtId="0" fontId="7" fillId="20" borderId="0" xfId="0" applyNumberFormat="1" applyFont="1" applyFill="1" applyAlignment="1">
      <alignment vertical="center"/>
    </xf>
    <xf numFmtId="0" fontId="7" fillId="20" borderId="0" xfId="0" applyNumberFormat="1" applyFont="1" applyFill="1" applyAlignment="1">
      <alignment vertical="center"/>
    </xf>
    <xf numFmtId="0" fontId="33" fillId="0" borderId="0" xfId="0" applyNumberFormat="1" applyFont="1" applyAlignment="1">
      <alignment horizontal="left" vertical="center"/>
    </xf>
    <xf numFmtId="49" fontId="19" fillId="11" borderId="0" xfId="0" applyNumberFormat="1" applyFont="1" applyFill="1" applyAlignment="1">
      <alignment horizontal="center" vertical="top"/>
    </xf>
    <xf numFmtId="49" fontId="7" fillId="12" borderId="0" xfId="0" applyNumberFormat="1" applyFont="1" applyFill="1" applyAlignment="1">
      <alignment horizontal="right"/>
    </xf>
    <xf numFmtId="0" fontId="3" fillId="0" borderId="0" xfId="0" applyNumberFormat="1" applyFont="1">
      <alignment vertical="top"/>
    </xf>
    <xf numFmtId="49" fontId="32" fillId="8"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indent="1"/>
    </xf>
    <xf numFmtId="49" fontId="3" fillId="16" borderId="2" xfId="0" applyNumberFormat="1" applyFont="1" applyFill="1" applyBorder="1" applyAlignment="1">
      <alignment horizontal="left" vertical="center" wrapText="1" indent="1"/>
    </xf>
    <xf numFmtId="171" fontId="5" fillId="16" borderId="2" xfId="0" applyNumberFormat="1" applyFont="1" applyFill="1" applyBorder="1" applyAlignment="1" applyProtection="1">
      <alignment horizontal="left" vertical="center" wrapText="1" indent="1"/>
      <protection locked="0"/>
    </xf>
    <xf numFmtId="49" fontId="34" fillId="0" borderId="0" xfId="0" applyNumberFormat="1" applyFont="1" applyAlignment="1">
      <alignment horizontal="center" vertical="center" wrapText="1"/>
    </xf>
    <xf numFmtId="0" fontId="35" fillId="0" borderId="0" xfId="0" applyNumberFormat="1" applyFont="1" applyAlignment="1">
      <alignment wrapText="1"/>
    </xf>
    <xf numFmtId="49" fontId="36" fillId="0" borderId="0" xfId="0" applyNumberFormat="1" applyFont="1" applyAlignment="1">
      <alignment wrapText="1"/>
    </xf>
    <xf numFmtId="49" fontId="7" fillId="7" borderId="0" xfId="0" applyNumberFormat="1" applyFont="1" applyFill="1" applyAlignment="1">
      <alignment vertical="center" wrapText="1"/>
    </xf>
    <xf numFmtId="49" fontId="10" fillId="21" borderId="0" xfId="0" applyNumberFormat="1" applyFont="1" applyFill="1" applyAlignment="1">
      <alignment vertical="center" wrapText="1"/>
    </xf>
    <xf numFmtId="49" fontId="3" fillId="0" borderId="0" xfId="0" applyNumberFormat="1" applyFont="1" applyAlignment="1">
      <alignment vertical="center"/>
    </xf>
    <xf numFmtId="0" fontId="3" fillId="0" borderId="0" xfId="0" applyNumberFormat="1" applyFont="1" applyAlignment="1"/>
    <xf numFmtId="0" fontId="0" fillId="0" borderId="0" xfId="0" applyNumberFormat="1" applyFont="1" applyAlignment="1">
      <alignment horizontal="center" vertical="center"/>
    </xf>
    <xf numFmtId="0" fontId="0" fillId="0" borderId="0" xfId="0" applyNumberFormat="1" applyFont="1" applyAlignment="1">
      <alignment horizontal="center"/>
    </xf>
    <xf numFmtId="0" fontId="0" fillId="0" borderId="0" xfId="0" applyNumberFormat="1" applyFont="1" applyAlignment="1">
      <alignment horizontal="center" vertical="center" wrapText="1"/>
    </xf>
    <xf numFmtId="49" fontId="0" fillId="0" borderId="0" xfId="0" applyNumberFormat="1" applyFont="1" applyAlignment="1">
      <alignment horizontal="center" vertical="top"/>
    </xf>
    <xf numFmtId="0" fontId="15" fillId="0" borderId="0" xfId="0" applyNumberFormat="1" applyFont="1" applyAlignment="1">
      <alignment horizontal="center"/>
    </xf>
    <xf numFmtId="0" fontId="33" fillId="0" borderId="0" xfId="0" applyNumberFormat="1" applyFont="1" applyAlignment="1">
      <alignment horizontal="center" vertical="center"/>
    </xf>
    <xf numFmtId="0" fontId="33"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37" fillId="0" borderId="0" xfId="0" applyNumberFormat="1" applyFont="1" applyAlignment="1">
      <alignment horizontal="center" vertical="center"/>
    </xf>
    <xf numFmtId="49" fontId="38" fillId="0" borderId="0" xfId="0" applyNumberFormat="1" applyFont="1" applyAlignment="1">
      <alignment horizontal="center" wrapText="1"/>
    </xf>
    <xf numFmtId="0" fontId="39" fillId="0" borderId="0" xfId="0" applyNumberFormat="1" applyFont="1" applyAlignment="1">
      <alignment horizontal="center"/>
    </xf>
    <xf numFmtId="0" fontId="40" fillId="0" borderId="0" xfId="0" applyNumberFormat="1" applyFont="1" applyAlignment="1">
      <alignment horizontal="center" vertical="top" wrapText="1"/>
    </xf>
    <xf numFmtId="49" fontId="0" fillId="0" borderId="0" xfId="0" applyNumberFormat="1" applyFont="1" applyAlignment="1">
      <alignment horizontal="center" vertical="center" wrapText="1"/>
    </xf>
    <xf numFmtId="0" fontId="33" fillId="0" borderId="0" xfId="0" applyNumberFormat="1" applyFont="1" applyAlignment="1">
      <alignment horizontal="center"/>
    </xf>
    <xf numFmtId="0" fontId="37" fillId="0" borderId="0" xfId="0" applyNumberFormat="1" applyFont="1" applyAlignment="1">
      <alignment horizontal="center"/>
    </xf>
    <xf numFmtId="0" fontId="0" fillId="0" borderId="0" xfId="0" applyNumberFormat="1" applyFont="1" applyAlignment="1">
      <alignment horizontal="center"/>
    </xf>
    <xf numFmtId="0" fontId="0" fillId="0" borderId="0" xfId="0" applyNumberFormat="1" applyFont="1" applyAlignment="1">
      <alignment horizontal="center" wrapText="1"/>
    </xf>
    <xf numFmtId="0" fontId="40" fillId="0" borderId="0" xfId="0" applyNumberFormat="1" applyFont="1" applyAlignment="1">
      <alignment horizontal="center"/>
    </xf>
    <xf numFmtId="0" fontId="0" fillId="5" borderId="0" xfId="0" applyNumberFormat="1" applyFont="1" applyFill="1" applyAlignment="1">
      <alignment horizontal="center" vertical="center"/>
    </xf>
    <xf numFmtId="0" fontId="0" fillId="5" borderId="0" xfId="0" applyNumberFormat="1" applyFont="1" applyFill="1" applyAlignment="1">
      <alignment horizontal="center"/>
    </xf>
    <xf numFmtId="0" fontId="0" fillId="5" borderId="0" xfId="0" applyNumberFormat="1" applyFont="1" applyFill="1" applyAlignment="1">
      <alignment horizontal="center"/>
    </xf>
    <xf numFmtId="0" fontId="41" fillId="0" borderId="0" xfId="0" applyNumberFormat="1" applyFont="1" applyAlignment="1"/>
    <xf numFmtId="49" fontId="3" fillId="0" borderId="0" xfId="0" applyNumberFormat="1" applyFont="1" applyAlignment="1">
      <alignment vertical="center"/>
    </xf>
    <xf numFmtId="0" fontId="41" fillId="0" borderId="4" xfId="0" applyNumberFormat="1" applyFont="1" applyBorder="1" applyAlignment="1">
      <alignment vertical="center"/>
    </xf>
    <xf numFmtId="49" fontId="42" fillId="0" borderId="0" xfId="0" applyNumberFormat="1" applyFont="1" applyAlignment="1">
      <alignment horizontal="center" vertical="center" wrapText="1"/>
    </xf>
    <xf numFmtId="0" fontId="3" fillId="0" borderId="1" xfId="0" applyNumberFormat="1" applyFont="1" applyBorder="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0" fontId="3" fillId="16" borderId="1" xfId="0" applyNumberFormat="1" applyFont="1" applyFill="1" applyBorder="1" applyAlignment="1" applyProtection="1">
      <alignment horizontal="left" vertical="center" wrapText="1" indent="1"/>
      <protection locked="0"/>
    </xf>
    <xf numFmtId="0" fontId="3" fillId="16" borderId="1" xfId="0" applyNumberFormat="1" applyFont="1" applyFill="1" applyBorder="1" applyAlignment="1" applyProtection="1">
      <alignment horizontal="left" vertical="center" wrapText="1" indent="1"/>
      <protection locked="0"/>
    </xf>
    <xf numFmtId="49" fontId="19" fillId="11" borderId="0" xfId="0" applyNumberFormat="1" applyFont="1" applyFill="1" applyAlignment="1">
      <alignment horizontal="center" vertical="center"/>
    </xf>
    <xf numFmtId="49" fontId="7" fillId="12" borderId="0" xfId="0" applyNumberFormat="1" applyFont="1" applyFill="1" applyAlignment="1">
      <alignment vertical="center" wrapText="1"/>
    </xf>
    <xf numFmtId="49" fontId="5" fillId="8" borderId="2" xfId="0" applyNumberFormat="1" applyFont="1" applyFill="1" applyBorder="1" applyAlignment="1" applyProtection="1">
      <alignment horizontal="left" vertical="center" wrapText="1" indent="1"/>
      <protection locked="0"/>
    </xf>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2" borderId="1" xfId="0" quotePrefix="1" applyNumberFormat="1" applyFont="1" applyFill="1" applyBorder="1" applyAlignment="1">
      <alignment vertical="center" wrapText="1"/>
    </xf>
    <xf numFmtId="0" fontId="5" fillId="22" borderId="0" xfId="0" applyNumberFormat="1" applyFont="1" applyFill="1" applyAlignment="1">
      <alignment horizontal="center" vertical="center"/>
    </xf>
    <xf numFmtId="49" fontId="3" fillId="22" borderId="0" xfId="0" applyNumberFormat="1" applyFont="1" applyFill="1" applyAlignment="1">
      <alignment horizontal="center" vertical="center"/>
    </xf>
    <xf numFmtId="0" fontId="3" fillId="22" borderId="0" xfId="0" applyNumberFormat="1" applyFont="1" applyFill="1" applyAlignment="1">
      <alignment horizontal="center" vertical="center"/>
    </xf>
    <xf numFmtId="0" fontId="3" fillId="0" borderId="0" xfId="0" applyNumberFormat="1" applyFont="1" applyAlignment="1">
      <alignment vertical="center" wrapText="1"/>
    </xf>
    <xf numFmtId="0" fontId="3" fillId="0" borderId="0" xfId="0" applyNumberFormat="1" applyFont="1">
      <alignment vertical="top"/>
    </xf>
    <xf numFmtId="0" fontId="43" fillId="0" borderId="0" xfId="0" applyNumberFormat="1" applyFont="1" applyAlignment="1">
      <alignment wrapText="1"/>
    </xf>
    <xf numFmtId="0" fontId="3" fillId="0" borderId="0" xfId="0" applyNumberFormat="1" applyFont="1" applyAlignment="1">
      <alignment horizontal="center" vertical="center" wrapText="1"/>
    </xf>
    <xf numFmtId="0" fontId="3" fillId="0" borderId="0" xfId="0" applyNumberFormat="1" applyFont="1" applyAlignment="1">
      <alignment horizontal="center" wrapText="1"/>
    </xf>
    <xf numFmtId="0" fontId="3" fillId="0" borderId="0" xfId="0" applyNumberFormat="1" applyFont="1" applyAlignment="1">
      <alignment vertical="center" wrapText="1"/>
    </xf>
    <xf numFmtId="0" fontId="3" fillId="0" borderId="0" xfId="0" applyNumberFormat="1" applyFont="1" applyAlignment="1"/>
    <xf numFmtId="0" fontId="30" fillId="0" borderId="0" xfId="0" applyNumberFormat="1" applyFont="1" applyAlignment="1">
      <alignment horizontal="center" vertical="center"/>
    </xf>
    <xf numFmtId="0" fontId="31"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44" fillId="0" borderId="0" xfId="0" applyNumberFormat="1" applyFont="1" applyAlignment="1">
      <alignment vertical="center" wrapText="1"/>
    </xf>
    <xf numFmtId="0" fontId="44" fillId="0" borderId="0" xfId="0" applyNumberFormat="1" applyFont="1" applyAlignment="1">
      <alignment vertical="center"/>
    </xf>
    <xf numFmtId="0" fontId="45" fillId="0" borderId="0" xfId="0" applyNumberFormat="1" applyFont="1" applyAlignment="1">
      <alignment vertical="center"/>
    </xf>
    <xf numFmtId="0" fontId="46" fillId="0" borderId="0" xfId="0" applyNumberFormat="1" applyFont="1" applyAlignment="1">
      <alignment vertical="center"/>
    </xf>
    <xf numFmtId="0" fontId="3" fillId="0" borderId="0" xfId="0" applyNumberFormat="1" applyFont="1">
      <alignment vertical="top"/>
    </xf>
    <xf numFmtId="0" fontId="13" fillId="0" borderId="0" xfId="0" applyNumberFormat="1" applyFont="1" applyAlignment="1">
      <alignment horizontal="center"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wrapText="1"/>
    </xf>
    <xf numFmtId="49" fontId="13" fillId="0" borderId="0" xfId="0" applyNumberFormat="1" applyFont="1">
      <alignment vertical="top"/>
    </xf>
    <xf numFmtId="0" fontId="3" fillId="0" borderId="0" xfId="0" applyNumberFormat="1" applyFont="1" applyAlignment="1"/>
    <xf numFmtId="0" fontId="5" fillId="0" borderId="0" xfId="0" applyNumberFormat="1" applyFont="1" applyAlignment="1">
      <alignment vertical="center"/>
    </xf>
    <xf numFmtId="0" fontId="6" fillId="0" borderId="14" xfId="0" applyNumberFormat="1" applyFont="1" applyBorder="1" applyAlignment="1">
      <alignment horizontal="right" vertical="center" wrapText="1" indent="1"/>
    </xf>
    <xf numFmtId="0" fontId="24" fillId="0" borderId="2" xfId="0" applyNumberFormat="1" applyFont="1" applyBorder="1" applyAlignment="1">
      <alignment horizontal="left" vertical="center" wrapText="1" indent="1"/>
    </xf>
    <xf numFmtId="49" fontId="22" fillId="15" borderId="23" xfId="0" applyNumberFormat="1" applyFont="1" applyFill="1" applyBorder="1" applyAlignment="1">
      <alignment horizontal="right" vertical="center" wrapText="1" indent="1"/>
    </xf>
    <xf numFmtId="0" fontId="3" fillId="0" borderId="0" xfId="0" applyNumberFormat="1" applyFont="1" applyAlignment="1">
      <alignment vertical="center"/>
    </xf>
    <xf numFmtId="0" fontId="13" fillId="0" borderId="0" xfId="0" applyNumberFormat="1" applyFont="1" applyAlignment="1">
      <alignment horizontal="left" vertical="center"/>
    </xf>
    <xf numFmtId="0" fontId="5" fillId="5" borderId="0" xfId="0" applyNumberFormat="1" applyFont="1" applyFill="1" applyAlignment="1"/>
    <xf numFmtId="0" fontId="13" fillId="0" borderId="0" xfId="0" applyNumberFormat="1" applyFont="1" applyAlignment="1">
      <alignment horizontal="center"/>
    </xf>
    <xf numFmtId="0" fontId="47" fillId="0" borderId="0" xfId="0" applyNumberFormat="1" applyFont="1" applyAlignment="1"/>
    <xf numFmtId="0" fontId="48" fillId="0" borderId="0" xfId="0" applyNumberFormat="1" applyFont="1" applyAlignment="1">
      <alignment vertical="center"/>
    </xf>
    <xf numFmtId="0" fontId="3" fillId="0" borderId="0" xfId="0" applyNumberFormat="1" applyFont="1">
      <alignment vertical="top"/>
    </xf>
    <xf numFmtId="0" fontId="3" fillId="5" borderId="0" xfId="0" applyNumberFormat="1" applyFont="1" applyFill="1" applyAlignment="1">
      <alignment horizontal="center"/>
    </xf>
    <xf numFmtId="0" fontId="3" fillId="22" borderId="0" xfId="0" applyNumberFormat="1" applyFont="1" applyFill="1" applyAlignment="1">
      <alignment horizontal="center" vertical="center"/>
    </xf>
    <xf numFmtId="49" fontId="5" fillId="22" borderId="0" xfId="0" applyNumberFormat="1" applyFont="1" applyFill="1" applyAlignment="1">
      <alignment horizontal="center" vertical="center"/>
    </xf>
    <xf numFmtId="0" fontId="3" fillId="22" borderId="0" xfId="0" applyNumberFormat="1" applyFont="1" applyFill="1" applyAlignment="1">
      <alignment horizontal="left" vertical="center"/>
    </xf>
    <xf numFmtId="0" fontId="3" fillId="0" borderId="0" xfId="0" applyNumberFormat="1" applyFont="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wrapText="1"/>
    </xf>
    <xf numFmtId="0" fontId="5" fillId="0" borderId="0" xfId="0" applyNumberFormat="1" applyFont="1" applyAlignment="1">
      <alignment vertical="center" wrapText="1"/>
    </xf>
    <xf numFmtId="49" fontId="5"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5" fillId="0" borderId="0" xfId="0" applyNumberFormat="1" applyFont="1" applyAlignment="1">
      <alignment horizontal="center" vertical="center"/>
    </xf>
    <xf numFmtId="49" fontId="3" fillId="0" borderId="0" xfId="0" applyNumberFormat="1" applyFont="1" applyAlignment="1">
      <alignment horizontal="center" vertical="center"/>
    </xf>
    <xf numFmtId="49" fontId="22" fillId="15" borderId="9" xfId="0" applyNumberFormat="1" applyFont="1" applyFill="1" applyBorder="1" applyAlignment="1">
      <alignment vertical="center"/>
    </xf>
    <xf numFmtId="49" fontId="3" fillId="0" borderId="2" xfId="0" applyNumberFormat="1" applyFont="1" applyBorder="1" applyAlignment="1">
      <alignment horizontal="center" vertical="center" wrapText="1"/>
    </xf>
    <xf numFmtId="0" fontId="5" fillId="0" borderId="0" xfId="0" applyNumberFormat="1" applyFont="1" applyAlignment="1">
      <alignment vertical="center"/>
    </xf>
    <xf numFmtId="0" fontId="5" fillId="0" borderId="0" xfId="0" applyNumberFormat="1" applyFont="1" applyAlignment="1"/>
    <xf numFmtId="0" fontId="5" fillId="0" borderId="0" xfId="0" applyNumberFormat="1" applyFont="1" applyAlignment="1">
      <alignment horizontal="left" vertical="center"/>
    </xf>
    <xf numFmtId="0" fontId="5" fillId="0" borderId="1" xfId="0" applyNumberFormat="1" applyFont="1" applyBorder="1" applyAlignment="1">
      <alignment horizontal="center" vertical="center" wrapText="1"/>
    </xf>
    <xf numFmtId="0" fontId="3" fillId="0" borderId="0" xfId="0" applyNumberFormat="1" applyFont="1" applyAlignment="1">
      <alignment horizontal="center" vertical="center"/>
    </xf>
    <xf numFmtId="49" fontId="3" fillId="0" borderId="0" xfId="0" applyNumberFormat="1" applyFont="1" applyAlignment="1">
      <alignment horizontal="center" vertical="center"/>
    </xf>
    <xf numFmtId="0" fontId="3" fillId="0" borderId="0" xfId="0" applyNumberFormat="1" applyFont="1" applyAlignment="1">
      <alignment horizontal="center"/>
    </xf>
    <xf numFmtId="0" fontId="3" fillId="0" borderId="0" xfId="0" applyNumberFormat="1" applyFont="1" applyAlignment="1">
      <alignment horizontal="left" vertical="center"/>
    </xf>
    <xf numFmtId="0" fontId="6" fillId="0" borderId="0" xfId="0" applyNumberFormat="1" applyFont="1" applyAlignment="1">
      <alignment horizontal="center"/>
    </xf>
    <xf numFmtId="0" fontId="6" fillId="0" borderId="0" xfId="0" applyNumberFormat="1" applyFont="1" applyAlignment="1"/>
    <xf numFmtId="49" fontId="3" fillId="0" borderId="2" xfId="0" applyNumberFormat="1"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NumberFormat="1" applyFont="1" applyBorder="1" applyAlignment="1">
      <alignment horizontal="center" vertical="center" wrapText="1"/>
    </xf>
    <xf numFmtId="49" fontId="3" fillId="0" borderId="37" xfId="0" applyNumberFormat="1" applyFont="1" applyBorder="1" applyAlignment="1">
      <alignment horizontal="left" vertical="center" wrapText="1" indent="1"/>
    </xf>
    <xf numFmtId="169" fontId="3" fillId="10" borderId="2" xfId="0" applyNumberFormat="1" applyFont="1" applyFill="1" applyBorder="1" applyAlignment="1">
      <alignment horizontal="right" vertical="center" wrapText="1"/>
    </xf>
    <xf numFmtId="49" fontId="6" fillId="0" borderId="2" xfId="0" applyNumberFormat="1" applyFont="1" applyBorder="1" applyAlignment="1">
      <alignment horizontal="left"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0" fontId="3" fillId="0" borderId="0" xfId="0" applyNumberFormat="1" applyFont="1" applyAlignment="1">
      <alignment horizontal="center" vertical="center"/>
    </xf>
    <xf numFmtId="0" fontId="3" fillId="0" borderId="0" xfId="0" applyNumberFormat="1" applyFont="1" applyAlignment="1">
      <alignment vertical="center" wrapText="1"/>
    </xf>
    <xf numFmtId="4" fontId="3" fillId="0" borderId="0" xfId="0" applyNumberFormat="1" applyFont="1" applyAlignment="1">
      <alignment horizontal="center" vertical="center"/>
    </xf>
    <xf numFmtId="0" fontId="0" fillId="0" borderId="0" xfId="0" applyNumberFormat="1" applyFont="1" applyAlignment="1"/>
    <xf numFmtId="0" fontId="3" fillId="5" borderId="0" xfId="0" applyNumberFormat="1" applyFont="1" applyFill="1" applyAlignment="1">
      <alignment horizontal="center"/>
    </xf>
    <xf numFmtId="0" fontId="5" fillId="0" borderId="0" xfId="0" applyNumberFormat="1" applyFont="1" applyAlignment="1">
      <alignment vertical="center"/>
    </xf>
    <xf numFmtId="49" fontId="24" fillId="0" borderId="4" xfId="0" applyNumberFormat="1" applyFont="1" applyBorder="1" applyAlignment="1">
      <alignment vertical="center" wrapText="1"/>
    </xf>
    <xf numFmtId="0" fontId="5" fillId="0" borderId="1" xfId="0" applyNumberFormat="1" applyFont="1" applyBorder="1" applyAlignment="1">
      <alignment horizontal="center" vertical="center" wrapText="1"/>
    </xf>
    <xf numFmtId="169" fontId="21" fillId="14" borderId="9" xfId="0" applyNumberFormat="1" applyFont="1" applyFill="1" applyBorder="1" applyAlignment="1">
      <alignment horizontal="right" vertical="center"/>
    </xf>
    <xf numFmtId="169" fontId="0" fillId="10" borderId="2" xfId="0" applyNumberFormat="1" applyFont="1" applyFill="1" applyBorder="1" applyAlignment="1">
      <alignment vertical="center" wrapText="1"/>
    </xf>
    <xf numFmtId="49" fontId="6" fillId="0" borderId="2" xfId="0" applyNumberFormat="1" applyFont="1" applyBorder="1" applyAlignment="1">
      <alignment horizontal="left" vertical="center" wrapText="1" shrinkToFit="1"/>
    </xf>
    <xf numFmtId="49" fontId="6"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indent="3" shrinkToFit="1"/>
    </xf>
    <xf numFmtId="49" fontId="3" fillId="0" borderId="2" xfId="0" applyNumberFormat="1" applyFont="1" applyBorder="1" applyAlignment="1">
      <alignment horizontal="left" vertical="center" wrapText="1" indent="4" shrinkToFit="1"/>
    </xf>
    <xf numFmtId="49" fontId="3" fillId="0" borderId="2" xfId="0" applyNumberFormat="1" applyFont="1" applyBorder="1" applyAlignment="1">
      <alignment horizontal="left" vertical="center" wrapText="1" indent="3"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0" fontId="5" fillId="0" borderId="0" xfId="0" applyNumberFormat="1" applyFont="1" applyAlignment="1">
      <alignment vertical="center"/>
    </xf>
    <xf numFmtId="0" fontId="5"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vertical="center" wrapText="1"/>
    </xf>
    <xf numFmtId="4" fontId="5" fillId="8" borderId="1" xfId="0" applyNumberFormat="1" applyFont="1" applyFill="1" applyBorder="1" applyAlignment="1" applyProtection="1">
      <alignment horizontal="right" vertical="center" wrapText="1"/>
      <protection locked="0"/>
    </xf>
    <xf numFmtId="0" fontId="5" fillId="0" borderId="0" xfId="0" applyNumberFormat="1" applyFont="1" applyAlignment="1">
      <alignment vertical="center"/>
    </xf>
    <xf numFmtId="49" fontId="6" fillId="0" borderId="29" xfId="0" applyNumberFormat="1" applyFont="1" applyBorder="1" applyAlignment="1">
      <alignment vertical="center" wrapText="1"/>
    </xf>
    <xf numFmtId="49" fontId="3" fillId="0" borderId="2" xfId="0" applyNumberFormat="1" applyFont="1" applyBorder="1" applyAlignment="1">
      <alignment horizontal="left" vertical="center" wrapText="1" shrinkToFit="1"/>
    </xf>
    <xf numFmtId="0" fontId="3" fillId="0" borderId="2" xfId="0" applyNumberFormat="1" applyFont="1" applyBorder="1" applyAlignment="1">
      <alignment horizontal="left" vertical="center" wrapText="1" indent="1" shrinkToFit="1"/>
    </xf>
    <xf numFmtId="49" fontId="3" fillId="0" borderId="0" xfId="0" applyNumberFormat="1" applyFont="1" applyAlignment="1"/>
    <xf numFmtId="49" fontId="3" fillId="0" borderId="0" xfId="0" applyNumberFormat="1" applyFont="1" applyAlignment="1">
      <alignment horizontal="center" vertical="top"/>
    </xf>
    <xf numFmtId="49" fontId="22" fillId="0" borderId="34" xfId="0" applyNumberFormat="1" applyFont="1" applyBorder="1" applyAlignment="1">
      <alignment horizontal="left" vertical="center" wrapText="1"/>
    </xf>
    <xf numFmtId="49" fontId="22" fillId="0" borderId="38" xfId="0" applyNumberFormat="1" applyFont="1" applyBorder="1" applyAlignment="1">
      <alignment horizontal="left" vertical="center" wrapText="1"/>
    </xf>
    <xf numFmtId="49" fontId="22" fillId="0" borderId="39" xfId="0" applyNumberFormat="1" applyFont="1" applyBorder="1" applyAlignment="1">
      <alignment horizontal="left" vertical="center" wrapText="1"/>
    </xf>
    <xf numFmtId="0" fontId="3" fillId="0" borderId="0" xfId="0" applyNumberFormat="1" applyFont="1" applyAlignment="1"/>
    <xf numFmtId="0" fontId="3" fillId="0" borderId="0" xfId="0" applyNumberFormat="1" applyFont="1" applyAlignment="1">
      <alignment vertical="center" wrapText="1"/>
    </xf>
    <xf numFmtId="0" fontId="3" fillId="10" borderId="9" xfId="0" applyNumberFormat="1" applyFont="1" applyFill="1" applyBorder="1" applyAlignment="1">
      <alignment horizontal="left" vertical="center"/>
    </xf>
    <xf numFmtId="0" fontId="7" fillId="23" borderId="0" xfId="0" applyNumberFormat="1" applyFont="1" applyFill="1" applyAlignment="1">
      <alignment vertical="center"/>
    </xf>
    <xf numFmtId="0" fontId="7" fillId="12" borderId="0" xfId="0" applyNumberFormat="1" applyFont="1" applyFill="1" applyAlignment="1">
      <alignment vertical="center"/>
    </xf>
    <xf numFmtId="49" fontId="48" fillId="23" borderId="0" xfId="0" applyNumberFormat="1" applyFont="1" applyFill="1" applyAlignment="1">
      <alignment vertical="center" wrapText="1"/>
    </xf>
    <xf numFmtId="0" fontId="5" fillId="0" borderId="14" xfId="0" applyNumberFormat="1" applyFont="1" applyBorder="1" applyAlignment="1">
      <alignment vertical="center" wrapText="1"/>
    </xf>
    <xf numFmtId="10" fontId="5" fillId="8" borderId="2" xfId="0" applyNumberFormat="1" applyFont="1" applyFill="1" applyBorder="1" applyAlignment="1" applyProtection="1">
      <alignment horizontal="right" vertical="center"/>
      <protection locked="0"/>
    </xf>
    <xf numFmtId="0" fontId="5" fillId="0" borderId="38"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1" fillId="0" borderId="0" xfId="0" applyNumberFormat="1" applyFont="1" applyAlignment="1"/>
    <xf numFmtId="0" fontId="17" fillId="0" borderId="0" xfId="0" applyNumberFormat="1" applyFont="1" applyAlignment="1">
      <alignment vertical="center"/>
    </xf>
    <xf numFmtId="0" fontId="5" fillId="0" borderId="0" xfId="0" applyNumberFormat="1" applyFont="1" applyAlignment="1">
      <alignment vertical="center"/>
    </xf>
    <xf numFmtId="0" fontId="12" fillId="0" borderId="0" xfId="0" applyNumberFormat="1" applyFont="1" applyAlignment="1">
      <alignment horizontal="left" vertical="center"/>
    </xf>
    <xf numFmtId="49" fontId="24" fillId="0" borderId="4" xfId="0" quotePrefix="1" applyNumberFormat="1" applyFont="1" applyBorder="1" applyAlignment="1">
      <alignment horizontal="left" vertical="center" indent="1"/>
    </xf>
    <xf numFmtId="49" fontId="18" fillId="0" borderId="4" xfId="0" applyNumberFormat="1" applyFont="1" applyBorder="1" applyAlignment="1">
      <alignment vertical="center"/>
    </xf>
    <xf numFmtId="49" fontId="18" fillId="0" borderId="0" xfId="0" applyNumberFormat="1" applyFont="1" applyAlignment="1">
      <alignment horizontal="left" vertical="center" wrapText="1" indent="4"/>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21" fillId="14" borderId="0" xfId="0" applyNumberFormat="1" applyFont="1" applyFill="1" applyAlignment="1">
      <alignment horizontal="left" vertical="center"/>
    </xf>
    <xf numFmtId="0" fontId="5" fillId="0" borderId="0" xfId="0" applyNumberFormat="1" applyFont="1" applyAlignment="1"/>
    <xf numFmtId="0" fontId="2" fillId="0" borderId="0" xfId="0" applyNumberFormat="1" applyFont="1" applyAlignment="1"/>
    <xf numFmtId="0" fontId="6" fillId="0" borderId="1" xfId="0" applyNumberFormat="1" applyFont="1" applyBorder="1" applyAlignment="1">
      <alignment vertical="center" wrapText="1"/>
    </xf>
    <xf numFmtId="0" fontId="6" fillId="0" borderId="1" xfId="0" applyNumberFormat="1" applyFont="1" applyBorder="1" applyAlignment="1">
      <alignment horizontal="center" vertical="center" wrapText="1"/>
    </xf>
    <xf numFmtId="0" fontId="17" fillId="0" borderId="0" xfId="0" applyNumberFormat="1" applyFont="1" applyAlignment="1">
      <alignment horizontal="center" vertical="center"/>
    </xf>
    <xf numFmtId="0" fontId="17" fillId="0" borderId="0" xfId="0" applyNumberFormat="1" applyFont="1" applyAlignment="1">
      <alignment vertical="center" wrapText="1"/>
    </xf>
    <xf numFmtId="0" fontId="5" fillId="15" borderId="9" xfId="0" applyNumberFormat="1" applyFont="1" applyFill="1" applyBorder="1" applyAlignment="1">
      <alignment vertical="center" wrapText="1"/>
    </xf>
    <xf numFmtId="0" fontId="5" fillId="15" borderId="20" xfId="0" applyNumberFormat="1" applyFont="1" applyFill="1" applyBorder="1" applyAlignment="1">
      <alignment vertical="center" wrapText="1"/>
    </xf>
    <xf numFmtId="0" fontId="5" fillId="0" borderId="37" xfId="0" applyNumberFormat="1" applyFont="1" applyBorder="1" applyAlignment="1">
      <alignment horizontal="center" vertical="center" wrapText="1"/>
    </xf>
    <xf numFmtId="0" fontId="5" fillId="16" borderId="14" xfId="0" applyNumberFormat="1" applyFont="1" applyFill="1" applyBorder="1" applyAlignment="1" applyProtection="1">
      <alignment horizontal="left" vertical="center" wrapText="1" indent="1"/>
      <protection locked="0"/>
    </xf>
    <xf numFmtId="49" fontId="3" fillId="0" borderId="40" xfId="0" applyNumberFormat="1" applyFont="1" applyBorder="1" applyAlignment="1">
      <alignment horizontal="right" vertical="center" wrapText="1" indent="1"/>
    </xf>
    <xf numFmtId="49" fontId="3" fillId="0" borderId="37" xfId="0" applyNumberFormat="1" applyFont="1" applyBorder="1" applyAlignment="1">
      <alignment horizontal="center" vertical="center"/>
    </xf>
    <xf numFmtId="0" fontId="3" fillId="0" borderId="37" xfId="0" applyNumberFormat="1" applyFont="1" applyBorder="1" applyAlignment="1">
      <alignment horizontal="left" vertical="center" wrapText="1" indent="1"/>
    </xf>
    <xf numFmtId="169" fontId="5" fillId="8" borderId="37" xfId="0" applyNumberFormat="1" applyFont="1" applyFill="1" applyBorder="1" applyAlignment="1" applyProtection="1">
      <alignment horizontal="right" vertical="center"/>
      <protection locked="0"/>
    </xf>
    <xf numFmtId="169" fontId="0" fillId="8" borderId="37" xfId="0" applyNumberFormat="1" applyFont="1" applyFill="1" applyBorder="1" applyAlignment="1" applyProtection="1">
      <alignment horizontal="right" vertical="center"/>
      <protection locked="0"/>
    </xf>
    <xf numFmtId="169" fontId="3" fillId="8" borderId="37" xfId="0" applyNumberFormat="1" applyFont="1" applyFill="1" applyBorder="1" applyAlignment="1" applyProtection="1">
      <alignment horizontal="right" vertical="center"/>
      <protection locked="0"/>
    </xf>
    <xf numFmtId="49" fontId="5" fillId="8" borderId="37" xfId="0" applyNumberFormat="1" applyFont="1" applyFill="1" applyBorder="1" applyAlignment="1" applyProtection="1">
      <alignment horizontal="left" vertical="center" wrapText="1"/>
      <protection locked="0"/>
    </xf>
    <xf numFmtId="170" fontId="0" fillId="10" borderId="37" xfId="0" applyNumberFormat="1" applyFont="1" applyFill="1" applyBorder="1" applyAlignment="1">
      <alignment horizontal="right" vertical="center"/>
    </xf>
    <xf numFmtId="169" fontId="0" fillId="10" borderId="37" xfId="0" applyNumberFormat="1" applyFont="1" applyFill="1" applyBorder="1" applyAlignment="1">
      <alignment horizontal="right"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xf>
    <xf numFmtId="169" fontId="5" fillId="0" borderId="3" xfId="0" applyNumberFormat="1" applyFont="1" applyBorder="1" applyAlignment="1">
      <alignment horizontal="right" vertical="center"/>
    </xf>
    <xf numFmtId="169" fontId="0" fillId="0" borderId="3" xfId="0" applyNumberFormat="1" applyFont="1" applyBorder="1" applyAlignment="1">
      <alignment horizontal="right" vertical="center"/>
    </xf>
    <xf numFmtId="169" fontId="3" fillId="0" borderId="3" xfId="0" applyNumberFormat="1" applyFont="1" applyBorder="1" applyAlignment="1">
      <alignment horizontal="right" vertical="center"/>
    </xf>
    <xf numFmtId="49" fontId="5" fillId="0" borderId="3" xfId="0" applyNumberFormat="1" applyFont="1" applyBorder="1" applyAlignment="1">
      <alignment horizontal="left" vertical="center"/>
    </xf>
    <xf numFmtId="170" fontId="0" fillId="0" borderId="3" xfId="0" applyNumberFormat="1" applyFont="1" applyBorder="1" applyAlignment="1">
      <alignment horizontal="right" vertical="center"/>
    </xf>
    <xf numFmtId="169" fontId="0"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170" fontId="0" fillId="10" borderId="1" xfId="0" applyNumberFormat="1" applyFont="1" applyFill="1" applyBorder="1" applyAlignment="1">
      <alignment horizontal="right" vertical="center"/>
    </xf>
    <xf numFmtId="169" fontId="0" fillId="10" borderId="1" xfId="0" applyNumberFormat="1" applyFont="1" applyFill="1" applyBorder="1" applyAlignment="1">
      <alignment horizontal="right" vertical="center"/>
    </xf>
    <xf numFmtId="0" fontId="5" fillId="17" borderId="0" xfId="0" applyNumberFormat="1" applyFont="1" applyFill="1" applyAlignment="1">
      <alignment horizontal="left" vertical="center"/>
    </xf>
    <xf numFmtId="0" fontId="5" fillId="17" borderId="0" xfId="0" applyNumberFormat="1" applyFont="1" applyFill="1" applyAlignment="1"/>
    <xf numFmtId="0" fontId="3" fillId="17" borderId="0" xfId="0" applyNumberFormat="1" applyFont="1" applyFill="1" applyAlignment="1"/>
    <xf numFmtId="0" fontId="12" fillId="17" borderId="0" xfId="0" applyNumberFormat="1" applyFont="1" applyFill="1" applyAlignment="1"/>
    <xf numFmtId="0" fontId="7" fillId="17" borderId="0" xfId="0" applyNumberFormat="1" applyFont="1" applyFill="1" applyAlignment="1">
      <alignment vertical="center"/>
    </xf>
    <xf numFmtId="0" fontId="33" fillId="17" borderId="0" xfId="0" applyNumberFormat="1" applyFont="1" applyFill="1" applyAlignment="1">
      <alignment horizontal="center" vertical="center"/>
    </xf>
    <xf numFmtId="0" fontId="0" fillId="17" borderId="0" xfId="0" applyNumberFormat="1" applyFont="1" applyFill="1" applyAlignment="1">
      <alignment horizontal="left" vertical="center"/>
    </xf>
    <xf numFmtId="49" fontId="3" fillId="17" borderId="0" xfId="0" applyNumberFormat="1" applyFont="1" applyFill="1">
      <alignment vertical="top"/>
    </xf>
    <xf numFmtId="0" fontId="7" fillId="17" borderId="0" xfId="0" applyNumberFormat="1" applyFont="1" applyFill="1" applyAlignment="1">
      <alignment horizontal="center" vertical="center"/>
    </xf>
    <xf numFmtId="49" fontId="3" fillId="17" borderId="0" xfId="0" applyNumberFormat="1" applyFont="1" applyFill="1" applyAlignment="1">
      <alignment horizontal="center" vertical="top"/>
    </xf>
    <xf numFmtId="49" fontId="3" fillId="17" borderId="0" xfId="0" applyNumberFormat="1" applyFont="1" applyFill="1" applyAlignment="1">
      <alignment vertical="center" wrapText="1"/>
    </xf>
    <xf numFmtId="0" fontId="3" fillId="17" borderId="0" xfId="0" applyNumberFormat="1" applyFont="1" applyFill="1" applyAlignment="1"/>
    <xf numFmtId="0" fontId="5" fillId="17" borderId="0" xfId="0" applyNumberFormat="1" applyFont="1" applyFill="1" applyAlignment="1">
      <alignment horizontal="center"/>
    </xf>
    <xf numFmtId="0" fontId="5" fillId="17" borderId="0" xfId="0" applyNumberFormat="1" applyFont="1" applyFill="1" applyAlignment="1">
      <alignment vertical="center" wrapText="1"/>
    </xf>
    <xf numFmtId="0" fontId="5" fillId="17" borderId="0" xfId="0" applyNumberFormat="1" applyFont="1" applyFill="1" applyAlignment="1">
      <alignment wrapText="1"/>
    </xf>
    <xf numFmtId="0" fontId="5" fillId="17" borderId="0" xfId="0" applyNumberFormat="1" applyFont="1" applyFill="1" applyAlignment="1">
      <alignment vertical="center"/>
    </xf>
    <xf numFmtId="0" fontId="3" fillId="17" borderId="0" xfId="0" applyNumberFormat="1" applyFont="1" applyFill="1" applyAlignment="1">
      <alignment vertical="center"/>
    </xf>
    <xf numFmtId="0" fontId="5" fillId="17" borderId="0" xfId="0" applyNumberFormat="1" applyFont="1" applyFill="1" applyAlignment="1">
      <alignment vertical="center"/>
    </xf>
    <xf numFmtId="49" fontId="3" fillId="17" borderId="0" xfId="0" applyNumberFormat="1" applyFont="1" applyFill="1" applyAlignment="1">
      <alignment horizontal="center" vertical="center" wrapText="1"/>
    </xf>
    <xf numFmtId="49" fontId="3" fillId="17" borderId="0" xfId="0" applyNumberFormat="1" applyFont="1" applyFill="1" applyAlignment="1">
      <alignment horizontal="center" vertical="top"/>
    </xf>
    <xf numFmtId="0" fontId="13" fillId="17" borderId="0" xfId="0" applyNumberFormat="1" applyFont="1" applyFill="1" applyAlignment="1">
      <alignment horizontal="center"/>
    </xf>
    <xf numFmtId="49" fontId="49" fillId="0" borderId="0" xfId="0" applyNumberFormat="1" applyFont="1" applyAlignment="1">
      <alignment horizontal="center" vertical="center" wrapText="1"/>
    </xf>
    <xf numFmtId="172" fontId="7" fillId="17" borderId="0" xfId="0" applyNumberFormat="1" applyFont="1" applyFill="1" applyAlignment="1">
      <alignment vertical="center"/>
    </xf>
    <xf numFmtId="172" fontId="3" fillId="17" borderId="0" xfId="0" applyNumberFormat="1" applyFont="1" applyFill="1">
      <alignment vertical="top"/>
    </xf>
    <xf numFmtId="0" fontId="21" fillId="0" borderId="0" xfId="0" applyNumberFormat="1" applyFont="1" applyAlignment="1">
      <alignment vertical="center"/>
    </xf>
    <xf numFmtId="0" fontId="50" fillId="0" borderId="0" xfId="0" applyNumberFormat="1" applyFont="1" applyAlignment="1">
      <alignment vertical="center"/>
    </xf>
    <xf numFmtId="0" fontId="51" fillId="0" borderId="0" xfId="0" applyNumberFormat="1" applyFont="1" applyAlignment="1">
      <alignment vertical="center"/>
    </xf>
    <xf numFmtId="0" fontId="50" fillId="0" borderId="0" xfId="0" applyNumberFormat="1" applyFont="1" applyAlignment="1">
      <alignment vertical="center" wrapText="1"/>
    </xf>
    <xf numFmtId="0" fontId="44" fillId="9" borderId="0" xfId="0" applyNumberFormat="1" applyFont="1" applyFill="1" applyAlignment="1">
      <alignment vertical="center"/>
    </xf>
    <xf numFmtId="0" fontId="3" fillId="0" borderId="41" xfId="0" applyNumberFormat="1" applyFont="1" applyBorder="1" applyAlignment="1">
      <alignment horizontal="center" vertical="center" wrapText="1"/>
    </xf>
    <xf numFmtId="49" fontId="22" fillId="15" borderId="21" xfId="0" applyNumberFormat="1" applyFont="1" applyFill="1" applyBorder="1" applyAlignment="1">
      <alignment vertical="center"/>
    </xf>
    <xf numFmtId="0" fontId="5" fillId="17" borderId="0" xfId="0" applyNumberFormat="1" applyFont="1" applyFill="1" applyAlignment="1">
      <alignment vertical="center"/>
    </xf>
    <xf numFmtId="0" fontId="3" fillId="17" borderId="0" xfId="0" applyNumberFormat="1" applyFont="1" applyFill="1" applyAlignment="1"/>
    <xf numFmtId="0" fontId="5" fillId="17" borderId="0" xfId="0" applyNumberFormat="1" applyFont="1" applyFill="1" applyAlignment="1">
      <alignment vertical="center"/>
    </xf>
    <xf numFmtId="0" fontId="3" fillId="17" borderId="0" xfId="0" applyNumberFormat="1" applyFont="1" applyFill="1" applyAlignment="1">
      <alignment horizontal="center"/>
    </xf>
    <xf numFmtId="0" fontId="26" fillId="17" borderId="21" xfId="0" applyNumberFormat="1" applyFont="1" applyFill="1" applyBorder="1" applyAlignment="1">
      <alignment horizontal="center" vertical="center" wrapText="1"/>
    </xf>
    <xf numFmtId="0" fontId="22" fillId="15" borderId="10" xfId="0" applyNumberFormat="1" applyFont="1" applyFill="1" applyBorder="1" applyAlignment="1">
      <alignment horizontal="left" vertical="center" wrapText="1" indent="1"/>
    </xf>
    <xf numFmtId="0" fontId="3" fillId="13" borderId="0" xfId="0" applyNumberFormat="1" applyFont="1" applyFill="1">
      <alignment vertical="top"/>
    </xf>
    <xf numFmtId="0" fontId="0" fillId="0" borderId="0" xfId="0" applyNumberFormat="1" applyFont="1" applyAlignment="1">
      <alignment horizontal="center" vertical="top"/>
    </xf>
    <xf numFmtId="0" fontId="3" fillId="17" borderId="0" xfId="0" applyNumberFormat="1" applyFont="1" applyFill="1">
      <alignment vertical="top"/>
    </xf>
    <xf numFmtId="0" fontId="3" fillId="0" borderId="0" xfId="0" applyNumberFormat="1" applyFont="1" applyAlignment="1">
      <alignment vertical="center"/>
    </xf>
    <xf numFmtId="0" fontId="0" fillId="0" borderId="0" xfId="0" applyNumberFormat="1" applyFont="1" applyAlignment="1">
      <alignment horizontal="center" vertical="top"/>
    </xf>
    <xf numFmtId="0" fontId="3" fillId="17" borderId="0" xfId="0" applyNumberFormat="1" applyFont="1" applyFill="1">
      <alignment vertical="top"/>
    </xf>
    <xf numFmtId="0" fontId="3" fillId="17" borderId="0" xfId="0" applyNumberFormat="1" applyFont="1" applyFill="1">
      <alignment vertical="top"/>
    </xf>
    <xf numFmtId="0" fontId="20" fillId="0" borderId="0" xfId="0" applyNumberFormat="1" applyFont="1" applyAlignment="1">
      <alignment horizontal="center" vertical="center" wrapText="1"/>
    </xf>
    <xf numFmtId="0" fontId="34" fillId="0" borderId="0" xfId="0" applyNumberFormat="1" applyFont="1" applyAlignment="1">
      <alignment horizontal="center" vertical="center" wrapText="1"/>
    </xf>
    <xf numFmtId="0" fontId="3" fillId="12" borderId="0" xfId="0" applyNumberFormat="1" applyFont="1" applyFill="1">
      <alignment vertical="top"/>
    </xf>
    <xf numFmtId="0" fontId="5" fillId="15" borderId="42" xfId="0" applyNumberFormat="1" applyFont="1" applyFill="1" applyBorder="1" applyAlignment="1">
      <alignment vertical="center"/>
    </xf>
    <xf numFmtId="0" fontId="22" fillId="15" borderId="21" xfId="0" applyNumberFormat="1" applyFont="1" applyFill="1" applyBorder="1" applyAlignment="1">
      <alignment vertical="center"/>
    </xf>
    <xf numFmtId="0" fontId="22" fillId="15" borderId="9" xfId="0" applyNumberFormat="1" applyFont="1" applyFill="1" applyBorder="1" applyAlignment="1">
      <alignment vertical="center"/>
    </xf>
    <xf numFmtId="0" fontId="13" fillId="0" borderId="0" xfId="0" applyNumberFormat="1" applyFont="1" applyAlignment="1">
      <alignment horizontal="left"/>
    </xf>
    <xf numFmtId="0" fontId="3" fillId="0" borderId="1" xfId="0" applyNumberFormat="1" applyFont="1" applyBorder="1" applyAlignment="1">
      <alignment horizontal="center" vertical="center" wrapText="1"/>
    </xf>
    <xf numFmtId="0" fontId="6" fillId="17" borderId="0" xfId="0" applyNumberFormat="1" applyFont="1" applyFill="1" applyAlignment="1"/>
    <xf numFmtId="0" fontId="3" fillId="17" borderId="0" xfId="0" applyNumberFormat="1" applyFont="1" applyFill="1" applyAlignment="1">
      <alignment horizontal="center"/>
    </xf>
    <xf numFmtId="49" fontId="3" fillId="17" borderId="0" xfId="0" applyNumberFormat="1" applyFont="1" applyFill="1">
      <alignment vertical="top"/>
    </xf>
    <xf numFmtId="0" fontId="34" fillId="0" borderId="43" xfId="0" applyNumberFormat="1" applyFont="1" applyBorder="1" applyAlignment="1">
      <alignment horizontal="center" vertical="center" wrapText="1"/>
    </xf>
    <xf numFmtId="0" fontId="34" fillId="0" borderId="43" xfId="0" applyNumberFormat="1" applyFont="1" applyBorder="1" applyAlignment="1">
      <alignment vertical="center" wrapText="1"/>
    </xf>
    <xf numFmtId="0" fontId="6" fillId="17" borderId="0" xfId="0" applyNumberFormat="1" applyFont="1" applyFill="1" applyAlignment="1"/>
    <xf numFmtId="49" fontId="3" fillId="17" borderId="0" xfId="0" applyNumberFormat="1" applyFont="1" applyFill="1">
      <alignment vertical="top"/>
    </xf>
    <xf numFmtId="0" fontId="5" fillId="17" borderId="0" xfId="0" applyNumberFormat="1" applyFont="1" applyFill="1" applyAlignment="1"/>
    <xf numFmtId="0" fontId="5" fillId="17" borderId="0" xfId="0" applyNumberFormat="1" applyFont="1" applyFill="1" applyAlignment="1">
      <alignment horizontal="center"/>
    </xf>
    <xf numFmtId="0" fontId="7" fillId="17" borderId="0" xfId="0" applyNumberFormat="1" applyFont="1" applyFill="1" applyAlignment="1"/>
    <xf numFmtId="0" fontId="10" fillId="17" borderId="0" xfId="0" applyNumberFormat="1" applyFont="1" applyFill="1" applyAlignment="1"/>
    <xf numFmtId="49" fontId="7" fillId="0" borderId="0" xfId="0" applyNumberFormat="1" applyFont="1" applyAlignment="1"/>
    <xf numFmtId="0" fontId="22" fillId="15" borderId="21" xfId="0" applyNumberFormat="1" applyFont="1" applyFill="1" applyBorder="1" applyAlignment="1">
      <alignment horizontal="left" vertical="center" wrapText="1" indent="1"/>
    </xf>
    <xf numFmtId="0" fontId="22" fillId="15" borderId="21" xfId="0" applyNumberFormat="1" applyFont="1" applyFill="1" applyBorder="1" applyAlignment="1">
      <alignment vertical="center"/>
    </xf>
    <xf numFmtId="0" fontId="7" fillId="0" borderId="0" xfId="0" applyNumberFormat="1" applyFont="1" applyAlignment="1">
      <alignment horizontal="center" vertical="top"/>
    </xf>
    <xf numFmtId="0" fontId="7" fillId="0" borderId="0" xfId="0" applyNumberFormat="1" applyFont="1">
      <alignment vertical="top"/>
    </xf>
    <xf numFmtId="0" fontId="7" fillId="0" borderId="0" xfId="0" applyNumberFormat="1" applyFont="1" applyAlignment="1">
      <alignment wrapText="1"/>
    </xf>
    <xf numFmtId="49" fontId="3" fillId="17" borderId="0" xfId="0" applyNumberFormat="1" applyFont="1" applyFill="1">
      <alignment vertical="top"/>
    </xf>
    <xf numFmtId="0" fontId="13" fillId="17" borderId="0" xfId="0" applyNumberFormat="1" applyFont="1" applyFill="1" applyAlignment="1">
      <alignment vertical="center"/>
    </xf>
    <xf numFmtId="0" fontId="41" fillId="17" borderId="0" xfId="0" applyNumberFormat="1" applyFont="1" applyFill="1" applyAlignment="1"/>
    <xf numFmtId="0" fontId="3" fillId="7" borderId="1" xfId="0" applyNumberFormat="1" applyFont="1" applyFill="1" applyBorder="1" applyAlignment="1">
      <alignment horizontal="center" vertical="center" wrapText="1"/>
    </xf>
    <xf numFmtId="0" fontId="24" fillId="17" borderId="0" xfId="0" applyNumberFormat="1" applyFont="1" applyFill="1" applyAlignment="1"/>
    <xf numFmtId="0" fontId="13" fillId="17" borderId="0" xfId="0" applyNumberFormat="1" applyFont="1" applyFill="1" applyAlignment="1"/>
    <xf numFmtId="0" fontId="5" fillId="17" borderId="0" xfId="0" applyNumberFormat="1" applyFont="1" applyFill="1" applyAlignment="1">
      <alignment horizontal="left" vertical="center" wrapText="1"/>
    </xf>
    <xf numFmtId="0" fontId="1" fillId="0" borderId="0" xfId="0" applyNumberFormat="1" applyFont="1" applyAlignment="1"/>
    <xf numFmtId="0" fontId="1" fillId="17" borderId="0" xfId="0" applyNumberFormat="1" applyFont="1" applyFill="1" applyAlignment="1"/>
    <xf numFmtId="0" fontId="5" fillId="0" borderId="0" xfId="0" applyNumberFormat="1" applyFont="1" applyAlignment="1">
      <alignment vertical="center"/>
    </xf>
    <xf numFmtId="0" fontId="2" fillId="17" borderId="0" xfId="0" applyNumberFormat="1" applyFont="1" applyFill="1" applyAlignment="1"/>
    <xf numFmtId="0" fontId="24" fillId="0" borderId="0" xfId="0" applyNumberFormat="1" applyFont="1" applyAlignment="1"/>
    <xf numFmtId="0" fontId="5" fillId="0" borderId="0" xfId="0" applyNumberFormat="1" applyFont="1" applyAlignment="1">
      <alignment horizontal="left" vertical="center"/>
    </xf>
    <xf numFmtId="0" fontId="18" fillId="0" borderId="0" xfId="0" applyNumberFormat="1" applyFont="1" applyAlignment="1">
      <alignment vertical="center"/>
    </xf>
    <xf numFmtId="0" fontId="3" fillId="7" borderId="1" xfId="0" applyNumberFormat="1" applyFont="1" applyFill="1" applyBorder="1" applyAlignment="1">
      <alignment horizontal="center" vertical="center" wrapText="1"/>
    </xf>
    <xf numFmtId="0" fontId="3" fillId="0" borderId="0" xfId="0" applyNumberFormat="1" applyFont="1" applyAlignment="1">
      <alignment vertical="top" wrapText="1"/>
    </xf>
    <xf numFmtId="0" fontId="17" fillId="17" borderId="0" xfId="0" applyNumberFormat="1" applyFont="1" applyFill="1" applyAlignment="1">
      <alignment vertical="center"/>
    </xf>
    <xf numFmtId="0" fontId="17" fillId="17" borderId="0" xfId="0" applyNumberFormat="1" applyFont="1" applyFill="1" applyAlignment="1">
      <alignment vertical="center" wrapText="1"/>
    </xf>
    <xf numFmtId="0" fontId="18" fillId="17" borderId="0" xfId="0" applyNumberFormat="1" applyFont="1" applyFill="1" applyAlignment="1">
      <alignment vertical="center" wrapText="1"/>
    </xf>
    <xf numFmtId="0" fontId="18" fillId="17" borderId="0" xfId="0" applyNumberFormat="1" applyFont="1" applyFill="1" applyAlignment="1">
      <alignment horizontal="center" vertical="center" wrapText="1"/>
    </xf>
    <xf numFmtId="0" fontId="18" fillId="17" borderId="0" xfId="0" applyNumberFormat="1" applyFont="1" applyFill="1" applyAlignment="1">
      <alignment vertical="center"/>
    </xf>
    <xf numFmtId="0" fontId="17" fillId="17" borderId="0" xfId="0" applyNumberFormat="1" applyFont="1" applyFill="1" applyAlignment="1">
      <alignment horizontal="center" vertical="center"/>
    </xf>
    <xf numFmtId="0" fontId="5" fillId="0" borderId="0" xfId="0" applyNumberFormat="1" applyFont="1" applyAlignment="1">
      <alignment vertical="top" wrapText="1"/>
    </xf>
    <xf numFmtId="0" fontId="5" fillId="15" borderId="12" xfId="0" applyNumberFormat="1" applyFont="1" applyFill="1" applyBorder="1" applyAlignment="1">
      <alignment vertical="center" wrapText="1"/>
    </xf>
    <xf numFmtId="0" fontId="5" fillId="17" borderId="0" xfId="0" applyNumberFormat="1" applyFont="1" applyFill="1" applyAlignment="1">
      <alignment vertical="center"/>
    </xf>
    <xf numFmtId="0" fontId="6"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5" fillId="17" borderId="0" xfId="0" applyNumberFormat="1" applyFont="1" applyFill="1" applyAlignment="1">
      <alignment vertical="center"/>
    </xf>
    <xf numFmtId="0" fontId="3" fillId="0" borderId="0" xfId="0" applyNumberFormat="1" applyFont="1" applyAlignment="1">
      <alignment wrapText="1"/>
    </xf>
    <xf numFmtId="0" fontId="5" fillId="0" borderId="9" xfId="0" applyNumberFormat="1" applyFont="1" applyBorder="1" applyAlignment="1">
      <alignment horizontal="center" vertical="center" wrapText="1"/>
    </xf>
    <xf numFmtId="1" fontId="5" fillId="0" borderId="0" xfId="0" applyNumberFormat="1" applyFont="1" applyAlignment="1">
      <alignment vertical="center"/>
    </xf>
    <xf numFmtId="0" fontId="5" fillId="0" borderId="0" xfId="0" applyNumberFormat="1" applyFont="1" applyAlignment="1">
      <alignment horizontal="center" vertical="center" wrapText="1"/>
    </xf>
    <xf numFmtId="0" fontId="3"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3" fillId="7" borderId="0" xfId="0" applyNumberFormat="1" applyFont="1" applyFill="1" applyAlignment="1">
      <alignment horizontal="center" vertical="center" wrapText="1"/>
    </xf>
    <xf numFmtId="0" fontId="3" fillId="0" borderId="15" xfId="0" applyNumberFormat="1" applyFont="1" applyBorder="1" applyAlignment="1">
      <alignment horizontal="center" vertical="center" wrapText="1"/>
    </xf>
    <xf numFmtId="49" fontId="0" fillId="0" borderId="9"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5" fillId="0" borderId="0" xfId="0" applyNumberFormat="1" applyFont="1" applyAlignment="1">
      <alignment vertical="center" wrapText="1"/>
    </xf>
    <xf numFmtId="0" fontId="5" fillId="0" borderId="9" xfId="0" applyNumberFormat="1" applyFont="1" applyBorder="1" applyAlignment="1">
      <alignment horizontal="center" vertical="center" wrapText="1"/>
    </xf>
    <xf numFmtId="0" fontId="1" fillId="0" borderId="0" xfId="0" applyNumberFormat="1" applyFont="1" applyAlignment="1"/>
    <xf numFmtId="0" fontId="17" fillId="0" borderId="0" xfId="0" applyNumberFormat="1" applyFont="1" applyAlignment="1"/>
    <xf numFmtId="0" fontId="34" fillId="0" borderId="0" xfId="0" applyNumberFormat="1" applyFont="1" applyAlignment="1">
      <alignment vertical="center" wrapText="1"/>
    </xf>
    <xf numFmtId="0" fontId="5" fillId="0" borderId="15" xfId="0" applyNumberFormat="1" applyFont="1" applyBorder="1" applyAlignment="1">
      <alignment vertical="center"/>
    </xf>
    <xf numFmtId="0" fontId="3" fillId="0" borderId="15"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9" borderId="15" xfId="0" applyNumberFormat="1" applyFont="1" applyFill="1" applyBorder="1" applyAlignment="1">
      <alignment horizontal="center" vertical="center" wrapText="1"/>
    </xf>
    <xf numFmtId="0" fontId="3" fillId="0" borderId="15" xfId="0" applyNumberFormat="1" applyFont="1" applyBorder="1" applyAlignment="1">
      <alignment horizontal="center" vertical="center"/>
    </xf>
    <xf numFmtId="0" fontId="3" fillId="7" borderId="15" xfId="0" applyNumberFormat="1" applyFont="1" applyFill="1" applyBorder="1" applyAlignment="1">
      <alignment horizontal="center" vertical="center" wrapText="1"/>
    </xf>
    <xf numFmtId="0" fontId="3" fillId="7" borderId="0" xfId="0" applyNumberFormat="1" applyFont="1" applyFill="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49" fontId="22" fillId="15" borderId="1" xfId="0" applyNumberFormat="1" applyFont="1" applyFill="1" applyBorder="1" applyAlignment="1">
      <alignment horizontal="left" vertical="center" indent="1"/>
    </xf>
    <xf numFmtId="49" fontId="3" fillId="12" borderId="0" xfId="0" applyNumberFormat="1" applyFont="1" applyFill="1">
      <alignment vertical="top"/>
    </xf>
    <xf numFmtId="0" fontId="0" fillId="0" borderId="0" xfId="0" applyNumberFormat="1" applyFont="1" applyAlignment="1">
      <alignment horizontal="left" vertical="center"/>
    </xf>
    <xf numFmtId="0" fontId="3" fillId="13" borderId="0" xfId="0" applyNumberFormat="1" applyFont="1" applyFill="1" applyAlignment="1">
      <alignment horizontal="left" vertical="top"/>
    </xf>
    <xf numFmtId="0" fontId="5" fillId="0" borderId="0" xfId="0" applyNumberFormat="1" applyFont="1" applyAlignment="1">
      <alignment horizontal="left" vertical="center"/>
    </xf>
    <xf numFmtId="0" fontId="5" fillId="0" borderId="0" xfId="0" applyNumberFormat="1" applyFont="1" applyAlignment="1">
      <alignment horizontal="left"/>
    </xf>
    <xf numFmtId="0" fontId="0" fillId="0" borderId="0" xfId="0" applyNumberFormat="1" applyFont="1" applyAlignment="1">
      <alignment horizontal="left"/>
    </xf>
    <xf numFmtId="0" fontId="5" fillId="17" borderId="0" xfId="0" applyNumberFormat="1" applyFont="1" applyFill="1" applyAlignment="1">
      <alignment horizontal="left"/>
    </xf>
    <xf numFmtId="0" fontId="1" fillId="0" borderId="0" xfId="0" applyNumberFormat="1" applyFont="1" applyAlignment="1"/>
    <xf numFmtId="0" fontId="48" fillId="0" borderId="0" xfId="0" applyNumberFormat="1" applyFont="1" applyAlignment="1">
      <alignment horizontal="center" vertical="center"/>
    </xf>
    <xf numFmtId="49" fontId="5" fillId="24" borderId="2" xfId="0" applyNumberFormat="1" applyFont="1" applyFill="1" applyBorder="1" applyAlignment="1">
      <alignment horizontal="left" vertical="center" wrapText="1" indent="1"/>
    </xf>
    <xf numFmtId="0" fontId="3" fillId="24" borderId="2" xfId="0" applyNumberFormat="1" applyFont="1" applyFill="1" applyBorder="1" applyAlignment="1">
      <alignment horizontal="left" vertical="center" wrapText="1" indent="1"/>
    </xf>
    <xf numFmtId="49" fontId="3" fillId="24" borderId="2" xfId="0" applyNumberFormat="1" applyFont="1" applyFill="1" applyBorder="1" applyAlignment="1">
      <alignment horizontal="left" vertical="center" wrapText="1" indent="1"/>
    </xf>
    <xf numFmtId="0" fontId="3" fillId="0" borderId="0" xfId="0" applyNumberFormat="1" applyFont="1" applyAlignment="1">
      <alignment wrapText="1"/>
    </xf>
    <xf numFmtId="0" fontId="3" fillId="10" borderId="13"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indent="2"/>
    </xf>
    <xf numFmtId="0" fontId="3" fillId="0" borderId="1" xfId="0" applyNumberFormat="1" applyFont="1" applyBorder="1" applyAlignment="1">
      <alignment horizontal="center" vertical="center" wrapText="1"/>
    </xf>
    <xf numFmtId="4" fontId="3"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3"/>
    </xf>
    <xf numFmtId="0" fontId="3" fillId="9" borderId="1" xfId="0" applyNumberFormat="1" applyFont="1" applyFill="1" applyBorder="1" applyAlignment="1">
      <alignment horizontal="left" vertical="center" wrapText="1" indent="3"/>
    </xf>
    <xf numFmtId="4" fontId="6" fillId="10" borderId="1" xfId="0" applyNumberFormat="1" applyFont="1" applyFill="1" applyBorder="1" applyAlignment="1">
      <alignment horizontal="right" vertical="center"/>
    </xf>
    <xf numFmtId="0" fontId="3" fillId="9" borderId="1" xfId="0" applyNumberFormat="1" applyFont="1" applyFill="1" applyBorder="1" applyAlignment="1">
      <alignment horizontal="center" vertical="center"/>
    </xf>
    <xf numFmtId="4" fontId="3" fillId="8" borderId="1" xfId="0" applyNumberFormat="1" applyFont="1" applyFill="1" applyBorder="1" applyAlignment="1" applyProtection="1">
      <alignment horizontal="right" vertical="center"/>
      <protection locked="0"/>
    </xf>
    <xf numFmtId="4" fontId="3" fillId="10" borderId="1" xfId="0" applyNumberFormat="1" applyFont="1" applyFill="1" applyBorder="1" applyAlignment="1">
      <alignment horizontal="right" vertical="center"/>
    </xf>
    <xf numFmtId="49" fontId="3" fillId="8" borderId="2" xfId="0" applyNumberFormat="1" applyFont="1" applyFill="1" applyBorder="1" applyAlignment="1" applyProtection="1">
      <alignment horizontal="left" vertical="center" wrapText="1"/>
      <protection locked="0"/>
    </xf>
    <xf numFmtId="49" fontId="6" fillId="15" borderId="21" xfId="0" applyNumberFormat="1" applyFont="1" applyFill="1" applyBorder="1" applyAlignment="1">
      <alignment horizontal="left" vertical="center" wrapText="1" indent="1"/>
    </xf>
    <xf numFmtId="49" fontId="6" fillId="15" borderId="9" xfId="0" applyNumberFormat="1" applyFont="1" applyFill="1" applyBorder="1" applyAlignment="1">
      <alignment horizontal="left" vertical="center" wrapText="1" indent="1"/>
    </xf>
    <xf numFmtId="49" fontId="6" fillId="15" borderId="20" xfId="0" applyNumberFormat="1" applyFont="1" applyFill="1" applyBorder="1" applyAlignment="1">
      <alignment horizontal="left" vertical="center" wrapText="1" indent="1"/>
    </xf>
    <xf numFmtId="4" fontId="6" fillId="10" borderId="1" xfId="0" applyNumberFormat="1" applyFont="1" applyFill="1" applyBorder="1" applyAlignment="1">
      <alignment horizontal="right" vertical="center"/>
    </xf>
    <xf numFmtId="0" fontId="3" fillId="9" borderId="1" xfId="0" applyNumberFormat="1" applyFont="1" applyFill="1" applyBorder="1" applyAlignment="1">
      <alignment horizontal="center" vertical="center" wrapText="1"/>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1"/>
    </xf>
    <xf numFmtId="4" fontId="3" fillId="10" borderId="1" xfId="0" applyNumberFormat="1" applyFont="1" applyFill="1" applyBorder="1" applyAlignment="1">
      <alignment horizontal="right" vertical="center"/>
    </xf>
    <xf numFmtId="49" fontId="3" fillId="9" borderId="1" xfId="0" applyNumberFormat="1" applyFont="1" applyFill="1" applyBorder="1" applyAlignment="1">
      <alignment horizontal="center" vertical="center"/>
    </xf>
    <xf numFmtId="169" fontId="6" fillId="10" borderId="1" xfId="0" applyNumberFormat="1" applyFont="1" applyFill="1" applyBorder="1" applyAlignment="1">
      <alignment horizontal="right" vertical="center"/>
    </xf>
    <xf numFmtId="169" fontId="6"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6" fillId="10" borderId="1" xfId="0" applyNumberFormat="1" applyFont="1" applyFill="1" applyBorder="1" applyAlignment="1">
      <alignment horizontal="right" vertical="center"/>
    </xf>
    <xf numFmtId="49" fontId="6" fillId="15" borderId="21" xfId="0" applyNumberFormat="1" applyFont="1" applyFill="1" applyBorder="1" applyAlignment="1">
      <alignment vertical="center"/>
    </xf>
    <xf numFmtId="0" fontId="3" fillId="15" borderId="9" xfId="0" applyNumberFormat="1" applyFont="1" applyFill="1" applyBorder="1" applyAlignment="1">
      <alignment vertical="center" wrapText="1"/>
    </xf>
    <xf numFmtId="0" fontId="3" fillId="15" borderId="20" xfId="0" applyNumberFormat="1" applyFont="1" applyFill="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0" fontId="6"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49"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4" fontId="6"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9" fontId="3" fillId="8" borderId="2" xfId="0" applyNumberFormat="1" applyFont="1" applyFill="1" applyBorder="1" applyAlignment="1" applyProtection="1">
      <alignment horizontal="left" vertical="center" wrapText="1"/>
      <protection locked="0"/>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indent="1"/>
    </xf>
    <xf numFmtId="49" fontId="6" fillId="8" borderId="2" xfId="0" applyNumberFormat="1" applyFont="1" applyFill="1" applyBorder="1" applyAlignment="1" applyProtection="1">
      <alignment horizontal="left" vertical="center" wrapText="1"/>
      <protection locked="0"/>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4"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0" fontId="6"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center" vertical="center"/>
    </xf>
    <xf numFmtId="4" fontId="3"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vertical="center" wrapText="1"/>
    </xf>
    <xf numFmtId="0" fontId="3" fillId="9" borderId="1" xfId="0" applyNumberFormat="1" applyFont="1" applyFill="1" applyBorder="1" applyAlignment="1">
      <alignment horizontal="left" vertical="center" wrapText="1" indent="1"/>
    </xf>
    <xf numFmtId="49" fontId="3" fillId="9" borderId="1" xfId="0" applyNumberFormat="1" applyFont="1" applyFill="1" applyBorder="1" applyAlignment="1">
      <alignment horizontal="center" vertical="center"/>
    </xf>
    <xf numFmtId="0" fontId="3" fillId="9" borderId="1" xfId="0" applyNumberFormat="1" applyFont="1" applyFill="1" applyBorder="1" applyAlignment="1">
      <alignment vertical="center" wrapText="1"/>
    </xf>
    <xf numFmtId="169" fontId="6" fillId="10" borderId="1" xfId="0" applyNumberFormat="1" applyFont="1" applyFill="1" applyBorder="1" applyAlignment="1">
      <alignment horizontal="right" vertical="center"/>
    </xf>
    <xf numFmtId="4" fontId="6" fillId="0" borderId="1" xfId="0" applyNumberFormat="1" applyFont="1" applyBorder="1" applyAlignment="1">
      <alignment horizontal="right" vertical="center"/>
    </xf>
    <xf numFmtId="169" fontId="3" fillId="8" borderId="1" xfId="0" applyNumberFormat="1" applyFont="1" applyFill="1" applyBorder="1" applyAlignment="1" applyProtection="1">
      <alignment horizontal="right" vertical="center"/>
      <protection locked="0"/>
    </xf>
    <xf numFmtId="169" fontId="3" fillId="10" borderId="1" xfId="0" applyNumberFormat="1" applyFont="1" applyFill="1" applyBorder="1" applyAlignment="1">
      <alignment horizontal="right" vertical="center"/>
    </xf>
    <xf numFmtId="0" fontId="10" fillId="17" borderId="0" xfId="0" applyNumberFormat="1" applyFont="1" applyFill="1" applyAlignment="1">
      <alignment vertical="center"/>
    </xf>
    <xf numFmtId="49" fontId="3" fillId="0" borderId="0" xfId="0" applyNumberFormat="1" applyFont="1" applyAlignment="1">
      <alignment horizontal="center" vertical="top"/>
    </xf>
    <xf numFmtId="0" fontId="3" fillId="0" borderId="0" xfId="0" applyNumberFormat="1" applyFont="1" applyAlignment="1">
      <alignment vertical="top" wrapText="1"/>
    </xf>
    <xf numFmtId="0" fontId="3" fillId="0" borderId="0" xfId="0" applyNumberFormat="1" applyFont="1" applyAlignment="1">
      <alignment vertical="top" wrapText="1"/>
    </xf>
    <xf numFmtId="0" fontId="3" fillId="0" borderId="3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14" borderId="23" xfId="0" applyNumberFormat="1" applyFont="1" applyFill="1" applyBorder="1" applyAlignment="1">
      <alignment horizontal="left" vertical="center"/>
    </xf>
    <xf numFmtId="0" fontId="3" fillId="0" borderId="24" xfId="0" applyNumberFormat="1" applyFont="1" applyBorder="1" applyAlignment="1">
      <alignment horizontal="center" vertical="center" wrapText="1"/>
    </xf>
    <xf numFmtId="4" fontId="3" fillId="8" borderId="13" xfId="0" applyNumberFormat="1" applyFont="1" applyFill="1" applyBorder="1" applyAlignment="1" applyProtection="1">
      <alignment horizontal="right" vertical="center"/>
      <protection locked="0"/>
    </xf>
    <xf numFmtId="169" fontId="3" fillId="8" borderId="13" xfId="0" applyNumberFormat="1" applyFont="1" applyFill="1" applyBorder="1" applyAlignment="1" applyProtection="1">
      <alignment horizontal="right" vertical="center"/>
      <protection locked="0"/>
    </xf>
    <xf numFmtId="0" fontId="3" fillId="0" borderId="0" xfId="0" applyNumberFormat="1" applyFont="1" applyAlignment="1">
      <alignment horizontal="left" vertical="center"/>
    </xf>
    <xf numFmtId="0" fontId="3" fillId="17" borderId="0" xfId="0" applyNumberFormat="1" applyFont="1" applyFill="1" applyAlignment="1">
      <alignment vertical="center"/>
    </xf>
    <xf numFmtId="0" fontId="3" fillId="0" borderId="0" xfId="0" applyNumberFormat="1" applyFont="1" applyAlignment="1">
      <alignment horizontal="center"/>
    </xf>
    <xf numFmtId="0" fontId="3" fillId="0" borderId="0" xfId="0" applyNumberFormat="1" applyFont="1" applyAlignment="1">
      <alignment horizontal="center" vertical="center"/>
    </xf>
    <xf numFmtId="0" fontId="3" fillId="17" borderId="0" xfId="0" applyNumberFormat="1" applyFont="1" applyFill="1" applyAlignment="1">
      <alignment vertical="center"/>
    </xf>
    <xf numFmtId="0" fontId="6" fillId="9" borderId="1" xfId="0" applyNumberFormat="1" applyFont="1" applyFill="1" applyBorder="1" applyAlignment="1">
      <alignment horizontal="center" vertical="center"/>
    </xf>
    <xf numFmtId="0" fontId="6" fillId="9" borderId="1" xfId="0" applyNumberFormat="1" applyFont="1" applyFill="1" applyBorder="1" applyAlignment="1">
      <alignment horizontal="left" vertical="center" wrapText="1"/>
    </xf>
    <xf numFmtId="0" fontId="6" fillId="9" borderId="1" xfId="0" applyNumberFormat="1" applyFont="1" applyFill="1" applyBorder="1" applyAlignment="1">
      <alignment horizontal="center" vertical="center" wrapText="1"/>
    </xf>
    <xf numFmtId="4" fontId="6" fillId="10" borderId="1" xfId="0" applyNumberFormat="1" applyFont="1" applyFill="1" applyBorder="1" applyAlignment="1">
      <alignment horizontal="right" vertical="center" wrapText="1"/>
    </xf>
    <xf numFmtId="49" fontId="6" fillId="8" borderId="1" xfId="0" applyNumberFormat="1" applyFont="1" applyFill="1" applyBorder="1" applyAlignment="1" applyProtection="1">
      <alignment horizontal="left" vertical="center" wrapText="1"/>
      <protection locked="0"/>
    </xf>
    <xf numFmtId="49" fontId="3" fillId="8" borderId="1" xfId="0" applyNumberFormat="1" applyFont="1" applyFill="1" applyBorder="1" applyAlignment="1" applyProtection="1">
      <alignment horizontal="left" vertical="center" wrapText="1"/>
      <protection locked="0"/>
    </xf>
    <xf numFmtId="0" fontId="3" fillId="0" borderId="1" xfId="0" applyNumberFormat="1" applyFont="1" applyBorder="1" applyAlignment="1">
      <alignment vertical="center" wrapText="1"/>
    </xf>
    <xf numFmtId="0" fontId="52" fillId="0" borderId="0" xfId="0" applyNumberFormat="1" applyFont="1" applyAlignment="1"/>
    <xf numFmtId="0" fontId="3" fillId="0" borderId="0" xfId="0" applyNumberFormat="1" applyFont="1" applyAlignment="1">
      <alignment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xf>
    <xf numFmtId="169" fontId="3" fillId="10" borderId="1" xfId="0" applyNumberFormat="1" applyFont="1" applyFill="1" applyBorder="1" applyAlignment="1">
      <alignment horizontal="right" vertical="center" wrapText="1"/>
    </xf>
    <xf numFmtId="169" fontId="3" fillId="8" borderId="1" xfId="0" applyNumberFormat="1" applyFont="1" applyFill="1" applyBorder="1" applyAlignment="1" applyProtection="1">
      <alignment horizontal="right" vertical="center" wrapText="1"/>
      <protection locked="0"/>
    </xf>
    <xf numFmtId="0" fontId="10" fillId="0" borderId="0" xfId="0" applyNumberFormat="1" applyFont="1" applyAlignment="1">
      <alignment vertical="center" wrapText="1"/>
    </xf>
    <xf numFmtId="0" fontId="10" fillId="17" borderId="0" xfId="0" applyNumberFormat="1" applyFont="1" applyFill="1" applyAlignment="1">
      <alignment vertical="center" wrapText="1"/>
    </xf>
    <xf numFmtId="0" fontId="7" fillId="0" borderId="0" xfId="0" applyNumberFormat="1" applyFont="1" applyAlignment="1">
      <alignment horizontal="left" vertical="center"/>
    </xf>
    <xf numFmtId="0" fontId="10" fillId="0" borderId="0" xfId="0" applyNumberFormat="1" applyFont="1" applyAlignment="1">
      <alignment horizontal="center" vertical="center" wrapText="1"/>
    </xf>
    <xf numFmtId="0" fontId="10" fillId="17" borderId="0" xfId="0" applyNumberFormat="1" applyFont="1" applyFill="1" applyAlignment="1">
      <alignment horizontal="center" vertical="center" wrapText="1"/>
    </xf>
    <xf numFmtId="0" fontId="3" fillId="4" borderId="0" xfId="0" applyNumberFormat="1" applyFont="1" applyFill="1" applyAlignment="1"/>
    <xf numFmtId="0" fontId="6" fillId="0" borderId="0" xfId="0" quotePrefix="1" applyNumberFormat="1" applyFont="1" applyAlignment="1">
      <alignment horizontal="left" vertical="center" wrapText="1" indent="4"/>
    </xf>
    <xf numFmtId="49" fontId="6" fillId="0" borderId="0" xfId="0" applyNumberFormat="1" applyFont="1" applyAlignment="1">
      <alignment horizontal="left" vertical="center" wrapText="1" indent="4"/>
    </xf>
    <xf numFmtId="0" fontId="3" fillId="17" borderId="0" xfId="0" applyNumberFormat="1" applyFont="1" applyFill="1" applyAlignment="1">
      <alignment vertical="center" wrapText="1"/>
    </xf>
    <xf numFmtId="0" fontId="3" fillId="0" borderId="2"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3" fillId="17" borderId="0" xfId="0" applyNumberFormat="1" applyFont="1" applyFill="1">
      <alignment vertical="top"/>
    </xf>
    <xf numFmtId="0" fontId="3" fillId="0" borderId="0" xfId="0" applyNumberFormat="1" applyFont="1" applyAlignment="1">
      <alignment horizontal="center" vertical="center" wrapText="1"/>
    </xf>
    <xf numFmtId="0" fontId="3" fillId="17" borderId="0" xfId="0" applyNumberFormat="1" applyFont="1" applyFill="1" applyAlignment="1">
      <alignment horizontal="center" vertical="center" wrapText="1"/>
    </xf>
    <xf numFmtId="0" fontId="3" fillId="14" borderId="9" xfId="0" applyNumberFormat="1" applyFont="1" applyFill="1" applyBorder="1" applyAlignment="1">
      <alignment horizontal="left" vertical="center"/>
    </xf>
    <xf numFmtId="4" fontId="6" fillId="14" borderId="9" xfId="0" applyNumberFormat="1" applyFont="1" applyFill="1" applyBorder="1" applyAlignment="1">
      <alignment horizontal="right" vertical="center"/>
    </xf>
    <xf numFmtId="0" fontId="3" fillId="0" borderId="0" xfId="0" applyNumberFormat="1" applyFont="1" applyAlignment="1">
      <alignment horizontal="center" vertical="center"/>
    </xf>
    <xf numFmtId="0" fontId="3" fillId="0" borderId="0" xfId="0" applyNumberFormat="1" applyFont="1" applyAlignment="1">
      <alignment horizontal="center" vertical="top" wrapText="1"/>
    </xf>
    <xf numFmtId="0" fontId="6" fillId="15" borderId="21" xfId="0" applyNumberFormat="1" applyFont="1" applyFill="1" applyBorder="1" applyAlignment="1">
      <alignment horizontal="left" vertical="center" wrapText="1" indent="1"/>
    </xf>
    <xf numFmtId="0" fontId="3" fillId="0" borderId="0" xfId="0" applyNumberFormat="1" applyFont="1" applyAlignment="1">
      <alignment horizontal="center" vertical="center" wrapText="1"/>
    </xf>
    <xf numFmtId="0" fontId="3" fillId="17" borderId="0" xfId="0" applyNumberFormat="1" applyFont="1" applyFill="1" applyAlignment="1">
      <alignment horizontal="center" vertical="center" wrapText="1"/>
    </xf>
    <xf numFmtId="0" fontId="3" fillId="16" borderId="1" xfId="0" applyNumberFormat="1" applyFont="1" applyFill="1" applyBorder="1" applyAlignment="1" applyProtection="1">
      <alignment horizontal="left" vertical="center" wrapText="1" indent="1"/>
      <protection locked="0"/>
    </xf>
    <xf numFmtId="0" fontId="3" fillId="0" borderId="1" xfId="0" applyNumberFormat="1" applyFont="1" applyBorder="1" applyAlignment="1">
      <alignment horizontal="center" vertical="center" wrapText="1"/>
    </xf>
    <xf numFmtId="4" fontId="3" fillId="8" borderId="1" xfId="0" applyNumberFormat="1" applyFont="1" applyFill="1" applyBorder="1" applyAlignment="1" applyProtection="1">
      <alignment horizontal="right" vertical="center"/>
      <protection locked="0"/>
    </xf>
    <xf numFmtId="49" fontId="3" fillId="8" borderId="1" xfId="0" applyNumberFormat="1" applyFont="1" applyFill="1" applyBorder="1" applyAlignment="1" applyProtection="1">
      <alignment horizontal="left" vertical="center" wrapText="1"/>
      <protection locked="0"/>
    </xf>
    <xf numFmtId="0" fontId="3" fillId="7" borderId="1" xfId="0" applyNumberFormat="1" applyFont="1" applyFill="1" applyBorder="1" applyAlignment="1">
      <alignment horizontal="center" vertical="center" wrapText="1"/>
    </xf>
    <xf numFmtId="0" fontId="3" fillId="0" borderId="1" xfId="0" applyNumberFormat="1" applyFont="1" applyBorder="1" applyAlignment="1">
      <alignment horizontal="left" vertical="center" wrapText="1" indent="2"/>
    </xf>
    <xf numFmtId="4" fontId="3" fillId="8" borderId="1" xfId="0" applyNumberFormat="1" applyFont="1" applyFill="1" applyBorder="1" applyAlignment="1" applyProtection="1">
      <alignment horizontal="right" vertical="center" wrapText="1"/>
      <protection locked="0"/>
    </xf>
    <xf numFmtId="0" fontId="7" fillId="0" borderId="0" xfId="0" applyNumberFormat="1" applyFont="1" applyAlignment="1"/>
    <xf numFmtId="0" fontId="3" fillId="0" borderId="1" xfId="0" applyNumberFormat="1" applyFont="1" applyBorder="1" applyAlignment="1">
      <alignment horizontal="center" vertical="center"/>
    </xf>
    <xf numFmtId="0" fontId="3" fillId="0" borderId="0" xfId="0" applyNumberFormat="1" applyFont="1" applyAlignment="1"/>
    <xf numFmtId="0" fontId="3" fillId="17" borderId="0" xfId="0" applyNumberFormat="1" applyFont="1" applyFill="1" applyAlignment="1"/>
    <xf numFmtId="0" fontId="3" fillId="0" borderId="1" xfId="0" applyNumberFormat="1" applyFont="1" applyBorder="1" applyAlignment="1">
      <alignment horizontal="center"/>
    </xf>
    <xf numFmtId="0" fontId="3" fillId="0" borderId="0" xfId="0" applyNumberFormat="1" applyFont="1" applyAlignment="1">
      <alignment horizontal="center"/>
    </xf>
    <xf numFmtId="4" fontId="5" fillId="10" borderId="1" xfId="0" applyNumberFormat="1" applyFont="1" applyFill="1" applyBorder="1" applyAlignment="1">
      <alignment horizontal="right" vertical="center" wrapText="1"/>
    </xf>
    <xf numFmtId="0" fontId="6" fillId="10" borderId="28" xfId="0" applyNumberFormat="1" applyFont="1" applyFill="1" applyBorder="1" applyAlignment="1">
      <alignment horizontal="left" vertical="center" indent="1"/>
    </xf>
    <xf numFmtId="0" fontId="3" fillId="17" borderId="28" xfId="0" applyNumberFormat="1" applyFont="1" applyFill="1" applyBorder="1" applyAlignment="1">
      <alignment horizontal="left" vertical="center" wrapText="1"/>
    </xf>
    <xf numFmtId="0" fontId="3" fillId="17" borderId="29" xfId="0" applyNumberFormat="1" applyFont="1" applyFill="1" applyBorder="1" applyAlignment="1">
      <alignment horizontal="center" vertical="center"/>
    </xf>
    <xf numFmtId="0" fontId="3" fillId="17" borderId="29" xfId="0" applyNumberFormat="1" applyFont="1" applyFill="1" applyBorder="1" applyAlignment="1">
      <alignment horizontal="left" vertical="center" indent="1"/>
    </xf>
    <xf numFmtId="0" fontId="6" fillId="0" borderId="0" xfId="0" applyNumberFormat="1" applyFont="1" applyAlignment="1">
      <alignment vertical="center"/>
    </xf>
    <xf numFmtId="0" fontId="6" fillId="17" borderId="0" xfId="0" applyNumberFormat="1" applyFont="1" applyFill="1" applyAlignment="1">
      <alignment vertical="center"/>
    </xf>
    <xf numFmtId="4" fontId="6" fillId="8" borderId="2" xfId="0" applyNumberFormat="1" applyFont="1" applyFill="1" applyBorder="1" applyAlignment="1" applyProtection="1">
      <alignment horizontal="right" vertical="center"/>
      <protection locked="0"/>
    </xf>
    <xf numFmtId="0" fontId="3" fillId="0" borderId="2" xfId="0" applyNumberFormat="1" applyFont="1" applyBorder="1" applyAlignment="1">
      <alignment horizontal="left" vertical="center" wrapText="1"/>
    </xf>
    <xf numFmtId="0" fontId="3" fillId="0" borderId="29" xfId="0" applyNumberFormat="1" applyFont="1" applyBorder="1" applyAlignment="1">
      <alignment horizontal="center" vertical="center"/>
    </xf>
    <xf numFmtId="0" fontId="3" fillId="0" borderId="2" xfId="0" applyNumberFormat="1" applyFont="1" applyBorder="1" applyAlignment="1">
      <alignment horizontal="left" vertical="center" wrapText="1" indent="1"/>
    </xf>
    <xf numFmtId="0" fontId="6" fillId="0" borderId="0" xfId="0" applyNumberFormat="1" applyFont="1" applyAlignment="1">
      <alignment horizontal="center" vertical="center"/>
    </xf>
    <xf numFmtId="0" fontId="3" fillId="17" borderId="14" xfId="0" applyNumberFormat="1" applyFont="1" applyFill="1" applyBorder="1" applyAlignment="1">
      <alignment horizontal="left" vertical="center" indent="1"/>
    </xf>
    <xf numFmtId="0" fontId="13" fillId="17" borderId="0" xfId="0" applyNumberFormat="1" applyFont="1" applyFill="1" applyAlignment="1">
      <alignment horizontal="left" vertical="center"/>
    </xf>
    <xf numFmtId="14" fontId="48"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48" fillId="0" borderId="0" xfId="0" applyNumberFormat="1" applyFont="1" applyAlignment="1"/>
    <xf numFmtId="0" fontId="48" fillId="0" borderId="0" xfId="0" applyNumberFormat="1" applyFont="1" applyAlignment="1">
      <alignment horizontal="center"/>
    </xf>
    <xf numFmtId="0" fontId="48" fillId="17" borderId="0" xfId="0" applyNumberFormat="1" applyFont="1" applyFill="1" applyAlignment="1"/>
    <xf numFmtId="0" fontId="13" fillId="0" borderId="0" xfId="0" applyNumberFormat="1" applyFont="1">
      <alignment vertical="top"/>
    </xf>
    <xf numFmtId="49" fontId="48" fillId="0" borderId="0" xfId="0" applyNumberFormat="1" applyFont="1" applyAlignment="1"/>
    <xf numFmtId="0" fontId="13"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0" fontId="3" fillId="8" borderId="1" xfId="0" applyNumberFormat="1" applyFont="1" applyFill="1" applyBorder="1" applyAlignment="1" applyProtection="1">
      <alignment horizontal="left" vertical="center" wrapText="1"/>
      <protection locked="0"/>
    </xf>
    <xf numFmtId="49" fontId="13" fillId="0" borderId="0" xfId="0" applyNumberFormat="1" applyFont="1" applyAlignment="1"/>
    <xf numFmtId="4" fontId="3" fillId="16" borderId="13" xfId="0" applyNumberFormat="1" applyFont="1" applyFill="1" applyBorder="1" applyAlignment="1" applyProtection="1">
      <alignment horizontal="right" vertical="center"/>
      <protection locked="0"/>
    </xf>
    <xf numFmtId="0" fontId="48" fillId="0" borderId="0" xfId="0" applyNumberFormat="1" applyFont="1" applyAlignment="1">
      <alignment horizontal="left" vertical="center"/>
    </xf>
    <xf numFmtId="0" fontId="3" fillId="0" borderId="0" xfId="0" applyNumberFormat="1" applyFont="1" applyAlignment="1">
      <alignment horizontal="left"/>
    </xf>
    <xf numFmtId="49" fontId="47" fillId="0" borderId="0" xfId="0" applyNumberFormat="1" applyFont="1" applyAlignment="1"/>
    <xf numFmtId="0" fontId="3" fillId="5" borderId="0" xfId="0" applyNumberFormat="1" applyFont="1" applyFill="1" applyAlignment="1">
      <alignment horizontal="center" vertical="center"/>
    </xf>
    <xf numFmtId="0" fontId="3" fillId="0" borderId="0" xfId="0" applyNumberFormat="1" applyFont="1" applyAlignment="1">
      <alignment horizontal="center" vertical="top"/>
    </xf>
    <xf numFmtId="0" fontId="3" fillId="12" borderId="0" xfId="0" applyNumberFormat="1" applyFont="1" applyFill="1" applyAlignment="1">
      <alignment horizontal="center" vertical="center"/>
    </xf>
    <xf numFmtId="0" fontId="3" fillId="0" borderId="0" xfId="0" applyNumberFormat="1" applyFont="1" applyAlignment="1">
      <alignment vertical="center"/>
    </xf>
    <xf numFmtId="0" fontId="13" fillId="13" borderId="0" xfId="0" applyNumberFormat="1" applyFont="1" applyFill="1" applyAlignment="1">
      <alignment horizontal="left" vertical="top"/>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left" indent="1"/>
    </xf>
    <xf numFmtId="0" fontId="3" fillId="0" borderId="44"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4" fontId="3" fillId="10" borderId="1" xfId="0" applyNumberFormat="1" applyFont="1" applyFill="1" applyBorder="1" applyAlignment="1">
      <alignment horizontal="right" vertical="center" wrapText="1"/>
    </xf>
    <xf numFmtId="0" fontId="3" fillId="0" borderId="1" xfId="0" applyNumberFormat="1" applyFont="1" applyBorder="1" applyAlignment="1">
      <alignment horizontal="right" vertical="center" wrapText="1"/>
    </xf>
    <xf numFmtId="0" fontId="3" fillId="0" borderId="1" xfId="0" quotePrefix="1" applyNumberFormat="1" applyFont="1" applyBorder="1" applyAlignment="1">
      <alignment horizontal="left" vertical="center" wrapText="1" indent="1"/>
    </xf>
    <xf numFmtId="4" fontId="6" fillId="10" borderId="1" xfId="0" applyNumberFormat="1" applyFont="1" applyFill="1" applyBorder="1" applyAlignment="1">
      <alignment horizontal="right" vertical="center" wrapText="1"/>
    </xf>
    <xf numFmtId="49" fontId="22" fillId="15" borderId="27" xfId="0" applyNumberFormat="1" applyFont="1" applyFill="1" applyBorder="1" applyAlignment="1">
      <alignment horizontal="left" vertical="center" wrapText="1" indent="1"/>
    </xf>
    <xf numFmtId="0" fontId="3" fillId="8" borderId="13" xfId="0" applyNumberFormat="1" applyFont="1" applyFill="1" applyBorder="1" applyAlignment="1" applyProtection="1">
      <alignment horizontal="left" vertical="center" wrapText="1" indent="1"/>
      <protection locked="0"/>
    </xf>
    <xf numFmtId="171" fontId="3" fillId="16" borderId="1" xfId="0" applyNumberFormat="1" applyFont="1" applyFill="1" applyBorder="1" applyAlignment="1" applyProtection="1">
      <alignment horizontal="left" vertical="center" wrapText="1" indent="1"/>
      <protection locked="0"/>
    </xf>
    <xf numFmtId="169"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3"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169" fontId="3" fillId="10" borderId="1" xfId="0" applyNumberFormat="1" applyFont="1" applyFill="1" applyBorder="1" applyAlignment="1">
      <alignment horizontal="right" vertical="center"/>
    </xf>
    <xf numFmtId="49" fontId="5" fillId="8" borderId="2" xfId="0" applyNumberFormat="1" applyFont="1" applyFill="1" applyBorder="1" applyAlignment="1" applyProtection="1">
      <alignment horizontal="right" vertical="center"/>
      <protection locked="0"/>
    </xf>
    <xf numFmtId="0" fontId="3" fillId="0" borderId="0" xfId="0" applyNumberFormat="1" applyFont="1" applyAlignment="1">
      <alignment horizontal="left" vertical="center" wrapText="1"/>
    </xf>
    <xf numFmtId="0" fontId="5" fillId="0" borderId="0" xfId="0" applyNumberFormat="1" applyFont="1" applyAlignment="1">
      <alignment horizontal="right" vertical="center"/>
    </xf>
    <xf numFmtId="169" fontId="5" fillId="0" borderId="0" xfId="0" applyNumberFormat="1" applyFont="1" applyAlignment="1">
      <alignment horizontal="right" vertical="center"/>
    </xf>
    <xf numFmtId="49" fontId="5" fillId="0" borderId="0" xfId="0" applyNumberFormat="1" applyFont="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7" fillId="0" borderId="0" xfId="0" applyNumberFormat="1" applyFont="1" applyAlignment="1">
      <alignment vertical="center"/>
    </xf>
    <xf numFmtId="0" fontId="1" fillId="0" borderId="0" xfId="0" applyNumberFormat="1" applyFont="1" applyAlignment="1">
      <alignment vertical="center"/>
    </xf>
    <xf numFmtId="0" fontId="13" fillId="0" borderId="0" xfId="0" applyNumberFormat="1" applyFont="1" applyAlignment="1">
      <alignment horizontal="center" vertical="center"/>
    </xf>
    <xf numFmtId="0" fontId="33" fillId="0" borderId="0" xfId="0" applyNumberFormat="1" applyFont="1" applyAlignment="1">
      <alignment horizontal="left" vertical="top"/>
    </xf>
    <xf numFmtId="49" fontId="3" fillId="0" borderId="45" xfId="0" applyNumberFormat="1" applyFont="1" applyBorder="1">
      <alignment vertical="top"/>
    </xf>
    <xf numFmtId="0" fontId="8" fillId="0" borderId="0" xfId="0" applyNumberFormat="1" applyFont="1" applyAlignment="1">
      <alignment vertical="center" wrapText="1"/>
    </xf>
    <xf numFmtId="0" fontId="3" fillId="0" borderId="0" xfId="0" applyNumberFormat="1" applyFont="1">
      <alignment vertical="top"/>
    </xf>
    <xf numFmtId="0" fontId="0" fillId="5" borderId="0" xfId="0" applyNumberFormat="1" applyFont="1" applyFill="1" applyAlignment="1">
      <alignment horizontal="center" vertical="center" wrapText="1"/>
    </xf>
    <xf numFmtId="0" fontId="3" fillId="17" borderId="0" xfId="0" applyNumberFormat="1" applyFont="1" applyFill="1" applyAlignment="1">
      <alignment horizontal="left" vertical="center"/>
    </xf>
    <xf numFmtId="0" fontId="3" fillId="17" borderId="0" xfId="0" applyNumberFormat="1" applyFont="1" applyFill="1" applyAlignment="1">
      <alignment vertical="center" wrapText="1"/>
    </xf>
    <xf numFmtId="0" fontId="8" fillId="17" borderId="0" xfId="0" applyNumberFormat="1" applyFont="1" applyFill="1" applyAlignment="1">
      <alignment vertical="center" wrapText="1"/>
    </xf>
    <xf numFmtId="0" fontId="3" fillId="17" borderId="0" xfId="0" applyNumberFormat="1" applyFont="1" applyFill="1">
      <alignment vertical="top"/>
    </xf>
    <xf numFmtId="0" fontId="53" fillId="0" borderId="0" xfId="0" applyNumberFormat="1" applyFont="1" applyAlignment="1">
      <alignment vertical="center" wrapText="1"/>
    </xf>
    <xf numFmtId="0" fontId="6" fillId="0" borderId="0" xfId="0" applyNumberFormat="1" applyFont="1" applyAlignment="1">
      <alignment vertical="center" wrapText="1"/>
    </xf>
    <xf numFmtId="0" fontId="54" fillId="0" borderId="0" xfId="0" applyNumberFormat="1" applyFont="1" applyAlignment="1">
      <alignment vertical="center" wrapText="1"/>
    </xf>
    <xf numFmtId="0" fontId="55" fillId="0" borderId="0" xfId="0" applyNumberFormat="1" applyFont="1" applyAlignment="1">
      <alignment horizontal="center" vertical="top" wrapText="1"/>
    </xf>
    <xf numFmtId="0" fontId="3" fillId="9" borderId="0" xfId="0" applyNumberFormat="1" applyFont="1" applyFill="1">
      <alignment vertical="top"/>
    </xf>
    <xf numFmtId="0" fontId="1" fillId="0" borderId="0" xfId="0" applyNumberFormat="1" applyFont="1" applyAlignment="1"/>
    <xf numFmtId="49" fontId="5" fillId="0" borderId="2" xfId="0" applyNumberFormat="1" applyFont="1" applyBorder="1" applyAlignment="1">
      <alignment horizontal="left" vertical="center" wrapText="1"/>
    </xf>
    <xf numFmtId="0" fontId="33" fillId="4" borderId="0" xfId="0" applyNumberFormat="1" applyFont="1" applyFill="1" applyAlignment="1">
      <alignment horizontal="center" vertical="center"/>
    </xf>
    <xf numFmtId="0" fontId="18" fillId="0" borderId="0" xfId="0" applyNumberFormat="1" applyFont="1" applyAlignment="1">
      <alignment horizontal="left" vertical="center" wrapText="1" indent="4"/>
    </xf>
    <xf numFmtId="0" fontId="17" fillId="0" borderId="0" xfId="0" applyNumberFormat="1" applyFont="1" applyAlignment="1">
      <alignment vertical="center"/>
    </xf>
    <xf numFmtId="0" fontId="33" fillId="0" borderId="0" xfId="0" applyNumberFormat="1" applyFont="1" applyAlignment="1">
      <alignment horizontal="center" vertical="center"/>
    </xf>
    <xf numFmtId="0" fontId="17" fillId="17" borderId="0" xfId="0" applyNumberFormat="1" applyFont="1" applyFill="1" applyAlignment="1">
      <alignment vertical="center"/>
    </xf>
    <xf numFmtId="0" fontId="7" fillId="0" borderId="0" xfId="0" applyNumberFormat="1" applyFont="1" applyAlignment="1">
      <alignment vertical="center"/>
    </xf>
    <xf numFmtId="0" fontId="17" fillId="0" borderId="0" xfId="0" applyNumberFormat="1" applyFont="1" applyAlignment="1">
      <alignment vertical="center" wrapText="1"/>
    </xf>
    <xf numFmtId="0" fontId="3" fillId="0" borderId="0" xfId="0" applyNumberFormat="1" applyFont="1" applyAlignment="1"/>
    <xf numFmtId="0" fontId="10" fillId="0" borderId="0" xfId="0" applyNumberFormat="1" applyFont="1" applyAlignment="1">
      <alignment vertical="center" wrapText="1"/>
    </xf>
    <xf numFmtId="0" fontId="10" fillId="0" borderId="0" xfId="0" applyNumberFormat="1" applyFont="1" applyAlignment="1">
      <alignment horizontal="center" vertical="center" wrapText="1"/>
    </xf>
    <xf numFmtId="0" fontId="10" fillId="0" borderId="0" xfId="0" applyNumberFormat="1" applyFont="1" applyAlignment="1">
      <alignment vertical="center"/>
    </xf>
    <xf numFmtId="0" fontId="1" fillId="0" borderId="0" xfId="0" applyNumberFormat="1" applyFont="1" applyAlignment="1"/>
    <xf numFmtId="49" fontId="6" fillId="0" borderId="0" xfId="0" applyNumberFormat="1" applyFont="1">
      <alignment vertical="top"/>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17" borderId="0" xfId="0" applyNumberFormat="1" applyFont="1" applyFill="1" applyAlignment="1">
      <alignment horizontal="center" vertical="top"/>
    </xf>
    <xf numFmtId="0" fontId="3" fillId="0" borderId="0" xfId="0" applyNumberFormat="1" applyFont="1" applyAlignment="1">
      <alignment horizontal="right" vertical="center" wrapText="1"/>
    </xf>
    <xf numFmtId="0" fontId="3" fillId="2" borderId="0" xfId="0" applyNumberFormat="1" applyFont="1" applyFill="1" applyAlignment="1">
      <alignment horizontal="left" vertical="center" wrapText="1"/>
    </xf>
    <xf numFmtId="0" fontId="0" fillId="2" borderId="0" xfId="0" applyNumberFormat="1" applyFont="1" applyFill="1" applyAlignment="1">
      <alignment horizontal="center" vertical="center" wrapText="1"/>
    </xf>
    <xf numFmtId="0" fontId="3" fillId="2" borderId="0" xfId="0" applyNumberFormat="1" applyFont="1" applyFill="1" applyAlignment="1">
      <alignment vertical="center" wrapText="1"/>
    </xf>
    <xf numFmtId="0" fontId="3" fillId="2" borderId="0" xfId="0" applyNumberFormat="1" applyFont="1" applyFill="1" applyAlignment="1">
      <alignment horizontal="center" vertical="center" wrapText="1"/>
    </xf>
    <xf numFmtId="0" fontId="3" fillId="2" borderId="0" xfId="0" applyNumberFormat="1" applyFont="1" applyFill="1">
      <alignment vertical="top"/>
    </xf>
    <xf numFmtId="0" fontId="5" fillId="2" borderId="0" xfId="0" applyNumberFormat="1" applyFont="1" applyFill="1" applyAlignment="1"/>
    <xf numFmtId="0" fontId="3" fillId="2" borderId="0" xfId="0" applyNumberFormat="1" applyFont="1" applyFill="1">
      <alignment vertical="top"/>
    </xf>
    <xf numFmtId="0" fontId="8" fillId="2" borderId="0" xfId="0" applyNumberFormat="1" applyFont="1" applyFill="1">
      <alignment vertical="top"/>
    </xf>
    <xf numFmtId="0" fontId="3" fillId="2" borderId="0" xfId="0" applyNumberFormat="1" applyFont="1" applyFill="1" applyAlignment="1"/>
    <xf numFmtId="0" fontId="3" fillId="2" borderId="0" xfId="0" applyNumberFormat="1" applyFont="1" applyFill="1">
      <alignment vertical="top"/>
    </xf>
    <xf numFmtId="0" fontId="0" fillId="17" borderId="0" xfId="0" applyNumberFormat="1" applyFont="1" applyFill="1" applyAlignment="1">
      <alignment horizontal="center" vertical="center" wrapText="1"/>
    </xf>
    <xf numFmtId="49" fontId="3" fillId="2" borderId="0" xfId="0" applyNumberFormat="1" applyFont="1" applyFill="1" applyAlignment="1">
      <alignment vertical="center" wrapText="1"/>
    </xf>
    <xf numFmtId="49" fontId="3" fillId="2" borderId="0" xfId="0" applyNumberFormat="1" applyFont="1" applyFill="1">
      <alignment vertical="top"/>
    </xf>
    <xf numFmtId="0" fontId="13" fillId="2" borderId="0" xfId="0" applyNumberFormat="1" applyFont="1" applyFill="1" applyAlignment="1"/>
    <xf numFmtId="49" fontId="3" fillId="2" borderId="0" xfId="0" applyNumberFormat="1" applyFont="1" applyFill="1">
      <alignment vertical="top"/>
    </xf>
    <xf numFmtId="49" fontId="8" fillId="17" borderId="0" xfId="0" applyNumberFormat="1" applyFont="1" applyFill="1">
      <alignment vertical="top"/>
    </xf>
    <xf numFmtId="49" fontId="13" fillId="2" borderId="0" xfId="0" applyNumberFormat="1" applyFont="1" applyFill="1" applyAlignment="1"/>
    <xf numFmtId="0" fontId="0" fillId="2" borderId="0" xfId="0" applyNumberFormat="1" applyFont="1" applyFill="1" applyAlignment="1">
      <alignment horizontal="center"/>
    </xf>
    <xf numFmtId="0" fontId="5" fillId="2" borderId="0" xfId="0" applyNumberFormat="1" applyFont="1" applyFill="1" applyAlignment="1">
      <alignment horizontal="left"/>
    </xf>
    <xf numFmtId="0" fontId="5" fillId="2" borderId="0" xfId="0" applyNumberFormat="1" applyFont="1" applyFill="1" applyAlignment="1">
      <alignment wrapText="1"/>
    </xf>
    <xf numFmtId="0" fontId="5" fillId="2" borderId="0" xfId="0" applyNumberFormat="1" applyFont="1" applyFill="1" applyAlignment="1">
      <alignment horizontal="center"/>
    </xf>
    <xf numFmtId="0" fontId="5" fillId="2" borderId="0" xfId="0" applyNumberFormat="1" applyFont="1" applyFill="1" applyAlignment="1">
      <alignment vertical="center" wrapText="1"/>
    </xf>
    <xf numFmtId="0" fontId="0" fillId="17" borderId="0" xfId="0" applyNumberFormat="1" applyFont="1" applyFill="1" applyAlignment="1">
      <alignment horizontal="center"/>
    </xf>
    <xf numFmtId="0" fontId="5" fillId="2" borderId="0" xfId="0" applyNumberFormat="1" applyFont="1" applyFill="1" applyAlignment="1">
      <alignment vertical="center"/>
    </xf>
    <xf numFmtId="0" fontId="0" fillId="2" borderId="0" xfId="0" applyNumberFormat="1" applyFont="1" applyFill="1" applyAlignment="1">
      <alignment horizontal="center" vertical="center"/>
    </xf>
    <xf numFmtId="0" fontId="5" fillId="2" borderId="0" xfId="0" applyNumberFormat="1" applyFont="1" applyFill="1" applyAlignment="1">
      <alignment horizontal="left" vertical="center"/>
    </xf>
    <xf numFmtId="0" fontId="3" fillId="2" borderId="0" xfId="0" applyNumberFormat="1" applyFont="1" applyFill="1" applyAlignment="1">
      <alignment vertical="center"/>
    </xf>
    <xf numFmtId="49" fontId="3" fillId="2" borderId="0" xfId="0" applyNumberFormat="1" applyFont="1" applyFill="1">
      <alignment vertical="top"/>
    </xf>
    <xf numFmtId="0" fontId="5" fillId="2" borderId="0" xfId="0" applyNumberFormat="1" applyFont="1" applyFill="1" applyAlignment="1">
      <alignment vertical="center"/>
    </xf>
    <xf numFmtId="0" fontId="13" fillId="0" borderId="0" xfId="0" applyNumberFormat="1" applyFont="1" applyAlignment="1"/>
    <xf numFmtId="0" fontId="13" fillId="0" borderId="0" xfId="0" applyNumberFormat="1" applyFont="1" applyAlignment="1">
      <alignment vertical="center"/>
    </xf>
    <xf numFmtId="0" fontId="5" fillId="0" borderId="0" xfId="0" applyNumberFormat="1" applyFont="1" applyAlignment="1"/>
    <xf numFmtId="0" fontId="13" fillId="2" borderId="0" xfId="0" applyNumberFormat="1" applyFont="1" applyFill="1" applyAlignment="1"/>
    <xf numFmtId="0" fontId="3" fillId="2" borderId="0" xfId="0" applyNumberFormat="1" applyFont="1" applyFill="1" applyAlignment="1"/>
    <xf numFmtId="0" fontId="3" fillId="2" borderId="0" xfId="0" applyNumberFormat="1" applyFont="1" applyFill="1" applyAlignment="1">
      <alignment horizontal="center"/>
    </xf>
    <xf numFmtId="0" fontId="5" fillId="2" borderId="0" xfId="0" applyNumberFormat="1" applyFont="1" applyFill="1" applyAlignment="1">
      <alignment vertical="center"/>
    </xf>
    <xf numFmtId="49" fontId="3" fillId="2" borderId="0" xfId="0" applyNumberFormat="1" applyFont="1" applyFill="1" applyAlignment="1">
      <alignment horizontal="center"/>
    </xf>
    <xf numFmtId="0" fontId="0" fillId="17" borderId="0" xfId="0" applyNumberFormat="1" applyFont="1" applyFill="1" applyAlignment="1">
      <alignment horizontal="center" vertical="center"/>
    </xf>
    <xf numFmtId="0" fontId="5" fillId="2" borderId="0" xfId="0" applyNumberFormat="1" applyFont="1" applyFill="1" applyAlignment="1">
      <alignment horizontal="center" vertical="center" wrapText="1"/>
    </xf>
    <xf numFmtId="0" fontId="13" fillId="2" borderId="0" xfId="0" applyNumberFormat="1" applyFont="1" applyFill="1" applyAlignment="1">
      <alignment vertical="center"/>
    </xf>
    <xf numFmtId="0" fontId="3" fillId="2" borderId="0" xfId="0" applyNumberFormat="1" applyFont="1" applyFill="1" applyAlignment="1"/>
    <xf numFmtId="0" fontId="3" fillId="2" borderId="0" xfId="0" applyNumberFormat="1" applyFont="1" applyFill="1" applyAlignment="1">
      <alignment horizontal="center"/>
    </xf>
    <xf numFmtId="0" fontId="3" fillId="2" borderId="0" xfId="0" applyNumberFormat="1" applyFont="1" applyFill="1" applyAlignment="1">
      <alignment horizontal="left" vertical="top"/>
    </xf>
    <xf numFmtId="0" fontId="6" fillId="2" borderId="0" xfId="0" applyNumberFormat="1" applyFont="1" applyFill="1" applyAlignment="1"/>
    <xf numFmtId="0" fontId="5" fillId="2" borderId="0" xfId="0" applyNumberFormat="1" applyFont="1" applyFill="1" applyAlignment="1">
      <alignment vertical="center"/>
    </xf>
    <xf numFmtId="0" fontId="0" fillId="2" borderId="0" xfId="0" applyNumberFormat="1" applyFont="1" applyFill="1" applyAlignment="1">
      <alignment horizontal="center"/>
    </xf>
    <xf numFmtId="0" fontId="5" fillId="2" borderId="0" xfId="0" applyNumberFormat="1" applyFont="1" applyFill="1" applyAlignment="1"/>
    <xf numFmtId="0" fontId="5" fillId="2" borderId="0" xfId="0" applyNumberFormat="1" applyFont="1" applyFill="1" applyAlignment="1">
      <alignment horizontal="center"/>
    </xf>
    <xf numFmtId="0" fontId="3" fillId="2" borderId="0" xfId="0" applyNumberFormat="1" applyFont="1" applyFill="1" applyAlignment="1">
      <alignment horizontal="left" vertical="top"/>
    </xf>
    <xf numFmtId="0" fontId="7" fillId="2" borderId="0" xfId="0" applyNumberFormat="1" applyFont="1" applyFill="1" applyAlignment="1"/>
    <xf numFmtId="0" fontId="33" fillId="2" borderId="0" xfId="0" applyNumberFormat="1" applyFont="1" applyFill="1" applyAlignment="1">
      <alignment horizontal="center"/>
    </xf>
    <xf numFmtId="0" fontId="48" fillId="2" borderId="0" xfId="0" applyNumberFormat="1" applyFont="1" applyFill="1" applyAlignment="1"/>
    <xf numFmtId="0" fontId="10" fillId="2" borderId="0" xfId="0" applyNumberFormat="1" applyFont="1" applyFill="1" applyAlignment="1"/>
    <xf numFmtId="0" fontId="33" fillId="17" borderId="0" xfId="0" applyNumberFormat="1" applyFont="1" applyFill="1" applyAlignment="1">
      <alignment horizontal="center"/>
    </xf>
    <xf numFmtId="0" fontId="5" fillId="2" borderId="0" xfId="0" applyNumberFormat="1" applyFont="1" applyFill="1" applyAlignment="1">
      <alignment horizontal="center" vertical="center" wrapText="1"/>
    </xf>
    <xf numFmtId="0" fontId="5" fillId="17" borderId="0" xfId="0" applyNumberFormat="1" applyFont="1" applyFill="1" applyAlignment="1">
      <alignment horizontal="center" vertical="center" wrapText="1"/>
    </xf>
    <xf numFmtId="49" fontId="3" fillId="2" borderId="0" xfId="0" applyNumberFormat="1" applyFont="1" applyFill="1">
      <alignment vertical="top"/>
    </xf>
    <xf numFmtId="0" fontId="0" fillId="17" borderId="0" xfId="0" applyNumberFormat="1" applyFont="1" applyFill="1" applyAlignment="1">
      <alignment horizontal="center"/>
    </xf>
    <xf numFmtId="49" fontId="5" fillId="2" borderId="0" xfId="0" applyNumberFormat="1" applyFont="1" applyFill="1" applyAlignment="1"/>
    <xf numFmtId="0" fontId="24" fillId="2" borderId="0" xfId="0" applyNumberFormat="1" applyFont="1" applyFill="1" applyAlignment="1"/>
    <xf numFmtId="0" fontId="3" fillId="2" borderId="0" xfId="0" applyNumberFormat="1" applyFont="1" applyFill="1" applyAlignment="1">
      <alignment horizontal="center" vertical="center"/>
    </xf>
    <xf numFmtId="0" fontId="13" fillId="2" borderId="0" xfId="0" applyNumberFormat="1" applyFont="1" applyFill="1" applyAlignment="1">
      <alignment horizontal="left" vertical="center"/>
    </xf>
    <xf numFmtId="0" fontId="5" fillId="2" borderId="0" xfId="0" applyNumberFormat="1" applyFont="1" applyFill="1" applyAlignment="1">
      <alignment horizontal="left" vertical="center" wrapText="1"/>
    </xf>
    <xf numFmtId="0" fontId="24" fillId="2" borderId="0" xfId="0" applyNumberFormat="1" applyFont="1" applyFill="1" applyAlignment="1">
      <alignment vertical="center"/>
    </xf>
    <xf numFmtId="0" fontId="24" fillId="17" borderId="0" xfId="0" applyNumberFormat="1" applyFont="1" applyFill="1" applyAlignment="1">
      <alignment vertical="center"/>
    </xf>
    <xf numFmtId="49" fontId="5" fillId="2" borderId="0" xfId="0" applyNumberFormat="1" applyFont="1" applyFill="1" applyAlignment="1">
      <alignment vertical="center"/>
    </xf>
    <xf numFmtId="0" fontId="3" fillId="2" borderId="0" xfId="0" applyNumberFormat="1" applyFont="1" applyFill="1">
      <alignment vertical="top"/>
    </xf>
    <xf numFmtId="0" fontId="1" fillId="17" borderId="0" xfId="0" applyNumberFormat="1" applyFont="1" applyFill="1" applyAlignment="1"/>
    <xf numFmtId="0" fontId="1" fillId="2" borderId="0" xfId="0" applyNumberFormat="1" applyFont="1" applyFill="1" applyAlignment="1"/>
    <xf numFmtId="0" fontId="5" fillId="2" borderId="0" xfId="0" applyNumberFormat="1" applyFont="1" applyFill="1" applyAlignment="1">
      <alignment vertical="center"/>
    </xf>
    <xf numFmtId="0" fontId="1" fillId="2" borderId="0" xfId="0" applyNumberFormat="1" applyFont="1" applyFill="1" applyAlignment="1"/>
    <xf numFmtId="0" fontId="2" fillId="2" borderId="0" xfId="0" applyNumberFormat="1" applyFont="1" applyFill="1" applyAlignment="1"/>
    <xf numFmtId="0" fontId="17" fillId="2" borderId="0" xfId="0" applyNumberFormat="1" applyFont="1" applyFill="1" applyAlignment="1">
      <alignment vertical="center"/>
    </xf>
    <xf numFmtId="0" fontId="33" fillId="2" borderId="0" xfId="0" applyNumberFormat="1" applyFont="1" applyFill="1" applyAlignment="1">
      <alignment horizontal="center" vertical="center"/>
    </xf>
    <xf numFmtId="0" fontId="7" fillId="2" borderId="0" xfId="0" applyNumberFormat="1" applyFont="1" applyFill="1" applyAlignment="1">
      <alignment vertical="center"/>
    </xf>
    <xf numFmtId="0" fontId="17" fillId="2" borderId="0" xfId="0" applyNumberFormat="1" applyFont="1" applyFill="1" applyAlignment="1">
      <alignment vertical="center" wrapText="1"/>
    </xf>
    <xf numFmtId="0" fontId="18" fillId="2" borderId="0" xfId="0" applyNumberFormat="1" applyFont="1" applyFill="1" applyAlignment="1">
      <alignment vertical="center" wrapText="1"/>
    </xf>
    <xf numFmtId="0" fontId="18" fillId="2" borderId="0" xfId="0" applyNumberFormat="1" applyFont="1" applyFill="1" applyAlignment="1">
      <alignment horizontal="center" vertical="center" wrapText="1"/>
    </xf>
    <xf numFmtId="0" fontId="18" fillId="2" borderId="0" xfId="0" applyNumberFormat="1" applyFont="1" applyFill="1" applyAlignment="1">
      <alignment vertical="center"/>
    </xf>
    <xf numFmtId="0" fontId="48" fillId="2" borderId="0" xfId="0" applyNumberFormat="1" applyFont="1" applyFill="1" applyAlignment="1">
      <alignment vertical="center"/>
    </xf>
    <xf numFmtId="0" fontId="48" fillId="17" borderId="0" xfId="0" applyNumberFormat="1" applyFont="1" applyFill="1" applyAlignment="1">
      <alignment vertical="center"/>
    </xf>
    <xf numFmtId="0" fontId="5" fillId="2" borderId="0" xfId="0" applyNumberFormat="1" applyFont="1" applyFill="1" applyAlignment="1">
      <alignment horizontal="center" vertical="center"/>
    </xf>
    <xf numFmtId="49" fontId="17" fillId="2" borderId="0" xfId="0" applyNumberFormat="1" applyFont="1" applyFill="1" applyAlignment="1">
      <alignment vertical="center"/>
    </xf>
    <xf numFmtId="0" fontId="13" fillId="2" borderId="0" xfId="0" applyNumberFormat="1" applyFont="1" applyFill="1" applyAlignment="1">
      <alignment horizontal="left"/>
    </xf>
    <xf numFmtId="0" fontId="5" fillId="2" borderId="0" xfId="0" applyNumberFormat="1" applyFont="1" applyFill="1" applyAlignment="1">
      <alignment vertical="center"/>
    </xf>
    <xf numFmtId="0" fontId="5" fillId="2" borderId="0" xfId="0" applyNumberFormat="1" applyFont="1" applyFill="1" applyAlignment="1">
      <alignment vertical="center"/>
    </xf>
    <xf numFmtId="171" fontId="5" fillId="8" borderId="2" xfId="0" applyNumberFormat="1" applyFont="1" applyFill="1" applyBorder="1" applyAlignment="1" applyProtection="1">
      <alignment horizontal="left" vertical="center" wrapText="1" indent="1"/>
      <protection locked="0"/>
    </xf>
    <xf numFmtId="49" fontId="5" fillId="2" borderId="0" xfId="0" applyNumberFormat="1" applyFont="1" applyFill="1" applyAlignment="1"/>
    <xf numFmtId="49" fontId="3" fillId="0" borderId="0" xfId="0" applyNumberFormat="1" applyFont="1" applyAlignment="1"/>
    <xf numFmtId="0" fontId="3" fillId="12" borderId="0" xfId="0" applyNumberFormat="1" applyFont="1" applyFill="1" applyAlignment="1"/>
    <xf numFmtId="0" fontId="1" fillId="0" borderId="0" xfId="0" applyNumberFormat="1" applyFont="1" applyAlignment="1"/>
    <xf numFmtId="49" fontId="3" fillId="0" borderId="0" xfId="0" applyNumberFormat="1" applyFont="1" applyAlignment="1">
      <alignment horizontal="left" vertical="top"/>
    </xf>
    <xf numFmtId="49" fontId="3" fillId="0" borderId="0" xfId="0" applyNumberFormat="1" applyFont="1" applyAlignment="1">
      <alignment horizontal="left" vertical="top"/>
    </xf>
    <xf numFmtId="169" fontId="3" fillId="10" borderId="2" xfId="0" applyNumberFormat="1" applyFont="1" applyFill="1" applyBorder="1" applyAlignment="1">
      <alignment horizontal="right" vertical="center" wrapText="1"/>
    </xf>
    <xf numFmtId="4" fontId="3" fillId="10" borderId="2" xfId="0" applyNumberFormat="1" applyFont="1" applyFill="1" applyBorder="1" applyAlignment="1">
      <alignment horizontal="right" vertical="center" wrapText="1"/>
    </xf>
    <xf numFmtId="4" fontId="3" fillId="0" borderId="0" xfId="0" applyNumberFormat="1" applyFont="1" applyAlignment="1"/>
    <xf numFmtId="49" fontId="49" fillId="0" borderId="0" xfId="0" applyNumberFormat="1" applyFont="1" applyAlignment="1">
      <alignment vertical="top" wrapText="1"/>
    </xf>
    <xf numFmtId="0" fontId="3" fillId="0" borderId="1"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6" fillId="9" borderId="2"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1"/>
    </xf>
    <xf numFmtId="4" fontId="3" fillId="10" borderId="1" xfId="0" applyNumberFormat="1" applyFont="1" applyFill="1" applyBorder="1" applyAlignment="1">
      <alignment horizontal="right" vertical="center" wrapText="1"/>
    </xf>
    <xf numFmtId="4" fontId="3" fillId="10" borderId="2" xfId="0" applyNumberFormat="1" applyFont="1" applyFill="1" applyBorder="1" applyAlignment="1">
      <alignment vertical="center"/>
    </xf>
    <xf numFmtId="169" fontId="3" fillId="8" borderId="2" xfId="0" applyNumberFormat="1" applyFont="1" applyFill="1" applyBorder="1" applyAlignment="1" applyProtection="1">
      <alignment horizontal="right" vertical="center"/>
      <protection locked="0"/>
    </xf>
    <xf numFmtId="169" fontId="3" fillId="10" borderId="2" xfId="0" applyNumberFormat="1" applyFont="1" applyFill="1" applyBorder="1" applyAlignment="1">
      <alignment vertical="center"/>
    </xf>
    <xf numFmtId="49" fontId="6" fillId="15" borderId="25" xfId="0" applyNumberFormat="1" applyFont="1" applyFill="1" applyBorder="1" applyAlignment="1">
      <alignment horizontal="left" vertical="center" wrapText="1" indent="1"/>
    </xf>
    <xf numFmtId="49" fontId="6" fillId="15" borderId="26" xfId="0" applyNumberFormat="1" applyFont="1" applyFill="1" applyBorder="1" applyAlignment="1">
      <alignment horizontal="left" vertical="center" wrapText="1" inden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3" fillId="0" borderId="29"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169" fontId="3" fillId="10" borderId="2" xfId="0" applyNumberFormat="1" applyFont="1" applyFill="1" applyBorder="1" applyAlignment="1">
      <alignment vertical="center"/>
    </xf>
    <xf numFmtId="4" fontId="3" fillId="0" borderId="29" xfId="0" applyNumberFormat="1" applyFont="1" applyBorder="1" applyAlignment="1">
      <alignment horizontal="right" vertical="center"/>
    </xf>
    <xf numFmtId="4" fontId="3" fillId="0" borderId="29" xfId="0" applyNumberFormat="1" applyFont="1" applyBorder="1" applyAlignment="1">
      <alignment vertical="center"/>
    </xf>
    <xf numFmtId="4" fontId="3" fillId="0" borderId="14" xfId="0" applyNumberFormat="1" applyFont="1" applyBorder="1" applyAlignment="1">
      <alignment vertical="center"/>
    </xf>
    <xf numFmtId="0" fontId="3" fillId="0" borderId="0" xfId="0" applyNumberFormat="1" applyFont="1">
      <alignment vertical="top"/>
    </xf>
    <xf numFmtId="0" fontId="3" fillId="10" borderId="1" xfId="0" applyNumberFormat="1" applyFont="1" applyFill="1" applyBorder="1" applyAlignment="1">
      <alignment vertical="center"/>
    </xf>
    <xf numFmtId="0" fontId="3" fillId="10" borderId="46" xfId="0" applyNumberFormat="1" applyFont="1" applyFill="1" applyBorder="1" applyAlignment="1">
      <alignment vertical="center"/>
    </xf>
    <xf numFmtId="0" fontId="3" fillId="0" borderId="1" xfId="0" applyNumberFormat="1" applyFont="1" applyBorder="1" applyAlignment="1">
      <alignment horizontal="left" vertical="center" wrapText="1" indent="1"/>
    </xf>
    <xf numFmtId="0" fontId="3" fillId="9" borderId="1" xfId="0" applyNumberFormat="1" applyFont="1" applyFill="1" applyBorder="1" applyAlignment="1">
      <alignment horizontal="left" vertical="center" wrapText="1" indent="1"/>
    </xf>
    <xf numFmtId="169" fontId="3"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3" fillId="10" borderId="1" xfId="0" applyNumberFormat="1" applyFont="1" applyFill="1" applyBorder="1" applyAlignment="1">
      <alignment horizontal="right" vertical="center"/>
    </xf>
    <xf numFmtId="49" fontId="3" fillId="0" borderId="2" xfId="0" applyNumberFormat="1" applyFont="1" applyBorder="1" applyAlignment="1">
      <alignment horizontal="left" vertical="center" wrapText="1"/>
    </xf>
    <xf numFmtId="0" fontId="5"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3"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49" fontId="3" fillId="0" borderId="29"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6" fillId="0" borderId="0" xfId="0" applyNumberFormat="1" applyFont="1">
      <alignment vertical="top"/>
    </xf>
    <xf numFmtId="0" fontId="35" fillId="0" borderId="0" xfId="0" applyNumberFormat="1" applyFont="1" applyAlignment="1">
      <alignment wrapText="1"/>
    </xf>
    <xf numFmtId="49" fontId="38" fillId="0" borderId="0" xfId="0" applyNumberFormat="1" applyFont="1" applyAlignment="1">
      <alignment wrapText="1"/>
    </xf>
    <xf numFmtId="49" fontId="38" fillId="0" borderId="0" xfId="0" applyNumberFormat="1" applyFont="1" applyAlignment="1">
      <alignment vertical="center" wrapText="1"/>
    </xf>
    <xf numFmtId="49" fontId="36" fillId="0" borderId="0" xfId="0" applyNumberFormat="1" applyFont="1" applyAlignment="1">
      <alignment wrapText="1"/>
    </xf>
    <xf numFmtId="49" fontId="38" fillId="0" borderId="0" xfId="0" applyNumberFormat="1" applyFont="1" applyAlignment="1">
      <alignment horizontal="center" wrapText="1"/>
    </xf>
    <xf numFmtId="0" fontId="56" fillId="0" borderId="0" xfId="0" applyNumberFormat="1" applyFont="1" applyAlignment="1">
      <alignment horizontal="center" vertical="center" wrapText="1"/>
    </xf>
    <xf numFmtId="49" fontId="57" fillId="0" borderId="0" xfId="0" applyNumberFormat="1" applyFont="1" applyAlignment="1">
      <alignment horizontal="center" wrapText="1"/>
    </xf>
    <xf numFmtId="49" fontId="38" fillId="0" borderId="0" xfId="0" applyNumberFormat="1" applyFont="1" applyAlignment="1">
      <alignment horizontal="center" vertical="center" wrapText="1"/>
    </xf>
    <xf numFmtId="49" fontId="58" fillId="0" borderId="0" xfId="0" applyNumberFormat="1" applyFont="1" applyAlignment="1">
      <alignment wrapText="1"/>
    </xf>
    <xf numFmtId="0" fontId="9" fillId="0" borderId="0" xfId="0" applyNumberFormat="1" applyFont="1" applyAlignment="1">
      <alignment horizontal="left" vertical="center" wrapText="1"/>
    </xf>
    <xf numFmtId="49" fontId="3" fillId="0" borderId="0" xfId="0" applyNumberFormat="1" applyFont="1" applyAlignment="1">
      <alignment vertical="top" wrapText="1"/>
    </xf>
    <xf numFmtId="0" fontId="38" fillId="0" borderId="0" xfId="0" applyNumberFormat="1" applyFont="1" applyAlignment="1">
      <alignment wrapText="1"/>
    </xf>
    <xf numFmtId="0" fontId="56" fillId="0" borderId="0" xfId="0" applyNumberFormat="1" applyFont="1" applyAlignment="1">
      <alignment horizontal="left" vertical="center" wrapText="1"/>
    </xf>
    <xf numFmtId="0" fontId="59" fillId="0" borderId="0" xfId="0" applyNumberFormat="1" applyFont="1" applyAlignment="1">
      <alignment vertical="center" wrapText="1"/>
    </xf>
    <xf numFmtId="0" fontId="38" fillId="0" borderId="36" xfId="0" applyNumberFormat="1" applyFont="1" applyBorder="1" applyAlignment="1">
      <alignment wrapText="1"/>
    </xf>
    <xf numFmtId="0" fontId="38" fillId="0" borderId="0" xfId="0" applyNumberFormat="1" applyFont="1" applyAlignment="1"/>
    <xf numFmtId="0" fontId="56" fillId="0" borderId="0" xfId="0" applyNumberFormat="1" applyFont="1" applyAlignment="1"/>
    <xf numFmtId="0" fontId="40" fillId="0" borderId="0" xfId="0" applyNumberFormat="1" applyFont="1" applyAlignment="1">
      <alignment wrapText="1"/>
    </xf>
    <xf numFmtId="0" fontId="0" fillId="8" borderId="44" xfId="0" applyNumberFormat="1" applyFont="1" applyFill="1" applyBorder="1" applyAlignment="1">
      <alignment horizontal="center" vertical="center" wrapText="1"/>
    </xf>
    <xf numFmtId="0" fontId="0" fillId="20" borderId="44" xfId="0" applyNumberFormat="1" applyFont="1" applyFill="1" applyBorder="1" applyAlignment="1">
      <alignment horizontal="center" vertical="center" wrapText="1"/>
    </xf>
    <xf numFmtId="0" fontId="0" fillId="10" borderId="44" xfId="0" applyNumberFormat="1" applyFont="1" applyFill="1" applyBorder="1" applyAlignment="1">
      <alignment horizontal="center" vertical="center" wrapText="1"/>
    </xf>
    <xf numFmtId="0" fontId="0" fillId="16" borderId="44" xfId="0" applyNumberFormat="1" applyFont="1" applyFill="1" applyBorder="1" applyAlignment="1">
      <alignment horizontal="center" vertical="center" wrapText="1"/>
    </xf>
    <xf numFmtId="0" fontId="3" fillId="25" borderId="1" xfId="0" applyNumberFormat="1" applyFont="1" applyFill="1" applyBorder="1" applyAlignment="1">
      <alignment horizontal="center" vertical="center" wrapText="1"/>
    </xf>
    <xf numFmtId="0" fontId="3" fillId="24" borderId="1" xfId="0" applyNumberFormat="1" applyFont="1" applyFill="1" applyBorder="1" applyAlignment="1">
      <alignment horizontal="center" vertical="center" wrapText="1"/>
    </xf>
    <xf numFmtId="0" fontId="56" fillId="0" borderId="36" xfId="0" applyNumberFormat="1" applyFont="1" applyBorder="1" applyAlignment="1">
      <alignment horizontal="left" vertical="center" wrapText="1"/>
    </xf>
    <xf numFmtId="0" fontId="56" fillId="0" borderId="15" xfId="0" applyNumberFormat="1" applyFont="1" applyBorder="1" applyAlignment="1">
      <alignment horizontal="left" vertical="center" wrapText="1"/>
    </xf>
    <xf numFmtId="0" fontId="40" fillId="0" borderId="0" xfId="0" applyNumberFormat="1" applyFont="1" applyAlignment="1"/>
    <xf numFmtId="0" fontId="40" fillId="0" borderId="36" xfId="0" applyNumberFormat="1" applyFont="1" applyBorder="1" applyAlignment="1">
      <alignment wrapText="1"/>
    </xf>
    <xf numFmtId="0" fontId="38" fillId="0" borderId="22" xfId="0" applyNumberFormat="1" applyFont="1" applyBorder="1" applyAlignment="1">
      <alignment wrapText="1"/>
    </xf>
    <xf numFmtId="0" fontId="38" fillId="0" borderId="23" xfId="0" applyNumberFormat="1" applyFont="1" applyBorder="1" applyAlignment="1">
      <alignment wrapText="1"/>
    </xf>
    <xf numFmtId="0" fontId="38" fillId="0" borderId="23" xfId="0" applyNumberFormat="1" applyFont="1" applyBorder="1" applyAlignment="1">
      <alignment vertical="center" wrapText="1"/>
    </xf>
    <xf numFmtId="0" fontId="36" fillId="0" borderId="0" xfId="0" applyNumberFormat="1" applyFont="1" applyAlignment="1"/>
    <xf numFmtId="49" fontId="4" fillId="0" borderId="0" xfId="0" applyNumberFormat="1" applyFont="1" applyAlignment="1"/>
    <xf numFmtId="0" fontId="3" fillId="25" borderId="2" xfId="0" applyNumberFormat="1" applyFont="1" applyFill="1" applyBorder="1" applyAlignment="1">
      <alignment horizontal="left" vertical="center" wrapText="1" indent="1"/>
    </xf>
    <xf numFmtId="0" fontId="5" fillId="0" borderId="0" xfId="0" applyNumberFormat="1" applyFont="1" applyAlignment="1"/>
    <xf numFmtId="0" fontId="5" fillId="0" borderId="0" xfId="0" applyNumberFormat="1" applyFont="1" applyAlignment="1">
      <alignment horizontal="left"/>
    </xf>
    <xf numFmtId="0" fontId="5" fillId="2" borderId="0" xfId="0" applyNumberFormat="1" applyFont="1" applyFill="1" applyAlignment="1"/>
    <xf numFmtId="0" fontId="0" fillId="2" borderId="0" xfId="0" applyNumberFormat="1" applyFont="1" applyFill="1" applyAlignment="1">
      <alignment horizontal="center"/>
    </xf>
    <xf numFmtId="0" fontId="5" fillId="17" borderId="0" xfId="0" applyNumberFormat="1" applyFont="1" applyFill="1" applyAlignment="1"/>
    <xf numFmtId="0" fontId="3" fillId="17" borderId="0" xfId="0" applyNumberFormat="1" applyFont="1" applyFill="1" applyAlignment="1"/>
    <xf numFmtId="0" fontId="3" fillId="2" borderId="0" xfId="0" applyNumberFormat="1" applyFont="1" applyFill="1" applyAlignment="1"/>
    <xf numFmtId="0" fontId="0" fillId="0" borderId="0" xfId="0" applyNumberFormat="1" applyFont="1" applyAlignment="1">
      <alignment horizontal="center" vertical="center"/>
    </xf>
    <xf numFmtId="0" fontId="5" fillId="2" borderId="0" xfId="0" applyNumberFormat="1" applyFont="1" applyFill="1" applyAlignment="1">
      <alignment horizontal="center"/>
    </xf>
    <xf numFmtId="0" fontId="3" fillId="0" borderId="0" xfId="0" applyNumberFormat="1" applyFont="1">
      <alignment vertical="top"/>
    </xf>
    <xf numFmtId="0" fontId="5" fillId="0" borderId="0" xfId="0" applyNumberFormat="1" applyFont="1" applyAlignment="1">
      <alignment vertical="center" wrapText="1"/>
    </xf>
    <xf numFmtId="49" fontId="3" fillId="2" borderId="0" xfId="0" applyNumberFormat="1" applyFont="1" applyFill="1">
      <alignment vertical="top"/>
    </xf>
    <xf numFmtId="0" fontId="0" fillId="0" borderId="0" xfId="0" applyNumberFormat="1" applyFont="1" applyAlignment="1">
      <alignment horizontal="center" vertical="center" wrapText="1"/>
    </xf>
    <xf numFmtId="0" fontId="5" fillId="2" borderId="0" xfId="0" applyNumberFormat="1" applyFont="1" applyFill="1" applyAlignment="1">
      <alignment vertical="center" wrapText="1"/>
    </xf>
    <xf numFmtId="49" fontId="3" fillId="0" borderId="0" xfId="4" applyNumberFormat="1" applyFont="1">
      <alignment horizontal="left" vertical="center"/>
    </xf>
    <xf numFmtId="49" fontId="0" fillId="0" borderId="9"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3" fontId="0" fillId="0" borderId="9" xfId="0" applyNumberFormat="1" applyFont="1" applyBorder="1" applyAlignment="1">
      <alignment horizontal="center" vertical="center" wrapText="1"/>
    </xf>
    <xf numFmtId="0" fontId="21" fillId="14" borderId="15" xfId="0" applyNumberFormat="1" applyFont="1" applyFill="1" applyBorder="1" applyAlignment="1">
      <alignment horizontal="left" vertical="center"/>
    </xf>
    <xf numFmtId="0" fontId="21" fillId="14" borderId="9" xfId="0" applyNumberFormat="1" applyFont="1" applyFill="1" applyBorder="1" applyAlignment="1">
      <alignment horizontal="left" vertical="center"/>
    </xf>
    <xf numFmtId="169" fontId="21" fillId="14" borderId="9" xfId="0" applyNumberFormat="1" applyFont="1" applyFill="1" applyBorder="1" applyAlignment="1">
      <alignment horizontal="right" vertical="center"/>
    </xf>
    <xf numFmtId="49" fontId="34" fillId="0" borderId="0" xfId="0" applyNumberFormat="1" applyFont="1" applyAlignment="1">
      <alignment horizontal="center" vertical="center" wrapText="1"/>
    </xf>
    <xf numFmtId="169" fontId="0" fillId="10" borderId="2" xfId="0" applyNumberFormat="1" applyFont="1" applyFill="1" applyBorder="1" applyAlignment="1">
      <alignment vertical="center" wrapText="1"/>
    </xf>
    <xf numFmtId="49" fontId="22" fillId="15" borderId="22" xfId="0" applyNumberFormat="1" applyFont="1" applyFill="1" applyBorder="1" applyAlignment="1">
      <alignment vertical="center"/>
    </xf>
    <xf numFmtId="49" fontId="22" fillId="15" borderId="23" xfId="0" applyNumberFormat="1" applyFont="1" applyFill="1" applyBorder="1" applyAlignment="1">
      <alignment vertical="center"/>
    </xf>
    <xf numFmtId="49" fontId="22" fillId="15" borderId="47" xfId="0" applyNumberFormat="1" applyFont="1" applyFill="1" applyBorder="1" applyAlignment="1">
      <alignment vertical="center"/>
    </xf>
    <xf numFmtId="0" fontId="3" fillId="0" borderId="0" xfId="0" applyNumberFormat="1" applyFont="1">
      <alignment vertical="top"/>
    </xf>
    <xf numFmtId="0" fontId="5" fillId="0" borderId="0" xfId="0" applyNumberFormat="1" applyFont="1" applyAlignment="1">
      <alignment wrapText="1"/>
    </xf>
    <xf numFmtId="49" fontId="34" fillId="0" borderId="0" xfId="0" applyNumberFormat="1" applyFont="1" applyAlignment="1">
      <alignment horizontal="center" vertical="center" wrapText="1"/>
    </xf>
    <xf numFmtId="4" fontId="6" fillId="8" borderId="1" xfId="0" applyNumberFormat="1" applyFont="1" applyFill="1" applyBorder="1" applyAlignment="1" applyProtection="1">
      <alignment horizontal="right" vertical="center"/>
      <protection locked="0"/>
    </xf>
    <xf numFmtId="0" fontId="0" fillId="5" borderId="0" xfId="0" applyNumberFormat="1" applyFont="1" applyFill="1" applyAlignment="1">
      <alignment horizontal="center"/>
    </xf>
    <xf numFmtId="49" fontId="3" fillId="2" borderId="0" xfId="0" applyNumberFormat="1" applyFont="1" applyFill="1">
      <alignment vertical="top"/>
    </xf>
    <xf numFmtId="0" fontId="3" fillId="17" borderId="0" xfId="0" applyNumberFormat="1" applyFont="1" applyFill="1">
      <alignment vertical="top"/>
    </xf>
    <xf numFmtId="49" fontId="3" fillId="17" borderId="0" xfId="0" applyNumberFormat="1" applyFont="1" applyFill="1">
      <alignment vertical="top"/>
    </xf>
    <xf numFmtId="0" fontId="3" fillId="2" borderId="0" xfId="0" applyNumberFormat="1" applyFont="1" applyFill="1">
      <alignment vertical="top"/>
    </xf>
    <xf numFmtId="0" fontId="0" fillId="0" borderId="0" xfId="0" applyNumberFormat="1" applyFont="1" applyAlignment="1">
      <alignment horizontal="center"/>
    </xf>
    <xf numFmtId="0" fontId="21" fillId="14" borderId="21" xfId="0" applyNumberFormat="1" applyFont="1" applyFill="1" applyBorder="1" applyAlignment="1">
      <alignment horizontal="left" vertical="center"/>
    </xf>
    <xf numFmtId="49" fontId="21" fillId="14" borderId="9" xfId="0" applyNumberFormat="1" applyFont="1" applyFill="1" applyBorder="1" applyAlignment="1">
      <alignment horizontal="left" vertical="center" wrapText="1"/>
    </xf>
    <xf numFmtId="49" fontId="21" fillId="14" borderId="20" xfId="0" applyNumberFormat="1" applyFont="1" applyFill="1" applyBorder="1" applyAlignment="1">
      <alignment horizontal="left" vertical="center" wrapText="1"/>
    </xf>
    <xf numFmtId="49" fontId="3" fillId="0" borderId="2" xfId="0" applyNumberFormat="1" applyFont="1" applyBorder="1" applyAlignment="1">
      <alignment horizontal="center" vertical="center" wrapText="1"/>
    </xf>
    <xf numFmtId="49" fontId="3" fillId="0" borderId="2" xfId="0" applyNumberFormat="1"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NumberFormat="1" applyFont="1" applyBorder="1" applyAlignment="1">
      <alignment horizontal="center" vertical="center" wrapText="1"/>
    </xf>
    <xf numFmtId="49" fontId="3" fillId="0" borderId="37" xfId="0" applyNumberFormat="1" applyFont="1" applyBorder="1" applyAlignment="1">
      <alignment horizontal="left" vertical="center" wrapText="1" indent="1"/>
    </xf>
    <xf numFmtId="4" fontId="3" fillId="8" borderId="37" xfId="0" applyNumberFormat="1" applyFont="1" applyFill="1" applyBorder="1" applyAlignment="1" applyProtection="1">
      <alignment horizontal="right" vertical="center" wrapText="1"/>
      <protection locked="0"/>
    </xf>
    <xf numFmtId="169" fontId="3" fillId="10" borderId="2" xfId="0" applyNumberFormat="1" applyFont="1" applyFill="1" applyBorder="1" applyAlignment="1">
      <alignment horizontal="right" vertical="center" wrapText="1"/>
    </xf>
    <xf numFmtId="1" fontId="6" fillId="0" borderId="2" xfId="0" applyNumberFormat="1" applyFont="1" applyBorder="1" applyAlignment="1">
      <alignment horizontal="center" vertical="center" wrapText="1"/>
    </xf>
    <xf numFmtId="49" fontId="6" fillId="0" borderId="2" xfId="0" applyNumberFormat="1" applyFont="1" applyBorder="1" applyAlignment="1">
      <alignment horizontal="left" vertical="center" wrapText="1"/>
    </xf>
    <xf numFmtId="49" fontId="6" fillId="0" borderId="2" xfId="0" applyNumberFormat="1" applyFont="1" applyBorder="1" applyAlignment="1">
      <alignment horizontal="center"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0" fontId="3" fillId="0" borderId="0" xfId="0" applyNumberFormat="1" applyFont="1" applyAlignment="1"/>
    <xf numFmtId="0" fontId="3" fillId="0" borderId="1" xfId="0" applyNumberFormat="1" applyFont="1" applyBorder="1" applyAlignment="1">
      <alignment horizontal="center" vertical="center"/>
    </xf>
    <xf numFmtId="49" fontId="0" fillId="0" borderId="0" xfId="0" applyNumberFormat="1" applyFont="1" applyAlignment="1">
      <alignment horizontal="center" vertical="top"/>
    </xf>
    <xf numFmtId="49" fontId="3" fillId="17" borderId="0" xfId="0" applyNumberFormat="1" applyFont="1" applyFill="1">
      <alignment vertical="top"/>
    </xf>
    <xf numFmtId="0" fontId="0" fillId="5" borderId="0" xfId="0" applyNumberFormat="1" applyFont="1" applyFill="1" applyAlignment="1">
      <alignment horizontal="center" vertical="center"/>
    </xf>
    <xf numFmtId="0" fontId="5" fillId="2" borderId="0" xfId="0" applyNumberFormat="1" applyFont="1" applyFill="1" applyAlignment="1"/>
    <xf numFmtId="0" fontId="21" fillId="14" borderId="15" xfId="0" applyNumberFormat="1" applyFont="1" applyFill="1" applyBorder="1" applyAlignment="1">
      <alignment horizontal="left" vertical="center"/>
    </xf>
    <xf numFmtId="0" fontId="34" fillId="0" borderId="0" xfId="0" applyNumberFormat="1" applyFont="1" applyAlignment="1">
      <alignment horizontal="center" vertical="center" wrapText="1"/>
    </xf>
    <xf numFmtId="49" fontId="6" fillId="15" borderId="21" xfId="0" applyNumberFormat="1" applyFont="1" applyFill="1" applyBorder="1" applyAlignment="1">
      <alignment horizontal="left" vertical="center" wrapText="1" indent="1"/>
    </xf>
    <xf numFmtId="49" fontId="22" fillId="15" borderId="11" xfId="0" applyNumberFormat="1" applyFont="1" applyFill="1" applyBorder="1" applyAlignment="1">
      <alignment horizontal="left" vertical="center" indent="1"/>
    </xf>
    <xf numFmtId="49" fontId="6" fillId="15" borderId="9" xfId="0" applyNumberFormat="1" applyFont="1" applyFill="1" applyBorder="1" applyAlignment="1">
      <alignment horizontal="left" vertical="center" wrapText="1" indent="1"/>
    </xf>
    <xf numFmtId="49" fontId="6" fillId="15" borderId="20" xfId="0" applyNumberFormat="1" applyFont="1" applyFill="1" applyBorder="1" applyAlignment="1">
      <alignment horizontal="left" vertical="center" wrapText="1" indent="1"/>
    </xf>
    <xf numFmtId="0" fontId="48" fillId="0" borderId="0" xfId="0" applyNumberFormat="1" applyFont="1" applyAlignment="1">
      <alignment vertical="center"/>
    </xf>
    <xf numFmtId="4" fontId="6" fillId="8" borderId="1" xfId="0" applyNumberFormat="1" applyFont="1" applyFill="1" applyBorder="1" applyAlignment="1" applyProtection="1">
      <alignment horizontal="right" vertical="center"/>
      <protection locked="0"/>
    </xf>
    <xf numFmtId="0" fontId="5" fillId="0" borderId="0" xfId="0" applyNumberFormat="1" applyFont="1" applyAlignment="1">
      <alignment vertical="top" wrapText="1"/>
    </xf>
    <xf numFmtId="0" fontId="20" fillId="0" borderId="0" xfId="0" applyNumberFormat="1" applyFont="1" applyAlignment="1">
      <alignment horizontal="center" vertical="center" wrapText="1"/>
    </xf>
    <xf numFmtId="4" fontId="6"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wrapText="1"/>
    </xf>
    <xf numFmtId="0" fontId="3" fillId="8" borderId="2"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wrapText="1"/>
    </xf>
    <xf numFmtId="4" fontId="3" fillId="8" borderId="1" xfId="0" applyNumberFormat="1" applyFont="1" applyFill="1" applyBorder="1" applyAlignment="1">
      <alignment horizontal="right" vertical="center" wrapText="1"/>
    </xf>
    <xf numFmtId="0"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169"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169" fontId="3" fillId="8" borderId="13" xfId="0" applyNumberFormat="1" applyFont="1" applyFill="1" applyBorder="1" applyAlignment="1" applyProtection="1">
      <alignment horizontal="right" vertical="center"/>
      <protection locked="0"/>
    </xf>
    <xf numFmtId="0" fontId="0" fillId="5" borderId="0" xfId="0" applyNumberFormat="1" applyFont="1" applyFill="1" applyAlignment="1">
      <alignment horizontal="center" vertical="center"/>
    </xf>
    <xf numFmtId="4" fontId="21" fillId="14" borderId="20" xfId="0" applyNumberFormat="1" applyFont="1" applyFill="1" applyBorder="1" applyAlignment="1">
      <alignment horizontal="right" vertical="center" wrapText="1"/>
    </xf>
    <xf numFmtId="0" fontId="6" fillId="0" borderId="2" xfId="0" applyNumberFormat="1" applyFont="1" applyBorder="1" applyAlignment="1">
      <alignment horizontal="center" vertical="center" wrapText="1" shrinkToFit="1"/>
    </xf>
    <xf numFmtId="49" fontId="6" fillId="0" borderId="2" xfId="0" applyNumberFormat="1" applyFont="1" applyBorder="1" applyAlignment="1">
      <alignment horizontal="left" vertical="center" wrapText="1" shrinkToFit="1"/>
    </xf>
    <xf numFmtId="49" fontId="6" fillId="0" borderId="28"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indent="3" shrinkToFit="1"/>
    </xf>
    <xf numFmtId="49" fontId="3" fillId="0" borderId="2" xfId="0" applyNumberFormat="1" applyFont="1" applyBorder="1" applyAlignment="1">
      <alignment horizontal="left" vertical="center" wrapText="1" indent="4" shrinkToFit="1"/>
    </xf>
    <xf numFmtId="0" fontId="34" fillId="0" borderId="0" xfId="0" applyNumberFormat="1" applyFont="1" applyAlignment="1">
      <alignment horizontal="center" vertical="center" wrapText="1"/>
    </xf>
    <xf numFmtId="0" fontId="17" fillId="0" borderId="0" xfId="0" applyNumberFormat="1" applyFont="1" applyAlignment="1">
      <alignment vertical="center"/>
    </xf>
    <xf numFmtId="0" fontId="3" fillId="15" borderId="28" xfId="0" applyNumberFormat="1" applyFont="1" applyFill="1" applyBorder="1" applyAlignment="1">
      <alignment horizontal="center" vertical="center" wrapText="1" shrinkToFit="1"/>
    </xf>
    <xf numFmtId="49" fontId="22" fillId="15" borderId="23" xfId="0" applyNumberFormat="1" applyFont="1" applyFill="1" applyBorder="1" applyAlignment="1">
      <alignment horizontal="left" vertical="center" indent="2"/>
    </xf>
    <xf numFmtId="49" fontId="3" fillId="15" borderId="29" xfId="0" applyNumberFormat="1" applyFont="1" applyFill="1" applyBorder="1" applyAlignment="1">
      <alignment horizontal="center" vertical="center" wrapText="1" shrinkToFit="1"/>
    </xf>
    <xf numFmtId="49" fontId="6" fillId="0" borderId="2" xfId="0" applyNumberFormat="1" applyFont="1" applyBorder="1" applyAlignment="1">
      <alignment horizontal="left" vertical="center" wrapText="1" indent="2" shrinkToFit="1"/>
    </xf>
    <xf numFmtId="0" fontId="3" fillId="0" borderId="2" xfId="0" applyNumberFormat="1" applyFont="1" applyBorder="1" applyAlignment="1">
      <alignment horizontal="left" vertical="center" wrapText="1" indent="1" shrinkToFit="1"/>
    </xf>
    <xf numFmtId="0" fontId="5" fillId="0" borderId="0" xfId="0" applyNumberFormat="1" applyFont="1" applyAlignment="1">
      <alignment vertical="top" wrapText="1"/>
    </xf>
    <xf numFmtId="0" fontId="6" fillId="0" borderId="0" xfId="0" applyNumberFormat="1" applyFont="1" applyAlignment="1">
      <alignment horizontal="center" vertical="center" wrapText="1" shrinkToFit="1"/>
    </xf>
    <xf numFmtId="49" fontId="6" fillId="0" borderId="0" xfId="0" applyNumberFormat="1" applyFont="1" applyAlignment="1">
      <alignment horizontal="left" vertical="center" wrapText="1" shrinkToFit="1"/>
    </xf>
    <xf numFmtId="49" fontId="6" fillId="0" borderId="0" xfId="0" applyNumberFormat="1" applyFont="1" applyAlignment="1">
      <alignment horizontal="center" vertical="center" wrapText="1" shrinkToFit="1"/>
    </xf>
    <xf numFmtId="0" fontId="3" fillId="0" borderId="0" xfId="0" applyNumberFormat="1" applyFont="1">
      <alignment vertical="top"/>
    </xf>
    <xf numFmtId="0" fontId="3" fillId="2" borderId="0" xfId="0" applyNumberFormat="1" applyFont="1" applyFill="1">
      <alignment vertical="top"/>
    </xf>
    <xf numFmtId="0" fontId="3" fillId="17" borderId="0" xfId="0" applyNumberFormat="1" applyFont="1" applyFill="1">
      <alignment vertical="top"/>
    </xf>
    <xf numFmtId="0" fontId="34" fillId="0" borderId="0" xfId="0" applyNumberFormat="1" applyFont="1" applyAlignment="1">
      <alignment horizontal="center" vertical="center" wrapText="1"/>
    </xf>
    <xf numFmtId="0" fontId="3" fillId="14" borderId="9" xfId="0" applyNumberFormat="1" applyFont="1" applyFill="1" applyBorder="1" applyAlignment="1">
      <alignment horizontal="left" vertical="center"/>
    </xf>
    <xf numFmtId="49" fontId="3" fillId="14" borderId="9" xfId="0" applyNumberFormat="1" applyFont="1" applyFill="1" applyBorder="1" applyAlignment="1">
      <alignment horizontal="left" vertical="center" wrapText="1"/>
    </xf>
    <xf numFmtId="49" fontId="3" fillId="14" borderId="20"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shrinkToFit="1"/>
    </xf>
    <xf numFmtId="49" fontId="3" fillId="0" borderId="29" xfId="0" applyNumberFormat="1" applyFont="1" applyBorder="1" applyAlignment="1">
      <alignment horizontal="left" vertical="center" wrapText="1" indent="1" shrinkToFit="1"/>
    </xf>
    <xf numFmtId="49" fontId="6" fillId="0" borderId="29" xfId="0" applyNumberFormat="1" applyFont="1" applyBorder="1" applyAlignment="1">
      <alignment vertical="center" wrapText="1"/>
    </xf>
    <xf numFmtId="0" fontId="7" fillId="0" borderId="0" xfId="0" applyNumberFormat="1" applyFont="1" applyAlignment="1">
      <alignment vertical="center"/>
    </xf>
    <xf numFmtId="49" fontId="3" fillId="0" borderId="29" xfId="0" applyNumberFormat="1" applyFont="1" applyBorder="1" applyAlignment="1">
      <alignment horizontal="left" vertical="center" wrapText="1" indent="1"/>
    </xf>
    <xf numFmtId="169" fontId="3" fillId="8" borderId="2" xfId="0" applyNumberFormat="1" applyFont="1" applyFill="1" applyBorder="1" applyAlignment="1" applyProtection="1">
      <alignment horizontal="right" vertical="center" wrapText="1"/>
      <protection locked="0"/>
    </xf>
    <xf numFmtId="49" fontId="3" fillId="0" borderId="2" xfId="0" applyNumberFormat="1" applyFont="1" applyBorder="1" applyAlignment="1">
      <alignment horizontal="left" vertical="center" wrapText="1" indent="1"/>
    </xf>
    <xf numFmtId="0" fontId="34" fillId="0" borderId="0" xfId="0" applyNumberFormat="1" applyFont="1" applyAlignment="1">
      <alignment horizontal="center" vertical="center" wrapText="1"/>
    </xf>
    <xf numFmtId="0" fontId="1" fillId="0" borderId="0" xfId="0" applyNumberFormat="1" applyFont="1" applyAlignment="1"/>
    <xf numFmtId="0" fontId="35" fillId="0" borderId="0" xfId="0" applyNumberFormat="1" applyFont="1" applyAlignment="1">
      <alignment wrapText="1"/>
    </xf>
    <xf numFmtId="0" fontId="3" fillId="0" borderId="0" xfId="0" applyNumberFormat="1" applyFont="1" applyAlignment="1">
      <alignment horizontal="left" vertical="center"/>
    </xf>
    <xf numFmtId="0" fontId="5" fillId="0" borderId="0" xfId="0" applyNumberFormat="1" applyFont="1" applyAlignment="1">
      <alignment wrapText="1"/>
    </xf>
    <xf numFmtId="0" fontId="5" fillId="0" borderId="0" xfId="0" applyNumberFormat="1" applyFont="1" applyAlignment="1">
      <alignment vertical="center"/>
    </xf>
    <xf numFmtId="0" fontId="5" fillId="17" borderId="0" xfId="0" applyNumberFormat="1" applyFont="1" applyFill="1" applyAlignment="1">
      <alignment vertical="center"/>
    </xf>
    <xf numFmtId="0" fontId="5" fillId="2" borderId="0" xfId="0" applyNumberFormat="1" applyFont="1" applyFill="1" applyAlignment="1">
      <alignment vertical="center"/>
    </xf>
    <xf numFmtId="0" fontId="5" fillId="0" borderId="0" xfId="0" applyNumberFormat="1" applyFont="1" applyAlignment="1"/>
    <xf numFmtId="49" fontId="24" fillId="0" borderId="4" xfId="0" quotePrefix="1" applyNumberFormat="1" applyFont="1" applyBorder="1" applyAlignment="1">
      <alignment horizontal="left" vertical="center" indent="1"/>
    </xf>
    <xf numFmtId="49" fontId="24" fillId="0" borderId="4" xfId="0" applyNumberFormat="1" applyFont="1" applyBorder="1" applyAlignment="1">
      <alignment vertical="center" wrapText="1"/>
    </xf>
    <xf numFmtId="49" fontId="24" fillId="0" borderId="4" xfId="0" applyNumberFormat="1" applyFont="1" applyBorder="1" applyAlignment="1">
      <alignment horizontal="center" vertical="center" wrapText="1"/>
    </xf>
    <xf numFmtId="0" fontId="1" fillId="0" borderId="4" xfId="0" applyNumberFormat="1" applyFont="1" applyBorder="1" applyAlignment="1"/>
    <xf numFmtId="0" fontId="13" fillId="0" borderId="0" xfId="0" applyNumberFormat="1" applyFont="1" applyAlignment="1">
      <alignment vertical="center"/>
    </xf>
    <xf numFmtId="49" fontId="22" fillId="15" borderId="23" xfId="0" applyNumberFormat="1" applyFont="1" applyFill="1" applyBorder="1" applyAlignment="1">
      <alignment vertical="center"/>
    </xf>
    <xf numFmtId="49" fontId="20" fillId="0" borderId="0" xfId="0" applyNumberFormat="1" applyFont="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3" borderId="28"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center"/>
    </xf>
    <xf numFmtId="0" fontId="24" fillId="0" borderId="0" xfId="0" applyNumberFormat="1" applyFont="1" applyAlignment="1">
      <alignment horizontal="left" vertical="center"/>
    </xf>
    <xf numFmtId="0" fontId="34" fillId="0" borderId="43" xfId="0" applyNumberFormat="1" applyFont="1" applyBorder="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0" borderId="3" xfId="0" applyNumberFormat="1" applyFont="1" applyBorder="1" applyAlignment="1">
      <alignment horizontal="center" vertical="center" wrapText="1"/>
    </xf>
    <xf numFmtId="4" fontId="5" fillId="10" borderId="1" xfId="0" applyNumberFormat="1" applyFont="1" applyFill="1" applyBorder="1" applyAlignment="1">
      <alignment horizontal="right" vertical="center" wrapText="1"/>
    </xf>
    <xf numFmtId="4" fontId="5" fillId="8" borderId="1" xfId="0" applyNumberFormat="1" applyFont="1" applyFill="1" applyBorder="1" applyAlignment="1" applyProtection="1">
      <alignment horizontal="right" vertical="center" wrapText="1"/>
      <protection locked="0"/>
    </xf>
    <xf numFmtId="4" fontId="5" fillId="15" borderId="20" xfId="0" applyNumberFormat="1" applyFont="1" applyFill="1" applyBorder="1" applyAlignment="1">
      <alignment horizontal="right" vertical="center" wrapText="1"/>
    </xf>
    <xf numFmtId="49" fontId="22" fillId="15" borderId="23" xfId="0" applyNumberFormat="1" applyFont="1" applyFill="1" applyBorder="1" applyAlignment="1">
      <alignment horizontal="left" vertical="center" indent="2"/>
    </xf>
    <xf numFmtId="4" fontId="24" fillId="8" borderId="1" xfId="0" applyNumberFormat="1" applyFont="1" applyFill="1" applyBorder="1" applyAlignment="1" applyProtection="1">
      <alignment horizontal="right" vertical="center" wrapText="1"/>
      <protection locked="0"/>
    </xf>
    <xf numFmtId="4" fontId="24" fillId="0" borderId="9" xfId="0" applyNumberFormat="1" applyFont="1" applyBorder="1" applyAlignment="1">
      <alignment horizontal="right" vertical="center" wrapText="1"/>
    </xf>
    <xf numFmtId="0" fontId="13" fillId="0" borderId="0" xfId="0" applyNumberFormat="1" applyFont="1" applyAlignment="1">
      <alignment horizontal="left" vertical="center"/>
    </xf>
    <xf numFmtId="0" fontId="3" fillId="17" borderId="0" xfId="0" applyNumberFormat="1" applyFont="1" applyFill="1" applyAlignment="1">
      <alignment vertical="center"/>
    </xf>
    <xf numFmtId="0" fontId="3" fillId="0" borderId="0" xfId="0" applyNumberFormat="1" applyFont="1" applyAlignment="1">
      <alignment vertical="center"/>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20" xfId="0" applyNumberFormat="1" applyFont="1" applyFill="1" applyBorder="1" applyAlignment="1">
      <alignment vertical="center"/>
    </xf>
    <xf numFmtId="0" fontId="3" fillId="3" borderId="28"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4" fontId="5" fillId="8" borderId="1" xfId="0" applyNumberFormat="1" applyFont="1" applyFill="1" applyBorder="1" applyAlignment="1" applyProtection="1">
      <alignment horizontal="right" vertical="center" wrapText="1"/>
      <protection locked="0"/>
    </xf>
    <xf numFmtId="4" fontId="3"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0" fontId="5" fillId="0" borderId="0" xfId="0" applyNumberFormat="1" applyFont="1" applyAlignment="1"/>
    <xf numFmtId="0" fontId="5" fillId="0" borderId="0" xfId="0" applyNumberFormat="1" applyFont="1" applyAlignment="1">
      <alignment horizontal="left"/>
    </xf>
    <xf numFmtId="0" fontId="5" fillId="22" borderId="0" xfId="0" applyNumberFormat="1" applyFont="1" applyFill="1" applyAlignment="1">
      <alignment horizontal="center" vertical="center"/>
    </xf>
    <xf numFmtId="0" fontId="0" fillId="5" borderId="0" xfId="0" applyNumberFormat="1" applyFont="1" applyFill="1" applyAlignment="1">
      <alignment horizontal="center"/>
    </xf>
    <xf numFmtId="0" fontId="0" fillId="0" borderId="0" xfId="0" applyNumberFormat="1" applyFont="1" applyAlignment="1">
      <alignment horizontal="left"/>
    </xf>
    <xf numFmtId="0" fontId="0" fillId="0" borderId="0" xfId="0" applyNumberFormat="1" applyFont="1" applyAlignment="1">
      <alignment horizontal="center" wrapText="1"/>
    </xf>
    <xf numFmtId="0" fontId="0" fillId="0" borderId="0" xfId="0" applyNumberFormat="1" applyFont="1" applyAlignment="1">
      <alignment horizontal="center"/>
    </xf>
    <xf numFmtId="0" fontId="5" fillId="17" borderId="0" xfId="0" applyNumberFormat="1" applyFont="1" applyFill="1" applyAlignment="1"/>
    <xf numFmtId="0" fontId="5" fillId="17" borderId="0" xfId="0" applyNumberFormat="1" applyFont="1" applyFill="1" applyAlignment="1">
      <alignment horizontal="left"/>
    </xf>
    <xf numFmtId="0" fontId="3" fillId="17" borderId="0" xfId="0" applyNumberFormat="1" applyFont="1" applyFill="1" applyAlignment="1"/>
    <xf numFmtId="0" fontId="5" fillId="17" borderId="0" xfId="0" applyNumberFormat="1" applyFont="1" applyFill="1" applyAlignment="1">
      <alignment wrapText="1"/>
    </xf>
    <xf numFmtId="0" fontId="5" fillId="2" borderId="0" xfId="0" applyNumberFormat="1" applyFont="1" applyFill="1" applyAlignment="1"/>
    <xf numFmtId="0" fontId="0" fillId="2" borderId="0" xfId="0" applyNumberFormat="1" applyFont="1" applyFill="1" applyAlignment="1">
      <alignment horizontal="center"/>
    </xf>
    <xf numFmtId="0" fontId="5" fillId="2" borderId="0" xfId="0" applyNumberFormat="1" applyFont="1" applyFill="1" applyAlignment="1">
      <alignment horizontal="left"/>
    </xf>
    <xf numFmtId="0" fontId="3" fillId="2" borderId="0" xfId="0" applyNumberFormat="1" applyFont="1" applyFill="1" applyAlignment="1"/>
    <xf numFmtId="0" fontId="5" fillId="2" borderId="0" xfId="0" applyNumberFormat="1" applyFont="1" applyFill="1" applyAlignment="1">
      <alignment wrapText="1"/>
    </xf>
    <xf numFmtId="0" fontId="3" fillId="0" borderId="0" xfId="0" applyNumberFormat="1" applyFont="1" applyAlignment="1">
      <alignment vertical="center"/>
    </xf>
    <xf numFmtId="0" fontId="3" fillId="0" borderId="0" xfId="0" applyNumberFormat="1" applyFont="1" applyAlignment="1">
      <alignment horizontal="left" vertical="center"/>
    </xf>
    <xf numFmtId="0" fontId="0" fillId="0" borderId="0" xfId="0" applyNumberFormat="1" applyFont="1" applyAlignment="1">
      <alignment horizontal="left" vertical="center"/>
    </xf>
    <xf numFmtId="0" fontId="5" fillId="0" borderId="0" xfId="0" applyNumberFormat="1" applyFont="1" applyAlignment="1">
      <alignment horizontal="center" vertical="center"/>
    </xf>
    <xf numFmtId="0" fontId="6" fillId="0" borderId="48" xfId="0" quotePrefix="1" applyNumberFormat="1" applyFont="1" applyBorder="1" applyAlignment="1">
      <alignment horizontal="left" vertical="center" indent="1"/>
    </xf>
    <xf numFmtId="0" fontId="23" fillId="0" borderId="48" xfId="0" applyNumberFormat="1" applyFont="1" applyBorder="1" applyAlignment="1">
      <alignment vertical="center"/>
    </xf>
    <xf numFmtId="0" fontId="23" fillId="0" borderId="48" xfId="0" applyNumberFormat="1" applyFont="1" applyBorder="1" applyAlignment="1"/>
    <xf numFmtId="0" fontId="5" fillId="17" borderId="0" xfId="0" applyNumberFormat="1" applyFont="1" applyFill="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14" fillId="0" borderId="0" xfId="0" applyNumberFormat="1" applyFont="1" applyAlignment="1">
      <alignment vertical="center" wrapText="1"/>
    </xf>
    <xf numFmtId="0" fontId="3" fillId="0" borderId="2" xfId="0" applyNumberFormat="1" applyFont="1" applyBorder="1" applyAlignment="1">
      <alignment horizontal="center" vertical="center" wrapText="1"/>
    </xf>
    <xf numFmtId="0" fontId="3" fillId="26" borderId="2" xfId="0" applyNumberFormat="1" applyFont="1" applyFill="1" applyBorder="1" applyAlignment="1">
      <alignment horizontal="center" vertical="center" wrapText="1"/>
    </xf>
    <xf numFmtId="0" fontId="5" fillId="0" borderId="2" xfId="0" applyNumberFormat="1" applyFont="1" applyBorder="1" applyAlignment="1">
      <alignment horizontal="center" vertical="center" wrapText="1"/>
    </xf>
    <xf numFmtId="0" fontId="5" fillId="26" borderId="49" xfId="0" applyNumberFormat="1" applyFont="1" applyFill="1" applyBorder="1" applyAlignment="1">
      <alignment horizontal="center" vertical="center" wrapText="1"/>
    </xf>
    <xf numFmtId="0" fontId="3" fillId="0" borderId="0" xfId="0" applyNumberFormat="1" applyFont="1">
      <alignment vertical="top"/>
    </xf>
    <xf numFmtId="0" fontId="0" fillId="0" borderId="0" xfId="0" applyNumberFormat="1" applyFont="1" applyAlignment="1">
      <alignment horizontal="center" vertical="top"/>
    </xf>
    <xf numFmtId="0" fontId="3" fillId="17" borderId="0" xfId="0" applyNumberFormat="1" applyFont="1" applyFill="1">
      <alignment vertical="top"/>
    </xf>
    <xf numFmtId="0" fontId="3" fillId="0" borderId="50" xfId="0" applyNumberFormat="1" applyFont="1" applyBorder="1" applyAlignment="1">
      <alignment horizontal="center" vertical="center" wrapText="1"/>
    </xf>
    <xf numFmtId="0" fontId="5" fillId="0" borderId="0" xfId="0" applyNumberFormat="1" applyFont="1" applyAlignment="1">
      <alignment vertical="center" wrapText="1"/>
    </xf>
    <xf numFmtId="0" fontId="5" fillId="0" borderId="0" xfId="0" applyNumberFormat="1" applyFont="1" applyAlignment="1">
      <alignment horizontal="right" vertical="center"/>
    </xf>
    <xf numFmtId="0" fontId="0" fillId="0" borderId="0" xfId="0" applyNumberFormat="1" applyFont="1" applyAlignment="1">
      <alignment horizontal="center" vertical="center" wrapText="1"/>
    </xf>
    <xf numFmtId="0" fontId="5" fillId="17" borderId="0" xfId="0" applyNumberFormat="1" applyFont="1" applyFill="1" applyAlignment="1">
      <alignment vertical="center" wrapText="1"/>
    </xf>
    <xf numFmtId="0" fontId="21" fillId="14" borderId="50" xfId="0" applyNumberFormat="1" applyFont="1" applyFill="1" applyBorder="1" applyAlignment="1">
      <alignment horizontal="left" vertical="center"/>
    </xf>
    <xf numFmtId="0" fontId="21" fillId="14" borderId="51" xfId="0" applyNumberFormat="1" applyFont="1" applyFill="1" applyBorder="1" applyAlignment="1">
      <alignment horizontal="left" vertical="center"/>
    </xf>
    <xf numFmtId="49" fontId="21" fillId="14" borderId="51" xfId="0" applyNumberFormat="1" applyFont="1" applyFill="1" applyBorder="1" applyAlignment="1">
      <alignment horizontal="left" vertical="center" wrapText="1"/>
    </xf>
    <xf numFmtId="0" fontId="3" fillId="0" borderId="2" xfId="0" applyNumberFormat="1" applyFont="1" applyBorder="1" applyAlignment="1">
      <alignment horizontal="center" vertical="center"/>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169" fontId="5" fillId="8" borderId="2" xfId="0" applyNumberFormat="1" applyFont="1" applyFill="1" applyBorder="1" applyAlignment="1" applyProtection="1">
      <alignment horizontal="right" vertical="center"/>
      <protection locked="0"/>
    </xf>
    <xf numFmtId="0" fontId="5" fillId="0" borderId="2" xfId="0" applyNumberFormat="1" applyFont="1" applyBorder="1" applyAlignment="1">
      <alignment horizontal="left" vertical="center" wrapText="1"/>
    </xf>
    <xf numFmtId="0" fontId="5" fillId="0" borderId="0" xfId="0" applyNumberFormat="1" applyFont="1" applyAlignment="1">
      <alignment wrapText="1"/>
    </xf>
    <xf numFmtId="0" fontId="3" fillId="0" borderId="0" xfId="0" applyNumberFormat="1" applyFont="1" applyAlignment="1"/>
    <xf numFmtId="0" fontId="5" fillId="22" borderId="0" xfId="0" applyNumberFormat="1" applyFont="1" applyFill="1" applyAlignment="1">
      <alignment horizontal="center" vertical="center"/>
    </xf>
    <xf numFmtId="0" fontId="0" fillId="27" borderId="0" xfId="0" applyNumberFormat="1" applyFont="1" applyFill="1" applyAlignment="1">
      <alignment horizontal="center" vertical="center"/>
    </xf>
    <xf numFmtId="49" fontId="22" fillId="15" borderId="23" xfId="0" applyNumberFormat="1" applyFont="1" applyFill="1" applyBorder="1" applyAlignment="1">
      <alignment vertical="center"/>
    </xf>
    <xf numFmtId="0" fontId="5" fillId="15" borderId="9" xfId="0" applyNumberFormat="1" applyFont="1" applyFill="1" applyBorder="1" applyAlignment="1">
      <alignment vertical="center"/>
    </xf>
    <xf numFmtId="0" fontId="3" fillId="22" borderId="0" xfId="0" applyNumberFormat="1" applyFont="1" applyFill="1" applyAlignment="1">
      <alignment horizontal="center" vertical="center"/>
    </xf>
    <xf numFmtId="49" fontId="3" fillId="0" borderId="0" xfId="0" applyNumberFormat="1" applyFont="1">
      <alignment vertical="top"/>
    </xf>
    <xf numFmtId="49" fontId="3" fillId="22" borderId="0" xfId="0" applyNumberFormat="1" applyFont="1" applyFill="1" applyAlignment="1">
      <alignment horizontal="center" vertical="center"/>
    </xf>
    <xf numFmtId="0" fontId="5" fillId="0" borderId="0" xfId="0" applyNumberFormat="1" applyFont="1" applyAlignment="1">
      <alignment horizontal="center" vertical="center"/>
    </xf>
    <xf numFmtId="49" fontId="3" fillId="0" borderId="0" xfId="0" applyNumberFormat="1" applyFont="1" applyAlignment="1">
      <alignment horizontal="center" vertical="center"/>
    </xf>
    <xf numFmtId="4" fontId="6" fillId="10" borderId="1" xfId="0" applyNumberFormat="1" applyFont="1" applyFill="1" applyBorder="1" applyAlignment="1">
      <alignment horizontal="right" vertical="center"/>
    </xf>
    <xf numFmtId="0" fontId="3" fillId="0" borderId="0" xfId="0" applyNumberFormat="1" applyFont="1" applyAlignment="1">
      <alignment vertical="top" wrapTex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horizontal="center"/>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0" xfId="0" applyNumberFormat="1" applyFont="1" applyAlignment="1">
      <alignment horizontal="center"/>
    </xf>
    <xf numFmtId="49" fontId="0" fillId="0" borderId="0" xfId="0" applyNumberFormat="1" applyFont="1">
      <alignment vertical="top"/>
    </xf>
    <xf numFmtId="49" fontId="32" fillId="8" borderId="2" xfId="0" applyNumberFormat="1" applyFont="1" applyFill="1" applyBorder="1" applyAlignment="1" applyProtection="1">
      <alignment horizontal="left" vertical="center" wrapText="1" indent="1"/>
      <protection locked="0"/>
    </xf>
    <xf numFmtId="49" fontId="3" fillId="8" borderId="2" xfId="0" applyNumberFormat="1" applyFont="1" applyFill="1" applyBorder="1" applyAlignment="1">
      <alignment horizontal="left" vertical="center" wrapText="1" indent="1"/>
    </xf>
    <xf numFmtId="49" fontId="5" fillId="8"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indent="1"/>
    </xf>
    <xf numFmtId="49" fontId="3" fillId="16" borderId="2" xfId="0" applyNumberFormat="1" applyFont="1" applyFill="1" applyBorder="1" applyAlignment="1">
      <alignment horizontal="left" vertical="center" wrapText="1" indent="1"/>
    </xf>
    <xf numFmtId="171" fontId="5" fillId="16" borderId="2" xfId="0" applyNumberFormat="1" applyFont="1" applyFill="1" applyBorder="1" applyAlignment="1">
      <alignment horizontal="left" vertical="center" wrapText="1" indent="1"/>
    </xf>
    <xf numFmtId="49" fontId="32" fillId="8" borderId="2" xfId="0" applyNumberFormat="1" applyFont="1" applyFill="1" applyBorder="1" applyAlignment="1">
      <alignment horizontal="left" vertical="center" wrapText="1" indent="1"/>
    </xf>
    <xf numFmtId="49" fontId="3" fillId="8" borderId="2" xfId="0" applyNumberFormat="1" applyFont="1" applyFill="1" applyBorder="1" applyAlignment="1" applyProtection="1">
      <alignment horizontal="left" vertical="center" wrapText="1" indent="1"/>
      <protection locked="0"/>
    </xf>
    <xf numFmtId="49" fontId="3" fillId="16" borderId="2" xfId="0" applyNumberFormat="1" applyFont="1" applyFill="1" applyBorder="1" applyAlignment="1" applyProtection="1">
      <alignment horizontal="left" vertical="center" wrapText="1" indent="1"/>
      <protection locked="0"/>
    </xf>
    <xf numFmtId="49" fontId="64" fillId="8" borderId="2" xfId="0" applyNumberFormat="1" applyFont="1" applyFill="1" applyBorder="1" applyAlignment="1" applyProtection="1">
      <alignment horizontal="left" vertical="center" wrapText="1" indent="1"/>
      <protection locked="0"/>
    </xf>
    <xf numFmtId="171" fontId="5" fillId="16" borderId="2" xfId="0" applyNumberFormat="1" applyFont="1" applyFill="1" applyBorder="1" applyAlignment="1" applyProtection="1">
      <alignment horizontal="left" vertical="center" wrapText="1" indent="1"/>
      <protection locked="0"/>
    </xf>
    <xf numFmtId="0" fontId="5" fillId="16" borderId="2" xfId="0" applyNumberFormat="1" applyFont="1" applyFill="1" applyBorder="1" applyAlignment="1">
      <alignment horizontal="left" vertical="center" wrapText="1" indent="1"/>
    </xf>
    <xf numFmtId="0" fontId="3" fillId="8" borderId="2" xfId="0" applyNumberFormat="1" applyFont="1" applyFill="1" applyBorder="1" applyAlignment="1">
      <alignment horizontal="left" vertical="center" wrapText="1" indent="1"/>
    </xf>
    <xf numFmtId="171" fontId="5" fillId="8" borderId="2" xfId="0" applyNumberFormat="1" applyFont="1" applyFill="1" applyBorder="1" applyAlignment="1">
      <alignment horizontal="left" vertical="center" wrapText="1" indent="1"/>
    </xf>
    <xf numFmtId="14" fontId="5" fillId="8" borderId="2" xfId="0" applyNumberFormat="1" applyFont="1" applyFill="1" applyBorder="1" applyAlignment="1">
      <alignment horizontal="left" vertical="center" wrapText="1" indent="1"/>
    </xf>
    <xf numFmtId="171" fontId="3" fillId="16" borderId="1" xfId="0" applyNumberFormat="1" applyFont="1" applyFill="1" applyBorder="1" applyAlignment="1">
      <alignment horizontal="left" vertical="center" wrapText="1" indent="1"/>
    </xf>
    <xf numFmtId="0" fontId="3" fillId="16" borderId="1" xfId="0" applyNumberFormat="1" applyFont="1" applyFill="1" applyBorder="1" applyAlignment="1">
      <alignment horizontal="left" vertical="center" wrapText="1" indent="1"/>
    </xf>
    <xf numFmtId="0" fontId="3" fillId="16" borderId="1" xfId="0" applyNumberFormat="1" applyFont="1" applyFill="1" applyBorder="1" applyAlignment="1">
      <alignment horizontal="left" vertical="center" wrapText="1" indent="1"/>
    </xf>
    <xf numFmtId="49" fontId="3" fillId="16" borderId="2" xfId="0" applyNumberFormat="1" applyFont="1" applyFill="1" applyBorder="1" applyAlignment="1">
      <alignment horizontal="right" vertical="center" wrapText="1" indent="1"/>
    </xf>
    <xf numFmtId="0" fontId="3" fillId="8" borderId="13" xfId="0" applyNumberFormat="1" applyFont="1" applyFill="1" applyBorder="1" applyAlignment="1">
      <alignment horizontal="left" vertical="center" wrapText="1" indent="1"/>
    </xf>
    <xf numFmtId="49" fontId="3" fillId="8" borderId="18" xfId="0" applyNumberFormat="1" applyFont="1" applyFill="1" applyBorder="1" applyAlignment="1">
      <alignment horizontal="left" vertical="center" wrapText="1" indent="1"/>
    </xf>
    <xf numFmtId="3" fontId="3" fillId="8" borderId="2" xfId="0" applyNumberFormat="1" applyFont="1" applyFill="1" applyBorder="1" applyAlignment="1">
      <alignment horizontal="right" vertical="center"/>
    </xf>
    <xf numFmtId="49" fontId="3" fillId="8" borderId="1" xfId="0" applyNumberFormat="1" applyFont="1" applyFill="1" applyBorder="1" applyAlignment="1">
      <alignment horizontal="left" vertical="center" wrapText="1"/>
    </xf>
    <xf numFmtId="4" fontId="3" fillId="8" borderId="2" xfId="0" applyNumberFormat="1" applyFont="1" applyFill="1" applyBorder="1" applyAlignment="1">
      <alignment horizontal="right" vertical="center"/>
    </xf>
    <xf numFmtId="49" fontId="3" fillId="16" borderId="1" xfId="0" applyNumberFormat="1" applyFont="1" applyFill="1" applyBorder="1" applyAlignment="1">
      <alignment horizontal="left" vertical="center" wrapText="1"/>
    </xf>
    <xf numFmtId="49" fontId="3" fillId="16" borderId="1" xfId="0" applyNumberFormat="1" applyFont="1" applyFill="1" applyBorder="1" applyAlignment="1">
      <alignment horizontal="center" vertical="center" wrapText="1"/>
    </xf>
    <xf numFmtId="4" fontId="3" fillId="8" borderId="2" xfId="0" applyNumberFormat="1" applyFont="1" applyFill="1" applyBorder="1" applyAlignment="1">
      <alignment horizontal="right" vertical="center"/>
    </xf>
    <xf numFmtId="49" fontId="3" fillId="8" borderId="1" xfId="0" applyNumberFormat="1" applyFont="1" applyFill="1" applyBorder="1" applyAlignment="1">
      <alignment horizontal="left" vertical="center" wrapText="1"/>
    </xf>
    <xf numFmtId="10" fontId="5" fillId="8" borderId="2" xfId="0" applyNumberFormat="1" applyFont="1" applyFill="1" applyBorder="1" applyAlignment="1">
      <alignment horizontal="right" vertical="center"/>
    </xf>
    <xf numFmtId="169" fontId="5" fillId="8" borderId="2" xfId="0" applyNumberFormat="1" applyFont="1" applyFill="1" applyBorder="1" applyAlignment="1">
      <alignment horizontal="right" vertical="center"/>
    </xf>
    <xf numFmtId="49" fontId="5" fillId="8" borderId="2" xfId="0" applyNumberFormat="1" applyFont="1" applyFill="1" applyBorder="1" applyAlignment="1">
      <alignment horizontal="left" vertical="center" wrapText="1"/>
    </xf>
    <xf numFmtId="169" fontId="0" fillId="8" borderId="2" xfId="0" applyNumberFormat="1" applyFont="1" applyFill="1" applyBorder="1" applyAlignment="1">
      <alignment horizontal="right" vertical="center"/>
    </xf>
    <xf numFmtId="169" fontId="5" fillId="8" borderId="1" xfId="0" applyNumberFormat="1" applyFont="1" applyFill="1" applyBorder="1" applyAlignment="1">
      <alignment horizontal="right" vertical="center"/>
    </xf>
    <xf numFmtId="169" fontId="0" fillId="8" borderId="1" xfId="0" applyNumberFormat="1" applyFont="1" applyFill="1" applyBorder="1" applyAlignment="1">
      <alignment horizontal="right" vertical="center"/>
    </xf>
    <xf numFmtId="169" fontId="3" fillId="8" borderId="1" xfId="0" applyNumberFormat="1" applyFont="1" applyFill="1" applyBorder="1" applyAlignment="1">
      <alignment horizontal="right" vertical="center"/>
    </xf>
    <xf numFmtId="49" fontId="5" fillId="8" borderId="1"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169" fontId="5" fillId="8" borderId="37" xfId="0" applyNumberFormat="1" applyFont="1" applyFill="1" applyBorder="1" applyAlignment="1">
      <alignment horizontal="right" vertical="center"/>
    </xf>
    <xf numFmtId="169" fontId="0" fillId="8" borderId="37" xfId="0" applyNumberFormat="1" applyFont="1" applyFill="1" applyBorder="1" applyAlignment="1">
      <alignment horizontal="right" vertical="center"/>
    </xf>
    <xf numFmtId="169" fontId="3" fillId="8" borderId="37" xfId="0" applyNumberFormat="1" applyFont="1" applyFill="1" applyBorder="1" applyAlignment="1">
      <alignment horizontal="right" vertical="center"/>
    </xf>
    <xf numFmtId="49" fontId="5" fillId="8" borderId="37" xfId="0" applyNumberFormat="1" applyFont="1" applyFill="1" applyBorder="1" applyAlignment="1">
      <alignment horizontal="left" vertical="center" wrapText="1"/>
    </xf>
    <xf numFmtId="0" fontId="3" fillId="16" borderId="37" xfId="0" applyNumberFormat="1" applyFont="1" applyFill="1" applyBorder="1" applyAlignment="1">
      <alignment horizontal="left" vertical="center" wrapText="1" indent="1"/>
    </xf>
    <xf numFmtId="169" fontId="3" fillId="8" borderId="2" xfId="0" applyNumberFormat="1" applyFont="1" applyFill="1" applyBorder="1" applyAlignment="1">
      <alignment horizontal="right" vertical="center"/>
    </xf>
    <xf numFmtId="0" fontId="3" fillId="16"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xf>
    <xf numFmtId="0" fontId="0" fillId="0" borderId="0" xfId="0" applyNumberFormat="1" applyFont="1" applyAlignment="1">
      <alignment vertical="center" wrapText="1"/>
    </xf>
    <xf numFmtId="0" fontId="0" fillId="0" borderId="0" xfId="0" applyNumberFormat="1" applyFont="1" applyAlignment="1">
      <alignment vertical="center" wrapText="1"/>
    </xf>
    <xf numFmtId="0" fontId="1" fillId="0" borderId="0" xfId="1" applyNumberFormat="1" applyFont="1" applyAlignment="1"/>
    <xf numFmtId="0" fontId="35" fillId="0" borderId="0" xfId="1" applyNumberFormat="1" applyFont="1" applyAlignment="1">
      <alignment wrapText="1"/>
    </xf>
    <xf numFmtId="169" fontId="5" fillId="8" borderId="2" xfId="0" applyNumberFormat="1" applyFont="1" applyFill="1" applyBorder="1" applyAlignment="1">
      <alignment horizontal="right" vertical="center"/>
    </xf>
    <xf numFmtId="0" fontId="3" fillId="0" borderId="70" xfId="0" applyNumberFormat="1" applyFont="1" applyBorder="1" applyAlignment="1">
      <alignment horizontal="right" vertical="center" wrapText="1" indent="1"/>
    </xf>
    <xf numFmtId="0" fontId="3" fillId="0" borderId="70" xfId="0" applyNumberFormat="1" applyFont="1" applyBorder="1" applyAlignment="1">
      <alignment horizontal="right" vertical="center" wrapText="1" indent="1"/>
    </xf>
    <xf numFmtId="0" fontId="5" fillId="0" borderId="0" xfId="1" applyNumberFormat="1" applyFont="1" applyAlignment="1">
      <alignment wrapText="1"/>
    </xf>
    <xf numFmtId="0" fontId="0" fillId="16" borderId="1" xfId="0" applyNumberFormat="1" applyFont="1" applyFill="1" applyBorder="1" applyAlignment="1">
      <alignment horizontal="left" vertical="center" wrapText="1"/>
    </xf>
    <xf numFmtId="0" fontId="0" fillId="8" borderId="1" xfId="0" applyNumberFormat="1" applyFont="1" applyFill="1" applyBorder="1" applyAlignment="1">
      <alignment horizontal="left" vertical="center" wrapText="1"/>
    </xf>
    <xf numFmtId="3" fontId="0" fillId="8" borderId="1" xfId="0" applyNumberFormat="1" applyFont="1" applyFill="1" applyBorder="1" applyAlignment="1">
      <alignment horizontal="left" vertical="center" wrapText="1"/>
    </xf>
    <xf numFmtId="4" fontId="0" fillId="8" borderId="1" xfId="0" applyNumberFormat="1" applyFont="1" applyFill="1" applyBorder="1" applyAlignment="1">
      <alignment horizontal="right" vertical="center" wrapText="1"/>
    </xf>
    <xf numFmtId="0" fontId="0" fillId="8" borderId="1" xfId="0" applyNumberFormat="1" applyFont="1" applyFill="1" applyBorder="1" applyAlignment="1">
      <alignment horizontal="left" vertical="center" wrapText="1" indent="1"/>
    </xf>
    <xf numFmtId="169" fontId="0" fillId="8" borderId="1" xfId="0" applyNumberFormat="1" applyFont="1" applyFill="1" applyBorder="1" applyAlignment="1">
      <alignment horizontal="right" vertical="center" wrapText="1"/>
    </xf>
    <xf numFmtId="169" fontId="0" fillId="8" borderId="2" xfId="0" applyNumberFormat="1" applyFont="1" applyFill="1" applyBorder="1" applyAlignment="1">
      <alignment vertical="center" wrapText="1"/>
    </xf>
    <xf numFmtId="49" fontId="0" fillId="8" borderId="1" xfId="0" applyNumberFormat="1" applyFont="1" applyFill="1" applyBorder="1" applyAlignment="1">
      <alignment horizontal="left" vertical="center" wrapText="1"/>
    </xf>
    <xf numFmtId="0" fontId="3" fillId="16" borderId="2" xfId="0" applyNumberFormat="1" applyFont="1" applyFill="1" applyBorder="1" applyAlignment="1">
      <alignment horizontal="left" vertical="center" wrapText="1"/>
    </xf>
    <xf numFmtId="0" fontId="0" fillId="0" borderId="0" xfId="0" applyNumberFormat="1" applyFont="1" applyAlignment="1">
      <alignment vertical="center" wrapText="1"/>
    </xf>
    <xf numFmtId="0" fontId="0" fillId="0" borderId="0" xfId="0" applyNumberFormat="1" applyFont="1" applyAlignment="1">
      <alignment vertical="center" wrapText="1"/>
    </xf>
    <xf numFmtId="4" fontId="5" fillId="8" borderId="1"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0" xfId="0" applyNumberFormat="1" applyFont="1" applyAlignment="1">
      <alignment vertical="center" wrapText="1"/>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wrapText="1"/>
    </xf>
    <xf numFmtId="0" fontId="3" fillId="16" borderId="1"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0" fontId="3" fillId="8" borderId="1"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49" fontId="3" fillId="8" borderId="1"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wrapText="1"/>
    </xf>
    <xf numFmtId="4" fontId="3"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xf>
    <xf numFmtId="49" fontId="3" fillId="8" borderId="2" xfId="0" applyNumberFormat="1" applyFont="1" applyFill="1" applyBorder="1" applyAlignment="1">
      <alignment horizontal="left" vertical="center" wrapText="1"/>
    </xf>
    <xf numFmtId="49" fontId="3" fillId="16" borderId="1" xfId="0" applyNumberFormat="1" applyFont="1" applyFill="1" applyBorder="1" applyAlignment="1">
      <alignment horizontal="left" vertical="center" wrapText="1" indent="1"/>
    </xf>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169" fontId="3" fillId="8" borderId="1" xfId="0" applyNumberFormat="1" applyFont="1" applyFill="1" applyBorder="1" applyAlignment="1">
      <alignment horizontal="right" vertical="center" wrapText="1"/>
    </xf>
    <xf numFmtId="0" fontId="15" fillId="0" borderId="0" xfId="0" applyNumberFormat="1" applyFont="1" applyAlignment="1"/>
    <xf numFmtId="0" fontId="15" fillId="0" borderId="0" xfId="0" applyNumberFormat="1" applyFont="1" applyAlignment="1"/>
    <xf numFmtId="4" fontId="0" fillId="8" borderId="1" xfId="0" applyNumberFormat="1" applyFont="1" applyFill="1" applyBorder="1" applyAlignment="1">
      <alignment horizontal="right" vertical="center" wrapText="1"/>
    </xf>
    <xf numFmtId="49" fontId="6" fillId="8" borderId="1"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wrapText="1"/>
    </xf>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4" fontId="6" fillId="8" borderId="2" xfId="0" applyNumberFormat="1" applyFont="1" applyFill="1" applyBorder="1" applyAlignment="1">
      <alignment horizontal="right" vertical="center"/>
    </xf>
    <xf numFmtId="4" fontId="24" fillId="8" borderId="2" xfId="0" applyNumberFormat="1" applyFont="1" applyFill="1" applyBorder="1" applyAlignment="1">
      <alignment horizontal="right" vertical="center"/>
    </xf>
    <xf numFmtId="169" fontId="3" fillId="8" borderId="2" xfId="0" applyNumberFormat="1" applyFont="1" applyFill="1" applyBorder="1" applyAlignment="1">
      <alignment horizontal="right" vertical="center"/>
    </xf>
    <xf numFmtId="49" fontId="3" fillId="16" borderId="2" xfId="0" applyNumberFormat="1" applyFont="1" applyFill="1" applyBorder="1" applyAlignment="1">
      <alignment horizontal="left" vertical="center" wrapText="1"/>
    </xf>
    <xf numFmtId="4" fontId="3" fillId="8" borderId="2" xfId="0" applyNumberFormat="1" applyFont="1" applyFill="1" applyBorder="1" applyAlignment="1">
      <alignment horizontal="right" vertical="center"/>
    </xf>
    <xf numFmtId="4" fontId="3" fillId="8" borderId="2" xfId="0" applyNumberFormat="1" applyFont="1" applyFill="1" applyBorder="1" applyAlignment="1">
      <alignment vertical="center"/>
    </xf>
    <xf numFmtId="4" fontId="6" fillId="8" borderId="1" xfId="0" applyNumberFormat="1" applyFont="1" applyFill="1" applyBorder="1" applyAlignment="1">
      <alignment vertical="center"/>
    </xf>
    <xf numFmtId="0" fontId="3" fillId="16" borderId="2" xfId="0" applyNumberFormat="1" applyFont="1" applyFill="1" applyBorder="1" applyAlignment="1">
      <alignment horizontal="left" vertical="center" wrapText="1"/>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49" fontId="3" fillId="8" borderId="2" xfId="0" applyNumberFormat="1" applyFont="1" applyFill="1" applyBorder="1" applyAlignment="1">
      <alignment horizontal="left" vertical="center" wrapText="1"/>
    </xf>
    <xf numFmtId="0" fontId="3" fillId="8" borderId="2" xfId="0" applyNumberFormat="1" applyFont="1" applyFill="1" applyBorder="1" applyAlignment="1">
      <alignment horizontal="left" vertical="center" wrapText="1"/>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6" fillId="0" borderId="1" xfId="0" applyNumberFormat="1" applyFont="1" applyBorder="1" applyAlignment="1">
      <alignment horizontal="right" vertical="center"/>
    </xf>
    <xf numFmtId="169"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169"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wrapText="1"/>
      <protection locked="0"/>
    </xf>
    <xf numFmtId="4" fontId="6"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0" fontId="37" fillId="0" borderId="0" xfId="0" applyNumberFormat="1" applyFont="1" applyAlignment="1">
      <alignment vertical="center" wrapText="1"/>
    </xf>
    <xf numFmtId="49" fontId="3" fillId="8" borderId="2" xfId="0" applyNumberFormat="1" applyFont="1" applyFill="1" applyBorder="1" applyAlignment="1" applyProtection="1">
      <alignment horizontal="left" vertical="center" wrapText="1"/>
      <protection locked="0"/>
    </xf>
    <xf numFmtId="49" fontId="6" fillId="8" borderId="2" xfId="0" applyNumberFormat="1" applyFont="1" applyFill="1" applyBorder="1" applyAlignment="1" applyProtection="1">
      <alignment horizontal="lef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wrapText="1"/>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169" fontId="3" fillId="8" borderId="1" xfId="0" applyNumberFormat="1" applyFont="1" applyFill="1" applyBorder="1" applyAlignment="1" applyProtection="1">
      <alignment horizontal="right" vertical="center"/>
      <protection locked="0"/>
    </xf>
    <xf numFmtId="4" fontId="66"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66"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wrapText="1"/>
      <protection locked="0"/>
    </xf>
    <xf numFmtId="169"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0" fontId="37" fillId="0" borderId="0" xfId="0" applyNumberFormat="1" applyFont="1" applyAlignment="1">
      <alignment vertical="center" wrapText="1"/>
    </xf>
    <xf numFmtId="49" fontId="64" fillId="8" borderId="2" xfId="0" applyNumberFormat="1" applyFont="1" applyFill="1" applyBorder="1" applyAlignment="1" applyProtection="1">
      <alignment horizontal="left" vertical="center" wrapText="1"/>
      <protection locked="0"/>
    </xf>
    <xf numFmtId="49" fontId="3" fillId="8" borderId="2" xfId="0" applyNumberFormat="1" applyFont="1" applyFill="1" applyBorder="1" applyAlignment="1" applyProtection="1">
      <alignment horizontal="left" vertical="center" wrapText="1"/>
      <protection locked="0"/>
    </xf>
    <xf numFmtId="49" fontId="6" fillId="8" borderId="2" xfId="0" applyNumberFormat="1" applyFont="1" applyFill="1" applyBorder="1" applyAlignment="1" applyProtection="1">
      <alignment horizontal="lef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9"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49" fontId="64" fillId="8" borderId="2" xfId="0" applyNumberFormat="1" applyFont="1" applyFill="1" applyBorder="1" applyAlignment="1" applyProtection="1">
      <alignment horizontal="left" vertical="center" wrapText="1"/>
      <protection locked="0"/>
    </xf>
    <xf numFmtId="4" fontId="3" fillId="8" borderId="1" xfId="0" applyNumberFormat="1" applyFont="1" applyFill="1" applyBorder="1" applyAlignment="1" applyProtection="1">
      <alignment horizontal="righ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wrapText="1"/>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 fontId="3" fillId="16"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4" fontId="3" fillId="8"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169" fontId="3" fillId="8" borderId="24" xfId="0" applyNumberFormat="1" applyFont="1" applyFill="1" applyBorder="1" applyAlignment="1">
      <alignment horizontal="right" vertical="center"/>
    </xf>
    <xf numFmtId="169" fontId="5" fillId="8" borderId="13" xfId="0" applyNumberFormat="1" applyFont="1" applyFill="1" applyBorder="1" applyAlignment="1">
      <alignment horizontal="right" vertical="center"/>
    </xf>
    <xf numFmtId="4" fontId="5" fillId="8" borderId="13" xfId="0" applyNumberFormat="1" applyFont="1" applyFill="1" applyBorder="1" applyAlignment="1">
      <alignment horizontal="right" vertical="center"/>
    </xf>
    <xf numFmtId="169" fontId="5" fillId="8" borderId="24" xfId="0" applyNumberFormat="1" applyFont="1" applyFill="1" applyBorder="1" applyAlignment="1">
      <alignment horizontal="right" vertical="center"/>
    </xf>
    <xf numFmtId="0" fontId="33" fillId="0" borderId="0" xfId="0" applyNumberFormat="1" applyFont="1" applyAlignment="1">
      <alignment vertical="center"/>
    </xf>
    <xf numFmtId="169" fontId="3" fillId="7" borderId="13"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169" fontId="3" fillId="7" borderId="24" xfId="0" applyNumberFormat="1" applyFont="1" applyFill="1" applyBorder="1" applyAlignment="1">
      <alignment horizontal="right" vertical="center"/>
    </xf>
    <xf numFmtId="0" fontId="33" fillId="0" borderId="0" xfId="0" applyNumberFormat="1" applyFont="1" applyAlignment="1">
      <alignment vertical="center"/>
    </xf>
    <xf numFmtId="169" fontId="5" fillId="7" borderId="13" xfId="0" applyNumberFormat="1" applyFont="1" applyFill="1" applyBorder="1" applyAlignment="1">
      <alignment horizontal="right" vertical="center"/>
    </xf>
    <xf numFmtId="169" fontId="5" fillId="7" borderId="24"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4" fontId="5" fillId="8" borderId="31" xfId="0" applyNumberFormat="1" applyFont="1" applyFill="1" applyBorder="1" applyAlignment="1">
      <alignment horizontal="right" vertical="center"/>
    </xf>
    <xf numFmtId="169" fontId="5" fillId="8" borderId="31" xfId="0" applyNumberFormat="1" applyFont="1" applyFill="1" applyBorder="1" applyAlignment="1">
      <alignment horizontal="right" vertical="center"/>
    </xf>
    <xf numFmtId="169" fontId="5" fillId="8" borderId="30"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49" fontId="0" fillId="0" borderId="0" xfId="0" applyNumberFormat="1" applyFont="1">
      <alignment vertical="top"/>
    </xf>
    <xf numFmtId="4" fontId="5" fillId="8" borderId="1" xfId="0" applyNumberFormat="1" applyFont="1" applyFill="1" applyBorder="1" applyAlignment="1">
      <alignment horizontal="right" vertical="center" wrapText="1"/>
    </xf>
    <xf numFmtId="49" fontId="3" fillId="16" borderId="2" xfId="0" applyNumberFormat="1" applyFont="1" applyFill="1" applyBorder="1" applyAlignment="1">
      <alignment horizontal="left" vertical="center" wrapText="1" indent="1" shrinkToFit="1"/>
    </xf>
    <xf numFmtId="4" fontId="5"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vertical="center" wrapText="1"/>
    </xf>
    <xf numFmtId="4" fontId="24" fillId="8" borderId="1" xfId="0" applyNumberFormat="1" applyFont="1" applyFill="1" applyBorder="1" applyAlignment="1">
      <alignment horizontal="right" vertical="center" wrapText="1"/>
    </xf>
    <xf numFmtId="4" fontId="3" fillId="8" borderId="2" xfId="0" applyNumberFormat="1" applyFont="1" applyFill="1" applyBorder="1" applyAlignment="1">
      <alignment horizontal="right" vertical="center" wrapText="1"/>
    </xf>
    <xf numFmtId="169" fontId="3" fillId="8" borderId="2" xfId="0" applyNumberFormat="1" applyFont="1" applyFill="1" applyBorder="1" applyAlignment="1">
      <alignment horizontal="right" vertical="center" wrapText="1"/>
    </xf>
    <xf numFmtId="49" fontId="3" fillId="8" borderId="5" xfId="0" applyNumberFormat="1" applyFont="1" applyFill="1" applyBorder="1" applyAlignment="1">
      <alignment horizontal="left" vertical="center" wrapText="1"/>
    </xf>
    <xf numFmtId="0" fontId="56" fillId="0" borderId="0" xfId="0" applyNumberFormat="1" applyFont="1" applyAlignment="1">
      <alignment vertical="center" wrapText="1"/>
    </xf>
    <xf numFmtId="0" fontId="9" fillId="0" borderId="0" xfId="0" applyNumberFormat="1" applyFont="1" applyAlignment="1">
      <alignment vertical="center"/>
    </xf>
    <xf numFmtId="0" fontId="12" fillId="28" borderId="54" xfId="0" applyNumberFormat="1" applyFont="1" applyFill="1" applyBorder="1" applyAlignment="1">
      <alignment horizontal="center" vertical="center" wrapText="1"/>
    </xf>
    <xf numFmtId="0" fontId="12" fillId="28" borderId="55" xfId="0" applyNumberFormat="1" applyFont="1" applyFill="1" applyBorder="1" applyAlignment="1">
      <alignment horizontal="center" vertical="center" wrapText="1"/>
    </xf>
    <xf numFmtId="0" fontId="12" fillId="28" borderId="56" xfId="0" applyNumberFormat="1" applyFont="1" applyFill="1" applyBorder="1" applyAlignment="1">
      <alignment horizontal="center" vertical="center" wrapText="1"/>
    </xf>
    <xf numFmtId="0" fontId="12" fillId="17" borderId="36" xfId="0" applyNumberFormat="1" applyFont="1" applyFill="1" applyBorder="1" applyAlignment="1">
      <alignment horizontal="right" vertical="center" wrapText="1" indent="1"/>
    </xf>
    <xf numFmtId="0" fontId="12" fillId="17" borderId="53" xfId="0" applyNumberFormat="1" applyFont="1" applyFill="1" applyBorder="1" applyAlignment="1">
      <alignment horizontal="right" vertical="center" wrapText="1" indent="1"/>
    </xf>
    <xf numFmtId="0" fontId="12" fillId="17" borderId="0" xfId="0" applyNumberFormat="1" applyFont="1" applyFill="1" applyAlignment="1">
      <alignment horizontal="right" vertical="center" wrapText="1" indent="1"/>
    </xf>
    <xf numFmtId="0" fontId="40" fillId="0" borderId="36" xfId="0" applyNumberFormat="1" applyFont="1" applyBorder="1" applyAlignment="1">
      <alignment vertical="center" wrapText="1"/>
    </xf>
    <xf numFmtId="0" fontId="40" fillId="0" borderId="0" xfId="0" applyNumberFormat="1" applyFont="1" applyAlignment="1">
      <alignment vertical="center" wrapText="1"/>
    </xf>
    <xf numFmtId="0" fontId="40" fillId="0" borderId="36" xfId="0" applyNumberFormat="1" applyFont="1" applyBorder="1" applyAlignment="1">
      <alignment horizontal="left" vertical="center" wrapText="1"/>
    </xf>
    <xf numFmtId="0" fontId="40" fillId="0" borderId="0" xfId="0" applyNumberFormat="1" applyFont="1" applyAlignment="1">
      <alignment horizontal="left" vertical="center" wrapText="1"/>
    </xf>
    <xf numFmtId="0" fontId="60" fillId="0" borderId="0" xfId="0" applyNumberFormat="1" applyFont="1" applyAlignment="1">
      <alignment vertical="top" wrapText="1"/>
    </xf>
    <xf numFmtId="0" fontId="12" fillId="17" borderId="44" xfId="0" applyNumberFormat="1" applyFont="1" applyFill="1" applyBorder="1" applyAlignment="1">
      <alignment horizontal="right" vertical="center" wrapText="1" indent="1"/>
    </xf>
    <xf numFmtId="0" fontId="12" fillId="17" borderId="52" xfId="0" applyNumberFormat="1" applyFont="1" applyFill="1" applyBorder="1" applyAlignment="1">
      <alignment horizontal="right" vertical="center" wrapText="1" indent="1"/>
    </xf>
    <xf numFmtId="0" fontId="12" fillId="17" borderId="22" xfId="0" applyNumberFormat="1" applyFont="1" applyFill="1" applyBorder="1" applyAlignment="1">
      <alignment horizontal="right" vertical="center" wrapText="1" indent="1"/>
    </xf>
    <xf numFmtId="0" fontId="12" fillId="17" borderId="23" xfId="0" applyNumberFormat="1" applyFont="1" applyFill="1" applyBorder="1" applyAlignment="1">
      <alignment horizontal="right" vertical="center" wrapText="1" indent="1"/>
    </xf>
    <xf numFmtId="0" fontId="40" fillId="0" borderId="0" xfId="0" applyNumberFormat="1" applyFont="1" applyAlignment="1">
      <alignment vertical="top" wrapText="1"/>
    </xf>
    <xf numFmtId="49" fontId="38" fillId="0" borderId="0" xfId="0" applyNumberFormat="1" applyFont="1" applyAlignment="1">
      <alignment vertical="top" wrapText="1"/>
    </xf>
    <xf numFmtId="0" fontId="3" fillId="0" borderId="2" xfId="0" applyNumberFormat="1" applyFont="1" applyBorder="1" applyAlignment="1">
      <alignment horizontal="right" vertical="center" wrapText="1" indent="1"/>
    </xf>
    <xf numFmtId="0" fontId="34" fillId="0" borderId="43" xfId="0" applyNumberFormat="1" applyFont="1" applyBorder="1" applyAlignment="1">
      <alignment horizontal="center" vertical="top" wrapText="1"/>
    </xf>
    <xf numFmtId="0" fontId="3" fillId="0" borderId="3" xfId="0" applyNumberFormat="1" applyFont="1" applyBorder="1" applyAlignment="1">
      <alignment horizontal="center" vertical="center" textRotation="90" wrapText="1"/>
    </xf>
    <xf numFmtId="0" fontId="3" fillId="0" borderId="57" xfId="0" applyNumberFormat="1" applyFont="1" applyBorder="1" applyAlignment="1">
      <alignment horizontal="center" vertical="center" textRotation="90" wrapText="1"/>
    </xf>
    <xf numFmtId="0" fontId="3" fillId="0" borderId="37" xfId="0" applyNumberFormat="1" applyFont="1" applyBorder="1" applyAlignment="1">
      <alignment horizontal="center" vertical="center" textRotation="90" wrapText="1"/>
    </xf>
    <xf numFmtId="0" fontId="3" fillId="0" borderId="2" xfId="0" applyNumberFormat="1" applyFont="1" applyBorder="1" applyAlignment="1">
      <alignment horizontal="center" vertical="center" textRotation="90" wrapText="1"/>
    </xf>
    <xf numFmtId="0" fontId="3" fillId="0" borderId="58"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5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28" xfId="0" applyNumberFormat="1" applyFont="1" applyBorder="1" applyAlignment="1">
      <alignment horizontal="right" vertical="center" wrapText="1" indent="1"/>
    </xf>
    <xf numFmtId="0" fontId="3" fillId="0" borderId="29" xfId="0" applyNumberFormat="1" applyFont="1" applyBorder="1" applyAlignment="1">
      <alignment horizontal="right" vertical="center" wrapText="1" indent="1"/>
    </xf>
    <xf numFmtId="0" fontId="3" fillId="0" borderId="14" xfId="0" applyNumberFormat="1" applyFont="1" applyBorder="1" applyAlignment="1">
      <alignment horizontal="right" vertical="center" wrapText="1" indent="1"/>
    </xf>
    <xf numFmtId="0" fontId="5" fillId="0" borderId="2" xfId="0" applyNumberFormat="1" applyFont="1" applyBorder="1" applyAlignment="1">
      <alignment horizontal="right" vertical="center" wrapText="1" indent="1"/>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24" fillId="29" borderId="2" xfId="0" applyNumberFormat="1" applyFont="1" applyFill="1" applyBorder="1" applyAlignment="1">
      <alignment horizontal="center" vertical="center" wrapText="1"/>
    </xf>
    <xf numFmtId="0" fontId="6" fillId="16" borderId="2" xfId="0" applyNumberFormat="1" applyFont="1" applyFill="1" applyBorder="1" applyAlignment="1" applyProtection="1">
      <alignment horizontal="center" vertical="center"/>
      <protection locked="0"/>
    </xf>
    <xf numFmtId="49" fontId="24" fillId="30" borderId="2" xfId="0" applyNumberFormat="1" applyFont="1" applyFill="1" applyBorder="1" applyAlignment="1">
      <alignment horizontal="center" vertical="center" wrapText="1"/>
    </xf>
    <xf numFmtId="0" fontId="6" fillId="24" borderId="2" xfId="0" applyNumberFormat="1" applyFont="1" applyFill="1" applyBorder="1" applyAlignment="1">
      <alignment horizontal="center" vertical="center"/>
    </xf>
    <xf numFmtId="0" fontId="24" fillId="29" borderId="2" xfId="0" applyNumberFormat="1" applyFont="1" applyFill="1" applyBorder="1" applyAlignment="1">
      <alignment horizontal="center" vertical="center" wrapText="1"/>
    </xf>
    <xf numFmtId="0" fontId="6" fillId="29" borderId="2" xfId="0" applyNumberFormat="1" applyFont="1" applyFill="1" applyBorder="1" applyAlignment="1">
      <alignment horizontal="center" vertical="center" wrapText="1"/>
    </xf>
    <xf numFmtId="0" fontId="3" fillId="0" borderId="28" xfId="0" applyNumberFormat="1" applyFont="1" applyBorder="1" applyAlignment="1">
      <alignment vertical="center"/>
    </xf>
    <xf numFmtId="0" fontId="3" fillId="0" borderId="29" xfId="0" applyNumberFormat="1" applyFont="1" applyBorder="1" applyAlignment="1">
      <alignment vertical="center"/>
    </xf>
    <xf numFmtId="0" fontId="3" fillId="0" borderId="14" xfId="0" applyNumberFormat="1" applyFont="1" applyBorder="1" applyAlignment="1">
      <alignment vertical="center"/>
    </xf>
    <xf numFmtId="0" fontId="7" fillId="0" borderId="0" xfId="0" applyNumberFormat="1" applyFont="1" applyAlignment="1">
      <alignment horizontal="center" vertical="center"/>
    </xf>
    <xf numFmtId="49" fontId="6" fillId="29" borderId="2" xfId="0" applyNumberFormat="1" applyFont="1" applyFill="1" applyBorder="1" applyAlignment="1">
      <alignment horizontal="left" vertical="center" wrapText="1" indent="4"/>
    </xf>
    <xf numFmtId="0" fontId="7" fillId="0" borderId="57" xfId="0" applyNumberFormat="1" applyFont="1" applyBorder="1" applyAlignment="1">
      <alignment vertical="center" wrapText="1"/>
    </xf>
    <xf numFmtId="0" fontId="6" fillId="0" borderId="0" xfId="0" applyNumberFormat="1" applyFont="1" applyAlignment="1">
      <alignment vertical="center" wrapText="1"/>
    </xf>
    <xf numFmtId="0" fontId="7" fillId="0" borderId="3" xfId="0" applyNumberFormat="1" applyFont="1" applyBorder="1" applyAlignment="1">
      <alignment vertical="center" wrapText="1"/>
    </xf>
    <xf numFmtId="0" fontId="7" fillId="0" borderId="0" xfId="0" applyNumberFormat="1" applyFont="1" applyAlignment="1">
      <alignment horizontal="center" vertical="top"/>
    </xf>
    <xf numFmtId="49" fontId="49" fillId="0" borderId="0" xfId="0" applyNumberFormat="1" applyFont="1" applyAlignment="1">
      <alignment horizontal="center" vertical="top" wrapText="1"/>
    </xf>
    <xf numFmtId="0" fontId="3" fillId="0" borderId="36"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0" fontId="3" fillId="0" borderId="22"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49" fontId="3" fillId="0" borderId="1" xfId="0" applyNumberFormat="1" applyFont="1" applyBorder="1" applyAlignment="1">
      <alignment horizontal="right" vertical="center" wrapText="1"/>
    </xf>
    <xf numFmtId="0" fontId="7" fillId="0" borderId="37" xfId="0" applyNumberFormat="1" applyFont="1" applyBorder="1" applyAlignment="1">
      <alignment vertical="center" wrapText="1"/>
    </xf>
    <xf numFmtId="0" fontId="24" fillId="29" borderId="3" xfId="0" applyNumberFormat="1" applyFont="1" applyFill="1" applyBorder="1" applyAlignment="1">
      <alignment horizontal="left" vertical="center" wrapText="1" indent="4"/>
    </xf>
    <xf numFmtId="0" fontId="24" fillId="29" borderId="2" xfId="0" applyNumberFormat="1" applyFont="1" applyFill="1" applyBorder="1" applyAlignment="1">
      <alignment horizontal="left" vertical="center" wrapText="1" indent="4"/>
    </xf>
    <xf numFmtId="0" fontId="3" fillId="16" borderId="44" xfId="0" applyNumberFormat="1" applyFont="1" applyFill="1" applyBorder="1" applyAlignment="1" applyProtection="1">
      <alignment horizontal="center" vertical="center" wrapText="1"/>
      <protection locked="0"/>
    </xf>
    <xf numFmtId="0" fontId="3" fillId="16" borderId="52" xfId="0" applyNumberFormat="1" applyFont="1" applyFill="1" applyBorder="1" applyAlignment="1" applyProtection="1">
      <alignment horizontal="center" vertical="center" wrapText="1"/>
      <protection locked="0"/>
    </xf>
    <xf numFmtId="0" fontId="3" fillId="16" borderId="36" xfId="0" applyNumberFormat="1" applyFont="1" applyFill="1" applyBorder="1" applyAlignment="1">
      <alignment horizontal="center" vertical="center" wrapText="1"/>
    </xf>
    <xf numFmtId="0" fontId="3" fillId="16" borderId="53" xfId="0" applyNumberFormat="1" applyFont="1" applyFill="1" applyBorder="1" applyAlignment="1">
      <alignment horizontal="center" vertical="center" wrapText="1"/>
    </xf>
    <xf numFmtId="0" fontId="3" fillId="16" borderId="36" xfId="0" applyNumberFormat="1" applyFont="1" applyFill="1" applyBorder="1" applyAlignment="1" applyProtection="1">
      <alignment horizontal="center" vertical="center" wrapText="1"/>
      <protection locked="0"/>
    </xf>
    <xf numFmtId="0" fontId="3" fillId="16" borderId="53" xfId="0" applyNumberFormat="1" applyFont="1" applyFill="1" applyBorder="1" applyAlignment="1" applyProtection="1">
      <alignment horizontal="center" vertical="center" wrapText="1"/>
      <protection locked="0"/>
    </xf>
    <xf numFmtId="0" fontId="3" fillId="16" borderId="22" xfId="0" applyNumberFormat="1" applyFont="1" applyFill="1" applyBorder="1" applyAlignment="1" applyProtection="1">
      <alignment horizontal="center" vertical="center" wrapText="1"/>
      <protection locked="0"/>
    </xf>
    <xf numFmtId="0" fontId="3" fillId="16" borderId="47" xfId="0" applyNumberFormat="1" applyFont="1" applyFill="1" applyBorder="1" applyAlignment="1" applyProtection="1">
      <alignment horizontal="center" vertical="center" wrapText="1"/>
      <protection locked="0"/>
    </xf>
    <xf numFmtId="0" fontId="7" fillId="0" borderId="53" xfId="0" applyNumberFormat="1" applyFont="1" applyBorder="1" applyAlignment="1">
      <alignment horizontal="center" vertical="center"/>
    </xf>
    <xf numFmtId="0" fontId="6" fillId="0" borderId="4" xfId="0" quotePrefix="1"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5" fillId="0" borderId="0" xfId="0" applyNumberFormat="1" applyFont="1" applyAlignment="1">
      <alignment horizontal="center" vertical="top" wrapText="1"/>
    </xf>
    <xf numFmtId="0" fontId="54" fillId="0" borderId="0" xfId="0" applyNumberFormat="1" applyFont="1" applyAlignment="1">
      <alignment horizontal="center" vertical="center" wrapText="1"/>
    </xf>
    <xf numFmtId="0" fontId="5" fillId="0" borderId="0" xfId="0" applyNumberFormat="1" applyFont="1" applyAlignment="1">
      <alignment horizontal="center" vertical="center"/>
    </xf>
    <xf numFmtId="0" fontId="5" fillId="0" borderId="0" xfId="0" applyNumberFormat="1" applyFont="1" applyAlignment="1">
      <alignment horizontal="center"/>
    </xf>
    <xf numFmtId="49" fontId="3" fillId="8" borderId="28" xfId="0" applyNumberFormat="1" applyFont="1" applyFill="1" applyBorder="1" applyAlignment="1">
      <alignment horizontal="left" vertical="center" wrapText="1"/>
    </xf>
    <xf numFmtId="49" fontId="3" fillId="8" borderId="29" xfId="0" applyNumberFormat="1" applyFont="1" applyFill="1" applyBorder="1" applyAlignment="1">
      <alignment horizontal="left" vertical="center" wrapText="1"/>
    </xf>
    <xf numFmtId="49" fontId="3" fillId="8" borderId="14" xfId="0" applyNumberFormat="1" applyFont="1" applyFill="1" applyBorder="1" applyAlignment="1">
      <alignment horizontal="left" vertical="center" wrapText="1"/>
    </xf>
    <xf numFmtId="0" fontId="3" fillId="0" borderId="24"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61" xfId="0" applyNumberFormat="1" applyFont="1" applyBorder="1" applyAlignment="1">
      <alignment horizontal="center" vertical="center" wrapText="1"/>
    </xf>
    <xf numFmtId="0" fontId="3" fillId="8" borderId="10" xfId="0" applyNumberFormat="1" applyFont="1" applyFill="1" applyBorder="1" applyAlignment="1" applyProtection="1">
      <alignment horizontal="left" vertical="center" wrapText="1"/>
      <protection locked="0"/>
    </xf>
    <xf numFmtId="0" fontId="3" fillId="8" borderId="11" xfId="0" applyNumberFormat="1" applyFont="1" applyFill="1" applyBorder="1" applyAlignment="1" applyProtection="1">
      <alignment horizontal="left" vertical="center" wrapText="1"/>
      <protection locked="0"/>
    </xf>
    <xf numFmtId="0" fontId="3" fillId="8" borderId="12" xfId="0" applyNumberFormat="1" applyFont="1" applyFill="1" applyBorder="1" applyAlignment="1" applyProtection="1">
      <alignment horizontal="left" vertical="center" wrapText="1"/>
      <protection locked="0"/>
    </xf>
    <xf numFmtId="0" fontId="3" fillId="8" borderId="60" xfId="0" applyNumberFormat="1" applyFont="1" applyFill="1" applyBorder="1" applyAlignment="1">
      <alignment horizontal="left" vertical="center" wrapText="1"/>
    </xf>
    <xf numFmtId="0" fontId="3" fillId="8" borderId="9" xfId="0" applyNumberFormat="1" applyFont="1" applyFill="1" applyBorder="1" applyAlignment="1">
      <alignment horizontal="left" vertical="center" wrapText="1"/>
    </xf>
    <xf numFmtId="0" fontId="3" fillId="8" borderId="42" xfId="0" applyNumberFormat="1" applyFont="1" applyFill="1" applyBorder="1" applyAlignment="1">
      <alignment horizontal="left" vertical="center" wrapText="1"/>
    </xf>
    <xf numFmtId="49" fontId="6" fillId="0" borderId="0" xfId="0" applyNumberFormat="1" applyFont="1" applyAlignment="1">
      <alignment horizontal="center" vertical="center" wrapText="1" shrinkToFit="1"/>
    </xf>
    <xf numFmtId="49"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7" xfId="0" applyNumberFormat="1" applyFont="1" applyBorder="1" applyAlignment="1">
      <alignment horizontal="center" vertical="center" wrapText="1"/>
    </xf>
    <xf numFmtId="49" fontId="3" fillId="8" borderId="28" xfId="0" applyNumberFormat="1" applyFont="1" applyFill="1" applyBorder="1" applyAlignment="1" applyProtection="1">
      <alignment horizontal="left" vertical="center" wrapText="1"/>
      <protection locked="0"/>
    </xf>
    <xf numFmtId="49" fontId="3" fillId="8" borderId="29" xfId="0" applyNumberFormat="1" applyFont="1" applyFill="1" applyBorder="1" applyAlignment="1" applyProtection="1">
      <alignment horizontal="left" vertical="center" wrapText="1"/>
      <protection locked="0"/>
    </xf>
    <xf numFmtId="49" fontId="3" fillId="8" borderId="14" xfId="0" applyNumberFormat="1" applyFont="1" applyFill="1" applyBorder="1" applyAlignment="1" applyProtection="1">
      <alignment horizontal="left" vertical="center" wrapText="1"/>
      <protection locked="0"/>
    </xf>
    <xf numFmtId="0" fontId="5" fillId="0" borderId="0" xfId="0" applyNumberFormat="1" applyFont="1" applyAlignment="1">
      <alignment horizontal="center" vertical="top"/>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0" borderId="13" xfId="0" applyNumberFormat="1" applyFont="1" applyBorder="1" applyAlignment="1">
      <alignment horizontal="center" vertical="center" wrapText="1"/>
    </xf>
    <xf numFmtId="0" fontId="61" fillId="0" borderId="13" xfId="0" applyNumberFormat="1" applyFont="1" applyBorder="1" applyAlignment="1">
      <alignment vertical="center"/>
    </xf>
    <xf numFmtId="0" fontId="3" fillId="8" borderId="62" xfId="0" applyNumberFormat="1" applyFont="1" applyFill="1" applyBorder="1" applyAlignment="1" applyProtection="1">
      <alignment horizontal="left" vertical="center" wrapText="1"/>
      <protection locked="0"/>
    </xf>
    <xf numFmtId="0" fontId="3" fillId="8" borderId="0" xfId="0" applyNumberFormat="1" applyFont="1" applyFill="1" applyAlignment="1" applyProtection="1">
      <alignment horizontal="left" vertical="center" wrapText="1"/>
      <protection locked="0"/>
    </xf>
    <xf numFmtId="0" fontId="3" fillId="8" borderId="0" xfId="0" applyNumberFormat="1" applyFont="1" applyFill="1" applyAlignment="1">
      <alignment horizontal="left" vertical="center" wrapText="1"/>
    </xf>
    <xf numFmtId="0" fontId="3" fillId="8" borderId="63" xfId="0" applyNumberFormat="1" applyFont="1" applyFill="1" applyBorder="1" applyAlignment="1" applyProtection="1">
      <alignment horizontal="left" vertical="center" wrapText="1"/>
      <protection locked="0"/>
    </xf>
    <xf numFmtId="0" fontId="3" fillId="8" borderId="64" xfId="0" applyNumberFormat="1" applyFont="1" applyFill="1" applyBorder="1" applyAlignment="1">
      <alignment horizontal="left" vertical="center" wrapText="1"/>
    </xf>
    <xf numFmtId="0" fontId="3" fillId="8" borderId="15" xfId="0" applyNumberFormat="1" applyFont="1" applyFill="1" applyBorder="1" applyAlignment="1">
      <alignment horizontal="left" vertical="center" wrapText="1"/>
    </xf>
    <xf numFmtId="0" fontId="3" fillId="8" borderId="15"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lignment horizontal="left" vertical="center" wrapText="1"/>
    </xf>
    <xf numFmtId="0" fontId="3" fillId="8" borderId="64"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pplyProtection="1">
      <alignment horizontal="left" vertical="center" wrapText="1"/>
      <protection locked="0"/>
    </xf>
    <xf numFmtId="0" fontId="6" fillId="0" borderId="0" xfId="0" applyNumberFormat="1" applyFont="1" applyAlignment="1">
      <alignment horizontal="center"/>
    </xf>
    <xf numFmtId="49" fontId="0" fillId="0" borderId="1"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67" xfId="0" applyNumberFormat="1" applyFont="1" applyBorder="1" applyAlignment="1">
      <alignment horizontal="center" vertical="center" wrapText="1"/>
    </xf>
    <xf numFmtId="49" fontId="0" fillId="0" borderId="66" xfId="0" applyNumberFormat="1" applyFont="1" applyBorder="1" applyAlignment="1">
      <alignment horizontal="center" vertical="center" wrapText="1"/>
    </xf>
    <xf numFmtId="3" fontId="0" fillId="0" borderId="1" xfId="0" applyNumberFormat="1" applyFont="1" applyBorder="1" applyAlignment="1">
      <alignment horizontal="center" vertical="center" wrapText="1"/>
    </xf>
    <xf numFmtId="0" fontId="3" fillId="0" borderId="21" xfId="0" applyNumberFormat="1" applyFont="1" applyBorder="1" applyAlignment="1">
      <alignment horizontal="center"/>
    </xf>
    <xf numFmtId="0" fontId="3" fillId="0" borderId="9" xfId="0" applyNumberFormat="1" applyFont="1" applyBorder="1" applyAlignment="1">
      <alignment horizontal="center"/>
    </xf>
    <xf numFmtId="0" fontId="3" fillId="0" borderId="20" xfId="0" applyNumberFormat="1" applyFont="1" applyBorder="1" applyAlignment="1">
      <alignment horizontal="center"/>
    </xf>
    <xf numFmtId="0" fontId="5" fillId="0" borderId="1"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3" fillId="8" borderId="21" xfId="0" applyNumberFormat="1" applyFont="1" applyFill="1" applyBorder="1" applyAlignment="1">
      <alignment horizontal="left" vertical="center" wrapText="1"/>
    </xf>
    <xf numFmtId="0" fontId="3" fillId="8" borderId="20" xfId="0" applyNumberFormat="1" applyFont="1" applyFill="1" applyBorder="1" applyAlignment="1">
      <alignment horizontal="left" vertical="center" wrapText="1"/>
    </xf>
    <xf numFmtId="0" fontId="3" fillId="0" borderId="0" xfId="0" applyNumberFormat="1" applyFont="1" applyAlignment="1">
      <alignment horizontal="center" vertical="top"/>
    </xf>
    <xf numFmtId="0" fontId="3" fillId="0" borderId="0" xfId="0" applyNumberFormat="1" applyFont="1" applyAlignment="1">
      <alignment horizontal="center"/>
    </xf>
    <xf numFmtId="0" fontId="1" fillId="0" borderId="1" xfId="0" applyNumberFormat="1" applyFont="1" applyBorder="1" applyAlignment="1">
      <alignment vertical="center"/>
    </xf>
    <xf numFmtId="49" fontId="3" fillId="8" borderId="66" xfId="0" applyNumberFormat="1" applyFont="1" applyFill="1" applyBorder="1" applyAlignment="1" applyProtection="1">
      <alignment horizontal="left" vertical="top" wrapText="1"/>
      <protection locked="0"/>
    </xf>
    <xf numFmtId="49" fontId="52" fillId="8" borderId="66" xfId="0" applyNumberFormat="1" applyFont="1" applyFill="1" applyBorder="1" applyAlignment="1" applyProtection="1">
      <alignment horizontal="left" vertical="top" wrapText="1"/>
      <protection locked="0"/>
    </xf>
    <xf numFmtId="0" fontId="3" fillId="7" borderId="2" xfId="0" applyNumberFormat="1" applyFont="1" applyFill="1" applyBorder="1" applyAlignment="1">
      <alignment horizontal="center" vertical="center" wrapText="1"/>
    </xf>
    <xf numFmtId="49" fontId="3" fillId="8" borderId="21" xfId="0" applyNumberFormat="1" applyFont="1" applyFill="1" applyBorder="1" applyAlignment="1">
      <alignment horizontal="left" vertical="top" wrapText="1"/>
    </xf>
    <xf numFmtId="49" fontId="3" fillId="8" borderId="9" xfId="0" applyNumberFormat="1" applyFont="1" applyFill="1" applyBorder="1" applyAlignment="1">
      <alignment horizontal="left" vertical="top" wrapText="1"/>
    </xf>
    <xf numFmtId="49" fontId="3" fillId="8" borderId="9" xfId="0" applyNumberFormat="1" applyFont="1" applyFill="1" applyBorder="1" applyAlignment="1" applyProtection="1">
      <alignment horizontal="left" vertical="top" wrapText="1"/>
      <protection locked="0"/>
    </xf>
    <xf numFmtId="49" fontId="3" fillId="8" borderId="20" xfId="0" applyNumberFormat="1" applyFont="1" applyFill="1" applyBorder="1" applyAlignment="1">
      <alignment horizontal="left" vertical="top" wrapText="1"/>
    </xf>
    <xf numFmtId="49" fontId="3" fillId="8" borderId="21" xfId="0" applyNumberFormat="1" applyFont="1" applyFill="1" applyBorder="1" applyAlignment="1" applyProtection="1">
      <alignment horizontal="left" vertical="top" wrapText="1"/>
      <protection locked="0"/>
    </xf>
    <xf numFmtId="49" fontId="3" fillId="8" borderId="20" xfId="0" applyNumberFormat="1" applyFont="1" applyFill="1" applyBorder="1" applyAlignment="1" applyProtection="1">
      <alignment horizontal="left" vertical="top" wrapText="1"/>
      <protection locked="0"/>
    </xf>
    <xf numFmtId="0" fontId="3" fillId="0" borderId="2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49" fontId="3" fillId="8" borderId="66" xfId="0" applyNumberFormat="1" applyFont="1" applyFill="1" applyBorder="1" applyAlignment="1">
      <alignment horizontal="left" vertical="top" wrapText="1"/>
    </xf>
    <xf numFmtId="49" fontId="52" fillId="8" borderId="66" xfId="0" applyNumberFormat="1" applyFont="1" applyFill="1" applyBorder="1" applyAlignment="1">
      <alignment horizontal="left" vertical="top" wrapText="1"/>
    </xf>
    <xf numFmtId="0" fontId="3" fillId="0" borderId="1" xfId="0" applyNumberFormat="1" applyFont="1" applyBorder="1" applyAlignment="1">
      <alignment horizontal="center" vertical="center"/>
    </xf>
    <xf numFmtId="0" fontId="5" fillId="0" borderId="16" xfId="0" applyNumberFormat="1" applyFont="1" applyBorder="1" applyAlignment="1">
      <alignment horizontal="center" vertical="center" wrapText="1"/>
    </xf>
    <xf numFmtId="0" fontId="5" fillId="0" borderId="66" xfId="0" applyNumberFormat="1" applyFont="1" applyBorder="1" applyAlignment="1">
      <alignment horizontal="center" vertical="center" wrapText="1"/>
    </xf>
    <xf numFmtId="49" fontId="24" fillId="0" borderId="4" xfId="0" quotePrefix="1" applyNumberFormat="1" applyFont="1" applyBorder="1" applyAlignment="1">
      <alignment horizontal="left" vertical="center" wrapText="1" indent="1"/>
    </xf>
    <xf numFmtId="49" fontId="24" fillId="0" borderId="4" xfId="0" applyNumberFormat="1" applyFont="1" applyBorder="1" applyAlignment="1">
      <alignment horizontal="left" vertical="center" wrapText="1" indent="1"/>
    </xf>
    <xf numFmtId="0" fontId="5" fillId="0" borderId="68" xfId="0" applyNumberFormat="1" applyFont="1" applyBorder="1" applyAlignment="1">
      <alignment horizontal="center" vertical="center" wrapText="1"/>
    </xf>
    <xf numFmtId="0" fontId="5" fillId="0" borderId="39" xfId="0" applyNumberFormat="1" applyFont="1" applyBorder="1" applyAlignment="1">
      <alignment horizontal="center" vertical="center" wrapText="1"/>
    </xf>
    <xf numFmtId="0" fontId="7" fillId="0" borderId="0" xfId="0" applyNumberFormat="1" applyFont="1" applyAlignment="1">
      <alignment horizontal="center"/>
    </xf>
    <xf numFmtId="49" fontId="34" fillId="0" borderId="53" xfId="0" applyNumberFormat="1" applyFont="1" applyBorder="1" applyAlignment="1">
      <alignment horizontal="center" vertical="top" wrapText="1"/>
    </xf>
    <xf numFmtId="0" fontId="34" fillId="0" borderId="53" xfId="0" applyNumberFormat="1" applyFont="1" applyBorder="1" applyAlignment="1">
      <alignment horizontal="center" vertical="top" wrapText="1"/>
    </xf>
    <xf numFmtId="0" fontId="61" fillId="0" borderId="1" xfId="0" applyNumberFormat="1" applyFont="1" applyBorder="1" applyAlignment="1"/>
    <xf numFmtId="0" fontId="3" fillId="0" borderId="0" xfId="0" applyNumberFormat="1" applyFont="1" applyAlignment="1">
      <alignment horizontal="center" vertical="top" wrapText="1"/>
    </xf>
    <xf numFmtId="0" fontId="3" fillId="0" borderId="0" xfId="0" applyNumberFormat="1" applyFont="1" applyAlignment="1">
      <alignment horizontal="center" vertical="center" wrapText="1"/>
    </xf>
    <xf numFmtId="0" fontId="62" fillId="0" borderId="1" xfId="0" applyNumberFormat="1" applyFont="1" applyBorder="1" applyAlignment="1"/>
    <xf numFmtId="0" fontId="52" fillId="0" borderId="1" xfId="0" applyNumberFormat="1" applyFont="1" applyBorder="1" applyAlignment="1">
      <alignment vertical="center"/>
    </xf>
    <xf numFmtId="0" fontId="5" fillId="9" borderId="1" xfId="0" applyNumberFormat="1" applyFont="1" applyFill="1" applyBorder="1" applyAlignment="1">
      <alignment horizontal="center" vertical="center" wrapText="1"/>
    </xf>
    <xf numFmtId="49" fontId="63" fillId="8" borderId="66" xfId="0" applyNumberFormat="1" applyFont="1" applyFill="1" applyBorder="1" applyAlignment="1" applyProtection="1">
      <alignment horizontal="left" vertical="top" wrapText="1"/>
      <protection locked="0"/>
    </xf>
    <xf numFmtId="49" fontId="63" fillId="8" borderId="66" xfId="0" applyNumberFormat="1" applyFont="1" applyFill="1" applyBorder="1" applyAlignment="1">
      <alignment horizontal="left" vertical="top" wrapText="1"/>
    </xf>
    <xf numFmtId="0" fontId="41" fillId="0" borderId="1" xfId="0" applyNumberFormat="1" applyFont="1" applyBorder="1" applyAlignment="1">
      <alignment vertical="center"/>
    </xf>
    <xf numFmtId="0" fontId="5" fillId="0" borderId="1" xfId="0" applyNumberFormat="1" applyFont="1" applyBorder="1" applyAlignment="1">
      <alignment vertical="center" wrapText="1"/>
    </xf>
    <xf numFmtId="0" fontId="5" fillId="0" borderId="1" xfId="0" applyNumberFormat="1" applyFont="1" applyBorder="1" applyAlignment="1"/>
    <xf numFmtId="49" fontId="3" fillId="8" borderId="1" xfId="0" applyNumberFormat="1" applyFont="1" applyFill="1" applyBorder="1" applyAlignment="1" applyProtection="1">
      <alignment horizontal="left" vertical="top" wrapText="1"/>
      <protection locked="0"/>
    </xf>
    <xf numFmtId="49" fontId="3" fillId="8" borderId="1" xfId="0" applyNumberFormat="1" applyFont="1" applyFill="1" applyBorder="1" applyAlignment="1">
      <alignment horizontal="left" vertical="top" wrapText="1"/>
    </xf>
    <xf numFmtId="49" fontId="3" fillId="0" borderId="1" xfId="0" applyNumberFormat="1" applyFont="1" applyBorder="1" applyAlignment="1">
      <alignment horizontal="center" vertical="center" wrapText="1"/>
    </xf>
    <xf numFmtId="49" fontId="3" fillId="6" borderId="1" xfId="0" applyNumberFormat="1" applyFont="1" applyFill="1" applyBorder="1" applyAlignment="1">
      <alignment horizontal="left" vertical="top" wrapText="1"/>
    </xf>
    <xf numFmtId="49" fontId="52" fillId="0" borderId="1" xfId="0" applyNumberFormat="1" applyFont="1" applyBorder="1" applyAlignment="1">
      <alignment horizontal="left" vertical="top" wrapText="1"/>
    </xf>
    <xf numFmtId="49" fontId="52" fillId="8" borderId="1" xfId="0" applyNumberFormat="1" applyFont="1" applyFill="1" applyBorder="1" applyAlignment="1" applyProtection="1">
      <alignment horizontal="left" vertical="top" wrapText="1"/>
      <protection locked="0"/>
    </xf>
    <xf numFmtId="49" fontId="52" fillId="8" borderId="1" xfId="0" applyNumberFormat="1" applyFont="1" applyFill="1" applyBorder="1" applyAlignment="1">
      <alignment horizontal="left" vertical="top" wrapText="1"/>
    </xf>
    <xf numFmtId="0" fontId="3" fillId="0" borderId="28"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0" borderId="28" xfId="0" applyNumberFormat="1" applyFont="1" applyBorder="1" applyAlignment="1">
      <alignment horizontal="right" vertical="center" wrapText="1"/>
    </xf>
    <xf numFmtId="0" fontId="3" fillId="0" borderId="14" xfId="0" applyNumberFormat="1" applyFont="1" applyBorder="1" applyAlignment="1">
      <alignment horizontal="right" vertical="center" wrapText="1"/>
    </xf>
    <xf numFmtId="49" fontId="22" fillId="15" borderId="21" xfId="0" applyNumberFormat="1" applyFont="1" applyFill="1" applyBorder="1" applyAlignment="1">
      <alignment horizontal="left" vertical="center" indent="1"/>
    </xf>
    <xf numFmtId="49" fontId="22" fillId="15" borderId="9" xfId="0" applyNumberFormat="1" applyFont="1" applyFill="1" applyBorder="1" applyAlignment="1">
      <alignment horizontal="left" vertical="center" indent="1"/>
    </xf>
    <xf numFmtId="0" fontId="3" fillId="8" borderId="1" xfId="0" applyNumberFormat="1" applyFont="1" applyFill="1" applyBorder="1" applyAlignment="1" applyProtection="1">
      <alignment horizontal="left" vertical="center" wrapText="1"/>
      <protection locked="0"/>
    </xf>
    <xf numFmtId="0" fontId="3" fillId="8" borderId="1" xfId="0" applyNumberFormat="1" applyFont="1" applyFill="1" applyBorder="1" applyAlignment="1">
      <alignment horizontal="left" vertical="center" wrapText="1"/>
    </xf>
    <xf numFmtId="0" fontId="1" fillId="0" borderId="0" xfId="0" applyNumberFormat="1" applyFont="1" applyAlignment="1">
      <alignment horizontal="center" vertical="top"/>
    </xf>
    <xf numFmtId="0" fontId="1" fillId="0" borderId="0" xfId="0" applyNumberFormat="1" applyFont="1" applyAlignment="1">
      <alignment horizontal="center"/>
    </xf>
    <xf numFmtId="49" fontId="3" fillId="8" borderId="13" xfId="0" applyNumberFormat="1" applyFont="1" applyFill="1" applyBorder="1" applyAlignment="1">
      <alignment horizontal="left" vertical="center" wrapText="1"/>
    </xf>
    <xf numFmtId="49" fontId="3" fillId="8" borderId="13" xfId="0" applyNumberFormat="1" applyFont="1" applyFill="1" applyBorder="1" applyAlignment="1" applyProtection="1">
      <alignment horizontal="left" vertical="center" wrapText="1"/>
      <protection locked="0"/>
    </xf>
    <xf numFmtId="0" fontId="3" fillId="0" borderId="69"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0" fontId="34" fillId="0" borderId="0" xfId="0" applyNumberFormat="1" applyFont="1" applyAlignment="1">
      <alignment horizontal="center" vertical="top" wrapText="1"/>
    </xf>
    <xf numFmtId="49" fontId="3" fillId="16" borderId="1" xfId="0" applyNumberFormat="1" applyFont="1" applyFill="1" applyBorder="1" applyAlignment="1">
      <alignment horizontal="left" vertical="center" wrapText="1"/>
    </xf>
    <xf numFmtId="49" fontId="3" fillId="16" borderId="21" xfId="0" applyNumberFormat="1" applyFont="1" applyFill="1" applyBorder="1" applyAlignment="1">
      <alignment horizontal="left" vertical="center" wrapText="1"/>
    </xf>
    <xf numFmtId="49" fontId="3" fillId="8" borderId="18" xfId="0" applyNumberFormat="1" applyFont="1" applyFill="1" applyBorder="1" applyAlignment="1">
      <alignment horizontal="left" vertical="center" wrapText="1"/>
    </xf>
    <xf numFmtId="0" fontId="5" fillId="0" borderId="69"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49" fontId="3" fillId="16" borderId="1" xfId="0" applyNumberFormat="1" applyFont="1" applyFill="1" applyBorder="1" applyAlignment="1" applyProtection="1">
      <alignment horizontal="left" vertical="center" wrapText="1"/>
      <protection locked="0"/>
    </xf>
    <xf numFmtId="49" fontId="3" fillId="16" borderId="21" xfId="0" applyNumberFormat="1" applyFont="1" applyFill="1" applyBorder="1" applyAlignment="1" applyProtection="1">
      <alignment horizontal="left" vertical="center" wrapText="1"/>
      <protection locked="0"/>
    </xf>
    <xf numFmtId="49" fontId="3" fillId="8" borderId="18" xfId="0" applyNumberFormat="1" applyFont="1" applyFill="1" applyBorder="1" applyAlignment="1" applyProtection="1">
      <alignment horizontal="left" vertical="center" wrapText="1"/>
      <protection locked="0"/>
    </xf>
    <xf numFmtId="0" fontId="24" fillId="0" borderId="4" xfId="0" applyNumberFormat="1" applyFont="1" applyBorder="1" applyAlignment="1">
      <alignment horizontal="left" vertical="center" wrapText="1" indent="1"/>
    </xf>
    <xf numFmtId="49" fontId="24" fillId="0" borderId="4" xfId="0" applyNumberFormat="1" applyFont="1" applyBorder="1" applyAlignment="1">
      <alignment vertical="center" wrapText="1"/>
    </xf>
    <xf numFmtId="49" fontId="24" fillId="0" borderId="4" xfId="0" applyNumberFormat="1" applyFont="1" applyBorder="1" applyAlignment="1">
      <alignment horizontal="center" vertical="center" wrapText="1"/>
    </xf>
    <xf numFmtId="0" fontId="3" fillId="0" borderId="0" xfId="0" applyNumberFormat="1" applyFont="1" applyAlignment="1">
      <alignment horizontal="left" vertical="center" wrapText="1"/>
    </xf>
    <xf numFmtId="0" fontId="3" fillId="0" borderId="6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cellXfs>
  <cellStyles count="34">
    <cellStyle name="Обычный" xfId="0" builtinId="0"/>
    <cellStyle name="Обычный 10 2" xfId="1" xr:uid="{00000000-0005-0000-0000-00002F000000}"/>
    <cellStyle name="Обычный 10 3" xfId="2" xr:uid="{00000000-0005-0000-0000-000030000000}"/>
    <cellStyle name="Обычный 11 4 3 3 2 3 3" xfId="3" xr:uid="{00000000-0005-0000-0000-000031000000}"/>
    <cellStyle name="Обычный 11 4 3 3 2 3 3 2" xfId="3" xr:uid="{00000000-0005-0000-0000-000032000000}"/>
    <cellStyle name="Обычный 11 4 3 3 2 3 3 2 2" xfId="3" xr:uid="{00000000-0005-0000-0000-000033000000}"/>
    <cellStyle name="Обычный 11 4 3 3 2 3 3 3" xfId="3" xr:uid="{00000000-0005-0000-0000-000034000000}"/>
    <cellStyle name="Обычный 12 3 2 2 3" xfId="3" xr:uid="{00000000-0005-0000-0000-000035000000}"/>
    <cellStyle name="Обычный 12 3 2 2 3 2" xfId="3" xr:uid="{00000000-0005-0000-0000-000036000000}"/>
    <cellStyle name="Обычный 12 3 2 2 3 2 2" xfId="3" xr:uid="{00000000-0005-0000-0000-000037000000}"/>
    <cellStyle name="Обычный 12 3 2 2 3 2 2 2" xfId="3" xr:uid="{00000000-0005-0000-0000-000038000000}"/>
    <cellStyle name="Обычный 12 3 2 2 3 2 2 2 2" xfId="3" xr:uid="{00000000-0005-0000-0000-000039000000}"/>
    <cellStyle name="Обычный 12 3 2 2 3 2 2 3" xfId="3" xr:uid="{00000000-0005-0000-0000-00003A000000}"/>
    <cellStyle name="Обычный 12 3 2 2 3 2 3" xfId="3" xr:uid="{00000000-0005-0000-0000-00003B000000}"/>
    <cellStyle name="Обычный 12 3 2 2 3 3" xfId="3" xr:uid="{00000000-0005-0000-0000-00003C000000}"/>
    <cellStyle name="Обычный 12 3 2 2 3 3 2" xfId="3" xr:uid="{00000000-0005-0000-0000-00003D000000}"/>
    <cellStyle name="Обычный 12 3 2 2 3 4" xfId="3" xr:uid="{00000000-0005-0000-0000-00003E000000}"/>
    <cellStyle name="Обычный 12 3 2 2 3 4 2" xfId="3" xr:uid="{00000000-0005-0000-0000-00003F000000}"/>
    <cellStyle name="Обычный 12 3 2 2 3 5" xfId="3" xr:uid="{00000000-0005-0000-0000-000040000000}"/>
    <cellStyle name="Обычный 12 3 2 2 3 5 2" xfId="3" xr:uid="{00000000-0005-0000-0000-000041000000}"/>
    <cellStyle name="Обычный 12 3 2 2 3 6" xfId="3" xr:uid="{00000000-0005-0000-0000-000042000000}"/>
    <cellStyle name="Обычный 2" xfId="1" xr:uid="{00000000-0005-0000-0000-000043000000}"/>
    <cellStyle name="Обычный 2 15" xfId="3" xr:uid="{00000000-0005-0000-0000-000044000000}"/>
    <cellStyle name="Обычный 2 2" xfId="3" xr:uid="{00000000-0005-0000-0000-000045000000}"/>
    <cellStyle name="Обычный 3" xfId="3" xr:uid="{00000000-0005-0000-0000-000046000000}"/>
    <cellStyle name="Обычный 3 2" xfId="3" xr:uid="{00000000-0005-0000-0000-000047000000}"/>
    <cellStyle name="Обычный 3 2 2" xfId="3" xr:uid="{00000000-0005-0000-0000-000048000000}"/>
    <cellStyle name="Обычный 3 3" xfId="3" xr:uid="{00000000-0005-0000-0000-000049000000}"/>
    <cellStyle name="Обычный 4" xfId="2" xr:uid="{00000000-0005-0000-0000-00004A000000}"/>
    <cellStyle name="Обычный 4 2" xfId="3" xr:uid="{00000000-0005-0000-0000-00004B000000}"/>
    <cellStyle name="Обычный 4 2 2" xfId="3" xr:uid="{00000000-0005-0000-0000-00004C000000}"/>
    <cellStyle name="Обычный 4 2 2 2" xfId="3" xr:uid="{00000000-0005-0000-0000-00004D000000}"/>
    <cellStyle name="Обычный 4 2 3" xfId="3" xr:uid="{00000000-0005-0000-0000-00004E000000}"/>
    <cellStyle name="Обычный_SIMPLE_1_massive2" xfId="4" xr:uid="{00000000-0005-0000-0000-00004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3" Type="http://schemas.openxmlformats.org/officeDocument/2006/relationships/hyperlink" Target="https://data-platform.ru/lk/ru_6_42/?public_token=NDA1MjAxMzE7YnB0cg==" TargetMode="External"/><Relationship Id="rId2" Type="http://schemas.openxmlformats.org/officeDocument/2006/relationships/hyperlink" Target="https://portal.eias.ru/Portal/DownloadPage.aspx?type=12&amp;guid=36169690-4aec-42fa-983c-43071d91daf3" TargetMode="External"/><Relationship Id="rId1" Type="http://schemas.openxmlformats.org/officeDocument/2006/relationships/hyperlink" Target="https://portal.eias.ru/Portal/DownloadPage.aspx?type=12&amp;guid=305c7425-72c2-4c3a-852a-fab9ca4bb4b5" TargetMode="External"/><Relationship Id="rId4" Type="http://schemas.openxmlformats.org/officeDocument/2006/relationships/hyperlink" Target="mailto:eazarubina23@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3C9B8-0C8A-484C-9A33-D407D0FCAF48}">
  <sheetPr>
    <tabColor theme="3" tint="-0.249977111117893"/>
  </sheetPr>
  <dimension ref="A1:C1"/>
  <sheetViews>
    <sheetView workbookViewId="0"/>
  </sheetViews>
  <sheetFormatPr defaultRowHeight="11.25" customHeight="1" x14ac:dyDescent="0.15"/>
  <cols>
    <col min="1" max="1" width="37.140625" style="1321" customWidth="1"/>
    <col min="2" max="2" width="25.7109375" style="1321" customWidth="1"/>
    <col min="3" max="3" width="64.5703125" style="1321" customWidth="1"/>
  </cols>
  <sheetData>
    <row r="1" spans="1:3" ht="11.25" customHeight="1" x14ac:dyDescent="0.15">
      <c r="A1" s="1041" t="s">
        <v>0</v>
      </c>
      <c r="B1" s="896" t="s">
        <v>1</v>
      </c>
      <c r="C1" s="896" t="s">
        <v>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97B5E-3B37-0F28-B5B8-DC251BF41148}">
  <sheetPr>
    <tabColor rgb="FF8DB4E2"/>
    <outlinePr summaryBelow="0" summaryRight="0"/>
    <pageSetUpPr fitToPage="1"/>
  </sheetPr>
  <dimension ref="A1:BN4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5" customHeight="1" x14ac:dyDescent="0.15"/>
  <cols>
    <col min="1" max="1" width="3.5703125" style="1" hidden="1" customWidth="1"/>
    <col min="2" max="2" width="8.7109375" style="1" hidden="1" customWidth="1"/>
    <col min="3" max="5" width="3.5703125" style="1" hidden="1" customWidth="1"/>
    <col min="6" max="6" width="8.5703125" style="1" hidden="1" customWidth="1"/>
    <col min="7" max="7" width="7.5703125" style="1" hidden="1" customWidth="1"/>
    <col min="8" max="20" width="3.5703125" style="1" hidden="1" customWidth="1"/>
    <col min="21" max="21" width="8.5703125" style="1" hidden="1" customWidth="1"/>
    <col min="22" max="26" width="6" style="1" hidden="1" customWidth="1"/>
    <col min="27" max="27" width="3" style="1" customWidth="1"/>
    <col min="28" max="28" width="11" style="1" customWidth="1"/>
    <col min="29" max="29" width="40" style="1" customWidth="1"/>
    <col min="30" max="34" width="15" style="1" customWidth="1"/>
    <col min="35" max="43" width="15" style="1" hidden="1" customWidth="1"/>
    <col min="44" max="44" width="15" style="1" customWidth="1"/>
    <col min="45" max="53" width="15" style="1" hidden="1" customWidth="1"/>
    <col min="55" max="66" width="9.140625" hidden="1"/>
  </cols>
  <sheetData>
    <row r="1" spans="1:66" ht="11.25" hidden="1" customHeight="1" x14ac:dyDescent="0.25">
      <c r="A1" s="1382"/>
      <c r="B1" s="1383"/>
      <c r="C1" s="1383"/>
      <c r="D1" s="1383"/>
      <c r="E1" s="1266"/>
      <c r="F1" s="1267" t="s">
        <v>319</v>
      </c>
      <c r="G1" s="1383"/>
      <c r="H1" s="1383"/>
      <c r="I1" s="1383"/>
      <c r="J1" s="1383"/>
      <c r="K1" s="1383"/>
      <c r="L1" s="1383"/>
      <c r="M1" s="1383"/>
      <c r="N1" s="1383"/>
      <c r="O1" s="1383"/>
      <c r="P1" s="1383"/>
      <c r="Q1" s="1383"/>
      <c r="R1" s="1383"/>
      <c r="S1" s="1383"/>
      <c r="T1" s="1383"/>
      <c r="U1" s="1383"/>
      <c r="V1" s="1268" t="s">
        <v>92</v>
      </c>
      <c r="W1" s="1268" t="s">
        <v>97</v>
      </c>
      <c r="X1" s="1268" t="s">
        <v>93</v>
      </c>
      <c r="Y1" s="1268" t="s">
        <v>95</v>
      </c>
      <c r="Z1" s="1268" t="s">
        <v>99</v>
      </c>
      <c r="AA1" s="1382"/>
      <c r="AB1" s="1382"/>
      <c r="AC1" s="1382"/>
      <c r="AD1" s="1383"/>
      <c r="AE1" s="1383"/>
      <c r="AF1" s="1383"/>
      <c r="AG1" s="1383"/>
      <c r="AH1" s="1383"/>
      <c r="AI1" s="1211"/>
      <c r="AJ1" s="1211"/>
      <c r="AK1" s="1211"/>
      <c r="AL1" s="1211"/>
      <c r="AM1" s="1211"/>
      <c r="AN1" s="1211"/>
      <c r="AO1" s="1211"/>
      <c r="AP1" s="1211"/>
      <c r="AQ1" s="1211"/>
      <c r="AR1" s="1383"/>
      <c r="AS1" s="1211"/>
      <c r="AT1" s="1211"/>
      <c r="AU1" s="1211"/>
      <c r="AV1" s="1211"/>
      <c r="AW1" s="1211"/>
      <c r="AX1" s="1211"/>
      <c r="AY1" s="1211"/>
      <c r="AZ1" s="1211"/>
      <c r="BA1" s="1211"/>
      <c r="BB1" s="343"/>
      <c r="BC1" s="1078" t="s">
        <v>322</v>
      </c>
      <c r="BD1" s="343"/>
      <c r="BE1" s="343"/>
      <c r="BF1" s="343"/>
      <c r="BG1" s="343"/>
      <c r="BH1" s="343"/>
      <c r="BI1" s="343"/>
      <c r="BJ1" s="343"/>
      <c r="BK1" s="343"/>
      <c r="BL1" s="343"/>
      <c r="BM1" s="343"/>
      <c r="BN1" s="343"/>
    </row>
    <row r="2" spans="1:66" ht="11.25" hidden="1" customHeight="1" x14ac:dyDescent="0.25">
      <c r="A2" s="1383"/>
      <c r="B2" s="1269" t="s">
        <v>18</v>
      </c>
      <c r="C2" s="1383"/>
      <c r="D2" s="1383"/>
      <c r="E2" s="1383"/>
      <c r="F2" s="1270"/>
      <c r="G2" s="1383"/>
      <c r="H2" s="1383"/>
      <c r="I2" s="1383"/>
      <c r="J2" s="1383"/>
      <c r="K2" s="1383"/>
      <c r="L2" s="1383"/>
      <c r="M2" s="1383"/>
      <c r="N2" s="1383"/>
      <c r="O2" s="1383"/>
      <c r="P2" s="1383"/>
      <c r="Q2" s="1383"/>
      <c r="R2" s="1383"/>
      <c r="S2" s="1383"/>
      <c r="T2" s="1383"/>
      <c r="U2" s="1383"/>
      <c r="V2" s="1383"/>
      <c r="W2" s="1383"/>
      <c r="X2" s="1383"/>
      <c r="Y2" s="1383"/>
      <c r="Z2" s="1383"/>
      <c r="AA2" s="1383"/>
      <c r="AB2" s="1383"/>
      <c r="AC2" s="1271"/>
      <c r="AD2" s="1383"/>
      <c r="AE2" s="1383"/>
      <c r="AF2" s="1383"/>
      <c r="AG2" s="1383"/>
      <c r="AH2" s="1383"/>
      <c r="AI2" s="1269" t="b">
        <f t="shared" ref="AI2:AQ2" si="0">AI6&lt;last_year_vis</f>
        <v>0</v>
      </c>
      <c r="AJ2" s="1269" t="b">
        <f t="shared" si="0"/>
        <v>0</v>
      </c>
      <c r="AK2" s="1269" t="b">
        <f t="shared" si="0"/>
        <v>0</v>
      </c>
      <c r="AL2" s="1269" t="b">
        <f t="shared" si="0"/>
        <v>0</v>
      </c>
      <c r="AM2" s="1269" t="b">
        <f t="shared" si="0"/>
        <v>0</v>
      </c>
      <c r="AN2" s="1269" t="b">
        <f t="shared" si="0"/>
        <v>0</v>
      </c>
      <c r="AO2" s="1269" t="b">
        <f t="shared" si="0"/>
        <v>0</v>
      </c>
      <c r="AP2" s="1269" t="b">
        <f t="shared" si="0"/>
        <v>0</v>
      </c>
      <c r="AQ2" s="1269" t="b">
        <f t="shared" si="0"/>
        <v>0</v>
      </c>
      <c r="AR2" s="1383"/>
      <c r="AS2" s="1269" t="b">
        <f t="shared" ref="AS2:BA2" si="1">AS6&lt;last_year_vis</f>
        <v>0</v>
      </c>
      <c r="AT2" s="1269" t="b">
        <f t="shared" si="1"/>
        <v>0</v>
      </c>
      <c r="AU2" s="1269" t="b">
        <f t="shared" si="1"/>
        <v>0</v>
      </c>
      <c r="AV2" s="1269" t="b">
        <f t="shared" si="1"/>
        <v>0</v>
      </c>
      <c r="AW2" s="1269" t="b">
        <f t="shared" si="1"/>
        <v>0</v>
      </c>
      <c r="AX2" s="1269" t="b">
        <f t="shared" si="1"/>
        <v>0</v>
      </c>
      <c r="AY2" s="1269" t="b">
        <f t="shared" si="1"/>
        <v>0</v>
      </c>
      <c r="AZ2" s="1269" t="b">
        <f t="shared" si="1"/>
        <v>0</v>
      </c>
      <c r="BA2" s="1269" t="b">
        <f t="shared" si="1"/>
        <v>0</v>
      </c>
      <c r="BB2" s="343"/>
      <c r="BC2" s="1079"/>
      <c r="BD2" s="295"/>
      <c r="BE2" s="295"/>
      <c r="BF2" s="295"/>
      <c r="BG2" s="295"/>
      <c r="BH2" s="295"/>
      <c r="BI2" s="343"/>
      <c r="BJ2" s="343"/>
      <c r="BK2" s="343"/>
      <c r="BL2" s="343"/>
      <c r="BM2" s="343"/>
      <c r="BN2" s="343"/>
    </row>
    <row r="3" spans="1:66" ht="11.25" hidden="1" customHeight="1" x14ac:dyDescent="0.2">
      <c r="A3" s="1383"/>
      <c r="B3" s="1383"/>
      <c r="C3" s="1383"/>
      <c r="D3" s="1383"/>
      <c r="E3" s="1266"/>
      <c r="F3" s="1383"/>
      <c r="G3" s="1383"/>
      <c r="H3" s="1383"/>
      <c r="I3" s="1383"/>
      <c r="J3" s="1383"/>
      <c r="K3" s="1383"/>
      <c r="L3" s="1383"/>
      <c r="M3" s="1383"/>
      <c r="N3" s="1383"/>
      <c r="O3" s="1383"/>
      <c r="P3" s="1383"/>
      <c r="Q3" s="1383"/>
      <c r="R3" s="1383"/>
      <c r="S3" s="1383"/>
      <c r="T3" s="1383"/>
      <c r="U3" s="1383"/>
      <c r="V3" s="1383"/>
      <c r="W3" s="1383"/>
      <c r="X3" s="1383"/>
      <c r="Y3" s="1383"/>
      <c r="Z3" s="1383"/>
      <c r="AA3" s="1383"/>
      <c r="AB3" s="1383"/>
      <c r="AC3" s="1383"/>
      <c r="AD3" s="1383"/>
      <c r="AE3" s="1383"/>
      <c r="AF3" s="1383"/>
      <c r="AG3" s="1383"/>
      <c r="AH3" s="1383"/>
      <c r="AI3" s="1211"/>
      <c r="AJ3" s="1211"/>
      <c r="AK3" s="1211"/>
      <c r="AL3" s="1211"/>
      <c r="AM3" s="1211"/>
      <c r="AN3" s="1211"/>
      <c r="AO3" s="1211"/>
      <c r="AP3" s="1211"/>
      <c r="AQ3" s="1211"/>
      <c r="AR3" s="1383"/>
      <c r="AS3" s="1211"/>
      <c r="AT3" s="1211"/>
      <c r="AU3" s="1211"/>
      <c r="AV3" s="1211"/>
      <c r="AW3" s="1211"/>
      <c r="AX3" s="1211"/>
      <c r="AY3" s="1211"/>
      <c r="AZ3" s="1211"/>
      <c r="BA3" s="1211"/>
      <c r="BB3" s="343"/>
      <c r="BC3" s="343"/>
      <c r="BD3" s="343"/>
      <c r="BE3" s="343"/>
      <c r="BF3" s="343"/>
      <c r="BG3" s="343"/>
      <c r="BH3" s="343"/>
      <c r="BI3" s="343"/>
      <c r="BJ3" s="343"/>
      <c r="BK3" s="343"/>
      <c r="BL3" s="343"/>
      <c r="BM3" s="343"/>
      <c r="BN3" s="343"/>
    </row>
    <row r="4" spans="1:66" ht="11.25" hidden="1" customHeight="1" x14ac:dyDescent="0.2">
      <c r="A4" s="1383"/>
      <c r="B4" s="1383"/>
      <c r="C4" s="1383"/>
      <c r="D4" s="1383"/>
      <c r="E4" s="1266"/>
      <c r="F4" s="1383"/>
      <c r="G4" s="1383"/>
      <c r="H4" s="1383"/>
      <c r="I4" s="1383"/>
      <c r="J4" s="1383"/>
      <c r="K4" s="1383"/>
      <c r="L4" s="1383"/>
      <c r="M4" s="1383"/>
      <c r="N4" s="1383"/>
      <c r="O4" s="1383"/>
      <c r="P4" s="1383"/>
      <c r="Q4" s="1383"/>
      <c r="R4" s="1383"/>
      <c r="S4" s="1383"/>
      <c r="T4" s="1383"/>
      <c r="U4" s="1383"/>
      <c r="V4" s="1383"/>
      <c r="W4" s="1383"/>
      <c r="X4" s="1383"/>
      <c r="Y4" s="1383"/>
      <c r="Z4" s="1383"/>
      <c r="AA4" s="1383"/>
      <c r="AB4" s="1383"/>
      <c r="AC4" s="1383"/>
      <c r="AD4" s="1383"/>
      <c r="AE4" s="1383"/>
      <c r="AF4" s="1383"/>
      <c r="AG4" s="1383"/>
      <c r="AH4" s="1383"/>
      <c r="AI4" s="1211"/>
      <c r="AJ4" s="1211"/>
      <c r="AK4" s="1211"/>
      <c r="AL4" s="1211"/>
      <c r="AM4" s="1211"/>
      <c r="AN4" s="1211"/>
      <c r="AO4" s="1211"/>
      <c r="AP4" s="1211"/>
      <c r="AQ4" s="1211"/>
      <c r="AR4" s="1383"/>
      <c r="AS4" s="1211"/>
      <c r="AT4" s="1211"/>
      <c r="AU4" s="1211"/>
      <c r="AV4" s="1211"/>
      <c r="AW4" s="1211"/>
      <c r="AX4" s="1211"/>
      <c r="AY4" s="1211"/>
      <c r="AZ4" s="1211"/>
      <c r="BA4" s="1211"/>
      <c r="BB4" s="343"/>
      <c r="BC4" s="343"/>
      <c r="BD4" s="343"/>
      <c r="BE4" s="343"/>
      <c r="BF4" s="343"/>
      <c r="BG4" s="343"/>
      <c r="BH4" s="343"/>
      <c r="BI4" s="343"/>
      <c r="BJ4" s="343"/>
      <c r="BK4" s="343"/>
      <c r="BL4" s="343"/>
      <c r="BM4" s="343"/>
      <c r="BN4" s="343"/>
    </row>
    <row r="5" spans="1:66" ht="11.25" hidden="1" customHeight="1" x14ac:dyDescent="0.25">
      <c r="A5" s="1266"/>
      <c r="B5" s="1272"/>
      <c r="C5" s="1266"/>
      <c r="D5" s="1266"/>
      <c r="E5" s="1273" t="s">
        <v>19</v>
      </c>
      <c r="F5" s="1274"/>
      <c r="G5" s="1383"/>
      <c r="H5" s="1383"/>
      <c r="I5" s="1383"/>
      <c r="J5" s="1383"/>
      <c r="K5" s="1383"/>
      <c r="L5" s="1383"/>
      <c r="M5" s="1383"/>
      <c r="N5" s="1383"/>
      <c r="O5" s="1383"/>
      <c r="P5" s="1383"/>
      <c r="Q5" s="1383"/>
      <c r="R5" s="1383"/>
      <c r="S5" s="1383"/>
      <c r="T5" s="1383"/>
      <c r="U5" s="1383"/>
      <c r="V5" s="1383"/>
      <c r="W5" s="1383"/>
      <c r="X5" s="1383"/>
      <c r="Y5" s="1383"/>
      <c r="Z5" s="1383"/>
      <c r="AA5" s="1273">
        <v>3</v>
      </c>
      <c r="AB5" s="1275">
        <v>11</v>
      </c>
      <c r="AC5" s="1276">
        <v>40</v>
      </c>
      <c r="AD5" s="1273">
        <v>15</v>
      </c>
      <c r="AE5" s="1273">
        <v>15</v>
      </c>
      <c r="AF5" s="1273">
        <v>15</v>
      </c>
      <c r="AG5" s="1273">
        <v>15</v>
      </c>
      <c r="AH5" s="1273">
        <v>15</v>
      </c>
      <c r="AI5" s="1273">
        <v>15</v>
      </c>
      <c r="AJ5" s="1273">
        <v>15</v>
      </c>
      <c r="AK5" s="1273">
        <v>15</v>
      </c>
      <c r="AL5" s="1273">
        <v>15</v>
      </c>
      <c r="AM5" s="1273">
        <v>15</v>
      </c>
      <c r="AN5" s="1273">
        <v>15</v>
      </c>
      <c r="AO5" s="1273">
        <v>15</v>
      </c>
      <c r="AP5" s="1273">
        <v>15</v>
      </c>
      <c r="AQ5" s="1273">
        <v>15</v>
      </c>
      <c r="AR5" s="1273">
        <v>15</v>
      </c>
      <c r="AS5" s="1273">
        <v>15</v>
      </c>
      <c r="AT5" s="1273">
        <v>15</v>
      </c>
      <c r="AU5" s="1273">
        <v>15</v>
      </c>
      <c r="AV5" s="1273">
        <v>15</v>
      </c>
      <c r="AW5" s="1273">
        <v>15</v>
      </c>
      <c r="AX5" s="1273">
        <v>15</v>
      </c>
      <c r="AY5" s="1273">
        <v>15</v>
      </c>
      <c r="AZ5" s="1273">
        <v>15</v>
      </c>
      <c r="BA5" s="1273">
        <v>15</v>
      </c>
      <c r="BB5" s="343"/>
      <c r="BC5" s="1078"/>
      <c r="BD5" s="295"/>
      <c r="BE5" s="295"/>
      <c r="BF5" s="295"/>
      <c r="BG5" s="295"/>
      <c r="BH5" s="295"/>
      <c r="BI5" s="343"/>
      <c r="BJ5" s="343"/>
      <c r="BK5" s="343"/>
      <c r="BL5" s="343"/>
      <c r="BM5" s="343"/>
      <c r="BN5" s="343"/>
    </row>
    <row r="6" spans="1:66" ht="11.25" hidden="1" customHeight="1" x14ac:dyDescent="0.2">
      <c r="A6" s="1383"/>
      <c r="B6" s="1383"/>
      <c r="C6" s="1383"/>
      <c r="D6" s="1383"/>
      <c r="E6" s="1383"/>
      <c r="F6" s="1383"/>
      <c r="G6" s="1383"/>
      <c r="H6" s="1383"/>
      <c r="I6" s="1383"/>
      <c r="J6" s="1383"/>
      <c r="K6" s="1383"/>
      <c r="L6" s="1383"/>
      <c r="M6" s="1383"/>
      <c r="N6" s="1383"/>
      <c r="O6" s="1383"/>
      <c r="P6" s="1383"/>
      <c r="Q6" s="1383"/>
      <c r="R6" s="1383"/>
      <c r="S6" s="1383"/>
      <c r="T6" s="1383"/>
      <c r="U6" s="1383"/>
      <c r="V6" s="1383"/>
      <c r="W6" s="1383"/>
      <c r="X6" s="1383"/>
      <c r="Y6" s="1383"/>
      <c r="Z6" s="1383"/>
      <c r="AA6" s="1383"/>
      <c r="AB6" s="1383"/>
      <c r="AC6" s="1383"/>
      <c r="AD6" s="1383"/>
      <c r="AE6" s="1266">
        <f>god-2</f>
        <v>2024</v>
      </c>
      <c r="AF6" s="1266">
        <f>god-2</f>
        <v>2024</v>
      </c>
      <c r="AG6" s="1266">
        <f>god-1</f>
        <v>2025</v>
      </c>
      <c r="AH6" s="1266" cm="1">
        <f t="array" ref="AH6">god</f>
        <v>2026</v>
      </c>
      <c r="AI6" s="1266">
        <f>god+1</f>
        <v>2027</v>
      </c>
      <c r="AJ6" s="1266">
        <f>god+2</f>
        <v>2028</v>
      </c>
      <c r="AK6" s="1266">
        <f>god+3</f>
        <v>2029</v>
      </c>
      <c r="AL6" s="1266">
        <f>god+4</f>
        <v>2030</v>
      </c>
      <c r="AM6" s="1266">
        <f>god+5</f>
        <v>2031</v>
      </c>
      <c r="AN6" s="1266">
        <f>god+6</f>
        <v>2032</v>
      </c>
      <c r="AO6" s="1266">
        <f>god+7</f>
        <v>2033</v>
      </c>
      <c r="AP6" s="1266">
        <f>god+8</f>
        <v>2034</v>
      </c>
      <c r="AQ6" s="1266">
        <f>god+9</f>
        <v>2035</v>
      </c>
      <c r="AR6" s="1266" cm="1">
        <f t="array" ref="AR6">god</f>
        <v>2026</v>
      </c>
      <c r="AS6" s="1266">
        <f>god+1</f>
        <v>2027</v>
      </c>
      <c r="AT6" s="1266">
        <f>god+2</f>
        <v>2028</v>
      </c>
      <c r="AU6" s="1266">
        <f>god+3</f>
        <v>2029</v>
      </c>
      <c r="AV6" s="1266">
        <f>god+4</f>
        <v>2030</v>
      </c>
      <c r="AW6" s="1266">
        <f>god+5</f>
        <v>2031</v>
      </c>
      <c r="AX6" s="1266">
        <f>god+6</f>
        <v>2032</v>
      </c>
      <c r="AY6" s="1266">
        <f>god+7</f>
        <v>2033</v>
      </c>
      <c r="AZ6" s="1266">
        <f>god+8</f>
        <v>2034</v>
      </c>
      <c r="BA6" s="1266">
        <f>god+9</f>
        <v>2035</v>
      </c>
      <c r="BB6" s="343"/>
      <c r="BC6" s="343"/>
      <c r="BD6" s="343"/>
      <c r="BE6" s="343"/>
      <c r="BF6" s="343"/>
      <c r="BG6" s="343"/>
      <c r="BH6" s="343"/>
      <c r="BI6" s="343"/>
      <c r="BJ6" s="343"/>
      <c r="BK6" s="343"/>
      <c r="BL6" s="343"/>
      <c r="BM6" s="343"/>
      <c r="BN6" s="343"/>
    </row>
    <row r="7" spans="1:66" ht="11.25" hidden="1" customHeight="1" x14ac:dyDescent="0.2">
      <c r="A7" s="1383"/>
      <c r="B7" s="1383"/>
      <c r="C7" s="1383"/>
      <c r="D7" s="1383"/>
      <c r="E7" s="1383"/>
      <c r="F7" s="1383"/>
      <c r="G7" s="1383"/>
      <c r="H7" s="1383"/>
      <c r="I7" s="1383"/>
      <c r="J7" s="1383"/>
      <c r="K7" s="1383"/>
      <c r="L7" s="1383"/>
      <c r="M7" s="1383"/>
      <c r="N7" s="1383"/>
      <c r="O7" s="1383"/>
      <c r="P7" s="1383"/>
      <c r="Q7" s="1383"/>
      <c r="R7" s="1383"/>
      <c r="S7" s="1383"/>
      <c r="T7" s="1383"/>
      <c r="U7" s="1383"/>
      <c r="V7" s="1383"/>
      <c r="W7" s="1383"/>
      <c r="X7" s="1383"/>
      <c r="Y7" s="1383"/>
      <c r="Z7" s="1383"/>
      <c r="AA7" s="1383"/>
      <c r="AB7" s="1383"/>
      <c r="AC7" s="1383"/>
      <c r="AD7" s="1383"/>
      <c r="AE7" s="1266" t="str" cm="1">
        <f t="array" ref="AE7">AE25</f>
        <v>Принято органом регулирования</v>
      </c>
      <c r="AF7" s="1266" t="str" cm="1">
        <f t="array" ref="AF7">AF25</f>
        <v>Факт по данным организации</v>
      </c>
      <c r="AG7" s="1266" t="str" cm="1">
        <f t="array" ref="AG7">AG25</f>
        <v>Принято органом регулирования</v>
      </c>
      <c r="AH7" s="1266" t="str" cm="1">
        <f t="array" ref="AH7">AH25</f>
        <v>Предложение организации</v>
      </c>
      <c r="AI7" s="1266" t="str" cm="1">
        <f t="array" ref="AI7">AI25</f>
        <v>Предложение организации</v>
      </c>
      <c r="AJ7" s="1266" t="str" cm="1">
        <f t="array" ref="AJ7">AJ25</f>
        <v>Предложение организации</v>
      </c>
      <c r="AK7" s="1266" t="str" cm="1">
        <f t="array" ref="AK7">AK25</f>
        <v>Предложение организации</v>
      </c>
      <c r="AL7" s="1266" t="str" cm="1">
        <f t="array" ref="AL7">AL25</f>
        <v>Предложение организации</v>
      </c>
      <c r="AM7" s="1266" t="str" cm="1">
        <f t="array" ref="AM7">AM25</f>
        <v>Предложение организации</v>
      </c>
      <c r="AN7" s="1266" t="str" cm="1">
        <f t="array" ref="AN7">AN25</f>
        <v>Предложение организации</v>
      </c>
      <c r="AO7" s="1266" t="str" cm="1">
        <f t="array" ref="AO7">AO25</f>
        <v>Предложение организации</v>
      </c>
      <c r="AP7" s="1266" t="str" cm="1">
        <f t="array" ref="AP7">AP25</f>
        <v>Предложение организации</v>
      </c>
      <c r="AQ7" s="1266" t="str" cm="1">
        <f t="array" ref="AQ7">AQ25</f>
        <v>Предложение организации</v>
      </c>
      <c r="AR7" s="1266" t="str" cm="1">
        <f t="array" ref="AR7">AR25</f>
        <v>Принято органом регулирования</v>
      </c>
      <c r="AS7" s="1266" t="str" cm="1">
        <f t="array" ref="AS7">AS25</f>
        <v>Принято органом регулирования</v>
      </c>
      <c r="AT7" s="1266" t="str" cm="1">
        <f t="array" ref="AT7">AT25</f>
        <v>Принято органом регулирования</v>
      </c>
      <c r="AU7" s="1266" t="str" cm="1">
        <f t="array" ref="AU7">AU25</f>
        <v>Принято органом регулирования</v>
      </c>
      <c r="AV7" s="1266" t="str" cm="1">
        <f t="array" ref="AV7">AV25</f>
        <v>Принято органом регулирования</v>
      </c>
      <c r="AW7" s="1266" t="str" cm="1">
        <f t="array" ref="AW7">AW25</f>
        <v>Принято органом регулирования</v>
      </c>
      <c r="AX7" s="1266" t="str" cm="1">
        <f t="array" ref="AX7">AX25</f>
        <v>Принято органом регулирования</v>
      </c>
      <c r="AY7" s="1266" t="str" cm="1">
        <f t="array" ref="AY7">AY25</f>
        <v>Принято органом регулирования</v>
      </c>
      <c r="AZ7" s="1266" t="str" cm="1">
        <f t="array" ref="AZ7">AZ25</f>
        <v>Принято органом регулирования</v>
      </c>
      <c r="BA7" s="1266" t="str" cm="1">
        <f t="array" ref="BA7">BA25</f>
        <v>Принято органом регулирования</v>
      </c>
      <c r="BB7" s="343"/>
      <c r="BC7" s="343"/>
      <c r="BD7" s="343"/>
      <c r="BE7" s="343"/>
      <c r="BF7" s="343"/>
      <c r="BG7" s="343"/>
      <c r="BH7" s="343"/>
      <c r="BI7" s="343"/>
      <c r="BJ7" s="343"/>
      <c r="BK7" s="343"/>
      <c r="BL7" s="343"/>
      <c r="BM7" s="343"/>
      <c r="BN7" s="343"/>
    </row>
    <row r="8" spans="1:66" ht="11.25" hidden="1" customHeight="1" x14ac:dyDescent="0.2">
      <c r="A8" s="1383"/>
      <c r="B8" s="1383"/>
      <c r="C8" s="1383"/>
      <c r="D8" s="1383"/>
      <c r="E8" s="1383"/>
      <c r="F8" s="1383"/>
      <c r="G8" s="1383"/>
      <c r="H8" s="1383"/>
      <c r="I8" s="1383"/>
      <c r="J8" s="1383"/>
      <c r="K8" s="1383"/>
      <c r="L8" s="1383"/>
      <c r="M8" s="1383"/>
      <c r="N8" s="1383"/>
      <c r="O8" s="1383"/>
      <c r="P8" s="1383"/>
      <c r="Q8" s="1383"/>
      <c r="R8" s="1383"/>
      <c r="S8" s="1383"/>
      <c r="T8" s="1383"/>
      <c r="U8" s="1383"/>
      <c r="V8" s="1383"/>
      <c r="W8" s="1383"/>
      <c r="X8" s="1383"/>
      <c r="Y8" s="1383"/>
      <c r="Z8" s="1383"/>
      <c r="AA8" s="1383"/>
      <c r="AB8" s="1383"/>
      <c r="AC8" s="1383"/>
      <c r="AD8" s="1383"/>
      <c r="AE8" s="1266" t="str">
        <f t="shared" ref="AE8:BA8" si="2">AE6&amp;AE7</f>
        <v>2024Принято органом регулирования</v>
      </c>
      <c r="AF8" s="1266" t="str">
        <f t="shared" si="2"/>
        <v>2024Факт по данным организации</v>
      </c>
      <c r="AG8" s="1266" t="str">
        <f t="shared" si="2"/>
        <v>2025Принято органом регулирования</v>
      </c>
      <c r="AH8" s="1266" t="str">
        <f t="shared" si="2"/>
        <v>2026Предложение организации</v>
      </c>
      <c r="AI8" s="1266" t="str">
        <f t="shared" si="2"/>
        <v>2027Предложение организации</v>
      </c>
      <c r="AJ8" s="1266" t="str">
        <f t="shared" si="2"/>
        <v>2028Предложение организации</v>
      </c>
      <c r="AK8" s="1266" t="str">
        <f t="shared" si="2"/>
        <v>2029Предложение организации</v>
      </c>
      <c r="AL8" s="1266" t="str">
        <f t="shared" si="2"/>
        <v>2030Предложение организации</v>
      </c>
      <c r="AM8" s="1266" t="str">
        <f t="shared" si="2"/>
        <v>2031Предложение организации</v>
      </c>
      <c r="AN8" s="1266" t="str">
        <f t="shared" si="2"/>
        <v>2032Предложение организации</v>
      </c>
      <c r="AO8" s="1266" t="str">
        <f t="shared" si="2"/>
        <v>2033Предложение организации</v>
      </c>
      <c r="AP8" s="1266" t="str">
        <f t="shared" si="2"/>
        <v>2034Предложение организации</v>
      </c>
      <c r="AQ8" s="1266" t="str">
        <f t="shared" si="2"/>
        <v>2035Предложение организации</v>
      </c>
      <c r="AR8" s="1266" t="str">
        <f t="shared" si="2"/>
        <v>2026Принято органом регулирования</v>
      </c>
      <c r="AS8" s="1266" t="str">
        <f t="shared" si="2"/>
        <v>2027Принято органом регулирования</v>
      </c>
      <c r="AT8" s="1266" t="str">
        <f t="shared" si="2"/>
        <v>2028Принято органом регулирования</v>
      </c>
      <c r="AU8" s="1266" t="str">
        <f t="shared" si="2"/>
        <v>2029Принято органом регулирования</v>
      </c>
      <c r="AV8" s="1266" t="str">
        <f t="shared" si="2"/>
        <v>2030Принято органом регулирования</v>
      </c>
      <c r="AW8" s="1266" t="str">
        <f t="shared" si="2"/>
        <v>2031Принято органом регулирования</v>
      </c>
      <c r="AX8" s="1266" t="str">
        <f t="shared" si="2"/>
        <v>2032Принято органом регулирования</v>
      </c>
      <c r="AY8" s="1266" t="str">
        <f t="shared" si="2"/>
        <v>2033Принято органом регулирования</v>
      </c>
      <c r="AZ8" s="1266" t="str">
        <f t="shared" si="2"/>
        <v>2034Принято органом регулирования</v>
      </c>
      <c r="BA8" s="1266" t="str">
        <f t="shared" si="2"/>
        <v>2035Принято органом регулирования</v>
      </c>
      <c r="BB8" s="343"/>
      <c r="BC8" s="343"/>
      <c r="BD8" s="343"/>
      <c r="BE8" s="343"/>
      <c r="BF8" s="343"/>
      <c r="BG8" s="343"/>
      <c r="BH8" s="343"/>
      <c r="BI8" s="343"/>
      <c r="BJ8" s="343"/>
      <c r="BK8" s="343"/>
      <c r="BL8" s="343"/>
      <c r="BM8" s="343"/>
      <c r="BN8" s="343"/>
    </row>
    <row r="9" spans="1:66" ht="11.25" hidden="1" customHeight="1" x14ac:dyDescent="0.25">
      <c r="A9" s="1277" t="s">
        <v>362</v>
      </c>
      <c r="B9" s="1278"/>
      <c r="C9" s="1383"/>
      <c r="D9" s="1383"/>
      <c r="E9" s="1383"/>
      <c r="F9" s="1279"/>
      <c r="G9" s="1383"/>
      <c r="H9" s="1383"/>
      <c r="I9" s="1383"/>
      <c r="J9" s="1383"/>
      <c r="K9" s="1383"/>
      <c r="L9" s="1383"/>
      <c r="M9" s="1383"/>
      <c r="N9" s="1383"/>
      <c r="O9" s="1383"/>
      <c r="P9" s="1383"/>
      <c r="Q9" s="1383"/>
      <c r="R9" s="1383"/>
      <c r="S9" s="1383"/>
      <c r="T9" s="1383"/>
      <c r="U9" s="1383"/>
      <c r="V9" s="1383"/>
      <c r="W9" s="1383"/>
      <c r="X9" s="1383"/>
      <c r="Y9" s="1383"/>
      <c r="Z9" s="1383"/>
      <c r="AA9" s="1383"/>
      <c r="AB9" s="1280"/>
      <c r="AC9" s="1281"/>
      <c r="AD9" s="1383"/>
      <c r="AE9" s="1277" cm="1">
        <f t="array" ref="AE9">AE6</f>
        <v>2024</v>
      </c>
      <c r="AF9" s="1277" cm="1">
        <f t="array" ref="AF9">AF6</f>
        <v>2024</v>
      </c>
      <c r="AG9" s="1277" cm="1">
        <f t="array" ref="AG9">AG6</f>
        <v>2025</v>
      </c>
      <c r="AH9" s="1277" cm="1">
        <f t="array" ref="AH9">AH6</f>
        <v>2026</v>
      </c>
      <c r="AI9" s="1277" cm="1">
        <f t="array" ref="AI9">AI6</f>
        <v>2027</v>
      </c>
      <c r="AJ9" s="1277" cm="1">
        <f t="array" ref="AJ9">AJ6</f>
        <v>2028</v>
      </c>
      <c r="AK9" s="1277" cm="1">
        <f t="array" ref="AK9">AK6</f>
        <v>2029</v>
      </c>
      <c r="AL9" s="1277" cm="1">
        <f t="array" ref="AL9">AL6</f>
        <v>2030</v>
      </c>
      <c r="AM9" s="1277" cm="1">
        <f t="array" ref="AM9">AM6</f>
        <v>2031</v>
      </c>
      <c r="AN9" s="1277" cm="1">
        <f t="array" ref="AN9">AN6</f>
        <v>2032</v>
      </c>
      <c r="AO9" s="1277" cm="1">
        <f t="array" ref="AO9">AO6</f>
        <v>2033</v>
      </c>
      <c r="AP9" s="1277" cm="1">
        <f t="array" ref="AP9">AP6</f>
        <v>2034</v>
      </c>
      <c r="AQ9" s="1277" cm="1">
        <f t="array" ref="AQ9">AQ6</f>
        <v>2035</v>
      </c>
      <c r="AR9" s="1277" cm="1">
        <f t="array" ref="AR9">AR6</f>
        <v>2026</v>
      </c>
      <c r="AS9" s="1277" cm="1">
        <f t="array" ref="AS9">AS6</f>
        <v>2027</v>
      </c>
      <c r="AT9" s="1277" cm="1">
        <f t="array" ref="AT9">AT6</f>
        <v>2028</v>
      </c>
      <c r="AU9" s="1277" cm="1">
        <f t="array" ref="AU9">AU6</f>
        <v>2029</v>
      </c>
      <c r="AV9" s="1277" cm="1">
        <f t="array" ref="AV9">AV6</f>
        <v>2030</v>
      </c>
      <c r="AW9" s="1277" cm="1">
        <f t="array" ref="AW9">AW6</f>
        <v>2031</v>
      </c>
      <c r="AX9" s="1277" cm="1">
        <f t="array" ref="AX9">AX6</f>
        <v>2032</v>
      </c>
      <c r="AY9" s="1277" cm="1">
        <f t="array" ref="AY9">AY6</f>
        <v>2033</v>
      </c>
      <c r="AZ9" s="1277" cm="1">
        <f t="array" ref="AZ9">AZ6</f>
        <v>2034</v>
      </c>
      <c r="BA9" s="1277" cm="1">
        <f t="array" ref="BA9">BA6</f>
        <v>2035</v>
      </c>
      <c r="BB9" s="343"/>
      <c r="BC9" s="343"/>
      <c r="BD9" s="295"/>
      <c r="BE9" s="295"/>
      <c r="BF9" s="295"/>
      <c r="BG9" s="295"/>
      <c r="BH9" s="295"/>
      <c r="BI9" s="343"/>
      <c r="BJ9" s="343"/>
      <c r="BK9" s="343"/>
      <c r="BL9" s="343"/>
      <c r="BM9" s="343"/>
      <c r="BN9" s="343"/>
    </row>
    <row r="10" spans="1:66" ht="11.25" hidden="1" customHeight="1" x14ac:dyDescent="0.25">
      <c r="A10" s="1277" t="s">
        <v>363</v>
      </c>
      <c r="B10" s="1278"/>
      <c r="C10" s="1383"/>
      <c r="D10" s="1383"/>
      <c r="E10" s="1383"/>
      <c r="F10" s="1279"/>
      <c r="G10" s="1383"/>
      <c r="H10" s="1383"/>
      <c r="I10" s="1383"/>
      <c r="J10" s="1383"/>
      <c r="K10" s="1383"/>
      <c r="L10" s="1383"/>
      <c r="M10" s="1383"/>
      <c r="N10" s="1383"/>
      <c r="O10" s="1383"/>
      <c r="P10" s="1383"/>
      <c r="Q10" s="1383"/>
      <c r="R10" s="1383"/>
      <c r="S10" s="1383"/>
      <c r="T10" s="1383"/>
      <c r="U10" s="1383"/>
      <c r="V10" s="1383"/>
      <c r="W10" s="1383"/>
      <c r="X10" s="1383"/>
      <c r="Y10" s="1383"/>
      <c r="Z10" s="1383"/>
      <c r="AA10" s="1383"/>
      <c r="AB10" s="1280"/>
      <c r="AC10" s="1281"/>
      <c r="AD10" s="1383"/>
      <c r="AE10" s="1277" t="str" cm="1">
        <f t="array" ref="AE10">AE25</f>
        <v>Принято органом регулирования</v>
      </c>
      <c r="AF10" s="1277" t="str" cm="1">
        <f t="array" ref="AF10">AF25</f>
        <v>Факт по данным организации</v>
      </c>
      <c r="AG10" s="1277" t="str" cm="1">
        <f t="array" ref="AG10">AG25</f>
        <v>Принято органом регулирования</v>
      </c>
      <c r="AH10" s="1277" t="str" cm="1">
        <f t="array" ref="AH10">AH25</f>
        <v>Предложение организации</v>
      </c>
      <c r="AI10" s="1277" t="str" cm="1">
        <f t="array" ref="AI10">AI25</f>
        <v>Предложение организации</v>
      </c>
      <c r="AJ10" s="1277" t="str" cm="1">
        <f t="array" ref="AJ10">AJ25</f>
        <v>Предложение организации</v>
      </c>
      <c r="AK10" s="1277" t="str" cm="1">
        <f t="array" ref="AK10">AK25</f>
        <v>Предложение организации</v>
      </c>
      <c r="AL10" s="1277" t="str" cm="1">
        <f t="array" ref="AL10">AL25</f>
        <v>Предложение организации</v>
      </c>
      <c r="AM10" s="1277" t="str" cm="1">
        <f t="array" ref="AM10">AM25</f>
        <v>Предложение организации</v>
      </c>
      <c r="AN10" s="1277" t="str" cm="1">
        <f t="array" ref="AN10">AN25</f>
        <v>Предложение организации</v>
      </c>
      <c r="AO10" s="1277" t="str" cm="1">
        <f t="array" ref="AO10">AO25</f>
        <v>Предложение организации</v>
      </c>
      <c r="AP10" s="1277" t="str" cm="1">
        <f t="array" ref="AP10">AP25</f>
        <v>Предложение организации</v>
      </c>
      <c r="AQ10" s="1277" t="str" cm="1">
        <f t="array" ref="AQ10">AQ25</f>
        <v>Предложение организации</v>
      </c>
      <c r="AR10" s="1277" t="str" cm="1">
        <f t="array" ref="AR10">AR25</f>
        <v>Принято органом регулирования</v>
      </c>
      <c r="AS10" s="1277" t="str" cm="1">
        <f t="array" ref="AS10">AS25</f>
        <v>Принято органом регулирования</v>
      </c>
      <c r="AT10" s="1277" t="str" cm="1">
        <f t="array" ref="AT10">AT25</f>
        <v>Принято органом регулирования</v>
      </c>
      <c r="AU10" s="1277" t="str" cm="1">
        <f t="array" ref="AU10">AU25</f>
        <v>Принято органом регулирования</v>
      </c>
      <c r="AV10" s="1277" t="str" cm="1">
        <f t="array" ref="AV10">AV25</f>
        <v>Принято органом регулирования</v>
      </c>
      <c r="AW10" s="1277" t="str" cm="1">
        <f t="array" ref="AW10">AW25</f>
        <v>Принято органом регулирования</v>
      </c>
      <c r="AX10" s="1277" t="str" cm="1">
        <f t="array" ref="AX10">AX25</f>
        <v>Принято органом регулирования</v>
      </c>
      <c r="AY10" s="1277" t="str" cm="1">
        <f t="array" ref="AY10">AY25</f>
        <v>Принято органом регулирования</v>
      </c>
      <c r="AZ10" s="1277" t="str" cm="1">
        <f t="array" ref="AZ10">AZ25</f>
        <v>Принято органом регулирования</v>
      </c>
      <c r="BA10" s="1277" t="str" cm="1">
        <f t="array" ref="BA10">BA25</f>
        <v>Принято органом регулирования</v>
      </c>
      <c r="BB10" s="343"/>
      <c r="BC10" s="343"/>
      <c r="BD10" s="295"/>
      <c r="BE10" s="295"/>
      <c r="BF10" s="295"/>
      <c r="BG10" s="295"/>
      <c r="BH10" s="295"/>
      <c r="BI10" s="343"/>
      <c r="BJ10" s="343"/>
      <c r="BK10" s="343"/>
      <c r="BL10" s="343"/>
      <c r="BM10" s="343"/>
      <c r="BN10" s="343"/>
    </row>
    <row r="11" spans="1:66" ht="11.25" hidden="1" customHeight="1" x14ac:dyDescent="0.2">
      <c r="A11" s="1383"/>
      <c r="B11" s="1383"/>
      <c r="C11" s="1383"/>
      <c r="D11" s="1383"/>
      <c r="E11" s="1383"/>
      <c r="F11" s="1383"/>
      <c r="G11" s="1383"/>
      <c r="H11" s="1383"/>
      <c r="I11" s="1383"/>
      <c r="J11" s="1383"/>
      <c r="K11" s="1383"/>
      <c r="L11" s="1383"/>
      <c r="M11" s="1383"/>
      <c r="N11" s="1383"/>
      <c r="O11" s="1383"/>
      <c r="P11" s="1383"/>
      <c r="Q11" s="1383"/>
      <c r="R11" s="1383"/>
      <c r="S11" s="1383"/>
      <c r="T11" s="1383"/>
      <c r="U11" s="1383"/>
      <c r="V11" s="1383"/>
      <c r="W11" s="1383"/>
      <c r="X11" s="1383"/>
      <c r="Y11" s="1383"/>
      <c r="Z11" s="1383"/>
      <c r="AA11" s="1383"/>
      <c r="AB11" s="1383"/>
      <c r="AC11" s="1383"/>
      <c r="AD11" s="1383"/>
      <c r="AE11" s="1383"/>
      <c r="AF11" s="1383"/>
      <c r="AG11" s="1383"/>
      <c r="AH11" s="1383"/>
      <c r="AI11" s="1211"/>
      <c r="AJ11" s="1211"/>
      <c r="AK11" s="1211"/>
      <c r="AL11" s="1211"/>
      <c r="AM11" s="1211"/>
      <c r="AN11" s="1211"/>
      <c r="AO11" s="1211"/>
      <c r="AP11" s="1211"/>
      <c r="AQ11" s="1211"/>
      <c r="AR11" s="1383"/>
      <c r="AS11" s="1211"/>
      <c r="AT11" s="1211"/>
      <c r="AU11" s="1211"/>
      <c r="AV11" s="1211"/>
      <c r="AW11" s="1211"/>
      <c r="AX11" s="1211"/>
      <c r="AY11" s="1211"/>
      <c r="AZ11" s="1211"/>
      <c r="BA11" s="1211"/>
      <c r="BB11" s="343"/>
      <c r="BC11" s="343"/>
      <c r="BD11" s="343"/>
      <c r="BE11" s="343"/>
      <c r="BF11" s="343"/>
      <c r="BG11" s="343"/>
      <c r="BH11" s="343"/>
      <c r="BI11" s="343"/>
      <c r="BJ11" s="343"/>
      <c r="BK11" s="343"/>
      <c r="BL11" s="343"/>
      <c r="BM11" s="343"/>
      <c r="BN11" s="343"/>
    </row>
    <row r="12" spans="1:66" ht="11.25" hidden="1" customHeight="1" x14ac:dyDescent="0.2">
      <c r="A12" s="1383"/>
      <c r="B12" s="1383"/>
      <c r="C12" s="1383"/>
      <c r="D12" s="1383"/>
      <c r="E12" s="1383"/>
      <c r="F12" s="1383"/>
      <c r="G12" s="1383"/>
      <c r="H12" s="1383"/>
      <c r="I12" s="1383"/>
      <c r="J12" s="1383"/>
      <c r="K12" s="1383"/>
      <c r="L12" s="1383"/>
      <c r="M12" s="1383"/>
      <c r="N12" s="1383"/>
      <c r="O12" s="1383"/>
      <c r="P12" s="1383"/>
      <c r="Q12" s="1383"/>
      <c r="R12" s="1383"/>
      <c r="S12" s="1383"/>
      <c r="T12" s="1383"/>
      <c r="U12" s="1383"/>
      <c r="V12" s="1383"/>
      <c r="W12" s="1383"/>
      <c r="X12" s="1383"/>
      <c r="Y12" s="1383"/>
      <c r="Z12" s="1383"/>
      <c r="AA12" s="1383"/>
      <c r="AB12" s="1383"/>
      <c r="AC12" s="1383"/>
      <c r="AD12" s="1383"/>
      <c r="AE12" s="1383"/>
      <c r="AF12" s="1383"/>
      <c r="AG12" s="1383"/>
      <c r="AH12" s="1383"/>
      <c r="AI12" s="1211"/>
      <c r="AJ12" s="1211"/>
      <c r="AK12" s="1211"/>
      <c r="AL12" s="1211"/>
      <c r="AM12" s="1211"/>
      <c r="AN12" s="1211"/>
      <c r="AO12" s="1211"/>
      <c r="AP12" s="1211"/>
      <c r="AQ12" s="1211"/>
      <c r="AR12" s="1383"/>
      <c r="AS12" s="1211"/>
      <c r="AT12" s="1211"/>
      <c r="AU12" s="1211"/>
      <c r="AV12" s="1211"/>
      <c r="AW12" s="1211"/>
      <c r="AX12" s="1211"/>
      <c r="AY12" s="1211"/>
      <c r="AZ12" s="1211"/>
      <c r="BA12" s="1211"/>
      <c r="BB12" s="343"/>
      <c r="BC12" s="343"/>
      <c r="BD12" s="343"/>
      <c r="BE12" s="343"/>
      <c r="BF12" s="343"/>
      <c r="BG12" s="343"/>
      <c r="BH12" s="343"/>
      <c r="BI12" s="343"/>
      <c r="BJ12" s="343"/>
      <c r="BK12" s="343"/>
      <c r="BL12" s="343"/>
      <c r="BM12" s="343"/>
      <c r="BN12" s="343"/>
    </row>
    <row r="13" spans="1:66" ht="11.25" hidden="1" customHeight="1" x14ac:dyDescent="0.2">
      <c r="A13" s="1383"/>
      <c r="B13" s="1383"/>
      <c r="C13" s="1383"/>
      <c r="D13" s="1383"/>
      <c r="E13" s="1383"/>
      <c r="F13" s="1383"/>
      <c r="G13" s="1383"/>
      <c r="H13" s="1383"/>
      <c r="I13" s="1383"/>
      <c r="J13" s="1383"/>
      <c r="K13" s="1383"/>
      <c r="L13" s="1383"/>
      <c r="M13" s="1383"/>
      <c r="N13" s="1383"/>
      <c r="O13" s="1383"/>
      <c r="P13" s="1383"/>
      <c r="Q13" s="1383"/>
      <c r="R13" s="1383"/>
      <c r="S13" s="1383"/>
      <c r="T13" s="1383"/>
      <c r="U13" s="1383"/>
      <c r="V13" s="1383"/>
      <c r="W13" s="1383"/>
      <c r="X13" s="1383"/>
      <c r="Y13" s="1383"/>
      <c r="Z13" s="1383"/>
      <c r="AA13" s="1383"/>
      <c r="AB13" s="1383"/>
      <c r="AC13" s="1383"/>
      <c r="AD13" s="1383"/>
      <c r="AE13" s="1383"/>
      <c r="AF13" s="1383"/>
      <c r="AG13" s="1383"/>
      <c r="AH13" s="1383"/>
      <c r="AI13" s="1211"/>
      <c r="AJ13" s="1211"/>
      <c r="AK13" s="1211"/>
      <c r="AL13" s="1211"/>
      <c r="AM13" s="1211"/>
      <c r="AN13" s="1211"/>
      <c r="AO13" s="1211"/>
      <c r="AP13" s="1211"/>
      <c r="AQ13" s="1211"/>
      <c r="AR13" s="1383"/>
      <c r="AS13" s="1211"/>
      <c r="AT13" s="1211"/>
      <c r="AU13" s="1211"/>
      <c r="AV13" s="1211"/>
      <c r="AW13" s="1211"/>
      <c r="AX13" s="1211"/>
      <c r="AY13" s="1211"/>
      <c r="AZ13" s="1211"/>
      <c r="BA13" s="1211"/>
      <c r="BB13" s="343"/>
      <c r="BC13" s="343"/>
      <c r="BD13" s="343"/>
      <c r="BE13" s="343"/>
      <c r="BF13" s="343"/>
      <c r="BG13" s="343"/>
      <c r="BH13" s="343"/>
      <c r="BI13" s="343"/>
      <c r="BJ13" s="343"/>
      <c r="BK13" s="343"/>
      <c r="BL13" s="343"/>
      <c r="BM13" s="343"/>
      <c r="BN13" s="343"/>
    </row>
    <row r="14" spans="1:66" ht="11.25" hidden="1" customHeight="1" x14ac:dyDescent="0.2">
      <c r="A14" s="1383"/>
      <c r="B14" s="1383"/>
      <c r="C14" s="1383"/>
      <c r="D14" s="1383"/>
      <c r="E14" s="1383"/>
      <c r="F14" s="1383"/>
      <c r="G14" s="1383"/>
      <c r="H14" s="1383"/>
      <c r="I14" s="1383"/>
      <c r="J14" s="1383"/>
      <c r="K14" s="1383"/>
      <c r="L14" s="1383"/>
      <c r="M14" s="1383"/>
      <c r="N14" s="1383"/>
      <c r="O14" s="1383"/>
      <c r="P14" s="1383"/>
      <c r="Q14" s="1383"/>
      <c r="R14" s="1383"/>
      <c r="S14" s="1383"/>
      <c r="T14" s="1383"/>
      <c r="U14" s="1383"/>
      <c r="V14" s="1383"/>
      <c r="W14" s="1383"/>
      <c r="X14" s="1383"/>
      <c r="Y14" s="1383"/>
      <c r="Z14" s="1383"/>
      <c r="AA14" s="1383"/>
      <c r="AB14" s="1383"/>
      <c r="AC14" s="1383"/>
      <c r="AD14" s="1383"/>
      <c r="AE14" s="1383"/>
      <c r="AF14" s="1383"/>
      <c r="AG14" s="1383"/>
      <c r="AH14" s="1383"/>
      <c r="AI14" s="1211"/>
      <c r="AJ14" s="1211"/>
      <c r="AK14" s="1211"/>
      <c r="AL14" s="1211"/>
      <c r="AM14" s="1211"/>
      <c r="AN14" s="1211"/>
      <c r="AO14" s="1211"/>
      <c r="AP14" s="1211"/>
      <c r="AQ14" s="1211"/>
      <c r="AR14" s="1383"/>
      <c r="AS14" s="1211"/>
      <c r="AT14" s="1211"/>
      <c r="AU14" s="1211"/>
      <c r="AV14" s="1211"/>
      <c r="AW14" s="1211"/>
      <c r="AX14" s="1211"/>
      <c r="AY14" s="1211"/>
      <c r="AZ14" s="1211"/>
      <c r="BA14" s="1211"/>
      <c r="BB14" s="343"/>
      <c r="BC14" s="343"/>
      <c r="BD14" s="343"/>
      <c r="BE14" s="343"/>
      <c r="BF14" s="343"/>
      <c r="BG14" s="343"/>
      <c r="BH14" s="343"/>
      <c r="BI14" s="343"/>
      <c r="BJ14" s="343"/>
      <c r="BK14" s="343"/>
      <c r="BL14" s="343"/>
      <c r="BM14" s="343"/>
      <c r="BN14" s="343"/>
    </row>
    <row r="15" spans="1:66" ht="11.25" hidden="1" customHeight="1" x14ac:dyDescent="0.2">
      <c r="A15" s="1383"/>
      <c r="B15" s="1383"/>
      <c r="C15" s="1383"/>
      <c r="D15" s="1383"/>
      <c r="E15" s="1383"/>
      <c r="F15" s="1383"/>
      <c r="G15" s="1383"/>
      <c r="H15" s="1383"/>
      <c r="I15" s="1383"/>
      <c r="J15" s="1383"/>
      <c r="K15" s="1383"/>
      <c r="L15" s="1383"/>
      <c r="M15" s="1383"/>
      <c r="N15" s="1383"/>
      <c r="O15" s="1383"/>
      <c r="P15" s="1383"/>
      <c r="Q15" s="1383"/>
      <c r="R15" s="1383"/>
      <c r="S15" s="1383"/>
      <c r="T15" s="1383"/>
      <c r="U15" s="1383"/>
      <c r="V15" s="1383"/>
      <c r="W15" s="1383"/>
      <c r="X15" s="1383"/>
      <c r="Y15" s="1383"/>
      <c r="Z15" s="1383"/>
      <c r="AA15" s="1383"/>
      <c r="AB15" s="1383"/>
      <c r="AC15" s="1383"/>
      <c r="AD15" s="1383"/>
      <c r="AE15" s="1383"/>
      <c r="AF15" s="1383"/>
      <c r="AG15" s="1383"/>
      <c r="AH15" s="1383"/>
      <c r="AI15" s="1211"/>
      <c r="AJ15" s="1211"/>
      <c r="AK15" s="1211"/>
      <c r="AL15" s="1211"/>
      <c r="AM15" s="1211"/>
      <c r="AN15" s="1211"/>
      <c r="AO15" s="1211"/>
      <c r="AP15" s="1211"/>
      <c r="AQ15" s="1211"/>
      <c r="AR15" s="1383"/>
      <c r="AS15" s="1211"/>
      <c r="AT15" s="1211"/>
      <c r="AU15" s="1211"/>
      <c r="AV15" s="1211"/>
      <c r="AW15" s="1211"/>
      <c r="AX15" s="1211"/>
      <c r="AY15" s="1211"/>
      <c r="AZ15" s="1211"/>
      <c r="BA15" s="1211"/>
      <c r="BB15" s="343"/>
      <c r="BC15" s="343"/>
      <c r="BD15" s="343"/>
      <c r="BE15" s="343"/>
      <c r="BF15" s="343"/>
      <c r="BG15" s="343"/>
      <c r="BH15" s="343"/>
      <c r="BI15" s="343"/>
      <c r="BJ15" s="343"/>
      <c r="BK15" s="343"/>
      <c r="BL15" s="343"/>
      <c r="BM15" s="343"/>
      <c r="BN15" s="343"/>
    </row>
    <row r="16" spans="1:66" ht="11.25" hidden="1" customHeight="1" x14ac:dyDescent="0.2">
      <c r="A16" s="1383"/>
      <c r="B16" s="1383"/>
      <c r="C16" s="1383"/>
      <c r="D16" s="1383"/>
      <c r="E16" s="1383"/>
      <c r="F16" s="1383"/>
      <c r="G16" s="1383"/>
      <c r="H16" s="1383"/>
      <c r="I16" s="1383"/>
      <c r="J16" s="1383"/>
      <c r="K16" s="1383"/>
      <c r="L16" s="1383"/>
      <c r="M16" s="1383"/>
      <c r="N16" s="1383"/>
      <c r="O16" s="1383"/>
      <c r="P16" s="1383"/>
      <c r="Q16" s="1383"/>
      <c r="R16" s="1383"/>
      <c r="S16" s="1383"/>
      <c r="T16" s="1383"/>
      <c r="U16" s="1383"/>
      <c r="V16" s="1383"/>
      <c r="W16" s="1383"/>
      <c r="X16" s="1383"/>
      <c r="Y16" s="1383"/>
      <c r="Z16" s="1383"/>
      <c r="AA16" s="1383"/>
      <c r="AB16" s="1383"/>
      <c r="AC16" s="1383"/>
      <c r="AD16" s="1383"/>
      <c r="AE16" s="1383"/>
      <c r="AF16" s="1383"/>
      <c r="AG16" s="1383"/>
      <c r="AH16" s="1383"/>
      <c r="AI16" s="1211"/>
      <c r="AJ16" s="1211"/>
      <c r="AK16" s="1211"/>
      <c r="AL16" s="1211"/>
      <c r="AM16" s="1211"/>
      <c r="AN16" s="1211"/>
      <c r="AO16" s="1211"/>
      <c r="AP16" s="1211"/>
      <c r="AQ16" s="1211"/>
      <c r="AR16" s="1383"/>
      <c r="AS16" s="1211"/>
      <c r="AT16" s="1211"/>
      <c r="AU16" s="1211"/>
      <c r="AV16" s="1211"/>
      <c r="AW16" s="1211"/>
      <c r="AX16" s="1211"/>
      <c r="AY16" s="1211"/>
      <c r="AZ16" s="1211"/>
      <c r="BA16" s="1211"/>
      <c r="BB16" s="343"/>
      <c r="BC16" s="343"/>
      <c r="BD16" s="343"/>
      <c r="BE16" s="343"/>
      <c r="BF16" s="343"/>
      <c r="BG16" s="343"/>
      <c r="BH16" s="343"/>
      <c r="BI16" s="343"/>
      <c r="BJ16" s="343"/>
      <c r="BK16" s="343"/>
      <c r="BL16" s="343"/>
      <c r="BM16" s="343"/>
      <c r="BN16" s="343"/>
    </row>
    <row r="17" spans="1:66" ht="11.25" hidden="1" customHeight="1" x14ac:dyDescent="0.2">
      <c r="A17" s="1383"/>
      <c r="B17" s="1383"/>
      <c r="C17" s="1383"/>
      <c r="D17" s="1383"/>
      <c r="E17" s="1383"/>
      <c r="F17" s="1383"/>
      <c r="G17" s="1383"/>
      <c r="H17" s="1383"/>
      <c r="I17" s="1383"/>
      <c r="J17" s="1383"/>
      <c r="K17" s="1383"/>
      <c r="L17" s="1383"/>
      <c r="M17" s="1383"/>
      <c r="N17" s="1383"/>
      <c r="O17" s="1383"/>
      <c r="P17" s="1383"/>
      <c r="Q17" s="1383"/>
      <c r="R17" s="1383"/>
      <c r="S17" s="1383"/>
      <c r="T17" s="1383"/>
      <c r="U17" s="1383"/>
      <c r="V17" s="1383"/>
      <c r="W17" s="1383"/>
      <c r="X17" s="1383"/>
      <c r="Y17" s="1383"/>
      <c r="Z17" s="1383"/>
      <c r="AA17" s="1383"/>
      <c r="AB17" s="1383"/>
      <c r="AC17" s="1383"/>
      <c r="AD17" s="1383"/>
      <c r="AE17" s="1383"/>
      <c r="AF17" s="1383"/>
      <c r="AG17" s="1383"/>
      <c r="AH17" s="1383"/>
      <c r="AI17" s="1211"/>
      <c r="AJ17" s="1211"/>
      <c r="AK17" s="1211"/>
      <c r="AL17" s="1211"/>
      <c r="AM17" s="1211"/>
      <c r="AN17" s="1211"/>
      <c r="AO17" s="1211"/>
      <c r="AP17" s="1211"/>
      <c r="AQ17" s="1211"/>
      <c r="AR17" s="1383"/>
      <c r="AS17" s="1211"/>
      <c r="AT17" s="1211"/>
      <c r="AU17" s="1211"/>
      <c r="AV17" s="1211"/>
      <c r="AW17" s="1211"/>
      <c r="AX17" s="1211"/>
      <c r="AY17" s="1211"/>
      <c r="AZ17" s="1211"/>
      <c r="BA17" s="1211"/>
      <c r="BB17" s="343"/>
      <c r="BC17" s="343"/>
      <c r="BD17" s="343"/>
      <c r="BE17" s="343"/>
      <c r="BF17" s="343"/>
      <c r="BG17" s="343"/>
      <c r="BH17" s="343"/>
      <c r="BI17" s="343"/>
      <c r="BJ17" s="343"/>
      <c r="BK17" s="343"/>
      <c r="BL17" s="343"/>
      <c r="BM17" s="343"/>
      <c r="BN17" s="343"/>
    </row>
    <row r="18" spans="1:66" ht="11.25" hidden="1" customHeight="1" x14ac:dyDescent="0.2">
      <c r="A18" s="1383"/>
      <c r="B18" s="1383"/>
      <c r="C18" s="1383"/>
      <c r="D18" s="1383"/>
      <c r="E18" s="1383"/>
      <c r="F18" s="1383"/>
      <c r="G18" s="1383"/>
      <c r="H18" s="1383"/>
      <c r="I18" s="1383"/>
      <c r="J18" s="1383"/>
      <c r="K18" s="1383"/>
      <c r="L18" s="1383"/>
      <c r="M18" s="1383"/>
      <c r="N18" s="1383"/>
      <c r="O18" s="1383"/>
      <c r="P18" s="1383"/>
      <c r="Q18" s="1383"/>
      <c r="R18" s="1383"/>
      <c r="S18" s="1383"/>
      <c r="T18" s="1383"/>
      <c r="U18" s="1383"/>
      <c r="V18" s="1383"/>
      <c r="W18" s="1383"/>
      <c r="X18" s="1383"/>
      <c r="Y18" s="1383"/>
      <c r="Z18" s="1383"/>
      <c r="AA18" s="1383"/>
      <c r="AB18" s="1383"/>
      <c r="AC18" s="1383"/>
      <c r="AD18" s="1383"/>
      <c r="AE18" s="1383"/>
      <c r="AF18" s="1383"/>
      <c r="AG18" s="1383"/>
      <c r="AH18" s="1383"/>
      <c r="AI18" s="1211"/>
      <c r="AJ18" s="1211"/>
      <c r="AK18" s="1211"/>
      <c r="AL18" s="1211"/>
      <c r="AM18" s="1211"/>
      <c r="AN18" s="1211"/>
      <c r="AO18" s="1211"/>
      <c r="AP18" s="1211"/>
      <c r="AQ18" s="1211"/>
      <c r="AR18" s="1383"/>
      <c r="AS18" s="1211"/>
      <c r="AT18" s="1211"/>
      <c r="AU18" s="1211"/>
      <c r="AV18" s="1211"/>
      <c r="AW18" s="1211"/>
      <c r="AX18" s="1211"/>
      <c r="AY18" s="1211"/>
      <c r="AZ18" s="1211"/>
      <c r="BA18" s="1211"/>
      <c r="BB18" s="343"/>
      <c r="BC18" s="343"/>
      <c r="BD18" s="343"/>
      <c r="BE18" s="343"/>
      <c r="BF18" s="343"/>
      <c r="BG18" s="343"/>
      <c r="BH18" s="343"/>
      <c r="BI18" s="343"/>
      <c r="BJ18" s="343"/>
      <c r="BK18" s="343"/>
      <c r="BL18" s="343"/>
      <c r="BM18" s="343"/>
      <c r="BN18" s="343"/>
    </row>
    <row r="19" spans="1:66" ht="11.25" hidden="1" customHeight="1" x14ac:dyDescent="0.2">
      <c r="A19" s="1383"/>
      <c r="B19" s="1383"/>
      <c r="C19" s="1383"/>
      <c r="D19" s="1383"/>
      <c r="E19" s="1383"/>
      <c r="F19" s="1383"/>
      <c r="G19" s="1383"/>
      <c r="H19" s="1383"/>
      <c r="I19" s="1383"/>
      <c r="J19" s="1383"/>
      <c r="K19" s="1383"/>
      <c r="L19" s="1383"/>
      <c r="M19" s="1383"/>
      <c r="N19" s="1383"/>
      <c r="O19" s="1383"/>
      <c r="P19" s="1383"/>
      <c r="Q19" s="1383"/>
      <c r="R19" s="1383"/>
      <c r="S19" s="1383"/>
      <c r="T19" s="1383"/>
      <c r="U19" s="1383"/>
      <c r="V19" s="1383"/>
      <c r="W19" s="1383"/>
      <c r="X19" s="1383"/>
      <c r="Y19" s="1383"/>
      <c r="Z19" s="1383"/>
      <c r="AA19" s="1383"/>
      <c r="AB19" s="1383"/>
      <c r="AC19" s="1383"/>
      <c r="AD19" s="1383"/>
      <c r="AE19" s="1383"/>
      <c r="AF19" s="1383"/>
      <c r="AG19" s="1383"/>
      <c r="AH19" s="1383"/>
      <c r="AI19" s="1211"/>
      <c r="AJ19" s="1211"/>
      <c r="AK19" s="1211"/>
      <c r="AL19" s="1211"/>
      <c r="AM19" s="1211"/>
      <c r="AN19" s="1211"/>
      <c r="AO19" s="1211"/>
      <c r="AP19" s="1211"/>
      <c r="AQ19" s="1211"/>
      <c r="AR19" s="1383"/>
      <c r="AS19" s="1211"/>
      <c r="AT19" s="1211"/>
      <c r="AU19" s="1211"/>
      <c r="AV19" s="1211"/>
      <c r="AW19" s="1211"/>
      <c r="AX19" s="1211"/>
      <c r="AY19" s="1211"/>
      <c r="AZ19" s="1211"/>
      <c r="BA19" s="1211"/>
      <c r="BB19" s="343"/>
      <c r="BC19" s="343"/>
      <c r="BD19" s="343"/>
      <c r="BE19" s="343"/>
      <c r="BF19" s="343"/>
      <c r="BG19" s="343"/>
      <c r="BH19" s="343"/>
      <c r="BI19" s="343"/>
      <c r="BJ19" s="343"/>
      <c r="BK19" s="343"/>
      <c r="BL19" s="343"/>
      <c r="BM19" s="343"/>
      <c r="BN19" s="343"/>
    </row>
    <row r="20" spans="1:66" ht="11.25" hidden="1" customHeight="1" x14ac:dyDescent="0.2">
      <c r="A20" s="1383"/>
      <c r="B20" s="1383"/>
      <c r="C20" s="1383"/>
      <c r="D20" s="1383"/>
      <c r="E20" s="1383"/>
      <c r="F20" s="1383"/>
      <c r="G20" s="1383"/>
      <c r="H20" s="1383"/>
      <c r="I20" s="1383"/>
      <c r="J20" s="1383"/>
      <c r="K20" s="1383"/>
      <c r="L20" s="1383"/>
      <c r="M20" s="1383"/>
      <c r="N20" s="1383"/>
      <c r="O20" s="1383"/>
      <c r="P20" s="1383"/>
      <c r="Q20" s="1383"/>
      <c r="R20" s="1383"/>
      <c r="S20" s="1383"/>
      <c r="T20" s="1383"/>
      <c r="U20" s="1383"/>
      <c r="V20" s="1383"/>
      <c r="W20" s="1383"/>
      <c r="X20" s="1383"/>
      <c r="Y20" s="1383"/>
      <c r="Z20" s="1383"/>
      <c r="AA20" s="1383"/>
      <c r="AB20" s="1383"/>
      <c r="AC20" s="1383"/>
      <c r="AD20" s="1383"/>
      <c r="AE20" s="1383"/>
      <c r="AF20" s="1383"/>
      <c r="AG20" s="1383"/>
      <c r="AH20" s="1383"/>
      <c r="AI20" s="1211"/>
      <c r="AJ20" s="1211"/>
      <c r="AK20" s="1211"/>
      <c r="AL20" s="1211"/>
      <c r="AM20" s="1211"/>
      <c r="AN20" s="1211"/>
      <c r="AO20" s="1211"/>
      <c r="AP20" s="1211"/>
      <c r="AQ20" s="1211"/>
      <c r="AR20" s="1383"/>
      <c r="AS20" s="1211"/>
      <c r="AT20" s="1211"/>
      <c r="AU20" s="1211"/>
      <c r="AV20" s="1211"/>
      <c r="AW20" s="1211"/>
      <c r="AX20" s="1211"/>
      <c r="AY20" s="1211"/>
      <c r="AZ20" s="1211"/>
      <c r="BA20" s="1211"/>
      <c r="BB20" s="343"/>
      <c r="BC20" s="343"/>
      <c r="BD20" s="343"/>
      <c r="BE20" s="343"/>
      <c r="BF20" s="343"/>
      <c r="BG20" s="343"/>
      <c r="BH20" s="343"/>
      <c r="BI20" s="343"/>
      <c r="BJ20" s="343"/>
      <c r="BK20" s="343"/>
      <c r="BL20" s="343"/>
      <c r="BM20" s="343"/>
      <c r="BN20" s="343"/>
    </row>
    <row r="21" spans="1:66" ht="14.65" customHeight="1" x14ac:dyDescent="0.2">
      <c r="A21" s="1383"/>
      <c r="B21" s="1383"/>
      <c r="C21" s="1383"/>
      <c r="D21" s="1383"/>
      <c r="E21" s="1273">
        <v>15</v>
      </c>
      <c r="F21" s="1383"/>
      <c r="G21" s="1383"/>
      <c r="H21" s="1383"/>
      <c r="I21" s="1383"/>
      <c r="J21" s="1383"/>
      <c r="K21" s="1383"/>
      <c r="L21" s="1383"/>
      <c r="M21" s="1383"/>
      <c r="N21" s="1383"/>
      <c r="O21" s="1383"/>
      <c r="P21" s="1383"/>
      <c r="Q21" s="1383"/>
      <c r="R21" s="1383"/>
      <c r="S21" s="1383"/>
      <c r="T21" s="1383"/>
      <c r="U21" s="1383"/>
      <c r="V21" s="1383"/>
      <c r="W21" s="1383"/>
      <c r="X21" s="1383"/>
      <c r="Y21" s="1383"/>
      <c r="Z21" s="1383"/>
      <c r="AA21" s="1282"/>
      <c r="AB21" s="1383"/>
      <c r="AC21" s="1283" t="str" cm="1">
        <f t="array" ref="AC21">tpl_title</f>
        <v>Кемеровская область / 2026 / ООО "Чистая вода" (ИНН:4246023100, КПП:424601001) / ДПР: 2024-2032</v>
      </c>
      <c r="AD21" s="1284"/>
      <c r="AE21" s="1285"/>
      <c r="AF21" s="1383"/>
      <c r="AG21" s="1383"/>
      <c r="AH21" s="1383"/>
      <c r="AI21" s="1211"/>
      <c r="AJ21" s="1211"/>
      <c r="AK21" s="1211"/>
      <c r="AL21" s="1211"/>
      <c r="AM21" s="1211"/>
      <c r="AN21" s="1211"/>
      <c r="AO21" s="1211"/>
      <c r="AP21" s="1211"/>
      <c r="AQ21" s="1211"/>
      <c r="AR21" s="1383"/>
      <c r="AS21" s="1211"/>
      <c r="AT21" s="1211"/>
      <c r="AU21" s="1211"/>
      <c r="AV21" s="1211"/>
      <c r="AW21" s="1211"/>
      <c r="AX21" s="1211"/>
      <c r="AY21" s="1211"/>
      <c r="AZ21" s="1211"/>
      <c r="BA21" s="1211"/>
      <c r="BB21" s="343"/>
      <c r="BC21" s="343"/>
      <c r="BD21" s="343"/>
      <c r="BE21" s="343"/>
      <c r="BF21" s="343"/>
      <c r="BG21" s="343"/>
      <c r="BH21" s="343"/>
      <c r="BI21" s="343"/>
      <c r="BJ21" s="343"/>
      <c r="BK21" s="343"/>
      <c r="BL21" s="343"/>
      <c r="BM21" s="343"/>
      <c r="BN21" s="343"/>
    </row>
    <row r="22" spans="1:66" ht="21.95" customHeight="1" x14ac:dyDescent="0.2">
      <c r="A22" s="1383"/>
      <c r="B22" s="1383"/>
      <c r="C22" s="1383"/>
      <c r="D22" s="1383"/>
      <c r="E22" s="1273">
        <v>22.5</v>
      </c>
      <c r="F22" s="1383"/>
      <c r="G22" s="1383"/>
      <c r="H22" s="1383"/>
      <c r="I22" s="1383"/>
      <c r="J22" s="1383"/>
      <c r="K22" s="1383"/>
      <c r="L22" s="1383"/>
      <c r="M22" s="1383"/>
      <c r="N22" s="1383"/>
      <c r="O22" s="1383"/>
      <c r="P22" s="1383"/>
      <c r="Q22" s="1383"/>
      <c r="R22" s="1383"/>
      <c r="S22" s="1383"/>
      <c r="T22" s="1383"/>
      <c r="U22" s="1383"/>
      <c r="V22" s="1383"/>
      <c r="W22" s="1383"/>
      <c r="X22" s="1383"/>
      <c r="Y22" s="1383"/>
      <c r="Z22" s="1383"/>
      <c r="AA22" s="1383"/>
      <c r="AB22" s="1286" t="s">
        <v>506</v>
      </c>
      <c r="AC22" s="1287"/>
      <c r="AD22" s="1287"/>
      <c r="AE22" s="1287"/>
      <c r="AF22" s="1287"/>
      <c r="AG22" s="1288"/>
      <c r="AH22" s="1288"/>
      <c r="AI22" s="1288"/>
      <c r="AJ22" s="1288"/>
      <c r="AK22" s="1288"/>
      <c r="AL22" s="1288"/>
      <c r="AM22" s="1288"/>
      <c r="AN22" s="1288"/>
      <c r="AO22" s="1288"/>
      <c r="AP22" s="1288"/>
      <c r="AQ22" s="1288"/>
      <c r="AR22" s="1288"/>
      <c r="AS22" s="1288"/>
      <c r="AT22" s="1288"/>
      <c r="AU22" s="1288"/>
      <c r="AV22" s="1288"/>
      <c r="AW22" s="1288"/>
      <c r="AX22" s="1288"/>
      <c r="AY22" s="1288"/>
      <c r="AZ22" s="1288"/>
      <c r="BA22" s="1288"/>
      <c r="BB22" s="343"/>
      <c r="BC22" s="343"/>
      <c r="BD22" s="343"/>
      <c r="BE22" s="343"/>
      <c r="BF22" s="343"/>
      <c r="BG22" s="343"/>
      <c r="BH22" s="343"/>
      <c r="BI22" s="343"/>
      <c r="BJ22" s="343"/>
      <c r="BK22" s="343"/>
      <c r="BL22" s="343"/>
      <c r="BM22" s="343"/>
      <c r="BN22" s="343"/>
    </row>
    <row r="23" spans="1:66" ht="14.65" customHeight="1" x14ac:dyDescent="0.25">
      <c r="A23" s="1383"/>
      <c r="B23" s="1272"/>
      <c r="C23" s="1383"/>
      <c r="D23" s="1383"/>
      <c r="E23" s="1289">
        <v>15</v>
      </c>
      <c r="F23" s="1267"/>
      <c r="G23" s="1383"/>
      <c r="H23" s="1383"/>
      <c r="I23" s="1383"/>
      <c r="J23" s="1383"/>
      <c r="K23" s="1383"/>
      <c r="L23" s="1383"/>
      <c r="M23" s="1383"/>
      <c r="N23" s="1383"/>
      <c r="O23" s="1383"/>
      <c r="P23" s="1383"/>
      <c r="Q23" s="1383"/>
      <c r="R23" s="1383"/>
      <c r="S23" s="1383"/>
      <c r="T23" s="1383"/>
      <c r="U23" s="1383"/>
      <c r="V23" s="1383"/>
      <c r="W23" s="1383"/>
      <c r="X23" s="1383"/>
      <c r="Y23" s="1383"/>
      <c r="Z23" s="1383"/>
      <c r="AA23" s="1272"/>
      <c r="AB23" s="1290"/>
      <c r="AC23" s="1291"/>
      <c r="AD23" s="1292"/>
      <c r="AE23" s="1293"/>
      <c r="AF23" s="1383"/>
      <c r="AG23" s="1383"/>
      <c r="AH23" s="1383"/>
      <c r="AI23" s="1211"/>
      <c r="AJ23" s="1211"/>
      <c r="AK23" s="1211"/>
      <c r="AL23" s="1211"/>
      <c r="AM23" s="1211"/>
      <c r="AN23" s="1211"/>
      <c r="AO23" s="1211"/>
      <c r="AP23" s="1211"/>
      <c r="AQ23" s="1211"/>
      <c r="AR23" s="1383"/>
      <c r="AS23" s="1211"/>
      <c r="AT23" s="1211"/>
      <c r="AU23" s="1211"/>
      <c r="AV23" s="1211"/>
      <c r="AW23" s="1211"/>
      <c r="AX23" s="1211"/>
      <c r="AY23" s="1211"/>
      <c r="AZ23" s="1211"/>
      <c r="BA23" s="1211"/>
      <c r="BB23" s="343"/>
      <c r="BC23" s="1084"/>
      <c r="BD23" s="295"/>
      <c r="BE23" s="295"/>
      <c r="BF23" s="295"/>
      <c r="BG23" s="295"/>
      <c r="BH23" s="295"/>
      <c r="BI23" s="343"/>
      <c r="BJ23" s="343"/>
      <c r="BK23" s="343"/>
      <c r="BL23" s="343"/>
      <c r="BM23" s="343"/>
      <c r="BN23" s="343"/>
    </row>
    <row r="24" spans="1:66" ht="14.65" customHeight="1" x14ac:dyDescent="0.2">
      <c r="A24" s="1383"/>
      <c r="B24" s="1383"/>
      <c r="C24" s="1383"/>
      <c r="D24" s="1383"/>
      <c r="E24" s="1273">
        <v>15</v>
      </c>
      <c r="F24" s="1383"/>
      <c r="G24" s="1383"/>
      <c r="H24" s="1383"/>
      <c r="I24" s="1383"/>
      <c r="J24" s="1383"/>
      <c r="K24" s="1383"/>
      <c r="L24" s="1383"/>
      <c r="M24" s="1383"/>
      <c r="N24" s="1383"/>
      <c r="O24" s="1383"/>
      <c r="P24" s="1383"/>
      <c r="Q24" s="1383"/>
      <c r="R24" s="1383"/>
      <c r="S24" s="1383"/>
      <c r="T24" s="1383"/>
      <c r="U24" s="1383"/>
      <c r="V24" s="1383"/>
      <c r="W24" s="1383"/>
      <c r="X24" s="1383"/>
      <c r="Y24" s="1383"/>
      <c r="Z24" s="1383"/>
      <c r="AA24" s="1383"/>
      <c r="AB24" s="2033" t="s">
        <v>21</v>
      </c>
      <c r="AC24" s="2033" t="s">
        <v>483</v>
      </c>
      <c r="AD24" s="2033" t="s">
        <v>367</v>
      </c>
      <c r="AE24" s="1294" t="str">
        <f>god-2&amp;" год"</f>
        <v>2024 год</v>
      </c>
      <c r="AF24" s="1295" t="str">
        <f>god-2&amp;" год"</f>
        <v>2024 год</v>
      </c>
      <c r="AG24" s="1294" t="str">
        <f>god-1&amp;" год"</f>
        <v>2025 год</v>
      </c>
      <c r="AH24" s="1295" t="str">
        <f>god&amp;" год"</f>
        <v>2026 год</v>
      </c>
      <c r="AI24" s="1295" t="str">
        <f>god+1&amp;" год"</f>
        <v>2027 год</v>
      </c>
      <c r="AJ24" s="1295" t="str">
        <f>god+2&amp;" год"</f>
        <v>2028 год</v>
      </c>
      <c r="AK24" s="1295" t="str">
        <f>god+3&amp;" год"</f>
        <v>2029 год</v>
      </c>
      <c r="AL24" s="1295" t="str">
        <f>god+4&amp;" год"</f>
        <v>2030 год</v>
      </c>
      <c r="AM24" s="1295" t="str">
        <f>god+5&amp;" год"</f>
        <v>2031 год</v>
      </c>
      <c r="AN24" s="1295" t="str">
        <f>god+6&amp;" год"</f>
        <v>2032 год</v>
      </c>
      <c r="AO24" s="1295" t="str">
        <f>god+7&amp;" год"</f>
        <v>2033 год</v>
      </c>
      <c r="AP24" s="1295" t="str">
        <f>god+8&amp;" год"</f>
        <v>2034 год</v>
      </c>
      <c r="AQ24" s="1295" t="str">
        <f>god+9&amp;" год"</f>
        <v>2035 год</v>
      </c>
      <c r="AR24" s="1294" t="str">
        <f>god&amp;" год"</f>
        <v>2026 год</v>
      </c>
      <c r="AS24" s="1294" t="str">
        <f>god+1&amp;" год"</f>
        <v>2027 год</v>
      </c>
      <c r="AT24" s="1294" t="str">
        <f>god+2&amp;" год"</f>
        <v>2028 год</v>
      </c>
      <c r="AU24" s="1294" t="str">
        <f>god+3&amp;" год"</f>
        <v>2029 год</v>
      </c>
      <c r="AV24" s="1294" t="str">
        <f>god+4&amp;" год"</f>
        <v>2030 год</v>
      </c>
      <c r="AW24" s="1294" t="str">
        <f>god+5&amp;" год"</f>
        <v>2031 год</v>
      </c>
      <c r="AX24" s="1294" t="str">
        <f>god+6&amp;" год"</f>
        <v>2032 год</v>
      </c>
      <c r="AY24" s="1294" t="str">
        <f>god+7&amp;" год"</f>
        <v>2033 год</v>
      </c>
      <c r="AZ24" s="1294" t="str">
        <f>god+8&amp;" год"</f>
        <v>2034 год</v>
      </c>
      <c r="BA24" s="1294" t="str">
        <f>god+9&amp;" год"</f>
        <v>2035 год</v>
      </c>
      <c r="BB24" s="343"/>
      <c r="BC24" s="343"/>
      <c r="BD24" s="343"/>
      <c r="BE24" s="343"/>
      <c r="BF24" s="343"/>
      <c r="BG24" s="343"/>
      <c r="BH24" s="343"/>
      <c r="BI24" s="343"/>
      <c r="BJ24" s="343"/>
      <c r="BK24" s="343"/>
      <c r="BL24" s="343"/>
      <c r="BM24" s="343"/>
      <c r="BN24" s="343"/>
    </row>
    <row r="25" spans="1:66" ht="67.349999999999994" customHeight="1" x14ac:dyDescent="0.2">
      <c r="A25" s="1383"/>
      <c r="B25" s="1383"/>
      <c r="C25" s="1383"/>
      <c r="D25" s="1383"/>
      <c r="E25" s="1273">
        <v>69</v>
      </c>
      <c r="F25" s="1383"/>
      <c r="G25" s="1383"/>
      <c r="H25" s="1383"/>
      <c r="I25" s="1383"/>
      <c r="J25" s="1383"/>
      <c r="K25" s="1383"/>
      <c r="L25" s="1383"/>
      <c r="M25" s="1383"/>
      <c r="N25" s="1383"/>
      <c r="O25" s="1383"/>
      <c r="P25" s="1383"/>
      <c r="Q25" s="1383"/>
      <c r="R25" s="1383"/>
      <c r="S25" s="1383"/>
      <c r="T25" s="1383"/>
      <c r="U25" s="1383"/>
      <c r="V25" s="1383"/>
      <c r="W25" s="1383"/>
      <c r="X25" s="1383"/>
      <c r="Y25" s="1383"/>
      <c r="Z25" s="1383"/>
      <c r="AA25" s="1383"/>
      <c r="AB25" s="2033"/>
      <c r="AC25" s="2033"/>
      <c r="AD25" s="2033"/>
      <c r="AE25" s="1296" t="s">
        <v>359</v>
      </c>
      <c r="AF25" s="1297" t="s">
        <v>484</v>
      </c>
      <c r="AG25" s="1294" t="s">
        <v>359</v>
      </c>
      <c r="AH25" s="1297" t="s">
        <v>360</v>
      </c>
      <c r="AI25" s="1297" t="s">
        <v>360</v>
      </c>
      <c r="AJ25" s="1297" t="s">
        <v>360</v>
      </c>
      <c r="AK25" s="1297" t="s">
        <v>360</v>
      </c>
      <c r="AL25" s="1297" t="s">
        <v>360</v>
      </c>
      <c r="AM25" s="1297" t="s">
        <v>360</v>
      </c>
      <c r="AN25" s="1297" t="s">
        <v>360</v>
      </c>
      <c r="AO25" s="1297" t="s">
        <v>360</v>
      </c>
      <c r="AP25" s="1297" t="s">
        <v>360</v>
      </c>
      <c r="AQ25" s="1297" t="s">
        <v>360</v>
      </c>
      <c r="AR25" s="1294" t="s">
        <v>359</v>
      </c>
      <c r="AS25" s="1294" t="s">
        <v>359</v>
      </c>
      <c r="AT25" s="1294" t="s">
        <v>359</v>
      </c>
      <c r="AU25" s="1294" t="s">
        <v>359</v>
      </c>
      <c r="AV25" s="1294" t="s">
        <v>359</v>
      </c>
      <c r="AW25" s="1294" t="s">
        <v>359</v>
      </c>
      <c r="AX25" s="1294" t="s">
        <v>359</v>
      </c>
      <c r="AY25" s="1294" t="s">
        <v>359</v>
      </c>
      <c r="AZ25" s="1294" t="s">
        <v>359</v>
      </c>
      <c r="BA25" s="1294" t="s">
        <v>359</v>
      </c>
      <c r="BB25" s="343"/>
      <c r="BC25" s="343"/>
      <c r="BD25" s="343"/>
      <c r="BE25" s="343"/>
      <c r="BF25" s="343"/>
      <c r="BG25" s="343"/>
      <c r="BH25" s="343"/>
      <c r="BI25" s="343"/>
      <c r="BJ25" s="343"/>
      <c r="BK25" s="343"/>
      <c r="BL25" s="343"/>
      <c r="BM25" s="343"/>
      <c r="BN25" s="343"/>
    </row>
    <row r="26" spans="1:66" s="1331" customFormat="1" ht="11.25" hidden="1" customHeight="1" x14ac:dyDescent="0.25">
      <c r="A26" s="1298"/>
      <c r="B26" s="1299"/>
      <c r="C26" s="1298"/>
      <c r="D26" s="1298"/>
      <c r="E26" s="1300">
        <v>0</v>
      </c>
      <c r="F26" s="1382"/>
      <c r="G26" s="1298"/>
      <c r="H26" s="1298"/>
      <c r="I26" s="1298"/>
      <c r="J26" s="1298"/>
      <c r="K26" s="1298"/>
      <c r="L26" s="1298"/>
      <c r="M26" s="1298"/>
      <c r="N26" s="1298"/>
      <c r="O26" s="1298"/>
      <c r="P26" s="1298"/>
      <c r="Q26" s="1298"/>
      <c r="R26" s="1298"/>
      <c r="S26" s="1298"/>
      <c r="T26" s="1298"/>
      <c r="U26" s="1298"/>
      <c r="V26" s="1298"/>
      <c r="W26" s="1298"/>
      <c r="X26" s="1298"/>
      <c r="Y26" s="1298"/>
      <c r="Z26" s="1298"/>
      <c r="AA26" s="1383"/>
      <c r="AB26" s="1301"/>
      <c r="AC26" s="1302"/>
      <c r="AD26" s="1285"/>
      <c r="AE26" s="1303"/>
      <c r="AF26" s="1303"/>
      <c r="AG26" s="1303"/>
      <c r="AH26" s="1303"/>
      <c r="AI26" s="1303"/>
      <c r="AJ26" s="1303"/>
      <c r="AK26" s="1303"/>
      <c r="AL26" s="1303"/>
      <c r="AM26" s="1303"/>
      <c r="AN26" s="1303"/>
      <c r="AO26" s="1303"/>
      <c r="AP26" s="1303"/>
      <c r="AQ26" s="1303"/>
      <c r="AR26" s="1303"/>
      <c r="AS26" s="1303"/>
      <c r="AT26" s="1303"/>
      <c r="AU26" s="1303"/>
      <c r="AV26" s="1303"/>
      <c r="AW26" s="1303"/>
      <c r="AX26" s="1303"/>
      <c r="AY26" s="1303"/>
      <c r="AZ26" s="1303"/>
      <c r="BA26" s="1303"/>
      <c r="BB26" s="343"/>
      <c r="BC26" s="1087"/>
      <c r="BD26" s="295"/>
      <c r="BE26" s="295"/>
      <c r="BF26" s="295"/>
      <c r="BG26" s="295"/>
      <c r="BH26" s="295"/>
      <c r="BI26" s="343"/>
      <c r="BJ26" s="343"/>
      <c r="BK26" s="343"/>
      <c r="BL26" s="343"/>
      <c r="BM26" s="343"/>
      <c r="BN26" s="343"/>
    </row>
    <row r="27" spans="1:66" s="1329" customFormat="1" ht="14.65" hidden="1" customHeight="1" x14ac:dyDescent="0.25">
      <c r="A27" s="1211"/>
      <c r="B27" s="1304"/>
      <c r="C27" s="1211"/>
      <c r="D27" s="1211"/>
      <c r="E27" s="1305">
        <v>15</v>
      </c>
      <c r="F27" s="1267" cm="1">
        <f t="array" ref="F27">Y27</f>
        <v>0</v>
      </c>
      <c r="G27" s="1211"/>
      <c r="H27" s="1211"/>
      <c r="I27" s="1211"/>
      <c r="J27" s="1211"/>
      <c r="K27" s="1211"/>
      <c r="L27" s="1211"/>
      <c r="M27" s="1211"/>
      <c r="N27" s="1211"/>
      <c r="O27" s="1211"/>
      <c r="P27" s="1211"/>
      <c r="Q27" s="1211"/>
      <c r="R27" s="1211"/>
      <c r="S27" s="1211"/>
      <c r="T27" s="1211"/>
      <c r="U27" s="1211"/>
      <c r="V27" s="1268" t="b">
        <f>Y27&gt;0</f>
        <v>0</v>
      </c>
      <c r="W27" s="1211"/>
      <c r="X27" s="1302" t="s">
        <v>271</v>
      </c>
      <c r="Y27" s="2009">
        <v>0</v>
      </c>
      <c r="Z27" s="2034"/>
      <c r="AA27" s="1211"/>
      <c r="AB27" s="1306" t="str" cm="1">
        <f t="array" ref="AB27">INDEX('Общие сведения'!$AG$185:$AG$228,MATCH($Y27,'Общие сведения'!$Z$185:$Z$228,0))</f>
        <v xml:space="preserve">Тариф 0 () - </v>
      </c>
      <c r="AC27" s="1307"/>
      <c r="AD27" s="1308"/>
      <c r="AE27" s="1308"/>
      <c r="AF27" s="1308"/>
      <c r="AG27" s="1308"/>
      <c r="AH27" s="1308"/>
      <c r="AI27" s="1308"/>
      <c r="AJ27" s="1308"/>
      <c r="AK27" s="1308"/>
      <c r="AL27" s="1308"/>
      <c r="AM27" s="1308"/>
      <c r="AN27" s="1308"/>
      <c r="AO27" s="1308"/>
      <c r="AP27" s="1308"/>
      <c r="AQ27" s="1308"/>
      <c r="AR27" s="1308"/>
      <c r="AS27" s="1308"/>
      <c r="AT27" s="1308"/>
      <c r="AU27" s="1308"/>
      <c r="AV27" s="1308"/>
      <c r="AW27" s="1308"/>
      <c r="AX27" s="1308"/>
      <c r="AY27" s="1308"/>
      <c r="AZ27" s="1308"/>
      <c r="BA27" s="1308"/>
      <c r="BB27" s="343"/>
      <c r="BC27" s="1089"/>
      <c r="BD27" s="295"/>
      <c r="BE27" s="295"/>
      <c r="BF27" s="295"/>
      <c r="BG27" s="295"/>
      <c r="BH27" s="295"/>
      <c r="BI27" s="343"/>
      <c r="BJ27" s="343"/>
      <c r="BK27" s="343"/>
      <c r="BL27" s="343"/>
      <c r="BM27" s="343"/>
      <c r="BN27" s="343"/>
    </row>
    <row r="28" spans="1:66" ht="21.95" hidden="1" customHeight="1" x14ac:dyDescent="0.25">
      <c r="A28" s="1211"/>
      <c r="B28" s="1210"/>
      <c r="C28" s="1211"/>
      <c r="D28" s="1211"/>
      <c r="E28" s="1273">
        <v>22.5</v>
      </c>
      <c r="F28" s="1212" cm="1">
        <f t="array" aca="1" ref="F28" ca="1">OFFSET(E28,-1,1)</f>
        <v>0</v>
      </c>
      <c r="G28" s="1211"/>
      <c r="H28" s="1211"/>
      <c r="I28" s="1211"/>
      <c r="J28" s="1211"/>
      <c r="K28" s="1211"/>
      <c r="L28" s="1211"/>
      <c r="M28" s="1211"/>
      <c r="N28" s="1211"/>
      <c r="O28" s="1211"/>
      <c r="P28" s="1211"/>
      <c r="Q28" s="1211"/>
      <c r="R28" s="1211"/>
      <c r="S28" s="1211"/>
      <c r="T28" s="1211"/>
      <c r="U28" s="1211"/>
      <c r="V28" s="1268" t="b" cm="1">
        <f t="array" ref="V28">V27</f>
        <v>0</v>
      </c>
      <c r="W28" s="1211"/>
      <c r="X28" s="1211"/>
      <c r="Y28" s="2009"/>
      <c r="Z28" s="2034"/>
      <c r="AA28" s="1211"/>
      <c r="AB28" s="1309">
        <v>1</v>
      </c>
      <c r="AC28" s="1310" t="s">
        <v>506</v>
      </c>
      <c r="AD28" s="1311"/>
      <c r="AE28" s="1384"/>
      <c r="AF28" s="1384"/>
      <c r="AG28" s="1384"/>
      <c r="AH28" s="1384"/>
      <c r="AI28" s="1384"/>
      <c r="AJ28" s="1384"/>
      <c r="AK28" s="1384"/>
      <c r="AL28" s="1384"/>
      <c r="AM28" s="1384"/>
      <c r="AN28" s="1384"/>
      <c r="AO28" s="1384"/>
      <c r="AP28" s="1384"/>
      <c r="AQ28" s="1384"/>
      <c r="AR28" s="1384"/>
      <c r="AS28" s="1384"/>
      <c r="AT28" s="1384"/>
      <c r="AU28" s="1384"/>
      <c r="AV28" s="1384"/>
      <c r="AW28" s="1384"/>
      <c r="AX28" s="1384"/>
      <c r="AY28" s="1384"/>
      <c r="AZ28" s="1384"/>
      <c r="BA28" s="1384"/>
      <c r="BB28" s="343"/>
      <c r="BC28" s="1078" t="s">
        <v>551</v>
      </c>
      <c r="BD28" s="343"/>
      <c r="BE28" s="343"/>
      <c r="BF28" s="343"/>
      <c r="BG28" s="343"/>
      <c r="BH28" s="343"/>
      <c r="BI28" s="343"/>
      <c r="BJ28" s="343"/>
      <c r="BK28" s="343"/>
      <c r="BL28" s="343"/>
      <c r="BM28" s="343"/>
      <c r="BN28" s="343"/>
    </row>
    <row r="29" spans="1:66" ht="23.45" hidden="1" customHeight="1" x14ac:dyDescent="0.2">
      <c r="A29" s="1211"/>
      <c r="B29" s="1211"/>
      <c r="C29" s="1211"/>
      <c r="D29" s="1211"/>
      <c r="E29" s="1273">
        <v>24</v>
      </c>
      <c r="F29" s="1212" cm="1">
        <f t="array" aca="1" ref="F29" ca="1">OFFSET(E29,-1,1)</f>
        <v>0</v>
      </c>
      <c r="G29" s="1211"/>
      <c r="H29" s="1211"/>
      <c r="I29" s="1211"/>
      <c r="J29" s="1211"/>
      <c r="K29" s="1211"/>
      <c r="L29" s="1211"/>
      <c r="M29" s="1211"/>
      <c r="N29" s="1211"/>
      <c r="O29" s="1211"/>
      <c r="P29" s="1211"/>
      <c r="Q29" s="1211"/>
      <c r="R29" s="1211"/>
      <c r="S29" s="1211"/>
      <c r="T29" s="1211"/>
      <c r="U29" s="1211"/>
      <c r="V29" s="1268" t="b" cm="1">
        <f t="array" ref="V29">V28</f>
        <v>0</v>
      </c>
      <c r="W29" s="1211"/>
      <c r="X29" s="1211"/>
      <c r="Y29" s="2009"/>
      <c r="Z29" s="2034"/>
      <c r="AA29" s="1211"/>
      <c r="AB29" s="1309">
        <v>2</v>
      </c>
      <c r="AC29" s="1310" t="s">
        <v>552</v>
      </c>
      <c r="AD29" s="1311" t="s">
        <v>490</v>
      </c>
      <c r="AE29" s="1384"/>
      <c r="AF29" s="1384"/>
      <c r="AG29" s="1384"/>
      <c r="AH29" s="1384"/>
      <c r="AI29" s="1384"/>
      <c r="AJ29" s="1384"/>
      <c r="AK29" s="1384"/>
      <c r="AL29" s="1384"/>
      <c r="AM29" s="1384"/>
      <c r="AN29" s="1384"/>
      <c r="AO29" s="1384"/>
      <c r="AP29" s="1384"/>
      <c r="AQ29" s="1384"/>
      <c r="AR29" s="1384"/>
      <c r="AS29" s="1384"/>
      <c r="AT29" s="1384"/>
      <c r="AU29" s="1384"/>
      <c r="AV29" s="1384"/>
      <c r="AW29" s="1384"/>
      <c r="AX29" s="1384"/>
      <c r="AY29" s="1384"/>
      <c r="AZ29" s="1384"/>
      <c r="BA29" s="1384"/>
      <c r="BB29" s="343"/>
      <c r="BC29" s="1078" t="s">
        <v>553</v>
      </c>
      <c r="BD29" s="343"/>
      <c r="BE29" s="343"/>
      <c r="BF29" s="343"/>
      <c r="BG29" s="343"/>
      <c r="BH29" s="343"/>
      <c r="BI29" s="343"/>
      <c r="BJ29" s="343"/>
      <c r="BK29" s="343"/>
      <c r="BL29" s="343"/>
      <c r="BM29" s="343"/>
      <c r="BN29" s="343"/>
    </row>
    <row r="30" spans="1:66" ht="69.400000000000006" hidden="1" customHeight="1" x14ac:dyDescent="0.2">
      <c r="A30" s="1211"/>
      <c r="B30" s="1211"/>
      <c r="C30" s="1211"/>
      <c r="D30" s="1211"/>
      <c r="E30" s="1273">
        <v>71.25</v>
      </c>
      <c r="F30" s="1212" cm="1">
        <f t="array" aca="1" ref="F30" ca="1">OFFSET(E30,-1,1)</f>
        <v>0</v>
      </c>
      <c r="G30" s="1211"/>
      <c r="H30" s="1211"/>
      <c r="I30" s="1211"/>
      <c r="J30" s="1211"/>
      <c r="K30" s="1211"/>
      <c r="L30" s="1211"/>
      <c r="M30" s="1211"/>
      <c r="N30" s="1211"/>
      <c r="O30" s="1211"/>
      <c r="P30" s="1211"/>
      <c r="Q30" s="1211"/>
      <c r="R30" s="1211"/>
      <c r="S30" s="1211"/>
      <c r="T30" s="1211"/>
      <c r="U30" s="1211"/>
      <c r="V30" s="1268" t="b" cm="1">
        <f t="array" ref="V30">V29</f>
        <v>0</v>
      </c>
      <c r="W30" s="1211"/>
      <c r="X30" s="1211"/>
      <c r="Y30" s="2009"/>
      <c r="Z30" s="2034"/>
      <c r="AA30" s="1211"/>
      <c r="AB30" s="1309">
        <v>3</v>
      </c>
      <c r="AC30" s="1313" t="s">
        <v>554</v>
      </c>
      <c r="AD30" s="1311" t="s">
        <v>490</v>
      </c>
      <c r="AE30" s="1384"/>
      <c r="AF30" s="1384"/>
      <c r="AG30" s="1384"/>
      <c r="AH30" s="1384"/>
      <c r="AI30" s="1384"/>
      <c r="AJ30" s="1384"/>
      <c r="AK30" s="1384"/>
      <c r="AL30" s="1384"/>
      <c r="AM30" s="1384"/>
      <c r="AN30" s="1384"/>
      <c r="AO30" s="1384"/>
      <c r="AP30" s="1384"/>
      <c r="AQ30" s="1384"/>
      <c r="AR30" s="1384"/>
      <c r="AS30" s="1384"/>
      <c r="AT30" s="1384"/>
      <c r="AU30" s="1384"/>
      <c r="AV30" s="1384"/>
      <c r="AW30" s="1384"/>
      <c r="AX30" s="1384"/>
      <c r="AY30" s="1384"/>
      <c r="AZ30" s="1384"/>
      <c r="BA30" s="1384"/>
      <c r="BB30" s="343"/>
      <c r="BC30" s="1078" t="s">
        <v>555</v>
      </c>
      <c r="BD30" s="343"/>
      <c r="BE30" s="343"/>
      <c r="BF30" s="343"/>
      <c r="BG30" s="343"/>
      <c r="BH30" s="343"/>
      <c r="BI30" s="343"/>
      <c r="BJ30" s="343"/>
      <c r="BK30" s="343"/>
      <c r="BL30" s="343"/>
      <c r="BM30" s="343"/>
      <c r="BN30" s="343"/>
    </row>
    <row r="31" spans="1:66" ht="24.2" hidden="1" customHeight="1" x14ac:dyDescent="0.25">
      <c r="A31" s="1211"/>
      <c r="B31" s="1210"/>
      <c r="C31" s="1211"/>
      <c r="D31" s="1211"/>
      <c r="E31" s="1273">
        <v>24.75</v>
      </c>
      <c r="F31" s="1212" cm="1">
        <f t="array" aca="1" ref="F31" ca="1">OFFSET(E31,-1,1)</f>
        <v>0</v>
      </c>
      <c r="G31" s="1211"/>
      <c r="H31" s="1211"/>
      <c r="I31" s="1211"/>
      <c r="J31" s="1211"/>
      <c r="K31" s="1211"/>
      <c r="L31" s="1211"/>
      <c r="M31" s="1211"/>
      <c r="N31" s="1211"/>
      <c r="O31" s="1211"/>
      <c r="P31" s="1211"/>
      <c r="Q31" s="1211"/>
      <c r="R31" s="1211"/>
      <c r="S31" s="1211"/>
      <c r="T31" s="1211"/>
      <c r="U31" s="1211"/>
      <c r="V31" s="1268" t="b" cm="1">
        <f t="array" ref="V31">V30</f>
        <v>0</v>
      </c>
      <c r="W31" s="1211"/>
      <c r="X31" s="1211"/>
      <c r="Y31" s="2009"/>
      <c r="Z31" s="2034"/>
      <c r="AA31" s="1211"/>
      <c r="AB31" s="1309">
        <v>4</v>
      </c>
      <c r="AC31" s="1310" t="s">
        <v>495</v>
      </c>
      <c r="AD31" s="1311"/>
      <c r="AE31" s="1384"/>
      <c r="AF31" s="1384"/>
      <c r="AG31" s="1384"/>
      <c r="AH31" s="1384"/>
      <c r="AI31" s="1384"/>
      <c r="AJ31" s="1384"/>
      <c r="AK31" s="1384"/>
      <c r="AL31" s="1384"/>
      <c r="AM31" s="1384"/>
      <c r="AN31" s="1384"/>
      <c r="AO31" s="1384"/>
      <c r="AP31" s="1384"/>
      <c r="AQ31" s="1384"/>
      <c r="AR31" s="1384"/>
      <c r="AS31" s="1384"/>
      <c r="AT31" s="1384"/>
      <c r="AU31" s="1384"/>
      <c r="AV31" s="1384"/>
      <c r="AW31" s="1384"/>
      <c r="AX31" s="1384"/>
      <c r="AY31" s="1384"/>
      <c r="AZ31" s="1384"/>
      <c r="BA31" s="1384"/>
      <c r="BB31" s="343"/>
      <c r="BC31" s="1078" t="s">
        <v>556</v>
      </c>
      <c r="BD31" s="343"/>
      <c r="BE31" s="343"/>
      <c r="BF31" s="343"/>
      <c r="BG31" s="343"/>
      <c r="BH31" s="343"/>
      <c r="BI31" s="343"/>
      <c r="BJ31" s="343"/>
      <c r="BK31" s="343"/>
      <c r="BL31" s="343"/>
      <c r="BM31" s="343"/>
      <c r="BN31" s="343"/>
    </row>
    <row r="32" spans="1:66" s="1385" customFormat="1" ht="14.25" customHeight="1" x14ac:dyDescent="0.25">
      <c r="A32" s="1211"/>
      <c r="B32" s="1304"/>
      <c r="C32" s="1211"/>
      <c r="D32" s="1211"/>
      <c r="E32" s="1305">
        <v>15</v>
      </c>
      <c r="F32" s="1267" t="str" cm="1">
        <f t="array" ref="F32">Y32</f>
        <v>1</v>
      </c>
      <c r="G32" s="1211"/>
      <c r="H32" s="1211"/>
      <c r="I32" s="1211"/>
      <c r="J32" s="1211"/>
      <c r="K32" s="1211"/>
      <c r="L32" s="1211"/>
      <c r="M32" s="1211"/>
      <c r="N32" s="1211"/>
      <c r="O32" s="1211"/>
      <c r="P32" s="1211"/>
      <c r="Q32" s="1211"/>
      <c r="R32" s="1211"/>
      <c r="S32" s="1211"/>
      <c r="T32" s="1211"/>
      <c r="U32" s="1211"/>
      <c r="V32" s="1268" t="b">
        <f>Y32&gt;0</f>
        <v>1</v>
      </c>
      <c r="W32" s="1211"/>
      <c r="X32" s="1302" t="str" cm="1">
        <f t="array" ref="X32">Сценарии!$AB$55</f>
        <v>Тариф 1 (Водоснабжение) - тариф на питьевую воду</v>
      </c>
      <c r="Y32" s="2009" t="s">
        <v>282</v>
      </c>
      <c r="Z32" s="2034"/>
      <c r="AA32" s="1211"/>
      <c r="AB32" s="1306" t="str" cm="1">
        <f t="array" ref="AB32">Сценарии!$AB$55</f>
        <v>Тариф 1 (Водоснабжение) - тариф на питьевую воду</v>
      </c>
      <c r="AC32" s="1307"/>
      <c r="AD32" s="1308"/>
      <c r="AE32" s="1308"/>
      <c r="AF32" s="1308"/>
      <c r="AG32" s="1308"/>
      <c r="AH32" s="1308"/>
      <c r="AI32" s="1308"/>
      <c r="AJ32" s="1308"/>
      <c r="AK32" s="1308"/>
      <c r="AL32" s="1308"/>
      <c r="AM32" s="1308"/>
      <c r="AN32" s="1308"/>
      <c r="AO32" s="1308"/>
      <c r="AP32" s="1308"/>
      <c r="AQ32" s="1308"/>
      <c r="AR32" s="1308"/>
      <c r="AS32" s="1308"/>
      <c r="AT32" s="1308"/>
      <c r="AU32" s="1308"/>
      <c r="AV32" s="1308"/>
      <c r="AW32" s="1308"/>
      <c r="AX32" s="1308"/>
      <c r="AY32" s="1308"/>
      <c r="AZ32" s="1308"/>
      <c r="BA32" s="1308"/>
      <c r="BB32" s="343"/>
      <c r="BC32" s="1089"/>
      <c r="BD32" s="295"/>
      <c r="BE32" s="295"/>
      <c r="BF32" s="295"/>
      <c r="BG32" s="295"/>
      <c r="BH32" s="295"/>
      <c r="BI32" s="343"/>
      <c r="BJ32" s="343"/>
      <c r="BK32" s="343"/>
      <c r="BL32" s="343"/>
      <c r="BM32" s="343"/>
      <c r="BN32" s="343"/>
    </row>
    <row r="33" spans="1:66" s="1334" customFormat="1" ht="21.75" customHeight="1" x14ac:dyDescent="0.25">
      <c r="A33" s="1211"/>
      <c r="B33" s="1210"/>
      <c r="C33" s="1211"/>
      <c r="D33" s="1211"/>
      <c r="E33" s="1273">
        <v>22.5</v>
      </c>
      <c r="F33" s="1212" t="str" cm="1">
        <f t="array" aca="1" ref="F33" ca="1">OFFSET(E33,-1,1)</f>
        <v>1</v>
      </c>
      <c r="G33" s="1211"/>
      <c r="H33" s="1211"/>
      <c r="I33" s="1211"/>
      <c r="J33" s="1211"/>
      <c r="K33" s="1211"/>
      <c r="L33" s="1211"/>
      <c r="M33" s="1211"/>
      <c r="N33" s="1211"/>
      <c r="O33" s="1211"/>
      <c r="P33" s="1211"/>
      <c r="Q33" s="1211"/>
      <c r="R33" s="1211"/>
      <c r="S33" s="1211"/>
      <c r="T33" s="1211"/>
      <c r="U33" s="1211"/>
      <c r="V33" s="1268" t="b" cm="1">
        <f t="array" ref="V33">V32</f>
        <v>1</v>
      </c>
      <c r="W33" s="1211"/>
      <c r="X33" s="1211"/>
      <c r="Y33" s="2009"/>
      <c r="Z33" s="2034"/>
      <c r="AA33" s="1211"/>
      <c r="AB33" s="1309">
        <v>1</v>
      </c>
      <c r="AC33" s="1310" t="s">
        <v>506</v>
      </c>
      <c r="AD33" s="1311"/>
      <c r="AE33" s="1312"/>
      <c r="AF33" s="1312"/>
      <c r="AG33" s="1312"/>
      <c r="AH33" s="1312"/>
      <c r="AI33" s="1384"/>
      <c r="AJ33" s="1384"/>
      <c r="AK33" s="1384"/>
      <c r="AL33" s="1384"/>
      <c r="AM33" s="1384"/>
      <c r="AN33" s="1312"/>
      <c r="AO33" s="1312"/>
      <c r="AP33" s="1312"/>
      <c r="AQ33" s="1312"/>
      <c r="AR33" s="1312"/>
      <c r="AS33" s="1384"/>
      <c r="AT33" s="1384"/>
      <c r="AU33" s="1384"/>
      <c r="AV33" s="1384"/>
      <c r="AW33" s="1384"/>
      <c r="AX33" s="1312"/>
      <c r="AY33" s="1312"/>
      <c r="AZ33" s="1312"/>
      <c r="BA33" s="1312"/>
      <c r="BB33" s="343"/>
      <c r="BC33" s="1078" t="s">
        <v>551</v>
      </c>
      <c r="BD33" s="343"/>
      <c r="BE33" s="343"/>
      <c r="BF33" s="343"/>
      <c r="BG33" s="343"/>
      <c r="BH33" s="343"/>
      <c r="BI33" s="343"/>
      <c r="BJ33" s="343"/>
      <c r="BK33" s="343"/>
      <c r="BL33" s="343"/>
      <c r="BM33" s="343"/>
      <c r="BN33" s="343"/>
    </row>
    <row r="34" spans="1:66" s="1334" customFormat="1" ht="23.25" customHeight="1" x14ac:dyDescent="0.2">
      <c r="A34" s="1211"/>
      <c r="B34" s="1211"/>
      <c r="C34" s="1211"/>
      <c r="D34" s="1211"/>
      <c r="E34" s="1273">
        <v>24</v>
      </c>
      <c r="F34" s="1212" t="str" cm="1">
        <f t="array" aca="1" ref="F34" ca="1">OFFSET(E34,-1,1)</f>
        <v>1</v>
      </c>
      <c r="G34" s="1211"/>
      <c r="H34" s="1211"/>
      <c r="I34" s="1211"/>
      <c r="J34" s="1211"/>
      <c r="K34" s="1211"/>
      <c r="L34" s="1211"/>
      <c r="M34" s="1211"/>
      <c r="N34" s="1211"/>
      <c r="O34" s="1211"/>
      <c r="P34" s="1211"/>
      <c r="Q34" s="1211"/>
      <c r="R34" s="1211"/>
      <c r="S34" s="1211"/>
      <c r="T34" s="1211"/>
      <c r="U34" s="1211"/>
      <c r="V34" s="1268" t="b" cm="1">
        <f t="array" ref="V34">V33</f>
        <v>1</v>
      </c>
      <c r="W34" s="1211"/>
      <c r="X34" s="1211"/>
      <c r="Y34" s="2009"/>
      <c r="Z34" s="2034"/>
      <c r="AA34" s="1211"/>
      <c r="AB34" s="1309">
        <v>2</v>
      </c>
      <c r="AC34" s="1310" t="s">
        <v>552</v>
      </c>
      <c r="AD34" s="1311" t="s">
        <v>490</v>
      </c>
      <c r="AE34" s="1312"/>
      <c r="AF34" s="1312"/>
      <c r="AG34" s="1312"/>
      <c r="AH34" s="1312"/>
      <c r="AI34" s="1384"/>
      <c r="AJ34" s="1384"/>
      <c r="AK34" s="1384"/>
      <c r="AL34" s="1384"/>
      <c r="AM34" s="1384"/>
      <c r="AN34" s="1312"/>
      <c r="AO34" s="1312"/>
      <c r="AP34" s="1312"/>
      <c r="AQ34" s="1312"/>
      <c r="AR34" s="1312"/>
      <c r="AS34" s="1384"/>
      <c r="AT34" s="1384"/>
      <c r="AU34" s="1384"/>
      <c r="AV34" s="1384"/>
      <c r="AW34" s="1384"/>
      <c r="AX34" s="1312"/>
      <c r="AY34" s="1312"/>
      <c r="AZ34" s="1312"/>
      <c r="BA34" s="1312"/>
      <c r="BB34" s="343"/>
      <c r="BC34" s="1078" t="s">
        <v>553</v>
      </c>
      <c r="BD34" s="343"/>
      <c r="BE34" s="343"/>
      <c r="BF34" s="343"/>
      <c r="BG34" s="343"/>
      <c r="BH34" s="343"/>
      <c r="BI34" s="343"/>
      <c r="BJ34" s="343"/>
      <c r="BK34" s="343"/>
      <c r="BL34" s="343"/>
      <c r="BM34" s="343"/>
      <c r="BN34" s="343"/>
    </row>
    <row r="35" spans="1:66" s="1334" customFormat="1" ht="69" customHeight="1" x14ac:dyDescent="0.2">
      <c r="A35" s="1211"/>
      <c r="B35" s="1211"/>
      <c r="C35" s="1211"/>
      <c r="D35" s="1211"/>
      <c r="E35" s="1273">
        <v>71.25</v>
      </c>
      <c r="F35" s="1212" t="str" cm="1">
        <f t="array" aca="1" ref="F35" ca="1">OFFSET(E35,-1,1)</f>
        <v>1</v>
      </c>
      <c r="G35" s="1211"/>
      <c r="H35" s="1211"/>
      <c r="I35" s="1211"/>
      <c r="J35" s="1211"/>
      <c r="K35" s="1211"/>
      <c r="L35" s="1211"/>
      <c r="M35" s="1211"/>
      <c r="N35" s="1211"/>
      <c r="O35" s="1211"/>
      <c r="P35" s="1211"/>
      <c r="Q35" s="1211"/>
      <c r="R35" s="1211"/>
      <c r="S35" s="1211"/>
      <c r="T35" s="1211"/>
      <c r="U35" s="1211"/>
      <c r="V35" s="1268" t="b" cm="1">
        <f t="array" ref="V35">V34</f>
        <v>1</v>
      </c>
      <c r="W35" s="1211"/>
      <c r="X35" s="1211"/>
      <c r="Y35" s="2009"/>
      <c r="Z35" s="2034"/>
      <c r="AA35" s="1211"/>
      <c r="AB35" s="1309">
        <v>3</v>
      </c>
      <c r="AC35" s="1313" t="s">
        <v>554</v>
      </c>
      <c r="AD35" s="1311" t="s">
        <v>490</v>
      </c>
      <c r="AE35" s="1312"/>
      <c r="AF35" s="1312"/>
      <c r="AG35" s="1312"/>
      <c r="AH35" s="1312"/>
      <c r="AI35" s="1384"/>
      <c r="AJ35" s="1384"/>
      <c r="AK35" s="1384"/>
      <c r="AL35" s="1384"/>
      <c r="AM35" s="1384"/>
      <c r="AN35" s="1312"/>
      <c r="AO35" s="1312"/>
      <c r="AP35" s="1312"/>
      <c r="AQ35" s="1312"/>
      <c r="AR35" s="1312"/>
      <c r="AS35" s="1384"/>
      <c r="AT35" s="1384"/>
      <c r="AU35" s="1384"/>
      <c r="AV35" s="1384"/>
      <c r="AW35" s="1384"/>
      <c r="AX35" s="1312"/>
      <c r="AY35" s="1312"/>
      <c r="AZ35" s="1312"/>
      <c r="BA35" s="1312"/>
      <c r="BB35" s="343"/>
      <c r="BC35" s="1078" t="s">
        <v>555</v>
      </c>
      <c r="BD35" s="343"/>
      <c r="BE35" s="343"/>
      <c r="BF35" s="343"/>
      <c r="BG35" s="343"/>
      <c r="BH35" s="343"/>
      <c r="BI35" s="343"/>
      <c r="BJ35" s="343"/>
      <c r="BK35" s="343"/>
      <c r="BL35" s="343"/>
      <c r="BM35" s="343"/>
      <c r="BN35" s="343"/>
    </row>
    <row r="36" spans="1:66" s="1334" customFormat="1" ht="24" customHeight="1" x14ac:dyDescent="0.25">
      <c r="A36" s="1211"/>
      <c r="B36" s="1210"/>
      <c r="C36" s="1211"/>
      <c r="D36" s="1211"/>
      <c r="E36" s="1273">
        <v>24.75</v>
      </c>
      <c r="F36" s="1212" t="str" cm="1">
        <f t="array" aca="1" ref="F36" ca="1">OFFSET(E36,-1,1)</f>
        <v>1</v>
      </c>
      <c r="G36" s="1211"/>
      <c r="H36" s="1211"/>
      <c r="I36" s="1211"/>
      <c r="J36" s="1211"/>
      <c r="K36" s="1211"/>
      <c r="L36" s="1211"/>
      <c r="M36" s="1211"/>
      <c r="N36" s="1211"/>
      <c r="O36" s="1211"/>
      <c r="P36" s="1211"/>
      <c r="Q36" s="1211"/>
      <c r="R36" s="1211"/>
      <c r="S36" s="1211"/>
      <c r="T36" s="1211"/>
      <c r="U36" s="1211"/>
      <c r="V36" s="1268" t="b" cm="1">
        <f t="array" ref="V36">V35</f>
        <v>1</v>
      </c>
      <c r="W36" s="1211"/>
      <c r="X36" s="1211"/>
      <c r="Y36" s="2009"/>
      <c r="Z36" s="2034"/>
      <c r="AA36" s="1211"/>
      <c r="AB36" s="1309">
        <v>4</v>
      </c>
      <c r="AC36" s="1310" t="s">
        <v>495</v>
      </c>
      <c r="AD36" s="1311"/>
      <c r="AE36" s="1312"/>
      <c r="AF36" s="1312"/>
      <c r="AG36" s="1312"/>
      <c r="AH36" s="1312"/>
      <c r="AI36" s="1384"/>
      <c r="AJ36" s="1384"/>
      <c r="AK36" s="1384"/>
      <c r="AL36" s="1384"/>
      <c r="AM36" s="1384"/>
      <c r="AN36" s="1312"/>
      <c r="AO36" s="1312"/>
      <c r="AP36" s="1312"/>
      <c r="AQ36" s="1312"/>
      <c r="AR36" s="1312"/>
      <c r="AS36" s="1384"/>
      <c r="AT36" s="1384"/>
      <c r="AU36" s="1384"/>
      <c r="AV36" s="1384"/>
      <c r="AW36" s="1384"/>
      <c r="AX36" s="1312"/>
      <c r="AY36" s="1312"/>
      <c r="AZ36" s="1312"/>
      <c r="BA36" s="1312"/>
      <c r="BB36" s="343"/>
      <c r="BC36" s="1078" t="s">
        <v>556</v>
      </c>
      <c r="BD36" s="343"/>
      <c r="BE36" s="343"/>
      <c r="BF36" s="343"/>
      <c r="BG36" s="343"/>
      <c r="BH36" s="343"/>
      <c r="BI36" s="343"/>
      <c r="BJ36" s="343"/>
      <c r="BK36" s="343"/>
      <c r="BL36" s="343"/>
      <c r="BM36" s="343"/>
      <c r="BN36" s="343"/>
    </row>
    <row r="37" spans="1:66" s="1386" customFormat="1" ht="14.25" customHeight="1" x14ac:dyDescent="0.25">
      <c r="A37" s="1211"/>
      <c r="B37" s="1304"/>
      <c r="C37" s="1211"/>
      <c r="D37" s="1211"/>
      <c r="E37" s="1305">
        <v>15</v>
      </c>
      <c r="F37" s="1267" t="str" cm="1">
        <f t="array" ref="F37">Y37</f>
        <v>2</v>
      </c>
      <c r="G37" s="1211"/>
      <c r="H37" s="1211"/>
      <c r="I37" s="1211"/>
      <c r="J37" s="1211"/>
      <c r="K37" s="1211"/>
      <c r="L37" s="1211"/>
      <c r="M37" s="1211"/>
      <c r="N37" s="1211"/>
      <c r="O37" s="1211"/>
      <c r="P37" s="1211"/>
      <c r="Q37" s="1211"/>
      <c r="R37" s="1211"/>
      <c r="S37" s="1211"/>
      <c r="T37" s="1211"/>
      <c r="U37" s="1211"/>
      <c r="V37" s="1268" t="b">
        <f>Y37&gt;0</f>
        <v>1</v>
      </c>
      <c r="W37" s="1211"/>
      <c r="X37" s="1302" t="str" cm="1">
        <f t="array" ref="X37">Сценарии!$AB$82</f>
        <v>Тариф 2 (Водоотведение) - тариф на водоотведение</v>
      </c>
      <c r="Y37" s="2009" t="s">
        <v>289</v>
      </c>
      <c r="Z37" s="2034"/>
      <c r="AA37" s="1211"/>
      <c r="AB37" s="1306" t="str" cm="1">
        <f t="array" ref="AB37">Сценарии!$AB$82</f>
        <v>Тариф 2 (Водоотведение) - тариф на водоотведение</v>
      </c>
      <c r="AC37" s="1307"/>
      <c r="AD37" s="1308"/>
      <c r="AE37" s="1308"/>
      <c r="AF37" s="1308"/>
      <c r="AG37" s="1308"/>
      <c r="AH37" s="1308"/>
      <c r="AI37" s="1308"/>
      <c r="AJ37" s="1308"/>
      <c r="AK37" s="1308"/>
      <c r="AL37" s="1308"/>
      <c r="AM37" s="1308"/>
      <c r="AN37" s="1308"/>
      <c r="AO37" s="1308"/>
      <c r="AP37" s="1308"/>
      <c r="AQ37" s="1308"/>
      <c r="AR37" s="1308"/>
      <c r="AS37" s="1308"/>
      <c r="AT37" s="1308"/>
      <c r="AU37" s="1308"/>
      <c r="AV37" s="1308"/>
      <c r="AW37" s="1308"/>
      <c r="AX37" s="1308"/>
      <c r="AY37" s="1308"/>
      <c r="AZ37" s="1308"/>
      <c r="BA37" s="1308"/>
      <c r="BB37" s="343"/>
      <c r="BC37" s="1089"/>
      <c r="BD37" s="295"/>
      <c r="BE37" s="295"/>
      <c r="BF37" s="295"/>
      <c r="BG37" s="295"/>
      <c r="BH37" s="295"/>
      <c r="BI37" s="343"/>
      <c r="BJ37" s="343"/>
      <c r="BK37" s="343"/>
      <c r="BL37" s="343"/>
      <c r="BM37" s="343"/>
      <c r="BN37" s="343"/>
    </row>
    <row r="38" spans="1:66" s="1334" customFormat="1" ht="21.75" customHeight="1" x14ac:dyDescent="0.25">
      <c r="A38" s="1211"/>
      <c r="B38" s="1210"/>
      <c r="C38" s="1211"/>
      <c r="D38" s="1211"/>
      <c r="E38" s="1273">
        <v>22.5</v>
      </c>
      <c r="F38" s="1212" t="str" cm="1">
        <f t="array" aca="1" ref="F38" ca="1">OFFSET(E38,-1,1)</f>
        <v>2</v>
      </c>
      <c r="G38" s="1211"/>
      <c r="H38" s="1211"/>
      <c r="I38" s="1211"/>
      <c r="J38" s="1211"/>
      <c r="K38" s="1211"/>
      <c r="L38" s="1211"/>
      <c r="M38" s="1211"/>
      <c r="N38" s="1211"/>
      <c r="O38" s="1211"/>
      <c r="P38" s="1211"/>
      <c r="Q38" s="1211"/>
      <c r="R38" s="1211"/>
      <c r="S38" s="1211"/>
      <c r="T38" s="1211"/>
      <c r="U38" s="1211"/>
      <c r="V38" s="1268" t="b" cm="1">
        <f t="array" ref="V38">V37</f>
        <v>1</v>
      </c>
      <c r="W38" s="1211"/>
      <c r="X38" s="1211"/>
      <c r="Y38" s="2009"/>
      <c r="Z38" s="2034"/>
      <c r="AA38" s="1211"/>
      <c r="AB38" s="1309">
        <v>1</v>
      </c>
      <c r="AC38" s="1310" t="s">
        <v>506</v>
      </c>
      <c r="AD38" s="1311"/>
      <c r="AE38" s="1312"/>
      <c r="AF38" s="1312"/>
      <c r="AG38" s="1312"/>
      <c r="AH38" s="1312"/>
      <c r="AI38" s="1384"/>
      <c r="AJ38" s="1384"/>
      <c r="AK38" s="1384"/>
      <c r="AL38" s="1384"/>
      <c r="AM38" s="1384"/>
      <c r="AN38" s="1312"/>
      <c r="AO38" s="1312"/>
      <c r="AP38" s="1312"/>
      <c r="AQ38" s="1312"/>
      <c r="AR38" s="1312"/>
      <c r="AS38" s="1384"/>
      <c r="AT38" s="1384"/>
      <c r="AU38" s="1384"/>
      <c r="AV38" s="1384"/>
      <c r="AW38" s="1384"/>
      <c r="AX38" s="1312"/>
      <c r="AY38" s="1312"/>
      <c r="AZ38" s="1312"/>
      <c r="BA38" s="1312"/>
      <c r="BB38" s="343"/>
      <c r="BC38" s="1078" t="s">
        <v>551</v>
      </c>
      <c r="BD38" s="343"/>
      <c r="BE38" s="343"/>
      <c r="BF38" s="343"/>
      <c r="BG38" s="343"/>
      <c r="BH38" s="343"/>
      <c r="BI38" s="343"/>
      <c r="BJ38" s="343"/>
      <c r="BK38" s="343"/>
      <c r="BL38" s="343"/>
      <c r="BM38" s="343"/>
      <c r="BN38" s="343"/>
    </row>
    <row r="39" spans="1:66" s="1334" customFormat="1" ht="23.25" customHeight="1" x14ac:dyDescent="0.2">
      <c r="A39" s="1211"/>
      <c r="B39" s="1211"/>
      <c r="C39" s="1211"/>
      <c r="D39" s="1211"/>
      <c r="E39" s="1273">
        <v>24</v>
      </c>
      <c r="F39" s="1212" t="str" cm="1">
        <f t="array" aca="1" ref="F39" ca="1">OFFSET(E39,-1,1)</f>
        <v>2</v>
      </c>
      <c r="G39" s="1211"/>
      <c r="H39" s="1211"/>
      <c r="I39" s="1211"/>
      <c r="J39" s="1211"/>
      <c r="K39" s="1211"/>
      <c r="L39" s="1211"/>
      <c r="M39" s="1211"/>
      <c r="N39" s="1211"/>
      <c r="O39" s="1211"/>
      <c r="P39" s="1211"/>
      <c r="Q39" s="1211"/>
      <c r="R39" s="1211"/>
      <c r="S39" s="1211"/>
      <c r="T39" s="1211"/>
      <c r="U39" s="1211"/>
      <c r="V39" s="1268" t="b" cm="1">
        <f t="array" ref="V39">V38</f>
        <v>1</v>
      </c>
      <c r="W39" s="1211"/>
      <c r="X39" s="1211"/>
      <c r="Y39" s="2009"/>
      <c r="Z39" s="2034"/>
      <c r="AA39" s="1211"/>
      <c r="AB39" s="1309">
        <v>2</v>
      </c>
      <c r="AC39" s="1310" t="s">
        <v>552</v>
      </c>
      <c r="AD39" s="1311" t="s">
        <v>490</v>
      </c>
      <c r="AE39" s="1312"/>
      <c r="AF39" s="1312"/>
      <c r="AG39" s="1312"/>
      <c r="AH39" s="1312"/>
      <c r="AI39" s="1384"/>
      <c r="AJ39" s="1384"/>
      <c r="AK39" s="1384"/>
      <c r="AL39" s="1384"/>
      <c r="AM39" s="1384"/>
      <c r="AN39" s="1312"/>
      <c r="AO39" s="1312"/>
      <c r="AP39" s="1312"/>
      <c r="AQ39" s="1312"/>
      <c r="AR39" s="1312"/>
      <c r="AS39" s="1384"/>
      <c r="AT39" s="1384"/>
      <c r="AU39" s="1384"/>
      <c r="AV39" s="1384"/>
      <c r="AW39" s="1384"/>
      <c r="AX39" s="1312"/>
      <c r="AY39" s="1312"/>
      <c r="AZ39" s="1312"/>
      <c r="BA39" s="1312"/>
      <c r="BB39" s="343"/>
      <c r="BC39" s="1078" t="s">
        <v>553</v>
      </c>
      <c r="BD39" s="343"/>
      <c r="BE39" s="343"/>
      <c r="BF39" s="343"/>
      <c r="BG39" s="343"/>
      <c r="BH39" s="343"/>
      <c r="BI39" s="343"/>
      <c r="BJ39" s="343"/>
      <c r="BK39" s="343"/>
      <c r="BL39" s="343"/>
      <c r="BM39" s="343"/>
      <c r="BN39" s="343"/>
    </row>
    <row r="40" spans="1:66" s="1334" customFormat="1" ht="69" customHeight="1" x14ac:dyDescent="0.2">
      <c r="A40" s="1211"/>
      <c r="B40" s="1211"/>
      <c r="C40" s="1211"/>
      <c r="D40" s="1211"/>
      <c r="E40" s="1273">
        <v>71.25</v>
      </c>
      <c r="F40" s="1212" t="str" cm="1">
        <f t="array" aca="1" ref="F40" ca="1">OFFSET(E40,-1,1)</f>
        <v>2</v>
      </c>
      <c r="G40" s="1211"/>
      <c r="H40" s="1211"/>
      <c r="I40" s="1211"/>
      <c r="J40" s="1211"/>
      <c r="K40" s="1211"/>
      <c r="L40" s="1211"/>
      <c r="M40" s="1211"/>
      <c r="N40" s="1211"/>
      <c r="O40" s="1211"/>
      <c r="P40" s="1211"/>
      <c r="Q40" s="1211"/>
      <c r="R40" s="1211"/>
      <c r="S40" s="1211"/>
      <c r="T40" s="1211"/>
      <c r="U40" s="1211"/>
      <c r="V40" s="1268" t="b" cm="1">
        <f t="array" ref="V40">V39</f>
        <v>1</v>
      </c>
      <c r="W40" s="1211"/>
      <c r="X40" s="1211"/>
      <c r="Y40" s="2009"/>
      <c r="Z40" s="2034"/>
      <c r="AA40" s="1211"/>
      <c r="AB40" s="1309">
        <v>3</v>
      </c>
      <c r="AC40" s="1313" t="s">
        <v>554</v>
      </c>
      <c r="AD40" s="1311" t="s">
        <v>490</v>
      </c>
      <c r="AE40" s="1312"/>
      <c r="AF40" s="1312"/>
      <c r="AG40" s="1312"/>
      <c r="AH40" s="1312"/>
      <c r="AI40" s="1384"/>
      <c r="AJ40" s="1384"/>
      <c r="AK40" s="1384"/>
      <c r="AL40" s="1384"/>
      <c r="AM40" s="1384"/>
      <c r="AN40" s="1312"/>
      <c r="AO40" s="1312"/>
      <c r="AP40" s="1312"/>
      <c r="AQ40" s="1312"/>
      <c r="AR40" s="1312"/>
      <c r="AS40" s="1384"/>
      <c r="AT40" s="1384"/>
      <c r="AU40" s="1384"/>
      <c r="AV40" s="1384"/>
      <c r="AW40" s="1384"/>
      <c r="AX40" s="1312"/>
      <c r="AY40" s="1312"/>
      <c r="AZ40" s="1312"/>
      <c r="BA40" s="1312"/>
      <c r="BB40" s="343"/>
      <c r="BC40" s="1078" t="s">
        <v>555</v>
      </c>
      <c r="BD40" s="343"/>
      <c r="BE40" s="343"/>
      <c r="BF40" s="343"/>
      <c r="BG40" s="343"/>
      <c r="BH40" s="343"/>
      <c r="BI40" s="343"/>
      <c r="BJ40" s="343"/>
      <c r="BK40" s="343"/>
      <c r="BL40" s="343"/>
      <c r="BM40" s="343"/>
      <c r="BN40" s="343"/>
    </row>
    <row r="41" spans="1:66" s="1334" customFormat="1" ht="24" customHeight="1" x14ac:dyDescent="0.25">
      <c r="A41" s="1211"/>
      <c r="B41" s="1210"/>
      <c r="C41" s="1211"/>
      <c r="D41" s="1211"/>
      <c r="E41" s="1273">
        <v>24.75</v>
      </c>
      <c r="F41" s="1212" t="str" cm="1">
        <f t="array" aca="1" ref="F41" ca="1">OFFSET(E41,-1,1)</f>
        <v>2</v>
      </c>
      <c r="G41" s="1211"/>
      <c r="H41" s="1211"/>
      <c r="I41" s="1211"/>
      <c r="J41" s="1211"/>
      <c r="K41" s="1211"/>
      <c r="L41" s="1211"/>
      <c r="M41" s="1211"/>
      <c r="N41" s="1211"/>
      <c r="O41" s="1211"/>
      <c r="P41" s="1211"/>
      <c r="Q41" s="1211"/>
      <c r="R41" s="1211"/>
      <c r="S41" s="1211"/>
      <c r="T41" s="1211"/>
      <c r="U41" s="1211"/>
      <c r="V41" s="1268" t="b" cm="1">
        <f t="array" ref="V41">V40</f>
        <v>1</v>
      </c>
      <c r="W41" s="1211"/>
      <c r="X41" s="1211"/>
      <c r="Y41" s="2009"/>
      <c r="Z41" s="2034"/>
      <c r="AA41" s="1211"/>
      <c r="AB41" s="1309">
        <v>4</v>
      </c>
      <c r="AC41" s="1310" t="s">
        <v>495</v>
      </c>
      <c r="AD41" s="1311"/>
      <c r="AE41" s="1312"/>
      <c r="AF41" s="1312"/>
      <c r="AG41" s="1312"/>
      <c r="AH41" s="1312"/>
      <c r="AI41" s="1384"/>
      <c r="AJ41" s="1384"/>
      <c r="AK41" s="1384"/>
      <c r="AL41" s="1384"/>
      <c r="AM41" s="1384"/>
      <c r="AN41" s="1312"/>
      <c r="AO41" s="1312"/>
      <c r="AP41" s="1312"/>
      <c r="AQ41" s="1312"/>
      <c r="AR41" s="1312"/>
      <c r="AS41" s="1384"/>
      <c r="AT41" s="1384"/>
      <c r="AU41" s="1384"/>
      <c r="AV41" s="1384"/>
      <c r="AW41" s="1384"/>
      <c r="AX41" s="1312"/>
      <c r="AY41" s="1312"/>
      <c r="AZ41" s="1312"/>
      <c r="BA41" s="1312"/>
      <c r="BB41" s="343"/>
      <c r="BC41" s="1078" t="s">
        <v>556</v>
      </c>
      <c r="BD41" s="343"/>
      <c r="BE41" s="343"/>
      <c r="BF41" s="343"/>
      <c r="BG41" s="343"/>
      <c r="BH41" s="343"/>
      <c r="BI41" s="343"/>
      <c r="BJ41" s="343"/>
      <c r="BK41" s="343"/>
      <c r="BL41" s="343"/>
      <c r="BM41" s="343"/>
      <c r="BN41" s="343"/>
    </row>
    <row r="42" spans="1:66" ht="10.7" customHeight="1" x14ac:dyDescent="0.25">
      <c r="A42" s="1266"/>
      <c r="B42" s="1272"/>
      <c r="C42" s="1266"/>
      <c r="D42" s="1266"/>
      <c r="E42" s="1273">
        <v>11</v>
      </c>
      <c r="F42" s="1267" t="str" cm="1">
        <f t="array" aca="1" ref="F42" ca="1">OFFSET(E42,-1,1)</f>
        <v>2</v>
      </c>
      <c r="G42" s="1266"/>
      <c r="H42" s="1266"/>
      <c r="I42" s="1266"/>
      <c r="J42" s="1266"/>
      <c r="K42" s="1266"/>
      <c r="L42" s="1266"/>
      <c r="M42" s="1266"/>
      <c r="N42" s="1266"/>
      <c r="O42" s="1266"/>
      <c r="P42" s="1266"/>
      <c r="Q42" s="1266"/>
      <c r="R42" s="1266"/>
      <c r="S42" s="1266"/>
      <c r="T42" s="1266"/>
      <c r="U42" s="1266"/>
      <c r="V42" s="1266"/>
      <c r="W42" s="1314" t="s">
        <v>176</v>
      </c>
      <c r="X42" s="1387" t="s">
        <v>557</v>
      </c>
      <c r="Y42" s="1266"/>
      <c r="Z42" s="1266"/>
      <c r="AA42" s="1266"/>
      <c r="AB42" s="1315"/>
      <c r="AC42" s="1314"/>
      <c r="AD42" s="1266"/>
      <c r="AE42" s="1266"/>
      <c r="AF42" s="1266"/>
      <c r="AG42" s="1266"/>
      <c r="AH42" s="1266"/>
      <c r="AI42" s="1266"/>
      <c r="AJ42" s="1266"/>
      <c r="AK42" s="1266"/>
      <c r="AL42" s="1266"/>
      <c r="AM42" s="1266"/>
      <c r="AN42" s="1266"/>
      <c r="AO42" s="1266"/>
      <c r="AP42" s="1266"/>
      <c r="AQ42" s="1266"/>
      <c r="AR42" s="1266"/>
      <c r="AS42" s="1266"/>
      <c r="AT42" s="1266"/>
      <c r="AU42" s="1266"/>
      <c r="AV42" s="1266"/>
      <c r="AW42" s="1266"/>
      <c r="AX42" s="1266"/>
      <c r="AY42" s="1266"/>
      <c r="AZ42" s="1266"/>
      <c r="BA42" s="1266"/>
      <c r="BB42" s="1076"/>
      <c r="BC42" s="1078"/>
      <c r="BD42" s="295"/>
      <c r="BE42" s="295"/>
      <c r="BF42" s="295"/>
      <c r="BG42" s="295"/>
      <c r="BH42" s="295"/>
      <c r="BI42" s="1076"/>
      <c r="BJ42" s="1076"/>
      <c r="BK42" s="1076"/>
      <c r="BL42" s="1076"/>
      <c r="BM42" s="1076"/>
      <c r="BN42" s="1076"/>
    </row>
  </sheetData>
  <sheetProtection formatColumns="0" formatRows="0" insertRows="0" deleteColumns="0" deleteRows="0" sort="0" autoFilter="0"/>
  <mergeCells count="9">
    <mergeCell ref="Y32:Y36"/>
    <mergeCell ref="Z32:Z36"/>
    <mergeCell ref="Y37:Y41"/>
    <mergeCell ref="Z37:Z41"/>
    <mergeCell ref="AB24:AB25"/>
    <mergeCell ref="AC24:AC25"/>
    <mergeCell ref="AD24:AD25"/>
    <mergeCell ref="Y27:Y31"/>
    <mergeCell ref="Z27:Z31"/>
  </mergeCells>
  <dataValidations count="2">
    <dataValidation allowBlank="1" showErrorMessage="1" errorTitle="Ошибка" error="Допускается ввод только неотрицательных чисел!" sqref="AE26:BA26" xr:uid="{00000000-0002-0000-0900-000000000000}"/>
    <dataValidation type="decimal" allowBlank="1" showErrorMessage="1" errorTitle="Ошибка" error="Допускается ввод только неотрицательных чисел!" sqref="BA28:BA31 BA33:BA36 BA38:BA41 AZ28:AZ31 AZ33:AZ36 AZ38:AZ41 AY28:AY31 AY33:AY36 AY38:AY41 AX28:AX31 AX33:AX36 AX38:AX41 AW28:AW31 AW33:AW36 AW38:AW41 AV28:AV31 AV33:AV36 AV38:AV41 AU28:AU31 AU33:AU36 AU38:AU41 AT28:AT31 AT33:AT36 AT38:AT41 AS28:AS31 AS33:AS36 AS38:AS41 AR28:AR31 AR33:AR36 AR38:AR41 AQ28:AQ31 AQ33:AQ36 AQ38:AQ41 AP28:AP31 AP33:AP36 AP38:AP41 AO28:AO31 AO33:AO36 AO38:AO41 AN28:AN31 AN33:AN36 AN38:AN41 AM28:AM31 AM33:AM36 AM38:AM41 AL28:AL31 AL33:AL36 AL38:AL41 AK28:AK31 AK33:AK36 AK38:AK41 AJ28:AJ31 AJ33:AJ36 AJ38:AJ41 AI28:AI31 AI33:AI36 AI38:AI41 AH28:AH31 AH33:AH36 AH38:AH41 AG28:AG31 AG33:AG36 AG38:AG41 AF28:AF31 AF33:AF36 AF38:AF41 AE28:AE31 AE33:AE36 AE38:AE41" xr:uid="{00000000-0002-0000-09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D14F5-08F8-7527-A9A8-F78D8F641548}">
  <sheetPr>
    <tabColor theme="6" tint="0.39997558519241921"/>
    <outlinePr summaryBelow="0" summaryRight="0"/>
    <pageSetUpPr fitToPage="1"/>
  </sheetPr>
  <dimension ref="A1:BF306"/>
  <sheetViews>
    <sheetView showGridLines="0" workbookViewId="0">
      <pane xSplit="30" ySplit="25" topLeftCell="AE118" activePane="bottomRight" state="frozen"/>
      <selection pane="topRight" activeCell="AE1" sqref="AE1"/>
      <selection pane="bottomLeft" activeCell="A26" sqref="A26"/>
      <selection pane="bottomRight" activeCell="AI121" sqref="AI121:AS121"/>
    </sheetView>
  </sheetViews>
  <sheetFormatPr defaultColWidth="9.140625" defaultRowHeight="11.25" customHeight="1" x14ac:dyDescent="0.15"/>
  <cols>
    <col min="1" max="1" width="3.5703125" style="1214" hidden="1" customWidth="1"/>
    <col min="2" max="2" width="8.85546875" style="1083" hidden="1" customWidth="1"/>
    <col min="3" max="4" width="3.5703125" style="1214" hidden="1" customWidth="1"/>
    <col min="5" max="5" width="3.5703125" style="1215" hidden="1" customWidth="1"/>
    <col min="6" max="6" width="13.28515625" style="1232" hidden="1" customWidth="1"/>
    <col min="7" max="7" width="11.42578125" style="1214" hidden="1" customWidth="1"/>
    <col min="8" max="8" width="9.7109375" style="1214" hidden="1" customWidth="1"/>
    <col min="9" max="9" width="6.42578125" style="1214" hidden="1" customWidth="1"/>
    <col min="10" max="10" width="3.5703125" style="1214" hidden="1" customWidth="1"/>
    <col min="11" max="11" width="6.140625" style="1214" hidden="1" customWidth="1"/>
    <col min="12" max="15" width="3.5703125" style="1214" hidden="1" customWidth="1"/>
    <col min="16" max="17" width="3.5703125" style="1194" hidden="1" customWidth="1"/>
    <col min="18" max="18" width="7.7109375" style="1194" hidden="1" customWidth="1"/>
    <col min="19" max="19" width="10" style="1194" hidden="1" customWidth="1"/>
    <col min="20" max="20" width="10.42578125" style="1194" hidden="1" customWidth="1"/>
    <col min="21" max="21" width="5.85546875" style="1194" hidden="1" customWidth="1"/>
    <col min="22" max="22" width="6.140625" style="1214" hidden="1" customWidth="1"/>
    <col min="23" max="23" width="5.5703125" style="1194" hidden="1" customWidth="1"/>
    <col min="24" max="24" width="5.28515625" style="1214" hidden="1" customWidth="1"/>
    <col min="25" max="26" width="3.5703125" style="1214" hidden="1" customWidth="1"/>
    <col min="27" max="27" width="3" style="1214" customWidth="1"/>
    <col min="28" max="28" width="11" style="1086" customWidth="1"/>
    <col min="29" max="29" width="50" style="1086" customWidth="1"/>
    <col min="30" max="30" width="10.28515625" style="1086" customWidth="1"/>
    <col min="31" max="35" width="13" style="1214" customWidth="1"/>
    <col min="36" max="44" width="13" style="1214" hidden="1" customWidth="1"/>
    <col min="45" max="45" width="13" style="1214" customWidth="1"/>
    <col min="46" max="54" width="13" style="1214" hidden="1" customWidth="1"/>
    <col min="55" max="55" width="20" style="1086" customWidth="1"/>
    <col min="56" max="56" width="3" style="1214" customWidth="1"/>
    <col min="57" max="57" width="9.140625" style="1214" hidden="1"/>
    <col min="58" max="58" width="9.140625" style="1216" hidden="1"/>
  </cols>
  <sheetData>
    <row r="1" spans="1:58" ht="11.25" hidden="1" customHeight="1" x14ac:dyDescent="0.15">
      <c r="E1" s="17"/>
      <c r="F1" s="265" t="s">
        <v>319</v>
      </c>
      <c r="H1" s="17" t="s">
        <v>330</v>
      </c>
      <c r="T1" s="388" t="s">
        <v>92</v>
      </c>
      <c r="U1" s="388" t="s">
        <v>97</v>
      </c>
      <c r="V1" s="388" t="s">
        <v>93</v>
      </c>
      <c r="W1" s="388" t="s">
        <v>94</v>
      </c>
      <c r="X1" s="388" t="s">
        <v>95</v>
      </c>
      <c r="Y1" s="388" t="s">
        <v>99</v>
      </c>
      <c r="Z1" s="388" t="s">
        <v>321</v>
      </c>
      <c r="AA1" s="388" t="s">
        <v>96</v>
      </c>
      <c r="AC1" s="388" t="s">
        <v>98</v>
      </c>
      <c r="BF1" s="924" t="s">
        <v>322</v>
      </c>
    </row>
    <row r="2" spans="1:58" s="1083" customFormat="1" ht="11.25" hidden="1" customHeight="1" x14ac:dyDescent="0.15">
      <c r="B2" s="367" t="s">
        <v>18</v>
      </c>
      <c r="F2" s="666"/>
      <c r="P2" s="579"/>
      <c r="Q2" s="579"/>
      <c r="R2" s="579"/>
      <c r="S2" s="579"/>
      <c r="T2" s="579"/>
      <c r="U2" s="579"/>
      <c r="W2" s="579"/>
      <c r="AB2" s="351"/>
      <c r="AC2" s="351"/>
      <c r="AD2" s="351"/>
      <c r="AI2" s="368" t="b">
        <f t="shared" ref="AI2:BB2" si="0">AI6&lt;=last_year_vis</f>
        <v>1</v>
      </c>
      <c r="AJ2" s="368" t="b">
        <f t="shared" si="0"/>
        <v>0</v>
      </c>
      <c r="AK2" s="368" t="b">
        <f t="shared" si="0"/>
        <v>0</v>
      </c>
      <c r="AL2" s="368" t="b">
        <f t="shared" si="0"/>
        <v>0</v>
      </c>
      <c r="AM2" s="368" t="b">
        <f t="shared" si="0"/>
        <v>0</v>
      </c>
      <c r="AN2" s="368" t="b">
        <f t="shared" si="0"/>
        <v>0</v>
      </c>
      <c r="AO2" s="368" t="b">
        <f t="shared" si="0"/>
        <v>0</v>
      </c>
      <c r="AP2" s="368" t="b">
        <f t="shared" si="0"/>
        <v>0</v>
      </c>
      <c r="AQ2" s="368" t="b">
        <f t="shared" si="0"/>
        <v>0</v>
      </c>
      <c r="AR2" s="368" t="b">
        <f t="shared" si="0"/>
        <v>0</v>
      </c>
      <c r="AS2" s="368" t="b">
        <f t="shared" si="0"/>
        <v>1</v>
      </c>
      <c r="AT2" s="368" t="b">
        <f t="shared" si="0"/>
        <v>0</v>
      </c>
      <c r="AU2" s="368" t="b">
        <f t="shared" si="0"/>
        <v>0</v>
      </c>
      <c r="AV2" s="368" t="b">
        <f t="shared" si="0"/>
        <v>0</v>
      </c>
      <c r="AW2" s="368" t="b">
        <f t="shared" si="0"/>
        <v>0</v>
      </c>
      <c r="AX2" s="368" t="b">
        <f t="shared" si="0"/>
        <v>0</v>
      </c>
      <c r="AY2" s="368" t="b">
        <f t="shared" si="0"/>
        <v>0</v>
      </c>
      <c r="AZ2" s="368" t="b">
        <f t="shared" si="0"/>
        <v>0</v>
      </c>
      <c r="BA2" s="368" t="b">
        <f t="shared" si="0"/>
        <v>0</v>
      </c>
      <c r="BB2" s="368" t="b">
        <f t="shared" si="0"/>
        <v>0</v>
      </c>
      <c r="BC2" s="351"/>
      <c r="BF2" s="925"/>
    </row>
    <row r="3" spans="1:58" ht="11.25" hidden="1" customHeight="1" x14ac:dyDescent="0.15">
      <c r="E3" s="17"/>
    </row>
    <row r="4" spans="1:58" ht="11.25" hidden="1" customHeight="1" x14ac:dyDescent="0.15">
      <c r="E4" s="17"/>
    </row>
    <row r="5" spans="1:58" s="1215" customFormat="1" ht="11.25" hidden="1" customHeight="1" x14ac:dyDescent="0.15">
      <c r="A5" s="17"/>
      <c r="B5" s="349"/>
      <c r="C5" s="17"/>
      <c r="D5" s="17"/>
      <c r="E5" s="556" t="s">
        <v>19</v>
      </c>
      <c r="F5" s="541"/>
      <c r="P5" s="580"/>
      <c r="Q5" s="580"/>
      <c r="R5" s="580"/>
      <c r="S5" s="580"/>
      <c r="T5" s="580"/>
      <c r="U5" s="580"/>
      <c r="W5" s="580"/>
      <c r="AA5" s="556">
        <v>3</v>
      </c>
      <c r="AB5" s="554">
        <v>11</v>
      </c>
      <c r="AC5" s="554">
        <v>50</v>
      </c>
      <c r="AD5" s="554">
        <v>10.29</v>
      </c>
      <c r="AE5" s="556">
        <v>13</v>
      </c>
      <c r="AF5" s="556">
        <v>13</v>
      </c>
      <c r="AG5" s="556">
        <v>13</v>
      </c>
      <c r="AH5" s="556">
        <v>13</v>
      </c>
      <c r="AI5" s="556">
        <v>13</v>
      </c>
      <c r="AJ5" s="556">
        <v>13</v>
      </c>
      <c r="AK5" s="556">
        <v>13</v>
      </c>
      <c r="AL5" s="556">
        <v>13</v>
      </c>
      <c r="AM5" s="556">
        <v>13</v>
      </c>
      <c r="AN5" s="556">
        <v>13</v>
      </c>
      <c r="AO5" s="556">
        <v>13</v>
      </c>
      <c r="AP5" s="556">
        <v>13</v>
      </c>
      <c r="AQ5" s="556">
        <v>13</v>
      </c>
      <c r="AR5" s="556">
        <v>13</v>
      </c>
      <c r="AS5" s="556">
        <v>13</v>
      </c>
      <c r="AT5" s="556">
        <v>13</v>
      </c>
      <c r="AU5" s="556">
        <v>13</v>
      </c>
      <c r="AV5" s="556">
        <v>13</v>
      </c>
      <c r="AW5" s="556">
        <v>13</v>
      </c>
      <c r="AX5" s="556">
        <v>13</v>
      </c>
      <c r="AY5" s="556">
        <v>13</v>
      </c>
      <c r="AZ5" s="556">
        <v>13</v>
      </c>
      <c r="BA5" s="556">
        <v>13</v>
      </c>
      <c r="BB5" s="556">
        <v>13</v>
      </c>
      <c r="BC5" s="554">
        <v>20</v>
      </c>
      <c r="BD5" s="556">
        <v>3</v>
      </c>
      <c r="BF5" s="924"/>
    </row>
    <row r="6" spans="1:58" ht="11.25" hidden="1" customHeight="1" x14ac:dyDescent="0.15">
      <c r="A6" s="17" t="s">
        <v>357</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x14ac:dyDescent="0.15">
      <c r="A7" s="17" t="s">
        <v>358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58" ht="11.25" hidden="1" customHeight="1" x14ac:dyDescent="0.15">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58" s="1216" customFormat="1" ht="11.25" hidden="1" customHeight="1" x14ac:dyDescent="0.15">
      <c r="A9" s="924" t="s">
        <v>362</v>
      </c>
      <c r="B9" s="925"/>
      <c r="F9" s="926"/>
      <c r="P9" s="910"/>
      <c r="Q9" s="910"/>
      <c r="R9" s="910"/>
      <c r="S9" s="910"/>
      <c r="T9" s="910"/>
      <c r="U9" s="910"/>
      <c r="W9" s="910"/>
      <c r="AB9" s="922"/>
      <c r="AC9" s="922"/>
      <c r="AD9" s="922"/>
      <c r="AE9" s="924" cm="1">
        <f t="array" ref="AE9">AE6</f>
        <v>2024</v>
      </c>
      <c r="AF9" s="924" cm="1">
        <f t="array" ref="AF9">AF6</f>
        <v>2024</v>
      </c>
      <c r="AG9" s="924" cm="1">
        <f t="array" ref="AG9">AG6</f>
        <v>2024</v>
      </c>
      <c r="AH9" s="924" cm="1">
        <f t="array" ref="AH9">AH6</f>
        <v>2025</v>
      </c>
      <c r="AI9" s="924" cm="1">
        <f t="array" ref="AI9">AI6</f>
        <v>2026</v>
      </c>
      <c r="AJ9" s="924" cm="1">
        <f t="array" ref="AJ9">AJ6</f>
        <v>2027</v>
      </c>
      <c r="AK9" s="924" cm="1">
        <f t="array" ref="AK9">AK6</f>
        <v>2028</v>
      </c>
      <c r="AL9" s="924" cm="1">
        <f t="array" ref="AL9">AL6</f>
        <v>2029</v>
      </c>
      <c r="AM9" s="924" cm="1">
        <f t="array" ref="AM9">AM6</f>
        <v>2030</v>
      </c>
      <c r="AN9" s="924" cm="1">
        <f t="array" ref="AN9">AN6</f>
        <v>2031</v>
      </c>
      <c r="AO9" s="924" cm="1">
        <f t="array" ref="AO9">AO6</f>
        <v>2032</v>
      </c>
      <c r="AP9" s="924" cm="1">
        <f t="array" ref="AP9">AP6</f>
        <v>2033</v>
      </c>
      <c r="AQ9" s="924" cm="1">
        <f t="array" ref="AQ9">AQ6</f>
        <v>2034</v>
      </c>
      <c r="AR9" s="924" cm="1">
        <f t="array" ref="AR9">AR6</f>
        <v>2035</v>
      </c>
      <c r="AS9" s="924" cm="1">
        <f t="array" ref="AS9">AS6</f>
        <v>2026</v>
      </c>
      <c r="AT9" s="924" cm="1">
        <f t="array" ref="AT9">AT6</f>
        <v>2027</v>
      </c>
      <c r="AU9" s="924" cm="1">
        <f t="array" ref="AU9">AU6</f>
        <v>2028</v>
      </c>
      <c r="AV9" s="924" cm="1">
        <f t="array" ref="AV9">AV6</f>
        <v>2029</v>
      </c>
      <c r="AW9" s="924" cm="1">
        <f t="array" ref="AW9">AW6</f>
        <v>2030</v>
      </c>
      <c r="AX9" s="924" cm="1">
        <f t="array" ref="AX9">AX6</f>
        <v>2031</v>
      </c>
      <c r="AY9" s="924" cm="1">
        <f t="array" ref="AY9">AY6</f>
        <v>2032</v>
      </c>
      <c r="AZ9" s="924" cm="1">
        <f t="array" ref="AZ9">AZ6</f>
        <v>2033</v>
      </c>
      <c r="BA9" s="924" cm="1">
        <f t="array" ref="BA9">BA6</f>
        <v>2034</v>
      </c>
      <c r="BB9" s="924" cm="1">
        <f t="array" ref="BB9">BB6</f>
        <v>2035</v>
      </c>
      <c r="BC9" s="922"/>
    </row>
    <row r="10" spans="1:58" s="1216" customFormat="1" ht="11.25" hidden="1" customHeight="1" x14ac:dyDescent="0.15">
      <c r="A10" s="924" t="s">
        <v>363</v>
      </c>
      <c r="B10" s="925"/>
      <c r="F10" s="926"/>
      <c r="P10" s="910"/>
      <c r="Q10" s="910"/>
      <c r="R10" s="910"/>
      <c r="S10" s="910"/>
      <c r="T10" s="910"/>
      <c r="U10" s="910"/>
      <c r="W10" s="910"/>
      <c r="AB10" s="922"/>
      <c r="AC10" s="922"/>
      <c r="AD10" s="922"/>
      <c r="AE10" s="924" t="str" cm="1">
        <f t="array" ref="AE10">AE25</f>
        <v>Принято органом регулирования</v>
      </c>
      <c r="AF10" s="924" t="str" cm="1">
        <f t="array" ref="AF10">AF25</f>
        <v>Факт по данным организации</v>
      </c>
      <c r="AG10" s="924" t="str" cm="1">
        <f t="array" ref="AG10">AG25</f>
        <v>Факт, принятый органом регулирования</v>
      </c>
      <c r="AH10" s="924" t="str" cm="1">
        <f t="array" ref="AH10">AH25</f>
        <v>Принято органом регулирования</v>
      </c>
      <c r="AI10" s="924" t="str" cm="1">
        <f t="array" ref="AI10">AI25</f>
        <v>Предложение организации</v>
      </c>
      <c r="AJ10" s="924" t="str" cm="1">
        <f t="array" ref="AJ10">AJ25</f>
        <v>Предложение организации</v>
      </c>
      <c r="AK10" s="924" t="str" cm="1">
        <f t="array" ref="AK10">AK25</f>
        <v>Предложение организации</v>
      </c>
      <c r="AL10" s="924" t="str" cm="1">
        <f t="array" ref="AL10">AL25</f>
        <v>Предложение организации</v>
      </c>
      <c r="AM10" s="924" t="str" cm="1">
        <f t="array" ref="AM10">AM25</f>
        <v>Предложение организации</v>
      </c>
      <c r="AN10" s="924" t="str" cm="1">
        <f t="array" ref="AN10">AN25</f>
        <v>Предложение организации</v>
      </c>
      <c r="AO10" s="924" t="str" cm="1">
        <f t="array" ref="AO10">AO25</f>
        <v>Предложение организации</v>
      </c>
      <c r="AP10" s="924" t="str" cm="1">
        <f t="array" ref="AP10">AP25</f>
        <v>Предложение организации</v>
      </c>
      <c r="AQ10" s="924" t="str" cm="1">
        <f t="array" ref="AQ10">AQ25</f>
        <v>Предложение организации</v>
      </c>
      <c r="AR10" s="924" t="str" cm="1">
        <f t="array" ref="AR10">AR25</f>
        <v>Предложение организации</v>
      </c>
      <c r="AS10" s="924" t="str" cm="1">
        <f t="array" ref="AS10">AS25</f>
        <v>Принято органом регулирования</v>
      </c>
      <c r="AT10" s="924" t="str" cm="1">
        <f t="array" ref="AT10">AT25</f>
        <v>Принято органом регулирования</v>
      </c>
      <c r="AU10" s="924" t="str" cm="1">
        <f t="array" ref="AU10">AU25</f>
        <v>Принято органом регулирования</v>
      </c>
      <c r="AV10" s="924" t="str" cm="1">
        <f t="array" ref="AV10">AV25</f>
        <v>Принято органом регулирования</v>
      </c>
      <c r="AW10" s="924" t="str" cm="1">
        <f t="array" ref="AW10">AW25</f>
        <v>Принято органом регулирования</v>
      </c>
      <c r="AX10" s="924" t="str" cm="1">
        <f t="array" ref="AX10">AX25</f>
        <v>Принято органом регулирования</v>
      </c>
      <c r="AY10" s="924" t="str" cm="1">
        <f t="array" ref="AY10">AY25</f>
        <v>Принято органом регулирования</v>
      </c>
      <c r="AZ10" s="924" t="str" cm="1">
        <f t="array" ref="AZ10">AZ25</f>
        <v>Принято органом регулирования</v>
      </c>
      <c r="BA10" s="924" t="str" cm="1">
        <f t="array" ref="BA10">BA25</f>
        <v>Принято органом регулирования</v>
      </c>
      <c r="BB10" s="924" t="str" cm="1">
        <f t="array" ref="BB10">BB25</f>
        <v>Принято органом регулирования</v>
      </c>
      <c r="BC10" s="922"/>
    </row>
    <row r="11" spans="1:58" s="1216" customFormat="1" ht="11.25" hidden="1" customHeight="1" x14ac:dyDescent="0.15">
      <c r="A11" s="924" t="s">
        <v>364</v>
      </c>
      <c r="B11" s="925"/>
      <c r="F11" s="926"/>
      <c r="P11" s="910"/>
      <c r="Q11" s="910"/>
      <c r="R11" s="910"/>
      <c r="S11" s="910"/>
      <c r="T11" s="910"/>
      <c r="U11" s="910"/>
      <c r="W11" s="910"/>
      <c r="AB11" s="922"/>
      <c r="AC11" s="922"/>
      <c r="AD11" s="922"/>
      <c r="BC11" s="922" t="str" cm="1">
        <f t="array" ref="BC11">BC24</f>
        <v>Ссылка на правовую норму (основание для принятия показателя в расчет тарифа)</v>
      </c>
    </row>
    <row r="12" spans="1:58" ht="11.25" hidden="1" customHeight="1" x14ac:dyDescent="0.15">
      <c r="AD12" s="17"/>
    </row>
    <row r="13" spans="1:58" ht="11.25" hidden="1" customHeight="1" x14ac:dyDescent="0.15"/>
    <row r="14" spans="1:58" ht="11.25" hidden="1" customHeight="1" x14ac:dyDescent="0.15"/>
    <row r="15" spans="1:58" ht="11.25" hidden="1" customHeight="1" x14ac:dyDescent="0.15"/>
    <row r="16" spans="1:58" ht="11.25" hidden="1" customHeight="1" x14ac:dyDescent="0.15"/>
    <row r="17" spans="1:58" ht="11.25" hidden="1" customHeight="1" x14ac:dyDescent="0.15"/>
    <row r="18" spans="1:58" ht="11.25" hidden="1" customHeight="1" x14ac:dyDescent="0.15"/>
    <row r="19" spans="1:58" ht="11.25" hidden="1" customHeight="1" x14ac:dyDescent="0.15"/>
    <row r="20" spans="1:58" ht="11.25" hidden="1" customHeight="1" x14ac:dyDescent="0.15"/>
    <row r="21" spans="1:58" ht="14.65" customHeight="1" x14ac:dyDescent="0.15">
      <c r="E21" s="556">
        <v>15</v>
      </c>
      <c r="AA21" s="581"/>
      <c r="AC21" s="3" t="str" cm="1">
        <f t="array" ref="AC21">tpl_title</f>
        <v>Кемеровская область / 2026 / ООО "Чистая вода" (ИНН:4246023100, КПП:424601001) / ДПР: 2024-2032</v>
      </c>
    </row>
    <row r="22" spans="1:58" s="1249" customFormat="1" ht="19.5" customHeight="1" x14ac:dyDescent="0.15">
      <c r="B22" s="349"/>
      <c r="E22" s="557">
        <v>20</v>
      </c>
      <c r="F22" s="3"/>
      <c r="AB22" s="235" t="s">
        <v>44</v>
      </c>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F22" s="927"/>
    </row>
    <row r="23" spans="1:58" ht="10.9" customHeight="1" x14ac:dyDescent="0.15">
      <c r="E23" s="556">
        <v>11.25</v>
      </c>
    </row>
    <row r="24" spans="1:58" s="1086" customFormat="1" ht="14.65" customHeight="1" x14ac:dyDescent="0.15">
      <c r="B24" s="349"/>
      <c r="E24" s="554">
        <v>15</v>
      </c>
      <c r="F24" s="126"/>
      <c r="AB24" s="2037" t="s">
        <v>21</v>
      </c>
      <c r="AC24" s="2038" t="s">
        <v>366</v>
      </c>
      <c r="AD24" s="2035" t="s">
        <v>367</v>
      </c>
      <c r="AE24" s="499" t="str">
        <f>god-2&amp;" год"</f>
        <v>2024 год</v>
      </c>
      <c r="AF24" s="1029" t="str">
        <f>god-2&amp;" год"</f>
        <v>2024 год</v>
      </c>
      <c r="AG24" s="275" t="str">
        <f>god-2&amp;" год"</f>
        <v>2024 год</v>
      </c>
      <c r="AH24" s="13" t="str">
        <f>god-1&amp;" год"</f>
        <v>2025 год</v>
      </c>
      <c r="AI24" s="1026" t="str">
        <f>god&amp;" год"</f>
        <v>2026 год</v>
      </c>
      <c r="AJ24" s="1026" t="str">
        <f>god+1&amp;" год"</f>
        <v>2027 год</v>
      </c>
      <c r="AK24" s="1026" t="str">
        <f>god+2&amp;" год"</f>
        <v>2028 год</v>
      </c>
      <c r="AL24" s="1026" t="str">
        <f>god+3&amp;" год"</f>
        <v>2029 год</v>
      </c>
      <c r="AM24" s="1026" t="str">
        <f>god+4&amp;" год"</f>
        <v>2030 год</v>
      </c>
      <c r="AN24" s="1026" t="str">
        <f>god+5&amp;" год"</f>
        <v>2031 год</v>
      </c>
      <c r="AO24" s="1026" t="str">
        <f>god+6&amp;" год"</f>
        <v>2032 год</v>
      </c>
      <c r="AP24" s="1026" t="str">
        <f>god+7&amp;" год"</f>
        <v>2033 год</v>
      </c>
      <c r="AQ24" s="1026" t="str">
        <f>god+8&amp;" год"</f>
        <v>2034 год</v>
      </c>
      <c r="AR24" s="1026"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036" t="s">
        <v>558</v>
      </c>
      <c r="BF24" s="922"/>
    </row>
    <row r="25" spans="1:58" s="1086" customFormat="1" ht="68.45" customHeight="1" x14ac:dyDescent="0.15">
      <c r="B25" s="349"/>
      <c r="E25" s="554">
        <v>70.25</v>
      </c>
      <c r="F25" s="126"/>
      <c r="AB25" s="2037"/>
      <c r="AC25" s="2038"/>
      <c r="AD25" s="2035"/>
      <c r="AE25" s="500" t="s">
        <v>359</v>
      </c>
      <c r="AF25" s="1026" t="s">
        <v>484</v>
      </c>
      <c r="AG25" s="11" t="s">
        <v>485</v>
      </c>
      <c r="AH25" s="11" t="s">
        <v>359</v>
      </c>
      <c r="AI25" s="1030" t="s">
        <v>360</v>
      </c>
      <c r="AJ25" s="1030" t="s">
        <v>360</v>
      </c>
      <c r="AK25" s="1030" t="s">
        <v>360</v>
      </c>
      <c r="AL25" s="1030" t="s">
        <v>360</v>
      </c>
      <c r="AM25" s="1030" t="s">
        <v>360</v>
      </c>
      <c r="AN25" s="1030" t="s">
        <v>360</v>
      </c>
      <c r="AO25" s="1030" t="s">
        <v>360</v>
      </c>
      <c r="AP25" s="1030" t="s">
        <v>360</v>
      </c>
      <c r="AQ25" s="1030" t="s">
        <v>360</v>
      </c>
      <c r="AR25" s="1030" t="s">
        <v>360</v>
      </c>
      <c r="AS25" s="276" t="s">
        <v>359</v>
      </c>
      <c r="AT25" s="276" t="s">
        <v>359</v>
      </c>
      <c r="AU25" s="276" t="s">
        <v>359</v>
      </c>
      <c r="AV25" s="276" t="s">
        <v>359</v>
      </c>
      <c r="AW25" s="276" t="s">
        <v>359</v>
      </c>
      <c r="AX25" s="276" t="s">
        <v>359</v>
      </c>
      <c r="AY25" s="276" t="s">
        <v>359</v>
      </c>
      <c r="AZ25" s="276" t="s">
        <v>359</v>
      </c>
      <c r="BA25" s="276" t="s">
        <v>359</v>
      </c>
      <c r="BB25" s="276" t="s">
        <v>359</v>
      </c>
      <c r="BC25" s="2036"/>
      <c r="BF25" s="922"/>
    </row>
    <row r="26" spans="1:58" s="1334" customFormat="1" ht="15" hidden="1" customHeight="1" x14ac:dyDescent="0.15">
      <c r="A26" s="422"/>
      <c r="B26" s="582"/>
      <c r="C26" s="422"/>
      <c r="D26" s="422"/>
      <c r="E26" s="583">
        <v>0</v>
      </c>
      <c r="F26" s="667"/>
      <c r="G26" s="422"/>
      <c r="H26" s="422"/>
      <c r="I26" s="422"/>
      <c r="J26" s="422"/>
      <c r="K26" s="422"/>
      <c r="L26" s="422"/>
      <c r="M26" s="422"/>
      <c r="N26" s="422"/>
      <c r="O26" s="422"/>
      <c r="P26" s="422"/>
      <c r="Q26" s="422"/>
      <c r="R26" s="587" t="s">
        <v>270</v>
      </c>
      <c r="S26" s="587" t="s">
        <v>559</v>
      </c>
      <c r="T26" s="388"/>
      <c r="U26" s="422"/>
      <c r="V26" s="422"/>
      <c r="W26" s="422"/>
      <c r="X26" s="422"/>
      <c r="Y26" s="422"/>
      <c r="Z26" s="422"/>
      <c r="AA26" s="422"/>
      <c r="AC26" s="19"/>
      <c r="AD26" s="19"/>
      <c r="AE26" s="19"/>
      <c r="AF26" s="19"/>
      <c r="AQ26" s="20"/>
      <c r="BF26" s="913"/>
    </row>
    <row r="27" spans="1:58" ht="14.65" hidden="1" customHeight="1" x14ac:dyDescent="0.15">
      <c r="E27" s="556">
        <v>15</v>
      </c>
      <c r="F27" s="265" cm="1">
        <f t="array" ref="F27">X27</f>
        <v>0</v>
      </c>
      <c r="T27" s="388" t="b">
        <f>X27&gt;0</f>
        <v>0</v>
      </c>
      <c r="V27" s="17" t="s">
        <v>271</v>
      </c>
      <c r="X27" s="2032">
        <v>0</v>
      </c>
      <c r="Y27" s="2011"/>
      <c r="AB27" s="99" t="str" cm="1">
        <f t="array" ref="AB27">INDEX('Общие сведения'!$AG$185:$AG$228,MATCH($X27,'Общие сведения'!$Z$185:$Z$228,0))</f>
        <v xml:space="preserve">Тариф 0 () - </v>
      </c>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row>
    <row r="28" spans="1:58" ht="14.65" hidden="1" customHeight="1" x14ac:dyDescent="0.15">
      <c r="E28" s="556">
        <v>15</v>
      </c>
      <c r="F28" s="3" cm="1">
        <f t="array" aca="1" ref="F28" ca="1">OFFSET(E28,-1,1)</f>
        <v>0</v>
      </c>
      <c r="R28" s="337" t="b" cm="1">
        <f t="array" ref="R28">INDEX('Общие сведения'!$AN$185:$AN$228,MATCH($X27,'Общие сведения'!$Z$185:$Z$228,0))</f>
        <v>0</v>
      </c>
      <c r="S28" s="337" t="b">
        <f>IF(ISERROR(SEARCH("Водоснабжение",AB27)),FALSE,TRUE)</f>
        <v>0</v>
      </c>
      <c r="T28" s="388" t="b">
        <f>AND(X27&gt;0,S28,NOT(R28))</f>
        <v>0</v>
      </c>
      <c r="X28" s="2032"/>
      <c r="Y28" s="2011"/>
      <c r="AB28" s="159" t="s">
        <v>282</v>
      </c>
      <c r="AC28" s="245" t="s">
        <v>560</v>
      </c>
      <c r="AD28" s="11"/>
      <c r="AE28" s="493" cm="1">
        <f t="array" ref="AE28">INDEX('Общие сведения'!$AH$185:$AH$228,MATCH($X27,'Общие сведения'!$Z$185:$Z$228,0))</f>
        <v>0</v>
      </c>
      <c r="AF28" s="278"/>
      <c r="AG28" s="278"/>
      <c r="AH28" s="278"/>
      <c r="AI28" s="278"/>
      <c r="AJ28" s="278"/>
      <c r="AK28" s="278"/>
      <c r="AL28" s="278"/>
      <c r="AM28" s="278"/>
      <c r="AN28" s="278"/>
      <c r="AO28" s="278"/>
      <c r="AP28" s="278"/>
      <c r="AQ28" s="278"/>
      <c r="AR28" s="278"/>
      <c r="AS28" s="278"/>
      <c r="AT28" s="278"/>
      <c r="AU28" s="278"/>
      <c r="AV28" s="278"/>
      <c r="AW28" s="278"/>
      <c r="AX28" s="278"/>
      <c r="AY28" s="278"/>
      <c r="AZ28" s="278"/>
      <c r="BA28" s="278"/>
      <c r="BB28" s="279"/>
      <c r="BC28" s="1365"/>
      <c r="BF28" s="924" t="s">
        <v>561</v>
      </c>
    </row>
    <row r="29" spans="1:58" ht="14.65" hidden="1" customHeight="1" x14ac:dyDescent="0.15">
      <c r="E29" s="556">
        <v>15</v>
      </c>
      <c r="F29" s="3" cm="1">
        <f t="array" aca="1" ref="F29" ca="1">OFFSET(E29,-1,1)</f>
        <v>0</v>
      </c>
      <c r="H29" s="17" t="s">
        <v>335</v>
      </c>
      <c r="T29" s="388" t="b" cm="1">
        <f t="array" ref="T29">T28</f>
        <v>0</v>
      </c>
      <c r="X29" s="2032"/>
      <c r="Y29" s="2011"/>
      <c r="AB29" s="159" t="s">
        <v>289</v>
      </c>
      <c r="AC29" s="246" t="s">
        <v>562</v>
      </c>
      <c r="AD29" s="12" t="s">
        <v>563</v>
      </c>
      <c r="AE29" s="232">
        <f t="shared" ref="AE29:BB29" si="2">AE38+AE33-AE36</f>
        <v>0</v>
      </c>
      <c r="AF29" s="232">
        <f t="shared" si="2"/>
        <v>0</v>
      </c>
      <c r="AG29" s="232">
        <f t="shared" si="2"/>
        <v>0</v>
      </c>
      <c r="AH29" s="232">
        <f t="shared" si="2"/>
        <v>0</v>
      </c>
      <c r="AI29" s="232">
        <f t="shared" si="2"/>
        <v>0</v>
      </c>
      <c r="AJ29" s="232">
        <f t="shared" si="2"/>
        <v>0</v>
      </c>
      <c r="AK29" s="232">
        <f t="shared" si="2"/>
        <v>0</v>
      </c>
      <c r="AL29" s="232">
        <f t="shared" si="2"/>
        <v>0</v>
      </c>
      <c r="AM29" s="232">
        <f t="shared" si="2"/>
        <v>0</v>
      </c>
      <c r="AN29" s="232">
        <f t="shared" si="2"/>
        <v>0</v>
      </c>
      <c r="AO29" s="232">
        <f t="shared" si="2"/>
        <v>0</v>
      </c>
      <c r="AP29" s="232">
        <f t="shared" si="2"/>
        <v>0</v>
      </c>
      <c r="AQ29" s="232">
        <f t="shared" si="2"/>
        <v>0</v>
      </c>
      <c r="AR29" s="232">
        <f t="shared" si="2"/>
        <v>0</v>
      </c>
      <c r="AS29" s="232">
        <f t="shared" si="2"/>
        <v>0</v>
      </c>
      <c r="AT29" s="232">
        <f t="shared" si="2"/>
        <v>0</v>
      </c>
      <c r="AU29" s="232">
        <f t="shared" si="2"/>
        <v>0</v>
      </c>
      <c r="AV29" s="232">
        <f t="shared" si="2"/>
        <v>0</v>
      </c>
      <c r="AW29" s="232">
        <f t="shared" si="2"/>
        <v>0</v>
      </c>
      <c r="AX29" s="232">
        <f t="shared" si="2"/>
        <v>0</v>
      </c>
      <c r="AY29" s="232">
        <f t="shared" si="2"/>
        <v>0</v>
      </c>
      <c r="AZ29" s="232">
        <f t="shared" si="2"/>
        <v>0</v>
      </c>
      <c r="BA29" s="232">
        <f t="shared" si="2"/>
        <v>0</v>
      </c>
      <c r="BB29" s="232">
        <f t="shared" si="2"/>
        <v>0</v>
      </c>
      <c r="BC29" s="1365"/>
      <c r="BF29" s="924" t="s">
        <v>564</v>
      </c>
    </row>
    <row r="30" spans="1:58" ht="14.65" hidden="1" customHeight="1" x14ac:dyDescent="0.15">
      <c r="E30" s="556">
        <v>15</v>
      </c>
      <c r="F30" s="3" cm="1">
        <f t="array" aca="1" ref="F30" ca="1">OFFSET(E30,-1,1)</f>
        <v>0</v>
      </c>
      <c r="H30" s="17" t="s">
        <v>565</v>
      </c>
      <c r="T30" s="388" t="b" cm="1">
        <f t="array" ref="T30">T29</f>
        <v>0</v>
      </c>
      <c r="X30" s="2032"/>
      <c r="Y30" s="2011"/>
      <c r="AB30" s="159" t="s">
        <v>566</v>
      </c>
      <c r="AC30" s="111" t="s">
        <v>567</v>
      </c>
      <c r="AD30" s="12" t="s">
        <v>563</v>
      </c>
      <c r="AE30" s="1377"/>
      <c r="AF30" s="1377"/>
      <c r="AG30" s="1377"/>
      <c r="AH30" s="1377"/>
      <c r="AI30" s="197"/>
      <c r="AJ30" s="1377"/>
      <c r="AK30" s="1377"/>
      <c r="AL30" s="1377"/>
      <c r="AM30" s="1377"/>
      <c r="AN30" s="1377"/>
      <c r="AO30" s="1377"/>
      <c r="AP30" s="1377"/>
      <c r="AQ30" s="1377"/>
      <c r="AR30" s="1377"/>
      <c r="AS30" s="197"/>
      <c r="AT30" s="1377"/>
      <c r="AU30" s="1377"/>
      <c r="AV30" s="1377"/>
      <c r="AW30" s="1377"/>
      <c r="AX30" s="1377"/>
      <c r="AY30" s="1377"/>
      <c r="AZ30" s="1377"/>
      <c r="BA30" s="1377"/>
      <c r="BB30" s="1377"/>
      <c r="BC30" s="1379"/>
      <c r="BF30" s="924" t="s">
        <v>568</v>
      </c>
    </row>
    <row r="31" spans="1:58" ht="14.65" hidden="1" customHeight="1" x14ac:dyDescent="0.15">
      <c r="E31" s="556">
        <v>15</v>
      </c>
      <c r="F31" s="3" cm="1">
        <f t="array" aca="1" ref="F31" ca="1">OFFSET(E31,-1,1)</f>
        <v>0</v>
      </c>
      <c r="H31" s="17" t="s">
        <v>569</v>
      </c>
      <c r="T31" s="388" t="b" cm="1">
        <f t="array" ref="T31">T30</f>
        <v>0</v>
      </c>
      <c r="X31" s="2032"/>
      <c r="Y31" s="2011"/>
      <c r="AB31" s="159" t="s">
        <v>570</v>
      </c>
      <c r="AC31" s="111" t="s">
        <v>571</v>
      </c>
      <c r="AD31" s="12" t="s">
        <v>563</v>
      </c>
      <c r="AE31" s="1377"/>
      <c r="AF31" s="1377"/>
      <c r="AG31" s="1377"/>
      <c r="AH31" s="1377"/>
      <c r="AI31" s="197"/>
      <c r="AJ31" s="1377"/>
      <c r="AK31" s="1377"/>
      <c r="AL31" s="1377"/>
      <c r="AM31" s="1377"/>
      <c r="AN31" s="1377"/>
      <c r="AO31" s="1377"/>
      <c r="AP31" s="1377"/>
      <c r="AQ31" s="1377"/>
      <c r="AR31" s="1377"/>
      <c r="AS31" s="197"/>
      <c r="AT31" s="1377"/>
      <c r="AU31" s="1377"/>
      <c r="AV31" s="1377"/>
      <c r="AW31" s="1377"/>
      <c r="AX31" s="1377"/>
      <c r="AY31" s="1377"/>
      <c r="AZ31" s="1377"/>
      <c r="BA31" s="1377"/>
      <c r="BB31" s="1377"/>
      <c r="BC31" s="1379"/>
      <c r="BF31" s="924" t="s">
        <v>572</v>
      </c>
    </row>
    <row r="32" spans="1:58" ht="21.95" hidden="1" customHeight="1" x14ac:dyDescent="0.15">
      <c r="E32" s="556">
        <v>22.5</v>
      </c>
      <c r="F32" s="3" cm="1">
        <f t="array" aca="1" ref="F32" ca="1">OFFSET(E32,-1,1)</f>
        <v>0</v>
      </c>
      <c r="H32" s="17" t="s">
        <v>573</v>
      </c>
      <c r="T32" s="388" t="b" cm="1">
        <f t="array" ref="T32">T31</f>
        <v>0</v>
      </c>
      <c r="X32" s="2032"/>
      <c r="Y32" s="2011"/>
      <c r="AB32" s="159" t="s">
        <v>574</v>
      </c>
      <c r="AC32" s="246" t="s">
        <v>575</v>
      </c>
      <c r="AD32" s="12" t="s">
        <v>563</v>
      </c>
      <c r="AE32" s="1377"/>
      <c r="AF32" s="1377"/>
      <c r="AG32" s="1377"/>
      <c r="AH32" s="1377"/>
      <c r="AI32" s="197"/>
      <c r="AJ32" s="1377"/>
      <c r="AK32" s="1377"/>
      <c r="AL32" s="1377"/>
      <c r="AM32" s="1377"/>
      <c r="AN32" s="1377"/>
      <c r="AO32" s="1377"/>
      <c r="AP32" s="1377"/>
      <c r="AQ32" s="1377"/>
      <c r="AR32" s="1377"/>
      <c r="AS32" s="197"/>
      <c r="AT32" s="1377"/>
      <c r="AU32" s="1377"/>
      <c r="AV32" s="1377"/>
      <c r="AW32" s="1377"/>
      <c r="AX32" s="1377"/>
      <c r="AY32" s="1377"/>
      <c r="AZ32" s="1377"/>
      <c r="BA32" s="1377"/>
      <c r="BB32" s="1377"/>
      <c r="BC32" s="1379"/>
      <c r="BF32" s="924" t="s">
        <v>576</v>
      </c>
    </row>
    <row r="33" spans="5:58" ht="14.65" hidden="1" customHeight="1" x14ac:dyDescent="0.15">
      <c r="E33" s="556">
        <v>15</v>
      </c>
      <c r="F33" s="3" cm="1">
        <f t="array" aca="1" ref="F33" ca="1">OFFSET(E33,-1,1)</f>
        <v>0</v>
      </c>
      <c r="H33" s="17" t="s">
        <v>334</v>
      </c>
      <c r="T33" s="388" t="b" cm="1">
        <f t="array" ref="T33">T32</f>
        <v>0</v>
      </c>
      <c r="X33" s="2032"/>
      <c r="Y33" s="2011"/>
      <c r="AB33" s="159" t="s">
        <v>329</v>
      </c>
      <c r="AC33" s="246" t="s">
        <v>577</v>
      </c>
      <c r="AD33" s="12" t="s">
        <v>563</v>
      </c>
      <c r="AE33" s="232">
        <f t="shared" ref="AE33:BB33" si="3">SUM(AE34:AE35)</f>
        <v>0</v>
      </c>
      <c r="AF33" s="232">
        <f t="shared" si="3"/>
        <v>0</v>
      </c>
      <c r="AG33" s="232">
        <f t="shared" si="3"/>
        <v>0</v>
      </c>
      <c r="AH33" s="232">
        <f t="shared" si="3"/>
        <v>0</v>
      </c>
      <c r="AI33" s="232">
        <f t="shared" si="3"/>
        <v>0</v>
      </c>
      <c r="AJ33" s="232">
        <f t="shared" si="3"/>
        <v>0</v>
      </c>
      <c r="AK33" s="232">
        <f t="shared" si="3"/>
        <v>0</v>
      </c>
      <c r="AL33" s="232">
        <f t="shared" si="3"/>
        <v>0</v>
      </c>
      <c r="AM33" s="232">
        <f t="shared" si="3"/>
        <v>0</v>
      </c>
      <c r="AN33" s="232">
        <f t="shared" si="3"/>
        <v>0</v>
      </c>
      <c r="AO33" s="232">
        <f t="shared" si="3"/>
        <v>0</v>
      </c>
      <c r="AP33" s="232">
        <f t="shared" si="3"/>
        <v>0</v>
      </c>
      <c r="AQ33" s="232">
        <f t="shared" si="3"/>
        <v>0</v>
      </c>
      <c r="AR33" s="232">
        <f t="shared" si="3"/>
        <v>0</v>
      </c>
      <c r="AS33" s="232">
        <f t="shared" si="3"/>
        <v>0</v>
      </c>
      <c r="AT33" s="232">
        <f t="shared" si="3"/>
        <v>0</v>
      </c>
      <c r="AU33" s="232">
        <f t="shared" si="3"/>
        <v>0</v>
      </c>
      <c r="AV33" s="232">
        <f t="shared" si="3"/>
        <v>0</v>
      </c>
      <c r="AW33" s="232">
        <f t="shared" si="3"/>
        <v>0</v>
      </c>
      <c r="AX33" s="232">
        <f t="shared" si="3"/>
        <v>0</v>
      </c>
      <c r="AY33" s="232">
        <f t="shared" si="3"/>
        <v>0</v>
      </c>
      <c r="AZ33" s="232">
        <f t="shared" si="3"/>
        <v>0</v>
      </c>
      <c r="BA33" s="232">
        <f t="shared" si="3"/>
        <v>0</v>
      </c>
      <c r="BB33" s="232">
        <f t="shared" si="3"/>
        <v>0</v>
      </c>
      <c r="BC33" s="1379"/>
      <c r="BF33" s="924" t="s">
        <v>578</v>
      </c>
    </row>
    <row r="34" spans="5:58" ht="14.65" hidden="1" customHeight="1" x14ac:dyDescent="0.15">
      <c r="E34" s="556">
        <v>15</v>
      </c>
      <c r="F34" s="3" cm="1">
        <f t="array" aca="1" ref="F34" ca="1">OFFSET(E34,-1,1)</f>
        <v>0</v>
      </c>
      <c r="H34" s="17" t="s">
        <v>579</v>
      </c>
      <c r="T34" s="388" t="b" cm="1">
        <f t="array" ref="T34">T33</f>
        <v>0</v>
      </c>
      <c r="X34" s="2032"/>
      <c r="Y34" s="2011"/>
      <c r="AB34" s="159" t="s">
        <v>580</v>
      </c>
      <c r="AC34" s="111" t="s">
        <v>581</v>
      </c>
      <c r="AD34" s="12" t="s">
        <v>563</v>
      </c>
      <c r="AE34" s="1377"/>
      <c r="AF34" s="1377"/>
      <c r="AG34" s="1377"/>
      <c r="AH34" s="1377"/>
      <c r="AI34" s="197"/>
      <c r="AJ34" s="1377"/>
      <c r="AK34" s="1377"/>
      <c r="AL34" s="1377"/>
      <c r="AM34" s="1377"/>
      <c r="AN34" s="1377"/>
      <c r="AO34" s="1377"/>
      <c r="AP34" s="1377"/>
      <c r="AQ34" s="1377"/>
      <c r="AR34" s="1377"/>
      <c r="AS34" s="197"/>
      <c r="AT34" s="1377"/>
      <c r="AU34" s="1377"/>
      <c r="AV34" s="1377"/>
      <c r="AW34" s="1377"/>
      <c r="AX34" s="1377"/>
      <c r="AY34" s="1377"/>
      <c r="AZ34" s="1377"/>
      <c r="BA34" s="1377"/>
      <c r="BB34" s="1377"/>
      <c r="BC34" s="1379"/>
      <c r="BF34" s="924" t="s">
        <v>582</v>
      </c>
    </row>
    <row r="35" spans="5:58" ht="14.65" hidden="1" customHeight="1" x14ac:dyDescent="0.15">
      <c r="E35" s="556">
        <v>15</v>
      </c>
      <c r="F35" s="3" cm="1">
        <f t="array" aca="1" ref="F35" ca="1">OFFSET(E35,-1,1)</f>
        <v>0</v>
      </c>
      <c r="H35" s="17" t="s">
        <v>583</v>
      </c>
      <c r="T35" s="388" t="b" cm="1">
        <f t="array" ref="T35">T34</f>
        <v>0</v>
      </c>
      <c r="X35" s="2032"/>
      <c r="Y35" s="2011"/>
      <c r="AB35" s="159" t="s">
        <v>584</v>
      </c>
      <c r="AC35" s="111" t="s">
        <v>585</v>
      </c>
      <c r="AD35" s="12" t="s">
        <v>563</v>
      </c>
      <c r="AE35" s="1377"/>
      <c r="AF35" s="1377"/>
      <c r="AG35" s="1377"/>
      <c r="AH35" s="1377"/>
      <c r="AI35" s="197"/>
      <c r="AJ35" s="1377"/>
      <c r="AK35" s="1377"/>
      <c r="AL35" s="1377"/>
      <c r="AM35" s="1377"/>
      <c r="AN35" s="1377"/>
      <c r="AO35" s="1377"/>
      <c r="AP35" s="1377"/>
      <c r="AQ35" s="1377"/>
      <c r="AR35" s="1377"/>
      <c r="AS35" s="197"/>
      <c r="AT35" s="1377"/>
      <c r="AU35" s="1377"/>
      <c r="AV35" s="1377"/>
      <c r="AW35" s="1377"/>
      <c r="AX35" s="1377"/>
      <c r="AY35" s="1377"/>
      <c r="AZ35" s="1377"/>
      <c r="BA35" s="1377"/>
      <c r="BB35" s="1377"/>
      <c r="BC35" s="1379"/>
      <c r="BF35" s="924" t="s">
        <v>586</v>
      </c>
    </row>
    <row r="36" spans="5:58" ht="14.65" hidden="1" customHeight="1" x14ac:dyDescent="0.15">
      <c r="E36" s="556">
        <v>15</v>
      </c>
      <c r="F36" s="3" cm="1">
        <f t="array" aca="1" ref="F36" ca="1">OFFSET(E36,-1,1)</f>
        <v>0</v>
      </c>
      <c r="H36" s="17" t="s">
        <v>544</v>
      </c>
      <c r="T36" s="388" t="b" cm="1">
        <f t="array" ref="T36">T35</f>
        <v>0</v>
      </c>
      <c r="X36" s="2032"/>
      <c r="Y36" s="2011"/>
      <c r="AB36" s="159" t="s">
        <v>441</v>
      </c>
      <c r="AC36" s="245" t="s">
        <v>587</v>
      </c>
      <c r="AD36" s="12" t="s">
        <v>563</v>
      </c>
      <c r="AE36" s="1364"/>
      <c r="AF36" s="1364"/>
      <c r="AG36" s="1364"/>
      <c r="AH36" s="1364"/>
      <c r="AI36" s="194"/>
      <c r="AJ36" s="1364"/>
      <c r="AK36" s="1364"/>
      <c r="AL36" s="1364"/>
      <c r="AM36" s="1364"/>
      <c r="AN36" s="1364"/>
      <c r="AO36" s="1364"/>
      <c r="AP36" s="1364"/>
      <c r="AQ36" s="1364"/>
      <c r="AR36" s="1364"/>
      <c r="AS36" s="194"/>
      <c r="AT36" s="1364"/>
      <c r="AU36" s="1364"/>
      <c r="AV36" s="1364"/>
      <c r="AW36" s="1364"/>
      <c r="AX36" s="1364"/>
      <c r="AY36" s="1364"/>
      <c r="AZ36" s="1364"/>
      <c r="BA36" s="1364"/>
      <c r="BB36" s="1364"/>
      <c r="BC36" s="1379"/>
      <c r="BF36" s="924" t="s">
        <v>588</v>
      </c>
    </row>
    <row r="37" spans="5:58" ht="14.65" hidden="1" customHeight="1" x14ac:dyDescent="0.15">
      <c r="E37" s="556">
        <v>15</v>
      </c>
      <c r="F37" s="3" cm="1">
        <f t="array" aca="1" ref="F37" ca="1">OFFSET(E37,-1,1)</f>
        <v>0</v>
      </c>
      <c r="H37" s="17" t="s">
        <v>547</v>
      </c>
      <c r="T37" s="388" t="b" cm="1">
        <f t="array" ref="T37">T36</f>
        <v>0</v>
      </c>
      <c r="X37" s="2032"/>
      <c r="Y37" s="2011"/>
      <c r="AB37" s="159" t="s">
        <v>444</v>
      </c>
      <c r="AC37" s="245" t="s">
        <v>589</v>
      </c>
      <c r="AD37" s="12" t="s">
        <v>563</v>
      </c>
      <c r="AE37" s="1377"/>
      <c r="AF37" s="1377"/>
      <c r="AG37" s="1377"/>
      <c r="AH37" s="1377"/>
      <c r="AI37" s="197"/>
      <c r="AJ37" s="1377"/>
      <c r="AK37" s="1377"/>
      <c r="AL37" s="1377"/>
      <c r="AM37" s="1377"/>
      <c r="AN37" s="1377"/>
      <c r="AO37" s="1377"/>
      <c r="AP37" s="1377"/>
      <c r="AQ37" s="1377"/>
      <c r="AR37" s="1377"/>
      <c r="AS37" s="197"/>
      <c r="AT37" s="1377"/>
      <c r="AU37" s="1377"/>
      <c r="AV37" s="1377"/>
      <c r="AW37" s="1377"/>
      <c r="AX37" s="1377"/>
      <c r="AY37" s="1377"/>
      <c r="AZ37" s="1377"/>
      <c r="BA37" s="1377"/>
      <c r="BB37" s="1377"/>
      <c r="BC37" s="1379"/>
      <c r="BF37" s="924" t="s">
        <v>590</v>
      </c>
    </row>
    <row r="38" spans="5:58" ht="14.65" hidden="1" customHeight="1" x14ac:dyDescent="0.15">
      <c r="E38" s="556">
        <v>15</v>
      </c>
      <c r="F38" s="3" cm="1">
        <f t="array" aca="1" ref="F38" ca="1">OFFSET(E38,-1,1)</f>
        <v>0</v>
      </c>
      <c r="H38" s="17" t="s">
        <v>591</v>
      </c>
      <c r="T38" s="388" t="b" cm="1">
        <f t="array" ref="T38">T37</f>
        <v>0</v>
      </c>
      <c r="X38" s="2032"/>
      <c r="Y38" s="2011"/>
      <c r="AB38" s="159" t="s">
        <v>446</v>
      </c>
      <c r="AC38" s="246" t="s">
        <v>592</v>
      </c>
      <c r="AD38" s="12" t="s">
        <v>563</v>
      </c>
      <c r="AE38" s="232">
        <f t="shared" ref="AE38:BB38" si="4">AE44+AE42</f>
        <v>0</v>
      </c>
      <c r="AF38" s="232">
        <f t="shared" si="4"/>
        <v>0</v>
      </c>
      <c r="AG38" s="232">
        <f t="shared" si="4"/>
        <v>0</v>
      </c>
      <c r="AH38" s="232">
        <f t="shared" si="4"/>
        <v>0</v>
      </c>
      <c r="AI38" s="232">
        <f t="shared" si="4"/>
        <v>0</v>
      </c>
      <c r="AJ38" s="232">
        <f t="shared" si="4"/>
        <v>0</v>
      </c>
      <c r="AK38" s="232">
        <f t="shared" si="4"/>
        <v>0</v>
      </c>
      <c r="AL38" s="232">
        <f t="shared" si="4"/>
        <v>0</v>
      </c>
      <c r="AM38" s="232">
        <f t="shared" si="4"/>
        <v>0</v>
      </c>
      <c r="AN38" s="232">
        <f t="shared" si="4"/>
        <v>0</v>
      </c>
      <c r="AO38" s="232">
        <f t="shared" si="4"/>
        <v>0</v>
      </c>
      <c r="AP38" s="232">
        <f t="shared" si="4"/>
        <v>0</v>
      </c>
      <c r="AQ38" s="232">
        <f t="shared" si="4"/>
        <v>0</v>
      </c>
      <c r="AR38" s="232">
        <f t="shared" si="4"/>
        <v>0</v>
      </c>
      <c r="AS38" s="232">
        <f t="shared" si="4"/>
        <v>0</v>
      </c>
      <c r="AT38" s="232">
        <f t="shared" si="4"/>
        <v>0</v>
      </c>
      <c r="AU38" s="232">
        <f t="shared" si="4"/>
        <v>0</v>
      </c>
      <c r="AV38" s="232">
        <f t="shared" si="4"/>
        <v>0</v>
      </c>
      <c r="AW38" s="232">
        <f t="shared" si="4"/>
        <v>0</v>
      </c>
      <c r="AX38" s="232">
        <f t="shared" si="4"/>
        <v>0</v>
      </c>
      <c r="AY38" s="232">
        <f t="shared" si="4"/>
        <v>0</v>
      </c>
      <c r="AZ38" s="232">
        <f t="shared" si="4"/>
        <v>0</v>
      </c>
      <c r="BA38" s="232">
        <f t="shared" si="4"/>
        <v>0</v>
      </c>
      <c r="BB38" s="232">
        <f t="shared" si="4"/>
        <v>0</v>
      </c>
      <c r="BC38" s="1379"/>
      <c r="BF38" s="924" t="s">
        <v>593</v>
      </c>
    </row>
    <row r="39" spans="5:58" ht="21.95" hidden="1" customHeight="1" x14ac:dyDescent="0.15">
      <c r="E39" s="556">
        <v>22.5</v>
      </c>
      <c r="F39" s="3" cm="1">
        <f t="array" aca="1" ref="F39" ca="1">OFFSET(E39,-1,1)</f>
        <v>0</v>
      </c>
      <c r="H39" s="17" t="s">
        <v>594</v>
      </c>
      <c r="T39" s="388" t="b" cm="1">
        <f t="array" ref="T39">T38</f>
        <v>0</v>
      </c>
      <c r="X39" s="2032"/>
      <c r="Y39" s="2011"/>
      <c r="AB39" s="159" t="s">
        <v>595</v>
      </c>
      <c r="AC39" s="111" t="s">
        <v>596</v>
      </c>
      <c r="AD39" s="12" t="s">
        <v>563</v>
      </c>
      <c r="AE39" s="1377"/>
      <c r="AF39" s="1377"/>
      <c r="AG39" s="1377"/>
      <c r="AH39" s="1377"/>
      <c r="AI39" s="197"/>
      <c r="AJ39" s="1377"/>
      <c r="AK39" s="1377"/>
      <c r="AL39" s="1377"/>
      <c r="AM39" s="1377"/>
      <c r="AN39" s="1377"/>
      <c r="AO39" s="1377"/>
      <c r="AP39" s="1377"/>
      <c r="AQ39" s="1377"/>
      <c r="AR39" s="1377"/>
      <c r="AS39" s="197"/>
      <c r="AT39" s="1377"/>
      <c r="AU39" s="1377"/>
      <c r="AV39" s="1377"/>
      <c r="AW39" s="1377"/>
      <c r="AX39" s="1377"/>
      <c r="AY39" s="1377"/>
      <c r="AZ39" s="1377"/>
      <c r="BA39" s="1377"/>
      <c r="BB39" s="1377"/>
      <c r="BC39" s="1379"/>
      <c r="BF39" s="924" t="s">
        <v>597</v>
      </c>
    </row>
    <row r="40" spans="5:58" ht="14.65" hidden="1" customHeight="1" x14ac:dyDescent="0.15">
      <c r="E40" s="556">
        <v>15</v>
      </c>
      <c r="F40" s="3" cm="1">
        <f t="array" aca="1" ref="F40" ca="1">OFFSET(E40,-1,1)</f>
        <v>0</v>
      </c>
      <c r="H40" s="17" t="s">
        <v>598</v>
      </c>
      <c r="T40" s="388" t="b" cm="1">
        <f t="array" ref="T40">T39</f>
        <v>0</v>
      </c>
      <c r="X40" s="2032"/>
      <c r="Y40" s="2011"/>
      <c r="AB40" s="159" t="s">
        <v>599</v>
      </c>
      <c r="AC40" s="111" t="s">
        <v>600</v>
      </c>
      <c r="AD40" s="12" t="s">
        <v>563</v>
      </c>
      <c r="AE40" s="1377"/>
      <c r="AF40" s="1377"/>
      <c r="AG40" s="1377"/>
      <c r="AH40" s="1377"/>
      <c r="AI40" s="197"/>
      <c r="AJ40" s="1377"/>
      <c r="AK40" s="1377"/>
      <c r="AL40" s="1377"/>
      <c r="AM40" s="1377"/>
      <c r="AN40" s="1377"/>
      <c r="AO40" s="1377"/>
      <c r="AP40" s="1377"/>
      <c r="AQ40" s="1377"/>
      <c r="AR40" s="1377"/>
      <c r="AS40" s="197"/>
      <c r="AT40" s="1377"/>
      <c r="AU40" s="1377"/>
      <c r="AV40" s="1377"/>
      <c r="AW40" s="1377"/>
      <c r="AX40" s="1377"/>
      <c r="AY40" s="1377"/>
      <c r="AZ40" s="1377"/>
      <c r="BA40" s="1377"/>
      <c r="BB40" s="1377"/>
      <c r="BC40" s="1379"/>
      <c r="BF40" s="924" t="s">
        <v>601</v>
      </c>
    </row>
    <row r="41" spans="5:58" ht="21.95" hidden="1" customHeight="1" x14ac:dyDescent="0.15">
      <c r="E41" s="556">
        <v>22.5</v>
      </c>
      <c r="F41" s="3" cm="1">
        <f t="array" aca="1" ref="F41" ca="1">OFFSET(E41,-1,1)</f>
        <v>0</v>
      </c>
      <c r="H41" s="17" t="s">
        <v>602</v>
      </c>
      <c r="T41" s="388" t="b" cm="1">
        <f t="array" ref="T41">T40</f>
        <v>0</v>
      </c>
      <c r="X41" s="2032"/>
      <c r="Y41" s="2011"/>
      <c r="AB41" s="159" t="s">
        <v>603</v>
      </c>
      <c r="AC41" s="111" t="s">
        <v>604</v>
      </c>
      <c r="AD41" s="12" t="s">
        <v>563</v>
      </c>
      <c r="AE41" s="1377"/>
      <c r="AF41" s="1377"/>
      <c r="AG41" s="1377"/>
      <c r="AH41" s="1377"/>
      <c r="AI41" s="197"/>
      <c r="AJ41" s="1377"/>
      <c r="AK41" s="1377"/>
      <c r="AL41" s="1377"/>
      <c r="AM41" s="1377"/>
      <c r="AN41" s="1377"/>
      <c r="AO41" s="1377"/>
      <c r="AP41" s="1377"/>
      <c r="AQ41" s="1377"/>
      <c r="AR41" s="1377"/>
      <c r="AS41" s="197"/>
      <c r="AT41" s="1377"/>
      <c r="AU41" s="1377"/>
      <c r="AV41" s="1377"/>
      <c r="AW41" s="1377"/>
      <c r="AX41" s="1377"/>
      <c r="AY41" s="1377"/>
      <c r="AZ41" s="1377"/>
      <c r="BA41" s="1377"/>
      <c r="BB41" s="1377"/>
      <c r="BC41" s="1379"/>
      <c r="BF41" s="924" t="s">
        <v>605</v>
      </c>
    </row>
    <row r="42" spans="5:58" ht="14.65" hidden="1" customHeight="1" x14ac:dyDescent="0.15">
      <c r="E42" s="556">
        <v>15</v>
      </c>
      <c r="F42" s="3" cm="1">
        <f t="array" aca="1" ref="F42" ca="1">OFFSET(E42,-1,1)</f>
        <v>0</v>
      </c>
      <c r="H42" s="17" t="s">
        <v>606</v>
      </c>
      <c r="T42" s="388" t="b" cm="1">
        <f t="array" ref="T42">T41</f>
        <v>0</v>
      </c>
      <c r="X42" s="2032"/>
      <c r="Y42" s="2011"/>
      <c r="AB42" s="159" t="s">
        <v>448</v>
      </c>
      <c r="AC42" s="245" t="s">
        <v>607</v>
      </c>
      <c r="AD42" s="12" t="s">
        <v>563</v>
      </c>
      <c r="AE42" s="1377"/>
      <c r="AF42" s="1377"/>
      <c r="AG42" s="1377"/>
      <c r="AH42" s="1377"/>
      <c r="AI42" s="197"/>
      <c r="AJ42" s="1377"/>
      <c r="AK42" s="1377"/>
      <c r="AL42" s="1377"/>
      <c r="AM42" s="1377"/>
      <c r="AN42" s="1377"/>
      <c r="AO42" s="1377"/>
      <c r="AP42" s="1377"/>
      <c r="AQ42" s="1377"/>
      <c r="AR42" s="1377"/>
      <c r="AS42" s="197"/>
      <c r="AT42" s="1377"/>
      <c r="AU42" s="1377"/>
      <c r="AV42" s="1377"/>
      <c r="AW42" s="1377"/>
      <c r="AX42" s="1377"/>
      <c r="AY42" s="1377"/>
      <c r="AZ42" s="1377"/>
      <c r="BA42" s="1377"/>
      <c r="BB42" s="1377"/>
      <c r="BC42" s="1379"/>
      <c r="BF42" s="924" t="s">
        <v>608</v>
      </c>
    </row>
    <row r="43" spans="5:58" ht="14.65" hidden="1" customHeight="1" x14ac:dyDescent="0.15">
      <c r="E43" s="556">
        <v>15</v>
      </c>
      <c r="F43" s="3" cm="1">
        <f t="array" aca="1" ref="F43" ca="1">OFFSET(E43,-1,1)</f>
        <v>0</v>
      </c>
      <c r="H43" s="17" t="s">
        <v>609</v>
      </c>
      <c r="T43" s="388" t="b" cm="1">
        <f t="array" ref="T43">T42</f>
        <v>0</v>
      </c>
      <c r="X43" s="2032"/>
      <c r="Y43" s="2011"/>
      <c r="AB43" s="159" t="s">
        <v>610</v>
      </c>
      <c r="AC43" s="247" t="s">
        <v>611</v>
      </c>
      <c r="AD43" s="12" t="s">
        <v>490</v>
      </c>
      <c r="AE43" s="1358">
        <f t="shared" ref="AE43:BB43" si="5">IF(AE38=0,0,AE42/AE38*100)</f>
        <v>0</v>
      </c>
      <c r="AF43" s="1358">
        <f t="shared" si="5"/>
        <v>0</v>
      </c>
      <c r="AG43" s="1358">
        <f t="shared" si="5"/>
        <v>0</v>
      </c>
      <c r="AH43" s="1358">
        <f t="shared" si="5"/>
        <v>0</v>
      </c>
      <c r="AI43" s="60">
        <f t="shared" si="5"/>
        <v>0</v>
      </c>
      <c r="AJ43" s="1358">
        <f t="shared" si="5"/>
        <v>0</v>
      </c>
      <c r="AK43" s="1358">
        <f t="shared" si="5"/>
        <v>0</v>
      </c>
      <c r="AL43" s="1358">
        <f t="shared" si="5"/>
        <v>0</v>
      </c>
      <c r="AM43" s="1358">
        <f t="shared" si="5"/>
        <v>0</v>
      </c>
      <c r="AN43" s="1358">
        <f t="shared" si="5"/>
        <v>0</v>
      </c>
      <c r="AO43" s="1358">
        <f t="shared" si="5"/>
        <v>0</v>
      </c>
      <c r="AP43" s="1358">
        <f t="shared" si="5"/>
        <v>0</v>
      </c>
      <c r="AQ43" s="1358">
        <f t="shared" si="5"/>
        <v>0</v>
      </c>
      <c r="AR43" s="1358">
        <f t="shared" si="5"/>
        <v>0</v>
      </c>
      <c r="AS43" s="60">
        <f t="shared" si="5"/>
        <v>0</v>
      </c>
      <c r="AT43" s="1358">
        <f t="shared" si="5"/>
        <v>0</v>
      </c>
      <c r="AU43" s="1358">
        <f t="shared" si="5"/>
        <v>0</v>
      </c>
      <c r="AV43" s="1358">
        <f t="shared" si="5"/>
        <v>0</v>
      </c>
      <c r="AW43" s="1358">
        <f t="shared" si="5"/>
        <v>0</v>
      </c>
      <c r="AX43" s="1358">
        <f t="shared" si="5"/>
        <v>0</v>
      </c>
      <c r="AY43" s="1358">
        <f t="shared" si="5"/>
        <v>0</v>
      </c>
      <c r="AZ43" s="1358">
        <f t="shared" si="5"/>
        <v>0</v>
      </c>
      <c r="BA43" s="1358">
        <f t="shared" si="5"/>
        <v>0</v>
      </c>
      <c r="BB43" s="1358">
        <f t="shared" si="5"/>
        <v>0</v>
      </c>
      <c r="BC43" s="1379"/>
      <c r="BF43" s="924" t="s">
        <v>612</v>
      </c>
    </row>
    <row r="44" spans="5:58" ht="14.65" hidden="1" customHeight="1" x14ac:dyDescent="0.15">
      <c r="E44" s="556">
        <v>15</v>
      </c>
      <c r="F44" s="3" cm="1">
        <f t="array" aca="1" ref="F44" ca="1">OFFSET(E44,-1,1)</f>
        <v>0</v>
      </c>
      <c r="H44" s="17" t="s">
        <v>613</v>
      </c>
      <c r="T44" s="388" t="b" cm="1">
        <f t="array" ref="T44">T43</f>
        <v>0</v>
      </c>
      <c r="X44" s="2032"/>
      <c r="Y44" s="2011"/>
      <c r="AB44" s="159" t="s">
        <v>450</v>
      </c>
      <c r="AC44" s="245" t="s">
        <v>614</v>
      </c>
      <c r="AD44" s="12" t="s">
        <v>563</v>
      </c>
      <c r="AE44" s="232">
        <f t="shared" ref="AE44:BB44" si="6">AE45+AE49+AE52+AE62</f>
        <v>0</v>
      </c>
      <c r="AF44" s="232">
        <f t="shared" si="6"/>
        <v>0</v>
      </c>
      <c r="AG44" s="232">
        <f t="shared" si="6"/>
        <v>0</v>
      </c>
      <c r="AH44" s="232">
        <f t="shared" si="6"/>
        <v>0</v>
      </c>
      <c r="AI44" s="232">
        <f t="shared" si="6"/>
        <v>0</v>
      </c>
      <c r="AJ44" s="232">
        <f t="shared" si="6"/>
        <v>0</v>
      </c>
      <c r="AK44" s="232">
        <f t="shared" si="6"/>
        <v>0</v>
      </c>
      <c r="AL44" s="232">
        <f t="shared" si="6"/>
        <v>0</v>
      </c>
      <c r="AM44" s="232">
        <f t="shared" si="6"/>
        <v>0</v>
      </c>
      <c r="AN44" s="232">
        <f t="shared" si="6"/>
        <v>0</v>
      </c>
      <c r="AO44" s="232">
        <f t="shared" si="6"/>
        <v>0</v>
      </c>
      <c r="AP44" s="232">
        <f t="shared" si="6"/>
        <v>0</v>
      </c>
      <c r="AQ44" s="232">
        <f t="shared" si="6"/>
        <v>0</v>
      </c>
      <c r="AR44" s="232">
        <f t="shared" si="6"/>
        <v>0</v>
      </c>
      <c r="AS44" s="232">
        <f t="shared" si="6"/>
        <v>0</v>
      </c>
      <c r="AT44" s="232">
        <f t="shared" si="6"/>
        <v>0</v>
      </c>
      <c r="AU44" s="232">
        <f t="shared" si="6"/>
        <v>0</v>
      </c>
      <c r="AV44" s="232">
        <f t="shared" si="6"/>
        <v>0</v>
      </c>
      <c r="AW44" s="232">
        <f t="shared" si="6"/>
        <v>0</v>
      </c>
      <c r="AX44" s="232">
        <f t="shared" si="6"/>
        <v>0</v>
      </c>
      <c r="AY44" s="232">
        <f t="shared" si="6"/>
        <v>0</v>
      </c>
      <c r="AZ44" s="232">
        <f t="shared" si="6"/>
        <v>0</v>
      </c>
      <c r="BA44" s="232">
        <f t="shared" si="6"/>
        <v>0</v>
      </c>
      <c r="BB44" s="232">
        <f t="shared" si="6"/>
        <v>0</v>
      </c>
      <c r="BC44" s="1379"/>
      <c r="BF44" s="924" t="s">
        <v>615</v>
      </c>
    </row>
    <row r="45" spans="5:58" ht="14.65" hidden="1" customHeight="1" x14ac:dyDescent="0.15">
      <c r="E45" s="556">
        <v>15</v>
      </c>
      <c r="F45" s="3" cm="1">
        <f t="array" aca="1" ref="F45" ca="1">OFFSET(E45,-1,1)</f>
        <v>0</v>
      </c>
      <c r="G45" s="17" t="str">
        <f>IF(OwnNeedsInPO="да","ПО","")</f>
        <v>ПО</v>
      </c>
      <c r="H45" s="17" t="s">
        <v>616</v>
      </c>
      <c r="T45" s="388" t="b" cm="1">
        <f t="array" ref="T45">T44</f>
        <v>0</v>
      </c>
      <c r="X45" s="2032"/>
      <c r="Y45" s="2011"/>
      <c r="AB45" s="159" t="s">
        <v>617</v>
      </c>
      <c r="AC45" s="111" t="s">
        <v>618</v>
      </c>
      <c r="AD45" s="12" t="s">
        <v>563</v>
      </c>
      <c r="AE45" s="232">
        <f t="shared" ref="AE45:BB45" si="7">SUM(AE46:AE48)</f>
        <v>0</v>
      </c>
      <c r="AF45" s="232">
        <f t="shared" si="7"/>
        <v>0</v>
      </c>
      <c r="AG45" s="232">
        <f t="shared" si="7"/>
        <v>0</v>
      </c>
      <c r="AH45" s="232">
        <f t="shared" si="7"/>
        <v>0</v>
      </c>
      <c r="AI45" s="232">
        <f t="shared" si="7"/>
        <v>0</v>
      </c>
      <c r="AJ45" s="232">
        <f t="shared" si="7"/>
        <v>0</v>
      </c>
      <c r="AK45" s="232">
        <f t="shared" si="7"/>
        <v>0</v>
      </c>
      <c r="AL45" s="232">
        <f t="shared" si="7"/>
        <v>0</v>
      </c>
      <c r="AM45" s="232">
        <f t="shared" si="7"/>
        <v>0</v>
      </c>
      <c r="AN45" s="232">
        <f t="shared" si="7"/>
        <v>0</v>
      </c>
      <c r="AO45" s="232">
        <f t="shared" si="7"/>
        <v>0</v>
      </c>
      <c r="AP45" s="232">
        <f t="shared" si="7"/>
        <v>0</v>
      </c>
      <c r="AQ45" s="232">
        <f t="shared" si="7"/>
        <v>0</v>
      </c>
      <c r="AR45" s="232">
        <f t="shared" si="7"/>
        <v>0</v>
      </c>
      <c r="AS45" s="232">
        <f t="shared" si="7"/>
        <v>0</v>
      </c>
      <c r="AT45" s="232">
        <f t="shared" si="7"/>
        <v>0</v>
      </c>
      <c r="AU45" s="232">
        <f t="shared" si="7"/>
        <v>0</v>
      </c>
      <c r="AV45" s="232">
        <f t="shared" si="7"/>
        <v>0</v>
      </c>
      <c r="AW45" s="232">
        <f t="shared" si="7"/>
        <v>0</v>
      </c>
      <c r="AX45" s="232">
        <f t="shared" si="7"/>
        <v>0</v>
      </c>
      <c r="AY45" s="232">
        <f t="shared" si="7"/>
        <v>0</v>
      </c>
      <c r="AZ45" s="232">
        <f t="shared" si="7"/>
        <v>0</v>
      </c>
      <c r="BA45" s="232">
        <f t="shared" si="7"/>
        <v>0</v>
      </c>
      <c r="BB45" s="232">
        <f t="shared" si="7"/>
        <v>0</v>
      </c>
      <c r="BC45" s="1379"/>
      <c r="BF45" s="924" t="s">
        <v>619</v>
      </c>
    </row>
    <row r="46" spans="5:58" ht="14.65" hidden="1" customHeight="1" x14ac:dyDescent="0.15">
      <c r="E46" s="556">
        <v>15</v>
      </c>
      <c r="F46" s="3" cm="1">
        <f t="array" aca="1" ref="F46" ca="1">OFFSET(E46,-1,1)</f>
        <v>0</v>
      </c>
      <c r="H46" s="17" t="s">
        <v>620</v>
      </c>
      <c r="T46" s="388" t="b" cm="1">
        <f t="array" ref="T46">T45</f>
        <v>0</v>
      </c>
      <c r="X46" s="2032"/>
      <c r="Y46" s="2011"/>
      <c r="AB46" s="159" t="s">
        <v>621</v>
      </c>
      <c r="AC46" s="248" t="s">
        <v>622</v>
      </c>
      <c r="AD46" s="12" t="s">
        <v>563</v>
      </c>
      <c r="AE46" s="1377"/>
      <c r="AF46" s="1377"/>
      <c r="AG46" s="1377"/>
      <c r="AH46" s="1377"/>
      <c r="AI46" s="197"/>
      <c r="AJ46" s="1377"/>
      <c r="AK46" s="1377"/>
      <c r="AL46" s="1377"/>
      <c r="AM46" s="1377"/>
      <c r="AN46" s="1377"/>
      <c r="AO46" s="1377"/>
      <c r="AP46" s="1377"/>
      <c r="AQ46" s="1377"/>
      <c r="AR46" s="1377"/>
      <c r="AS46" s="197"/>
      <c r="AT46" s="1377"/>
      <c r="AU46" s="1377"/>
      <c r="AV46" s="1377"/>
      <c r="AW46" s="1377"/>
      <c r="AX46" s="1377"/>
      <c r="AY46" s="1377"/>
      <c r="AZ46" s="1377"/>
      <c r="BA46" s="1377"/>
      <c r="BB46" s="1377"/>
      <c r="BC46" s="1379"/>
      <c r="BF46" s="924" t="s">
        <v>623</v>
      </c>
    </row>
    <row r="47" spans="5:58" ht="14.65" hidden="1" customHeight="1" x14ac:dyDescent="0.15">
      <c r="E47" s="556">
        <v>15</v>
      </c>
      <c r="F47" s="3" cm="1">
        <f t="array" aca="1" ref="F47" ca="1">OFFSET(E47,-1,1)</f>
        <v>0</v>
      </c>
      <c r="H47" s="17" t="s">
        <v>624</v>
      </c>
      <c r="T47" s="388" t="b" cm="1">
        <f t="array" ref="T47">T46</f>
        <v>0</v>
      </c>
      <c r="X47" s="2032"/>
      <c r="Y47" s="2011"/>
      <c r="AB47" s="159" t="s">
        <v>625</v>
      </c>
      <c r="AC47" s="248" t="s">
        <v>626</v>
      </c>
      <c r="AD47" s="12" t="s">
        <v>563</v>
      </c>
      <c r="AE47" s="1377"/>
      <c r="AF47" s="1377"/>
      <c r="AG47" s="1377"/>
      <c r="AH47" s="1377"/>
      <c r="AI47" s="197"/>
      <c r="AJ47" s="1377"/>
      <c r="AK47" s="1377"/>
      <c r="AL47" s="1377"/>
      <c r="AM47" s="1377"/>
      <c r="AN47" s="1377"/>
      <c r="AO47" s="1377"/>
      <c r="AP47" s="1377"/>
      <c r="AQ47" s="1377"/>
      <c r="AR47" s="1377"/>
      <c r="AS47" s="197"/>
      <c r="AT47" s="1377"/>
      <c r="AU47" s="1377"/>
      <c r="AV47" s="1377"/>
      <c r="AW47" s="1377"/>
      <c r="AX47" s="1377"/>
      <c r="AY47" s="1377"/>
      <c r="AZ47" s="1377"/>
      <c r="BA47" s="1377"/>
      <c r="BB47" s="1377"/>
      <c r="BC47" s="1379"/>
      <c r="BF47" s="924" t="s">
        <v>627</v>
      </c>
    </row>
    <row r="48" spans="5:58" ht="14.65" hidden="1" customHeight="1" x14ac:dyDescent="0.15">
      <c r="E48" s="556">
        <v>15</v>
      </c>
      <c r="F48" s="3" cm="1">
        <f t="array" aca="1" ref="F48" ca="1">OFFSET(E48,-1,1)</f>
        <v>0</v>
      </c>
      <c r="H48" s="17" t="s">
        <v>628</v>
      </c>
      <c r="T48" s="388" t="b" cm="1">
        <f t="array" ref="T48">T47</f>
        <v>0</v>
      </c>
      <c r="X48" s="2032"/>
      <c r="Y48" s="2011"/>
      <c r="AB48" s="159" t="s">
        <v>629</v>
      </c>
      <c r="AC48" s="248" t="s">
        <v>630</v>
      </c>
      <c r="AD48" s="12" t="s">
        <v>563</v>
      </c>
      <c r="AE48" s="1377"/>
      <c r="AF48" s="1377"/>
      <c r="AG48" s="1377"/>
      <c r="AH48" s="1377"/>
      <c r="AI48" s="197"/>
      <c r="AJ48" s="1377"/>
      <c r="AK48" s="1377"/>
      <c r="AL48" s="1377"/>
      <c r="AM48" s="1377"/>
      <c r="AN48" s="1377"/>
      <c r="AO48" s="1377"/>
      <c r="AP48" s="1377"/>
      <c r="AQ48" s="1377"/>
      <c r="AR48" s="1377"/>
      <c r="AS48" s="197"/>
      <c r="AT48" s="1377"/>
      <c r="AU48" s="1377"/>
      <c r="AV48" s="1377"/>
      <c r="AW48" s="1377"/>
      <c r="AX48" s="1377"/>
      <c r="AY48" s="1377"/>
      <c r="AZ48" s="1377"/>
      <c r="BA48" s="1377"/>
      <c r="BB48" s="1377"/>
      <c r="BC48" s="1379"/>
      <c r="BF48" s="924" t="s">
        <v>631</v>
      </c>
    </row>
    <row r="49" spans="1:58" ht="14.65" hidden="1" customHeight="1" x14ac:dyDescent="0.15">
      <c r="E49" s="556">
        <v>15</v>
      </c>
      <c r="F49" s="3" cm="1">
        <f t="array" aca="1" ref="F49" ca="1">OFFSET(E49,-1,1)</f>
        <v>0</v>
      </c>
      <c r="G49" s="17" t="s">
        <v>632</v>
      </c>
      <c r="H49" s="17" t="s">
        <v>633</v>
      </c>
      <c r="T49" s="388" t="b" cm="1">
        <f t="array" ref="T49">T48</f>
        <v>0</v>
      </c>
      <c r="X49" s="2032"/>
      <c r="Y49" s="2011"/>
      <c r="AB49" s="159" t="s">
        <v>634</v>
      </c>
      <c r="AC49" s="111" t="s">
        <v>635</v>
      </c>
      <c r="AD49" s="12" t="s">
        <v>563</v>
      </c>
      <c r="AE49" s="232">
        <f t="shared" ref="AE49:BB49" si="8">SUM(AE50:AE51)</f>
        <v>0</v>
      </c>
      <c r="AF49" s="232">
        <f t="shared" si="8"/>
        <v>0</v>
      </c>
      <c r="AG49" s="232">
        <f t="shared" si="8"/>
        <v>0</v>
      </c>
      <c r="AH49" s="232">
        <f t="shared" si="8"/>
        <v>0</v>
      </c>
      <c r="AI49" s="232">
        <f t="shared" si="8"/>
        <v>0</v>
      </c>
      <c r="AJ49" s="232">
        <f t="shared" si="8"/>
        <v>0</v>
      </c>
      <c r="AK49" s="232">
        <f t="shared" si="8"/>
        <v>0</v>
      </c>
      <c r="AL49" s="232">
        <f t="shared" si="8"/>
        <v>0</v>
      </c>
      <c r="AM49" s="232">
        <f t="shared" si="8"/>
        <v>0</v>
      </c>
      <c r="AN49" s="232">
        <f t="shared" si="8"/>
        <v>0</v>
      </c>
      <c r="AO49" s="232">
        <f t="shared" si="8"/>
        <v>0</v>
      </c>
      <c r="AP49" s="232">
        <f t="shared" si="8"/>
        <v>0</v>
      </c>
      <c r="AQ49" s="232">
        <f t="shared" si="8"/>
        <v>0</v>
      </c>
      <c r="AR49" s="232">
        <f t="shared" si="8"/>
        <v>0</v>
      </c>
      <c r="AS49" s="232">
        <f t="shared" si="8"/>
        <v>0</v>
      </c>
      <c r="AT49" s="232">
        <f t="shared" si="8"/>
        <v>0</v>
      </c>
      <c r="AU49" s="232">
        <f t="shared" si="8"/>
        <v>0</v>
      </c>
      <c r="AV49" s="232">
        <f t="shared" si="8"/>
        <v>0</v>
      </c>
      <c r="AW49" s="232">
        <f t="shared" si="8"/>
        <v>0</v>
      </c>
      <c r="AX49" s="232">
        <f t="shared" si="8"/>
        <v>0</v>
      </c>
      <c r="AY49" s="232">
        <f t="shared" si="8"/>
        <v>0</v>
      </c>
      <c r="AZ49" s="232">
        <f t="shared" si="8"/>
        <v>0</v>
      </c>
      <c r="BA49" s="232">
        <f t="shared" si="8"/>
        <v>0</v>
      </c>
      <c r="BB49" s="232">
        <f t="shared" si="8"/>
        <v>0</v>
      </c>
      <c r="BC49" s="1379"/>
      <c r="BF49" s="924" t="s">
        <v>636</v>
      </c>
    </row>
    <row r="50" spans="1:58" ht="14.65" hidden="1" customHeight="1" x14ac:dyDescent="0.15">
      <c r="E50" s="556">
        <v>15</v>
      </c>
      <c r="F50" s="3" cm="1">
        <f t="array" aca="1" ref="F50" ca="1">OFFSET(E50,-1,1)</f>
        <v>0</v>
      </c>
      <c r="H50" s="17" t="s">
        <v>637</v>
      </c>
      <c r="T50" s="388" t="b" cm="1">
        <f t="array" ref="T50">T49</f>
        <v>0</v>
      </c>
      <c r="X50" s="2032"/>
      <c r="Y50" s="2011"/>
      <c r="AB50" s="159" t="s">
        <v>638</v>
      </c>
      <c r="AC50" s="248" t="s">
        <v>639</v>
      </c>
      <c r="AD50" s="12" t="s">
        <v>563</v>
      </c>
      <c r="AE50" s="1377"/>
      <c r="AF50" s="1377"/>
      <c r="AG50" s="1377"/>
      <c r="AH50" s="1377"/>
      <c r="AI50" s="197"/>
      <c r="AJ50" s="1377"/>
      <c r="AK50" s="1377"/>
      <c r="AL50" s="1377"/>
      <c r="AM50" s="1377"/>
      <c r="AN50" s="1377"/>
      <c r="AO50" s="1377"/>
      <c r="AP50" s="1377"/>
      <c r="AQ50" s="1377"/>
      <c r="AR50" s="1377"/>
      <c r="AS50" s="197"/>
      <c r="AT50" s="1377"/>
      <c r="AU50" s="1377"/>
      <c r="AV50" s="1377"/>
      <c r="AW50" s="1377"/>
      <c r="AX50" s="1377"/>
      <c r="AY50" s="1377"/>
      <c r="AZ50" s="1377"/>
      <c r="BA50" s="1377"/>
      <c r="BB50" s="1377"/>
      <c r="BC50" s="1379"/>
      <c r="BF50" s="924" t="s">
        <v>640</v>
      </c>
    </row>
    <row r="51" spans="1:58" ht="14.65" hidden="1" customHeight="1" x14ac:dyDescent="0.15">
      <c r="E51" s="556">
        <v>15</v>
      </c>
      <c r="F51" s="3" cm="1">
        <f t="array" aca="1" ref="F51" ca="1">OFFSET(E51,-1,1)</f>
        <v>0</v>
      </c>
      <c r="H51" s="17" t="s">
        <v>641</v>
      </c>
      <c r="T51" s="388" t="b" cm="1">
        <f t="array" ref="T51">T50</f>
        <v>0</v>
      </c>
      <c r="X51" s="2032"/>
      <c r="Y51" s="2011"/>
      <c r="AB51" s="159" t="s">
        <v>642</v>
      </c>
      <c r="AC51" s="248" t="s">
        <v>643</v>
      </c>
      <c r="AD51" s="12" t="s">
        <v>563</v>
      </c>
      <c r="AE51" s="1377"/>
      <c r="AF51" s="1377"/>
      <c r="AG51" s="1377"/>
      <c r="AH51" s="1377"/>
      <c r="AI51" s="197"/>
      <c r="AJ51" s="1377"/>
      <c r="AK51" s="1377"/>
      <c r="AL51" s="1377"/>
      <c r="AM51" s="1377"/>
      <c r="AN51" s="1377"/>
      <c r="AO51" s="1377"/>
      <c r="AP51" s="1377"/>
      <c r="AQ51" s="1377"/>
      <c r="AR51" s="1377"/>
      <c r="AS51" s="197"/>
      <c r="AT51" s="1377"/>
      <c r="AU51" s="1377"/>
      <c r="AV51" s="1377"/>
      <c r="AW51" s="1377"/>
      <c r="AX51" s="1377"/>
      <c r="AY51" s="1377"/>
      <c r="AZ51" s="1377"/>
      <c r="BA51" s="1377"/>
      <c r="BB51" s="1377"/>
      <c r="BC51" s="1379"/>
      <c r="BF51" s="924" t="s">
        <v>644</v>
      </c>
    </row>
    <row r="52" spans="1:58" ht="14.65" hidden="1" customHeight="1" x14ac:dyDescent="0.15">
      <c r="E52" s="556">
        <v>15</v>
      </c>
      <c r="F52" s="3" cm="1">
        <f t="array" aca="1" ref="F52" ca="1">OFFSET(E52,-1,1)</f>
        <v>0</v>
      </c>
      <c r="G52" s="17" t="s">
        <v>632</v>
      </c>
      <c r="H52" s="17" t="s">
        <v>645</v>
      </c>
      <c r="T52" s="388" t="b" cm="1">
        <f t="array" ref="T52">T51</f>
        <v>0</v>
      </c>
      <c r="X52" s="2032"/>
      <c r="Y52" s="2011"/>
      <c r="AB52" s="159" t="s">
        <v>646</v>
      </c>
      <c r="AC52" s="111" t="s">
        <v>647</v>
      </c>
      <c r="AD52" s="12" t="s">
        <v>563</v>
      </c>
      <c r="AE52" s="232">
        <f t="shared" ref="AE52:BB52" si="9">AE53+AE56+AE59</f>
        <v>0</v>
      </c>
      <c r="AF52" s="232">
        <f t="shared" si="9"/>
        <v>0</v>
      </c>
      <c r="AG52" s="232">
        <f t="shared" si="9"/>
        <v>0</v>
      </c>
      <c r="AH52" s="232">
        <f t="shared" si="9"/>
        <v>0</v>
      </c>
      <c r="AI52" s="232">
        <f t="shared" si="9"/>
        <v>0</v>
      </c>
      <c r="AJ52" s="232">
        <f t="shared" si="9"/>
        <v>0</v>
      </c>
      <c r="AK52" s="232">
        <f t="shared" si="9"/>
        <v>0</v>
      </c>
      <c r="AL52" s="232">
        <f t="shared" si="9"/>
        <v>0</v>
      </c>
      <c r="AM52" s="232">
        <f t="shared" si="9"/>
        <v>0</v>
      </c>
      <c r="AN52" s="232">
        <f t="shared" si="9"/>
        <v>0</v>
      </c>
      <c r="AO52" s="232">
        <f t="shared" si="9"/>
        <v>0</v>
      </c>
      <c r="AP52" s="232">
        <f t="shared" si="9"/>
        <v>0</v>
      </c>
      <c r="AQ52" s="232">
        <f t="shared" si="9"/>
        <v>0</v>
      </c>
      <c r="AR52" s="232">
        <f t="shared" si="9"/>
        <v>0</v>
      </c>
      <c r="AS52" s="232">
        <f t="shared" si="9"/>
        <v>0</v>
      </c>
      <c r="AT52" s="232">
        <f t="shared" si="9"/>
        <v>0</v>
      </c>
      <c r="AU52" s="232">
        <f t="shared" si="9"/>
        <v>0</v>
      </c>
      <c r="AV52" s="232">
        <f t="shared" si="9"/>
        <v>0</v>
      </c>
      <c r="AW52" s="232">
        <f t="shared" si="9"/>
        <v>0</v>
      </c>
      <c r="AX52" s="232">
        <f t="shared" si="9"/>
        <v>0</v>
      </c>
      <c r="AY52" s="232">
        <f t="shared" si="9"/>
        <v>0</v>
      </c>
      <c r="AZ52" s="232">
        <f t="shared" si="9"/>
        <v>0</v>
      </c>
      <c r="BA52" s="232">
        <f t="shared" si="9"/>
        <v>0</v>
      </c>
      <c r="BB52" s="232">
        <f t="shared" si="9"/>
        <v>0</v>
      </c>
      <c r="BC52" s="1379"/>
      <c r="BF52" s="924" t="s">
        <v>648</v>
      </c>
    </row>
    <row r="53" spans="1:58" ht="14.65" hidden="1" customHeight="1" x14ac:dyDescent="0.15">
      <c r="E53" s="556">
        <v>15</v>
      </c>
      <c r="F53" s="3" cm="1">
        <f t="array" aca="1" ref="F53" ca="1">OFFSET(E53,-1,1)</f>
        <v>0</v>
      </c>
      <c r="H53" s="17" t="s">
        <v>649</v>
      </c>
      <c r="T53" s="388" t="b" cm="1">
        <f t="array" ref="T53">T52</f>
        <v>0</v>
      </c>
      <c r="X53" s="2032"/>
      <c r="Y53" s="2011"/>
      <c r="AB53" s="159" t="s">
        <v>650</v>
      </c>
      <c r="AC53" s="248" t="s">
        <v>651</v>
      </c>
      <c r="AD53" s="12" t="s">
        <v>563</v>
      </c>
      <c r="AE53" s="232">
        <f t="shared" ref="AE53:BB53" si="10">SUM(AE54:AE55)</f>
        <v>0</v>
      </c>
      <c r="AF53" s="232">
        <f t="shared" si="10"/>
        <v>0</v>
      </c>
      <c r="AG53" s="232">
        <f t="shared" si="10"/>
        <v>0</v>
      </c>
      <c r="AH53" s="232">
        <f t="shared" si="10"/>
        <v>0</v>
      </c>
      <c r="AI53" s="232">
        <f t="shared" si="10"/>
        <v>0</v>
      </c>
      <c r="AJ53" s="232">
        <f t="shared" si="10"/>
        <v>0</v>
      </c>
      <c r="AK53" s="232">
        <f t="shared" si="10"/>
        <v>0</v>
      </c>
      <c r="AL53" s="232">
        <f t="shared" si="10"/>
        <v>0</v>
      </c>
      <c r="AM53" s="232">
        <f t="shared" si="10"/>
        <v>0</v>
      </c>
      <c r="AN53" s="232">
        <f t="shared" si="10"/>
        <v>0</v>
      </c>
      <c r="AO53" s="232">
        <f t="shared" si="10"/>
        <v>0</v>
      </c>
      <c r="AP53" s="232">
        <f t="shared" si="10"/>
        <v>0</v>
      </c>
      <c r="AQ53" s="232">
        <f t="shared" si="10"/>
        <v>0</v>
      </c>
      <c r="AR53" s="232">
        <f t="shared" si="10"/>
        <v>0</v>
      </c>
      <c r="AS53" s="232">
        <f t="shared" si="10"/>
        <v>0</v>
      </c>
      <c r="AT53" s="232">
        <f t="shared" si="10"/>
        <v>0</v>
      </c>
      <c r="AU53" s="232">
        <f t="shared" si="10"/>
        <v>0</v>
      </c>
      <c r="AV53" s="232">
        <f t="shared" si="10"/>
        <v>0</v>
      </c>
      <c r="AW53" s="232">
        <f t="shared" si="10"/>
        <v>0</v>
      </c>
      <c r="AX53" s="232">
        <f t="shared" si="10"/>
        <v>0</v>
      </c>
      <c r="AY53" s="232">
        <f t="shared" si="10"/>
        <v>0</v>
      </c>
      <c r="AZ53" s="232">
        <f t="shared" si="10"/>
        <v>0</v>
      </c>
      <c r="BA53" s="232">
        <f t="shared" si="10"/>
        <v>0</v>
      </c>
      <c r="BB53" s="232">
        <f t="shared" si="10"/>
        <v>0</v>
      </c>
      <c r="BC53" s="1379"/>
      <c r="BF53" s="924" t="s">
        <v>652</v>
      </c>
    </row>
    <row r="54" spans="1:58" ht="14.65" hidden="1" customHeight="1" x14ac:dyDescent="0.15">
      <c r="E54" s="556">
        <v>15</v>
      </c>
      <c r="F54" s="3" cm="1">
        <f t="array" aca="1" ref="F54" ca="1">OFFSET(E54,-1,1)</f>
        <v>0</v>
      </c>
      <c r="H54" s="17" t="s">
        <v>653</v>
      </c>
      <c r="T54" s="388" t="b" cm="1">
        <f t="array" ref="T54">T53</f>
        <v>0</v>
      </c>
      <c r="X54" s="2032"/>
      <c r="Y54" s="2011"/>
      <c r="AB54" s="159" t="s">
        <v>654</v>
      </c>
      <c r="AC54" s="249" t="s">
        <v>639</v>
      </c>
      <c r="AD54" s="12" t="s">
        <v>563</v>
      </c>
      <c r="AE54" s="1377"/>
      <c r="AF54" s="1377"/>
      <c r="AG54" s="1377"/>
      <c r="AH54" s="1377"/>
      <c r="AI54" s="197"/>
      <c r="AJ54" s="1377"/>
      <c r="AK54" s="1377"/>
      <c r="AL54" s="1377"/>
      <c r="AM54" s="1377"/>
      <c r="AN54" s="1377"/>
      <c r="AO54" s="1377"/>
      <c r="AP54" s="1377"/>
      <c r="AQ54" s="1377"/>
      <c r="AR54" s="1377"/>
      <c r="AS54" s="197"/>
      <c r="AT54" s="1377"/>
      <c r="AU54" s="1377"/>
      <c r="AV54" s="1377"/>
      <c r="AW54" s="1377"/>
      <c r="AX54" s="1377"/>
      <c r="AY54" s="1377"/>
      <c r="AZ54" s="1377"/>
      <c r="BA54" s="1377"/>
      <c r="BB54" s="1377"/>
      <c r="BC54" s="1379"/>
      <c r="BF54" s="924" t="s">
        <v>655</v>
      </c>
    </row>
    <row r="55" spans="1:58" ht="14.65" hidden="1" customHeight="1" x14ac:dyDescent="0.15">
      <c r="E55" s="556">
        <v>15</v>
      </c>
      <c r="F55" s="3" cm="1">
        <f t="array" aca="1" ref="F55" ca="1">OFFSET(E55,-1,1)</f>
        <v>0</v>
      </c>
      <c r="H55" s="17" t="s">
        <v>656</v>
      </c>
      <c r="T55" s="388" t="b" cm="1">
        <f t="array" ref="T55">T54</f>
        <v>0</v>
      </c>
      <c r="X55" s="2032"/>
      <c r="Y55" s="2011"/>
      <c r="AB55" s="159" t="s">
        <v>657</v>
      </c>
      <c r="AC55" s="249" t="s">
        <v>643</v>
      </c>
      <c r="AD55" s="12" t="s">
        <v>563</v>
      </c>
      <c r="AE55" s="1377"/>
      <c r="AF55" s="1377"/>
      <c r="AG55" s="1377"/>
      <c r="AH55" s="1377"/>
      <c r="AI55" s="197"/>
      <c r="AJ55" s="1377"/>
      <c r="AK55" s="1377"/>
      <c r="AL55" s="1377"/>
      <c r="AM55" s="1377"/>
      <c r="AN55" s="1377"/>
      <c r="AO55" s="1377"/>
      <c r="AP55" s="1377"/>
      <c r="AQ55" s="1377"/>
      <c r="AR55" s="1377"/>
      <c r="AS55" s="197"/>
      <c r="AT55" s="1377"/>
      <c r="AU55" s="1377"/>
      <c r="AV55" s="1377"/>
      <c r="AW55" s="1377"/>
      <c r="AX55" s="1377"/>
      <c r="AY55" s="1377"/>
      <c r="AZ55" s="1377"/>
      <c r="BA55" s="1377"/>
      <c r="BB55" s="1377"/>
      <c r="BC55" s="1379"/>
      <c r="BF55" s="924" t="s">
        <v>658</v>
      </c>
    </row>
    <row r="56" spans="1:58" ht="14.65" hidden="1" customHeight="1" x14ac:dyDescent="0.15">
      <c r="E56" s="556">
        <v>15</v>
      </c>
      <c r="F56" s="3" cm="1">
        <f t="array" aca="1" ref="F56" ca="1">OFFSET(E56,-1,1)</f>
        <v>0</v>
      </c>
      <c r="G56" s="17" t="s">
        <v>659</v>
      </c>
      <c r="H56" s="17" t="s">
        <v>660</v>
      </c>
      <c r="T56" s="388" t="b" cm="1">
        <f t="array" ref="T56">T55</f>
        <v>0</v>
      </c>
      <c r="X56" s="2032"/>
      <c r="Y56" s="2011"/>
      <c r="AB56" s="159" t="s">
        <v>661</v>
      </c>
      <c r="AC56" s="248" t="s">
        <v>662</v>
      </c>
      <c r="AD56" s="12" t="s">
        <v>563</v>
      </c>
      <c r="AE56" s="232">
        <f t="shared" ref="AE56:BB56" si="11">SUM(AE57:AE58)</f>
        <v>0</v>
      </c>
      <c r="AF56" s="232">
        <f t="shared" si="11"/>
        <v>0</v>
      </c>
      <c r="AG56" s="232">
        <f t="shared" si="11"/>
        <v>0</v>
      </c>
      <c r="AH56" s="232">
        <f t="shared" si="11"/>
        <v>0</v>
      </c>
      <c r="AI56" s="232">
        <f t="shared" si="11"/>
        <v>0</v>
      </c>
      <c r="AJ56" s="232">
        <f t="shared" si="11"/>
        <v>0</v>
      </c>
      <c r="AK56" s="232">
        <f t="shared" si="11"/>
        <v>0</v>
      </c>
      <c r="AL56" s="232">
        <f t="shared" si="11"/>
        <v>0</v>
      </c>
      <c r="AM56" s="232">
        <f t="shared" si="11"/>
        <v>0</v>
      </c>
      <c r="AN56" s="232">
        <f t="shared" si="11"/>
        <v>0</v>
      </c>
      <c r="AO56" s="232">
        <f t="shared" si="11"/>
        <v>0</v>
      </c>
      <c r="AP56" s="232">
        <f t="shared" si="11"/>
        <v>0</v>
      </c>
      <c r="AQ56" s="232">
        <f t="shared" si="11"/>
        <v>0</v>
      </c>
      <c r="AR56" s="232">
        <f t="shared" si="11"/>
        <v>0</v>
      </c>
      <c r="AS56" s="232">
        <f t="shared" si="11"/>
        <v>0</v>
      </c>
      <c r="AT56" s="232">
        <f t="shared" si="11"/>
        <v>0</v>
      </c>
      <c r="AU56" s="232">
        <f t="shared" si="11"/>
        <v>0</v>
      </c>
      <c r="AV56" s="232">
        <f t="shared" si="11"/>
        <v>0</v>
      </c>
      <c r="AW56" s="232">
        <f t="shared" si="11"/>
        <v>0</v>
      </c>
      <c r="AX56" s="232">
        <f t="shared" si="11"/>
        <v>0</v>
      </c>
      <c r="AY56" s="232">
        <f t="shared" si="11"/>
        <v>0</v>
      </c>
      <c r="AZ56" s="232">
        <f t="shared" si="11"/>
        <v>0</v>
      </c>
      <c r="BA56" s="232">
        <f t="shared" si="11"/>
        <v>0</v>
      </c>
      <c r="BB56" s="232">
        <f t="shared" si="11"/>
        <v>0</v>
      </c>
      <c r="BC56" s="1379"/>
      <c r="BF56" s="924" t="s">
        <v>663</v>
      </c>
    </row>
    <row r="57" spans="1:58" ht="14.65" hidden="1" customHeight="1" x14ac:dyDescent="0.15">
      <c r="E57" s="556">
        <v>15</v>
      </c>
      <c r="F57" s="3" cm="1">
        <f t="array" aca="1" ref="F57" ca="1">OFFSET(E57,-1,1)</f>
        <v>0</v>
      </c>
      <c r="H57" s="17" t="s">
        <v>664</v>
      </c>
      <c r="T57" s="388" t="b" cm="1">
        <f t="array" ref="T57">T56</f>
        <v>0</v>
      </c>
      <c r="X57" s="2032"/>
      <c r="Y57" s="2011"/>
      <c r="AB57" s="159" t="s">
        <v>665</v>
      </c>
      <c r="AC57" s="249" t="s">
        <v>639</v>
      </c>
      <c r="AD57" s="12" t="s">
        <v>563</v>
      </c>
      <c r="AE57" s="1377"/>
      <c r="AF57" s="1377"/>
      <c r="AG57" s="1377"/>
      <c r="AH57" s="1377"/>
      <c r="AI57" s="197"/>
      <c r="AJ57" s="1377"/>
      <c r="AK57" s="1377"/>
      <c r="AL57" s="1377"/>
      <c r="AM57" s="1377"/>
      <c r="AN57" s="1377"/>
      <c r="AO57" s="1377"/>
      <c r="AP57" s="1377"/>
      <c r="AQ57" s="1377"/>
      <c r="AR57" s="1377"/>
      <c r="AS57" s="197"/>
      <c r="AT57" s="1377"/>
      <c r="AU57" s="1377"/>
      <c r="AV57" s="1377"/>
      <c r="AW57" s="1377"/>
      <c r="AX57" s="1377"/>
      <c r="AY57" s="1377"/>
      <c r="AZ57" s="1377"/>
      <c r="BA57" s="1377"/>
      <c r="BB57" s="1377"/>
      <c r="BC57" s="1379"/>
      <c r="BF57" s="924" t="s">
        <v>666</v>
      </c>
    </row>
    <row r="58" spans="1:58" ht="14.65" hidden="1" customHeight="1" x14ac:dyDescent="0.15">
      <c r="E58" s="556">
        <v>15</v>
      </c>
      <c r="F58" s="3" cm="1">
        <f t="array" aca="1" ref="F58" ca="1">OFFSET(E58,-1,1)</f>
        <v>0</v>
      </c>
      <c r="H58" s="17" t="s">
        <v>667</v>
      </c>
      <c r="T58" s="388" t="b" cm="1">
        <f t="array" ref="T58">T57</f>
        <v>0</v>
      </c>
      <c r="X58" s="2032"/>
      <c r="Y58" s="2011"/>
      <c r="AB58" s="159" t="s">
        <v>668</v>
      </c>
      <c r="AC58" s="249" t="s">
        <v>643</v>
      </c>
      <c r="AD58" s="12" t="s">
        <v>563</v>
      </c>
      <c r="AE58" s="1377"/>
      <c r="AF58" s="1377"/>
      <c r="AG58" s="1377"/>
      <c r="AH58" s="1377"/>
      <c r="AI58" s="197"/>
      <c r="AJ58" s="1377"/>
      <c r="AK58" s="1377"/>
      <c r="AL58" s="1377"/>
      <c r="AM58" s="1377"/>
      <c r="AN58" s="1377"/>
      <c r="AO58" s="1377"/>
      <c r="AP58" s="1377"/>
      <c r="AQ58" s="1377"/>
      <c r="AR58" s="1377"/>
      <c r="AS58" s="197"/>
      <c r="AT58" s="1377"/>
      <c r="AU58" s="1377"/>
      <c r="AV58" s="1377"/>
      <c r="AW58" s="1377"/>
      <c r="AX58" s="1377"/>
      <c r="AY58" s="1377"/>
      <c r="AZ58" s="1377"/>
      <c r="BA58" s="1377"/>
      <c r="BB58" s="1377"/>
      <c r="BC58" s="1379"/>
      <c r="BF58" s="924" t="s">
        <v>669</v>
      </c>
    </row>
    <row r="59" spans="1:58" ht="14.65" hidden="1" customHeight="1" x14ac:dyDescent="0.15">
      <c r="E59" s="556">
        <v>15</v>
      </c>
      <c r="F59" s="3" cm="1">
        <f t="array" aca="1" ref="F59" ca="1">OFFSET(E59,-1,1)</f>
        <v>0</v>
      </c>
      <c r="H59" s="17" t="s">
        <v>670</v>
      </c>
      <c r="T59" s="388" t="b" cm="1">
        <f t="array" ref="T59">T58</f>
        <v>0</v>
      </c>
      <c r="X59" s="2032"/>
      <c r="Y59" s="2011"/>
      <c r="AB59" s="159" t="s">
        <v>671</v>
      </c>
      <c r="AC59" s="248" t="s">
        <v>672</v>
      </c>
      <c r="AD59" s="12" t="s">
        <v>563</v>
      </c>
      <c r="AE59" s="232">
        <f t="shared" ref="AE59:BB59" si="12">SUM(AE60:AE61)</f>
        <v>0</v>
      </c>
      <c r="AF59" s="232">
        <f t="shared" si="12"/>
        <v>0</v>
      </c>
      <c r="AG59" s="232">
        <f t="shared" si="12"/>
        <v>0</v>
      </c>
      <c r="AH59" s="232">
        <f t="shared" si="12"/>
        <v>0</v>
      </c>
      <c r="AI59" s="232">
        <f t="shared" si="12"/>
        <v>0</v>
      </c>
      <c r="AJ59" s="232">
        <f t="shared" si="12"/>
        <v>0</v>
      </c>
      <c r="AK59" s="232">
        <f t="shared" si="12"/>
        <v>0</v>
      </c>
      <c r="AL59" s="232">
        <f t="shared" si="12"/>
        <v>0</v>
      </c>
      <c r="AM59" s="232">
        <f t="shared" si="12"/>
        <v>0</v>
      </c>
      <c r="AN59" s="232">
        <f t="shared" si="12"/>
        <v>0</v>
      </c>
      <c r="AO59" s="232">
        <f t="shared" si="12"/>
        <v>0</v>
      </c>
      <c r="AP59" s="232">
        <f t="shared" si="12"/>
        <v>0</v>
      </c>
      <c r="AQ59" s="232">
        <f t="shared" si="12"/>
        <v>0</v>
      </c>
      <c r="AR59" s="232">
        <f t="shared" si="12"/>
        <v>0</v>
      </c>
      <c r="AS59" s="232">
        <f t="shared" si="12"/>
        <v>0</v>
      </c>
      <c r="AT59" s="232">
        <f t="shared" si="12"/>
        <v>0</v>
      </c>
      <c r="AU59" s="232">
        <f t="shared" si="12"/>
        <v>0</v>
      </c>
      <c r="AV59" s="232">
        <f t="shared" si="12"/>
        <v>0</v>
      </c>
      <c r="AW59" s="232">
        <f t="shared" si="12"/>
        <v>0</v>
      </c>
      <c r="AX59" s="232">
        <f t="shared" si="12"/>
        <v>0</v>
      </c>
      <c r="AY59" s="232">
        <f t="shared" si="12"/>
        <v>0</v>
      </c>
      <c r="AZ59" s="232">
        <f t="shared" si="12"/>
        <v>0</v>
      </c>
      <c r="BA59" s="232">
        <f t="shared" si="12"/>
        <v>0</v>
      </c>
      <c r="BB59" s="232">
        <f t="shared" si="12"/>
        <v>0</v>
      </c>
      <c r="BC59" s="1379"/>
      <c r="BF59" s="924" t="s">
        <v>673</v>
      </c>
    </row>
    <row r="60" spans="1:58" ht="14.65" hidden="1" customHeight="1" x14ac:dyDescent="0.15">
      <c r="E60" s="556">
        <v>15</v>
      </c>
      <c r="F60" s="3" cm="1">
        <f t="array" aca="1" ref="F60" ca="1">OFFSET(E60,-1,1)</f>
        <v>0</v>
      </c>
      <c r="H60" s="17" t="s">
        <v>674</v>
      </c>
      <c r="T60" s="388" t="b" cm="1">
        <f t="array" ref="T60">T59</f>
        <v>0</v>
      </c>
      <c r="X60" s="2032"/>
      <c r="Y60" s="2011"/>
      <c r="AB60" s="159" t="s">
        <v>675</v>
      </c>
      <c r="AC60" s="249" t="s">
        <v>639</v>
      </c>
      <c r="AD60" s="12" t="s">
        <v>563</v>
      </c>
      <c r="AE60" s="1377"/>
      <c r="AF60" s="1377"/>
      <c r="AG60" s="1377"/>
      <c r="AH60" s="1377"/>
      <c r="AI60" s="197"/>
      <c r="AJ60" s="1377"/>
      <c r="AK60" s="1377"/>
      <c r="AL60" s="1377"/>
      <c r="AM60" s="1377"/>
      <c r="AN60" s="1377"/>
      <c r="AO60" s="1377"/>
      <c r="AP60" s="1377"/>
      <c r="AQ60" s="1377"/>
      <c r="AR60" s="1377"/>
      <c r="AS60" s="197"/>
      <c r="AT60" s="1377"/>
      <c r="AU60" s="1377"/>
      <c r="AV60" s="1377"/>
      <c r="AW60" s="1377"/>
      <c r="AX60" s="1377"/>
      <c r="AY60" s="1377"/>
      <c r="AZ60" s="1377"/>
      <c r="BA60" s="1377"/>
      <c r="BB60" s="1377"/>
      <c r="BC60" s="1379"/>
      <c r="BF60" s="924" t="s">
        <v>676</v>
      </c>
    </row>
    <row r="61" spans="1:58" ht="14.65" hidden="1" customHeight="1" x14ac:dyDescent="0.15">
      <c r="E61" s="556">
        <v>15</v>
      </c>
      <c r="F61" s="3" cm="1">
        <f t="array" aca="1" ref="F61" ca="1">OFFSET(E61,-1,1)</f>
        <v>0</v>
      </c>
      <c r="H61" s="17" t="s">
        <v>677</v>
      </c>
      <c r="T61" s="388" t="b" cm="1">
        <f t="array" ref="T61">T60</f>
        <v>0</v>
      </c>
      <c r="X61" s="2032"/>
      <c r="Y61" s="2011"/>
      <c r="AB61" s="159" t="s">
        <v>678</v>
      </c>
      <c r="AC61" s="249" t="s">
        <v>643</v>
      </c>
      <c r="AD61" s="12" t="s">
        <v>563</v>
      </c>
      <c r="AE61" s="1377"/>
      <c r="AF61" s="1377"/>
      <c r="AG61" s="1377"/>
      <c r="AH61" s="1377"/>
      <c r="AI61" s="197"/>
      <c r="AJ61" s="1377"/>
      <c r="AK61" s="1377"/>
      <c r="AL61" s="1377"/>
      <c r="AM61" s="1377"/>
      <c r="AN61" s="1377"/>
      <c r="AO61" s="1377"/>
      <c r="AP61" s="1377"/>
      <c r="AQ61" s="1377"/>
      <c r="AR61" s="1377"/>
      <c r="AS61" s="197"/>
      <c r="AT61" s="1377"/>
      <c r="AU61" s="1377"/>
      <c r="AV61" s="1377"/>
      <c r="AW61" s="1377"/>
      <c r="AX61" s="1377"/>
      <c r="AY61" s="1377"/>
      <c r="AZ61" s="1377"/>
      <c r="BA61" s="1377"/>
      <c r="BB61" s="1377"/>
      <c r="BC61" s="1365"/>
      <c r="BF61" s="924" t="s">
        <v>679</v>
      </c>
    </row>
    <row r="62" spans="1:58" ht="21.95" hidden="1" customHeight="1" x14ac:dyDescent="0.15">
      <c r="E62" s="556">
        <v>22.5</v>
      </c>
      <c r="F62" s="3" cm="1">
        <f t="array" aca="1" ref="F62" ca="1">OFFSET(E62,-1,1)</f>
        <v>0</v>
      </c>
      <c r="H62" s="17" t="s">
        <v>680</v>
      </c>
      <c r="I62" s="392"/>
      <c r="J62" s="392"/>
      <c r="T62" s="388" t="b" cm="1">
        <f t="array" ref="T62">T61</f>
        <v>0</v>
      </c>
      <c r="X62" s="2032"/>
      <c r="Y62" s="2011"/>
      <c r="AB62" s="159" t="s">
        <v>681</v>
      </c>
      <c r="AC62" s="250" t="s">
        <v>682</v>
      </c>
      <c r="AD62" s="12" t="s">
        <v>563</v>
      </c>
      <c r="AE62" s="1364"/>
      <c r="AF62" s="1364"/>
      <c r="AG62" s="1364"/>
      <c r="AH62" s="1364"/>
      <c r="AI62" s="194"/>
      <c r="AJ62" s="1364"/>
      <c r="AK62" s="1364"/>
      <c r="AL62" s="1364"/>
      <c r="AM62" s="1364"/>
      <c r="AN62" s="1364"/>
      <c r="AO62" s="1364"/>
      <c r="AP62" s="1364"/>
      <c r="AQ62" s="1364"/>
      <c r="AR62" s="1364"/>
      <c r="AS62" s="194"/>
      <c r="AT62" s="1364"/>
      <c r="AU62" s="1364"/>
      <c r="AV62" s="1364"/>
      <c r="AW62" s="1364"/>
      <c r="AX62" s="1364"/>
      <c r="AY62" s="1364"/>
      <c r="AZ62" s="1364"/>
      <c r="BA62" s="1364"/>
      <c r="BB62" s="1364"/>
      <c r="BC62" s="1365"/>
      <c r="BF62" s="924" t="s">
        <v>683</v>
      </c>
    </row>
    <row r="63" spans="1:58" ht="14.65" hidden="1" customHeight="1" x14ac:dyDescent="0.15">
      <c r="E63" s="556">
        <v>15</v>
      </c>
      <c r="F63" s="265" cm="1">
        <f t="array" aca="1" ref="F63" ca="1">OFFSET(E63,-1,1)</f>
        <v>0</v>
      </c>
      <c r="T63" s="388" t="b" cm="1">
        <f t="array" ref="T63">T62</f>
        <v>0</v>
      </c>
      <c r="X63" s="2032"/>
      <c r="Y63" s="2011"/>
      <c r="AB63" s="159" t="s">
        <v>684</v>
      </c>
      <c r="AC63" s="250" t="s">
        <v>685</v>
      </c>
      <c r="AD63" s="12" t="s">
        <v>563</v>
      </c>
      <c r="AE63" s="1364"/>
      <c r="AF63" s="1364"/>
      <c r="AG63" s="1364"/>
      <c r="AH63" s="1364"/>
      <c r="AI63" s="194"/>
      <c r="AJ63" s="1364"/>
      <c r="AK63" s="1364"/>
      <c r="AL63" s="1364"/>
      <c r="AM63" s="1364"/>
      <c r="AN63" s="1364"/>
      <c r="AO63" s="1364"/>
      <c r="AP63" s="1364"/>
      <c r="AQ63" s="1364"/>
      <c r="AR63" s="1364"/>
      <c r="AS63" s="194"/>
      <c r="AT63" s="1364"/>
      <c r="AU63" s="1364"/>
      <c r="AV63" s="1364"/>
      <c r="AW63" s="1364"/>
      <c r="AX63" s="1364"/>
      <c r="AY63" s="1364"/>
      <c r="AZ63" s="1364"/>
      <c r="BA63" s="1364"/>
      <c r="BB63" s="1364"/>
      <c r="BC63" s="1365"/>
      <c r="BF63" s="924" t="s">
        <v>686</v>
      </c>
    </row>
    <row r="64" spans="1:58" s="1334" customFormat="1" ht="11.25" hidden="1" customHeight="1" x14ac:dyDescent="0.15">
      <c r="A64" s="392"/>
      <c r="B64" s="582"/>
      <c r="C64" s="392"/>
      <c r="D64" s="392"/>
      <c r="E64" s="584" t="s">
        <v>370</v>
      </c>
      <c r="F64" s="1090" cm="1">
        <f t="array" aca="1" ref="F64" ca="1">OFFSET(E64,-1,1)</f>
        <v>0</v>
      </c>
      <c r="G64" s="392"/>
      <c r="H64" s="392"/>
      <c r="K64" s="17"/>
      <c r="L64" s="392"/>
      <c r="M64" s="392"/>
      <c r="N64" s="392"/>
      <c r="O64" s="392"/>
      <c r="P64" s="392"/>
      <c r="Q64" s="392"/>
      <c r="R64" s="337"/>
      <c r="S64" s="337"/>
      <c r="T64" s="388" t="b">
        <v>0</v>
      </c>
      <c r="U64" s="392"/>
      <c r="V64" s="392"/>
      <c r="W64" s="392"/>
      <c r="X64" s="2032"/>
      <c r="Y64" s="2011"/>
      <c r="Z64" s="392"/>
      <c r="AA64" s="392"/>
      <c r="AC64" s="19"/>
      <c r="AD64" s="19"/>
      <c r="AE64" s="260"/>
      <c r="AF64" s="260"/>
      <c r="AG64" s="260"/>
      <c r="AH64" s="260"/>
      <c r="AI64" s="260"/>
      <c r="AJ64" s="261"/>
      <c r="AK64" s="260"/>
      <c r="AL64" s="260"/>
      <c r="AM64" s="260"/>
      <c r="AN64" s="260"/>
      <c r="AO64" s="260"/>
      <c r="AP64" s="260"/>
      <c r="AQ64" s="260"/>
      <c r="AR64" s="260"/>
      <c r="AS64" s="260"/>
      <c r="AT64" s="260"/>
      <c r="AU64" s="260"/>
      <c r="AV64" s="260"/>
      <c r="AW64" s="260"/>
      <c r="AX64" s="260"/>
      <c r="AY64" s="260"/>
      <c r="AZ64" s="260"/>
      <c r="BA64" s="260"/>
      <c r="BB64" s="260"/>
      <c r="BF64" s="928"/>
    </row>
    <row r="65" spans="1:58" ht="14.65" hidden="1" customHeight="1" x14ac:dyDescent="0.15">
      <c r="E65" s="556">
        <v>15</v>
      </c>
      <c r="F65" s="3" cm="1">
        <f t="array" aca="1" ref="F65" ca="1">OFFSET(E65,-1,1)</f>
        <v>0</v>
      </c>
      <c r="R65" s="337" t="b" cm="1">
        <f t="array" ref="R65">INDEX('Общие сведения'!$AN$185:$AN$228,MATCH($X27,'Общие сведения'!$Z$185:$Z$228,0))</f>
        <v>0</v>
      </c>
      <c r="S65" s="337" t="b">
        <f>IF(ISERROR(SEARCH("Водоснабжение",AB27)),FALSE,TRUE)</f>
        <v>0</v>
      </c>
      <c r="T65" s="388" t="b">
        <f>AND(X27&gt;0,S65,R65)</f>
        <v>0</v>
      </c>
      <c r="X65" s="2032"/>
      <c r="Y65" s="2011"/>
      <c r="AB65" s="159" t="s">
        <v>282</v>
      </c>
      <c r="AC65" s="244" t="s">
        <v>560</v>
      </c>
      <c r="AD65" s="117"/>
      <c r="AE65" s="493" cm="1">
        <f t="array" ref="AE65">INDEX('Общие сведения'!$AH$185:$AH$228,MATCH($X27,'Общие сведения'!$Z$185:$Z$228,0))</f>
        <v>0</v>
      </c>
      <c r="AF65" s="278"/>
      <c r="AG65" s="278"/>
      <c r="AH65" s="278"/>
      <c r="AI65" s="278"/>
      <c r="AJ65" s="278"/>
      <c r="AK65" s="278"/>
      <c r="AL65" s="278"/>
      <c r="AM65" s="278"/>
      <c r="AN65" s="278"/>
      <c r="AO65" s="278"/>
      <c r="AP65" s="278"/>
      <c r="AQ65" s="278"/>
      <c r="AR65" s="278"/>
      <c r="AS65" s="278"/>
      <c r="AT65" s="278"/>
      <c r="AU65" s="278"/>
      <c r="AV65" s="278"/>
      <c r="AW65" s="278"/>
      <c r="AX65" s="278"/>
      <c r="AY65" s="278"/>
      <c r="AZ65" s="278"/>
      <c r="BA65" s="278"/>
      <c r="BB65" s="279"/>
      <c r="BC65" s="1365"/>
      <c r="BF65" s="924" t="s">
        <v>687</v>
      </c>
    </row>
    <row r="66" spans="1:58" ht="14.65" hidden="1" customHeight="1" x14ac:dyDescent="0.15">
      <c r="E66" s="556">
        <v>15</v>
      </c>
      <c r="F66" s="3" cm="1">
        <f t="array" aca="1" ref="F66" ca="1">OFFSET(E66,-1,1)</f>
        <v>0</v>
      </c>
      <c r="H66" s="17" t="s">
        <v>335</v>
      </c>
      <c r="T66" s="388" t="b" cm="1">
        <f t="array" ref="T66">T65</f>
        <v>0</v>
      </c>
      <c r="X66" s="2032"/>
      <c r="Y66" s="2011"/>
      <c r="AB66" s="159" t="s">
        <v>289</v>
      </c>
      <c r="AC66" s="251" t="s">
        <v>688</v>
      </c>
      <c r="AD66" s="12" t="s">
        <v>563</v>
      </c>
      <c r="AE66" s="262">
        <f t="shared" ref="AE66:BB66" si="13">AE70+AE72+AE75+AE78</f>
        <v>0</v>
      </c>
      <c r="AF66" s="262">
        <f t="shared" si="13"/>
        <v>0</v>
      </c>
      <c r="AG66" s="262">
        <f t="shared" si="13"/>
        <v>0</v>
      </c>
      <c r="AH66" s="262">
        <f t="shared" si="13"/>
        <v>0</v>
      </c>
      <c r="AI66" s="262">
        <f t="shared" si="13"/>
        <v>0</v>
      </c>
      <c r="AJ66" s="262">
        <f t="shared" si="13"/>
        <v>0</v>
      </c>
      <c r="AK66" s="262">
        <f t="shared" si="13"/>
        <v>0</v>
      </c>
      <c r="AL66" s="262">
        <f t="shared" si="13"/>
        <v>0</v>
      </c>
      <c r="AM66" s="262">
        <f t="shared" si="13"/>
        <v>0</v>
      </c>
      <c r="AN66" s="262">
        <f t="shared" si="13"/>
        <v>0</v>
      </c>
      <c r="AO66" s="262">
        <f t="shared" si="13"/>
        <v>0</v>
      </c>
      <c r="AP66" s="262">
        <f t="shared" si="13"/>
        <v>0</v>
      </c>
      <c r="AQ66" s="262">
        <f t="shared" si="13"/>
        <v>0</v>
      </c>
      <c r="AR66" s="262">
        <f t="shared" si="13"/>
        <v>0</v>
      </c>
      <c r="AS66" s="262">
        <f t="shared" si="13"/>
        <v>0</v>
      </c>
      <c r="AT66" s="262">
        <f t="shared" si="13"/>
        <v>0</v>
      </c>
      <c r="AU66" s="262">
        <f t="shared" si="13"/>
        <v>0</v>
      </c>
      <c r="AV66" s="262">
        <f t="shared" si="13"/>
        <v>0</v>
      </c>
      <c r="AW66" s="262">
        <f t="shared" si="13"/>
        <v>0</v>
      </c>
      <c r="AX66" s="262">
        <f t="shared" si="13"/>
        <v>0</v>
      </c>
      <c r="AY66" s="262">
        <f t="shared" si="13"/>
        <v>0</v>
      </c>
      <c r="AZ66" s="262">
        <f t="shared" si="13"/>
        <v>0</v>
      </c>
      <c r="BA66" s="262">
        <f t="shared" si="13"/>
        <v>0</v>
      </c>
      <c r="BB66" s="262">
        <f t="shared" si="13"/>
        <v>0</v>
      </c>
      <c r="BC66" s="1365"/>
      <c r="BF66" s="924" t="s">
        <v>689</v>
      </c>
    </row>
    <row r="67" spans="1:58" ht="14.65" hidden="1" customHeight="1" x14ac:dyDescent="0.15">
      <c r="E67" s="556">
        <v>15</v>
      </c>
      <c r="F67" s="3" cm="1">
        <f t="array" aca="1" ref="F67" ca="1">OFFSET(E67,-1,1)</f>
        <v>0</v>
      </c>
      <c r="H67" s="17" t="s">
        <v>565</v>
      </c>
      <c r="T67" s="388" t="b" cm="1">
        <f t="array" ref="T67">T66</f>
        <v>0</v>
      </c>
      <c r="X67" s="2032"/>
      <c r="Y67" s="2011"/>
      <c r="AB67" s="159" t="s">
        <v>566</v>
      </c>
      <c r="AC67" s="252" t="s">
        <v>690</v>
      </c>
      <c r="AD67" s="12" t="s">
        <v>563</v>
      </c>
      <c r="AE67" s="1364"/>
      <c r="AF67" s="1364"/>
      <c r="AG67" s="1364"/>
      <c r="AH67" s="1364"/>
      <c r="AI67" s="194"/>
      <c r="AJ67" s="1364"/>
      <c r="AK67" s="1364"/>
      <c r="AL67" s="1364"/>
      <c r="AM67" s="1364"/>
      <c r="AN67" s="1364"/>
      <c r="AO67" s="1364"/>
      <c r="AP67" s="1364"/>
      <c r="AQ67" s="1364"/>
      <c r="AR67" s="1364"/>
      <c r="AS67" s="194"/>
      <c r="AT67" s="1364"/>
      <c r="AU67" s="1364"/>
      <c r="AV67" s="1364"/>
      <c r="AW67" s="1364"/>
      <c r="AX67" s="1364"/>
      <c r="AY67" s="1364"/>
      <c r="AZ67" s="1364"/>
      <c r="BA67" s="1364"/>
      <c r="BB67" s="1364"/>
      <c r="BC67" s="1365"/>
      <c r="BF67" s="924" t="s">
        <v>691</v>
      </c>
    </row>
    <row r="68" spans="1:58" ht="14.65" hidden="1" customHeight="1" x14ac:dyDescent="0.15">
      <c r="E68" s="556">
        <v>15</v>
      </c>
      <c r="F68" s="3" cm="1">
        <f t="array" aca="1" ref="F68" ca="1">OFFSET(E68,-1,1)</f>
        <v>0</v>
      </c>
      <c r="H68" s="17" t="s">
        <v>569</v>
      </c>
      <c r="T68" s="388" t="b" cm="1">
        <f t="array" ref="T68">T67</f>
        <v>0</v>
      </c>
      <c r="X68" s="2032"/>
      <c r="Y68" s="2011"/>
      <c r="AB68" s="159" t="s">
        <v>570</v>
      </c>
      <c r="AC68" s="252" t="s">
        <v>692</v>
      </c>
      <c r="AD68" s="12" t="s">
        <v>563</v>
      </c>
      <c r="AE68" s="1364"/>
      <c r="AF68" s="1364"/>
      <c r="AG68" s="1364"/>
      <c r="AH68" s="1364"/>
      <c r="AI68" s="194"/>
      <c r="AJ68" s="1364"/>
      <c r="AK68" s="1364"/>
      <c r="AL68" s="1364"/>
      <c r="AM68" s="1364"/>
      <c r="AN68" s="1364"/>
      <c r="AO68" s="1364"/>
      <c r="AP68" s="1364"/>
      <c r="AQ68" s="1364"/>
      <c r="AR68" s="1364"/>
      <c r="AS68" s="194"/>
      <c r="AT68" s="1364"/>
      <c r="AU68" s="1364"/>
      <c r="AV68" s="1364"/>
      <c r="AW68" s="1364"/>
      <c r="AX68" s="1364"/>
      <c r="AY68" s="1364"/>
      <c r="AZ68" s="1364"/>
      <c r="BA68" s="1364"/>
      <c r="BB68" s="1364"/>
      <c r="BC68" s="1365"/>
      <c r="BF68" s="924" t="s">
        <v>693</v>
      </c>
    </row>
    <row r="69" spans="1:58" ht="21.95" hidden="1" customHeight="1" x14ac:dyDescent="0.15">
      <c r="E69" s="556">
        <v>22.5</v>
      </c>
      <c r="F69" s="3" cm="1">
        <f t="array" aca="1" ref="F69" ca="1">OFFSET(E69,-1,1)</f>
        <v>0</v>
      </c>
      <c r="H69" s="17" t="s">
        <v>573</v>
      </c>
      <c r="T69" s="388" t="b" cm="1">
        <f t="array" ref="T69">T68</f>
        <v>0</v>
      </c>
      <c r="X69" s="2032"/>
      <c r="Y69" s="2011"/>
      <c r="AB69" s="159" t="s">
        <v>574</v>
      </c>
      <c r="AC69" s="252" t="s">
        <v>694</v>
      </c>
      <c r="AD69" s="12" t="s">
        <v>563</v>
      </c>
      <c r="AE69" s="1364"/>
      <c r="AF69" s="1364"/>
      <c r="AG69" s="1364"/>
      <c r="AH69" s="1364"/>
      <c r="AI69" s="194"/>
      <c r="AJ69" s="1364"/>
      <c r="AK69" s="1364"/>
      <c r="AL69" s="1364"/>
      <c r="AM69" s="1364"/>
      <c r="AN69" s="1364"/>
      <c r="AO69" s="1364"/>
      <c r="AP69" s="1364"/>
      <c r="AQ69" s="1364"/>
      <c r="AR69" s="1364"/>
      <c r="AS69" s="194"/>
      <c r="AT69" s="1364"/>
      <c r="AU69" s="1364"/>
      <c r="AV69" s="1364"/>
      <c r="AW69" s="1364"/>
      <c r="AX69" s="1364"/>
      <c r="AY69" s="1364"/>
      <c r="AZ69" s="1364"/>
      <c r="BA69" s="1364"/>
      <c r="BB69" s="1364"/>
      <c r="BC69" s="1365"/>
      <c r="BF69" s="924" t="s">
        <v>695</v>
      </c>
    </row>
    <row r="70" spans="1:58" ht="14.65" hidden="1" customHeight="1" x14ac:dyDescent="0.15">
      <c r="E70" s="556">
        <v>15</v>
      </c>
      <c r="F70" s="3" cm="1">
        <f t="array" aca="1" ref="F70" ca="1">OFFSET(E70,-1,1)</f>
        <v>0</v>
      </c>
      <c r="H70" s="17" t="s">
        <v>334</v>
      </c>
      <c r="T70" s="388" t="b" cm="1">
        <f t="array" ref="T70">T69</f>
        <v>0</v>
      </c>
      <c r="X70" s="2032"/>
      <c r="Y70" s="2011"/>
      <c r="AB70" s="159" t="s">
        <v>329</v>
      </c>
      <c r="AC70" s="244" t="s">
        <v>607</v>
      </c>
      <c r="AD70" s="12" t="s">
        <v>563</v>
      </c>
      <c r="AE70" s="1364"/>
      <c r="AF70" s="1364"/>
      <c r="AG70" s="1364"/>
      <c r="AH70" s="1364"/>
      <c r="AI70" s="194"/>
      <c r="AJ70" s="1364"/>
      <c r="AK70" s="1364"/>
      <c r="AL70" s="1364"/>
      <c r="AM70" s="1364"/>
      <c r="AN70" s="1364"/>
      <c r="AO70" s="1364"/>
      <c r="AP70" s="1364"/>
      <c r="AQ70" s="1364"/>
      <c r="AR70" s="1364"/>
      <c r="AS70" s="194"/>
      <c r="AT70" s="1364"/>
      <c r="AU70" s="1364"/>
      <c r="AV70" s="1364"/>
      <c r="AW70" s="1364"/>
      <c r="AX70" s="1364"/>
      <c r="AY70" s="1364"/>
      <c r="AZ70" s="1364"/>
      <c r="BA70" s="1364"/>
      <c r="BB70" s="1364"/>
      <c r="BC70" s="1365"/>
      <c r="BF70" s="924" t="s">
        <v>696</v>
      </c>
    </row>
    <row r="71" spans="1:58" ht="14.65" hidden="1" customHeight="1" x14ac:dyDescent="0.15">
      <c r="E71" s="556">
        <v>15</v>
      </c>
      <c r="F71" s="3" cm="1">
        <f t="array" aca="1" ref="F71" ca="1">OFFSET(E71,-1,1)</f>
        <v>0</v>
      </c>
      <c r="H71" s="17" t="s">
        <v>579</v>
      </c>
      <c r="T71" s="388" t="b" cm="1">
        <f t="array" ref="T71">T70</f>
        <v>0</v>
      </c>
      <c r="X71" s="2032"/>
      <c r="Y71" s="2011"/>
      <c r="AB71" s="159" t="s">
        <v>580</v>
      </c>
      <c r="AC71" s="247" t="s">
        <v>611</v>
      </c>
      <c r="AD71" s="12" t="s">
        <v>490</v>
      </c>
      <c r="AE71" s="1358">
        <f t="shared" ref="AE71:BB71" si="14">IF(AE66=0,0,AE70/AE66*100)</f>
        <v>0</v>
      </c>
      <c r="AF71" s="1358">
        <f t="shared" si="14"/>
        <v>0</v>
      </c>
      <c r="AG71" s="1358">
        <f t="shared" si="14"/>
        <v>0</v>
      </c>
      <c r="AH71" s="1358">
        <f t="shared" si="14"/>
        <v>0</v>
      </c>
      <c r="AI71" s="60">
        <f t="shared" si="14"/>
        <v>0</v>
      </c>
      <c r="AJ71" s="1358">
        <f t="shared" si="14"/>
        <v>0</v>
      </c>
      <c r="AK71" s="1358">
        <f t="shared" si="14"/>
        <v>0</v>
      </c>
      <c r="AL71" s="1358">
        <f t="shared" si="14"/>
        <v>0</v>
      </c>
      <c r="AM71" s="1358">
        <f t="shared" si="14"/>
        <v>0</v>
      </c>
      <c r="AN71" s="1358">
        <f t="shared" si="14"/>
        <v>0</v>
      </c>
      <c r="AO71" s="1358">
        <f t="shared" si="14"/>
        <v>0</v>
      </c>
      <c r="AP71" s="1358">
        <f t="shared" si="14"/>
        <v>0</v>
      </c>
      <c r="AQ71" s="1358">
        <f t="shared" si="14"/>
        <v>0</v>
      </c>
      <c r="AR71" s="1358">
        <f t="shared" si="14"/>
        <v>0</v>
      </c>
      <c r="AS71" s="60">
        <f t="shared" si="14"/>
        <v>0</v>
      </c>
      <c r="AT71" s="1358">
        <f t="shared" si="14"/>
        <v>0</v>
      </c>
      <c r="AU71" s="1358">
        <f t="shared" si="14"/>
        <v>0</v>
      </c>
      <c r="AV71" s="1358">
        <f t="shared" si="14"/>
        <v>0</v>
      </c>
      <c r="AW71" s="1358">
        <f t="shared" si="14"/>
        <v>0</v>
      </c>
      <c r="AX71" s="1358">
        <f t="shared" si="14"/>
        <v>0</v>
      </c>
      <c r="AY71" s="1358">
        <f t="shared" si="14"/>
        <v>0</v>
      </c>
      <c r="AZ71" s="1358">
        <f t="shared" si="14"/>
        <v>0</v>
      </c>
      <c r="BA71" s="1358">
        <f t="shared" si="14"/>
        <v>0</v>
      </c>
      <c r="BB71" s="1358">
        <f t="shared" si="14"/>
        <v>0</v>
      </c>
      <c r="BC71" s="1379"/>
      <c r="BF71" s="924" t="s">
        <v>697</v>
      </c>
    </row>
    <row r="72" spans="1:58" ht="14.65" hidden="1" customHeight="1" x14ac:dyDescent="0.15">
      <c r="E72" s="556">
        <v>15</v>
      </c>
      <c r="F72" s="3" cm="1">
        <f t="array" aca="1" ref="F72" ca="1">OFFSET(E72,-1,1)</f>
        <v>0</v>
      </c>
      <c r="H72" s="17" t="s">
        <v>544</v>
      </c>
      <c r="T72" s="388" t="b" cm="1">
        <f t="array" ref="T72">T71</f>
        <v>0</v>
      </c>
      <c r="X72" s="2032"/>
      <c r="Y72" s="2011"/>
      <c r="AB72" s="159" t="s">
        <v>441</v>
      </c>
      <c r="AC72" s="251" t="s">
        <v>618</v>
      </c>
      <c r="AD72" s="12" t="s">
        <v>563</v>
      </c>
      <c r="AE72" s="262">
        <f t="shared" ref="AE72:BB72" si="15">AE73+AE74</f>
        <v>0</v>
      </c>
      <c r="AF72" s="262">
        <f t="shared" si="15"/>
        <v>0</v>
      </c>
      <c r="AG72" s="262">
        <f t="shared" si="15"/>
        <v>0</v>
      </c>
      <c r="AH72" s="262">
        <f t="shared" si="15"/>
        <v>0</v>
      </c>
      <c r="AI72" s="262">
        <f t="shared" si="15"/>
        <v>0</v>
      </c>
      <c r="AJ72" s="262">
        <f t="shared" si="15"/>
        <v>0</v>
      </c>
      <c r="AK72" s="262">
        <f t="shared" si="15"/>
        <v>0</v>
      </c>
      <c r="AL72" s="262">
        <f t="shared" si="15"/>
        <v>0</v>
      </c>
      <c r="AM72" s="262">
        <f t="shared" si="15"/>
        <v>0</v>
      </c>
      <c r="AN72" s="262">
        <f t="shared" si="15"/>
        <v>0</v>
      </c>
      <c r="AO72" s="262">
        <f t="shared" si="15"/>
        <v>0</v>
      </c>
      <c r="AP72" s="262">
        <f t="shared" si="15"/>
        <v>0</v>
      </c>
      <c r="AQ72" s="262">
        <f t="shared" si="15"/>
        <v>0</v>
      </c>
      <c r="AR72" s="262">
        <f t="shared" si="15"/>
        <v>0</v>
      </c>
      <c r="AS72" s="262">
        <f t="shared" si="15"/>
        <v>0</v>
      </c>
      <c r="AT72" s="262">
        <f t="shared" si="15"/>
        <v>0</v>
      </c>
      <c r="AU72" s="262">
        <f t="shared" si="15"/>
        <v>0</v>
      </c>
      <c r="AV72" s="262">
        <f t="shared" si="15"/>
        <v>0</v>
      </c>
      <c r="AW72" s="262">
        <f t="shared" si="15"/>
        <v>0</v>
      </c>
      <c r="AX72" s="262">
        <f t="shared" si="15"/>
        <v>0</v>
      </c>
      <c r="AY72" s="262">
        <f t="shared" si="15"/>
        <v>0</v>
      </c>
      <c r="AZ72" s="262">
        <f t="shared" si="15"/>
        <v>0</v>
      </c>
      <c r="BA72" s="262">
        <f t="shared" si="15"/>
        <v>0</v>
      </c>
      <c r="BB72" s="262">
        <f t="shared" si="15"/>
        <v>0</v>
      </c>
      <c r="BC72" s="1365"/>
      <c r="BF72" s="924" t="s">
        <v>698</v>
      </c>
    </row>
    <row r="73" spans="1:58" ht="14.65" hidden="1" customHeight="1" x14ac:dyDescent="0.15">
      <c r="E73" s="556">
        <v>15</v>
      </c>
      <c r="F73" s="3" cm="1">
        <f t="array" aca="1" ref="F73" ca="1">OFFSET(E73,-1,1)</f>
        <v>0</v>
      </c>
      <c r="H73" s="17" t="s">
        <v>699</v>
      </c>
      <c r="T73" s="388" t="b" cm="1">
        <f t="array" ref="T73">T72</f>
        <v>0</v>
      </c>
      <c r="X73" s="2032"/>
      <c r="Y73" s="2011"/>
      <c r="AB73" s="159" t="s">
        <v>700</v>
      </c>
      <c r="AC73" s="252" t="s">
        <v>622</v>
      </c>
      <c r="AD73" s="12" t="s">
        <v>563</v>
      </c>
      <c r="AE73" s="1364"/>
      <c r="AF73" s="1364"/>
      <c r="AG73" s="1364"/>
      <c r="AH73" s="1364"/>
      <c r="AI73" s="194"/>
      <c r="AJ73" s="1364"/>
      <c r="AK73" s="1364"/>
      <c r="AL73" s="1364"/>
      <c r="AM73" s="1364"/>
      <c r="AN73" s="1364"/>
      <c r="AO73" s="1364"/>
      <c r="AP73" s="1364"/>
      <c r="AQ73" s="1364"/>
      <c r="AR73" s="1364"/>
      <c r="AS73" s="194"/>
      <c r="AT73" s="1364"/>
      <c r="AU73" s="1364"/>
      <c r="AV73" s="1364"/>
      <c r="AW73" s="1364"/>
      <c r="AX73" s="1364"/>
      <c r="AY73" s="1364"/>
      <c r="AZ73" s="1364"/>
      <c r="BA73" s="1364"/>
      <c r="BB73" s="1364"/>
      <c r="BC73" s="1365"/>
      <c r="BF73" s="924" t="s">
        <v>701</v>
      </c>
    </row>
    <row r="74" spans="1:58" ht="14.65" hidden="1" customHeight="1" x14ac:dyDescent="0.15">
      <c r="E74" s="556">
        <v>15</v>
      </c>
      <c r="F74" s="3" cm="1">
        <f t="array" aca="1" ref="F74" ca="1">OFFSET(E74,-1,1)</f>
        <v>0</v>
      </c>
      <c r="H74" s="17" t="s">
        <v>702</v>
      </c>
      <c r="T74" s="388" t="b" cm="1">
        <f t="array" ref="T74">T73</f>
        <v>0</v>
      </c>
      <c r="X74" s="2032"/>
      <c r="Y74" s="2011"/>
      <c r="AB74" s="159" t="s">
        <v>703</v>
      </c>
      <c r="AC74" s="252" t="s">
        <v>626</v>
      </c>
      <c r="AD74" s="12" t="s">
        <v>563</v>
      </c>
      <c r="AE74" s="1364"/>
      <c r="AF74" s="1364"/>
      <c r="AG74" s="1364"/>
      <c r="AH74" s="1364"/>
      <c r="AI74" s="194"/>
      <c r="AJ74" s="1364"/>
      <c r="AK74" s="1364"/>
      <c r="AL74" s="1364"/>
      <c r="AM74" s="1364"/>
      <c r="AN74" s="1364"/>
      <c r="AO74" s="1364"/>
      <c r="AP74" s="1364"/>
      <c r="AQ74" s="1364"/>
      <c r="AR74" s="1364"/>
      <c r="AS74" s="194"/>
      <c r="AT74" s="1364"/>
      <c r="AU74" s="1364"/>
      <c r="AV74" s="1364"/>
      <c r="AW74" s="1364"/>
      <c r="AX74" s="1364"/>
      <c r="AY74" s="1364"/>
      <c r="AZ74" s="1364"/>
      <c r="BA74" s="1364"/>
      <c r="BB74" s="1364"/>
      <c r="BC74" s="1365"/>
      <c r="BF74" s="924" t="s">
        <v>704</v>
      </c>
    </row>
    <row r="75" spans="1:58" ht="14.65" hidden="1" customHeight="1" x14ac:dyDescent="0.15">
      <c r="E75" s="556">
        <v>15</v>
      </c>
      <c r="F75" s="3" cm="1">
        <f t="array" aca="1" ref="F75" ca="1">OFFSET(E75,-1,1)</f>
        <v>0</v>
      </c>
      <c r="G75" s="17" t="s">
        <v>632</v>
      </c>
      <c r="H75" s="17" t="s">
        <v>547</v>
      </c>
      <c r="T75" s="388" t="b" cm="1">
        <f t="array" ref="T75">T74</f>
        <v>0</v>
      </c>
      <c r="X75" s="2032"/>
      <c r="Y75" s="2011"/>
      <c r="AB75" s="159" t="s">
        <v>444</v>
      </c>
      <c r="AC75" s="251" t="s">
        <v>635</v>
      </c>
      <c r="AD75" s="12" t="s">
        <v>563</v>
      </c>
      <c r="AE75" s="262">
        <f t="shared" ref="AE75:BB75" si="16">AE76+AE77</f>
        <v>0</v>
      </c>
      <c r="AF75" s="262">
        <f t="shared" si="16"/>
        <v>0</v>
      </c>
      <c r="AG75" s="262">
        <f t="shared" si="16"/>
        <v>0</v>
      </c>
      <c r="AH75" s="262">
        <f t="shared" si="16"/>
        <v>0</v>
      </c>
      <c r="AI75" s="262">
        <f t="shared" si="16"/>
        <v>0</v>
      </c>
      <c r="AJ75" s="262">
        <f t="shared" si="16"/>
        <v>0</v>
      </c>
      <c r="AK75" s="262">
        <f t="shared" si="16"/>
        <v>0</v>
      </c>
      <c r="AL75" s="262">
        <f t="shared" si="16"/>
        <v>0</v>
      </c>
      <c r="AM75" s="262">
        <f t="shared" si="16"/>
        <v>0</v>
      </c>
      <c r="AN75" s="262">
        <f t="shared" si="16"/>
        <v>0</v>
      </c>
      <c r="AO75" s="262">
        <f t="shared" si="16"/>
        <v>0</v>
      </c>
      <c r="AP75" s="262">
        <f t="shared" si="16"/>
        <v>0</v>
      </c>
      <c r="AQ75" s="262">
        <f t="shared" si="16"/>
        <v>0</v>
      </c>
      <c r="AR75" s="262">
        <f t="shared" si="16"/>
        <v>0</v>
      </c>
      <c r="AS75" s="262">
        <f t="shared" si="16"/>
        <v>0</v>
      </c>
      <c r="AT75" s="262">
        <f t="shared" si="16"/>
        <v>0</v>
      </c>
      <c r="AU75" s="262">
        <f t="shared" si="16"/>
        <v>0</v>
      </c>
      <c r="AV75" s="262">
        <f t="shared" si="16"/>
        <v>0</v>
      </c>
      <c r="AW75" s="262">
        <f t="shared" si="16"/>
        <v>0</v>
      </c>
      <c r="AX75" s="262">
        <f t="shared" si="16"/>
        <v>0</v>
      </c>
      <c r="AY75" s="262">
        <f t="shared" si="16"/>
        <v>0</v>
      </c>
      <c r="AZ75" s="262">
        <f t="shared" si="16"/>
        <v>0</v>
      </c>
      <c r="BA75" s="262">
        <f t="shared" si="16"/>
        <v>0</v>
      </c>
      <c r="BB75" s="262">
        <f t="shared" si="16"/>
        <v>0</v>
      </c>
      <c r="BC75" s="1365"/>
      <c r="BF75" s="924" t="s">
        <v>705</v>
      </c>
    </row>
    <row r="76" spans="1:58" ht="14.65" hidden="1" customHeight="1" x14ac:dyDescent="0.15">
      <c r="E76" s="556">
        <v>15</v>
      </c>
      <c r="F76" s="3" cm="1">
        <f t="array" aca="1" ref="F76" ca="1">OFFSET(E76,-1,1)</f>
        <v>0</v>
      </c>
      <c r="H76" s="17" t="s">
        <v>706</v>
      </c>
      <c r="T76" s="388" t="b" cm="1">
        <f t="array" ref="T76">T75</f>
        <v>0</v>
      </c>
      <c r="X76" s="2032"/>
      <c r="Y76" s="2011"/>
      <c r="AB76" s="159" t="s">
        <v>707</v>
      </c>
      <c r="AC76" s="252" t="s">
        <v>639</v>
      </c>
      <c r="AD76" s="12" t="s">
        <v>563</v>
      </c>
      <c r="AE76" s="1364"/>
      <c r="AF76" s="1364"/>
      <c r="AG76" s="1364"/>
      <c r="AH76" s="1364"/>
      <c r="AI76" s="194"/>
      <c r="AJ76" s="1364"/>
      <c r="AK76" s="1364"/>
      <c r="AL76" s="1364"/>
      <c r="AM76" s="1364"/>
      <c r="AN76" s="1364"/>
      <c r="AO76" s="1364"/>
      <c r="AP76" s="1364"/>
      <c r="AQ76" s="1364"/>
      <c r="AR76" s="1364"/>
      <c r="AS76" s="194"/>
      <c r="AT76" s="1364"/>
      <c r="AU76" s="1364"/>
      <c r="AV76" s="1364"/>
      <c r="AW76" s="1364"/>
      <c r="AX76" s="1364"/>
      <c r="AY76" s="1364"/>
      <c r="AZ76" s="1364"/>
      <c r="BA76" s="1364"/>
      <c r="BB76" s="1364"/>
      <c r="BC76" s="1365"/>
      <c r="BF76" s="924" t="s">
        <v>708</v>
      </c>
    </row>
    <row r="77" spans="1:58" ht="14.65" hidden="1" customHeight="1" x14ac:dyDescent="0.15">
      <c r="E77" s="556">
        <v>15</v>
      </c>
      <c r="F77" s="3" cm="1">
        <f t="array" aca="1" ref="F77" ca="1">OFFSET(E77,-1,1)</f>
        <v>0</v>
      </c>
      <c r="H77" s="17" t="s">
        <v>709</v>
      </c>
      <c r="T77" s="388" t="b" cm="1">
        <f t="array" ref="T77">T76</f>
        <v>0</v>
      </c>
      <c r="X77" s="2032"/>
      <c r="Y77" s="2011"/>
      <c r="AB77" s="159" t="s">
        <v>710</v>
      </c>
      <c r="AC77" s="252" t="s">
        <v>643</v>
      </c>
      <c r="AD77" s="12" t="s">
        <v>563</v>
      </c>
      <c r="AE77" s="1364"/>
      <c r="AF77" s="1364"/>
      <c r="AG77" s="1364"/>
      <c r="AH77" s="1364"/>
      <c r="AI77" s="194"/>
      <c r="AJ77" s="1364"/>
      <c r="AK77" s="1364"/>
      <c r="AL77" s="1364"/>
      <c r="AM77" s="1364"/>
      <c r="AN77" s="1364"/>
      <c r="AO77" s="1364"/>
      <c r="AP77" s="1364"/>
      <c r="AQ77" s="1364"/>
      <c r="AR77" s="1364"/>
      <c r="AS77" s="194"/>
      <c r="AT77" s="1364"/>
      <c r="AU77" s="1364"/>
      <c r="AV77" s="1364"/>
      <c r="AW77" s="1364"/>
      <c r="AX77" s="1364"/>
      <c r="AY77" s="1364"/>
      <c r="AZ77" s="1364"/>
      <c r="BA77" s="1364"/>
      <c r="BB77" s="1364"/>
      <c r="BC77" s="1365"/>
      <c r="BF77" s="924" t="s">
        <v>711</v>
      </c>
    </row>
    <row r="78" spans="1:58" ht="21.95" hidden="1" customHeight="1" x14ac:dyDescent="0.15">
      <c r="E78" s="556">
        <v>22.5</v>
      </c>
      <c r="F78" s="3" cm="1">
        <f t="array" aca="1" ref="F78" ca="1">OFFSET(E78,-1,1)</f>
        <v>0</v>
      </c>
      <c r="H78" s="17" t="s">
        <v>591</v>
      </c>
      <c r="I78" s="392"/>
      <c r="J78" s="392"/>
      <c r="T78" s="388" t="b" cm="1">
        <f t="array" ref="T78">T77</f>
        <v>0</v>
      </c>
      <c r="X78" s="2032"/>
      <c r="Y78" s="2011"/>
      <c r="AB78" s="159" t="s">
        <v>446</v>
      </c>
      <c r="AC78" s="253" t="s">
        <v>682</v>
      </c>
      <c r="AD78" s="12" t="s">
        <v>563</v>
      </c>
      <c r="AE78" s="1364"/>
      <c r="AF78" s="1364"/>
      <c r="AG78" s="1364"/>
      <c r="AH78" s="1364"/>
      <c r="AI78" s="194"/>
      <c r="AJ78" s="1364"/>
      <c r="AK78" s="1364"/>
      <c r="AL78" s="1364"/>
      <c r="AM78" s="1364"/>
      <c r="AN78" s="1364"/>
      <c r="AO78" s="1364"/>
      <c r="AP78" s="1364"/>
      <c r="AQ78" s="1364"/>
      <c r="AR78" s="1364"/>
      <c r="AS78" s="194"/>
      <c r="AT78" s="1364"/>
      <c r="AU78" s="1364"/>
      <c r="AV78" s="1364"/>
      <c r="AW78" s="1364"/>
      <c r="AX78" s="1364"/>
      <c r="AY78" s="1364"/>
      <c r="AZ78" s="1364"/>
      <c r="BA78" s="1364"/>
      <c r="BB78" s="1364"/>
      <c r="BC78" s="1365"/>
      <c r="BF78" s="924" t="s">
        <v>712</v>
      </c>
    </row>
    <row r="79" spans="1:58" ht="14.65" hidden="1" customHeight="1" x14ac:dyDescent="0.15">
      <c r="E79" s="556">
        <v>15</v>
      </c>
      <c r="F79" s="265" cm="1">
        <f t="array" aca="1" ref="F79" ca="1">OFFSET(E79,-1,1)</f>
        <v>0</v>
      </c>
      <c r="T79" s="388" t="b" cm="1">
        <f t="array" ref="T79">T78</f>
        <v>0</v>
      </c>
      <c r="X79" s="2032"/>
      <c r="Y79" s="2011"/>
      <c r="AB79" s="159" t="s">
        <v>684</v>
      </c>
      <c r="AC79" s="250" t="s">
        <v>685</v>
      </c>
      <c r="AD79" s="12" t="s">
        <v>563</v>
      </c>
      <c r="AE79" s="1364"/>
      <c r="AF79" s="1364"/>
      <c r="AG79" s="1364"/>
      <c r="AH79" s="1364"/>
      <c r="AI79" s="194"/>
      <c r="AJ79" s="1364"/>
      <c r="AK79" s="1364"/>
      <c r="AL79" s="1364"/>
      <c r="AM79" s="1364"/>
      <c r="AN79" s="1364"/>
      <c r="AO79" s="1364"/>
      <c r="AP79" s="1364"/>
      <c r="AQ79" s="1364"/>
      <c r="AR79" s="1364"/>
      <c r="AS79" s="194"/>
      <c r="AT79" s="1364"/>
      <c r="AU79" s="1364"/>
      <c r="AV79" s="1364"/>
      <c r="AW79" s="1364"/>
      <c r="AX79" s="1364"/>
      <c r="AY79" s="1364"/>
      <c r="AZ79" s="1364"/>
      <c r="BA79" s="1364"/>
      <c r="BB79" s="1364"/>
      <c r="BC79" s="1365"/>
      <c r="BF79" s="924" t="s">
        <v>713</v>
      </c>
    </row>
    <row r="80" spans="1:58" s="1334" customFormat="1" ht="11.25" hidden="1" customHeight="1" x14ac:dyDescent="0.15">
      <c r="A80" s="392"/>
      <c r="B80" s="582"/>
      <c r="C80" s="392"/>
      <c r="D80" s="392"/>
      <c r="E80" s="584" t="s">
        <v>370</v>
      </c>
      <c r="F80" s="1090" cm="1">
        <f t="array" aca="1" ref="F80" ca="1">OFFSET(E80,-1,1)</f>
        <v>0</v>
      </c>
      <c r="G80" s="392"/>
      <c r="H80" s="392"/>
      <c r="K80" s="17"/>
      <c r="L80" s="392"/>
      <c r="M80" s="392"/>
      <c r="N80" s="392"/>
      <c r="O80" s="392"/>
      <c r="P80" s="392"/>
      <c r="Q80" s="392"/>
      <c r="R80" s="337"/>
      <c r="S80" s="392"/>
      <c r="T80" s="388" t="b">
        <v>0</v>
      </c>
      <c r="U80" s="392"/>
      <c r="V80" s="392"/>
      <c r="W80" s="392"/>
      <c r="X80" s="2032"/>
      <c r="Y80" s="2011"/>
      <c r="Z80" s="392"/>
      <c r="AA80" s="392"/>
      <c r="AC80" s="19"/>
      <c r="AD80" s="19"/>
      <c r="AE80" s="260"/>
      <c r="AF80" s="260"/>
      <c r="AG80" s="260"/>
      <c r="AH80" s="260"/>
      <c r="AI80" s="260"/>
      <c r="AJ80" s="261"/>
      <c r="AK80" s="260"/>
      <c r="AL80" s="260"/>
      <c r="AM80" s="260"/>
      <c r="AN80" s="260"/>
      <c r="AO80" s="260"/>
      <c r="AP80" s="260"/>
      <c r="AQ80" s="260"/>
      <c r="AR80" s="260"/>
      <c r="AS80" s="260"/>
      <c r="AT80" s="260"/>
      <c r="AU80" s="260"/>
      <c r="AV80" s="260"/>
      <c r="AW80" s="260"/>
      <c r="AX80" s="260"/>
      <c r="AY80" s="260"/>
      <c r="AZ80" s="260"/>
      <c r="BA80" s="260"/>
      <c r="BB80" s="260"/>
      <c r="BF80" s="928"/>
    </row>
    <row r="81" spans="5:58" ht="14.65" hidden="1" customHeight="1" x14ac:dyDescent="0.15">
      <c r="E81" s="556">
        <v>15</v>
      </c>
      <c r="F81" s="3" cm="1">
        <f t="array" aca="1" ref="F81" ca="1">OFFSET(E81,-1,1)</f>
        <v>0</v>
      </c>
      <c r="R81" s="337" t="b" cm="1">
        <f t="array" ref="R81">INDEX('Общие сведения'!$AN$185:$AN$228,MATCH($X27,'Общие сведения'!$Z$185:$Z$228,0))</f>
        <v>0</v>
      </c>
      <c r="S81" s="405" t="b">
        <f>IF(ISERROR(SEARCH("Водоотведение",AB27)),FALSE,TRUE)</f>
        <v>0</v>
      </c>
      <c r="T81" s="388" t="b">
        <f>AND(X27&gt;0,S81,NOT(R81))</f>
        <v>0</v>
      </c>
      <c r="X81" s="2032"/>
      <c r="Y81" s="2011"/>
      <c r="AB81" s="159" t="s">
        <v>282</v>
      </c>
      <c r="AC81" s="56" t="s">
        <v>714</v>
      </c>
      <c r="AD81" s="116"/>
      <c r="AE81" s="493" cm="1">
        <f t="array" ref="AE81">INDEX('Общие сведения'!$AH$185:$AH$228,MATCH($X27,'Общие сведения'!$Z$185:$Z$228,0))</f>
        <v>0</v>
      </c>
      <c r="AF81" s="278"/>
      <c r="AG81" s="278"/>
      <c r="AH81" s="278"/>
      <c r="AI81" s="278"/>
      <c r="AJ81" s="278"/>
      <c r="AK81" s="278"/>
      <c r="AL81" s="278"/>
      <c r="AM81" s="278"/>
      <c r="AN81" s="278"/>
      <c r="AO81" s="278"/>
      <c r="AP81" s="278"/>
      <c r="AQ81" s="278"/>
      <c r="AR81" s="278"/>
      <c r="AS81" s="278"/>
      <c r="AT81" s="278"/>
      <c r="AU81" s="278"/>
      <c r="AV81" s="278"/>
      <c r="AW81" s="278"/>
      <c r="AX81" s="278"/>
      <c r="AY81" s="278"/>
      <c r="AZ81" s="278"/>
      <c r="BA81" s="278"/>
      <c r="BB81" s="279"/>
      <c r="BC81" s="1365"/>
      <c r="BF81" s="924" t="s">
        <v>715</v>
      </c>
    </row>
    <row r="82" spans="5:58" ht="14.65" hidden="1" customHeight="1" x14ac:dyDescent="0.15">
      <c r="E82" s="556">
        <v>15</v>
      </c>
      <c r="F82" s="3" cm="1">
        <f t="array" aca="1" ref="F82" ca="1">OFFSET(E82,-1,1)</f>
        <v>0</v>
      </c>
      <c r="H82" s="17" t="s">
        <v>335</v>
      </c>
      <c r="T82" s="388" t="b" cm="1">
        <f t="array" ref="T82">T81</f>
        <v>0</v>
      </c>
      <c r="X82" s="2032"/>
      <c r="Y82" s="2011"/>
      <c r="AB82" s="159" t="s">
        <v>289</v>
      </c>
      <c r="AC82" s="56" t="s">
        <v>716</v>
      </c>
      <c r="AD82" s="12" t="s">
        <v>563</v>
      </c>
      <c r="AE82" s="263">
        <f t="shared" ref="AE82:BB82" si="17">AE83+AE84+AE97</f>
        <v>0</v>
      </c>
      <c r="AF82" s="263">
        <f t="shared" si="17"/>
        <v>0</v>
      </c>
      <c r="AG82" s="263">
        <f t="shared" si="17"/>
        <v>0</v>
      </c>
      <c r="AH82" s="263">
        <f t="shared" si="17"/>
        <v>0</v>
      </c>
      <c r="AI82" s="263">
        <f t="shared" si="17"/>
        <v>0</v>
      </c>
      <c r="AJ82" s="263">
        <f t="shared" si="17"/>
        <v>0</v>
      </c>
      <c r="AK82" s="263">
        <f t="shared" si="17"/>
        <v>0</v>
      </c>
      <c r="AL82" s="263">
        <f t="shared" si="17"/>
        <v>0</v>
      </c>
      <c r="AM82" s="263">
        <f t="shared" si="17"/>
        <v>0</v>
      </c>
      <c r="AN82" s="263">
        <f t="shared" si="17"/>
        <v>0</v>
      </c>
      <c r="AO82" s="263">
        <f t="shared" si="17"/>
        <v>0</v>
      </c>
      <c r="AP82" s="263">
        <f t="shared" si="17"/>
        <v>0</v>
      </c>
      <c r="AQ82" s="263">
        <f t="shared" si="17"/>
        <v>0</v>
      </c>
      <c r="AR82" s="263">
        <f t="shared" si="17"/>
        <v>0</v>
      </c>
      <c r="AS82" s="263">
        <f t="shared" si="17"/>
        <v>0</v>
      </c>
      <c r="AT82" s="263">
        <f t="shared" si="17"/>
        <v>0</v>
      </c>
      <c r="AU82" s="263">
        <f t="shared" si="17"/>
        <v>0</v>
      </c>
      <c r="AV82" s="263">
        <f t="shared" si="17"/>
        <v>0</v>
      </c>
      <c r="AW82" s="263">
        <f t="shared" si="17"/>
        <v>0</v>
      </c>
      <c r="AX82" s="263">
        <f t="shared" si="17"/>
        <v>0</v>
      </c>
      <c r="AY82" s="263">
        <f t="shared" si="17"/>
        <v>0</v>
      </c>
      <c r="AZ82" s="263">
        <f t="shared" si="17"/>
        <v>0</v>
      </c>
      <c r="BA82" s="263">
        <f t="shared" si="17"/>
        <v>0</v>
      </c>
      <c r="BB82" s="263">
        <f t="shared" si="17"/>
        <v>0</v>
      </c>
      <c r="BC82" s="1365"/>
      <c r="BF82" s="924" t="s">
        <v>717</v>
      </c>
    </row>
    <row r="83" spans="5:58" ht="14.65" hidden="1" customHeight="1" x14ac:dyDescent="0.15">
      <c r="E83" s="556">
        <v>15</v>
      </c>
      <c r="F83" s="3" cm="1">
        <f t="array" aca="1" ref="F83" ca="1">OFFSET(E83,-1,1)</f>
        <v>0</v>
      </c>
      <c r="G83" s="17" t="str">
        <f>IF(OwnNeedsInPO="да","ПО","")</f>
        <v>ПО</v>
      </c>
      <c r="H83" s="17" t="s">
        <v>334</v>
      </c>
      <c r="T83" s="388" t="b" cm="1">
        <f t="array" ref="T83">T82</f>
        <v>0</v>
      </c>
      <c r="X83" s="2032"/>
      <c r="Y83" s="2011"/>
      <c r="AB83" s="159" t="s">
        <v>329</v>
      </c>
      <c r="AC83" s="56" t="s">
        <v>718</v>
      </c>
      <c r="AD83" s="12" t="s">
        <v>563</v>
      </c>
      <c r="AE83" s="1364"/>
      <c r="AF83" s="1364"/>
      <c r="AG83" s="1364"/>
      <c r="AH83" s="1364"/>
      <c r="AI83" s="194"/>
      <c r="AJ83" s="1364"/>
      <c r="AK83" s="1364"/>
      <c r="AL83" s="1364"/>
      <c r="AM83" s="1364"/>
      <c r="AN83" s="1364"/>
      <c r="AO83" s="1364"/>
      <c r="AP83" s="1364"/>
      <c r="AQ83" s="1364"/>
      <c r="AR83" s="1364"/>
      <c r="AS83" s="194"/>
      <c r="AT83" s="1364"/>
      <c r="AU83" s="1364"/>
      <c r="AV83" s="1364"/>
      <c r="AW83" s="1364"/>
      <c r="AX83" s="1364"/>
      <c r="AY83" s="1364"/>
      <c r="AZ83" s="1364"/>
      <c r="BA83" s="1364"/>
      <c r="BB83" s="1364"/>
      <c r="BC83" s="1365"/>
      <c r="BF83" s="924" t="s">
        <v>719</v>
      </c>
    </row>
    <row r="84" spans="5:58" ht="14.65" hidden="1" customHeight="1" x14ac:dyDescent="0.15">
      <c r="E84" s="556">
        <v>15</v>
      </c>
      <c r="F84" s="3" cm="1">
        <f t="array" aca="1" ref="F84" ca="1">OFFSET(E84,-1,1)</f>
        <v>0</v>
      </c>
      <c r="G84" s="17" t="s">
        <v>632</v>
      </c>
      <c r="H84" s="17" t="s">
        <v>544</v>
      </c>
      <c r="T84" s="388" t="b" cm="1">
        <f t="array" ref="T84">T83</f>
        <v>0</v>
      </c>
      <c r="X84" s="2032"/>
      <c r="Y84" s="2011"/>
      <c r="AB84" s="159" t="s">
        <v>441</v>
      </c>
      <c r="AC84" s="57" t="s">
        <v>720</v>
      </c>
      <c r="AD84" s="12" t="s">
        <v>563</v>
      </c>
      <c r="AE84" s="262">
        <f t="shared" ref="AE84:BB84" si="18">AE85+AE88+AE91+AE94</f>
        <v>0</v>
      </c>
      <c r="AF84" s="262">
        <f t="shared" si="18"/>
        <v>0</v>
      </c>
      <c r="AG84" s="262">
        <f t="shared" si="18"/>
        <v>0</v>
      </c>
      <c r="AH84" s="262">
        <f t="shared" si="18"/>
        <v>0</v>
      </c>
      <c r="AI84" s="262">
        <f t="shared" si="18"/>
        <v>0</v>
      </c>
      <c r="AJ84" s="262">
        <f t="shared" si="18"/>
        <v>0</v>
      </c>
      <c r="AK84" s="262">
        <f t="shared" si="18"/>
        <v>0</v>
      </c>
      <c r="AL84" s="262">
        <f t="shared" si="18"/>
        <v>0</v>
      </c>
      <c r="AM84" s="262">
        <f t="shared" si="18"/>
        <v>0</v>
      </c>
      <c r="AN84" s="262">
        <f t="shared" si="18"/>
        <v>0</v>
      </c>
      <c r="AO84" s="262">
        <f t="shared" si="18"/>
        <v>0</v>
      </c>
      <c r="AP84" s="262">
        <f t="shared" si="18"/>
        <v>0</v>
      </c>
      <c r="AQ84" s="262">
        <f t="shared" si="18"/>
        <v>0</v>
      </c>
      <c r="AR84" s="262">
        <f t="shared" si="18"/>
        <v>0</v>
      </c>
      <c r="AS84" s="262">
        <f t="shared" si="18"/>
        <v>0</v>
      </c>
      <c r="AT84" s="262">
        <f t="shared" si="18"/>
        <v>0</v>
      </c>
      <c r="AU84" s="262">
        <f t="shared" si="18"/>
        <v>0</v>
      </c>
      <c r="AV84" s="262">
        <f t="shared" si="18"/>
        <v>0</v>
      </c>
      <c r="AW84" s="262">
        <f t="shared" si="18"/>
        <v>0</v>
      </c>
      <c r="AX84" s="262">
        <f t="shared" si="18"/>
        <v>0</v>
      </c>
      <c r="AY84" s="262">
        <f t="shared" si="18"/>
        <v>0</v>
      </c>
      <c r="AZ84" s="262">
        <f t="shared" si="18"/>
        <v>0</v>
      </c>
      <c r="BA84" s="262">
        <f t="shared" si="18"/>
        <v>0</v>
      </c>
      <c r="BB84" s="262">
        <f t="shared" si="18"/>
        <v>0</v>
      </c>
      <c r="BC84" s="1365"/>
      <c r="BF84" s="924" t="s">
        <v>721</v>
      </c>
    </row>
    <row r="85" spans="5:58" ht="14.65" hidden="1" customHeight="1" x14ac:dyDescent="0.15">
      <c r="E85" s="556">
        <v>15</v>
      </c>
      <c r="F85" s="3" cm="1">
        <f t="array" aca="1" ref="F85" ca="1">OFFSET(E85,-1,1)</f>
        <v>0</v>
      </c>
      <c r="H85" s="17" t="s">
        <v>699</v>
      </c>
      <c r="T85" s="388" t="b" cm="1">
        <f t="array" ref="T85">T84</f>
        <v>0</v>
      </c>
      <c r="X85" s="2032"/>
      <c r="Y85" s="2011"/>
      <c r="AB85" s="159" t="s">
        <v>700</v>
      </c>
      <c r="AC85" s="111" t="s">
        <v>651</v>
      </c>
      <c r="AD85" s="12" t="s">
        <v>563</v>
      </c>
      <c r="AE85" s="262">
        <f t="shared" ref="AE85:BB85" si="19">AE86+AE87</f>
        <v>0</v>
      </c>
      <c r="AF85" s="262">
        <f t="shared" si="19"/>
        <v>0</v>
      </c>
      <c r="AG85" s="262">
        <f t="shared" si="19"/>
        <v>0</v>
      </c>
      <c r="AH85" s="262">
        <f t="shared" si="19"/>
        <v>0</v>
      </c>
      <c r="AI85" s="262">
        <f t="shared" si="19"/>
        <v>0</v>
      </c>
      <c r="AJ85" s="262">
        <f t="shared" si="19"/>
        <v>0</v>
      </c>
      <c r="AK85" s="262">
        <f t="shared" si="19"/>
        <v>0</v>
      </c>
      <c r="AL85" s="262">
        <f t="shared" si="19"/>
        <v>0</v>
      </c>
      <c r="AM85" s="262">
        <f t="shared" si="19"/>
        <v>0</v>
      </c>
      <c r="AN85" s="262">
        <f t="shared" si="19"/>
        <v>0</v>
      </c>
      <c r="AO85" s="262">
        <f t="shared" si="19"/>
        <v>0</v>
      </c>
      <c r="AP85" s="262">
        <f t="shared" si="19"/>
        <v>0</v>
      </c>
      <c r="AQ85" s="262">
        <f t="shared" si="19"/>
        <v>0</v>
      </c>
      <c r="AR85" s="262">
        <f t="shared" si="19"/>
        <v>0</v>
      </c>
      <c r="AS85" s="262">
        <f t="shared" si="19"/>
        <v>0</v>
      </c>
      <c r="AT85" s="262">
        <f t="shared" si="19"/>
        <v>0</v>
      </c>
      <c r="AU85" s="262">
        <f t="shared" si="19"/>
        <v>0</v>
      </c>
      <c r="AV85" s="262">
        <f t="shared" si="19"/>
        <v>0</v>
      </c>
      <c r="AW85" s="262">
        <f t="shared" si="19"/>
        <v>0</v>
      </c>
      <c r="AX85" s="262">
        <f t="shared" si="19"/>
        <v>0</v>
      </c>
      <c r="AY85" s="262">
        <f t="shared" si="19"/>
        <v>0</v>
      </c>
      <c r="AZ85" s="262">
        <f t="shared" si="19"/>
        <v>0</v>
      </c>
      <c r="BA85" s="262">
        <f t="shared" si="19"/>
        <v>0</v>
      </c>
      <c r="BB85" s="262">
        <f t="shared" si="19"/>
        <v>0</v>
      </c>
      <c r="BC85" s="1365"/>
      <c r="BF85" s="924" t="s">
        <v>722</v>
      </c>
    </row>
    <row r="86" spans="5:58" ht="14.65" hidden="1" customHeight="1" x14ac:dyDescent="0.15">
      <c r="E86" s="556">
        <v>15</v>
      </c>
      <c r="F86" s="3" cm="1">
        <f t="array" aca="1" ref="F86" ca="1">OFFSET(E86,-1,1)</f>
        <v>0</v>
      </c>
      <c r="H86" s="17" t="s">
        <v>723</v>
      </c>
      <c r="T86" s="388" t="b" cm="1">
        <f t="array" ref="T86">T85</f>
        <v>0</v>
      </c>
      <c r="X86" s="2032"/>
      <c r="Y86" s="2011"/>
      <c r="AB86" s="159" t="s">
        <v>724</v>
      </c>
      <c r="AC86" s="254" t="s">
        <v>639</v>
      </c>
      <c r="AD86" s="12" t="s">
        <v>563</v>
      </c>
      <c r="AE86" s="1364"/>
      <c r="AF86" s="1364"/>
      <c r="AG86" s="1364"/>
      <c r="AH86" s="1364"/>
      <c r="AI86" s="194"/>
      <c r="AJ86" s="1364"/>
      <c r="AK86" s="1364"/>
      <c r="AL86" s="1364"/>
      <c r="AM86" s="1364"/>
      <c r="AN86" s="1364"/>
      <c r="AO86" s="1364"/>
      <c r="AP86" s="1364"/>
      <c r="AQ86" s="1364"/>
      <c r="AR86" s="1364"/>
      <c r="AS86" s="194"/>
      <c r="AT86" s="1364"/>
      <c r="AU86" s="1364"/>
      <c r="AV86" s="1364"/>
      <c r="AW86" s="1364"/>
      <c r="AX86" s="1364"/>
      <c r="AY86" s="1364"/>
      <c r="AZ86" s="1364"/>
      <c r="BA86" s="1364"/>
      <c r="BB86" s="1364"/>
      <c r="BC86" s="1365"/>
      <c r="BF86" s="924" t="s">
        <v>725</v>
      </c>
    </row>
    <row r="87" spans="5:58" ht="14.65" hidden="1" customHeight="1" x14ac:dyDescent="0.15">
      <c r="E87" s="556">
        <v>15</v>
      </c>
      <c r="F87" s="3" cm="1">
        <f t="array" aca="1" ref="F87" ca="1">OFFSET(E87,-1,1)</f>
        <v>0</v>
      </c>
      <c r="H87" s="17" t="s">
        <v>726</v>
      </c>
      <c r="T87" s="388" t="b" cm="1">
        <f t="array" ref="T87">T86</f>
        <v>0</v>
      </c>
      <c r="X87" s="2032"/>
      <c r="Y87" s="2011"/>
      <c r="AB87" s="159" t="s">
        <v>727</v>
      </c>
      <c r="AC87" s="254" t="s">
        <v>643</v>
      </c>
      <c r="AD87" s="12" t="s">
        <v>563</v>
      </c>
      <c r="AE87" s="1364"/>
      <c r="AF87" s="1364"/>
      <c r="AG87" s="1364"/>
      <c r="AH87" s="1364"/>
      <c r="AI87" s="194"/>
      <c r="AJ87" s="1364"/>
      <c r="AK87" s="1364"/>
      <c r="AL87" s="1364"/>
      <c r="AM87" s="1364"/>
      <c r="AN87" s="1364"/>
      <c r="AO87" s="1364"/>
      <c r="AP87" s="1364"/>
      <c r="AQ87" s="1364"/>
      <c r="AR87" s="1364"/>
      <c r="AS87" s="194"/>
      <c r="AT87" s="1364"/>
      <c r="AU87" s="1364"/>
      <c r="AV87" s="1364"/>
      <c r="AW87" s="1364"/>
      <c r="AX87" s="1364"/>
      <c r="AY87" s="1364"/>
      <c r="AZ87" s="1364"/>
      <c r="BA87" s="1364"/>
      <c r="BB87" s="1364"/>
      <c r="BC87" s="1365"/>
      <c r="BF87" s="924" t="s">
        <v>728</v>
      </c>
    </row>
    <row r="88" spans="5:58" ht="14.65" hidden="1" customHeight="1" x14ac:dyDescent="0.15">
      <c r="E88" s="556">
        <v>15</v>
      </c>
      <c r="F88" s="3" cm="1">
        <f t="array" aca="1" ref="F88" ca="1">OFFSET(E88,-1,1)</f>
        <v>0</v>
      </c>
      <c r="G88" s="17" t="s">
        <v>659</v>
      </c>
      <c r="H88" s="17" t="s">
        <v>702</v>
      </c>
      <c r="T88" s="388" t="b" cm="1">
        <f t="array" ref="T88">T87</f>
        <v>0</v>
      </c>
      <c r="X88" s="2032"/>
      <c r="Y88" s="2011"/>
      <c r="AB88" s="159" t="s">
        <v>703</v>
      </c>
      <c r="AC88" s="111" t="s">
        <v>662</v>
      </c>
      <c r="AD88" s="12" t="s">
        <v>563</v>
      </c>
      <c r="AE88" s="262">
        <f t="shared" ref="AE88:BB88" si="20">AE89+AE90</f>
        <v>0</v>
      </c>
      <c r="AF88" s="262">
        <f t="shared" si="20"/>
        <v>0</v>
      </c>
      <c r="AG88" s="262">
        <f t="shared" si="20"/>
        <v>0</v>
      </c>
      <c r="AH88" s="262">
        <f t="shared" si="20"/>
        <v>0</v>
      </c>
      <c r="AI88" s="262">
        <f t="shared" si="20"/>
        <v>0</v>
      </c>
      <c r="AJ88" s="262">
        <f t="shared" si="20"/>
        <v>0</v>
      </c>
      <c r="AK88" s="262">
        <f t="shared" si="20"/>
        <v>0</v>
      </c>
      <c r="AL88" s="262">
        <f t="shared" si="20"/>
        <v>0</v>
      </c>
      <c r="AM88" s="262">
        <f t="shared" si="20"/>
        <v>0</v>
      </c>
      <c r="AN88" s="262">
        <f t="shared" si="20"/>
        <v>0</v>
      </c>
      <c r="AO88" s="262">
        <f t="shared" si="20"/>
        <v>0</v>
      </c>
      <c r="AP88" s="262">
        <f t="shared" si="20"/>
        <v>0</v>
      </c>
      <c r="AQ88" s="262">
        <f t="shared" si="20"/>
        <v>0</v>
      </c>
      <c r="AR88" s="262">
        <f t="shared" si="20"/>
        <v>0</v>
      </c>
      <c r="AS88" s="262">
        <f t="shared" si="20"/>
        <v>0</v>
      </c>
      <c r="AT88" s="262">
        <f t="shared" si="20"/>
        <v>0</v>
      </c>
      <c r="AU88" s="262">
        <f t="shared" si="20"/>
        <v>0</v>
      </c>
      <c r="AV88" s="262">
        <f t="shared" si="20"/>
        <v>0</v>
      </c>
      <c r="AW88" s="262">
        <f t="shared" si="20"/>
        <v>0</v>
      </c>
      <c r="AX88" s="262">
        <f t="shared" si="20"/>
        <v>0</v>
      </c>
      <c r="AY88" s="262">
        <f t="shared" si="20"/>
        <v>0</v>
      </c>
      <c r="AZ88" s="262">
        <f t="shared" si="20"/>
        <v>0</v>
      </c>
      <c r="BA88" s="262">
        <f t="shared" si="20"/>
        <v>0</v>
      </c>
      <c r="BB88" s="262">
        <f t="shared" si="20"/>
        <v>0</v>
      </c>
      <c r="BC88" s="1365"/>
      <c r="BF88" s="924" t="s">
        <v>729</v>
      </c>
    </row>
    <row r="89" spans="5:58" ht="14.65" hidden="1" customHeight="1" x14ac:dyDescent="0.15">
      <c r="E89" s="556">
        <v>15</v>
      </c>
      <c r="F89" s="3" cm="1">
        <f t="array" aca="1" ref="F89" ca="1">OFFSET(E89,-1,1)</f>
        <v>0</v>
      </c>
      <c r="H89" s="17" t="s">
        <v>730</v>
      </c>
      <c r="T89" s="388" t="b" cm="1">
        <f t="array" ref="T89">T88</f>
        <v>0</v>
      </c>
      <c r="X89" s="2032"/>
      <c r="Y89" s="2011"/>
      <c r="AB89" s="159" t="s">
        <v>731</v>
      </c>
      <c r="AC89" s="254" t="s">
        <v>639</v>
      </c>
      <c r="AD89" s="12" t="s">
        <v>563</v>
      </c>
      <c r="AE89" s="1364"/>
      <c r="AF89" s="1364"/>
      <c r="AG89" s="1364"/>
      <c r="AH89" s="1364"/>
      <c r="AI89" s="194"/>
      <c r="AJ89" s="1364"/>
      <c r="AK89" s="1364"/>
      <c r="AL89" s="1364"/>
      <c r="AM89" s="1364"/>
      <c r="AN89" s="1364"/>
      <c r="AO89" s="1364"/>
      <c r="AP89" s="1364"/>
      <c r="AQ89" s="1364"/>
      <c r="AR89" s="1364"/>
      <c r="AS89" s="194"/>
      <c r="AT89" s="1364"/>
      <c r="AU89" s="1364"/>
      <c r="AV89" s="1364"/>
      <c r="AW89" s="1364"/>
      <c r="AX89" s="1364"/>
      <c r="AY89" s="1364"/>
      <c r="AZ89" s="1364"/>
      <c r="BA89" s="1364"/>
      <c r="BB89" s="1364"/>
      <c r="BC89" s="1365"/>
      <c r="BF89" s="924" t="s">
        <v>732</v>
      </c>
    </row>
    <row r="90" spans="5:58" ht="14.65" hidden="1" customHeight="1" x14ac:dyDescent="0.15">
      <c r="E90" s="556">
        <v>15</v>
      </c>
      <c r="F90" s="3" cm="1">
        <f t="array" aca="1" ref="F90" ca="1">OFFSET(E90,-1,1)</f>
        <v>0</v>
      </c>
      <c r="H90" s="17" t="s">
        <v>733</v>
      </c>
      <c r="T90" s="388" t="b" cm="1">
        <f t="array" ref="T90">T89</f>
        <v>0</v>
      </c>
      <c r="X90" s="2032"/>
      <c r="Y90" s="2011"/>
      <c r="AB90" s="159" t="s">
        <v>734</v>
      </c>
      <c r="AC90" s="254" t="s">
        <v>643</v>
      </c>
      <c r="AD90" s="12" t="s">
        <v>563</v>
      </c>
      <c r="AE90" s="1364"/>
      <c r="AF90" s="1364"/>
      <c r="AG90" s="1364"/>
      <c r="AH90" s="1364"/>
      <c r="AI90" s="194"/>
      <c r="AJ90" s="1364"/>
      <c r="AK90" s="1364"/>
      <c r="AL90" s="1364"/>
      <c r="AM90" s="1364"/>
      <c r="AN90" s="1364"/>
      <c r="AO90" s="1364"/>
      <c r="AP90" s="1364"/>
      <c r="AQ90" s="1364"/>
      <c r="AR90" s="1364"/>
      <c r="AS90" s="194"/>
      <c r="AT90" s="1364"/>
      <c r="AU90" s="1364"/>
      <c r="AV90" s="1364"/>
      <c r="AW90" s="1364"/>
      <c r="AX90" s="1364"/>
      <c r="AY90" s="1364"/>
      <c r="AZ90" s="1364"/>
      <c r="BA90" s="1364"/>
      <c r="BB90" s="1364"/>
      <c r="BC90" s="1365"/>
      <c r="BF90" s="924" t="s">
        <v>735</v>
      </c>
    </row>
    <row r="91" spans="5:58" ht="14.65" hidden="1" customHeight="1" x14ac:dyDescent="0.15">
      <c r="E91" s="556">
        <v>15</v>
      </c>
      <c r="F91" s="3" cm="1">
        <f t="array" aca="1" ref="F91" ca="1">OFFSET(E91,-1,1)</f>
        <v>0</v>
      </c>
      <c r="H91" s="17" t="s">
        <v>736</v>
      </c>
      <c r="T91" s="388" t="b" cm="1">
        <f t="array" ref="T91">T90</f>
        <v>0</v>
      </c>
      <c r="X91" s="2032"/>
      <c r="Y91" s="2011"/>
      <c r="AB91" s="159" t="s">
        <v>737</v>
      </c>
      <c r="AC91" s="111" t="s">
        <v>672</v>
      </c>
      <c r="AD91" s="12" t="s">
        <v>563</v>
      </c>
      <c r="AE91" s="262">
        <f t="shared" ref="AE91:BB91" si="21">AE92+AE93</f>
        <v>0</v>
      </c>
      <c r="AF91" s="262">
        <f t="shared" si="21"/>
        <v>0</v>
      </c>
      <c r="AG91" s="262">
        <f t="shared" si="21"/>
        <v>0</v>
      </c>
      <c r="AH91" s="262">
        <f t="shared" si="21"/>
        <v>0</v>
      </c>
      <c r="AI91" s="262">
        <f t="shared" si="21"/>
        <v>0</v>
      </c>
      <c r="AJ91" s="262">
        <f t="shared" si="21"/>
        <v>0</v>
      </c>
      <c r="AK91" s="262">
        <f t="shared" si="21"/>
        <v>0</v>
      </c>
      <c r="AL91" s="262">
        <f t="shared" si="21"/>
        <v>0</v>
      </c>
      <c r="AM91" s="262">
        <f t="shared" si="21"/>
        <v>0</v>
      </c>
      <c r="AN91" s="262">
        <f t="shared" si="21"/>
        <v>0</v>
      </c>
      <c r="AO91" s="262">
        <f t="shared" si="21"/>
        <v>0</v>
      </c>
      <c r="AP91" s="262">
        <f t="shared" si="21"/>
        <v>0</v>
      </c>
      <c r="AQ91" s="262">
        <f t="shared" si="21"/>
        <v>0</v>
      </c>
      <c r="AR91" s="262">
        <f t="shared" si="21"/>
        <v>0</v>
      </c>
      <c r="AS91" s="262">
        <f t="shared" si="21"/>
        <v>0</v>
      </c>
      <c r="AT91" s="262">
        <f t="shared" si="21"/>
        <v>0</v>
      </c>
      <c r="AU91" s="262">
        <f t="shared" si="21"/>
        <v>0</v>
      </c>
      <c r="AV91" s="262">
        <f t="shared" si="21"/>
        <v>0</v>
      </c>
      <c r="AW91" s="262">
        <f t="shared" si="21"/>
        <v>0</v>
      </c>
      <c r="AX91" s="262">
        <f t="shared" si="21"/>
        <v>0</v>
      </c>
      <c r="AY91" s="262">
        <f t="shared" si="21"/>
        <v>0</v>
      </c>
      <c r="AZ91" s="262">
        <f t="shared" si="21"/>
        <v>0</v>
      </c>
      <c r="BA91" s="262">
        <f t="shared" si="21"/>
        <v>0</v>
      </c>
      <c r="BB91" s="262">
        <f t="shared" si="21"/>
        <v>0</v>
      </c>
      <c r="BC91" s="1365"/>
      <c r="BF91" s="924" t="s">
        <v>738</v>
      </c>
    </row>
    <row r="92" spans="5:58" ht="14.65" hidden="1" customHeight="1" x14ac:dyDescent="0.15">
      <c r="E92" s="556">
        <v>15</v>
      </c>
      <c r="F92" s="3" cm="1">
        <f t="array" aca="1" ref="F92" ca="1">OFFSET(E92,-1,1)</f>
        <v>0</v>
      </c>
      <c r="H92" s="17" t="s">
        <v>739</v>
      </c>
      <c r="T92" s="388" t="b" cm="1">
        <f t="array" ref="T92">T91</f>
        <v>0</v>
      </c>
      <c r="X92" s="2032"/>
      <c r="Y92" s="2011"/>
      <c r="AB92" s="159" t="s">
        <v>740</v>
      </c>
      <c r="AC92" s="254" t="s">
        <v>639</v>
      </c>
      <c r="AD92" s="12" t="s">
        <v>563</v>
      </c>
      <c r="AE92" s="1364"/>
      <c r="AF92" s="1364"/>
      <c r="AG92" s="1364"/>
      <c r="AH92" s="1364"/>
      <c r="AI92" s="194"/>
      <c r="AJ92" s="1364"/>
      <c r="AK92" s="1364"/>
      <c r="AL92" s="1364"/>
      <c r="AM92" s="1364"/>
      <c r="AN92" s="1364"/>
      <c r="AO92" s="1364"/>
      <c r="AP92" s="1364"/>
      <c r="AQ92" s="1364"/>
      <c r="AR92" s="1364"/>
      <c r="AS92" s="194"/>
      <c r="AT92" s="1364"/>
      <c r="AU92" s="1364"/>
      <c r="AV92" s="1364"/>
      <c r="AW92" s="1364"/>
      <c r="AX92" s="1364"/>
      <c r="AY92" s="1364"/>
      <c r="AZ92" s="1364"/>
      <c r="BA92" s="1364"/>
      <c r="BB92" s="1364"/>
      <c r="BC92" s="1365"/>
      <c r="BF92" s="924" t="s">
        <v>741</v>
      </c>
    </row>
    <row r="93" spans="5:58" ht="14.65" hidden="1" customHeight="1" x14ac:dyDescent="0.15">
      <c r="E93" s="556">
        <v>15</v>
      </c>
      <c r="F93" s="3" cm="1">
        <f t="array" aca="1" ref="F93" ca="1">OFFSET(E93,-1,1)</f>
        <v>0</v>
      </c>
      <c r="H93" s="17" t="s">
        <v>742</v>
      </c>
      <c r="T93" s="388" t="b" cm="1">
        <f t="array" ref="T93">T92</f>
        <v>0</v>
      </c>
      <c r="X93" s="2032"/>
      <c r="Y93" s="2011"/>
      <c r="AB93" s="159" t="s">
        <v>743</v>
      </c>
      <c r="AC93" s="254" t="s">
        <v>643</v>
      </c>
      <c r="AD93" s="12" t="s">
        <v>563</v>
      </c>
      <c r="AE93" s="1364"/>
      <c r="AF93" s="1364"/>
      <c r="AG93" s="1364"/>
      <c r="AH93" s="1364"/>
      <c r="AI93" s="194"/>
      <c r="AJ93" s="1364"/>
      <c r="AK93" s="1364"/>
      <c r="AL93" s="1364"/>
      <c r="AM93" s="1364"/>
      <c r="AN93" s="1364"/>
      <c r="AO93" s="1364"/>
      <c r="AP93" s="1364"/>
      <c r="AQ93" s="1364"/>
      <c r="AR93" s="1364"/>
      <c r="AS93" s="194"/>
      <c r="AT93" s="1364"/>
      <c r="AU93" s="1364"/>
      <c r="AV93" s="1364"/>
      <c r="AW93" s="1364"/>
      <c r="AX93" s="1364"/>
      <c r="AY93" s="1364"/>
      <c r="AZ93" s="1364"/>
      <c r="BA93" s="1364"/>
      <c r="BB93" s="1364"/>
      <c r="BC93" s="1365"/>
      <c r="BF93" s="924" t="s">
        <v>744</v>
      </c>
    </row>
    <row r="94" spans="5:58" ht="14.65" hidden="1" customHeight="1" x14ac:dyDescent="0.15">
      <c r="E94" s="556">
        <v>15</v>
      </c>
      <c r="F94" s="3" cm="1">
        <f t="array" aca="1" ref="F94" ca="1">OFFSET(E94,-1,1)</f>
        <v>0</v>
      </c>
      <c r="H94" s="17" t="s">
        <v>745</v>
      </c>
      <c r="T94" s="388" t="b" cm="1">
        <f t="array" ref="T94">T93</f>
        <v>0</v>
      </c>
      <c r="X94" s="2032"/>
      <c r="Y94" s="2011"/>
      <c r="AB94" s="159" t="s">
        <v>746</v>
      </c>
      <c r="AC94" s="111" t="s">
        <v>747</v>
      </c>
      <c r="AD94" s="12" t="s">
        <v>563</v>
      </c>
      <c r="AE94" s="262">
        <f t="shared" ref="AE94:BB94" si="22">AE95+AE96</f>
        <v>0</v>
      </c>
      <c r="AF94" s="262">
        <f t="shared" si="22"/>
        <v>0</v>
      </c>
      <c r="AG94" s="262">
        <f t="shared" si="22"/>
        <v>0</v>
      </c>
      <c r="AH94" s="262">
        <f t="shared" si="22"/>
        <v>0</v>
      </c>
      <c r="AI94" s="262">
        <f t="shared" si="22"/>
        <v>0</v>
      </c>
      <c r="AJ94" s="262">
        <f t="shared" si="22"/>
        <v>0</v>
      </c>
      <c r="AK94" s="262">
        <f t="shared" si="22"/>
        <v>0</v>
      </c>
      <c r="AL94" s="262">
        <f t="shared" si="22"/>
        <v>0</v>
      </c>
      <c r="AM94" s="262">
        <f t="shared" si="22"/>
        <v>0</v>
      </c>
      <c r="AN94" s="262">
        <f t="shared" si="22"/>
        <v>0</v>
      </c>
      <c r="AO94" s="262">
        <f t="shared" si="22"/>
        <v>0</v>
      </c>
      <c r="AP94" s="262">
        <f t="shared" si="22"/>
        <v>0</v>
      </c>
      <c r="AQ94" s="262">
        <f t="shared" si="22"/>
        <v>0</v>
      </c>
      <c r="AR94" s="262">
        <f t="shared" si="22"/>
        <v>0</v>
      </c>
      <c r="AS94" s="262">
        <f t="shared" si="22"/>
        <v>0</v>
      </c>
      <c r="AT94" s="262">
        <f t="shared" si="22"/>
        <v>0</v>
      </c>
      <c r="AU94" s="262">
        <f t="shared" si="22"/>
        <v>0</v>
      </c>
      <c r="AV94" s="262">
        <f t="shared" si="22"/>
        <v>0</v>
      </c>
      <c r="AW94" s="262">
        <f t="shared" si="22"/>
        <v>0</v>
      </c>
      <c r="AX94" s="262">
        <f t="shared" si="22"/>
        <v>0</v>
      </c>
      <c r="AY94" s="262">
        <f t="shared" si="22"/>
        <v>0</v>
      </c>
      <c r="AZ94" s="262">
        <f t="shared" si="22"/>
        <v>0</v>
      </c>
      <c r="BA94" s="262">
        <f t="shared" si="22"/>
        <v>0</v>
      </c>
      <c r="BB94" s="262">
        <f t="shared" si="22"/>
        <v>0</v>
      </c>
      <c r="BC94" s="1365"/>
      <c r="BF94" s="924" t="s">
        <v>748</v>
      </c>
    </row>
    <row r="95" spans="5:58" ht="14.65" hidden="1" customHeight="1" x14ac:dyDescent="0.15">
      <c r="E95" s="556">
        <v>15</v>
      </c>
      <c r="F95" s="3" cm="1">
        <f t="array" aca="1" ref="F95" ca="1">OFFSET(E95,-1,1)</f>
        <v>0</v>
      </c>
      <c r="H95" s="17" t="s">
        <v>749</v>
      </c>
      <c r="T95" s="388" t="b" cm="1">
        <f t="array" ref="T95">T94</f>
        <v>0</v>
      </c>
      <c r="X95" s="2032"/>
      <c r="Y95" s="2011"/>
      <c r="AB95" s="159" t="s">
        <v>750</v>
      </c>
      <c r="AC95" s="248" t="s">
        <v>639</v>
      </c>
      <c r="AD95" s="12" t="s">
        <v>563</v>
      </c>
      <c r="AE95" s="1364"/>
      <c r="AF95" s="1364"/>
      <c r="AG95" s="1364"/>
      <c r="AH95" s="1364"/>
      <c r="AI95" s="194"/>
      <c r="AJ95" s="1364"/>
      <c r="AK95" s="1364"/>
      <c r="AL95" s="1364"/>
      <c r="AM95" s="1364"/>
      <c r="AN95" s="1364"/>
      <c r="AO95" s="1364"/>
      <c r="AP95" s="1364"/>
      <c r="AQ95" s="1364"/>
      <c r="AR95" s="1364"/>
      <c r="AS95" s="194"/>
      <c r="AT95" s="1364"/>
      <c r="AU95" s="1364"/>
      <c r="AV95" s="1364"/>
      <c r="AW95" s="1364"/>
      <c r="AX95" s="1364"/>
      <c r="AY95" s="1364"/>
      <c r="AZ95" s="1364"/>
      <c r="BA95" s="1364"/>
      <c r="BB95" s="1364"/>
      <c r="BC95" s="1365"/>
      <c r="BF95" s="924" t="s">
        <v>751</v>
      </c>
    </row>
    <row r="96" spans="5:58" ht="14.65" hidden="1" customHeight="1" x14ac:dyDescent="0.15">
      <c r="E96" s="556">
        <v>15</v>
      </c>
      <c r="F96" s="3" cm="1">
        <f t="array" aca="1" ref="F96" ca="1">OFFSET(E96,-1,1)</f>
        <v>0</v>
      </c>
      <c r="H96" s="17" t="s">
        <v>752</v>
      </c>
      <c r="T96" s="388" t="b" cm="1">
        <f t="array" ref="T96">T95</f>
        <v>0</v>
      </c>
      <c r="X96" s="2032"/>
      <c r="Y96" s="2011"/>
      <c r="AB96" s="159" t="s">
        <v>753</v>
      </c>
      <c r="AC96" s="248" t="s">
        <v>643</v>
      </c>
      <c r="AD96" s="12" t="s">
        <v>563</v>
      </c>
      <c r="AE96" s="1364"/>
      <c r="AF96" s="1364"/>
      <c r="AG96" s="1364"/>
      <c r="AH96" s="1364"/>
      <c r="AI96" s="194"/>
      <c r="AJ96" s="1364"/>
      <c r="AK96" s="1364"/>
      <c r="AL96" s="1364"/>
      <c r="AM96" s="1364"/>
      <c r="AN96" s="1364"/>
      <c r="AO96" s="1364"/>
      <c r="AP96" s="1364"/>
      <c r="AQ96" s="1364"/>
      <c r="AR96" s="1364"/>
      <c r="AS96" s="194"/>
      <c r="AT96" s="1364"/>
      <c r="AU96" s="1364"/>
      <c r="AV96" s="1364"/>
      <c r="AW96" s="1364"/>
      <c r="AX96" s="1364"/>
      <c r="AY96" s="1364"/>
      <c r="AZ96" s="1364"/>
      <c r="BA96" s="1364"/>
      <c r="BB96" s="1364"/>
      <c r="BC96" s="1365"/>
      <c r="BF96" s="924" t="s">
        <v>754</v>
      </c>
    </row>
    <row r="97" spans="1:58" ht="21.95" hidden="1" customHeight="1" x14ac:dyDescent="0.15">
      <c r="E97" s="556">
        <v>22.5</v>
      </c>
      <c r="F97" s="3" cm="1">
        <f t="array" aca="1" ref="F97" ca="1">OFFSET(E97,-1,1)</f>
        <v>0</v>
      </c>
      <c r="H97" s="17" t="s">
        <v>755</v>
      </c>
      <c r="T97" s="388" t="b" cm="1">
        <f t="array" ref="T97">T96</f>
        <v>0</v>
      </c>
      <c r="X97" s="2032"/>
      <c r="Y97" s="2011"/>
      <c r="AB97" s="159" t="s">
        <v>756</v>
      </c>
      <c r="AC97" s="255" t="s">
        <v>604</v>
      </c>
      <c r="AD97" s="12" t="s">
        <v>563</v>
      </c>
      <c r="AE97" s="1364"/>
      <c r="AF97" s="1364"/>
      <c r="AG97" s="1364"/>
      <c r="AH97" s="1364"/>
      <c r="AI97" s="194"/>
      <c r="AJ97" s="1364"/>
      <c r="AK97" s="1364"/>
      <c r="AL97" s="1364"/>
      <c r="AM97" s="1364"/>
      <c r="AN97" s="1364"/>
      <c r="AO97" s="1364"/>
      <c r="AP97" s="1364"/>
      <c r="AQ97" s="1364"/>
      <c r="AR97" s="1364"/>
      <c r="AS97" s="194"/>
      <c r="AT97" s="1364"/>
      <c r="AU97" s="1364"/>
      <c r="AV97" s="1364"/>
      <c r="AW97" s="1364"/>
      <c r="AX97" s="1364"/>
      <c r="AY97" s="1364"/>
      <c r="AZ97" s="1364"/>
      <c r="BA97" s="1364"/>
      <c r="BB97" s="1364"/>
      <c r="BC97" s="1365"/>
      <c r="BF97" s="924" t="s">
        <v>757</v>
      </c>
    </row>
    <row r="98" spans="1:58" ht="14.65" hidden="1" customHeight="1" x14ac:dyDescent="0.15">
      <c r="E98" s="556">
        <v>15</v>
      </c>
      <c r="F98" s="3" cm="1">
        <f t="array" aca="1" ref="F98" ca="1">OFFSET(E98,-1,1)</f>
        <v>0</v>
      </c>
      <c r="H98" s="17" t="s">
        <v>547</v>
      </c>
      <c r="T98" s="388" t="b" cm="1">
        <f t="array" ref="T98">T97</f>
        <v>0</v>
      </c>
      <c r="X98" s="2032"/>
      <c r="Y98" s="2011"/>
      <c r="AB98" s="159" t="s">
        <v>444</v>
      </c>
      <c r="AC98" s="56" t="s">
        <v>758</v>
      </c>
      <c r="AD98" s="12" t="s">
        <v>563</v>
      </c>
      <c r="AE98" s="1364"/>
      <c r="AF98" s="1364"/>
      <c r="AG98" s="1364"/>
      <c r="AH98" s="1364"/>
      <c r="AI98" s="194"/>
      <c r="AJ98" s="1364"/>
      <c r="AK98" s="1364"/>
      <c r="AL98" s="1364"/>
      <c r="AM98" s="1364"/>
      <c r="AN98" s="1364"/>
      <c r="AO98" s="1364"/>
      <c r="AP98" s="1364"/>
      <c r="AQ98" s="1364"/>
      <c r="AR98" s="1364"/>
      <c r="AS98" s="194"/>
      <c r="AT98" s="1364"/>
      <c r="AU98" s="1364"/>
      <c r="AV98" s="1364"/>
      <c r="AW98" s="1364"/>
      <c r="AX98" s="1364"/>
      <c r="AY98" s="1364"/>
      <c r="AZ98" s="1364"/>
      <c r="BA98" s="1364"/>
      <c r="BB98" s="1364"/>
      <c r="BC98" s="1365"/>
      <c r="BF98" s="924" t="s">
        <v>759</v>
      </c>
    </row>
    <row r="99" spans="1:58" ht="14.65" hidden="1" customHeight="1" x14ac:dyDescent="0.15">
      <c r="E99" s="556">
        <v>15</v>
      </c>
      <c r="F99" s="3" cm="1">
        <f t="array" aca="1" ref="F99" ca="1">OFFSET(E99,-1,1)</f>
        <v>0</v>
      </c>
      <c r="H99" s="17" t="s">
        <v>591</v>
      </c>
      <c r="T99" s="388" t="b" cm="1">
        <f t="array" ref="T99">T98</f>
        <v>0</v>
      </c>
      <c r="X99" s="2032"/>
      <c r="Y99" s="2011"/>
      <c r="AB99" s="159" t="s">
        <v>446</v>
      </c>
      <c r="AC99" s="56" t="s">
        <v>760</v>
      </c>
      <c r="AD99" s="12" t="s">
        <v>563</v>
      </c>
      <c r="AE99" s="1364"/>
      <c r="AF99" s="1364"/>
      <c r="AG99" s="1364"/>
      <c r="AH99" s="1364"/>
      <c r="AI99" s="194"/>
      <c r="AJ99" s="1364"/>
      <c r="AK99" s="1364"/>
      <c r="AL99" s="1364"/>
      <c r="AM99" s="1364"/>
      <c r="AN99" s="1364"/>
      <c r="AO99" s="1364"/>
      <c r="AP99" s="1364"/>
      <c r="AQ99" s="1364"/>
      <c r="AR99" s="1364"/>
      <c r="AS99" s="194"/>
      <c r="AT99" s="1364"/>
      <c r="AU99" s="1364"/>
      <c r="AV99" s="1364"/>
      <c r="AW99" s="1364"/>
      <c r="AX99" s="1364"/>
      <c r="AY99" s="1364"/>
      <c r="AZ99" s="1364"/>
      <c r="BA99" s="1364"/>
      <c r="BB99" s="1364"/>
      <c r="BC99" s="1365"/>
      <c r="BF99" s="924" t="s">
        <v>761</v>
      </c>
    </row>
    <row r="100" spans="1:58" ht="14.65" hidden="1" customHeight="1" x14ac:dyDescent="0.15">
      <c r="E100" s="556">
        <v>15</v>
      </c>
      <c r="F100" s="3" cm="1">
        <f t="array" aca="1" ref="F100" ca="1">OFFSET(E100,-1,1)</f>
        <v>0</v>
      </c>
      <c r="H100" s="17" t="s">
        <v>606</v>
      </c>
      <c r="T100" s="388" t="b" cm="1">
        <f t="array" ref="T100">T99</f>
        <v>0</v>
      </c>
      <c r="X100" s="2032"/>
      <c r="Y100" s="2011"/>
      <c r="AB100" s="159" t="s">
        <v>448</v>
      </c>
      <c r="AC100" s="56" t="s">
        <v>762</v>
      </c>
      <c r="AD100" s="12" t="s">
        <v>563</v>
      </c>
      <c r="AE100" s="1364"/>
      <c r="AF100" s="1364"/>
      <c r="AG100" s="1364"/>
      <c r="AH100" s="1364"/>
      <c r="AI100" s="194"/>
      <c r="AJ100" s="1364"/>
      <c r="AK100" s="1364"/>
      <c r="AL100" s="1364"/>
      <c r="AM100" s="1364"/>
      <c r="AN100" s="1364"/>
      <c r="AO100" s="1364"/>
      <c r="AP100" s="1364"/>
      <c r="AQ100" s="1364"/>
      <c r="AR100" s="1364"/>
      <c r="AS100" s="194"/>
      <c r="AT100" s="1364"/>
      <c r="AU100" s="1364"/>
      <c r="AV100" s="1364"/>
      <c r="AW100" s="1364"/>
      <c r="AX100" s="1364"/>
      <c r="AY100" s="1364"/>
      <c r="AZ100" s="1364"/>
      <c r="BA100" s="1364"/>
      <c r="BB100" s="1364"/>
      <c r="BC100" s="1365"/>
      <c r="BF100" s="924" t="s">
        <v>763</v>
      </c>
    </row>
    <row r="101" spans="1:58" ht="14.65" hidden="1" customHeight="1" x14ac:dyDescent="0.15">
      <c r="E101" s="556">
        <v>15</v>
      </c>
      <c r="F101" s="3" cm="1">
        <f t="array" aca="1" ref="F101" ca="1">OFFSET(E101,-1,1)</f>
        <v>0</v>
      </c>
      <c r="H101" s="17" t="s">
        <v>613</v>
      </c>
      <c r="T101" s="388" t="b" cm="1">
        <f t="array" ref="T101">T100</f>
        <v>0</v>
      </c>
      <c r="X101" s="2032"/>
      <c r="Y101" s="2011"/>
      <c r="AB101" s="159" t="s">
        <v>450</v>
      </c>
      <c r="AC101" s="57" t="s">
        <v>764</v>
      </c>
      <c r="AD101" s="12" t="s">
        <v>563</v>
      </c>
      <c r="AE101" s="262">
        <f t="shared" ref="AE101:BB101" si="23">AE102+AE103</f>
        <v>0</v>
      </c>
      <c r="AF101" s="262">
        <f t="shared" si="23"/>
        <v>0</v>
      </c>
      <c r="AG101" s="262">
        <f t="shared" si="23"/>
        <v>0</v>
      </c>
      <c r="AH101" s="262">
        <f t="shared" si="23"/>
        <v>0</v>
      </c>
      <c r="AI101" s="262">
        <f t="shared" si="23"/>
        <v>0</v>
      </c>
      <c r="AJ101" s="262">
        <f t="shared" si="23"/>
        <v>0</v>
      </c>
      <c r="AK101" s="262">
        <f t="shared" si="23"/>
        <v>0</v>
      </c>
      <c r="AL101" s="262">
        <f t="shared" si="23"/>
        <v>0</v>
      </c>
      <c r="AM101" s="262">
        <f t="shared" si="23"/>
        <v>0</v>
      </c>
      <c r="AN101" s="262">
        <f t="shared" si="23"/>
        <v>0</v>
      </c>
      <c r="AO101" s="262">
        <f t="shared" si="23"/>
        <v>0</v>
      </c>
      <c r="AP101" s="262">
        <f t="shared" si="23"/>
        <v>0</v>
      </c>
      <c r="AQ101" s="262">
        <f t="shared" si="23"/>
        <v>0</v>
      </c>
      <c r="AR101" s="262">
        <f t="shared" si="23"/>
        <v>0</v>
      </c>
      <c r="AS101" s="262">
        <f t="shared" si="23"/>
        <v>0</v>
      </c>
      <c r="AT101" s="262">
        <f t="shared" si="23"/>
        <v>0</v>
      </c>
      <c r="AU101" s="262">
        <f t="shared" si="23"/>
        <v>0</v>
      </c>
      <c r="AV101" s="262">
        <f t="shared" si="23"/>
        <v>0</v>
      </c>
      <c r="AW101" s="262">
        <f t="shared" si="23"/>
        <v>0</v>
      </c>
      <c r="AX101" s="262">
        <f t="shared" si="23"/>
        <v>0</v>
      </c>
      <c r="AY101" s="262">
        <f t="shared" si="23"/>
        <v>0</v>
      </c>
      <c r="AZ101" s="262">
        <f t="shared" si="23"/>
        <v>0</v>
      </c>
      <c r="BA101" s="262">
        <f t="shared" si="23"/>
        <v>0</v>
      </c>
      <c r="BB101" s="262">
        <f t="shared" si="23"/>
        <v>0</v>
      </c>
      <c r="BC101" s="1365"/>
      <c r="BF101" s="924" t="s">
        <v>765</v>
      </c>
    </row>
    <row r="102" spans="1:58" ht="14.65" hidden="1" customHeight="1" x14ac:dyDescent="0.15">
      <c r="E102" s="556">
        <v>15</v>
      </c>
      <c r="F102" s="3" cm="1">
        <f t="array" aca="1" ref="F102" ca="1">OFFSET(E102,-1,1)</f>
        <v>0</v>
      </c>
      <c r="H102" s="17" t="s">
        <v>616</v>
      </c>
      <c r="T102" s="388" t="b" cm="1">
        <f t="array" ref="T102">T101</f>
        <v>0</v>
      </c>
      <c r="X102" s="2032"/>
      <c r="Y102" s="2011"/>
      <c r="AB102" s="159" t="s">
        <v>617</v>
      </c>
      <c r="AC102" s="111" t="s">
        <v>766</v>
      </c>
      <c r="AD102" s="12" t="s">
        <v>563</v>
      </c>
      <c r="AE102" s="1364"/>
      <c r="AF102" s="1364"/>
      <c r="AG102" s="1364"/>
      <c r="AH102" s="1364"/>
      <c r="AI102" s="194"/>
      <c r="AJ102" s="1364"/>
      <c r="AK102" s="1364"/>
      <c r="AL102" s="1364"/>
      <c r="AM102" s="1364"/>
      <c r="AN102" s="1364"/>
      <c r="AO102" s="1364"/>
      <c r="AP102" s="1364"/>
      <c r="AQ102" s="1364"/>
      <c r="AR102" s="1364"/>
      <c r="AS102" s="194"/>
      <c r="AT102" s="1364"/>
      <c r="AU102" s="1364"/>
      <c r="AV102" s="1364"/>
      <c r="AW102" s="1364"/>
      <c r="AX102" s="1364"/>
      <c r="AY102" s="1364"/>
      <c r="AZ102" s="1364"/>
      <c r="BA102" s="1364"/>
      <c r="BB102" s="1364"/>
      <c r="BC102" s="1365"/>
      <c r="BF102" s="924" t="s">
        <v>767</v>
      </c>
    </row>
    <row r="103" spans="1:58" ht="14.65" hidden="1" customHeight="1" x14ac:dyDescent="0.15">
      <c r="E103" s="556">
        <v>15</v>
      </c>
      <c r="F103" s="3" cm="1">
        <f t="array" aca="1" ref="F103" ca="1">OFFSET(E103,-1,1)</f>
        <v>0</v>
      </c>
      <c r="H103" s="17" t="s">
        <v>633</v>
      </c>
      <c r="T103" s="388" t="b" cm="1">
        <f t="array" ref="T103">T102</f>
        <v>0</v>
      </c>
      <c r="X103" s="2032"/>
      <c r="Y103" s="2011"/>
      <c r="AB103" s="159" t="s">
        <v>634</v>
      </c>
      <c r="AC103" s="111" t="s">
        <v>768</v>
      </c>
      <c r="AD103" s="12" t="s">
        <v>563</v>
      </c>
      <c r="AE103" s="1364"/>
      <c r="AF103" s="1364"/>
      <c r="AG103" s="1364"/>
      <c r="AH103" s="1364"/>
      <c r="AI103" s="194"/>
      <c r="AJ103" s="1364"/>
      <c r="AK103" s="1364"/>
      <c r="AL103" s="1364"/>
      <c r="AM103" s="1364"/>
      <c r="AN103" s="1364"/>
      <c r="AO103" s="1364"/>
      <c r="AP103" s="1364"/>
      <c r="AQ103" s="1364"/>
      <c r="AR103" s="1364"/>
      <c r="AS103" s="194"/>
      <c r="AT103" s="1364"/>
      <c r="AU103" s="1364"/>
      <c r="AV103" s="1364"/>
      <c r="AW103" s="1364"/>
      <c r="AX103" s="1364"/>
      <c r="AY103" s="1364"/>
      <c r="AZ103" s="1364"/>
      <c r="BA103" s="1364"/>
      <c r="BB103" s="1364"/>
      <c r="BC103" s="1365"/>
      <c r="BF103" s="924" t="s">
        <v>769</v>
      </c>
    </row>
    <row r="104" spans="1:58" ht="21.95" hidden="1" customHeight="1" x14ac:dyDescent="0.15">
      <c r="E104" s="556">
        <v>22.5</v>
      </c>
      <c r="F104" s="3" cm="1">
        <f t="array" aca="1" ref="F104" ca="1">OFFSET(E104,-1,1)</f>
        <v>0</v>
      </c>
      <c r="H104" s="17" t="s">
        <v>770</v>
      </c>
      <c r="T104" s="388" t="b" cm="1">
        <f t="array" ref="T104">T103</f>
        <v>0</v>
      </c>
      <c r="X104" s="2032"/>
      <c r="Y104" s="2011"/>
      <c r="AB104" s="159" t="s">
        <v>469</v>
      </c>
      <c r="AC104" s="256" t="s">
        <v>682</v>
      </c>
      <c r="AD104" s="12" t="s">
        <v>563</v>
      </c>
      <c r="AE104" s="1364"/>
      <c r="AF104" s="1364"/>
      <c r="AG104" s="1364"/>
      <c r="AH104" s="1364"/>
      <c r="AI104" s="194"/>
      <c r="AJ104" s="1364"/>
      <c r="AK104" s="1364"/>
      <c r="AL104" s="1364"/>
      <c r="AM104" s="1364"/>
      <c r="AN104" s="1364"/>
      <c r="AO104" s="1364"/>
      <c r="AP104" s="1364"/>
      <c r="AQ104" s="1364"/>
      <c r="AR104" s="1364"/>
      <c r="AS104" s="194"/>
      <c r="AT104" s="1364"/>
      <c r="AU104" s="1364"/>
      <c r="AV104" s="1364"/>
      <c r="AW104" s="1364"/>
      <c r="AX104" s="1364"/>
      <c r="AY104" s="1364"/>
      <c r="AZ104" s="1364"/>
      <c r="BA104" s="1364"/>
      <c r="BB104" s="1364"/>
      <c r="BC104" s="1365"/>
      <c r="BF104" s="924" t="s">
        <v>771</v>
      </c>
    </row>
    <row r="105" spans="1:58" ht="14.65" hidden="1" customHeight="1" x14ac:dyDescent="0.15">
      <c r="E105" s="556">
        <v>15</v>
      </c>
      <c r="F105" s="3" cm="1">
        <f t="array" aca="1" ref="F105" ca="1">OFFSET(E105,-1,1)</f>
        <v>0</v>
      </c>
      <c r="H105" s="17" t="s">
        <v>772</v>
      </c>
      <c r="T105" s="388" t="b" cm="1">
        <f t="array" ref="T105">T104</f>
        <v>0</v>
      </c>
      <c r="X105" s="2032"/>
      <c r="Y105" s="2011"/>
      <c r="AB105" s="159" t="s">
        <v>472</v>
      </c>
      <c r="AC105" s="56" t="s">
        <v>773</v>
      </c>
      <c r="AD105" s="12" t="s">
        <v>563</v>
      </c>
      <c r="AE105" s="1364"/>
      <c r="AF105" s="1364"/>
      <c r="AG105" s="1364"/>
      <c r="AH105" s="1364"/>
      <c r="AI105" s="194"/>
      <c r="AJ105" s="1364"/>
      <c r="AK105" s="1364"/>
      <c r="AL105" s="1364"/>
      <c r="AM105" s="1364"/>
      <c r="AN105" s="1364"/>
      <c r="AO105" s="1364"/>
      <c r="AP105" s="1364"/>
      <c r="AQ105" s="1364"/>
      <c r="AR105" s="1364"/>
      <c r="AS105" s="194"/>
      <c r="AT105" s="1364"/>
      <c r="AU105" s="1364"/>
      <c r="AV105" s="1364"/>
      <c r="AW105" s="1364"/>
      <c r="AX105" s="1364"/>
      <c r="AY105" s="1364"/>
      <c r="AZ105" s="1364"/>
      <c r="BA105" s="1364"/>
      <c r="BB105" s="1364"/>
      <c r="BC105" s="1365"/>
      <c r="BF105" s="924" t="s">
        <v>774</v>
      </c>
    </row>
    <row r="106" spans="1:58" s="1334" customFormat="1" ht="11.25" hidden="1" customHeight="1" x14ac:dyDescent="0.15">
      <c r="A106" s="392"/>
      <c r="B106" s="582"/>
      <c r="C106" s="392"/>
      <c r="D106" s="392"/>
      <c r="E106" s="584" t="s">
        <v>370</v>
      </c>
      <c r="F106" s="1090" cm="1">
        <f t="array" aca="1" ref="F106" ca="1">OFFSET(E106,-1,1)</f>
        <v>0</v>
      </c>
      <c r="G106" s="392"/>
      <c r="H106" s="392"/>
      <c r="I106" s="392"/>
      <c r="J106" s="392"/>
      <c r="K106" s="17"/>
      <c r="L106" s="392"/>
      <c r="M106" s="392"/>
      <c r="N106" s="392"/>
      <c r="O106" s="392"/>
      <c r="P106" s="392"/>
      <c r="Q106" s="392"/>
      <c r="R106" s="337"/>
      <c r="S106" s="337"/>
      <c r="T106" s="388" t="b">
        <v>0</v>
      </c>
      <c r="U106" s="392"/>
      <c r="V106" s="392"/>
      <c r="W106" s="392"/>
      <c r="X106" s="2032"/>
      <c r="Y106" s="2011"/>
      <c r="Z106" s="392"/>
      <c r="AA106" s="392"/>
      <c r="AC106" s="19"/>
      <c r="AD106" s="19"/>
      <c r="AE106" s="260"/>
      <c r="AF106" s="260"/>
      <c r="AG106" s="260"/>
      <c r="AH106" s="260"/>
      <c r="AI106" s="260"/>
      <c r="AJ106" s="261"/>
      <c r="AK106" s="260"/>
      <c r="AL106" s="260"/>
      <c r="AM106" s="260"/>
      <c r="AN106" s="260"/>
      <c r="AO106" s="260"/>
      <c r="AP106" s="260"/>
      <c r="AQ106" s="260"/>
      <c r="AR106" s="260"/>
      <c r="AS106" s="260"/>
      <c r="AT106" s="260"/>
      <c r="AU106" s="260"/>
      <c r="AV106" s="260"/>
      <c r="AW106" s="260"/>
      <c r="AX106" s="260"/>
      <c r="AY106" s="260"/>
      <c r="AZ106" s="260"/>
      <c r="BA106" s="260"/>
      <c r="BB106" s="260"/>
      <c r="BF106" s="928"/>
    </row>
    <row r="107" spans="1:58" ht="14.65" hidden="1" customHeight="1" x14ac:dyDescent="0.15">
      <c r="E107" s="556">
        <v>15</v>
      </c>
      <c r="F107" s="3" cm="1">
        <f t="array" aca="1" ref="F107" ca="1">OFFSET(E107,-1,1)</f>
        <v>0</v>
      </c>
      <c r="R107" s="337" t="b" cm="1">
        <f t="array" ref="R107">INDEX('Общие сведения'!$AN$185:$AN$228,MATCH($X27,'Общие сведения'!$Z$185:$Z$228,0))</f>
        <v>0</v>
      </c>
      <c r="S107" s="405" t="b">
        <f>IF(ISERROR(SEARCH("Водоотведение",AB27)),FALSE,TRUE)</f>
        <v>0</v>
      </c>
      <c r="T107" s="388" t="b">
        <f>AND(X27&gt;0,S107,R107)</f>
        <v>0</v>
      </c>
      <c r="X107" s="2032"/>
      <c r="Y107" s="2011"/>
      <c r="AB107" s="159" t="s">
        <v>282</v>
      </c>
      <c r="AC107" s="6" t="s">
        <v>714</v>
      </c>
      <c r="AD107" s="116"/>
      <c r="AE107" s="493" cm="1">
        <f t="array" ref="AE107">INDEX('Общие сведения'!$AH$185:$AH$228,MATCH($X27,'Общие сведения'!$Z$185:$Z$228,0))</f>
        <v>0</v>
      </c>
      <c r="AF107" s="278"/>
      <c r="AG107" s="278"/>
      <c r="AH107" s="278"/>
      <c r="AI107" s="278"/>
      <c r="AJ107" s="278"/>
      <c r="AK107" s="278"/>
      <c r="AL107" s="278"/>
      <c r="AM107" s="278"/>
      <c r="AN107" s="278"/>
      <c r="AO107" s="278"/>
      <c r="AP107" s="278"/>
      <c r="AQ107" s="278"/>
      <c r="AR107" s="278"/>
      <c r="AS107" s="278"/>
      <c r="AT107" s="278"/>
      <c r="AU107" s="278"/>
      <c r="AV107" s="278"/>
      <c r="AW107" s="278"/>
      <c r="AX107" s="278"/>
      <c r="AY107" s="278"/>
      <c r="AZ107" s="278"/>
      <c r="BA107" s="278"/>
      <c r="BB107" s="279"/>
      <c r="BC107" s="1365"/>
      <c r="BF107" s="924" t="s">
        <v>775</v>
      </c>
    </row>
    <row r="108" spans="1:58" ht="14.65" hidden="1" customHeight="1" x14ac:dyDescent="0.15">
      <c r="E108" s="556">
        <v>15</v>
      </c>
      <c r="F108" s="3" cm="1">
        <f t="array" aca="1" ref="F108" ca="1">OFFSET(E108,-1,1)</f>
        <v>0</v>
      </c>
      <c r="H108" s="17" t="s">
        <v>335</v>
      </c>
      <c r="T108" s="388" t="b" cm="1">
        <f t="array" ref="T108">T107</f>
        <v>0</v>
      </c>
      <c r="X108" s="2032"/>
      <c r="Y108" s="2011"/>
      <c r="AB108" s="159" t="s">
        <v>289</v>
      </c>
      <c r="AC108" s="257" t="s">
        <v>776</v>
      </c>
      <c r="AD108" s="12" t="s">
        <v>563</v>
      </c>
      <c r="AE108" s="262">
        <f t="shared" ref="AE108:BB108" si="24">AE109+AE111+AE110</f>
        <v>0</v>
      </c>
      <c r="AF108" s="262">
        <f t="shared" si="24"/>
        <v>0</v>
      </c>
      <c r="AG108" s="262">
        <f t="shared" si="24"/>
        <v>0</v>
      </c>
      <c r="AH108" s="262">
        <f t="shared" si="24"/>
        <v>0</v>
      </c>
      <c r="AI108" s="262">
        <f t="shared" si="24"/>
        <v>0</v>
      </c>
      <c r="AJ108" s="262">
        <f t="shared" si="24"/>
        <v>0</v>
      </c>
      <c r="AK108" s="262">
        <f t="shared" si="24"/>
        <v>0</v>
      </c>
      <c r="AL108" s="262">
        <f t="shared" si="24"/>
        <v>0</v>
      </c>
      <c r="AM108" s="262">
        <f t="shared" si="24"/>
        <v>0</v>
      </c>
      <c r="AN108" s="262">
        <f t="shared" si="24"/>
        <v>0</v>
      </c>
      <c r="AO108" s="262">
        <f t="shared" si="24"/>
        <v>0</v>
      </c>
      <c r="AP108" s="262">
        <f t="shared" si="24"/>
        <v>0</v>
      </c>
      <c r="AQ108" s="262">
        <f t="shared" si="24"/>
        <v>0</v>
      </c>
      <c r="AR108" s="262">
        <f t="shared" si="24"/>
        <v>0</v>
      </c>
      <c r="AS108" s="262">
        <f t="shared" si="24"/>
        <v>0</v>
      </c>
      <c r="AT108" s="262">
        <f t="shared" si="24"/>
        <v>0</v>
      </c>
      <c r="AU108" s="262">
        <f t="shared" si="24"/>
        <v>0</v>
      </c>
      <c r="AV108" s="262">
        <f t="shared" si="24"/>
        <v>0</v>
      </c>
      <c r="AW108" s="262">
        <f t="shared" si="24"/>
        <v>0</v>
      </c>
      <c r="AX108" s="262">
        <f t="shared" si="24"/>
        <v>0</v>
      </c>
      <c r="AY108" s="262">
        <f t="shared" si="24"/>
        <v>0</v>
      </c>
      <c r="AZ108" s="262">
        <f t="shared" si="24"/>
        <v>0</v>
      </c>
      <c r="BA108" s="262">
        <f t="shared" si="24"/>
        <v>0</v>
      </c>
      <c r="BB108" s="262">
        <f t="shared" si="24"/>
        <v>0</v>
      </c>
      <c r="BC108" s="1365"/>
      <c r="BF108" s="924" t="s">
        <v>777</v>
      </c>
    </row>
    <row r="109" spans="1:58" ht="14.65" hidden="1" customHeight="1" x14ac:dyDescent="0.15">
      <c r="E109" s="556">
        <v>15</v>
      </c>
      <c r="F109" s="3" cm="1">
        <f t="array" aca="1" ref="F109" ca="1">OFFSET(E109,-1,1)</f>
        <v>0</v>
      </c>
      <c r="H109" s="17" t="s">
        <v>565</v>
      </c>
      <c r="T109" s="388" t="b" cm="1">
        <f t="array" ref="T109">T108</f>
        <v>0</v>
      </c>
      <c r="X109" s="2032"/>
      <c r="Y109" s="2011"/>
      <c r="AB109" s="159" t="s">
        <v>566</v>
      </c>
      <c r="AC109" s="133" t="s">
        <v>778</v>
      </c>
      <c r="AD109" s="12" t="s">
        <v>563</v>
      </c>
      <c r="AE109" s="1377"/>
      <c r="AF109" s="1377"/>
      <c r="AG109" s="1377"/>
      <c r="AH109" s="1377"/>
      <c r="AI109" s="197"/>
      <c r="AJ109" s="1377"/>
      <c r="AK109" s="1377"/>
      <c r="AL109" s="1377"/>
      <c r="AM109" s="1377"/>
      <c r="AN109" s="1377"/>
      <c r="AO109" s="1377"/>
      <c r="AP109" s="1377"/>
      <c r="AQ109" s="1377"/>
      <c r="AR109" s="1377"/>
      <c r="AS109" s="197"/>
      <c r="AT109" s="1377"/>
      <c r="AU109" s="1377"/>
      <c r="AV109" s="1377"/>
      <c r="AW109" s="1377"/>
      <c r="AX109" s="1377"/>
      <c r="AY109" s="1377"/>
      <c r="AZ109" s="1377"/>
      <c r="BA109" s="1377"/>
      <c r="BB109" s="1377"/>
      <c r="BC109" s="1365"/>
      <c r="BF109" s="924" t="s">
        <v>779</v>
      </c>
    </row>
    <row r="110" spans="1:58" ht="14.65" hidden="1" customHeight="1" x14ac:dyDescent="0.15">
      <c r="E110" s="556">
        <v>15</v>
      </c>
      <c r="F110" s="3" cm="1">
        <f t="array" aca="1" ref="F110" ca="1">OFFSET(E110,-1,1)</f>
        <v>0</v>
      </c>
      <c r="H110" s="17" t="s">
        <v>569</v>
      </c>
      <c r="T110" s="388" t="b" cm="1">
        <f t="array" ref="T110">T109</f>
        <v>0</v>
      </c>
      <c r="X110" s="2032"/>
      <c r="Y110" s="2011"/>
      <c r="AB110" s="159" t="s">
        <v>570</v>
      </c>
      <c r="AC110" s="133" t="s">
        <v>780</v>
      </c>
      <c r="AD110" s="12" t="s">
        <v>563</v>
      </c>
      <c r="AE110" s="1377"/>
      <c r="AF110" s="1377"/>
      <c r="AG110" s="1377"/>
      <c r="AH110" s="1377"/>
      <c r="AI110" s="197"/>
      <c r="AJ110" s="1377"/>
      <c r="AK110" s="1377"/>
      <c r="AL110" s="1377"/>
      <c r="AM110" s="1377"/>
      <c r="AN110" s="1377"/>
      <c r="AO110" s="1377"/>
      <c r="AP110" s="1377"/>
      <c r="AQ110" s="1377"/>
      <c r="AR110" s="1377"/>
      <c r="AS110" s="197"/>
      <c r="AT110" s="1377"/>
      <c r="AU110" s="1377"/>
      <c r="AV110" s="1377"/>
      <c r="AW110" s="1377"/>
      <c r="AX110" s="1377"/>
      <c r="AY110" s="1377"/>
      <c r="AZ110" s="1377"/>
      <c r="BA110" s="1377"/>
      <c r="BB110" s="1377"/>
      <c r="BC110" s="1365"/>
      <c r="BF110" s="924" t="s">
        <v>781</v>
      </c>
    </row>
    <row r="111" spans="1:58" ht="21.95" hidden="1" customHeight="1" x14ac:dyDescent="0.15">
      <c r="E111" s="556">
        <v>22.5</v>
      </c>
      <c r="F111" s="3" cm="1">
        <f t="array" aca="1" ref="F111" ca="1">OFFSET(E111,-1,1)</f>
        <v>0</v>
      </c>
      <c r="H111" s="17" t="s">
        <v>573</v>
      </c>
      <c r="T111" s="388" t="b" cm="1">
        <f t="array" ref="T111">T110</f>
        <v>0</v>
      </c>
      <c r="X111" s="2032"/>
      <c r="Y111" s="2011"/>
      <c r="AB111" s="159" t="s">
        <v>574</v>
      </c>
      <c r="AC111" s="133" t="s">
        <v>682</v>
      </c>
      <c r="AD111" s="12" t="s">
        <v>563</v>
      </c>
      <c r="AE111" s="1377"/>
      <c r="AF111" s="1377"/>
      <c r="AG111" s="1377"/>
      <c r="AH111" s="1377"/>
      <c r="AI111" s="197"/>
      <c r="AJ111" s="1377"/>
      <c r="AK111" s="1377"/>
      <c r="AL111" s="1377"/>
      <c r="AM111" s="1377"/>
      <c r="AN111" s="1377"/>
      <c r="AO111" s="1377"/>
      <c r="AP111" s="1377"/>
      <c r="AQ111" s="1377"/>
      <c r="AR111" s="1377"/>
      <c r="AS111" s="197"/>
      <c r="AT111" s="1377"/>
      <c r="AU111" s="1377"/>
      <c r="AV111" s="1377"/>
      <c r="AW111" s="1377"/>
      <c r="AX111" s="1377"/>
      <c r="AY111" s="1377"/>
      <c r="AZ111" s="1377"/>
      <c r="BA111" s="1377"/>
      <c r="BB111" s="1377"/>
      <c r="BC111" s="1365"/>
      <c r="BF111" s="924" t="s">
        <v>782</v>
      </c>
    </row>
    <row r="112" spans="1:58" ht="21.95" hidden="1" customHeight="1" x14ac:dyDescent="0.15">
      <c r="E112" s="556">
        <v>22.5</v>
      </c>
      <c r="F112" s="3" cm="1">
        <f t="array" aca="1" ref="F112" ca="1">OFFSET(E112,-1,1)</f>
        <v>0</v>
      </c>
      <c r="G112" s="17" t="s">
        <v>632</v>
      </c>
      <c r="H112" s="17" t="s">
        <v>334</v>
      </c>
      <c r="T112" s="388" t="b" cm="1">
        <f t="array" ref="T112">T111</f>
        <v>0</v>
      </c>
      <c r="X112" s="2032"/>
      <c r="Y112" s="2011"/>
      <c r="AB112" s="159" t="s">
        <v>329</v>
      </c>
      <c r="AC112" s="257" t="s">
        <v>783</v>
      </c>
      <c r="AD112" s="12" t="s">
        <v>563</v>
      </c>
      <c r="AE112" s="262">
        <f t="shared" ref="AE112:BB112" si="25">AE113+AE114+AE117</f>
        <v>0</v>
      </c>
      <c r="AF112" s="262">
        <f t="shared" si="25"/>
        <v>0</v>
      </c>
      <c r="AG112" s="262">
        <f t="shared" si="25"/>
        <v>0</v>
      </c>
      <c r="AH112" s="262">
        <f t="shared" si="25"/>
        <v>0</v>
      </c>
      <c r="AI112" s="262">
        <f t="shared" si="25"/>
        <v>0</v>
      </c>
      <c r="AJ112" s="262">
        <f t="shared" si="25"/>
        <v>0</v>
      </c>
      <c r="AK112" s="262">
        <f t="shared" si="25"/>
        <v>0</v>
      </c>
      <c r="AL112" s="262">
        <f t="shared" si="25"/>
        <v>0</v>
      </c>
      <c r="AM112" s="262">
        <f t="shared" si="25"/>
        <v>0</v>
      </c>
      <c r="AN112" s="262">
        <f t="shared" si="25"/>
        <v>0</v>
      </c>
      <c r="AO112" s="262">
        <f t="shared" si="25"/>
        <v>0</v>
      </c>
      <c r="AP112" s="262">
        <f t="shared" si="25"/>
        <v>0</v>
      </c>
      <c r="AQ112" s="262">
        <f t="shared" si="25"/>
        <v>0</v>
      </c>
      <c r="AR112" s="262">
        <f t="shared" si="25"/>
        <v>0</v>
      </c>
      <c r="AS112" s="262">
        <f t="shared" si="25"/>
        <v>0</v>
      </c>
      <c r="AT112" s="262">
        <f t="shared" si="25"/>
        <v>0</v>
      </c>
      <c r="AU112" s="262">
        <f t="shared" si="25"/>
        <v>0</v>
      </c>
      <c r="AV112" s="262">
        <f t="shared" si="25"/>
        <v>0</v>
      </c>
      <c r="AW112" s="262">
        <f t="shared" si="25"/>
        <v>0</v>
      </c>
      <c r="AX112" s="262">
        <f t="shared" si="25"/>
        <v>0</v>
      </c>
      <c r="AY112" s="262">
        <f t="shared" si="25"/>
        <v>0</v>
      </c>
      <c r="AZ112" s="262">
        <f t="shared" si="25"/>
        <v>0</v>
      </c>
      <c r="BA112" s="262">
        <f t="shared" si="25"/>
        <v>0</v>
      </c>
      <c r="BB112" s="262">
        <f t="shared" si="25"/>
        <v>0</v>
      </c>
      <c r="BC112" s="1365"/>
      <c r="BF112" s="924" t="s">
        <v>784</v>
      </c>
    </row>
    <row r="113" spans="1:58" ht="14.65" hidden="1" customHeight="1" x14ac:dyDescent="0.15">
      <c r="E113" s="556">
        <v>15</v>
      </c>
      <c r="F113" s="3" cm="1">
        <f t="array" aca="1" ref="F113" ca="1">OFFSET(E113,-1,1)</f>
        <v>0</v>
      </c>
      <c r="H113" s="17" t="s">
        <v>579</v>
      </c>
      <c r="T113" s="388" t="b" cm="1">
        <f t="array" ref="T113">T112</f>
        <v>0</v>
      </c>
      <c r="X113" s="2032"/>
      <c r="Y113" s="2011"/>
      <c r="AB113" s="159" t="s">
        <v>580</v>
      </c>
      <c r="AC113" s="133" t="s">
        <v>785</v>
      </c>
      <c r="AD113" s="12" t="s">
        <v>563</v>
      </c>
      <c r="AE113" s="1377"/>
      <c r="AF113" s="1377"/>
      <c r="AG113" s="1377"/>
      <c r="AH113" s="1377"/>
      <c r="AI113" s="197"/>
      <c r="AJ113" s="1377"/>
      <c r="AK113" s="1377"/>
      <c r="AL113" s="1377"/>
      <c r="AM113" s="1377"/>
      <c r="AN113" s="1377"/>
      <c r="AO113" s="1377"/>
      <c r="AP113" s="1377"/>
      <c r="AQ113" s="1377"/>
      <c r="AR113" s="1377"/>
      <c r="AS113" s="197"/>
      <c r="AT113" s="1377"/>
      <c r="AU113" s="1377"/>
      <c r="AV113" s="1377"/>
      <c r="AW113" s="1377"/>
      <c r="AX113" s="1377"/>
      <c r="AY113" s="1377"/>
      <c r="AZ113" s="1377"/>
      <c r="BA113" s="1377"/>
      <c r="BB113" s="1377"/>
      <c r="BC113" s="1365"/>
      <c r="BF113" s="924" t="s">
        <v>786</v>
      </c>
    </row>
    <row r="114" spans="1:58" ht="14.65" hidden="1" customHeight="1" x14ac:dyDescent="0.15">
      <c r="E114" s="556">
        <v>15</v>
      </c>
      <c r="F114" s="3" cm="1">
        <f t="array" aca="1" ref="F114" ca="1">OFFSET(E114,-1,1)</f>
        <v>0</v>
      </c>
      <c r="H114" s="17" t="s">
        <v>583</v>
      </c>
      <c r="T114" s="388" t="b" cm="1">
        <f t="array" ref="T114">T113</f>
        <v>0</v>
      </c>
      <c r="X114" s="2032"/>
      <c r="Y114" s="2011"/>
      <c r="AB114" s="159" t="s">
        <v>584</v>
      </c>
      <c r="AC114" s="258" t="s">
        <v>787</v>
      </c>
      <c r="AD114" s="12" t="s">
        <v>563</v>
      </c>
      <c r="AE114" s="262">
        <f t="shared" ref="AE114:BB114" si="26">AE115+AE116</f>
        <v>0</v>
      </c>
      <c r="AF114" s="262">
        <f t="shared" si="26"/>
        <v>0</v>
      </c>
      <c r="AG114" s="262">
        <f t="shared" si="26"/>
        <v>0</v>
      </c>
      <c r="AH114" s="262">
        <f t="shared" si="26"/>
        <v>0</v>
      </c>
      <c r="AI114" s="262">
        <f t="shared" si="26"/>
        <v>0</v>
      </c>
      <c r="AJ114" s="262">
        <f t="shared" si="26"/>
        <v>0</v>
      </c>
      <c r="AK114" s="262">
        <f t="shared" si="26"/>
        <v>0</v>
      </c>
      <c r="AL114" s="262">
        <f t="shared" si="26"/>
        <v>0</v>
      </c>
      <c r="AM114" s="262">
        <f t="shared" si="26"/>
        <v>0</v>
      </c>
      <c r="AN114" s="262">
        <f t="shared" si="26"/>
        <v>0</v>
      </c>
      <c r="AO114" s="262">
        <f t="shared" si="26"/>
        <v>0</v>
      </c>
      <c r="AP114" s="262">
        <f t="shared" si="26"/>
        <v>0</v>
      </c>
      <c r="AQ114" s="262">
        <f t="shared" si="26"/>
        <v>0</v>
      </c>
      <c r="AR114" s="262">
        <f t="shared" si="26"/>
        <v>0</v>
      </c>
      <c r="AS114" s="262">
        <f t="shared" si="26"/>
        <v>0</v>
      </c>
      <c r="AT114" s="262">
        <f t="shared" si="26"/>
        <v>0</v>
      </c>
      <c r="AU114" s="262">
        <f t="shared" si="26"/>
        <v>0</v>
      </c>
      <c r="AV114" s="262">
        <f t="shared" si="26"/>
        <v>0</v>
      </c>
      <c r="AW114" s="262">
        <f t="shared" si="26"/>
        <v>0</v>
      </c>
      <c r="AX114" s="262">
        <f t="shared" si="26"/>
        <v>0</v>
      </c>
      <c r="AY114" s="262">
        <f t="shared" si="26"/>
        <v>0</v>
      </c>
      <c r="AZ114" s="262">
        <f t="shared" si="26"/>
        <v>0</v>
      </c>
      <c r="BA114" s="262">
        <f t="shared" si="26"/>
        <v>0</v>
      </c>
      <c r="BB114" s="262">
        <f t="shared" si="26"/>
        <v>0</v>
      </c>
      <c r="BC114" s="1365"/>
      <c r="BF114" s="924" t="s">
        <v>788</v>
      </c>
    </row>
    <row r="115" spans="1:58" ht="14.65" hidden="1" customHeight="1" x14ac:dyDescent="0.15">
      <c r="E115" s="556">
        <v>15</v>
      </c>
      <c r="F115" s="3" cm="1">
        <f t="array" aca="1" ref="F115" ca="1">OFFSET(E115,-1,1)</f>
        <v>0</v>
      </c>
      <c r="H115" s="17" t="s">
        <v>789</v>
      </c>
      <c r="T115" s="388" t="b" cm="1">
        <f t="array" ref="T115">T114</f>
        <v>0</v>
      </c>
      <c r="X115" s="2032"/>
      <c r="Y115" s="2011"/>
      <c r="AB115" s="159" t="s">
        <v>790</v>
      </c>
      <c r="AC115" s="259" t="s">
        <v>639</v>
      </c>
      <c r="AD115" s="12" t="s">
        <v>563</v>
      </c>
      <c r="AE115" s="1377"/>
      <c r="AF115" s="1377"/>
      <c r="AG115" s="1377"/>
      <c r="AH115" s="1377"/>
      <c r="AI115" s="197"/>
      <c r="AJ115" s="1377"/>
      <c r="AK115" s="1377"/>
      <c r="AL115" s="1377"/>
      <c r="AM115" s="1377"/>
      <c r="AN115" s="1377"/>
      <c r="AO115" s="1377"/>
      <c r="AP115" s="1377"/>
      <c r="AQ115" s="1377"/>
      <c r="AR115" s="1377"/>
      <c r="AS115" s="197"/>
      <c r="AT115" s="1377"/>
      <c r="AU115" s="1377"/>
      <c r="AV115" s="1377"/>
      <c r="AW115" s="1377"/>
      <c r="AX115" s="1377"/>
      <c r="AY115" s="1377"/>
      <c r="AZ115" s="1377"/>
      <c r="BA115" s="1377"/>
      <c r="BB115" s="1377"/>
      <c r="BC115" s="1365"/>
      <c r="BF115" s="924" t="s">
        <v>791</v>
      </c>
    </row>
    <row r="116" spans="1:58" ht="14.65" hidden="1" customHeight="1" x14ac:dyDescent="0.15">
      <c r="E116" s="556">
        <v>15</v>
      </c>
      <c r="F116" s="3" cm="1">
        <f t="array" aca="1" ref="F116" ca="1">OFFSET(E116,-1,1)</f>
        <v>0</v>
      </c>
      <c r="H116" s="17" t="s">
        <v>792</v>
      </c>
      <c r="T116" s="388" t="b" cm="1">
        <f t="array" ref="T116">T115</f>
        <v>0</v>
      </c>
      <c r="X116" s="2032"/>
      <c r="Y116" s="2011"/>
      <c r="AB116" s="159" t="s">
        <v>793</v>
      </c>
      <c r="AC116" s="259" t="s">
        <v>643</v>
      </c>
      <c r="AD116" s="12" t="s">
        <v>563</v>
      </c>
      <c r="AE116" s="1377"/>
      <c r="AF116" s="1377"/>
      <c r="AG116" s="1377"/>
      <c r="AH116" s="1377"/>
      <c r="AI116" s="197"/>
      <c r="AJ116" s="1377"/>
      <c r="AK116" s="1377"/>
      <c r="AL116" s="1377"/>
      <c r="AM116" s="1377"/>
      <c r="AN116" s="1377"/>
      <c r="AO116" s="1377"/>
      <c r="AP116" s="1377"/>
      <c r="AQ116" s="1377"/>
      <c r="AR116" s="1377"/>
      <c r="AS116" s="197"/>
      <c r="AT116" s="1377"/>
      <c r="AU116" s="1377"/>
      <c r="AV116" s="1377"/>
      <c r="AW116" s="1377"/>
      <c r="AX116" s="1377"/>
      <c r="AY116" s="1377"/>
      <c r="AZ116" s="1377"/>
      <c r="BA116" s="1377"/>
      <c r="BB116" s="1377"/>
      <c r="BC116" s="1365"/>
      <c r="BF116" s="924" t="s">
        <v>794</v>
      </c>
    </row>
    <row r="117" spans="1:58" ht="21.95" hidden="1" customHeight="1" x14ac:dyDescent="0.15">
      <c r="E117" s="556">
        <v>22.5</v>
      </c>
      <c r="F117" s="3" cm="1">
        <f t="array" aca="1" ref="F117" ca="1">OFFSET(E117,-1,1)</f>
        <v>0</v>
      </c>
      <c r="H117" s="17" t="s">
        <v>795</v>
      </c>
      <c r="T117" s="388" t="b" cm="1">
        <f t="array" ref="T117">T116</f>
        <v>0</v>
      </c>
      <c r="X117" s="2032"/>
      <c r="Y117" s="2011"/>
      <c r="AB117" s="159" t="s">
        <v>796</v>
      </c>
      <c r="AC117" s="253" t="s">
        <v>604</v>
      </c>
      <c r="AD117" s="12" t="s">
        <v>563</v>
      </c>
      <c r="AE117" s="1364"/>
      <c r="AF117" s="1364"/>
      <c r="AG117" s="1364"/>
      <c r="AH117" s="1364"/>
      <c r="AI117" s="194"/>
      <c r="AJ117" s="1364"/>
      <c r="AK117" s="1364"/>
      <c r="AL117" s="1364"/>
      <c r="AM117" s="1364"/>
      <c r="AN117" s="1364"/>
      <c r="AO117" s="1364"/>
      <c r="AP117" s="1364"/>
      <c r="AQ117" s="1364"/>
      <c r="AR117" s="1364"/>
      <c r="AS117" s="194"/>
      <c r="AT117" s="1364"/>
      <c r="AU117" s="1364"/>
      <c r="AV117" s="1364"/>
      <c r="AW117" s="1364"/>
      <c r="AX117" s="1364"/>
      <c r="AY117" s="1364"/>
      <c r="AZ117" s="1364"/>
      <c r="BA117" s="1364"/>
      <c r="BB117" s="1364"/>
      <c r="BC117" s="1365"/>
      <c r="BF117" s="924" t="s">
        <v>797</v>
      </c>
    </row>
    <row r="118" spans="1:58" s="1334" customFormat="1" ht="14.25" customHeight="1" x14ac:dyDescent="0.15">
      <c r="A118" s="1214"/>
      <c r="B118" s="1083"/>
      <c r="C118" s="1214"/>
      <c r="D118" s="1214"/>
      <c r="E118" s="556">
        <v>15</v>
      </c>
      <c r="F118" s="265" t="str" cm="1">
        <f t="array" ref="F118">X118</f>
        <v>1</v>
      </c>
      <c r="G118" s="1214"/>
      <c r="H118" s="1214"/>
      <c r="I118" s="1214"/>
      <c r="J118" s="1214"/>
      <c r="K118" s="1214"/>
      <c r="L118" s="1214"/>
      <c r="M118" s="1214"/>
      <c r="N118" s="1214"/>
      <c r="O118" s="1214"/>
      <c r="P118" s="1194"/>
      <c r="Q118" s="1194"/>
      <c r="R118" s="1194"/>
      <c r="S118" s="1194"/>
      <c r="T118" s="388" t="b">
        <f>X118&gt;0</f>
        <v>1</v>
      </c>
      <c r="U118" s="1194"/>
      <c r="V118" s="17" t="str" cm="1">
        <f t="array" ref="V118">ИИКА!$AB$32</f>
        <v>Тариф 1 (Водоснабжение) - тариф на питьевую воду</v>
      </c>
      <c r="W118" s="1194"/>
      <c r="X118" s="2032" t="s">
        <v>282</v>
      </c>
      <c r="Y118" s="2011"/>
      <c r="Z118" s="1214"/>
      <c r="AA118" s="1214"/>
      <c r="AB118" s="99" t="str" cm="1">
        <f t="array" ref="AB118">ИИКА!$AB$32</f>
        <v>Тариф 1 (Водоснабжение) - тариф на питьевую воду</v>
      </c>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1214"/>
      <c r="BE118" s="1214"/>
      <c r="BF118" s="1216"/>
    </row>
    <row r="119" spans="1:58" s="1334" customFormat="1" ht="14.25" customHeight="1" x14ac:dyDescent="0.15">
      <c r="A119" s="1214"/>
      <c r="B119" s="1083"/>
      <c r="C119" s="1214"/>
      <c r="D119" s="1214"/>
      <c r="E119" s="556">
        <v>15</v>
      </c>
      <c r="F119" s="3" t="str" cm="1">
        <f t="array" aca="1" ref="F119" ca="1">OFFSET(E119,-1,1)</f>
        <v>1</v>
      </c>
      <c r="G119" s="1214"/>
      <c r="H119" s="1214"/>
      <c r="I119" s="1214"/>
      <c r="J119" s="1214"/>
      <c r="K119" s="1214"/>
      <c r="L119" s="1214"/>
      <c r="M119" s="1214"/>
      <c r="N119" s="1214"/>
      <c r="O119" s="1214"/>
      <c r="P119" s="1194"/>
      <c r="Q119" s="1194"/>
      <c r="R119" s="337" t="b" cm="1">
        <f t="array" ref="R119">INDEX('Общие сведения'!$AN$185:$AN$228,MATCH($X118,'Общие сведения'!$Z$185:$Z$228,0))</f>
        <v>0</v>
      </c>
      <c r="S119" s="337" t="b">
        <f>IF(ISERROR(SEARCH("Водоснабжение",AB118)),FALSE,TRUE)</f>
        <v>1</v>
      </c>
      <c r="T119" s="388" t="b">
        <f>AND(X118&gt;0,S119,NOT(R119))</f>
        <v>1</v>
      </c>
      <c r="U119" s="1194"/>
      <c r="V119" s="1214"/>
      <c r="W119" s="1194"/>
      <c r="X119" s="2032"/>
      <c r="Y119" s="2011"/>
      <c r="Z119" s="1214"/>
      <c r="AA119" s="1214"/>
      <c r="AB119" s="159" t="s">
        <v>282</v>
      </c>
      <c r="AC119" s="245" t="s">
        <v>560</v>
      </c>
      <c r="AD119" s="11"/>
      <c r="AE119" s="493" t="str" cm="1">
        <f t="array" ref="AE119">INDEX('Общие сведения'!$AH$185:$AH$228,MATCH($X118,'Общие сведения'!$Z$185:$Z$228,0))</f>
        <v>питьевая вода</v>
      </c>
      <c r="AF119" s="278"/>
      <c r="AG119" s="278"/>
      <c r="AH119" s="278"/>
      <c r="AI119" s="278"/>
      <c r="AJ119" s="278"/>
      <c r="AK119" s="278"/>
      <c r="AL119" s="278"/>
      <c r="AM119" s="278"/>
      <c r="AN119" s="278"/>
      <c r="AO119" s="278"/>
      <c r="AP119" s="278"/>
      <c r="AQ119" s="278"/>
      <c r="AR119" s="278"/>
      <c r="AS119" s="278"/>
      <c r="AT119" s="278"/>
      <c r="AU119" s="278"/>
      <c r="AV119" s="278"/>
      <c r="AW119" s="278"/>
      <c r="AX119" s="278"/>
      <c r="AY119" s="278"/>
      <c r="AZ119" s="278"/>
      <c r="BA119" s="278"/>
      <c r="BB119" s="279"/>
      <c r="BC119" s="119"/>
      <c r="BD119" s="1214"/>
      <c r="BE119" s="1214"/>
      <c r="BF119" s="924" t="s">
        <v>561</v>
      </c>
    </row>
    <row r="120" spans="1:58" s="1334" customFormat="1" ht="14.25" customHeight="1" x14ac:dyDescent="0.15">
      <c r="A120" s="1214"/>
      <c r="B120" s="1083"/>
      <c r="C120" s="1214"/>
      <c r="D120" s="1214"/>
      <c r="E120" s="556">
        <v>15</v>
      </c>
      <c r="F120" s="3" t="str" cm="1">
        <f t="array" aca="1" ref="F120" ca="1">OFFSET(E120,-1,1)</f>
        <v>1</v>
      </c>
      <c r="G120" s="1214"/>
      <c r="H120" s="17" t="s">
        <v>335</v>
      </c>
      <c r="I120" s="1214"/>
      <c r="J120" s="1214"/>
      <c r="K120" s="1214"/>
      <c r="L120" s="1214"/>
      <c r="M120" s="1214"/>
      <c r="N120" s="1214"/>
      <c r="O120" s="1214"/>
      <c r="P120" s="1194"/>
      <c r="Q120" s="1194"/>
      <c r="R120" s="1194"/>
      <c r="S120" s="1194"/>
      <c r="T120" s="388" t="b" cm="1">
        <f t="array" ref="T120">T119</f>
        <v>1</v>
      </c>
      <c r="U120" s="1194"/>
      <c r="V120" s="1214"/>
      <c r="W120" s="1194"/>
      <c r="X120" s="2032"/>
      <c r="Y120" s="2011"/>
      <c r="Z120" s="1214"/>
      <c r="AA120" s="1214"/>
      <c r="AB120" s="159" t="s">
        <v>289</v>
      </c>
      <c r="AC120" s="246" t="s">
        <v>562</v>
      </c>
      <c r="AD120" s="12" t="s">
        <v>563</v>
      </c>
      <c r="AE120" s="232">
        <f t="shared" ref="AE120:BB120" si="27">AE129+AE124-AE127</f>
        <v>10254.444794286501</v>
      </c>
      <c r="AF120" s="232">
        <f t="shared" si="27"/>
        <v>13067.687000000002</v>
      </c>
      <c r="AG120" s="232">
        <f t="shared" si="27"/>
        <v>13067.687000000002</v>
      </c>
      <c r="AH120" s="232">
        <f t="shared" si="27"/>
        <v>10254.444794286501</v>
      </c>
      <c r="AI120" s="232">
        <f t="shared" si="27"/>
        <v>13067.687000000002</v>
      </c>
      <c r="AJ120" s="232">
        <f t="shared" si="27"/>
        <v>12044.258</v>
      </c>
      <c r="AK120" s="232">
        <f t="shared" si="27"/>
        <v>12044.258</v>
      </c>
      <c r="AL120" s="232">
        <f t="shared" si="27"/>
        <v>12044.258</v>
      </c>
      <c r="AM120" s="232">
        <f t="shared" si="27"/>
        <v>12044.258</v>
      </c>
      <c r="AN120" s="232">
        <f t="shared" si="27"/>
        <v>12044.258</v>
      </c>
      <c r="AO120" s="232">
        <f t="shared" si="27"/>
        <v>12044.258</v>
      </c>
      <c r="AP120" s="232">
        <f t="shared" si="27"/>
        <v>0</v>
      </c>
      <c r="AQ120" s="232">
        <f t="shared" si="27"/>
        <v>0</v>
      </c>
      <c r="AR120" s="232">
        <f t="shared" si="27"/>
        <v>0</v>
      </c>
      <c r="AS120" s="232">
        <f t="shared" si="27"/>
        <v>9490.8776400000006</v>
      </c>
      <c r="AT120" s="232">
        <f t="shared" si="27"/>
        <v>10254.444794286501</v>
      </c>
      <c r="AU120" s="232">
        <f t="shared" si="27"/>
        <v>10254.444794286501</v>
      </c>
      <c r="AV120" s="232">
        <f t="shared" si="27"/>
        <v>10254.444794286501</v>
      </c>
      <c r="AW120" s="232">
        <f t="shared" si="27"/>
        <v>10254.444794286501</v>
      </c>
      <c r="AX120" s="232">
        <f t="shared" si="27"/>
        <v>10254.444794286501</v>
      </c>
      <c r="AY120" s="232">
        <f t="shared" si="27"/>
        <v>10254.444794286501</v>
      </c>
      <c r="AZ120" s="232">
        <f t="shared" si="27"/>
        <v>0</v>
      </c>
      <c r="BA120" s="232">
        <f t="shared" si="27"/>
        <v>0</v>
      </c>
      <c r="BB120" s="232">
        <f t="shared" si="27"/>
        <v>0</v>
      </c>
      <c r="BC120" s="119"/>
      <c r="BD120" s="1214"/>
      <c r="BE120" s="1214"/>
      <c r="BF120" s="924" t="s">
        <v>564</v>
      </c>
    </row>
    <row r="121" spans="1:58" s="1334" customFormat="1" ht="14.65" customHeight="1" x14ac:dyDescent="0.15">
      <c r="A121" s="1214"/>
      <c r="B121" s="1083"/>
      <c r="C121" s="1214"/>
      <c r="D121" s="1214"/>
      <c r="E121" s="556">
        <v>15</v>
      </c>
      <c r="F121" s="3" t="str" cm="1">
        <f t="array" aca="1" ref="F121" ca="1">OFFSET(E121,-1,1)</f>
        <v>1</v>
      </c>
      <c r="G121" s="1214"/>
      <c r="H121" s="17" t="s">
        <v>565</v>
      </c>
      <c r="I121" s="1214"/>
      <c r="J121" s="1214"/>
      <c r="K121" s="1214"/>
      <c r="L121" s="1214"/>
      <c r="M121" s="1214"/>
      <c r="N121" s="1214"/>
      <c r="O121" s="1214"/>
      <c r="P121" s="1194"/>
      <c r="Q121" s="1194"/>
      <c r="R121" s="1194"/>
      <c r="S121" s="1194"/>
      <c r="T121" s="388" t="b" cm="1">
        <f t="array" ref="T121">T120</f>
        <v>1</v>
      </c>
      <c r="U121" s="1194"/>
      <c r="V121" s="1214"/>
      <c r="W121" s="1194"/>
      <c r="X121" s="2032"/>
      <c r="Y121" s="2011"/>
      <c r="Z121" s="1214"/>
      <c r="AA121" s="1214"/>
      <c r="AB121" s="159" t="s">
        <v>566</v>
      </c>
      <c r="AC121" s="111" t="s">
        <v>567</v>
      </c>
      <c r="AD121" s="12" t="s">
        <v>563</v>
      </c>
      <c r="AE121" s="197">
        <v>10254.444794286501</v>
      </c>
      <c r="AF121" s="197">
        <v>13067.687</v>
      </c>
      <c r="AG121" s="197">
        <v>13067.687</v>
      </c>
      <c r="AH121" s="197">
        <v>10254.444794286501</v>
      </c>
      <c r="AI121" s="197">
        <v>13067.687</v>
      </c>
      <c r="AJ121" s="1377">
        <v>12044.258</v>
      </c>
      <c r="AK121" s="1377">
        <v>12044.258</v>
      </c>
      <c r="AL121" s="1377">
        <v>12044.258</v>
      </c>
      <c r="AM121" s="1377">
        <v>12044.258</v>
      </c>
      <c r="AN121" s="1377">
        <v>12044.258</v>
      </c>
      <c r="AO121" s="1377">
        <v>12044.258</v>
      </c>
      <c r="AP121" s="197"/>
      <c r="AQ121" s="197"/>
      <c r="AR121" s="197"/>
      <c r="AS121" s="197">
        <v>10275.983130000001</v>
      </c>
      <c r="AT121" s="1377">
        <v>10254.444794286501</v>
      </c>
      <c r="AU121" s="1377">
        <v>10254.444794286501</v>
      </c>
      <c r="AV121" s="1377">
        <v>10254.444794286501</v>
      </c>
      <c r="AW121" s="1377">
        <v>10254.444794286501</v>
      </c>
      <c r="AX121" s="1377">
        <v>10254.444794286501</v>
      </c>
      <c r="AY121" s="1377">
        <v>10254.444794286501</v>
      </c>
      <c r="AZ121" s="197"/>
      <c r="BA121" s="197"/>
      <c r="BB121" s="197"/>
      <c r="BC121" s="202"/>
      <c r="BD121" s="1214"/>
      <c r="BE121" s="1214"/>
      <c r="BF121" s="924" t="s">
        <v>568</v>
      </c>
    </row>
    <row r="122" spans="1:58" s="1334" customFormat="1" ht="14.25" customHeight="1" x14ac:dyDescent="0.15">
      <c r="A122" s="1214"/>
      <c r="B122" s="1083"/>
      <c r="C122" s="1214"/>
      <c r="D122" s="1214"/>
      <c r="E122" s="556">
        <v>15</v>
      </c>
      <c r="F122" s="3" t="str" cm="1">
        <f t="array" aca="1" ref="F122" ca="1">OFFSET(E122,-1,1)</f>
        <v>1</v>
      </c>
      <c r="G122" s="1214"/>
      <c r="H122" s="17" t="s">
        <v>569</v>
      </c>
      <c r="I122" s="1214"/>
      <c r="J122" s="1214"/>
      <c r="K122" s="1214"/>
      <c r="L122" s="1214"/>
      <c r="M122" s="1214"/>
      <c r="N122" s="1214"/>
      <c r="O122" s="1214"/>
      <c r="P122" s="1194"/>
      <c r="Q122" s="1194"/>
      <c r="R122" s="1194"/>
      <c r="S122" s="1194"/>
      <c r="T122" s="388" t="b" cm="1">
        <f t="array" ref="T122">T121</f>
        <v>1</v>
      </c>
      <c r="U122" s="1194"/>
      <c r="V122" s="1214"/>
      <c r="W122" s="1194"/>
      <c r="X122" s="2032"/>
      <c r="Y122" s="2011"/>
      <c r="Z122" s="1214"/>
      <c r="AA122" s="1214"/>
      <c r="AB122" s="159" t="s">
        <v>570</v>
      </c>
      <c r="AC122" s="111" t="s">
        <v>571</v>
      </c>
      <c r="AD122" s="12" t="s">
        <v>563</v>
      </c>
      <c r="AE122" s="197"/>
      <c r="AF122" s="197"/>
      <c r="AG122" s="197"/>
      <c r="AH122" s="197"/>
      <c r="AI122" s="197"/>
      <c r="AJ122" s="1377"/>
      <c r="AK122" s="1377"/>
      <c r="AL122" s="1377"/>
      <c r="AM122" s="1377"/>
      <c r="AN122" s="1377"/>
      <c r="AO122" s="1377"/>
      <c r="AP122" s="197"/>
      <c r="AQ122" s="197"/>
      <c r="AR122" s="197"/>
      <c r="AS122" s="197"/>
      <c r="AT122" s="1377"/>
      <c r="AU122" s="1377"/>
      <c r="AV122" s="1377"/>
      <c r="AW122" s="1377"/>
      <c r="AX122" s="1377"/>
      <c r="AY122" s="1377"/>
      <c r="AZ122" s="197"/>
      <c r="BA122" s="197"/>
      <c r="BB122" s="197"/>
      <c r="BC122" s="202"/>
      <c r="BD122" s="1214"/>
      <c r="BE122" s="1214"/>
      <c r="BF122" s="924" t="s">
        <v>572</v>
      </c>
    </row>
    <row r="123" spans="1:58" s="1334" customFormat="1" ht="21.75" customHeight="1" x14ac:dyDescent="0.15">
      <c r="A123" s="1214"/>
      <c r="B123" s="1083"/>
      <c r="C123" s="1214"/>
      <c r="D123" s="1214"/>
      <c r="E123" s="556">
        <v>22.5</v>
      </c>
      <c r="F123" s="3" t="str" cm="1">
        <f t="array" aca="1" ref="F123" ca="1">OFFSET(E123,-1,1)</f>
        <v>1</v>
      </c>
      <c r="G123" s="1214"/>
      <c r="H123" s="17" t="s">
        <v>573</v>
      </c>
      <c r="I123" s="1214"/>
      <c r="J123" s="1214"/>
      <c r="K123" s="1214"/>
      <c r="L123" s="1214"/>
      <c r="M123" s="1214"/>
      <c r="N123" s="1214"/>
      <c r="O123" s="1214"/>
      <c r="P123" s="1194"/>
      <c r="Q123" s="1194"/>
      <c r="R123" s="1194"/>
      <c r="S123" s="1194"/>
      <c r="T123" s="388" t="b" cm="1">
        <f t="array" ref="T123">T122</f>
        <v>1</v>
      </c>
      <c r="U123" s="1194"/>
      <c r="V123" s="1214"/>
      <c r="W123" s="1194"/>
      <c r="X123" s="2032"/>
      <c r="Y123" s="2011"/>
      <c r="Z123" s="1214"/>
      <c r="AA123" s="1214"/>
      <c r="AB123" s="159" t="s">
        <v>574</v>
      </c>
      <c r="AC123" s="246" t="s">
        <v>575</v>
      </c>
      <c r="AD123" s="12" t="s">
        <v>563</v>
      </c>
      <c r="AE123" s="197"/>
      <c r="AF123" s="197"/>
      <c r="AG123" s="197"/>
      <c r="AH123" s="197"/>
      <c r="AI123" s="197"/>
      <c r="AJ123" s="1377"/>
      <c r="AK123" s="1377"/>
      <c r="AL123" s="1377"/>
      <c r="AM123" s="1377"/>
      <c r="AN123" s="1377"/>
      <c r="AO123" s="1377"/>
      <c r="AP123" s="197"/>
      <c r="AQ123" s="197"/>
      <c r="AR123" s="197"/>
      <c r="AS123" s="197"/>
      <c r="AT123" s="1377"/>
      <c r="AU123" s="1377"/>
      <c r="AV123" s="1377"/>
      <c r="AW123" s="1377"/>
      <c r="AX123" s="1377"/>
      <c r="AY123" s="1377"/>
      <c r="AZ123" s="197"/>
      <c r="BA123" s="197"/>
      <c r="BB123" s="197"/>
      <c r="BC123" s="202"/>
      <c r="BD123" s="1214"/>
      <c r="BE123" s="1214"/>
      <c r="BF123" s="924" t="s">
        <v>576</v>
      </c>
    </row>
    <row r="124" spans="1:58" s="1334" customFormat="1" ht="65.25" customHeight="1" x14ac:dyDescent="0.15">
      <c r="A124" s="1214"/>
      <c r="B124" s="1083"/>
      <c r="C124" s="1214"/>
      <c r="D124" s="1214"/>
      <c r="E124" s="556">
        <v>15</v>
      </c>
      <c r="F124" s="3" t="str" cm="1">
        <f t="array" aca="1" ref="F124" ca="1">OFFSET(E124,-1,1)</f>
        <v>1</v>
      </c>
      <c r="G124" s="1214"/>
      <c r="H124" s="17" t="s">
        <v>334</v>
      </c>
      <c r="I124" s="1214"/>
      <c r="J124" s="1214"/>
      <c r="K124" s="1214"/>
      <c r="L124" s="1214"/>
      <c r="M124" s="1214"/>
      <c r="N124" s="1214"/>
      <c r="O124" s="1214"/>
      <c r="P124" s="1194"/>
      <c r="Q124" s="1194"/>
      <c r="R124" s="1194"/>
      <c r="S124" s="1194"/>
      <c r="T124" s="388" t="b" cm="1">
        <f t="array" ref="T124">T123</f>
        <v>1</v>
      </c>
      <c r="U124" s="1194"/>
      <c r="V124" s="1214"/>
      <c r="W124" s="1194"/>
      <c r="X124" s="2032"/>
      <c r="Y124" s="2011"/>
      <c r="Z124" s="1214"/>
      <c r="AA124" s="1214"/>
      <c r="AB124" s="159" t="s">
        <v>329</v>
      </c>
      <c r="AC124" s="246" t="s">
        <v>577</v>
      </c>
      <c r="AD124" s="12" t="s">
        <v>563</v>
      </c>
      <c r="AE124" s="232">
        <f t="shared" ref="AE124:BB124" si="28">SUM(AE125:AE126)</f>
        <v>3197.6132299999999</v>
      </c>
      <c r="AF124" s="232">
        <f t="shared" si="28"/>
        <v>3514.3990000000003</v>
      </c>
      <c r="AG124" s="232">
        <f t="shared" si="28"/>
        <v>3514.3990000000003</v>
      </c>
      <c r="AH124" s="232">
        <f t="shared" si="28"/>
        <v>3197.6132299999999</v>
      </c>
      <c r="AI124" s="232">
        <f t="shared" si="28"/>
        <v>3514.3990000000003</v>
      </c>
      <c r="AJ124" s="232">
        <f t="shared" si="28"/>
        <v>3301.9156199999998</v>
      </c>
      <c r="AK124" s="232">
        <f t="shared" si="28"/>
        <v>3301.9156199999998</v>
      </c>
      <c r="AL124" s="232">
        <f t="shared" si="28"/>
        <v>3301.9156199999998</v>
      </c>
      <c r="AM124" s="232">
        <f t="shared" si="28"/>
        <v>3301.9156199999998</v>
      </c>
      <c r="AN124" s="232">
        <f t="shared" si="28"/>
        <v>3301.9156199999998</v>
      </c>
      <c r="AO124" s="232">
        <f t="shared" si="28"/>
        <v>3301.9156199999998</v>
      </c>
      <c r="AP124" s="232">
        <f t="shared" si="28"/>
        <v>0</v>
      </c>
      <c r="AQ124" s="232">
        <f t="shared" si="28"/>
        <v>0</v>
      </c>
      <c r="AR124" s="232">
        <f t="shared" si="28"/>
        <v>0</v>
      </c>
      <c r="AS124" s="232">
        <f t="shared" si="28"/>
        <v>2729.2931200000003</v>
      </c>
      <c r="AT124" s="232">
        <f t="shared" si="28"/>
        <v>3197.6132299999999</v>
      </c>
      <c r="AU124" s="232">
        <f t="shared" si="28"/>
        <v>3197.6132299999999</v>
      </c>
      <c r="AV124" s="232">
        <f t="shared" si="28"/>
        <v>3197.6132299999999</v>
      </c>
      <c r="AW124" s="232">
        <f t="shared" si="28"/>
        <v>3197.6132299999999</v>
      </c>
      <c r="AX124" s="232">
        <f t="shared" si="28"/>
        <v>3197.6132299999999</v>
      </c>
      <c r="AY124" s="232">
        <f t="shared" si="28"/>
        <v>3197.6132299999999</v>
      </c>
      <c r="AZ124" s="232">
        <f t="shared" si="28"/>
        <v>0</v>
      </c>
      <c r="BA124" s="232">
        <f t="shared" si="28"/>
        <v>0</v>
      </c>
      <c r="BB124" s="232">
        <f t="shared" si="28"/>
        <v>0</v>
      </c>
      <c r="BC124" s="202" t="s">
        <v>798</v>
      </c>
      <c r="BD124" s="1214"/>
      <c r="BE124" s="1214"/>
      <c r="BF124" s="924" t="s">
        <v>578</v>
      </c>
    </row>
    <row r="125" spans="1:58" s="1334" customFormat="1" ht="14.65" customHeight="1" x14ac:dyDescent="0.15">
      <c r="A125" s="1214"/>
      <c r="B125" s="1083"/>
      <c r="C125" s="1214"/>
      <c r="D125" s="1214"/>
      <c r="E125" s="556">
        <v>15</v>
      </c>
      <c r="F125" s="3" t="str" cm="1">
        <f t="array" aca="1" ref="F125" ca="1">OFFSET(E125,-1,1)</f>
        <v>1</v>
      </c>
      <c r="G125" s="1214"/>
      <c r="H125" s="17" t="s">
        <v>579</v>
      </c>
      <c r="I125" s="1214"/>
      <c r="J125" s="1214"/>
      <c r="K125" s="1214"/>
      <c r="L125" s="1214"/>
      <c r="M125" s="1214"/>
      <c r="N125" s="1214"/>
      <c r="O125" s="1214"/>
      <c r="P125" s="1194"/>
      <c r="Q125" s="1194"/>
      <c r="R125" s="1194"/>
      <c r="S125" s="1194"/>
      <c r="T125" s="388" t="b" cm="1">
        <f t="array" ref="T125">T124</f>
        <v>1</v>
      </c>
      <c r="U125" s="1194"/>
      <c r="V125" s="1214"/>
      <c r="W125" s="1194"/>
      <c r="X125" s="2032"/>
      <c r="Y125" s="2011"/>
      <c r="Z125" s="1214"/>
      <c r="AA125" s="1214"/>
      <c r="AB125" s="159" t="s">
        <v>580</v>
      </c>
      <c r="AC125" s="111" t="s">
        <v>581</v>
      </c>
      <c r="AD125" s="12" t="s">
        <v>563</v>
      </c>
      <c r="AE125" s="197">
        <v>1946.97111</v>
      </c>
      <c r="AF125" s="197">
        <v>2263.7570000000001</v>
      </c>
      <c r="AG125" s="197">
        <v>2263.7570000000001</v>
      </c>
      <c r="AH125" s="197">
        <v>1946.97111</v>
      </c>
      <c r="AI125" s="197">
        <v>2263.7570000000001</v>
      </c>
      <c r="AJ125" s="1377">
        <v>2051.2734999999998</v>
      </c>
      <c r="AK125" s="1377">
        <v>2051.2734999999998</v>
      </c>
      <c r="AL125" s="1377">
        <v>2051.2734999999998</v>
      </c>
      <c r="AM125" s="1377">
        <v>2051.2734999999998</v>
      </c>
      <c r="AN125" s="1377">
        <v>2051.2734999999998</v>
      </c>
      <c r="AO125" s="1377">
        <v>2051.2734999999998</v>
      </c>
      <c r="AP125" s="197"/>
      <c r="AQ125" s="197"/>
      <c r="AR125" s="197"/>
      <c r="AS125" s="197">
        <v>1478.6510000000001</v>
      </c>
      <c r="AT125" s="1377">
        <v>1946.97111</v>
      </c>
      <c r="AU125" s="1377">
        <v>1946.97111</v>
      </c>
      <c r="AV125" s="1377">
        <v>1946.97111</v>
      </c>
      <c r="AW125" s="1377">
        <v>1946.97111</v>
      </c>
      <c r="AX125" s="1377">
        <v>1946.97111</v>
      </c>
      <c r="AY125" s="1377">
        <v>1946.97111</v>
      </c>
      <c r="AZ125" s="197"/>
      <c r="BA125" s="197"/>
      <c r="BB125" s="197"/>
      <c r="BC125" s="202"/>
      <c r="BD125" s="1214"/>
      <c r="BE125" s="1214"/>
      <c r="BF125" s="924" t="s">
        <v>582</v>
      </c>
    </row>
    <row r="126" spans="1:58" s="1334" customFormat="1" ht="14.65" customHeight="1" x14ac:dyDescent="0.15">
      <c r="A126" s="1214"/>
      <c r="B126" s="1083"/>
      <c r="C126" s="1214"/>
      <c r="D126" s="1214"/>
      <c r="E126" s="556">
        <v>15</v>
      </c>
      <c r="F126" s="3" t="str" cm="1">
        <f t="array" aca="1" ref="F126" ca="1">OFFSET(E126,-1,1)</f>
        <v>1</v>
      </c>
      <c r="G126" s="1214"/>
      <c r="H126" s="17" t="s">
        <v>583</v>
      </c>
      <c r="I126" s="1214"/>
      <c r="J126" s="1214"/>
      <c r="K126" s="1214"/>
      <c r="L126" s="1214"/>
      <c r="M126" s="1214"/>
      <c r="N126" s="1214"/>
      <c r="O126" s="1214"/>
      <c r="P126" s="1194"/>
      <c r="Q126" s="1194"/>
      <c r="R126" s="1194"/>
      <c r="S126" s="1194"/>
      <c r="T126" s="388" t="b" cm="1">
        <f t="array" ref="T126">T125</f>
        <v>1</v>
      </c>
      <c r="U126" s="1194"/>
      <c r="V126" s="1214"/>
      <c r="W126" s="1194"/>
      <c r="X126" s="2032"/>
      <c r="Y126" s="2011"/>
      <c r="Z126" s="1214"/>
      <c r="AA126" s="1214"/>
      <c r="AB126" s="159" t="s">
        <v>584</v>
      </c>
      <c r="AC126" s="111" t="s">
        <v>585</v>
      </c>
      <c r="AD126" s="12" t="s">
        <v>563</v>
      </c>
      <c r="AE126" s="197">
        <v>1250.64212</v>
      </c>
      <c r="AF126" s="197">
        <v>1250.6420000000001</v>
      </c>
      <c r="AG126" s="197">
        <v>1250.6420000000001</v>
      </c>
      <c r="AH126" s="197">
        <v>1250.64212</v>
      </c>
      <c r="AI126" s="197">
        <v>1250.6420000000001</v>
      </c>
      <c r="AJ126" s="1377">
        <v>1250.64212</v>
      </c>
      <c r="AK126" s="1377">
        <v>1250.64212</v>
      </c>
      <c r="AL126" s="1377">
        <v>1250.64212</v>
      </c>
      <c r="AM126" s="1377">
        <v>1250.64212</v>
      </c>
      <c r="AN126" s="1377">
        <v>1250.64212</v>
      </c>
      <c r="AO126" s="1377">
        <v>1250.64212</v>
      </c>
      <c r="AP126" s="197"/>
      <c r="AQ126" s="197"/>
      <c r="AR126" s="197"/>
      <c r="AS126" s="197">
        <v>1250.64212</v>
      </c>
      <c r="AT126" s="1377">
        <v>1250.64212</v>
      </c>
      <c r="AU126" s="1377">
        <v>1250.64212</v>
      </c>
      <c r="AV126" s="1377">
        <v>1250.64212</v>
      </c>
      <c r="AW126" s="1377">
        <v>1250.64212</v>
      </c>
      <c r="AX126" s="1377">
        <v>1250.64212</v>
      </c>
      <c r="AY126" s="1377">
        <v>1250.64212</v>
      </c>
      <c r="AZ126" s="197"/>
      <c r="BA126" s="197"/>
      <c r="BB126" s="197"/>
      <c r="BC126" s="202"/>
      <c r="BD126" s="1214"/>
      <c r="BE126" s="1214"/>
      <c r="BF126" s="924" t="s">
        <v>586</v>
      </c>
    </row>
    <row r="127" spans="1:58" s="1334" customFormat="1" ht="14.25" customHeight="1" x14ac:dyDescent="0.15">
      <c r="A127" s="1214"/>
      <c r="B127" s="1083"/>
      <c r="C127" s="1214"/>
      <c r="D127" s="1214"/>
      <c r="E127" s="556">
        <v>15</v>
      </c>
      <c r="F127" s="3" t="str" cm="1">
        <f t="array" aca="1" ref="F127" ca="1">OFFSET(E127,-1,1)</f>
        <v>1</v>
      </c>
      <c r="G127" s="1214"/>
      <c r="H127" s="17" t="s">
        <v>544</v>
      </c>
      <c r="I127" s="1214"/>
      <c r="J127" s="1214"/>
      <c r="K127" s="1214"/>
      <c r="L127" s="1214"/>
      <c r="M127" s="1214"/>
      <c r="N127" s="1214"/>
      <c r="O127" s="1214"/>
      <c r="P127" s="1194"/>
      <c r="Q127" s="1194"/>
      <c r="R127" s="1194"/>
      <c r="S127" s="1194"/>
      <c r="T127" s="388" t="b" cm="1">
        <f t="array" ref="T127">T126</f>
        <v>1</v>
      </c>
      <c r="U127" s="1194"/>
      <c r="V127" s="1214"/>
      <c r="W127" s="1194"/>
      <c r="X127" s="2032"/>
      <c r="Y127" s="2011"/>
      <c r="Z127" s="1214"/>
      <c r="AA127" s="1214"/>
      <c r="AB127" s="159" t="s">
        <v>441</v>
      </c>
      <c r="AC127" s="245" t="s">
        <v>587</v>
      </c>
      <c r="AD127" s="12" t="s">
        <v>563</v>
      </c>
      <c r="AE127" s="194"/>
      <c r="AF127" s="194">
        <v>0</v>
      </c>
      <c r="AG127" s="194">
        <v>0</v>
      </c>
      <c r="AH127" s="194"/>
      <c r="AI127" s="194">
        <v>0</v>
      </c>
      <c r="AJ127" s="1364"/>
      <c r="AK127" s="1364"/>
      <c r="AL127" s="1364"/>
      <c r="AM127" s="1364"/>
      <c r="AN127" s="1364"/>
      <c r="AO127" s="1364"/>
      <c r="AP127" s="194"/>
      <c r="AQ127" s="194"/>
      <c r="AR127" s="194"/>
      <c r="AS127" s="194"/>
      <c r="AT127" s="1364"/>
      <c r="AU127" s="1364"/>
      <c r="AV127" s="1364"/>
      <c r="AW127" s="1364"/>
      <c r="AX127" s="1364"/>
      <c r="AY127" s="1364"/>
      <c r="AZ127" s="194"/>
      <c r="BA127" s="194"/>
      <c r="BB127" s="194"/>
      <c r="BC127" s="202"/>
      <c r="BD127" s="1214"/>
      <c r="BE127" s="1214"/>
      <c r="BF127" s="924" t="s">
        <v>588</v>
      </c>
    </row>
    <row r="128" spans="1:58" s="1334" customFormat="1" ht="14.65" customHeight="1" x14ac:dyDescent="0.15">
      <c r="A128" s="1214"/>
      <c r="B128" s="1083"/>
      <c r="C128" s="1214"/>
      <c r="D128" s="1214"/>
      <c r="E128" s="556">
        <v>15</v>
      </c>
      <c r="F128" s="3" t="str" cm="1">
        <f t="array" aca="1" ref="F128" ca="1">OFFSET(E128,-1,1)</f>
        <v>1</v>
      </c>
      <c r="G128" s="1214"/>
      <c r="H128" s="17" t="s">
        <v>547</v>
      </c>
      <c r="I128" s="1214"/>
      <c r="J128" s="1214"/>
      <c r="K128" s="1214"/>
      <c r="L128" s="1214"/>
      <c r="M128" s="1214"/>
      <c r="N128" s="1214"/>
      <c r="O128" s="1214"/>
      <c r="P128" s="1194"/>
      <c r="Q128" s="1194"/>
      <c r="R128" s="1194"/>
      <c r="S128" s="1194"/>
      <c r="T128" s="388" t="b" cm="1">
        <f t="array" ref="T128">T127</f>
        <v>1</v>
      </c>
      <c r="U128" s="1194"/>
      <c r="V128" s="1214"/>
      <c r="W128" s="1194"/>
      <c r="X128" s="2032"/>
      <c r="Y128" s="2011"/>
      <c r="Z128" s="1214"/>
      <c r="AA128" s="1214"/>
      <c r="AB128" s="159" t="s">
        <v>444</v>
      </c>
      <c r="AC128" s="245" t="s">
        <v>589</v>
      </c>
      <c r="AD128" s="12" t="s">
        <v>563</v>
      </c>
      <c r="AE128" s="197">
        <v>10254.444794286501</v>
      </c>
      <c r="AF128" s="197">
        <v>13067.687</v>
      </c>
      <c r="AG128" s="197">
        <v>13067.687</v>
      </c>
      <c r="AH128" s="197">
        <v>10254.444794286501</v>
      </c>
      <c r="AI128" s="197">
        <v>13067.687</v>
      </c>
      <c r="AJ128" s="1377">
        <v>12044.258</v>
      </c>
      <c r="AK128" s="1377">
        <v>12044.258</v>
      </c>
      <c r="AL128" s="1377">
        <v>12044.258</v>
      </c>
      <c r="AM128" s="1377">
        <v>12044.258</v>
      </c>
      <c r="AN128" s="1377">
        <v>12044.258</v>
      </c>
      <c r="AO128" s="1377">
        <v>12044.258</v>
      </c>
      <c r="AP128" s="197"/>
      <c r="AQ128" s="197"/>
      <c r="AR128" s="197"/>
      <c r="AS128" s="197">
        <v>10275.983130000001</v>
      </c>
      <c r="AT128" s="1377">
        <v>10254.444794286501</v>
      </c>
      <c r="AU128" s="1377">
        <v>10254.444794286501</v>
      </c>
      <c r="AV128" s="1377">
        <v>10254.444794286501</v>
      </c>
      <c r="AW128" s="1377">
        <v>10254.444794286501</v>
      </c>
      <c r="AX128" s="1377">
        <v>10254.444794286501</v>
      </c>
      <c r="AY128" s="1377">
        <v>10254.444794286501</v>
      </c>
      <c r="AZ128" s="197"/>
      <c r="BA128" s="197"/>
      <c r="BB128" s="197"/>
      <c r="BC128" s="202"/>
      <c r="BD128" s="1214"/>
      <c r="BE128" s="1214"/>
      <c r="BF128" s="924" t="s">
        <v>590</v>
      </c>
    </row>
    <row r="129" spans="1:58" s="1334" customFormat="1" ht="14.25" customHeight="1" x14ac:dyDescent="0.15">
      <c r="A129" s="1214"/>
      <c r="B129" s="1083"/>
      <c r="C129" s="1214"/>
      <c r="D129" s="1214"/>
      <c r="E129" s="556">
        <v>15</v>
      </c>
      <c r="F129" s="3" t="str" cm="1">
        <f t="array" aca="1" ref="F129" ca="1">OFFSET(E129,-1,1)</f>
        <v>1</v>
      </c>
      <c r="G129" s="1214"/>
      <c r="H129" s="17" t="s">
        <v>591</v>
      </c>
      <c r="I129" s="1214"/>
      <c r="J129" s="1214"/>
      <c r="K129" s="1214"/>
      <c r="L129" s="1214"/>
      <c r="M129" s="1214"/>
      <c r="N129" s="1214"/>
      <c r="O129" s="1214"/>
      <c r="P129" s="1194"/>
      <c r="Q129" s="1194"/>
      <c r="R129" s="1194"/>
      <c r="S129" s="1194"/>
      <c r="T129" s="388" t="b" cm="1">
        <f t="array" ref="T129">T128</f>
        <v>1</v>
      </c>
      <c r="U129" s="1194"/>
      <c r="V129" s="1214"/>
      <c r="W129" s="1194"/>
      <c r="X129" s="2032"/>
      <c r="Y129" s="2011"/>
      <c r="Z129" s="1214"/>
      <c r="AA129" s="1214"/>
      <c r="AB129" s="159" t="s">
        <v>446</v>
      </c>
      <c r="AC129" s="246" t="s">
        <v>592</v>
      </c>
      <c r="AD129" s="12" t="s">
        <v>563</v>
      </c>
      <c r="AE129" s="232">
        <f t="shared" ref="AE129:BB129" si="29">AE135+AE133</f>
        <v>7056.8315642865</v>
      </c>
      <c r="AF129" s="232">
        <f t="shared" si="29"/>
        <v>9553.2880000000005</v>
      </c>
      <c r="AG129" s="232">
        <f t="shared" si="29"/>
        <v>9553.2880000000005</v>
      </c>
      <c r="AH129" s="232">
        <f t="shared" si="29"/>
        <v>7056.8315642865</v>
      </c>
      <c r="AI129" s="232">
        <f t="shared" si="29"/>
        <v>9553.2880000000005</v>
      </c>
      <c r="AJ129" s="232">
        <f t="shared" si="29"/>
        <v>8742.34238</v>
      </c>
      <c r="AK129" s="232">
        <f t="shared" si="29"/>
        <v>8742.34238</v>
      </c>
      <c r="AL129" s="232">
        <f t="shared" si="29"/>
        <v>8742.34238</v>
      </c>
      <c r="AM129" s="232">
        <f t="shared" si="29"/>
        <v>8742.34238</v>
      </c>
      <c r="AN129" s="232">
        <f t="shared" si="29"/>
        <v>8742.34238</v>
      </c>
      <c r="AO129" s="232">
        <f t="shared" si="29"/>
        <v>8742.34238</v>
      </c>
      <c r="AP129" s="232">
        <f t="shared" si="29"/>
        <v>0</v>
      </c>
      <c r="AQ129" s="232">
        <f t="shared" si="29"/>
        <v>0</v>
      </c>
      <c r="AR129" s="232">
        <f t="shared" si="29"/>
        <v>0</v>
      </c>
      <c r="AS129" s="232">
        <f t="shared" si="29"/>
        <v>6761.5845200000003</v>
      </c>
      <c r="AT129" s="232">
        <f t="shared" si="29"/>
        <v>7056.8315642865</v>
      </c>
      <c r="AU129" s="232">
        <f t="shared" si="29"/>
        <v>7056.8315642865</v>
      </c>
      <c r="AV129" s="232">
        <f t="shared" si="29"/>
        <v>7056.8315642865</v>
      </c>
      <c r="AW129" s="232">
        <f t="shared" si="29"/>
        <v>7056.8315642865</v>
      </c>
      <c r="AX129" s="232">
        <f t="shared" si="29"/>
        <v>7056.8315642865</v>
      </c>
      <c r="AY129" s="232">
        <f t="shared" si="29"/>
        <v>7056.8315642865</v>
      </c>
      <c r="AZ129" s="232">
        <f t="shared" si="29"/>
        <v>0</v>
      </c>
      <c r="BA129" s="232">
        <f t="shared" si="29"/>
        <v>0</v>
      </c>
      <c r="BB129" s="232">
        <f t="shared" si="29"/>
        <v>0</v>
      </c>
      <c r="BC129" s="202"/>
      <c r="BD129" s="1214"/>
      <c r="BE129" s="1214"/>
      <c r="BF129" s="924" t="s">
        <v>593</v>
      </c>
    </row>
    <row r="130" spans="1:58" s="1334" customFormat="1" ht="21.95" customHeight="1" x14ac:dyDescent="0.15">
      <c r="A130" s="1214"/>
      <c r="B130" s="1083"/>
      <c r="C130" s="1214"/>
      <c r="D130" s="1214"/>
      <c r="E130" s="556">
        <v>22.5</v>
      </c>
      <c r="F130" s="3" t="str" cm="1">
        <f t="array" aca="1" ref="F130" ca="1">OFFSET(E130,-1,1)</f>
        <v>1</v>
      </c>
      <c r="G130" s="1214"/>
      <c r="H130" s="17" t="s">
        <v>594</v>
      </c>
      <c r="I130" s="1214"/>
      <c r="J130" s="1214"/>
      <c r="K130" s="1214"/>
      <c r="L130" s="1214"/>
      <c r="M130" s="1214"/>
      <c r="N130" s="1214"/>
      <c r="O130" s="1214"/>
      <c r="P130" s="1194"/>
      <c r="Q130" s="1194"/>
      <c r="R130" s="1194"/>
      <c r="S130" s="1194"/>
      <c r="T130" s="388" t="b" cm="1">
        <f t="array" ref="T130">T129</f>
        <v>1</v>
      </c>
      <c r="U130" s="1194"/>
      <c r="V130" s="1214"/>
      <c r="W130" s="1194"/>
      <c r="X130" s="2032"/>
      <c r="Y130" s="2011"/>
      <c r="Z130" s="1214"/>
      <c r="AA130" s="1214"/>
      <c r="AB130" s="159" t="s">
        <v>595</v>
      </c>
      <c r="AC130" s="111" t="s">
        <v>596</v>
      </c>
      <c r="AD130" s="12" t="s">
        <v>563</v>
      </c>
      <c r="AE130" s="197">
        <v>7056.8315642865</v>
      </c>
      <c r="AF130" s="197">
        <v>9553.2880000000005</v>
      </c>
      <c r="AG130" s="197">
        <v>9553.2880000000005</v>
      </c>
      <c r="AH130" s="197">
        <v>7056.8315642865</v>
      </c>
      <c r="AI130" s="197">
        <v>9553.2880000000005</v>
      </c>
      <c r="AJ130" s="1377">
        <v>8742.34238</v>
      </c>
      <c r="AK130" s="1377">
        <v>8742.34238</v>
      </c>
      <c r="AL130" s="1377">
        <v>8742.34238</v>
      </c>
      <c r="AM130" s="1377">
        <v>8742.34238</v>
      </c>
      <c r="AN130" s="1377">
        <v>8742.34238</v>
      </c>
      <c r="AO130" s="1377">
        <v>8742.34238</v>
      </c>
      <c r="AP130" s="197"/>
      <c r="AQ130" s="197"/>
      <c r="AR130" s="197"/>
      <c r="AS130" s="197">
        <v>6761.5845099999997</v>
      </c>
      <c r="AT130" s="1377">
        <v>7056.8315642865</v>
      </c>
      <c r="AU130" s="1377">
        <v>7056.8315642865</v>
      </c>
      <c r="AV130" s="1377">
        <v>7056.8315642865</v>
      </c>
      <c r="AW130" s="1377">
        <v>7056.8315642865</v>
      </c>
      <c r="AX130" s="1377">
        <v>7056.8315642865</v>
      </c>
      <c r="AY130" s="1377">
        <v>7056.8315642865</v>
      </c>
      <c r="AZ130" s="197"/>
      <c r="BA130" s="197"/>
      <c r="BB130" s="197"/>
      <c r="BC130" s="202" t="s">
        <v>799</v>
      </c>
      <c r="BD130" s="1214"/>
      <c r="BE130" s="1214"/>
      <c r="BF130" s="924" t="s">
        <v>597</v>
      </c>
    </row>
    <row r="131" spans="1:58" s="1334" customFormat="1" ht="14.25" customHeight="1" x14ac:dyDescent="0.15">
      <c r="A131" s="1214"/>
      <c r="B131" s="1083"/>
      <c r="C131" s="1214"/>
      <c r="D131" s="1214"/>
      <c r="E131" s="556">
        <v>15</v>
      </c>
      <c r="F131" s="3" t="str" cm="1">
        <f t="array" aca="1" ref="F131" ca="1">OFFSET(E131,-1,1)</f>
        <v>1</v>
      </c>
      <c r="G131" s="1214"/>
      <c r="H131" s="17" t="s">
        <v>598</v>
      </c>
      <c r="I131" s="1214"/>
      <c r="J131" s="1214"/>
      <c r="K131" s="1214"/>
      <c r="L131" s="1214"/>
      <c r="M131" s="1214"/>
      <c r="N131" s="1214"/>
      <c r="O131" s="1214"/>
      <c r="P131" s="1194"/>
      <c r="Q131" s="1194"/>
      <c r="R131" s="1194"/>
      <c r="S131" s="1194"/>
      <c r="T131" s="388" t="b" cm="1">
        <f t="array" ref="T131">T130</f>
        <v>1</v>
      </c>
      <c r="U131" s="1194"/>
      <c r="V131" s="1214"/>
      <c r="W131" s="1194"/>
      <c r="X131" s="2032"/>
      <c r="Y131" s="2011"/>
      <c r="Z131" s="1214"/>
      <c r="AA131" s="1214"/>
      <c r="AB131" s="159" t="s">
        <v>599</v>
      </c>
      <c r="AC131" s="111" t="s">
        <v>600</v>
      </c>
      <c r="AD131" s="12" t="s">
        <v>563</v>
      </c>
      <c r="AE131" s="197"/>
      <c r="AF131" s="197"/>
      <c r="AG131" s="197"/>
      <c r="AH131" s="197"/>
      <c r="AI131" s="197"/>
      <c r="AJ131" s="1377"/>
      <c r="AK131" s="1377"/>
      <c r="AL131" s="1377"/>
      <c r="AM131" s="1377"/>
      <c r="AN131" s="1377"/>
      <c r="AO131" s="1377"/>
      <c r="AP131" s="197"/>
      <c r="AQ131" s="197"/>
      <c r="AR131" s="197"/>
      <c r="AS131" s="197"/>
      <c r="AT131" s="1377"/>
      <c r="AU131" s="1377"/>
      <c r="AV131" s="1377"/>
      <c r="AW131" s="1377"/>
      <c r="AX131" s="1377"/>
      <c r="AY131" s="1377"/>
      <c r="AZ131" s="197"/>
      <c r="BA131" s="197"/>
      <c r="BB131" s="197"/>
      <c r="BC131" s="202"/>
      <c r="BD131" s="1214"/>
      <c r="BE131" s="1214"/>
      <c r="BF131" s="924" t="s">
        <v>601</v>
      </c>
    </row>
    <row r="132" spans="1:58" s="1334" customFormat="1" ht="21.75" customHeight="1" x14ac:dyDescent="0.15">
      <c r="A132" s="1214"/>
      <c r="B132" s="1083"/>
      <c r="C132" s="1214"/>
      <c r="D132" s="1214"/>
      <c r="E132" s="556">
        <v>22.5</v>
      </c>
      <c r="F132" s="3" t="str" cm="1">
        <f t="array" aca="1" ref="F132" ca="1">OFFSET(E132,-1,1)</f>
        <v>1</v>
      </c>
      <c r="G132" s="1214"/>
      <c r="H132" s="17" t="s">
        <v>602</v>
      </c>
      <c r="I132" s="1214"/>
      <c r="J132" s="1214"/>
      <c r="K132" s="1214"/>
      <c r="L132" s="1214"/>
      <c r="M132" s="1214"/>
      <c r="N132" s="1214"/>
      <c r="O132" s="1214"/>
      <c r="P132" s="1194"/>
      <c r="Q132" s="1194"/>
      <c r="R132" s="1194"/>
      <c r="S132" s="1194"/>
      <c r="T132" s="388" t="b" cm="1">
        <f t="array" ref="T132">T131</f>
        <v>1</v>
      </c>
      <c r="U132" s="1194"/>
      <c r="V132" s="1214"/>
      <c r="W132" s="1194"/>
      <c r="X132" s="2032"/>
      <c r="Y132" s="2011"/>
      <c r="Z132" s="1214"/>
      <c r="AA132" s="1214"/>
      <c r="AB132" s="159" t="s">
        <v>603</v>
      </c>
      <c r="AC132" s="111" t="s">
        <v>604</v>
      </c>
      <c r="AD132" s="12" t="s">
        <v>563</v>
      </c>
      <c r="AE132" s="197"/>
      <c r="AF132" s="197"/>
      <c r="AG132" s="197"/>
      <c r="AH132" s="197"/>
      <c r="AI132" s="197"/>
      <c r="AJ132" s="1377"/>
      <c r="AK132" s="1377"/>
      <c r="AL132" s="1377"/>
      <c r="AM132" s="1377"/>
      <c r="AN132" s="1377"/>
      <c r="AO132" s="1377"/>
      <c r="AP132" s="197"/>
      <c r="AQ132" s="197"/>
      <c r="AR132" s="197"/>
      <c r="AS132" s="197"/>
      <c r="AT132" s="1377"/>
      <c r="AU132" s="1377"/>
      <c r="AV132" s="1377"/>
      <c r="AW132" s="1377"/>
      <c r="AX132" s="1377"/>
      <c r="AY132" s="1377"/>
      <c r="AZ132" s="197"/>
      <c r="BA132" s="197"/>
      <c r="BB132" s="197"/>
      <c r="BC132" s="202"/>
      <c r="BD132" s="1214"/>
      <c r="BE132" s="1214"/>
      <c r="BF132" s="924" t="s">
        <v>605</v>
      </c>
    </row>
    <row r="133" spans="1:58" s="1334" customFormat="1" ht="14.65" customHeight="1" x14ac:dyDescent="0.15">
      <c r="A133" s="1214"/>
      <c r="B133" s="1083"/>
      <c r="C133" s="1214"/>
      <c r="D133" s="1214"/>
      <c r="E133" s="556">
        <v>15</v>
      </c>
      <c r="F133" s="3" t="str" cm="1">
        <f t="array" aca="1" ref="F133" ca="1">OFFSET(E133,-1,1)</f>
        <v>1</v>
      </c>
      <c r="G133" s="1214"/>
      <c r="H133" s="17" t="s">
        <v>606</v>
      </c>
      <c r="I133" s="1214"/>
      <c r="J133" s="1214"/>
      <c r="K133" s="1214"/>
      <c r="L133" s="1214"/>
      <c r="M133" s="1214"/>
      <c r="N133" s="1214"/>
      <c r="O133" s="1214"/>
      <c r="P133" s="1194"/>
      <c r="Q133" s="1194"/>
      <c r="R133" s="1194"/>
      <c r="S133" s="1194"/>
      <c r="T133" s="388" t="b" cm="1">
        <f t="array" ref="T133">T132</f>
        <v>1</v>
      </c>
      <c r="U133" s="1194"/>
      <c r="V133" s="1214"/>
      <c r="W133" s="1194"/>
      <c r="X133" s="2032"/>
      <c r="Y133" s="2011"/>
      <c r="Z133" s="1214"/>
      <c r="AA133" s="1214"/>
      <c r="AB133" s="159" t="s">
        <v>448</v>
      </c>
      <c r="AC133" s="245" t="s">
        <v>607</v>
      </c>
      <c r="AD133" s="12" t="s">
        <v>563</v>
      </c>
      <c r="AE133" s="197">
        <v>2530.5797989531002</v>
      </c>
      <c r="AF133" s="197">
        <v>5219.17</v>
      </c>
      <c r="AG133" s="197">
        <v>5219.17</v>
      </c>
      <c r="AH133" s="197">
        <v>2530.5797989531002</v>
      </c>
      <c r="AI133" s="197">
        <v>5219.17</v>
      </c>
      <c r="AJ133" s="1377">
        <v>4234.4101700000001</v>
      </c>
      <c r="AK133" s="1377">
        <v>4234.4101700000001</v>
      </c>
      <c r="AL133" s="1377">
        <v>4234.4101700000001</v>
      </c>
      <c r="AM133" s="1377">
        <v>4234.4101700000001</v>
      </c>
      <c r="AN133" s="1377">
        <v>4234.4101700000001</v>
      </c>
      <c r="AO133" s="1377">
        <v>4234.4101700000001</v>
      </c>
      <c r="AP133" s="197"/>
      <c r="AQ133" s="197"/>
      <c r="AR133" s="197"/>
      <c r="AS133" s="197">
        <v>2424.7042099999999</v>
      </c>
      <c r="AT133" s="1377">
        <v>2530.5797989531002</v>
      </c>
      <c r="AU133" s="1377">
        <v>2530.5797989531002</v>
      </c>
      <c r="AV133" s="1377">
        <v>2530.5797989531002</v>
      </c>
      <c r="AW133" s="1377">
        <v>2530.5797989531002</v>
      </c>
      <c r="AX133" s="1377">
        <v>2530.5797989531002</v>
      </c>
      <c r="AY133" s="1377">
        <v>2530.5797989531002</v>
      </c>
      <c r="AZ133" s="197"/>
      <c r="BA133" s="197"/>
      <c r="BB133" s="197"/>
      <c r="BC133" s="202"/>
      <c r="BD133" s="1214"/>
      <c r="BE133" s="1214"/>
      <c r="BF133" s="924" t="s">
        <v>608</v>
      </c>
    </row>
    <row r="134" spans="1:58" s="1334" customFormat="1" ht="23.25" customHeight="1" x14ac:dyDescent="0.15">
      <c r="A134" s="1214"/>
      <c r="B134" s="1083"/>
      <c r="C134" s="1214"/>
      <c r="D134" s="1214"/>
      <c r="E134" s="556">
        <v>15</v>
      </c>
      <c r="F134" s="3" t="str" cm="1">
        <f t="array" aca="1" ref="F134" ca="1">OFFSET(E134,-1,1)</f>
        <v>1</v>
      </c>
      <c r="G134" s="1214"/>
      <c r="H134" s="17" t="s">
        <v>609</v>
      </c>
      <c r="I134" s="1214"/>
      <c r="J134" s="1214"/>
      <c r="K134" s="1214"/>
      <c r="L134" s="1214"/>
      <c r="M134" s="1214"/>
      <c r="N134" s="1214"/>
      <c r="O134" s="1214"/>
      <c r="P134" s="1194"/>
      <c r="Q134" s="1194"/>
      <c r="R134" s="1194"/>
      <c r="S134" s="1194"/>
      <c r="T134" s="388" t="b" cm="1">
        <f t="array" ref="T134">T133</f>
        <v>1</v>
      </c>
      <c r="U134" s="1194"/>
      <c r="V134" s="1214"/>
      <c r="W134" s="1194"/>
      <c r="X134" s="2032"/>
      <c r="Y134" s="2011"/>
      <c r="Z134" s="1214"/>
      <c r="AA134" s="1214"/>
      <c r="AB134" s="159" t="s">
        <v>610</v>
      </c>
      <c r="AC134" s="247" t="s">
        <v>611</v>
      </c>
      <c r="AD134" s="12" t="s">
        <v>490</v>
      </c>
      <c r="AE134" s="60">
        <v>35.86</v>
      </c>
      <c r="AF134" s="60">
        <f>IF(AF129=0,0,AF133/AF129*100)</f>
        <v>54.632185274849874</v>
      </c>
      <c r="AG134" s="60">
        <v>54.632185274849903</v>
      </c>
      <c r="AH134" s="60">
        <v>35.86</v>
      </c>
      <c r="AI134" s="60">
        <v>48.435647861200003</v>
      </c>
      <c r="AJ134" s="1358">
        <v>48.435647861200003</v>
      </c>
      <c r="AK134" s="1358">
        <v>48.435647861200003</v>
      </c>
      <c r="AL134" s="1358">
        <v>48.435647861200003</v>
      </c>
      <c r="AM134" s="1358">
        <v>48.435647861200003</v>
      </c>
      <c r="AN134" s="1358">
        <v>48.435647861200003</v>
      </c>
      <c r="AO134" s="1358">
        <v>48.435647861200003</v>
      </c>
      <c r="AP134" s="60">
        <f>IF(AP129=0,0,AP133/AP129*100)</f>
        <v>0</v>
      </c>
      <c r="AQ134" s="60">
        <f>IF(AQ129=0,0,AQ133/AQ129*100)</f>
        <v>0</v>
      </c>
      <c r="AR134" s="60">
        <f>IF(AR129=0,0,AR133/AR129*100)</f>
        <v>0</v>
      </c>
      <c r="AS134" s="60">
        <v>35.86</v>
      </c>
      <c r="AT134" s="1358">
        <v>35.86</v>
      </c>
      <c r="AU134" s="1358">
        <v>35.86</v>
      </c>
      <c r="AV134" s="1358">
        <v>35.86</v>
      </c>
      <c r="AW134" s="1358">
        <v>35.86</v>
      </c>
      <c r="AX134" s="1358">
        <v>35.86</v>
      </c>
      <c r="AY134" s="1358">
        <v>35.86</v>
      </c>
      <c r="AZ134" s="60">
        <f>IF(AZ129=0,0,AZ133/AZ129*100)</f>
        <v>0</v>
      </c>
      <c r="BA134" s="60">
        <f>IF(BA129=0,0,BA133/BA129*100)</f>
        <v>0</v>
      </c>
      <c r="BB134" s="60">
        <f>IF(BB129=0,0,BB133/BB129*100)</f>
        <v>0</v>
      </c>
      <c r="BC134" s="202" t="s">
        <v>800</v>
      </c>
      <c r="BD134" s="1214"/>
      <c r="BE134" s="1214"/>
      <c r="BF134" s="924" t="s">
        <v>612</v>
      </c>
    </row>
    <row r="135" spans="1:58" s="1334" customFormat="1" ht="14.25" customHeight="1" x14ac:dyDescent="0.15">
      <c r="A135" s="1214"/>
      <c r="B135" s="1083"/>
      <c r="C135" s="1214"/>
      <c r="D135" s="1214"/>
      <c r="E135" s="556">
        <v>15</v>
      </c>
      <c r="F135" s="3" t="str" cm="1">
        <f t="array" aca="1" ref="F135" ca="1">OFFSET(E135,-1,1)</f>
        <v>1</v>
      </c>
      <c r="G135" s="1214"/>
      <c r="H135" s="17" t="s">
        <v>613</v>
      </c>
      <c r="I135" s="1214"/>
      <c r="J135" s="1214"/>
      <c r="K135" s="1214"/>
      <c r="L135" s="1214"/>
      <c r="M135" s="1214"/>
      <c r="N135" s="1214"/>
      <c r="O135" s="1214"/>
      <c r="P135" s="1194"/>
      <c r="Q135" s="1194"/>
      <c r="R135" s="1194"/>
      <c r="S135" s="1194"/>
      <c r="T135" s="388" t="b" cm="1">
        <f t="array" ref="T135">T134</f>
        <v>1</v>
      </c>
      <c r="U135" s="1194"/>
      <c r="V135" s="1214"/>
      <c r="W135" s="1194"/>
      <c r="X135" s="2032"/>
      <c r="Y135" s="2011"/>
      <c r="Z135" s="1214"/>
      <c r="AA135" s="1214"/>
      <c r="AB135" s="159" t="s">
        <v>450</v>
      </c>
      <c r="AC135" s="245" t="s">
        <v>614</v>
      </c>
      <c r="AD135" s="12" t="s">
        <v>563</v>
      </c>
      <c r="AE135" s="232">
        <f t="shared" ref="AE135:BB135" si="30">AE136+AE140+AE143+AE153</f>
        <v>4526.2517653333998</v>
      </c>
      <c r="AF135" s="232">
        <f t="shared" si="30"/>
        <v>4334.1180000000004</v>
      </c>
      <c r="AG135" s="232">
        <f t="shared" si="30"/>
        <v>4334.1180000000004</v>
      </c>
      <c r="AH135" s="232">
        <f t="shared" si="30"/>
        <v>4526.2517653333998</v>
      </c>
      <c r="AI135" s="232">
        <f t="shared" si="30"/>
        <v>4334.1180000000004</v>
      </c>
      <c r="AJ135" s="232">
        <f t="shared" si="30"/>
        <v>4507.9322099999999</v>
      </c>
      <c r="AK135" s="232">
        <f t="shared" si="30"/>
        <v>4507.9322099999999</v>
      </c>
      <c r="AL135" s="232">
        <f t="shared" si="30"/>
        <v>4507.9322099999999</v>
      </c>
      <c r="AM135" s="232">
        <f t="shared" si="30"/>
        <v>4507.9322099999999</v>
      </c>
      <c r="AN135" s="232">
        <f t="shared" si="30"/>
        <v>4507.9322099999999</v>
      </c>
      <c r="AO135" s="232">
        <f t="shared" si="30"/>
        <v>4507.9322099999999</v>
      </c>
      <c r="AP135" s="232">
        <f t="shared" si="30"/>
        <v>0</v>
      </c>
      <c r="AQ135" s="232">
        <f t="shared" si="30"/>
        <v>0</v>
      </c>
      <c r="AR135" s="232">
        <f t="shared" si="30"/>
        <v>0</v>
      </c>
      <c r="AS135" s="232">
        <f t="shared" si="30"/>
        <v>4336.8803100000005</v>
      </c>
      <c r="AT135" s="232">
        <f t="shared" si="30"/>
        <v>4526.2517653333998</v>
      </c>
      <c r="AU135" s="232">
        <f t="shared" si="30"/>
        <v>4526.2517653333998</v>
      </c>
      <c r="AV135" s="232">
        <f t="shared" si="30"/>
        <v>4526.2517653333998</v>
      </c>
      <c r="AW135" s="232">
        <f t="shared" si="30"/>
        <v>4526.2517653333998</v>
      </c>
      <c r="AX135" s="232">
        <f t="shared" si="30"/>
        <v>4526.2517653333998</v>
      </c>
      <c r="AY135" s="232">
        <f t="shared" si="30"/>
        <v>4526.2517653333998</v>
      </c>
      <c r="AZ135" s="232">
        <f t="shared" si="30"/>
        <v>0</v>
      </c>
      <c r="BA135" s="232">
        <f t="shared" si="30"/>
        <v>0</v>
      </c>
      <c r="BB135" s="232">
        <f t="shared" si="30"/>
        <v>0</v>
      </c>
      <c r="BC135" s="202"/>
      <c r="BD135" s="1214"/>
      <c r="BE135" s="1214"/>
      <c r="BF135" s="924" t="s">
        <v>615</v>
      </c>
    </row>
    <row r="136" spans="1:58" s="1334" customFormat="1" ht="14.25" customHeight="1" x14ac:dyDescent="0.15">
      <c r="A136" s="1214"/>
      <c r="B136" s="1083"/>
      <c r="C136" s="1214"/>
      <c r="D136" s="1214"/>
      <c r="E136" s="556">
        <v>15</v>
      </c>
      <c r="F136" s="3" t="str" cm="1">
        <f t="array" aca="1" ref="F136" ca="1">OFFSET(E136,-1,1)</f>
        <v>1</v>
      </c>
      <c r="G136" s="17" t="str">
        <f>IF(OwnNeedsInPO="да","ПО","")</f>
        <v>ПО</v>
      </c>
      <c r="H136" s="17" t="s">
        <v>616</v>
      </c>
      <c r="I136" s="1214"/>
      <c r="J136" s="1214"/>
      <c r="K136" s="1214"/>
      <c r="L136" s="1214"/>
      <c r="M136" s="1214"/>
      <c r="N136" s="1214"/>
      <c r="O136" s="1214"/>
      <c r="P136" s="1194"/>
      <c r="Q136" s="1194"/>
      <c r="R136" s="1194"/>
      <c r="S136" s="1194"/>
      <c r="T136" s="388" t="b" cm="1">
        <f t="array" ref="T136">T135</f>
        <v>1</v>
      </c>
      <c r="U136" s="1194"/>
      <c r="V136" s="1214"/>
      <c r="W136" s="1194"/>
      <c r="X136" s="2032"/>
      <c r="Y136" s="2011"/>
      <c r="Z136" s="1214"/>
      <c r="AA136" s="1214"/>
      <c r="AB136" s="159" t="s">
        <v>617</v>
      </c>
      <c r="AC136" s="111" t="s">
        <v>618</v>
      </c>
      <c r="AD136" s="12" t="s">
        <v>563</v>
      </c>
      <c r="AE136" s="232">
        <f t="shared" ref="AE136:BB136" si="31">SUM(AE137:AE139)</f>
        <v>0</v>
      </c>
      <c r="AF136" s="232">
        <f t="shared" si="31"/>
        <v>0</v>
      </c>
      <c r="AG136" s="232">
        <f t="shared" si="31"/>
        <v>0</v>
      </c>
      <c r="AH136" s="232">
        <f t="shared" si="31"/>
        <v>0</v>
      </c>
      <c r="AI136" s="232">
        <f t="shared" si="31"/>
        <v>0</v>
      </c>
      <c r="AJ136" s="232">
        <f t="shared" si="31"/>
        <v>0</v>
      </c>
      <c r="AK136" s="232">
        <f t="shared" si="31"/>
        <v>0</v>
      </c>
      <c r="AL136" s="232">
        <f t="shared" si="31"/>
        <v>0</v>
      </c>
      <c r="AM136" s="232">
        <f t="shared" si="31"/>
        <v>0</v>
      </c>
      <c r="AN136" s="232">
        <f t="shared" si="31"/>
        <v>0</v>
      </c>
      <c r="AO136" s="232">
        <f t="shared" si="31"/>
        <v>0</v>
      </c>
      <c r="AP136" s="232">
        <f t="shared" si="31"/>
        <v>0</v>
      </c>
      <c r="AQ136" s="232">
        <f t="shared" si="31"/>
        <v>0</v>
      </c>
      <c r="AR136" s="232">
        <f t="shared" si="31"/>
        <v>0</v>
      </c>
      <c r="AS136" s="232">
        <f t="shared" si="31"/>
        <v>0</v>
      </c>
      <c r="AT136" s="232">
        <f t="shared" si="31"/>
        <v>0</v>
      </c>
      <c r="AU136" s="232">
        <f t="shared" si="31"/>
        <v>0</v>
      </c>
      <c r="AV136" s="232">
        <f t="shared" si="31"/>
        <v>0</v>
      </c>
      <c r="AW136" s="232">
        <f t="shared" si="31"/>
        <v>0</v>
      </c>
      <c r="AX136" s="232">
        <f t="shared" si="31"/>
        <v>0</v>
      </c>
      <c r="AY136" s="232">
        <f t="shared" si="31"/>
        <v>0</v>
      </c>
      <c r="AZ136" s="232">
        <f t="shared" si="31"/>
        <v>0</v>
      </c>
      <c r="BA136" s="232">
        <f t="shared" si="31"/>
        <v>0</v>
      </c>
      <c r="BB136" s="232">
        <f t="shared" si="31"/>
        <v>0</v>
      </c>
      <c r="BC136" s="202"/>
      <c r="BD136" s="1214"/>
      <c r="BE136" s="1214"/>
      <c r="BF136" s="924" t="s">
        <v>619</v>
      </c>
    </row>
    <row r="137" spans="1:58" s="1334" customFormat="1" ht="14.25" customHeight="1" x14ac:dyDescent="0.15">
      <c r="A137" s="1214"/>
      <c r="B137" s="1083"/>
      <c r="C137" s="1214"/>
      <c r="D137" s="1214"/>
      <c r="E137" s="556">
        <v>15</v>
      </c>
      <c r="F137" s="3" t="str" cm="1">
        <f t="array" aca="1" ref="F137" ca="1">OFFSET(E137,-1,1)</f>
        <v>1</v>
      </c>
      <c r="G137" s="1214"/>
      <c r="H137" s="17" t="s">
        <v>620</v>
      </c>
      <c r="I137" s="1214"/>
      <c r="J137" s="1214"/>
      <c r="K137" s="1214"/>
      <c r="L137" s="1214"/>
      <c r="M137" s="1214"/>
      <c r="N137" s="1214"/>
      <c r="O137" s="1214"/>
      <c r="P137" s="1194"/>
      <c r="Q137" s="1194"/>
      <c r="R137" s="1194"/>
      <c r="S137" s="1194"/>
      <c r="T137" s="388" t="b" cm="1">
        <f t="array" ref="T137">T136</f>
        <v>1</v>
      </c>
      <c r="U137" s="1194"/>
      <c r="V137" s="1214"/>
      <c r="W137" s="1194"/>
      <c r="X137" s="2032"/>
      <c r="Y137" s="2011"/>
      <c r="Z137" s="1214"/>
      <c r="AA137" s="1214"/>
      <c r="AB137" s="159" t="s">
        <v>621</v>
      </c>
      <c r="AC137" s="248" t="s">
        <v>622</v>
      </c>
      <c r="AD137" s="12" t="s">
        <v>563</v>
      </c>
      <c r="AE137" s="197"/>
      <c r="AF137" s="197"/>
      <c r="AG137" s="197"/>
      <c r="AH137" s="197"/>
      <c r="AI137" s="197"/>
      <c r="AJ137" s="1377"/>
      <c r="AK137" s="1377"/>
      <c r="AL137" s="1377"/>
      <c r="AM137" s="1377"/>
      <c r="AN137" s="1377"/>
      <c r="AO137" s="1377"/>
      <c r="AP137" s="197"/>
      <c r="AQ137" s="197"/>
      <c r="AR137" s="197"/>
      <c r="AS137" s="197"/>
      <c r="AT137" s="1377"/>
      <c r="AU137" s="1377"/>
      <c r="AV137" s="1377"/>
      <c r="AW137" s="1377"/>
      <c r="AX137" s="1377"/>
      <c r="AY137" s="1377"/>
      <c r="AZ137" s="197"/>
      <c r="BA137" s="197"/>
      <c r="BB137" s="197"/>
      <c r="BC137" s="202"/>
      <c r="BD137" s="1214"/>
      <c r="BE137" s="1214"/>
      <c r="BF137" s="924" t="s">
        <v>623</v>
      </c>
    </row>
    <row r="138" spans="1:58" s="1334" customFormat="1" ht="14.25" customHeight="1" x14ac:dyDescent="0.15">
      <c r="A138" s="1214"/>
      <c r="B138" s="1083"/>
      <c r="C138" s="1214"/>
      <c r="D138" s="1214"/>
      <c r="E138" s="556">
        <v>15</v>
      </c>
      <c r="F138" s="3" t="str" cm="1">
        <f t="array" aca="1" ref="F138" ca="1">OFFSET(E138,-1,1)</f>
        <v>1</v>
      </c>
      <c r="G138" s="1214"/>
      <c r="H138" s="17" t="s">
        <v>624</v>
      </c>
      <c r="I138" s="1214"/>
      <c r="J138" s="1214"/>
      <c r="K138" s="1214"/>
      <c r="L138" s="1214"/>
      <c r="M138" s="1214"/>
      <c r="N138" s="1214"/>
      <c r="O138" s="1214"/>
      <c r="P138" s="1194"/>
      <c r="Q138" s="1194"/>
      <c r="R138" s="1194"/>
      <c r="S138" s="1194"/>
      <c r="T138" s="388" t="b" cm="1">
        <f t="array" ref="T138">T137</f>
        <v>1</v>
      </c>
      <c r="U138" s="1194"/>
      <c r="V138" s="1214"/>
      <c r="W138" s="1194"/>
      <c r="X138" s="2032"/>
      <c r="Y138" s="2011"/>
      <c r="Z138" s="1214"/>
      <c r="AA138" s="1214"/>
      <c r="AB138" s="159" t="s">
        <v>625</v>
      </c>
      <c r="AC138" s="248" t="s">
        <v>626</v>
      </c>
      <c r="AD138" s="12" t="s">
        <v>563</v>
      </c>
      <c r="AE138" s="197"/>
      <c r="AF138" s="197"/>
      <c r="AG138" s="197"/>
      <c r="AH138" s="197"/>
      <c r="AI138" s="197"/>
      <c r="AJ138" s="1377"/>
      <c r="AK138" s="1377"/>
      <c r="AL138" s="1377"/>
      <c r="AM138" s="1377"/>
      <c r="AN138" s="1377"/>
      <c r="AO138" s="1377"/>
      <c r="AP138" s="197"/>
      <c r="AQ138" s="197"/>
      <c r="AR138" s="197"/>
      <c r="AS138" s="197"/>
      <c r="AT138" s="1377"/>
      <c r="AU138" s="1377"/>
      <c r="AV138" s="1377"/>
      <c r="AW138" s="1377"/>
      <c r="AX138" s="1377"/>
      <c r="AY138" s="1377"/>
      <c r="AZ138" s="197"/>
      <c r="BA138" s="197"/>
      <c r="BB138" s="197"/>
      <c r="BC138" s="202"/>
      <c r="BD138" s="1214"/>
      <c r="BE138" s="1214"/>
      <c r="BF138" s="924" t="s">
        <v>627</v>
      </c>
    </row>
    <row r="139" spans="1:58" s="1334" customFormat="1" ht="14.25" customHeight="1" x14ac:dyDescent="0.15">
      <c r="A139" s="1214"/>
      <c r="B139" s="1083"/>
      <c r="C139" s="1214"/>
      <c r="D139" s="1214"/>
      <c r="E139" s="556">
        <v>15</v>
      </c>
      <c r="F139" s="3" t="str" cm="1">
        <f t="array" aca="1" ref="F139" ca="1">OFFSET(E139,-1,1)</f>
        <v>1</v>
      </c>
      <c r="G139" s="1214"/>
      <c r="H139" s="17" t="s">
        <v>628</v>
      </c>
      <c r="I139" s="1214"/>
      <c r="J139" s="1214"/>
      <c r="K139" s="1214"/>
      <c r="L139" s="1214"/>
      <c r="M139" s="1214"/>
      <c r="N139" s="1214"/>
      <c r="O139" s="1214"/>
      <c r="P139" s="1194"/>
      <c r="Q139" s="1194"/>
      <c r="R139" s="1194"/>
      <c r="S139" s="1194"/>
      <c r="T139" s="388" t="b" cm="1">
        <f t="array" ref="T139">T138</f>
        <v>1</v>
      </c>
      <c r="U139" s="1194"/>
      <c r="V139" s="1214"/>
      <c r="W139" s="1194"/>
      <c r="X139" s="2032"/>
      <c r="Y139" s="2011"/>
      <c r="Z139" s="1214"/>
      <c r="AA139" s="1214"/>
      <c r="AB139" s="159" t="s">
        <v>629</v>
      </c>
      <c r="AC139" s="248" t="s">
        <v>630</v>
      </c>
      <c r="AD139" s="12" t="s">
        <v>563</v>
      </c>
      <c r="AE139" s="197"/>
      <c r="AF139" s="197"/>
      <c r="AG139" s="197"/>
      <c r="AH139" s="197"/>
      <c r="AI139" s="197"/>
      <c r="AJ139" s="1377"/>
      <c r="AK139" s="1377"/>
      <c r="AL139" s="1377"/>
      <c r="AM139" s="1377"/>
      <c r="AN139" s="1377"/>
      <c r="AO139" s="1377"/>
      <c r="AP139" s="197"/>
      <c r="AQ139" s="197"/>
      <c r="AR139" s="197"/>
      <c r="AS139" s="197"/>
      <c r="AT139" s="1377"/>
      <c r="AU139" s="1377"/>
      <c r="AV139" s="1377"/>
      <c r="AW139" s="1377"/>
      <c r="AX139" s="1377"/>
      <c r="AY139" s="1377"/>
      <c r="AZ139" s="197"/>
      <c r="BA139" s="197"/>
      <c r="BB139" s="197"/>
      <c r="BC139" s="202"/>
      <c r="BD139" s="1214"/>
      <c r="BE139" s="1214"/>
      <c r="BF139" s="924" t="s">
        <v>631</v>
      </c>
    </row>
    <row r="140" spans="1:58" s="1334" customFormat="1" ht="14.25" customHeight="1" x14ac:dyDescent="0.15">
      <c r="A140" s="1214"/>
      <c r="B140" s="1083"/>
      <c r="C140" s="1214"/>
      <c r="D140" s="1214"/>
      <c r="E140" s="556">
        <v>15</v>
      </c>
      <c r="F140" s="3" t="str" cm="1">
        <f t="array" aca="1" ref="F140" ca="1">OFFSET(E140,-1,1)</f>
        <v>1</v>
      </c>
      <c r="G140" s="17" t="s">
        <v>632</v>
      </c>
      <c r="H140" s="17" t="s">
        <v>633</v>
      </c>
      <c r="I140" s="1214"/>
      <c r="J140" s="1214"/>
      <c r="K140" s="1214"/>
      <c r="L140" s="1214"/>
      <c r="M140" s="1214"/>
      <c r="N140" s="1214"/>
      <c r="O140" s="1214"/>
      <c r="P140" s="1194"/>
      <c r="Q140" s="1194"/>
      <c r="R140" s="1194"/>
      <c r="S140" s="1194"/>
      <c r="T140" s="388" t="b" cm="1">
        <f t="array" ref="T140">T139</f>
        <v>1</v>
      </c>
      <c r="U140" s="1194"/>
      <c r="V140" s="1214"/>
      <c r="W140" s="1194"/>
      <c r="X140" s="2032"/>
      <c r="Y140" s="2011"/>
      <c r="Z140" s="1214"/>
      <c r="AA140" s="1214"/>
      <c r="AB140" s="159" t="s">
        <v>634</v>
      </c>
      <c r="AC140" s="111" t="s">
        <v>635</v>
      </c>
      <c r="AD140" s="12" t="s">
        <v>563</v>
      </c>
      <c r="AE140" s="232">
        <f t="shared" ref="AE140:BB140" si="32">SUM(AE141:AE142)</f>
        <v>0</v>
      </c>
      <c r="AF140" s="232">
        <f t="shared" si="32"/>
        <v>0</v>
      </c>
      <c r="AG140" s="232">
        <f t="shared" si="32"/>
        <v>0</v>
      </c>
      <c r="AH140" s="232">
        <f t="shared" si="32"/>
        <v>0</v>
      </c>
      <c r="AI140" s="232">
        <f t="shared" si="32"/>
        <v>0</v>
      </c>
      <c r="AJ140" s="232">
        <f t="shared" si="32"/>
        <v>0</v>
      </c>
      <c r="AK140" s="232">
        <f t="shared" si="32"/>
        <v>0</v>
      </c>
      <c r="AL140" s="232">
        <f t="shared" si="32"/>
        <v>0</v>
      </c>
      <c r="AM140" s="232">
        <f t="shared" si="32"/>
        <v>0</v>
      </c>
      <c r="AN140" s="232">
        <f t="shared" si="32"/>
        <v>0</v>
      </c>
      <c r="AO140" s="232">
        <f t="shared" si="32"/>
        <v>0</v>
      </c>
      <c r="AP140" s="232">
        <f t="shared" si="32"/>
        <v>0</v>
      </c>
      <c r="AQ140" s="232">
        <f t="shared" si="32"/>
        <v>0</v>
      </c>
      <c r="AR140" s="232">
        <f t="shared" si="32"/>
        <v>0</v>
      </c>
      <c r="AS140" s="232">
        <f t="shared" si="32"/>
        <v>0</v>
      </c>
      <c r="AT140" s="232">
        <f t="shared" si="32"/>
        <v>0</v>
      </c>
      <c r="AU140" s="232">
        <f t="shared" si="32"/>
        <v>0</v>
      </c>
      <c r="AV140" s="232">
        <f t="shared" si="32"/>
        <v>0</v>
      </c>
      <c r="AW140" s="232">
        <f t="shared" si="32"/>
        <v>0</v>
      </c>
      <c r="AX140" s="232">
        <f t="shared" si="32"/>
        <v>0</v>
      </c>
      <c r="AY140" s="232">
        <f t="shared" si="32"/>
        <v>0</v>
      </c>
      <c r="AZ140" s="232">
        <f t="shared" si="32"/>
        <v>0</v>
      </c>
      <c r="BA140" s="232">
        <f t="shared" si="32"/>
        <v>0</v>
      </c>
      <c r="BB140" s="232">
        <f t="shared" si="32"/>
        <v>0</v>
      </c>
      <c r="BC140" s="202"/>
      <c r="BD140" s="1214"/>
      <c r="BE140" s="1214"/>
      <c r="BF140" s="924" t="s">
        <v>636</v>
      </c>
    </row>
    <row r="141" spans="1:58" s="1334" customFormat="1" ht="14.25" customHeight="1" x14ac:dyDescent="0.15">
      <c r="A141" s="1214"/>
      <c r="B141" s="1083"/>
      <c r="C141" s="1214"/>
      <c r="D141" s="1214"/>
      <c r="E141" s="556">
        <v>15</v>
      </c>
      <c r="F141" s="3" t="str" cm="1">
        <f t="array" aca="1" ref="F141" ca="1">OFFSET(E141,-1,1)</f>
        <v>1</v>
      </c>
      <c r="G141" s="1214"/>
      <c r="H141" s="17" t="s">
        <v>637</v>
      </c>
      <c r="I141" s="1214"/>
      <c r="J141" s="1214"/>
      <c r="K141" s="1214"/>
      <c r="L141" s="1214"/>
      <c r="M141" s="1214"/>
      <c r="N141" s="1214"/>
      <c r="O141" s="1214"/>
      <c r="P141" s="1194"/>
      <c r="Q141" s="1194"/>
      <c r="R141" s="1194"/>
      <c r="S141" s="1194"/>
      <c r="T141" s="388" t="b" cm="1">
        <f t="array" ref="T141">T140</f>
        <v>1</v>
      </c>
      <c r="U141" s="1194"/>
      <c r="V141" s="1214"/>
      <c r="W141" s="1194"/>
      <c r="X141" s="2032"/>
      <c r="Y141" s="2011"/>
      <c r="Z141" s="1214"/>
      <c r="AA141" s="1214"/>
      <c r="AB141" s="159" t="s">
        <v>638</v>
      </c>
      <c r="AC141" s="248" t="s">
        <v>639</v>
      </c>
      <c r="AD141" s="12" t="s">
        <v>563</v>
      </c>
      <c r="AE141" s="197"/>
      <c r="AF141" s="197"/>
      <c r="AG141" s="197"/>
      <c r="AH141" s="197"/>
      <c r="AI141" s="197"/>
      <c r="AJ141" s="1377"/>
      <c r="AK141" s="1377"/>
      <c r="AL141" s="1377"/>
      <c r="AM141" s="1377"/>
      <c r="AN141" s="1377"/>
      <c r="AO141" s="1377"/>
      <c r="AP141" s="197"/>
      <c r="AQ141" s="197"/>
      <c r="AR141" s="197"/>
      <c r="AS141" s="197"/>
      <c r="AT141" s="1377"/>
      <c r="AU141" s="1377"/>
      <c r="AV141" s="1377"/>
      <c r="AW141" s="1377"/>
      <c r="AX141" s="1377"/>
      <c r="AY141" s="1377"/>
      <c r="AZ141" s="197"/>
      <c r="BA141" s="197"/>
      <c r="BB141" s="197"/>
      <c r="BC141" s="202"/>
      <c r="BD141" s="1214"/>
      <c r="BE141" s="1214"/>
      <c r="BF141" s="924" t="s">
        <v>640</v>
      </c>
    </row>
    <row r="142" spans="1:58" s="1334" customFormat="1" ht="14.25" customHeight="1" x14ac:dyDescent="0.15">
      <c r="A142" s="1214"/>
      <c r="B142" s="1083"/>
      <c r="C142" s="1214"/>
      <c r="D142" s="1214"/>
      <c r="E142" s="556">
        <v>15</v>
      </c>
      <c r="F142" s="3" t="str" cm="1">
        <f t="array" aca="1" ref="F142" ca="1">OFFSET(E142,-1,1)</f>
        <v>1</v>
      </c>
      <c r="G142" s="1214"/>
      <c r="H142" s="17" t="s">
        <v>641</v>
      </c>
      <c r="I142" s="1214"/>
      <c r="J142" s="1214"/>
      <c r="K142" s="1214"/>
      <c r="L142" s="1214"/>
      <c r="M142" s="1214"/>
      <c r="N142" s="1214"/>
      <c r="O142" s="1214"/>
      <c r="P142" s="1194"/>
      <c r="Q142" s="1194"/>
      <c r="R142" s="1194"/>
      <c r="S142" s="1194"/>
      <c r="T142" s="388" t="b" cm="1">
        <f t="array" ref="T142">T141</f>
        <v>1</v>
      </c>
      <c r="U142" s="1194"/>
      <c r="V142" s="1214"/>
      <c r="W142" s="1194"/>
      <c r="X142" s="2032"/>
      <c r="Y142" s="2011"/>
      <c r="Z142" s="1214"/>
      <c r="AA142" s="1214"/>
      <c r="AB142" s="159" t="s">
        <v>642</v>
      </c>
      <c r="AC142" s="248" t="s">
        <v>643</v>
      </c>
      <c r="AD142" s="12" t="s">
        <v>563</v>
      </c>
      <c r="AE142" s="197"/>
      <c r="AF142" s="197"/>
      <c r="AG142" s="197"/>
      <c r="AH142" s="197"/>
      <c r="AI142" s="197"/>
      <c r="AJ142" s="1377"/>
      <c r="AK142" s="1377"/>
      <c r="AL142" s="1377"/>
      <c r="AM142" s="1377"/>
      <c r="AN142" s="1377"/>
      <c r="AO142" s="1377"/>
      <c r="AP142" s="197"/>
      <c r="AQ142" s="197"/>
      <c r="AR142" s="197"/>
      <c r="AS142" s="197"/>
      <c r="AT142" s="1377"/>
      <c r="AU142" s="1377"/>
      <c r="AV142" s="1377"/>
      <c r="AW142" s="1377"/>
      <c r="AX142" s="1377"/>
      <c r="AY142" s="1377"/>
      <c r="AZ142" s="197"/>
      <c r="BA142" s="197"/>
      <c r="BB142" s="197"/>
      <c r="BC142" s="202"/>
      <c r="BD142" s="1214"/>
      <c r="BE142" s="1214"/>
      <c r="BF142" s="924" t="s">
        <v>644</v>
      </c>
    </row>
    <row r="143" spans="1:58" s="1334" customFormat="1" ht="14.25" customHeight="1" x14ac:dyDescent="0.15">
      <c r="A143" s="1214"/>
      <c r="B143" s="1083"/>
      <c r="C143" s="1214"/>
      <c r="D143" s="1214"/>
      <c r="E143" s="556">
        <v>15</v>
      </c>
      <c r="F143" s="3" t="str" cm="1">
        <f t="array" aca="1" ref="F143" ca="1">OFFSET(E143,-1,1)</f>
        <v>1</v>
      </c>
      <c r="G143" s="17" t="s">
        <v>632</v>
      </c>
      <c r="H143" s="17" t="s">
        <v>645</v>
      </c>
      <c r="I143" s="1214"/>
      <c r="J143" s="1214"/>
      <c r="K143" s="1214"/>
      <c r="L143" s="1214"/>
      <c r="M143" s="1214"/>
      <c r="N143" s="1214"/>
      <c r="O143" s="1214"/>
      <c r="P143" s="1194"/>
      <c r="Q143" s="1194"/>
      <c r="R143" s="1194"/>
      <c r="S143" s="1194"/>
      <c r="T143" s="388" t="b" cm="1">
        <f t="array" ref="T143">T142</f>
        <v>1</v>
      </c>
      <c r="U143" s="1194"/>
      <c r="V143" s="1214"/>
      <c r="W143" s="1194"/>
      <c r="X143" s="2032"/>
      <c r="Y143" s="2011"/>
      <c r="Z143" s="1214"/>
      <c r="AA143" s="1214"/>
      <c r="AB143" s="159" t="s">
        <v>646</v>
      </c>
      <c r="AC143" s="111" t="s">
        <v>647</v>
      </c>
      <c r="AD143" s="12" t="s">
        <v>563</v>
      </c>
      <c r="AE143" s="232">
        <f t="shared" ref="AE143:BB143" si="33">AE144+AE147+AE150</f>
        <v>4526.2517653333998</v>
      </c>
      <c r="AF143" s="232">
        <f t="shared" si="33"/>
        <v>4334.1180000000004</v>
      </c>
      <c r="AG143" s="232">
        <f t="shared" si="33"/>
        <v>4334.1180000000004</v>
      </c>
      <c r="AH143" s="232">
        <f t="shared" si="33"/>
        <v>4526.2517653333998</v>
      </c>
      <c r="AI143" s="232">
        <f t="shared" si="33"/>
        <v>4334.1180000000004</v>
      </c>
      <c r="AJ143" s="232">
        <f t="shared" si="33"/>
        <v>4507.9322099999999</v>
      </c>
      <c r="AK143" s="232">
        <f t="shared" si="33"/>
        <v>4507.9322099999999</v>
      </c>
      <c r="AL143" s="232">
        <f t="shared" si="33"/>
        <v>4507.9322099999999</v>
      </c>
      <c r="AM143" s="232">
        <f t="shared" si="33"/>
        <v>4507.9322099999999</v>
      </c>
      <c r="AN143" s="232">
        <f t="shared" si="33"/>
        <v>4507.9322099999999</v>
      </c>
      <c r="AO143" s="232">
        <f t="shared" si="33"/>
        <v>4507.9322099999999</v>
      </c>
      <c r="AP143" s="232">
        <f t="shared" si="33"/>
        <v>0</v>
      </c>
      <c r="AQ143" s="232">
        <f t="shared" si="33"/>
        <v>0</v>
      </c>
      <c r="AR143" s="232">
        <f t="shared" si="33"/>
        <v>0</v>
      </c>
      <c r="AS143" s="232">
        <f t="shared" si="33"/>
        <v>4336.8803100000005</v>
      </c>
      <c r="AT143" s="232">
        <f t="shared" si="33"/>
        <v>4526.2517653333998</v>
      </c>
      <c r="AU143" s="232">
        <f t="shared" si="33"/>
        <v>4526.2517653333998</v>
      </c>
      <c r="AV143" s="232">
        <f t="shared" si="33"/>
        <v>4526.2517653333998</v>
      </c>
      <c r="AW143" s="232">
        <f t="shared" si="33"/>
        <v>4526.2517653333998</v>
      </c>
      <c r="AX143" s="232">
        <f t="shared" si="33"/>
        <v>4526.2517653333998</v>
      </c>
      <c r="AY143" s="232">
        <f t="shared" si="33"/>
        <v>4526.2517653333998</v>
      </c>
      <c r="AZ143" s="232">
        <f t="shared" si="33"/>
        <v>0</v>
      </c>
      <c r="BA143" s="232">
        <f t="shared" si="33"/>
        <v>0</v>
      </c>
      <c r="BB143" s="232">
        <f t="shared" si="33"/>
        <v>0</v>
      </c>
      <c r="BC143" s="202" t="s">
        <v>801</v>
      </c>
      <c r="BD143" s="1214"/>
      <c r="BE143" s="1214"/>
      <c r="BF143" s="924" t="s">
        <v>648</v>
      </c>
    </row>
    <row r="144" spans="1:58" s="1334" customFormat="1" ht="14.25" customHeight="1" x14ac:dyDescent="0.15">
      <c r="A144" s="1214"/>
      <c r="B144" s="1083"/>
      <c r="C144" s="1214"/>
      <c r="D144" s="1214"/>
      <c r="E144" s="556">
        <v>15</v>
      </c>
      <c r="F144" s="3" t="str" cm="1">
        <f t="array" aca="1" ref="F144" ca="1">OFFSET(E144,-1,1)</f>
        <v>1</v>
      </c>
      <c r="G144" s="1214"/>
      <c r="H144" s="17" t="s">
        <v>649</v>
      </c>
      <c r="I144" s="1214"/>
      <c r="J144" s="1214"/>
      <c r="K144" s="1214"/>
      <c r="L144" s="1214"/>
      <c r="M144" s="1214"/>
      <c r="N144" s="1214"/>
      <c r="O144" s="1214"/>
      <c r="P144" s="1194"/>
      <c r="Q144" s="1194"/>
      <c r="R144" s="1194"/>
      <c r="S144" s="1194"/>
      <c r="T144" s="388" t="b" cm="1">
        <f t="array" ref="T144">T143</f>
        <v>1</v>
      </c>
      <c r="U144" s="1194"/>
      <c r="V144" s="1214"/>
      <c r="W144" s="1194"/>
      <c r="X144" s="2032"/>
      <c r="Y144" s="2011"/>
      <c r="Z144" s="1214"/>
      <c r="AA144" s="1214"/>
      <c r="AB144" s="159" t="s">
        <v>650</v>
      </c>
      <c r="AC144" s="248" t="s">
        <v>651</v>
      </c>
      <c r="AD144" s="12" t="s">
        <v>563</v>
      </c>
      <c r="AE144" s="232">
        <f t="shared" ref="AE144:BB144" si="34">SUM(AE145:AE146)</f>
        <v>305.91782666670002</v>
      </c>
      <c r="AF144" s="232">
        <f t="shared" si="34"/>
        <v>218.352</v>
      </c>
      <c r="AG144" s="232">
        <f t="shared" si="34"/>
        <v>218.352</v>
      </c>
      <c r="AH144" s="232">
        <f t="shared" si="34"/>
        <v>305.91782666670002</v>
      </c>
      <c r="AI144" s="232">
        <f t="shared" si="34"/>
        <v>218.352</v>
      </c>
      <c r="AJ144" s="232">
        <f t="shared" si="34"/>
        <v>233.63131000000001</v>
      </c>
      <c r="AK144" s="232">
        <f t="shared" si="34"/>
        <v>233.63131000000001</v>
      </c>
      <c r="AL144" s="232">
        <f t="shared" si="34"/>
        <v>233.63131000000001</v>
      </c>
      <c r="AM144" s="232">
        <f t="shared" si="34"/>
        <v>233.63131000000001</v>
      </c>
      <c r="AN144" s="232">
        <f t="shared" si="34"/>
        <v>233.63131000000001</v>
      </c>
      <c r="AO144" s="232">
        <f t="shared" si="34"/>
        <v>233.63131000000001</v>
      </c>
      <c r="AP144" s="232">
        <f t="shared" si="34"/>
        <v>0</v>
      </c>
      <c r="AQ144" s="232">
        <f t="shared" si="34"/>
        <v>0</v>
      </c>
      <c r="AR144" s="232">
        <f t="shared" si="34"/>
        <v>0</v>
      </c>
      <c r="AS144" s="232">
        <f t="shared" si="34"/>
        <v>197.06234000000001</v>
      </c>
      <c r="AT144" s="232">
        <f t="shared" si="34"/>
        <v>305.91782666670002</v>
      </c>
      <c r="AU144" s="232">
        <f t="shared" si="34"/>
        <v>305.91782666670002</v>
      </c>
      <c r="AV144" s="232">
        <f t="shared" si="34"/>
        <v>305.91782666670002</v>
      </c>
      <c r="AW144" s="232">
        <f t="shared" si="34"/>
        <v>305.91782666670002</v>
      </c>
      <c r="AX144" s="232">
        <f t="shared" si="34"/>
        <v>305.91782666670002</v>
      </c>
      <c r="AY144" s="232">
        <f t="shared" si="34"/>
        <v>305.91782666670002</v>
      </c>
      <c r="AZ144" s="232">
        <f t="shared" si="34"/>
        <v>0</v>
      </c>
      <c r="BA144" s="232">
        <f t="shared" si="34"/>
        <v>0</v>
      </c>
      <c r="BB144" s="232">
        <f t="shared" si="34"/>
        <v>0</v>
      </c>
      <c r="BC144" s="202"/>
      <c r="BD144" s="1214"/>
      <c r="BE144" s="1214"/>
      <c r="BF144" s="924" t="s">
        <v>652</v>
      </c>
    </row>
    <row r="145" spans="1:58" s="1334" customFormat="1" ht="117.75" customHeight="1" x14ac:dyDescent="0.15">
      <c r="A145" s="1214"/>
      <c r="B145" s="1083"/>
      <c r="C145" s="1214"/>
      <c r="D145" s="1214"/>
      <c r="E145" s="556">
        <v>15</v>
      </c>
      <c r="F145" s="3" t="str" cm="1">
        <f t="array" aca="1" ref="F145" ca="1">OFFSET(E145,-1,1)</f>
        <v>1</v>
      </c>
      <c r="G145" s="1214"/>
      <c r="H145" s="17" t="s">
        <v>653</v>
      </c>
      <c r="I145" s="1214"/>
      <c r="J145" s="1214"/>
      <c r="K145" s="1214"/>
      <c r="L145" s="1214"/>
      <c r="M145" s="1214"/>
      <c r="N145" s="1214"/>
      <c r="O145" s="1214"/>
      <c r="P145" s="1194"/>
      <c r="Q145" s="1194"/>
      <c r="R145" s="1194"/>
      <c r="S145" s="1194"/>
      <c r="T145" s="388" t="b" cm="1">
        <f t="array" ref="T145">T144</f>
        <v>1</v>
      </c>
      <c r="U145" s="1194"/>
      <c r="V145" s="1214"/>
      <c r="W145" s="1194"/>
      <c r="X145" s="2032"/>
      <c r="Y145" s="2011"/>
      <c r="Z145" s="1214"/>
      <c r="AA145" s="1214"/>
      <c r="AB145" s="159" t="s">
        <v>654</v>
      </c>
      <c r="AC145" s="249" t="s">
        <v>639</v>
      </c>
      <c r="AD145" s="12" t="s">
        <v>563</v>
      </c>
      <c r="AE145" s="197">
        <v>305.91782666670002</v>
      </c>
      <c r="AF145" s="197">
        <v>218.352</v>
      </c>
      <c r="AG145" s="197">
        <v>218.352</v>
      </c>
      <c r="AH145" s="197">
        <v>305.91782666670002</v>
      </c>
      <c r="AI145" s="197">
        <v>218.352</v>
      </c>
      <c r="AJ145" s="1377">
        <v>233.63131000000001</v>
      </c>
      <c r="AK145" s="1377">
        <v>233.63131000000001</v>
      </c>
      <c r="AL145" s="1377">
        <v>233.63131000000001</v>
      </c>
      <c r="AM145" s="1377">
        <v>233.63131000000001</v>
      </c>
      <c r="AN145" s="1377">
        <v>233.63131000000001</v>
      </c>
      <c r="AO145" s="1377">
        <v>233.63131000000001</v>
      </c>
      <c r="AP145" s="197"/>
      <c r="AQ145" s="197"/>
      <c r="AR145" s="197"/>
      <c r="AS145" s="197">
        <v>197.06234000000001</v>
      </c>
      <c r="AT145" s="1377">
        <v>305.91782666670002</v>
      </c>
      <c r="AU145" s="1377">
        <v>305.91782666670002</v>
      </c>
      <c r="AV145" s="1377">
        <v>305.91782666670002</v>
      </c>
      <c r="AW145" s="1377">
        <v>305.91782666670002</v>
      </c>
      <c r="AX145" s="1377">
        <v>305.91782666670002</v>
      </c>
      <c r="AY145" s="1377">
        <v>305.91782666670002</v>
      </c>
      <c r="AZ145" s="197"/>
      <c r="BA145" s="197"/>
      <c r="BB145" s="197"/>
      <c r="BC145" s="202" t="s">
        <v>801</v>
      </c>
      <c r="BD145" s="1214"/>
      <c r="BE145" s="1214"/>
      <c r="BF145" s="924" t="s">
        <v>655</v>
      </c>
    </row>
    <row r="146" spans="1:58" s="1334" customFormat="1" ht="14.25" customHeight="1" x14ac:dyDescent="0.15">
      <c r="A146" s="1214"/>
      <c r="B146" s="1083"/>
      <c r="C146" s="1214"/>
      <c r="D146" s="1214"/>
      <c r="E146" s="556">
        <v>15</v>
      </c>
      <c r="F146" s="3" t="str" cm="1">
        <f t="array" aca="1" ref="F146" ca="1">OFFSET(E146,-1,1)</f>
        <v>1</v>
      </c>
      <c r="G146" s="1214"/>
      <c r="H146" s="17" t="s">
        <v>656</v>
      </c>
      <c r="I146" s="1214"/>
      <c r="J146" s="1214"/>
      <c r="K146" s="1214"/>
      <c r="L146" s="1214"/>
      <c r="M146" s="1214"/>
      <c r="N146" s="1214"/>
      <c r="O146" s="1214"/>
      <c r="P146" s="1194"/>
      <c r="Q146" s="1194"/>
      <c r="R146" s="1194"/>
      <c r="S146" s="1194"/>
      <c r="T146" s="388" t="b" cm="1">
        <f t="array" ref="T146">T145</f>
        <v>1</v>
      </c>
      <c r="U146" s="1194"/>
      <c r="V146" s="1214"/>
      <c r="W146" s="1194"/>
      <c r="X146" s="2032"/>
      <c r="Y146" s="2011"/>
      <c r="Z146" s="1214"/>
      <c r="AA146" s="1214"/>
      <c r="AB146" s="159" t="s">
        <v>657</v>
      </c>
      <c r="AC146" s="249" t="s">
        <v>643</v>
      </c>
      <c r="AD146" s="12" t="s">
        <v>563</v>
      </c>
      <c r="AE146" s="197"/>
      <c r="AF146" s="197"/>
      <c r="AG146" s="197"/>
      <c r="AH146" s="197"/>
      <c r="AI146" s="197"/>
      <c r="AJ146" s="1377"/>
      <c r="AK146" s="1377"/>
      <c r="AL146" s="1377"/>
      <c r="AM146" s="1377"/>
      <c r="AN146" s="1377"/>
      <c r="AO146" s="1377"/>
      <c r="AP146" s="197"/>
      <c r="AQ146" s="197"/>
      <c r="AR146" s="197"/>
      <c r="AS146" s="197"/>
      <c r="AT146" s="1377"/>
      <c r="AU146" s="1377"/>
      <c r="AV146" s="1377"/>
      <c r="AW146" s="1377"/>
      <c r="AX146" s="1377"/>
      <c r="AY146" s="1377"/>
      <c r="AZ146" s="197"/>
      <c r="BA146" s="197"/>
      <c r="BB146" s="197"/>
      <c r="BC146" s="202"/>
      <c r="BD146" s="1214"/>
      <c r="BE146" s="1214"/>
      <c r="BF146" s="924" t="s">
        <v>658</v>
      </c>
    </row>
    <row r="147" spans="1:58" s="1334" customFormat="1" ht="14.25" customHeight="1" x14ac:dyDescent="0.15">
      <c r="A147" s="1214"/>
      <c r="B147" s="1083"/>
      <c r="C147" s="1214"/>
      <c r="D147" s="1214"/>
      <c r="E147" s="556">
        <v>15</v>
      </c>
      <c r="F147" s="3" t="str" cm="1">
        <f t="array" aca="1" ref="F147" ca="1">OFFSET(E147,-1,1)</f>
        <v>1</v>
      </c>
      <c r="G147" s="17" t="s">
        <v>659</v>
      </c>
      <c r="H147" s="17" t="s">
        <v>660</v>
      </c>
      <c r="I147" s="1214"/>
      <c r="J147" s="1214"/>
      <c r="K147" s="1214"/>
      <c r="L147" s="1214"/>
      <c r="M147" s="1214"/>
      <c r="N147" s="1214"/>
      <c r="O147" s="1214"/>
      <c r="P147" s="1194"/>
      <c r="Q147" s="1194"/>
      <c r="R147" s="1194"/>
      <c r="S147" s="1194"/>
      <c r="T147" s="388" t="b" cm="1">
        <f t="array" ref="T147">T146</f>
        <v>1</v>
      </c>
      <c r="U147" s="1194"/>
      <c r="V147" s="1214"/>
      <c r="W147" s="1194"/>
      <c r="X147" s="2032"/>
      <c r="Y147" s="2011"/>
      <c r="Z147" s="1214"/>
      <c r="AA147" s="1214"/>
      <c r="AB147" s="159" t="s">
        <v>661</v>
      </c>
      <c r="AC147" s="248" t="s">
        <v>662</v>
      </c>
      <c r="AD147" s="12" t="s">
        <v>563</v>
      </c>
      <c r="AE147" s="232">
        <f t="shared" ref="AE147:BB147" si="35">SUM(AE148:AE149)</f>
        <v>2186.3342320000002</v>
      </c>
      <c r="AF147" s="232">
        <f t="shared" si="35"/>
        <v>1899.518</v>
      </c>
      <c r="AG147" s="232">
        <f t="shared" si="35"/>
        <v>1899.518</v>
      </c>
      <c r="AH147" s="232">
        <f t="shared" si="35"/>
        <v>2186.3342320000002</v>
      </c>
      <c r="AI147" s="232">
        <f t="shared" si="35"/>
        <v>1899.518</v>
      </c>
      <c r="AJ147" s="232">
        <f t="shared" si="35"/>
        <v>2313.2607899999998</v>
      </c>
      <c r="AK147" s="232">
        <f t="shared" si="35"/>
        <v>2313.2607899999998</v>
      </c>
      <c r="AL147" s="232">
        <f t="shared" si="35"/>
        <v>2313.2607899999998</v>
      </c>
      <c r="AM147" s="232">
        <f t="shared" si="35"/>
        <v>2313.2607899999998</v>
      </c>
      <c r="AN147" s="232">
        <f t="shared" si="35"/>
        <v>2313.2607899999998</v>
      </c>
      <c r="AO147" s="232">
        <f t="shared" si="35"/>
        <v>2313.2607899999998</v>
      </c>
      <c r="AP147" s="232">
        <f t="shared" si="35"/>
        <v>0</v>
      </c>
      <c r="AQ147" s="232">
        <f t="shared" si="35"/>
        <v>0</v>
      </c>
      <c r="AR147" s="232">
        <f t="shared" si="35"/>
        <v>0</v>
      </c>
      <c r="AS147" s="232">
        <f t="shared" si="35"/>
        <v>1899.5178800000001</v>
      </c>
      <c r="AT147" s="232">
        <f t="shared" si="35"/>
        <v>2186.3342320000002</v>
      </c>
      <c r="AU147" s="232">
        <f t="shared" si="35"/>
        <v>2186.3342320000002</v>
      </c>
      <c r="AV147" s="232">
        <f t="shared" si="35"/>
        <v>2186.3342320000002</v>
      </c>
      <c r="AW147" s="232">
        <f t="shared" si="35"/>
        <v>2186.3342320000002</v>
      </c>
      <c r="AX147" s="232">
        <f t="shared" si="35"/>
        <v>2186.3342320000002</v>
      </c>
      <c r="AY147" s="232">
        <f t="shared" si="35"/>
        <v>2186.3342320000002</v>
      </c>
      <c r="AZ147" s="232">
        <f t="shared" si="35"/>
        <v>0</v>
      </c>
      <c r="BA147" s="232">
        <f t="shared" si="35"/>
        <v>0</v>
      </c>
      <c r="BB147" s="232">
        <f t="shared" si="35"/>
        <v>0</v>
      </c>
      <c r="BC147" s="202"/>
      <c r="BD147" s="1214"/>
      <c r="BE147" s="1214"/>
      <c r="BF147" s="924" t="s">
        <v>663</v>
      </c>
    </row>
    <row r="148" spans="1:58" s="1334" customFormat="1" ht="117.75" customHeight="1" x14ac:dyDescent="0.15">
      <c r="A148" s="1214"/>
      <c r="B148" s="1083"/>
      <c r="C148" s="1214"/>
      <c r="D148" s="1214"/>
      <c r="E148" s="556">
        <v>15</v>
      </c>
      <c r="F148" s="3" t="str" cm="1">
        <f t="array" aca="1" ref="F148" ca="1">OFFSET(E148,-1,1)</f>
        <v>1</v>
      </c>
      <c r="G148" s="1214"/>
      <c r="H148" s="17" t="s">
        <v>664</v>
      </c>
      <c r="I148" s="1214"/>
      <c r="J148" s="1214"/>
      <c r="K148" s="1214"/>
      <c r="L148" s="1214"/>
      <c r="M148" s="1214"/>
      <c r="N148" s="1214"/>
      <c r="O148" s="1214"/>
      <c r="P148" s="1194"/>
      <c r="Q148" s="1194"/>
      <c r="R148" s="1194"/>
      <c r="S148" s="1194"/>
      <c r="T148" s="388" t="b" cm="1">
        <f t="array" ref="T148">T147</f>
        <v>1</v>
      </c>
      <c r="U148" s="1194"/>
      <c r="V148" s="1214"/>
      <c r="W148" s="1194"/>
      <c r="X148" s="2032"/>
      <c r="Y148" s="2011"/>
      <c r="Z148" s="1214"/>
      <c r="AA148" s="1214"/>
      <c r="AB148" s="159" t="s">
        <v>665</v>
      </c>
      <c r="AC148" s="249" t="s">
        <v>639</v>
      </c>
      <c r="AD148" s="12" t="s">
        <v>563</v>
      </c>
      <c r="AE148" s="197">
        <v>2186.3342320000002</v>
      </c>
      <c r="AF148" s="197">
        <v>1899.518</v>
      </c>
      <c r="AG148" s="197">
        <v>1899.518</v>
      </c>
      <c r="AH148" s="197">
        <v>2186.3342320000002</v>
      </c>
      <c r="AI148" s="197">
        <v>1899.518</v>
      </c>
      <c r="AJ148" s="1377">
        <v>2313.2607899999998</v>
      </c>
      <c r="AK148" s="1377">
        <v>2313.2607899999998</v>
      </c>
      <c r="AL148" s="1377">
        <v>2313.2607899999998</v>
      </c>
      <c r="AM148" s="1377">
        <v>2313.2607899999998</v>
      </c>
      <c r="AN148" s="1377">
        <v>2313.2607899999998</v>
      </c>
      <c r="AO148" s="1377">
        <v>2313.2607899999998</v>
      </c>
      <c r="AP148" s="197"/>
      <c r="AQ148" s="197"/>
      <c r="AR148" s="197"/>
      <c r="AS148" s="197">
        <v>1899.5178800000001</v>
      </c>
      <c r="AT148" s="1377">
        <v>2186.3342320000002</v>
      </c>
      <c r="AU148" s="1377">
        <v>2186.3342320000002</v>
      </c>
      <c r="AV148" s="1377">
        <v>2186.3342320000002</v>
      </c>
      <c r="AW148" s="1377">
        <v>2186.3342320000002</v>
      </c>
      <c r="AX148" s="1377">
        <v>2186.3342320000002</v>
      </c>
      <c r="AY148" s="1377">
        <v>2186.3342320000002</v>
      </c>
      <c r="AZ148" s="197"/>
      <c r="BA148" s="197"/>
      <c r="BB148" s="197"/>
      <c r="BC148" s="202" t="s">
        <v>801</v>
      </c>
      <c r="BD148" s="1214"/>
      <c r="BE148" s="1214"/>
      <c r="BF148" s="924" t="s">
        <v>666</v>
      </c>
    </row>
    <row r="149" spans="1:58" s="1334" customFormat="1" ht="14.25" customHeight="1" x14ac:dyDescent="0.15">
      <c r="A149" s="1214"/>
      <c r="B149" s="1083"/>
      <c r="C149" s="1214"/>
      <c r="D149" s="1214"/>
      <c r="E149" s="556">
        <v>15</v>
      </c>
      <c r="F149" s="3" t="str" cm="1">
        <f t="array" aca="1" ref="F149" ca="1">OFFSET(E149,-1,1)</f>
        <v>1</v>
      </c>
      <c r="G149" s="1214"/>
      <c r="H149" s="17" t="s">
        <v>667</v>
      </c>
      <c r="I149" s="1214"/>
      <c r="J149" s="1214"/>
      <c r="K149" s="1214"/>
      <c r="L149" s="1214"/>
      <c r="M149" s="1214"/>
      <c r="N149" s="1214"/>
      <c r="O149" s="1214"/>
      <c r="P149" s="1194"/>
      <c r="Q149" s="1194"/>
      <c r="R149" s="1194"/>
      <c r="S149" s="1194"/>
      <c r="T149" s="388" t="b" cm="1">
        <f t="array" ref="T149">T148</f>
        <v>1</v>
      </c>
      <c r="U149" s="1194"/>
      <c r="V149" s="1214"/>
      <c r="W149" s="1194"/>
      <c r="X149" s="2032"/>
      <c r="Y149" s="2011"/>
      <c r="Z149" s="1214"/>
      <c r="AA149" s="1214"/>
      <c r="AB149" s="159" t="s">
        <v>668</v>
      </c>
      <c r="AC149" s="249" t="s">
        <v>643</v>
      </c>
      <c r="AD149" s="12" t="s">
        <v>563</v>
      </c>
      <c r="AE149" s="197"/>
      <c r="AF149" s="197"/>
      <c r="AG149" s="197"/>
      <c r="AH149" s="197"/>
      <c r="AI149" s="197"/>
      <c r="AJ149" s="1377"/>
      <c r="AK149" s="1377"/>
      <c r="AL149" s="1377"/>
      <c r="AM149" s="1377"/>
      <c r="AN149" s="1377"/>
      <c r="AO149" s="1377"/>
      <c r="AP149" s="197"/>
      <c r="AQ149" s="197"/>
      <c r="AR149" s="197"/>
      <c r="AS149" s="197"/>
      <c r="AT149" s="1377"/>
      <c r="AU149" s="1377"/>
      <c r="AV149" s="1377"/>
      <c r="AW149" s="1377"/>
      <c r="AX149" s="1377"/>
      <c r="AY149" s="1377"/>
      <c r="AZ149" s="197"/>
      <c r="BA149" s="197"/>
      <c r="BB149" s="197"/>
      <c r="BC149" s="202"/>
      <c r="BD149" s="1214"/>
      <c r="BE149" s="1214"/>
      <c r="BF149" s="924" t="s">
        <v>669</v>
      </c>
    </row>
    <row r="150" spans="1:58" s="1334" customFormat="1" ht="14.25" customHeight="1" x14ac:dyDescent="0.15">
      <c r="A150" s="1214"/>
      <c r="B150" s="1083"/>
      <c r="C150" s="1214"/>
      <c r="D150" s="1214"/>
      <c r="E150" s="556">
        <v>15</v>
      </c>
      <c r="F150" s="3" t="str" cm="1">
        <f t="array" aca="1" ref="F150" ca="1">OFFSET(E150,-1,1)</f>
        <v>1</v>
      </c>
      <c r="G150" s="1214"/>
      <c r="H150" s="17" t="s">
        <v>670</v>
      </c>
      <c r="I150" s="1214"/>
      <c r="J150" s="1214"/>
      <c r="K150" s="1214"/>
      <c r="L150" s="1214"/>
      <c r="M150" s="1214"/>
      <c r="N150" s="1214"/>
      <c r="O150" s="1214"/>
      <c r="P150" s="1194"/>
      <c r="Q150" s="1194"/>
      <c r="R150" s="1194"/>
      <c r="S150" s="1194"/>
      <c r="T150" s="388" t="b" cm="1">
        <f t="array" ref="T150">T149</f>
        <v>1</v>
      </c>
      <c r="U150" s="1194"/>
      <c r="V150" s="1214"/>
      <c r="W150" s="1194"/>
      <c r="X150" s="2032"/>
      <c r="Y150" s="2011"/>
      <c r="Z150" s="1214"/>
      <c r="AA150" s="1214"/>
      <c r="AB150" s="159" t="s">
        <v>671</v>
      </c>
      <c r="AC150" s="248" t="s">
        <v>672</v>
      </c>
      <c r="AD150" s="12" t="s">
        <v>563</v>
      </c>
      <c r="AE150" s="232">
        <f t="shared" ref="AE150:BB150" si="36">SUM(AE151:AE152)</f>
        <v>2033.9997066666999</v>
      </c>
      <c r="AF150" s="232">
        <f t="shared" si="36"/>
        <v>2216.248</v>
      </c>
      <c r="AG150" s="232">
        <f t="shared" si="36"/>
        <v>2216.248</v>
      </c>
      <c r="AH150" s="232">
        <f t="shared" si="36"/>
        <v>2033.9997066666999</v>
      </c>
      <c r="AI150" s="232">
        <f t="shared" si="36"/>
        <v>2216.248</v>
      </c>
      <c r="AJ150" s="232">
        <f t="shared" si="36"/>
        <v>1961.0401099999999</v>
      </c>
      <c r="AK150" s="232">
        <f t="shared" si="36"/>
        <v>1961.0401099999999</v>
      </c>
      <c r="AL150" s="232">
        <f t="shared" si="36"/>
        <v>1961.0401099999999</v>
      </c>
      <c r="AM150" s="232">
        <f t="shared" si="36"/>
        <v>1961.0401099999999</v>
      </c>
      <c r="AN150" s="232">
        <f t="shared" si="36"/>
        <v>1961.0401099999999</v>
      </c>
      <c r="AO150" s="232">
        <f t="shared" si="36"/>
        <v>1961.0401099999999</v>
      </c>
      <c r="AP150" s="232">
        <f t="shared" si="36"/>
        <v>0</v>
      </c>
      <c r="AQ150" s="232">
        <f t="shared" si="36"/>
        <v>0</v>
      </c>
      <c r="AR150" s="232">
        <f t="shared" si="36"/>
        <v>0</v>
      </c>
      <c r="AS150" s="232">
        <f t="shared" si="36"/>
        <v>2240.3000900000002</v>
      </c>
      <c r="AT150" s="232">
        <f t="shared" si="36"/>
        <v>2033.9997066666999</v>
      </c>
      <c r="AU150" s="232">
        <f t="shared" si="36"/>
        <v>2033.9997066666999</v>
      </c>
      <c r="AV150" s="232">
        <f t="shared" si="36"/>
        <v>2033.9997066666999</v>
      </c>
      <c r="AW150" s="232">
        <f t="shared" si="36"/>
        <v>2033.9997066666999</v>
      </c>
      <c r="AX150" s="232">
        <f t="shared" si="36"/>
        <v>2033.9997066666999</v>
      </c>
      <c r="AY150" s="232">
        <f t="shared" si="36"/>
        <v>2033.9997066666999</v>
      </c>
      <c r="AZ150" s="232">
        <f t="shared" si="36"/>
        <v>0</v>
      </c>
      <c r="BA150" s="232">
        <f t="shared" si="36"/>
        <v>0</v>
      </c>
      <c r="BB150" s="232">
        <f t="shared" si="36"/>
        <v>0</v>
      </c>
      <c r="BC150" s="202"/>
      <c r="BD150" s="1214"/>
      <c r="BE150" s="1214"/>
      <c r="BF150" s="924" t="s">
        <v>673</v>
      </c>
    </row>
    <row r="151" spans="1:58" s="1334" customFormat="1" ht="117.75" customHeight="1" x14ac:dyDescent="0.15">
      <c r="A151" s="1214"/>
      <c r="B151" s="1083"/>
      <c r="C151" s="1214"/>
      <c r="D151" s="1214"/>
      <c r="E151" s="556">
        <v>15</v>
      </c>
      <c r="F151" s="3" t="str" cm="1">
        <f t="array" aca="1" ref="F151" ca="1">OFFSET(E151,-1,1)</f>
        <v>1</v>
      </c>
      <c r="G151" s="1214"/>
      <c r="H151" s="17" t="s">
        <v>674</v>
      </c>
      <c r="I151" s="1214"/>
      <c r="J151" s="1214"/>
      <c r="K151" s="1214"/>
      <c r="L151" s="1214"/>
      <c r="M151" s="1214"/>
      <c r="N151" s="1214"/>
      <c r="O151" s="1214"/>
      <c r="P151" s="1194"/>
      <c r="Q151" s="1194"/>
      <c r="R151" s="1194"/>
      <c r="S151" s="1194"/>
      <c r="T151" s="388" t="b" cm="1">
        <f t="array" ref="T151">T150</f>
        <v>1</v>
      </c>
      <c r="U151" s="1194"/>
      <c r="V151" s="1214"/>
      <c r="W151" s="1194"/>
      <c r="X151" s="2032"/>
      <c r="Y151" s="2011"/>
      <c r="Z151" s="1214"/>
      <c r="AA151" s="1214"/>
      <c r="AB151" s="159" t="s">
        <v>675</v>
      </c>
      <c r="AC151" s="249" t="s">
        <v>639</v>
      </c>
      <c r="AD151" s="12" t="s">
        <v>563</v>
      </c>
      <c r="AE151" s="197">
        <v>2033.9997066666999</v>
      </c>
      <c r="AF151" s="197">
        <v>2216.248</v>
      </c>
      <c r="AG151" s="197">
        <v>2216.248</v>
      </c>
      <c r="AH151" s="197">
        <v>2033.9997066666999</v>
      </c>
      <c r="AI151" s="197">
        <v>2216.248</v>
      </c>
      <c r="AJ151" s="1377">
        <v>1961.0401099999999</v>
      </c>
      <c r="AK151" s="1377">
        <v>1961.0401099999999</v>
      </c>
      <c r="AL151" s="1377">
        <v>1961.0401099999999</v>
      </c>
      <c r="AM151" s="1377">
        <v>1961.0401099999999</v>
      </c>
      <c r="AN151" s="1377">
        <v>1961.0401099999999</v>
      </c>
      <c r="AO151" s="1377">
        <v>1961.0401099999999</v>
      </c>
      <c r="AP151" s="197"/>
      <c r="AQ151" s="197"/>
      <c r="AR151" s="197"/>
      <c r="AS151" s="197">
        <v>2240.3000900000002</v>
      </c>
      <c r="AT151" s="1377">
        <v>2033.9997066666999</v>
      </c>
      <c r="AU151" s="1377">
        <v>2033.9997066666999</v>
      </c>
      <c r="AV151" s="1377">
        <v>2033.9997066666999</v>
      </c>
      <c r="AW151" s="1377">
        <v>2033.9997066666999</v>
      </c>
      <c r="AX151" s="1377">
        <v>2033.9997066666999</v>
      </c>
      <c r="AY151" s="1377">
        <v>2033.9997066666999</v>
      </c>
      <c r="AZ151" s="197"/>
      <c r="BA151" s="197"/>
      <c r="BB151" s="197"/>
      <c r="BC151" s="202" t="s">
        <v>801</v>
      </c>
      <c r="BD151" s="1214"/>
      <c r="BE151" s="1214"/>
      <c r="BF151" s="924" t="s">
        <v>676</v>
      </c>
    </row>
    <row r="152" spans="1:58" s="1334" customFormat="1" ht="14.25" customHeight="1" x14ac:dyDescent="0.15">
      <c r="A152" s="1214"/>
      <c r="B152" s="1083"/>
      <c r="C152" s="1214"/>
      <c r="D152" s="1214"/>
      <c r="E152" s="556">
        <v>15</v>
      </c>
      <c r="F152" s="3" t="str" cm="1">
        <f t="array" aca="1" ref="F152" ca="1">OFFSET(E152,-1,1)</f>
        <v>1</v>
      </c>
      <c r="G152" s="1214"/>
      <c r="H152" s="17" t="s">
        <v>677</v>
      </c>
      <c r="I152" s="1214"/>
      <c r="J152" s="1214"/>
      <c r="K152" s="1214"/>
      <c r="L152" s="1214"/>
      <c r="M152" s="1214"/>
      <c r="N152" s="1214"/>
      <c r="O152" s="1214"/>
      <c r="P152" s="1194"/>
      <c r="Q152" s="1194"/>
      <c r="R152" s="1194"/>
      <c r="S152" s="1194"/>
      <c r="T152" s="388" t="b" cm="1">
        <f t="array" ref="T152">T151</f>
        <v>1</v>
      </c>
      <c r="U152" s="1194"/>
      <c r="V152" s="1214"/>
      <c r="W152" s="1194"/>
      <c r="X152" s="2032"/>
      <c r="Y152" s="2011"/>
      <c r="Z152" s="1214"/>
      <c r="AA152" s="1214"/>
      <c r="AB152" s="159" t="s">
        <v>678</v>
      </c>
      <c r="AC152" s="249" t="s">
        <v>643</v>
      </c>
      <c r="AD152" s="12" t="s">
        <v>563</v>
      </c>
      <c r="AE152" s="197"/>
      <c r="AF152" s="197"/>
      <c r="AG152" s="197"/>
      <c r="AH152" s="197"/>
      <c r="AI152" s="197"/>
      <c r="AJ152" s="1377"/>
      <c r="AK152" s="1377"/>
      <c r="AL152" s="1377"/>
      <c r="AM152" s="1377"/>
      <c r="AN152" s="1377"/>
      <c r="AO152" s="1377"/>
      <c r="AP152" s="197"/>
      <c r="AQ152" s="197"/>
      <c r="AR152" s="197"/>
      <c r="AS152" s="197"/>
      <c r="AT152" s="1377"/>
      <c r="AU152" s="1377"/>
      <c r="AV152" s="1377"/>
      <c r="AW152" s="1377"/>
      <c r="AX152" s="1377"/>
      <c r="AY152" s="1377"/>
      <c r="AZ152" s="197"/>
      <c r="BA152" s="197"/>
      <c r="BB152" s="197"/>
      <c r="BC152" s="119"/>
      <c r="BD152" s="1214"/>
      <c r="BE152" s="1214"/>
      <c r="BF152" s="924" t="s">
        <v>679</v>
      </c>
    </row>
    <row r="153" spans="1:58" s="1334" customFormat="1" ht="21.75" customHeight="1" x14ac:dyDescent="0.15">
      <c r="A153" s="1214"/>
      <c r="B153" s="1083"/>
      <c r="C153" s="1214"/>
      <c r="D153" s="1214"/>
      <c r="E153" s="556">
        <v>22.5</v>
      </c>
      <c r="F153" s="3" t="str" cm="1">
        <f t="array" aca="1" ref="F153" ca="1">OFFSET(E153,-1,1)</f>
        <v>1</v>
      </c>
      <c r="G153" s="1214"/>
      <c r="H153" s="17" t="s">
        <v>680</v>
      </c>
      <c r="I153" s="392"/>
      <c r="J153" s="392"/>
      <c r="K153" s="1214"/>
      <c r="L153" s="1214"/>
      <c r="M153" s="1214"/>
      <c r="N153" s="1214"/>
      <c r="O153" s="1214"/>
      <c r="P153" s="1194"/>
      <c r="Q153" s="1194"/>
      <c r="R153" s="1194"/>
      <c r="S153" s="1194"/>
      <c r="T153" s="388" t="b" cm="1">
        <f t="array" ref="T153">T152</f>
        <v>1</v>
      </c>
      <c r="U153" s="1194"/>
      <c r="V153" s="1214"/>
      <c r="W153" s="1194"/>
      <c r="X153" s="2032"/>
      <c r="Y153" s="2011"/>
      <c r="Z153" s="1214"/>
      <c r="AA153" s="1214"/>
      <c r="AB153" s="159" t="s">
        <v>681</v>
      </c>
      <c r="AC153" s="250" t="s">
        <v>682</v>
      </c>
      <c r="AD153" s="12" t="s">
        <v>563</v>
      </c>
      <c r="AE153" s="194"/>
      <c r="AF153" s="194"/>
      <c r="AG153" s="194"/>
      <c r="AH153" s="194"/>
      <c r="AI153" s="194"/>
      <c r="AJ153" s="1364"/>
      <c r="AK153" s="1364"/>
      <c r="AL153" s="1364"/>
      <c r="AM153" s="1364"/>
      <c r="AN153" s="1364"/>
      <c r="AO153" s="1364"/>
      <c r="AP153" s="194"/>
      <c r="AQ153" s="194"/>
      <c r="AR153" s="194"/>
      <c r="AS153" s="194"/>
      <c r="AT153" s="1364"/>
      <c r="AU153" s="1364"/>
      <c r="AV153" s="1364"/>
      <c r="AW153" s="1364"/>
      <c r="AX153" s="1364"/>
      <c r="AY153" s="1364"/>
      <c r="AZ153" s="194"/>
      <c r="BA153" s="194"/>
      <c r="BB153" s="194"/>
      <c r="BC153" s="119"/>
      <c r="BD153" s="1214"/>
      <c r="BE153" s="1214"/>
      <c r="BF153" s="924" t="s">
        <v>683</v>
      </c>
    </row>
    <row r="154" spans="1:58" s="1334" customFormat="1" ht="14.25" customHeight="1" x14ac:dyDescent="0.15">
      <c r="A154" s="1214"/>
      <c r="B154" s="1083"/>
      <c r="C154" s="1214"/>
      <c r="D154" s="1214"/>
      <c r="E154" s="556">
        <v>15</v>
      </c>
      <c r="F154" s="265" t="str" cm="1">
        <f t="array" aca="1" ref="F154" ca="1">OFFSET(E154,-1,1)</f>
        <v>1</v>
      </c>
      <c r="G154" s="1214"/>
      <c r="H154" s="1214"/>
      <c r="I154" s="1214"/>
      <c r="J154" s="1214"/>
      <c r="K154" s="1214"/>
      <c r="L154" s="1214"/>
      <c r="M154" s="1214"/>
      <c r="N154" s="1214"/>
      <c r="O154" s="1214"/>
      <c r="P154" s="1194"/>
      <c r="Q154" s="1194"/>
      <c r="R154" s="1194"/>
      <c r="S154" s="1194"/>
      <c r="T154" s="388" t="b" cm="1">
        <f t="array" ref="T154">T153</f>
        <v>1</v>
      </c>
      <c r="U154" s="1194"/>
      <c r="V154" s="1214"/>
      <c r="W154" s="1194"/>
      <c r="X154" s="2032"/>
      <c r="Y154" s="2011"/>
      <c r="Z154" s="1214"/>
      <c r="AA154" s="1214"/>
      <c r="AB154" s="159" t="s">
        <v>684</v>
      </c>
      <c r="AC154" s="250" t="s">
        <v>685</v>
      </c>
      <c r="AD154" s="12" t="s">
        <v>563</v>
      </c>
      <c r="AE154" s="194"/>
      <c r="AF154" s="194"/>
      <c r="AG154" s="194"/>
      <c r="AH154" s="194"/>
      <c r="AI154" s="194"/>
      <c r="AJ154" s="1364"/>
      <c r="AK154" s="1364"/>
      <c r="AL154" s="1364"/>
      <c r="AM154" s="1364"/>
      <c r="AN154" s="1364"/>
      <c r="AO154" s="1364"/>
      <c r="AP154" s="194"/>
      <c r="AQ154" s="194"/>
      <c r="AR154" s="194"/>
      <c r="AS154" s="194"/>
      <c r="AT154" s="1364"/>
      <c r="AU154" s="1364"/>
      <c r="AV154" s="1364"/>
      <c r="AW154" s="1364"/>
      <c r="AX154" s="1364"/>
      <c r="AY154" s="1364"/>
      <c r="AZ154" s="194"/>
      <c r="BA154" s="194"/>
      <c r="BB154" s="194"/>
      <c r="BC154" s="119"/>
      <c r="BD154" s="1214"/>
      <c r="BE154" s="1214"/>
      <c r="BF154" s="924" t="s">
        <v>686</v>
      </c>
    </row>
    <row r="155" spans="1:58" s="1334" customFormat="1" ht="11.25" hidden="1" customHeight="1" x14ac:dyDescent="0.15">
      <c r="A155" s="392"/>
      <c r="B155" s="582"/>
      <c r="C155" s="392"/>
      <c r="D155" s="392"/>
      <c r="E155" s="584" t="s">
        <v>370</v>
      </c>
      <c r="F155" s="1090" t="str" cm="1">
        <f t="array" aca="1" ref="F155" ca="1">OFFSET(E155,-1,1)</f>
        <v>1</v>
      </c>
      <c r="G155" s="392"/>
      <c r="H155" s="392"/>
      <c r="K155" s="17"/>
      <c r="L155" s="392"/>
      <c r="M155" s="392"/>
      <c r="N155" s="392"/>
      <c r="O155" s="392"/>
      <c r="P155" s="392"/>
      <c r="Q155" s="392"/>
      <c r="R155" s="337"/>
      <c r="S155" s="337"/>
      <c r="T155" s="388" t="b">
        <v>0</v>
      </c>
      <c r="U155" s="392"/>
      <c r="V155" s="392"/>
      <c r="W155" s="392"/>
      <c r="X155" s="2032"/>
      <c r="Y155" s="2011"/>
      <c r="Z155" s="392"/>
      <c r="AA155" s="392"/>
      <c r="AC155" s="19"/>
      <c r="AD155" s="19"/>
      <c r="AE155" s="260"/>
      <c r="AF155" s="260"/>
      <c r="AG155" s="260"/>
      <c r="AH155" s="260"/>
      <c r="AI155" s="260"/>
      <c r="AJ155" s="261"/>
      <c r="AK155" s="260"/>
      <c r="AL155" s="260"/>
      <c r="AM155" s="260"/>
      <c r="AN155" s="260"/>
      <c r="AO155" s="260"/>
      <c r="AP155" s="260"/>
      <c r="AQ155" s="260"/>
      <c r="AR155" s="260"/>
      <c r="AS155" s="260"/>
      <c r="AT155" s="260"/>
      <c r="AU155" s="260"/>
      <c r="AV155" s="260"/>
      <c r="AW155" s="260"/>
      <c r="AX155" s="260"/>
      <c r="AY155" s="260"/>
      <c r="AZ155" s="260"/>
      <c r="BA155" s="260"/>
      <c r="BB155" s="260"/>
      <c r="BF155" s="928"/>
    </row>
    <row r="156" spans="1:58" s="1334" customFormat="1" ht="14.25" hidden="1" customHeight="1" x14ac:dyDescent="0.15">
      <c r="A156" s="1214"/>
      <c r="B156" s="1083"/>
      <c r="C156" s="1214"/>
      <c r="D156" s="1214"/>
      <c r="E156" s="556">
        <v>15</v>
      </c>
      <c r="F156" s="3" t="str" cm="1">
        <f t="array" aca="1" ref="F156" ca="1">OFFSET(E156,-1,1)</f>
        <v>1</v>
      </c>
      <c r="G156" s="1214"/>
      <c r="H156" s="1214"/>
      <c r="I156" s="1214"/>
      <c r="J156" s="1214"/>
      <c r="K156" s="1214"/>
      <c r="L156" s="1214"/>
      <c r="M156" s="1214"/>
      <c r="N156" s="1214"/>
      <c r="O156" s="1214"/>
      <c r="P156" s="1194"/>
      <c r="Q156" s="1194"/>
      <c r="R156" s="337" t="b" cm="1">
        <f t="array" ref="R156">INDEX('Общие сведения'!$AN$185:$AN$228,MATCH($X118,'Общие сведения'!$Z$185:$Z$228,0))</f>
        <v>0</v>
      </c>
      <c r="S156" s="337" t="b">
        <f>IF(ISERROR(SEARCH("Водоснабжение",AB118)),FALSE,TRUE)</f>
        <v>1</v>
      </c>
      <c r="T156" s="388" t="b">
        <f>AND(X118&gt;0,S156,R156)</f>
        <v>0</v>
      </c>
      <c r="U156" s="1194"/>
      <c r="V156" s="1214"/>
      <c r="W156" s="1194"/>
      <c r="X156" s="2032"/>
      <c r="Y156" s="2011"/>
      <c r="Z156" s="1214"/>
      <c r="AA156" s="1214"/>
      <c r="AB156" s="159" t="s">
        <v>282</v>
      </c>
      <c r="AC156" s="244" t="s">
        <v>560</v>
      </c>
      <c r="AD156" s="117"/>
      <c r="AE156" s="493" t="str" cm="1">
        <f t="array" ref="AE156">INDEX('Общие сведения'!$AH$185:$AH$228,MATCH($X118,'Общие сведения'!$Z$185:$Z$228,0))</f>
        <v>питьевая вода</v>
      </c>
      <c r="AF156" s="278"/>
      <c r="AG156" s="278"/>
      <c r="AH156" s="278"/>
      <c r="AI156" s="278"/>
      <c r="AJ156" s="278"/>
      <c r="AK156" s="278"/>
      <c r="AL156" s="278"/>
      <c r="AM156" s="278"/>
      <c r="AN156" s="278"/>
      <c r="AO156" s="278"/>
      <c r="AP156" s="278"/>
      <c r="AQ156" s="278"/>
      <c r="AR156" s="278"/>
      <c r="AS156" s="278"/>
      <c r="AT156" s="278"/>
      <c r="AU156" s="278"/>
      <c r="AV156" s="278"/>
      <c r="AW156" s="278"/>
      <c r="AX156" s="278"/>
      <c r="AY156" s="278"/>
      <c r="AZ156" s="278"/>
      <c r="BA156" s="278"/>
      <c r="BB156" s="279"/>
      <c r="BC156" s="1365"/>
      <c r="BD156" s="1214"/>
      <c r="BE156" s="1214"/>
      <c r="BF156" s="924" t="s">
        <v>687</v>
      </c>
    </row>
    <row r="157" spans="1:58" s="1334" customFormat="1" ht="14.25" hidden="1" customHeight="1" x14ac:dyDescent="0.15">
      <c r="A157" s="1214"/>
      <c r="B157" s="1083"/>
      <c r="C157" s="1214"/>
      <c r="D157" s="1214"/>
      <c r="E157" s="556">
        <v>15</v>
      </c>
      <c r="F157" s="3" t="str" cm="1">
        <f t="array" aca="1" ref="F157" ca="1">OFFSET(E157,-1,1)</f>
        <v>1</v>
      </c>
      <c r="G157" s="1214"/>
      <c r="H157" s="17" t="s">
        <v>335</v>
      </c>
      <c r="I157" s="1214"/>
      <c r="J157" s="1214"/>
      <c r="K157" s="1214"/>
      <c r="L157" s="1214"/>
      <c r="M157" s="1214"/>
      <c r="N157" s="1214"/>
      <c r="O157" s="1214"/>
      <c r="P157" s="1194"/>
      <c r="Q157" s="1194"/>
      <c r="R157" s="1194"/>
      <c r="S157" s="1194"/>
      <c r="T157" s="388" t="b" cm="1">
        <f t="array" ref="T157">T156</f>
        <v>0</v>
      </c>
      <c r="U157" s="1194"/>
      <c r="V157" s="1214"/>
      <c r="W157" s="1194"/>
      <c r="X157" s="2032"/>
      <c r="Y157" s="2011"/>
      <c r="Z157" s="1214"/>
      <c r="AA157" s="1214"/>
      <c r="AB157" s="159" t="s">
        <v>289</v>
      </c>
      <c r="AC157" s="251" t="s">
        <v>688</v>
      </c>
      <c r="AD157" s="12" t="s">
        <v>563</v>
      </c>
      <c r="AE157" s="262">
        <f t="shared" ref="AE157:BB157" si="37">AE161+AE163+AE166+AE169</f>
        <v>0</v>
      </c>
      <c r="AF157" s="262">
        <f t="shared" si="37"/>
        <v>0</v>
      </c>
      <c r="AG157" s="262">
        <f t="shared" si="37"/>
        <v>0</v>
      </c>
      <c r="AH157" s="262">
        <f t="shared" si="37"/>
        <v>0</v>
      </c>
      <c r="AI157" s="262">
        <f t="shared" si="37"/>
        <v>0</v>
      </c>
      <c r="AJ157" s="262">
        <f t="shared" si="37"/>
        <v>0</v>
      </c>
      <c r="AK157" s="262">
        <f t="shared" si="37"/>
        <v>0</v>
      </c>
      <c r="AL157" s="262">
        <f t="shared" si="37"/>
        <v>0</v>
      </c>
      <c r="AM157" s="262">
        <f t="shared" si="37"/>
        <v>0</v>
      </c>
      <c r="AN157" s="262">
        <f t="shared" si="37"/>
        <v>0</v>
      </c>
      <c r="AO157" s="262">
        <f t="shared" si="37"/>
        <v>0</v>
      </c>
      <c r="AP157" s="262">
        <f t="shared" si="37"/>
        <v>0</v>
      </c>
      <c r="AQ157" s="262">
        <f t="shared" si="37"/>
        <v>0</v>
      </c>
      <c r="AR157" s="262">
        <f t="shared" si="37"/>
        <v>0</v>
      </c>
      <c r="AS157" s="262">
        <f t="shared" si="37"/>
        <v>0</v>
      </c>
      <c r="AT157" s="262">
        <f t="shared" si="37"/>
        <v>0</v>
      </c>
      <c r="AU157" s="262">
        <f t="shared" si="37"/>
        <v>0</v>
      </c>
      <c r="AV157" s="262">
        <f t="shared" si="37"/>
        <v>0</v>
      </c>
      <c r="AW157" s="262">
        <f t="shared" si="37"/>
        <v>0</v>
      </c>
      <c r="AX157" s="262">
        <f t="shared" si="37"/>
        <v>0</v>
      </c>
      <c r="AY157" s="262">
        <f t="shared" si="37"/>
        <v>0</v>
      </c>
      <c r="AZ157" s="262">
        <f t="shared" si="37"/>
        <v>0</v>
      </c>
      <c r="BA157" s="262">
        <f t="shared" si="37"/>
        <v>0</v>
      </c>
      <c r="BB157" s="262">
        <f t="shared" si="37"/>
        <v>0</v>
      </c>
      <c r="BC157" s="1365"/>
      <c r="BD157" s="1214"/>
      <c r="BE157" s="1214"/>
      <c r="BF157" s="924" t="s">
        <v>689</v>
      </c>
    </row>
    <row r="158" spans="1:58" s="1334" customFormat="1" ht="14.25" hidden="1" customHeight="1" x14ac:dyDescent="0.15">
      <c r="A158" s="1214"/>
      <c r="B158" s="1083"/>
      <c r="C158" s="1214"/>
      <c r="D158" s="1214"/>
      <c r="E158" s="556">
        <v>15</v>
      </c>
      <c r="F158" s="3" t="str" cm="1">
        <f t="array" aca="1" ref="F158" ca="1">OFFSET(E158,-1,1)</f>
        <v>1</v>
      </c>
      <c r="G158" s="1214"/>
      <c r="H158" s="17" t="s">
        <v>565</v>
      </c>
      <c r="I158" s="1214"/>
      <c r="J158" s="1214"/>
      <c r="K158" s="1214"/>
      <c r="L158" s="1214"/>
      <c r="M158" s="1214"/>
      <c r="N158" s="1214"/>
      <c r="O158" s="1214"/>
      <c r="P158" s="1194"/>
      <c r="Q158" s="1194"/>
      <c r="R158" s="1194"/>
      <c r="S158" s="1194"/>
      <c r="T158" s="388" t="b" cm="1">
        <f t="array" ref="T158">T157</f>
        <v>0</v>
      </c>
      <c r="U158" s="1194"/>
      <c r="V158" s="1214"/>
      <c r="W158" s="1194"/>
      <c r="X158" s="2032"/>
      <c r="Y158" s="2011"/>
      <c r="Z158" s="1214"/>
      <c r="AA158" s="1214"/>
      <c r="AB158" s="159" t="s">
        <v>566</v>
      </c>
      <c r="AC158" s="252" t="s">
        <v>690</v>
      </c>
      <c r="AD158" s="12" t="s">
        <v>563</v>
      </c>
      <c r="AE158" s="1364"/>
      <c r="AF158" s="1364"/>
      <c r="AG158" s="1364"/>
      <c r="AH158" s="1364"/>
      <c r="AI158" s="194"/>
      <c r="AJ158" s="1364"/>
      <c r="AK158" s="1364"/>
      <c r="AL158" s="1364"/>
      <c r="AM158" s="1364"/>
      <c r="AN158" s="1364"/>
      <c r="AO158" s="1364"/>
      <c r="AP158" s="1364"/>
      <c r="AQ158" s="1364"/>
      <c r="AR158" s="1364"/>
      <c r="AS158" s="194"/>
      <c r="AT158" s="1364"/>
      <c r="AU158" s="1364"/>
      <c r="AV158" s="1364"/>
      <c r="AW158" s="1364"/>
      <c r="AX158" s="1364"/>
      <c r="AY158" s="1364"/>
      <c r="AZ158" s="1364"/>
      <c r="BA158" s="1364"/>
      <c r="BB158" s="1364"/>
      <c r="BC158" s="1365"/>
      <c r="BD158" s="1214"/>
      <c r="BE158" s="1214"/>
      <c r="BF158" s="924" t="s">
        <v>691</v>
      </c>
    </row>
    <row r="159" spans="1:58" s="1334" customFormat="1" ht="14.25" hidden="1" customHeight="1" x14ac:dyDescent="0.15">
      <c r="A159" s="1214"/>
      <c r="B159" s="1083"/>
      <c r="C159" s="1214"/>
      <c r="D159" s="1214"/>
      <c r="E159" s="556">
        <v>15</v>
      </c>
      <c r="F159" s="3" t="str" cm="1">
        <f t="array" aca="1" ref="F159" ca="1">OFFSET(E159,-1,1)</f>
        <v>1</v>
      </c>
      <c r="G159" s="1214"/>
      <c r="H159" s="17" t="s">
        <v>569</v>
      </c>
      <c r="I159" s="1214"/>
      <c r="J159" s="1214"/>
      <c r="K159" s="1214"/>
      <c r="L159" s="1214"/>
      <c r="M159" s="1214"/>
      <c r="N159" s="1214"/>
      <c r="O159" s="1214"/>
      <c r="P159" s="1194"/>
      <c r="Q159" s="1194"/>
      <c r="R159" s="1194"/>
      <c r="S159" s="1194"/>
      <c r="T159" s="388" t="b" cm="1">
        <f t="array" ref="T159">T158</f>
        <v>0</v>
      </c>
      <c r="U159" s="1194"/>
      <c r="V159" s="1214"/>
      <c r="W159" s="1194"/>
      <c r="X159" s="2032"/>
      <c r="Y159" s="2011"/>
      <c r="Z159" s="1214"/>
      <c r="AA159" s="1214"/>
      <c r="AB159" s="159" t="s">
        <v>570</v>
      </c>
      <c r="AC159" s="252" t="s">
        <v>692</v>
      </c>
      <c r="AD159" s="12" t="s">
        <v>563</v>
      </c>
      <c r="AE159" s="1364"/>
      <c r="AF159" s="1364"/>
      <c r="AG159" s="1364"/>
      <c r="AH159" s="1364"/>
      <c r="AI159" s="194"/>
      <c r="AJ159" s="1364"/>
      <c r="AK159" s="1364"/>
      <c r="AL159" s="1364"/>
      <c r="AM159" s="1364"/>
      <c r="AN159" s="1364"/>
      <c r="AO159" s="1364"/>
      <c r="AP159" s="1364"/>
      <c r="AQ159" s="1364"/>
      <c r="AR159" s="1364"/>
      <c r="AS159" s="194"/>
      <c r="AT159" s="1364"/>
      <c r="AU159" s="1364"/>
      <c r="AV159" s="1364"/>
      <c r="AW159" s="1364"/>
      <c r="AX159" s="1364"/>
      <c r="AY159" s="1364"/>
      <c r="AZ159" s="1364"/>
      <c r="BA159" s="1364"/>
      <c r="BB159" s="1364"/>
      <c r="BC159" s="1365"/>
      <c r="BD159" s="1214"/>
      <c r="BE159" s="1214"/>
      <c r="BF159" s="924" t="s">
        <v>693</v>
      </c>
    </row>
    <row r="160" spans="1:58" s="1334" customFormat="1" ht="21.75" hidden="1" customHeight="1" x14ac:dyDescent="0.15">
      <c r="A160" s="1214"/>
      <c r="B160" s="1083"/>
      <c r="C160" s="1214"/>
      <c r="D160" s="1214"/>
      <c r="E160" s="556">
        <v>22.5</v>
      </c>
      <c r="F160" s="3" t="str" cm="1">
        <f t="array" aca="1" ref="F160" ca="1">OFFSET(E160,-1,1)</f>
        <v>1</v>
      </c>
      <c r="G160" s="1214"/>
      <c r="H160" s="17" t="s">
        <v>573</v>
      </c>
      <c r="I160" s="1214"/>
      <c r="J160" s="1214"/>
      <c r="K160" s="1214"/>
      <c r="L160" s="1214"/>
      <c r="M160" s="1214"/>
      <c r="N160" s="1214"/>
      <c r="O160" s="1214"/>
      <c r="P160" s="1194"/>
      <c r="Q160" s="1194"/>
      <c r="R160" s="1194"/>
      <c r="S160" s="1194"/>
      <c r="T160" s="388" t="b" cm="1">
        <f t="array" ref="T160">T159</f>
        <v>0</v>
      </c>
      <c r="U160" s="1194"/>
      <c r="V160" s="1214"/>
      <c r="W160" s="1194"/>
      <c r="X160" s="2032"/>
      <c r="Y160" s="2011"/>
      <c r="Z160" s="1214"/>
      <c r="AA160" s="1214"/>
      <c r="AB160" s="159" t="s">
        <v>574</v>
      </c>
      <c r="AC160" s="252" t="s">
        <v>694</v>
      </c>
      <c r="AD160" s="12" t="s">
        <v>563</v>
      </c>
      <c r="AE160" s="1364"/>
      <c r="AF160" s="1364"/>
      <c r="AG160" s="1364"/>
      <c r="AH160" s="1364"/>
      <c r="AI160" s="194"/>
      <c r="AJ160" s="1364"/>
      <c r="AK160" s="1364"/>
      <c r="AL160" s="1364"/>
      <c r="AM160" s="1364"/>
      <c r="AN160" s="1364"/>
      <c r="AO160" s="1364"/>
      <c r="AP160" s="1364"/>
      <c r="AQ160" s="1364"/>
      <c r="AR160" s="1364"/>
      <c r="AS160" s="194"/>
      <c r="AT160" s="1364"/>
      <c r="AU160" s="1364"/>
      <c r="AV160" s="1364"/>
      <c r="AW160" s="1364"/>
      <c r="AX160" s="1364"/>
      <c r="AY160" s="1364"/>
      <c r="AZ160" s="1364"/>
      <c r="BA160" s="1364"/>
      <c r="BB160" s="1364"/>
      <c r="BC160" s="1365"/>
      <c r="BD160" s="1214"/>
      <c r="BE160" s="1214"/>
      <c r="BF160" s="924" t="s">
        <v>695</v>
      </c>
    </row>
    <row r="161" spans="1:58" s="1334" customFormat="1" ht="14.25" hidden="1" customHeight="1" x14ac:dyDescent="0.15">
      <c r="A161" s="1214"/>
      <c r="B161" s="1083"/>
      <c r="C161" s="1214"/>
      <c r="D161" s="1214"/>
      <c r="E161" s="556">
        <v>15</v>
      </c>
      <c r="F161" s="3" t="str" cm="1">
        <f t="array" aca="1" ref="F161" ca="1">OFFSET(E161,-1,1)</f>
        <v>1</v>
      </c>
      <c r="G161" s="1214"/>
      <c r="H161" s="17" t="s">
        <v>334</v>
      </c>
      <c r="I161" s="1214"/>
      <c r="J161" s="1214"/>
      <c r="K161" s="1214"/>
      <c r="L161" s="1214"/>
      <c r="M161" s="1214"/>
      <c r="N161" s="1214"/>
      <c r="O161" s="1214"/>
      <c r="P161" s="1194"/>
      <c r="Q161" s="1194"/>
      <c r="R161" s="1194"/>
      <c r="S161" s="1194"/>
      <c r="T161" s="388" t="b" cm="1">
        <f t="array" ref="T161">T160</f>
        <v>0</v>
      </c>
      <c r="U161" s="1194"/>
      <c r="V161" s="1214"/>
      <c r="W161" s="1194"/>
      <c r="X161" s="2032"/>
      <c r="Y161" s="2011"/>
      <c r="Z161" s="1214"/>
      <c r="AA161" s="1214"/>
      <c r="AB161" s="159" t="s">
        <v>329</v>
      </c>
      <c r="AC161" s="244" t="s">
        <v>607</v>
      </c>
      <c r="AD161" s="12" t="s">
        <v>563</v>
      </c>
      <c r="AE161" s="1364"/>
      <c r="AF161" s="1364"/>
      <c r="AG161" s="1364"/>
      <c r="AH161" s="1364"/>
      <c r="AI161" s="194"/>
      <c r="AJ161" s="1364"/>
      <c r="AK161" s="1364"/>
      <c r="AL161" s="1364"/>
      <c r="AM161" s="1364"/>
      <c r="AN161" s="1364"/>
      <c r="AO161" s="1364"/>
      <c r="AP161" s="1364"/>
      <c r="AQ161" s="1364"/>
      <c r="AR161" s="1364"/>
      <c r="AS161" s="194"/>
      <c r="AT161" s="1364"/>
      <c r="AU161" s="1364"/>
      <c r="AV161" s="1364"/>
      <c r="AW161" s="1364"/>
      <c r="AX161" s="1364"/>
      <c r="AY161" s="1364"/>
      <c r="AZ161" s="1364"/>
      <c r="BA161" s="1364"/>
      <c r="BB161" s="1364"/>
      <c r="BC161" s="1365"/>
      <c r="BD161" s="1214"/>
      <c r="BE161" s="1214"/>
      <c r="BF161" s="924" t="s">
        <v>696</v>
      </c>
    </row>
    <row r="162" spans="1:58" s="1334" customFormat="1" ht="14.25" hidden="1" customHeight="1" x14ac:dyDescent="0.15">
      <c r="A162" s="1214"/>
      <c r="B162" s="1083"/>
      <c r="C162" s="1214"/>
      <c r="D162" s="1214"/>
      <c r="E162" s="556">
        <v>15</v>
      </c>
      <c r="F162" s="3" t="str" cm="1">
        <f t="array" aca="1" ref="F162" ca="1">OFFSET(E162,-1,1)</f>
        <v>1</v>
      </c>
      <c r="G162" s="1214"/>
      <c r="H162" s="17" t="s">
        <v>579</v>
      </c>
      <c r="I162" s="1214"/>
      <c r="J162" s="1214"/>
      <c r="K162" s="1214"/>
      <c r="L162" s="1214"/>
      <c r="M162" s="1214"/>
      <c r="N162" s="1214"/>
      <c r="O162" s="1214"/>
      <c r="P162" s="1194"/>
      <c r="Q162" s="1194"/>
      <c r="R162" s="1194"/>
      <c r="S162" s="1194"/>
      <c r="T162" s="388" t="b" cm="1">
        <f t="array" ref="T162">T161</f>
        <v>0</v>
      </c>
      <c r="U162" s="1194"/>
      <c r="V162" s="1214"/>
      <c r="W162" s="1194"/>
      <c r="X162" s="2032"/>
      <c r="Y162" s="2011"/>
      <c r="Z162" s="1214"/>
      <c r="AA162" s="1214"/>
      <c r="AB162" s="159" t="s">
        <v>580</v>
      </c>
      <c r="AC162" s="247" t="s">
        <v>611</v>
      </c>
      <c r="AD162" s="12" t="s">
        <v>490</v>
      </c>
      <c r="AE162" s="1358">
        <f t="shared" ref="AE162:BB162" si="38">IF(AE157=0,0,AE161/AE157*100)</f>
        <v>0</v>
      </c>
      <c r="AF162" s="1358">
        <f t="shared" si="38"/>
        <v>0</v>
      </c>
      <c r="AG162" s="1358">
        <f t="shared" si="38"/>
        <v>0</v>
      </c>
      <c r="AH162" s="1358">
        <f t="shared" si="38"/>
        <v>0</v>
      </c>
      <c r="AI162" s="60">
        <f t="shared" si="38"/>
        <v>0</v>
      </c>
      <c r="AJ162" s="1358">
        <f t="shared" si="38"/>
        <v>0</v>
      </c>
      <c r="AK162" s="1358">
        <f t="shared" si="38"/>
        <v>0</v>
      </c>
      <c r="AL162" s="1358">
        <f t="shared" si="38"/>
        <v>0</v>
      </c>
      <c r="AM162" s="1358">
        <f t="shared" si="38"/>
        <v>0</v>
      </c>
      <c r="AN162" s="1358">
        <f t="shared" si="38"/>
        <v>0</v>
      </c>
      <c r="AO162" s="1358">
        <f t="shared" si="38"/>
        <v>0</v>
      </c>
      <c r="AP162" s="1358">
        <f t="shared" si="38"/>
        <v>0</v>
      </c>
      <c r="AQ162" s="1358">
        <f t="shared" si="38"/>
        <v>0</v>
      </c>
      <c r="AR162" s="1358">
        <f t="shared" si="38"/>
        <v>0</v>
      </c>
      <c r="AS162" s="60">
        <f t="shared" si="38"/>
        <v>0</v>
      </c>
      <c r="AT162" s="1358">
        <f t="shared" si="38"/>
        <v>0</v>
      </c>
      <c r="AU162" s="1358">
        <f t="shared" si="38"/>
        <v>0</v>
      </c>
      <c r="AV162" s="1358">
        <f t="shared" si="38"/>
        <v>0</v>
      </c>
      <c r="AW162" s="1358">
        <f t="shared" si="38"/>
        <v>0</v>
      </c>
      <c r="AX162" s="1358">
        <f t="shared" si="38"/>
        <v>0</v>
      </c>
      <c r="AY162" s="1358">
        <f t="shared" si="38"/>
        <v>0</v>
      </c>
      <c r="AZ162" s="1358">
        <f t="shared" si="38"/>
        <v>0</v>
      </c>
      <c r="BA162" s="1358">
        <f t="shared" si="38"/>
        <v>0</v>
      </c>
      <c r="BB162" s="1358">
        <f t="shared" si="38"/>
        <v>0</v>
      </c>
      <c r="BC162" s="1379"/>
      <c r="BD162" s="1214"/>
      <c r="BE162" s="1214"/>
      <c r="BF162" s="924" t="s">
        <v>697</v>
      </c>
    </row>
    <row r="163" spans="1:58" s="1334" customFormat="1" ht="14.25" hidden="1" customHeight="1" x14ac:dyDescent="0.15">
      <c r="A163" s="1214"/>
      <c r="B163" s="1083"/>
      <c r="C163" s="1214"/>
      <c r="D163" s="1214"/>
      <c r="E163" s="556">
        <v>15</v>
      </c>
      <c r="F163" s="3" t="str" cm="1">
        <f t="array" aca="1" ref="F163" ca="1">OFFSET(E163,-1,1)</f>
        <v>1</v>
      </c>
      <c r="G163" s="1214"/>
      <c r="H163" s="17" t="s">
        <v>544</v>
      </c>
      <c r="I163" s="1214"/>
      <c r="J163" s="1214"/>
      <c r="K163" s="1214"/>
      <c r="L163" s="1214"/>
      <c r="M163" s="1214"/>
      <c r="N163" s="1214"/>
      <c r="O163" s="1214"/>
      <c r="P163" s="1194"/>
      <c r="Q163" s="1194"/>
      <c r="R163" s="1194"/>
      <c r="S163" s="1194"/>
      <c r="T163" s="388" t="b" cm="1">
        <f t="array" ref="T163">T162</f>
        <v>0</v>
      </c>
      <c r="U163" s="1194"/>
      <c r="V163" s="1214"/>
      <c r="W163" s="1194"/>
      <c r="X163" s="2032"/>
      <c r="Y163" s="2011"/>
      <c r="Z163" s="1214"/>
      <c r="AA163" s="1214"/>
      <c r="AB163" s="159" t="s">
        <v>441</v>
      </c>
      <c r="AC163" s="251" t="s">
        <v>618</v>
      </c>
      <c r="AD163" s="12" t="s">
        <v>563</v>
      </c>
      <c r="AE163" s="262">
        <f t="shared" ref="AE163:BB163" si="39">AE164+AE165</f>
        <v>0</v>
      </c>
      <c r="AF163" s="262">
        <f t="shared" si="39"/>
        <v>0</v>
      </c>
      <c r="AG163" s="262">
        <f t="shared" si="39"/>
        <v>0</v>
      </c>
      <c r="AH163" s="262">
        <f t="shared" si="39"/>
        <v>0</v>
      </c>
      <c r="AI163" s="262">
        <f t="shared" si="39"/>
        <v>0</v>
      </c>
      <c r="AJ163" s="262">
        <f t="shared" si="39"/>
        <v>0</v>
      </c>
      <c r="AK163" s="262">
        <f t="shared" si="39"/>
        <v>0</v>
      </c>
      <c r="AL163" s="262">
        <f t="shared" si="39"/>
        <v>0</v>
      </c>
      <c r="AM163" s="262">
        <f t="shared" si="39"/>
        <v>0</v>
      </c>
      <c r="AN163" s="262">
        <f t="shared" si="39"/>
        <v>0</v>
      </c>
      <c r="AO163" s="262">
        <f t="shared" si="39"/>
        <v>0</v>
      </c>
      <c r="AP163" s="262">
        <f t="shared" si="39"/>
        <v>0</v>
      </c>
      <c r="AQ163" s="262">
        <f t="shared" si="39"/>
        <v>0</v>
      </c>
      <c r="AR163" s="262">
        <f t="shared" si="39"/>
        <v>0</v>
      </c>
      <c r="AS163" s="262">
        <f t="shared" si="39"/>
        <v>0</v>
      </c>
      <c r="AT163" s="262">
        <f t="shared" si="39"/>
        <v>0</v>
      </c>
      <c r="AU163" s="262">
        <f t="shared" si="39"/>
        <v>0</v>
      </c>
      <c r="AV163" s="262">
        <f t="shared" si="39"/>
        <v>0</v>
      </c>
      <c r="AW163" s="262">
        <f t="shared" si="39"/>
        <v>0</v>
      </c>
      <c r="AX163" s="262">
        <f t="shared" si="39"/>
        <v>0</v>
      </c>
      <c r="AY163" s="262">
        <f t="shared" si="39"/>
        <v>0</v>
      </c>
      <c r="AZ163" s="262">
        <f t="shared" si="39"/>
        <v>0</v>
      </c>
      <c r="BA163" s="262">
        <f t="shared" si="39"/>
        <v>0</v>
      </c>
      <c r="BB163" s="262">
        <f t="shared" si="39"/>
        <v>0</v>
      </c>
      <c r="BC163" s="1365"/>
      <c r="BD163" s="1214"/>
      <c r="BE163" s="1214"/>
      <c r="BF163" s="924" t="s">
        <v>698</v>
      </c>
    </row>
    <row r="164" spans="1:58" s="1334" customFormat="1" ht="14.25" hidden="1" customHeight="1" x14ac:dyDescent="0.15">
      <c r="A164" s="1214"/>
      <c r="B164" s="1083"/>
      <c r="C164" s="1214"/>
      <c r="D164" s="1214"/>
      <c r="E164" s="556">
        <v>15</v>
      </c>
      <c r="F164" s="3" t="str" cm="1">
        <f t="array" aca="1" ref="F164" ca="1">OFFSET(E164,-1,1)</f>
        <v>1</v>
      </c>
      <c r="G164" s="1214"/>
      <c r="H164" s="17" t="s">
        <v>699</v>
      </c>
      <c r="I164" s="1214"/>
      <c r="J164" s="1214"/>
      <c r="K164" s="1214"/>
      <c r="L164" s="1214"/>
      <c r="M164" s="1214"/>
      <c r="N164" s="1214"/>
      <c r="O164" s="1214"/>
      <c r="P164" s="1194"/>
      <c r="Q164" s="1194"/>
      <c r="R164" s="1194"/>
      <c r="S164" s="1194"/>
      <c r="T164" s="388" t="b" cm="1">
        <f t="array" ref="T164">T163</f>
        <v>0</v>
      </c>
      <c r="U164" s="1194"/>
      <c r="V164" s="1214"/>
      <c r="W164" s="1194"/>
      <c r="X164" s="2032"/>
      <c r="Y164" s="2011"/>
      <c r="Z164" s="1214"/>
      <c r="AA164" s="1214"/>
      <c r="AB164" s="159" t="s">
        <v>700</v>
      </c>
      <c r="AC164" s="252" t="s">
        <v>622</v>
      </c>
      <c r="AD164" s="12" t="s">
        <v>563</v>
      </c>
      <c r="AE164" s="1364"/>
      <c r="AF164" s="1364"/>
      <c r="AG164" s="1364"/>
      <c r="AH164" s="1364"/>
      <c r="AI164" s="194"/>
      <c r="AJ164" s="1364"/>
      <c r="AK164" s="1364"/>
      <c r="AL164" s="1364"/>
      <c r="AM164" s="1364"/>
      <c r="AN164" s="1364"/>
      <c r="AO164" s="1364"/>
      <c r="AP164" s="1364"/>
      <c r="AQ164" s="1364"/>
      <c r="AR164" s="1364"/>
      <c r="AS164" s="194"/>
      <c r="AT164" s="1364"/>
      <c r="AU164" s="1364"/>
      <c r="AV164" s="1364"/>
      <c r="AW164" s="1364"/>
      <c r="AX164" s="1364"/>
      <c r="AY164" s="1364"/>
      <c r="AZ164" s="1364"/>
      <c r="BA164" s="1364"/>
      <c r="BB164" s="1364"/>
      <c r="BC164" s="1365"/>
      <c r="BD164" s="1214"/>
      <c r="BE164" s="1214"/>
      <c r="BF164" s="924" t="s">
        <v>701</v>
      </c>
    </row>
    <row r="165" spans="1:58" s="1334" customFormat="1" ht="14.25" hidden="1" customHeight="1" x14ac:dyDescent="0.15">
      <c r="A165" s="1214"/>
      <c r="B165" s="1083"/>
      <c r="C165" s="1214"/>
      <c r="D165" s="1214"/>
      <c r="E165" s="556">
        <v>15</v>
      </c>
      <c r="F165" s="3" t="str" cm="1">
        <f t="array" aca="1" ref="F165" ca="1">OFFSET(E165,-1,1)</f>
        <v>1</v>
      </c>
      <c r="G165" s="1214"/>
      <c r="H165" s="17" t="s">
        <v>702</v>
      </c>
      <c r="I165" s="1214"/>
      <c r="J165" s="1214"/>
      <c r="K165" s="1214"/>
      <c r="L165" s="1214"/>
      <c r="M165" s="1214"/>
      <c r="N165" s="1214"/>
      <c r="O165" s="1214"/>
      <c r="P165" s="1194"/>
      <c r="Q165" s="1194"/>
      <c r="R165" s="1194"/>
      <c r="S165" s="1194"/>
      <c r="T165" s="388" t="b" cm="1">
        <f t="array" ref="T165">T164</f>
        <v>0</v>
      </c>
      <c r="U165" s="1194"/>
      <c r="V165" s="1214"/>
      <c r="W165" s="1194"/>
      <c r="X165" s="2032"/>
      <c r="Y165" s="2011"/>
      <c r="Z165" s="1214"/>
      <c r="AA165" s="1214"/>
      <c r="AB165" s="159" t="s">
        <v>703</v>
      </c>
      <c r="AC165" s="252" t="s">
        <v>626</v>
      </c>
      <c r="AD165" s="12" t="s">
        <v>563</v>
      </c>
      <c r="AE165" s="1364"/>
      <c r="AF165" s="1364"/>
      <c r="AG165" s="1364"/>
      <c r="AH165" s="1364"/>
      <c r="AI165" s="194"/>
      <c r="AJ165" s="1364"/>
      <c r="AK165" s="1364"/>
      <c r="AL165" s="1364"/>
      <c r="AM165" s="1364"/>
      <c r="AN165" s="1364"/>
      <c r="AO165" s="1364"/>
      <c r="AP165" s="1364"/>
      <c r="AQ165" s="1364"/>
      <c r="AR165" s="1364"/>
      <c r="AS165" s="194"/>
      <c r="AT165" s="1364"/>
      <c r="AU165" s="1364"/>
      <c r="AV165" s="1364"/>
      <c r="AW165" s="1364"/>
      <c r="AX165" s="1364"/>
      <c r="AY165" s="1364"/>
      <c r="AZ165" s="1364"/>
      <c r="BA165" s="1364"/>
      <c r="BB165" s="1364"/>
      <c r="BC165" s="1365"/>
      <c r="BD165" s="1214"/>
      <c r="BE165" s="1214"/>
      <c r="BF165" s="924" t="s">
        <v>704</v>
      </c>
    </row>
    <row r="166" spans="1:58" s="1334" customFormat="1" ht="14.25" hidden="1" customHeight="1" x14ac:dyDescent="0.15">
      <c r="A166" s="1214"/>
      <c r="B166" s="1083"/>
      <c r="C166" s="1214"/>
      <c r="D166" s="1214"/>
      <c r="E166" s="556">
        <v>15</v>
      </c>
      <c r="F166" s="3" t="str" cm="1">
        <f t="array" aca="1" ref="F166" ca="1">OFFSET(E166,-1,1)</f>
        <v>1</v>
      </c>
      <c r="G166" s="17" t="s">
        <v>632</v>
      </c>
      <c r="H166" s="17" t="s">
        <v>547</v>
      </c>
      <c r="I166" s="1214"/>
      <c r="J166" s="1214"/>
      <c r="K166" s="1214"/>
      <c r="L166" s="1214"/>
      <c r="M166" s="1214"/>
      <c r="N166" s="1214"/>
      <c r="O166" s="1214"/>
      <c r="P166" s="1194"/>
      <c r="Q166" s="1194"/>
      <c r="R166" s="1194"/>
      <c r="S166" s="1194"/>
      <c r="T166" s="388" t="b" cm="1">
        <f t="array" ref="T166">T165</f>
        <v>0</v>
      </c>
      <c r="U166" s="1194"/>
      <c r="V166" s="1214"/>
      <c r="W166" s="1194"/>
      <c r="X166" s="2032"/>
      <c r="Y166" s="2011"/>
      <c r="Z166" s="1214"/>
      <c r="AA166" s="1214"/>
      <c r="AB166" s="159" t="s">
        <v>444</v>
      </c>
      <c r="AC166" s="251" t="s">
        <v>635</v>
      </c>
      <c r="AD166" s="12" t="s">
        <v>563</v>
      </c>
      <c r="AE166" s="262">
        <f t="shared" ref="AE166:BB166" si="40">AE167+AE168</f>
        <v>0</v>
      </c>
      <c r="AF166" s="262">
        <f t="shared" si="40"/>
        <v>0</v>
      </c>
      <c r="AG166" s="262">
        <f t="shared" si="40"/>
        <v>0</v>
      </c>
      <c r="AH166" s="262">
        <f t="shared" si="40"/>
        <v>0</v>
      </c>
      <c r="AI166" s="262">
        <f t="shared" si="40"/>
        <v>0</v>
      </c>
      <c r="AJ166" s="262">
        <f t="shared" si="40"/>
        <v>0</v>
      </c>
      <c r="AK166" s="262">
        <f t="shared" si="40"/>
        <v>0</v>
      </c>
      <c r="AL166" s="262">
        <f t="shared" si="40"/>
        <v>0</v>
      </c>
      <c r="AM166" s="262">
        <f t="shared" si="40"/>
        <v>0</v>
      </c>
      <c r="AN166" s="262">
        <f t="shared" si="40"/>
        <v>0</v>
      </c>
      <c r="AO166" s="262">
        <f t="shared" si="40"/>
        <v>0</v>
      </c>
      <c r="AP166" s="262">
        <f t="shared" si="40"/>
        <v>0</v>
      </c>
      <c r="AQ166" s="262">
        <f t="shared" si="40"/>
        <v>0</v>
      </c>
      <c r="AR166" s="262">
        <f t="shared" si="40"/>
        <v>0</v>
      </c>
      <c r="AS166" s="262">
        <f t="shared" si="40"/>
        <v>0</v>
      </c>
      <c r="AT166" s="262">
        <f t="shared" si="40"/>
        <v>0</v>
      </c>
      <c r="AU166" s="262">
        <f t="shared" si="40"/>
        <v>0</v>
      </c>
      <c r="AV166" s="262">
        <f t="shared" si="40"/>
        <v>0</v>
      </c>
      <c r="AW166" s="262">
        <f t="shared" si="40"/>
        <v>0</v>
      </c>
      <c r="AX166" s="262">
        <f t="shared" si="40"/>
        <v>0</v>
      </c>
      <c r="AY166" s="262">
        <f t="shared" si="40"/>
        <v>0</v>
      </c>
      <c r="AZ166" s="262">
        <f t="shared" si="40"/>
        <v>0</v>
      </c>
      <c r="BA166" s="262">
        <f t="shared" si="40"/>
        <v>0</v>
      </c>
      <c r="BB166" s="262">
        <f t="shared" si="40"/>
        <v>0</v>
      </c>
      <c r="BC166" s="1365"/>
      <c r="BD166" s="1214"/>
      <c r="BE166" s="1214"/>
      <c r="BF166" s="924" t="s">
        <v>705</v>
      </c>
    </row>
    <row r="167" spans="1:58" s="1334" customFormat="1" ht="14.25" hidden="1" customHeight="1" x14ac:dyDescent="0.15">
      <c r="A167" s="1214"/>
      <c r="B167" s="1083"/>
      <c r="C167" s="1214"/>
      <c r="D167" s="1214"/>
      <c r="E167" s="556">
        <v>15</v>
      </c>
      <c r="F167" s="3" t="str" cm="1">
        <f t="array" aca="1" ref="F167" ca="1">OFFSET(E167,-1,1)</f>
        <v>1</v>
      </c>
      <c r="G167" s="1214"/>
      <c r="H167" s="17" t="s">
        <v>706</v>
      </c>
      <c r="I167" s="1214"/>
      <c r="J167" s="1214"/>
      <c r="K167" s="1214"/>
      <c r="L167" s="1214"/>
      <c r="M167" s="1214"/>
      <c r="N167" s="1214"/>
      <c r="O167" s="1214"/>
      <c r="P167" s="1194"/>
      <c r="Q167" s="1194"/>
      <c r="R167" s="1194"/>
      <c r="S167" s="1194"/>
      <c r="T167" s="388" t="b" cm="1">
        <f t="array" ref="T167">T166</f>
        <v>0</v>
      </c>
      <c r="U167" s="1194"/>
      <c r="V167" s="1214"/>
      <c r="W167" s="1194"/>
      <c r="X167" s="2032"/>
      <c r="Y167" s="2011"/>
      <c r="Z167" s="1214"/>
      <c r="AA167" s="1214"/>
      <c r="AB167" s="159" t="s">
        <v>707</v>
      </c>
      <c r="AC167" s="252" t="s">
        <v>639</v>
      </c>
      <c r="AD167" s="12" t="s">
        <v>563</v>
      </c>
      <c r="AE167" s="1364"/>
      <c r="AF167" s="1364"/>
      <c r="AG167" s="1364"/>
      <c r="AH167" s="1364"/>
      <c r="AI167" s="194"/>
      <c r="AJ167" s="1364"/>
      <c r="AK167" s="1364"/>
      <c r="AL167" s="1364"/>
      <c r="AM167" s="1364"/>
      <c r="AN167" s="1364"/>
      <c r="AO167" s="1364"/>
      <c r="AP167" s="1364"/>
      <c r="AQ167" s="1364"/>
      <c r="AR167" s="1364"/>
      <c r="AS167" s="194"/>
      <c r="AT167" s="1364"/>
      <c r="AU167" s="1364"/>
      <c r="AV167" s="1364"/>
      <c r="AW167" s="1364"/>
      <c r="AX167" s="1364"/>
      <c r="AY167" s="1364"/>
      <c r="AZ167" s="1364"/>
      <c r="BA167" s="1364"/>
      <c r="BB167" s="1364"/>
      <c r="BC167" s="1365"/>
      <c r="BD167" s="1214"/>
      <c r="BE167" s="1214"/>
      <c r="BF167" s="924" t="s">
        <v>708</v>
      </c>
    </row>
    <row r="168" spans="1:58" s="1334" customFormat="1" ht="14.25" hidden="1" customHeight="1" x14ac:dyDescent="0.15">
      <c r="A168" s="1214"/>
      <c r="B168" s="1083"/>
      <c r="C168" s="1214"/>
      <c r="D168" s="1214"/>
      <c r="E168" s="556">
        <v>15</v>
      </c>
      <c r="F168" s="3" t="str" cm="1">
        <f t="array" aca="1" ref="F168" ca="1">OFFSET(E168,-1,1)</f>
        <v>1</v>
      </c>
      <c r="G168" s="1214"/>
      <c r="H168" s="17" t="s">
        <v>709</v>
      </c>
      <c r="I168" s="1214"/>
      <c r="J168" s="1214"/>
      <c r="K168" s="1214"/>
      <c r="L168" s="1214"/>
      <c r="M168" s="1214"/>
      <c r="N168" s="1214"/>
      <c r="O168" s="1214"/>
      <c r="P168" s="1194"/>
      <c r="Q168" s="1194"/>
      <c r="R168" s="1194"/>
      <c r="S168" s="1194"/>
      <c r="T168" s="388" t="b" cm="1">
        <f t="array" ref="T168">T167</f>
        <v>0</v>
      </c>
      <c r="U168" s="1194"/>
      <c r="V168" s="1214"/>
      <c r="W168" s="1194"/>
      <c r="X168" s="2032"/>
      <c r="Y168" s="2011"/>
      <c r="Z168" s="1214"/>
      <c r="AA168" s="1214"/>
      <c r="AB168" s="159" t="s">
        <v>710</v>
      </c>
      <c r="AC168" s="252" t="s">
        <v>643</v>
      </c>
      <c r="AD168" s="12" t="s">
        <v>563</v>
      </c>
      <c r="AE168" s="1364"/>
      <c r="AF168" s="1364"/>
      <c r="AG168" s="1364"/>
      <c r="AH168" s="1364"/>
      <c r="AI168" s="194"/>
      <c r="AJ168" s="1364"/>
      <c r="AK168" s="1364"/>
      <c r="AL168" s="1364"/>
      <c r="AM168" s="1364"/>
      <c r="AN168" s="1364"/>
      <c r="AO168" s="1364"/>
      <c r="AP168" s="1364"/>
      <c r="AQ168" s="1364"/>
      <c r="AR168" s="1364"/>
      <c r="AS168" s="194"/>
      <c r="AT168" s="1364"/>
      <c r="AU168" s="1364"/>
      <c r="AV168" s="1364"/>
      <c r="AW168" s="1364"/>
      <c r="AX168" s="1364"/>
      <c r="AY168" s="1364"/>
      <c r="AZ168" s="1364"/>
      <c r="BA168" s="1364"/>
      <c r="BB168" s="1364"/>
      <c r="BC168" s="1365"/>
      <c r="BD168" s="1214"/>
      <c r="BE168" s="1214"/>
      <c r="BF168" s="924" t="s">
        <v>711</v>
      </c>
    </row>
    <row r="169" spans="1:58" s="1334" customFormat="1" ht="21.75" hidden="1" customHeight="1" x14ac:dyDescent="0.15">
      <c r="A169" s="1214"/>
      <c r="B169" s="1083"/>
      <c r="C169" s="1214"/>
      <c r="D169" s="1214"/>
      <c r="E169" s="556">
        <v>22.5</v>
      </c>
      <c r="F169" s="3" t="str" cm="1">
        <f t="array" aca="1" ref="F169" ca="1">OFFSET(E169,-1,1)</f>
        <v>1</v>
      </c>
      <c r="G169" s="1214"/>
      <c r="H169" s="17" t="s">
        <v>591</v>
      </c>
      <c r="I169" s="392"/>
      <c r="J169" s="392"/>
      <c r="K169" s="1214"/>
      <c r="L169" s="1214"/>
      <c r="M169" s="1214"/>
      <c r="N169" s="1214"/>
      <c r="O169" s="1214"/>
      <c r="P169" s="1194"/>
      <c r="Q169" s="1194"/>
      <c r="R169" s="1194"/>
      <c r="S169" s="1194"/>
      <c r="T169" s="388" t="b" cm="1">
        <f t="array" ref="T169">T168</f>
        <v>0</v>
      </c>
      <c r="U169" s="1194"/>
      <c r="V169" s="1214"/>
      <c r="W169" s="1194"/>
      <c r="X169" s="2032"/>
      <c r="Y169" s="2011"/>
      <c r="Z169" s="1214"/>
      <c r="AA169" s="1214"/>
      <c r="AB169" s="159" t="s">
        <v>446</v>
      </c>
      <c r="AC169" s="253" t="s">
        <v>682</v>
      </c>
      <c r="AD169" s="12" t="s">
        <v>563</v>
      </c>
      <c r="AE169" s="1364"/>
      <c r="AF169" s="1364"/>
      <c r="AG169" s="1364"/>
      <c r="AH169" s="1364"/>
      <c r="AI169" s="194"/>
      <c r="AJ169" s="1364"/>
      <c r="AK169" s="1364"/>
      <c r="AL169" s="1364"/>
      <c r="AM169" s="1364"/>
      <c r="AN169" s="1364"/>
      <c r="AO169" s="1364"/>
      <c r="AP169" s="1364"/>
      <c r="AQ169" s="1364"/>
      <c r="AR169" s="1364"/>
      <c r="AS169" s="194"/>
      <c r="AT169" s="1364"/>
      <c r="AU169" s="1364"/>
      <c r="AV169" s="1364"/>
      <c r="AW169" s="1364"/>
      <c r="AX169" s="1364"/>
      <c r="AY169" s="1364"/>
      <c r="AZ169" s="1364"/>
      <c r="BA169" s="1364"/>
      <c r="BB169" s="1364"/>
      <c r="BC169" s="1365"/>
      <c r="BD169" s="1214"/>
      <c r="BE169" s="1214"/>
      <c r="BF169" s="924" t="s">
        <v>712</v>
      </c>
    </row>
    <row r="170" spans="1:58" s="1334" customFormat="1" ht="14.25" hidden="1" customHeight="1" x14ac:dyDescent="0.15">
      <c r="A170" s="1214"/>
      <c r="B170" s="1083"/>
      <c r="C170" s="1214"/>
      <c r="D170" s="1214"/>
      <c r="E170" s="556">
        <v>15</v>
      </c>
      <c r="F170" s="265" t="str" cm="1">
        <f t="array" aca="1" ref="F170" ca="1">OFFSET(E170,-1,1)</f>
        <v>1</v>
      </c>
      <c r="G170" s="1214"/>
      <c r="H170" s="1214"/>
      <c r="I170" s="1214"/>
      <c r="J170" s="1214"/>
      <c r="K170" s="1214"/>
      <c r="L170" s="1214"/>
      <c r="M170" s="1214"/>
      <c r="N170" s="1214"/>
      <c r="O170" s="1214"/>
      <c r="P170" s="1194"/>
      <c r="Q170" s="1194"/>
      <c r="R170" s="1194"/>
      <c r="S170" s="1194"/>
      <c r="T170" s="388" t="b" cm="1">
        <f t="array" ref="T170">T169</f>
        <v>0</v>
      </c>
      <c r="U170" s="1194"/>
      <c r="V170" s="1214"/>
      <c r="W170" s="1194"/>
      <c r="X170" s="2032"/>
      <c r="Y170" s="2011"/>
      <c r="Z170" s="1214"/>
      <c r="AA170" s="1214"/>
      <c r="AB170" s="159" t="s">
        <v>684</v>
      </c>
      <c r="AC170" s="250" t="s">
        <v>685</v>
      </c>
      <c r="AD170" s="12" t="s">
        <v>563</v>
      </c>
      <c r="AE170" s="1364"/>
      <c r="AF170" s="1364"/>
      <c r="AG170" s="1364"/>
      <c r="AH170" s="1364"/>
      <c r="AI170" s="194"/>
      <c r="AJ170" s="1364"/>
      <c r="AK170" s="1364"/>
      <c r="AL170" s="1364"/>
      <c r="AM170" s="1364"/>
      <c r="AN170" s="1364"/>
      <c r="AO170" s="1364"/>
      <c r="AP170" s="1364"/>
      <c r="AQ170" s="1364"/>
      <c r="AR170" s="1364"/>
      <c r="AS170" s="194"/>
      <c r="AT170" s="1364"/>
      <c r="AU170" s="1364"/>
      <c r="AV170" s="1364"/>
      <c r="AW170" s="1364"/>
      <c r="AX170" s="1364"/>
      <c r="AY170" s="1364"/>
      <c r="AZ170" s="1364"/>
      <c r="BA170" s="1364"/>
      <c r="BB170" s="1364"/>
      <c r="BC170" s="1365"/>
      <c r="BD170" s="1214"/>
      <c r="BE170" s="1214"/>
      <c r="BF170" s="924" t="s">
        <v>713</v>
      </c>
    </row>
    <row r="171" spans="1:58" s="1334" customFormat="1" ht="11.25" hidden="1" customHeight="1" x14ac:dyDescent="0.15">
      <c r="A171" s="392"/>
      <c r="B171" s="582"/>
      <c r="C171" s="392"/>
      <c r="D171" s="392"/>
      <c r="E171" s="584" t="s">
        <v>370</v>
      </c>
      <c r="F171" s="1090" t="str" cm="1">
        <f t="array" aca="1" ref="F171" ca="1">OFFSET(E171,-1,1)</f>
        <v>1</v>
      </c>
      <c r="G171" s="392"/>
      <c r="H171" s="392"/>
      <c r="K171" s="17"/>
      <c r="L171" s="392"/>
      <c r="M171" s="392"/>
      <c r="N171" s="392"/>
      <c r="O171" s="392"/>
      <c r="P171" s="392"/>
      <c r="Q171" s="392"/>
      <c r="R171" s="337"/>
      <c r="S171" s="392"/>
      <c r="T171" s="388" t="b">
        <v>0</v>
      </c>
      <c r="U171" s="392"/>
      <c r="V171" s="392"/>
      <c r="W171" s="392"/>
      <c r="X171" s="2032"/>
      <c r="Y171" s="2011"/>
      <c r="Z171" s="392"/>
      <c r="AA171" s="392"/>
      <c r="AC171" s="19"/>
      <c r="AD171" s="19"/>
      <c r="AE171" s="260"/>
      <c r="AF171" s="260"/>
      <c r="AG171" s="260"/>
      <c r="AH171" s="260"/>
      <c r="AI171" s="260"/>
      <c r="AJ171" s="261"/>
      <c r="AK171" s="260"/>
      <c r="AL171" s="260"/>
      <c r="AM171" s="260"/>
      <c r="AN171" s="260"/>
      <c r="AO171" s="260"/>
      <c r="AP171" s="260"/>
      <c r="AQ171" s="260"/>
      <c r="AR171" s="260"/>
      <c r="AS171" s="260"/>
      <c r="AT171" s="260"/>
      <c r="AU171" s="260"/>
      <c r="AV171" s="260"/>
      <c r="AW171" s="260"/>
      <c r="AX171" s="260"/>
      <c r="AY171" s="260"/>
      <c r="AZ171" s="260"/>
      <c r="BA171" s="260"/>
      <c r="BB171" s="260"/>
      <c r="BF171" s="928"/>
    </row>
    <row r="172" spans="1:58" s="1334" customFormat="1" ht="14.25" hidden="1" customHeight="1" x14ac:dyDescent="0.15">
      <c r="A172" s="1214"/>
      <c r="B172" s="1083"/>
      <c r="C172" s="1214"/>
      <c r="D172" s="1214"/>
      <c r="E172" s="556">
        <v>15</v>
      </c>
      <c r="F172" s="3" t="str" cm="1">
        <f t="array" aca="1" ref="F172" ca="1">OFFSET(E172,-1,1)</f>
        <v>1</v>
      </c>
      <c r="G172" s="1214"/>
      <c r="H172" s="1214"/>
      <c r="I172" s="1214"/>
      <c r="J172" s="1214"/>
      <c r="K172" s="1214"/>
      <c r="L172" s="1214"/>
      <c r="M172" s="1214"/>
      <c r="N172" s="1214"/>
      <c r="O172" s="1214"/>
      <c r="P172" s="1194"/>
      <c r="Q172" s="1194"/>
      <c r="R172" s="337" t="b" cm="1">
        <f t="array" ref="R172">INDEX('Общие сведения'!$AN$185:$AN$228,MATCH($X118,'Общие сведения'!$Z$185:$Z$228,0))</f>
        <v>0</v>
      </c>
      <c r="S172" s="405" t="b">
        <f>IF(ISERROR(SEARCH("Водоотведение",AB118)),FALSE,TRUE)</f>
        <v>0</v>
      </c>
      <c r="T172" s="388" t="b">
        <f>AND(X118&gt;0,S172,NOT(R172))</f>
        <v>0</v>
      </c>
      <c r="U172" s="1194"/>
      <c r="V172" s="1214"/>
      <c r="W172" s="1194"/>
      <c r="X172" s="2032"/>
      <c r="Y172" s="2011"/>
      <c r="Z172" s="1214"/>
      <c r="AA172" s="1214"/>
      <c r="AB172" s="159" t="s">
        <v>282</v>
      </c>
      <c r="AC172" s="56" t="s">
        <v>714</v>
      </c>
      <c r="AD172" s="116"/>
      <c r="AE172" s="493" t="str" cm="1">
        <f t="array" ref="AE172">INDEX('Общие сведения'!$AH$185:$AH$228,MATCH($X118,'Общие сведения'!$Z$185:$Z$228,0))</f>
        <v>питьевая вода</v>
      </c>
      <c r="AF172" s="278"/>
      <c r="AG172" s="278"/>
      <c r="AH172" s="278"/>
      <c r="AI172" s="278"/>
      <c r="AJ172" s="278"/>
      <c r="AK172" s="278"/>
      <c r="AL172" s="278"/>
      <c r="AM172" s="278"/>
      <c r="AN172" s="278"/>
      <c r="AO172" s="278"/>
      <c r="AP172" s="278"/>
      <c r="AQ172" s="278"/>
      <c r="AR172" s="278"/>
      <c r="AS172" s="278"/>
      <c r="AT172" s="278"/>
      <c r="AU172" s="278"/>
      <c r="AV172" s="278"/>
      <c r="AW172" s="278"/>
      <c r="AX172" s="278"/>
      <c r="AY172" s="278"/>
      <c r="AZ172" s="278"/>
      <c r="BA172" s="278"/>
      <c r="BB172" s="279"/>
      <c r="BC172" s="1365"/>
      <c r="BD172" s="1214"/>
      <c r="BE172" s="1214"/>
      <c r="BF172" s="924" t="s">
        <v>715</v>
      </c>
    </row>
    <row r="173" spans="1:58" s="1334" customFormat="1" ht="14.25" hidden="1" customHeight="1" x14ac:dyDescent="0.15">
      <c r="A173" s="1214"/>
      <c r="B173" s="1083"/>
      <c r="C173" s="1214"/>
      <c r="D173" s="1214"/>
      <c r="E173" s="556">
        <v>15</v>
      </c>
      <c r="F173" s="3" t="str" cm="1">
        <f t="array" aca="1" ref="F173" ca="1">OFFSET(E173,-1,1)</f>
        <v>1</v>
      </c>
      <c r="G173" s="1214"/>
      <c r="H173" s="17" t="s">
        <v>335</v>
      </c>
      <c r="I173" s="1214"/>
      <c r="J173" s="1214"/>
      <c r="K173" s="1214"/>
      <c r="L173" s="1214"/>
      <c r="M173" s="1214"/>
      <c r="N173" s="1214"/>
      <c r="O173" s="1214"/>
      <c r="P173" s="1194"/>
      <c r="Q173" s="1194"/>
      <c r="R173" s="1194"/>
      <c r="S173" s="1194"/>
      <c r="T173" s="388" t="b" cm="1">
        <f t="array" ref="T173">T172</f>
        <v>0</v>
      </c>
      <c r="U173" s="1194"/>
      <c r="V173" s="1214"/>
      <c r="W173" s="1194"/>
      <c r="X173" s="2032"/>
      <c r="Y173" s="2011"/>
      <c r="Z173" s="1214"/>
      <c r="AA173" s="1214"/>
      <c r="AB173" s="159" t="s">
        <v>289</v>
      </c>
      <c r="AC173" s="56" t="s">
        <v>716</v>
      </c>
      <c r="AD173" s="12" t="s">
        <v>563</v>
      </c>
      <c r="AE173" s="263">
        <f t="shared" ref="AE173:BB173" si="41">AE174+AE175+AE188</f>
        <v>0</v>
      </c>
      <c r="AF173" s="263">
        <f t="shared" si="41"/>
        <v>0</v>
      </c>
      <c r="AG173" s="263">
        <f t="shared" si="41"/>
        <v>0</v>
      </c>
      <c r="AH173" s="263">
        <f t="shared" si="41"/>
        <v>0</v>
      </c>
      <c r="AI173" s="263">
        <f t="shared" si="41"/>
        <v>0</v>
      </c>
      <c r="AJ173" s="263">
        <f t="shared" si="41"/>
        <v>0</v>
      </c>
      <c r="AK173" s="263">
        <f t="shared" si="41"/>
        <v>0</v>
      </c>
      <c r="AL173" s="263">
        <f t="shared" si="41"/>
        <v>0</v>
      </c>
      <c r="AM173" s="263">
        <f t="shared" si="41"/>
        <v>0</v>
      </c>
      <c r="AN173" s="263">
        <f t="shared" si="41"/>
        <v>0</v>
      </c>
      <c r="AO173" s="263">
        <f t="shared" si="41"/>
        <v>0</v>
      </c>
      <c r="AP173" s="263">
        <f t="shared" si="41"/>
        <v>0</v>
      </c>
      <c r="AQ173" s="263">
        <f t="shared" si="41"/>
        <v>0</v>
      </c>
      <c r="AR173" s="263">
        <f t="shared" si="41"/>
        <v>0</v>
      </c>
      <c r="AS173" s="263">
        <f t="shared" si="41"/>
        <v>0</v>
      </c>
      <c r="AT173" s="263">
        <f t="shared" si="41"/>
        <v>0</v>
      </c>
      <c r="AU173" s="263">
        <f t="shared" si="41"/>
        <v>0</v>
      </c>
      <c r="AV173" s="263">
        <f t="shared" si="41"/>
        <v>0</v>
      </c>
      <c r="AW173" s="263">
        <f t="shared" si="41"/>
        <v>0</v>
      </c>
      <c r="AX173" s="263">
        <f t="shared" si="41"/>
        <v>0</v>
      </c>
      <c r="AY173" s="263">
        <f t="shared" si="41"/>
        <v>0</v>
      </c>
      <c r="AZ173" s="263">
        <f t="shared" si="41"/>
        <v>0</v>
      </c>
      <c r="BA173" s="263">
        <f t="shared" si="41"/>
        <v>0</v>
      </c>
      <c r="BB173" s="263">
        <f t="shared" si="41"/>
        <v>0</v>
      </c>
      <c r="BC173" s="1365"/>
      <c r="BD173" s="1214"/>
      <c r="BE173" s="1214"/>
      <c r="BF173" s="924" t="s">
        <v>717</v>
      </c>
    </row>
    <row r="174" spans="1:58" s="1334" customFormat="1" ht="14.25" hidden="1" customHeight="1" x14ac:dyDescent="0.15">
      <c r="A174" s="1214"/>
      <c r="B174" s="1083"/>
      <c r="C174" s="1214"/>
      <c r="D174" s="1214"/>
      <c r="E174" s="556">
        <v>15</v>
      </c>
      <c r="F174" s="3" t="str" cm="1">
        <f t="array" aca="1" ref="F174" ca="1">OFFSET(E174,-1,1)</f>
        <v>1</v>
      </c>
      <c r="G174" s="17" t="str">
        <f>IF(OwnNeedsInPO="да","ПО","")</f>
        <v>ПО</v>
      </c>
      <c r="H174" s="17" t="s">
        <v>334</v>
      </c>
      <c r="I174" s="1214"/>
      <c r="J174" s="1214"/>
      <c r="K174" s="1214"/>
      <c r="L174" s="1214"/>
      <c r="M174" s="1214"/>
      <c r="N174" s="1214"/>
      <c r="O174" s="1214"/>
      <c r="P174" s="1194"/>
      <c r="Q174" s="1194"/>
      <c r="R174" s="1194"/>
      <c r="S174" s="1194"/>
      <c r="T174" s="388" t="b" cm="1">
        <f t="array" ref="T174">T173</f>
        <v>0</v>
      </c>
      <c r="U174" s="1194"/>
      <c r="V174" s="1214"/>
      <c r="W174" s="1194"/>
      <c r="X174" s="2032"/>
      <c r="Y174" s="2011"/>
      <c r="Z174" s="1214"/>
      <c r="AA174" s="1214"/>
      <c r="AB174" s="159" t="s">
        <v>329</v>
      </c>
      <c r="AC174" s="56" t="s">
        <v>718</v>
      </c>
      <c r="AD174" s="12" t="s">
        <v>563</v>
      </c>
      <c r="AE174" s="1364"/>
      <c r="AF174" s="1364"/>
      <c r="AG174" s="1364"/>
      <c r="AH174" s="1364"/>
      <c r="AI174" s="194"/>
      <c r="AJ174" s="1364"/>
      <c r="AK174" s="1364"/>
      <c r="AL174" s="1364"/>
      <c r="AM174" s="1364"/>
      <c r="AN174" s="1364"/>
      <c r="AO174" s="1364"/>
      <c r="AP174" s="1364"/>
      <c r="AQ174" s="1364"/>
      <c r="AR174" s="1364"/>
      <c r="AS174" s="194"/>
      <c r="AT174" s="1364"/>
      <c r="AU174" s="1364"/>
      <c r="AV174" s="1364"/>
      <c r="AW174" s="1364"/>
      <c r="AX174" s="1364"/>
      <c r="AY174" s="1364"/>
      <c r="AZ174" s="1364"/>
      <c r="BA174" s="1364"/>
      <c r="BB174" s="1364"/>
      <c r="BC174" s="1365"/>
      <c r="BD174" s="1214"/>
      <c r="BE174" s="1214"/>
      <c r="BF174" s="924" t="s">
        <v>719</v>
      </c>
    </row>
    <row r="175" spans="1:58" s="1334" customFormat="1" ht="14.25" hidden="1" customHeight="1" x14ac:dyDescent="0.15">
      <c r="A175" s="1214"/>
      <c r="B175" s="1083"/>
      <c r="C175" s="1214"/>
      <c r="D175" s="1214"/>
      <c r="E175" s="556">
        <v>15</v>
      </c>
      <c r="F175" s="3" t="str" cm="1">
        <f t="array" aca="1" ref="F175" ca="1">OFFSET(E175,-1,1)</f>
        <v>1</v>
      </c>
      <c r="G175" s="17" t="s">
        <v>632</v>
      </c>
      <c r="H175" s="17" t="s">
        <v>544</v>
      </c>
      <c r="I175" s="1214"/>
      <c r="J175" s="1214"/>
      <c r="K175" s="1214"/>
      <c r="L175" s="1214"/>
      <c r="M175" s="1214"/>
      <c r="N175" s="1214"/>
      <c r="O175" s="1214"/>
      <c r="P175" s="1194"/>
      <c r="Q175" s="1194"/>
      <c r="R175" s="1194"/>
      <c r="S175" s="1194"/>
      <c r="T175" s="388" t="b" cm="1">
        <f t="array" ref="T175">T174</f>
        <v>0</v>
      </c>
      <c r="U175" s="1194"/>
      <c r="V175" s="1214"/>
      <c r="W175" s="1194"/>
      <c r="X175" s="2032"/>
      <c r="Y175" s="2011"/>
      <c r="Z175" s="1214"/>
      <c r="AA175" s="1214"/>
      <c r="AB175" s="159" t="s">
        <v>441</v>
      </c>
      <c r="AC175" s="57" t="s">
        <v>720</v>
      </c>
      <c r="AD175" s="12" t="s">
        <v>563</v>
      </c>
      <c r="AE175" s="262">
        <f t="shared" ref="AE175:BB175" si="42">AE176+AE179+AE182+AE185</f>
        <v>0</v>
      </c>
      <c r="AF175" s="262">
        <f t="shared" si="42"/>
        <v>0</v>
      </c>
      <c r="AG175" s="262">
        <f t="shared" si="42"/>
        <v>0</v>
      </c>
      <c r="AH175" s="262">
        <f t="shared" si="42"/>
        <v>0</v>
      </c>
      <c r="AI175" s="262">
        <f t="shared" si="42"/>
        <v>0</v>
      </c>
      <c r="AJ175" s="262">
        <f t="shared" si="42"/>
        <v>0</v>
      </c>
      <c r="AK175" s="262">
        <f t="shared" si="42"/>
        <v>0</v>
      </c>
      <c r="AL175" s="262">
        <f t="shared" si="42"/>
        <v>0</v>
      </c>
      <c r="AM175" s="262">
        <f t="shared" si="42"/>
        <v>0</v>
      </c>
      <c r="AN175" s="262">
        <f t="shared" si="42"/>
        <v>0</v>
      </c>
      <c r="AO175" s="262">
        <f t="shared" si="42"/>
        <v>0</v>
      </c>
      <c r="AP175" s="262">
        <f t="shared" si="42"/>
        <v>0</v>
      </c>
      <c r="AQ175" s="262">
        <f t="shared" si="42"/>
        <v>0</v>
      </c>
      <c r="AR175" s="262">
        <f t="shared" si="42"/>
        <v>0</v>
      </c>
      <c r="AS175" s="262">
        <f t="shared" si="42"/>
        <v>0</v>
      </c>
      <c r="AT175" s="262">
        <f t="shared" si="42"/>
        <v>0</v>
      </c>
      <c r="AU175" s="262">
        <f t="shared" si="42"/>
        <v>0</v>
      </c>
      <c r="AV175" s="262">
        <f t="shared" si="42"/>
        <v>0</v>
      </c>
      <c r="AW175" s="262">
        <f t="shared" si="42"/>
        <v>0</v>
      </c>
      <c r="AX175" s="262">
        <f t="shared" si="42"/>
        <v>0</v>
      </c>
      <c r="AY175" s="262">
        <f t="shared" si="42"/>
        <v>0</v>
      </c>
      <c r="AZ175" s="262">
        <f t="shared" si="42"/>
        <v>0</v>
      </c>
      <c r="BA175" s="262">
        <f t="shared" si="42"/>
        <v>0</v>
      </c>
      <c r="BB175" s="262">
        <f t="shared" si="42"/>
        <v>0</v>
      </c>
      <c r="BC175" s="1365"/>
      <c r="BD175" s="1214"/>
      <c r="BE175" s="1214"/>
      <c r="BF175" s="924" t="s">
        <v>721</v>
      </c>
    </row>
    <row r="176" spans="1:58" s="1334" customFormat="1" ht="14.25" hidden="1" customHeight="1" x14ac:dyDescent="0.15">
      <c r="A176" s="1214"/>
      <c r="B176" s="1083"/>
      <c r="C176" s="1214"/>
      <c r="D176" s="1214"/>
      <c r="E176" s="556">
        <v>15</v>
      </c>
      <c r="F176" s="3" t="str" cm="1">
        <f t="array" aca="1" ref="F176" ca="1">OFFSET(E176,-1,1)</f>
        <v>1</v>
      </c>
      <c r="G176" s="1214"/>
      <c r="H176" s="17" t="s">
        <v>699</v>
      </c>
      <c r="I176" s="1214"/>
      <c r="J176" s="1214"/>
      <c r="K176" s="1214"/>
      <c r="L176" s="1214"/>
      <c r="M176" s="1214"/>
      <c r="N176" s="1214"/>
      <c r="O176" s="1214"/>
      <c r="P176" s="1194"/>
      <c r="Q176" s="1194"/>
      <c r="R176" s="1194"/>
      <c r="S176" s="1194"/>
      <c r="T176" s="388" t="b" cm="1">
        <f t="array" ref="T176">T175</f>
        <v>0</v>
      </c>
      <c r="U176" s="1194"/>
      <c r="V176" s="1214"/>
      <c r="W176" s="1194"/>
      <c r="X176" s="2032"/>
      <c r="Y176" s="2011"/>
      <c r="Z176" s="1214"/>
      <c r="AA176" s="1214"/>
      <c r="AB176" s="159" t="s">
        <v>700</v>
      </c>
      <c r="AC176" s="111" t="s">
        <v>651</v>
      </c>
      <c r="AD176" s="12" t="s">
        <v>563</v>
      </c>
      <c r="AE176" s="262">
        <f t="shared" ref="AE176:BB176" si="43">AE177+AE178</f>
        <v>0</v>
      </c>
      <c r="AF176" s="262">
        <f t="shared" si="43"/>
        <v>0</v>
      </c>
      <c r="AG176" s="262">
        <f t="shared" si="43"/>
        <v>0</v>
      </c>
      <c r="AH176" s="262">
        <f t="shared" si="43"/>
        <v>0</v>
      </c>
      <c r="AI176" s="262">
        <f t="shared" si="43"/>
        <v>0</v>
      </c>
      <c r="AJ176" s="262">
        <f t="shared" si="43"/>
        <v>0</v>
      </c>
      <c r="AK176" s="262">
        <f t="shared" si="43"/>
        <v>0</v>
      </c>
      <c r="AL176" s="262">
        <f t="shared" si="43"/>
        <v>0</v>
      </c>
      <c r="AM176" s="262">
        <f t="shared" si="43"/>
        <v>0</v>
      </c>
      <c r="AN176" s="262">
        <f t="shared" si="43"/>
        <v>0</v>
      </c>
      <c r="AO176" s="262">
        <f t="shared" si="43"/>
        <v>0</v>
      </c>
      <c r="AP176" s="262">
        <f t="shared" si="43"/>
        <v>0</v>
      </c>
      <c r="AQ176" s="262">
        <f t="shared" si="43"/>
        <v>0</v>
      </c>
      <c r="AR176" s="262">
        <f t="shared" si="43"/>
        <v>0</v>
      </c>
      <c r="AS176" s="262">
        <f t="shared" si="43"/>
        <v>0</v>
      </c>
      <c r="AT176" s="262">
        <f t="shared" si="43"/>
        <v>0</v>
      </c>
      <c r="AU176" s="262">
        <f t="shared" si="43"/>
        <v>0</v>
      </c>
      <c r="AV176" s="262">
        <f t="shared" si="43"/>
        <v>0</v>
      </c>
      <c r="AW176" s="262">
        <f t="shared" si="43"/>
        <v>0</v>
      </c>
      <c r="AX176" s="262">
        <f t="shared" si="43"/>
        <v>0</v>
      </c>
      <c r="AY176" s="262">
        <f t="shared" si="43"/>
        <v>0</v>
      </c>
      <c r="AZ176" s="262">
        <f t="shared" si="43"/>
        <v>0</v>
      </c>
      <c r="BA176" s="262">
        <f t="shared" si="43"/>
        <v>0</v>
      </c>
      <c r="BB176" s="262">
        <f t="shared" si="43"/>
        <v>0</v>
      </c>
      <c r="BC176" s="1365"/>
      <c r="BD176" s="1214"/>
      <c r="BE176" s="1214"/>
      <c r="BF176" s="924" t="s">
        <v>722</v>
      </c>
    </row>
    <row r="177" spans="1:58" s="1334" customFormat="1" ht="14.25" hidden="1" customHeight="1" x14ac:dyDescent="0.15">
      <c r="A177" s="1214"/>
      <c r="B177" s="1083"/>
      <c r="C177" s="1214"/>
      <c r="D177" s="1214"/>
      <c r="E177" s="556">
        <v>15</v>
      </c>
      <c r="F177" s="3" t="str" cm="1">
        <f t="array" aca="1" ref="F177" ca="1">OFFSET(E177,-1,1)</f>
        <v>1</v>
      </c>
      <c r="G177" s="1214"/>
      <c r="H177" s="17" t="s">
        <v>723</v>
      </c>
      <c r="I177" s="1214"/>
      <c r="J177" s="1214"/>
      <c r="K177" s="1214"/>
      <c r="L177" s="1214"/>
      <c r="M177" s="1214"/>
      <c r="N177" s="1214"/>
      <c r="O177" s="1214"/>
      <c r="P177" s="1194"/>
      <c r="Q177" s="1194"/>
      <c r="R177" s="1194"/>
      <c r="S177" s="1194"/>
      <c r="T177" s="388" t="b" cm="1">
        <f t="array" ref="T177">T176</f>
        <v>0</v>
      </c>
      <c r="U177" s="1194"/>
      <c r="V177" s="1214"/>
      <c r="W177" s="1194"/>
      <c r="X177" s="2032"/>
      <c r="Y177" s="2011"/>
      <c r="Z177" s="1214"/>
      <c r="AA177" s="1214"/>
      <c r="AB177" s="159" t="s">
        <v>724</v>
      </c>
      <c r="AC177" s="254" t="s">
        <v>639</v>
      </c>
      <c r="AD177" s="12" t="s">
        <v>563</v>
      </c>
      <c r="AE177" s="1364"/>
      <c r="AF177" s="1364"/>
      <c r="AG177" s="1364"/>
      <c r="AH177" s="1364"/>
      <c r="AI177" s="194"/>
      <c r="AJ177" s="1364"/>
      <c r="AK177" s="1364"/>
      <c r="AL177" s="1364"/>
      <c r="AM177" s="1364"/>
      <c r="AN177" s="1364"/>
      <c r="AO177" s="1364"/>
      <c r="AP177" s="1364"/>
      <c r="AQ177" s="1364"/>
      <c r="AR177" s="1364"/>
      <c r="AS177" s="194"/>
      <c r="AT177" s="1364"/>
      <c r="AU177" s="1364"/>
      <c r="AV177" s="1364"/>
      <c r="AW177" s="1364"/>
      <c r="AX177" s="1364"/>
      <c r="AY177" s="1364"/>
      <c r="AZ177" s="1364"/>
      <c r="BA177" s="1364"/>
      <c r="BB177" s="1364"/>
      <c r="BC177" s="1365"/>
      <c r="BD177" s="1214"/>
      <c r="BE177" s="1214"/>
      <c r="BF177" s="924" t="s">
        <v>725</v>
      </c>
    </row>
    <row r="178" spans="1:58" s="1334" customFormat="1" ht="14.25" hidden="1" customHeight="1" x14ac:dyDescent="0.15">
      <c r="A178" s="1214"/>
      <c r="B178" s="1083"/>
      <c r="C178" s="1214"/>
      <c r="D178" s="1214"/>
      <c r="E178" s="556">
        <v>15</v>
      </c>
      <c r="F178" s="3" t="str" cm="1">
        <f t="array" aca="1" ref="F178" ca="1">OFFSET(E178,-1,1)</f>
        <v>1</v>
      </c>
      <c r="G178" s="1214"/>
      <c r="H178" s="17" t="s">
        <v>726</v>
      </c>
      <c r="I178" s="1214"/>
      <c r="J178" s="1214"/>
      <c r="K178" s="1214"/>
      <c r="L178" s="1214"/>
      <c r="M178" s="1214"/>
      <c r="N178" s="1214"/>
      <c r="O178" s="1214"/>
      <c r="P178" s="1194"/>
      <c r="Q178" s="1194"/>
      <c r="R178" s="1194"/>
      <c r="S178" s="1194"/>
      <c r="T178" s="388" t="b" cm="1">
        <f t="array" ref="T178">T177</f>
        <v>0</v>
      </c>
      <c r="U178" s="1194"/>
      <c r="V178" s="1214"/>
      <c r="W178" s="1194"/>
      <c r="X178" s="2032"/>
      <c r="Y178" s="2011"/>
      <c r="Z178" s="1214"/>
      <c r="AA178" s="1214"/>
      <c r="AB178" s="159" t="s">
        <v>727</v>
      </c>
      <c r="AC178" s="254" t="s">
        <v>643</v>
      </c>
      <c r="AD178" s="12" t="s">
        <v>563</v>
      </c>
      <c r="AE178" s="1364"/>
      <c r="AF178" s="1364"/>
      <c r="AG178" s="1364"/>
      <c r="AH178" s="1364"/>
      <c r="AI178" s="194"/>
      <c r="AJ178" s="1364"/>
      <c r="AK178" s="1364"/>
      <c r="AL178" s="1364"/>
      <c r="AM178" s="1364"/>
      <c r="AN178" s="1364"/>
      <c r="AO178" s="1364"/>
      <c r="AP178" s="1364"/>
      <c r="AQ178" s="1364"/>
      <c r="AR178" s="1364"/>
      <c r="AS178" s="194"/>
      <c r="AT178" s="1364"/>
      <c r="AU178" s="1364"/>
      <c r="AV178" s="1364"/>
      <c r="AW178" s="1364"/>
      <c r="AX178" s="1364"/>
      <c r="AY178" s="1364"/>
      <c r="AZ178" s="1364"/>
      <c r="BA178" s="1364"/>
      <c r="BB178" s="1364"/>
      <c r="BC178" s="1365"/>
      <c r="BD178" s="1214"/>
      <c r="BE178" s="1214"/>
      <c r="BF178" s="924" t="s">
        <v>728</v>
      </c>
    </row>
    <row r="179" spans="1:58" s="1334" customFormat="1" ht="14.25" hidden="1" customHeight="1" x14ac:dyDescent="0.15">
      <c r="A179" s="1214"/>
      <c r="B179" s="1083"/>
      <c r="C179" s="1214"/>
      <c r="D179" s="1214"/>
      <c r="E179" s="556">
        <v>15</v>
      </c>
      <c r="F179" s="3" t="str" cm="1">
        <f t="array" aca="1" ref="F179" ca="1">OFFSET(E179,-1,1)</f>
        <v>1</v>
      </c>
      <c r="G179" s="17" t="s">
        <v>659</v>
      </c>
      <c r="H179" s="17" t="s">
        <v>702</v>
      </c>
      <c r="I179" s="1214"/>
      <c r="J179" s="1214"/>
      <c r="K179" s="1214"/>
      <c r="L179" s="1214"/>
      <c r="M179" s="1214"/>
      <c r="N179" s="1214"/>
      <c r="O179" s="1214"/>
      <c r="P179" s="1194"/>
      <c r="Q179" s="1194"/>
      <c r="R179" s="1194"/>
      <c r="S179" s="1194"/>
      <c r="T179" s="388" t="b" cm="1">
        <f t="array" ref="T179">T178</f>
        <v>0</v>
      </c>
      <c r="U179" s="1194"/>
      <c r="V179" s="1214"/>
      <c r="W179" s="1194"/>
      <c r="X179" s="2032"/>
      <c r="Y179" s="2011"/>
      <c r="Z179" s="1214"/>
      <c r="AA179" s="1214"/>
      <c r="AB179" s="159" t="s">
        <v>703</v>
      </c>
      <c r="AC179" s="111" t="s">
        <v>662</v>
      </c>
      <c r="AD179" s="12" t="s">
        <v>563</v>
      </c>
      <c r="AE179" s="262">
        <f t="shared" ref="AE179:BB179" si="44">AE180+AE181</f>
        <v>0</v>
      </c>
      <c r="AF179" s="262">
        <f t="shared" si="44"/>
        <v>0</v>
      </c>
      <c r="AG179" s="262">
        <f t="shared" si="44"/>
        <v>0</v>
      </c>
      <c r="AH179" s="262">
        <f t="shared" si="44"/>
        <v>0</v>
      </c>
      <c r="AI179" s="262">
        <f t="shared" si="44"/>
        <v>0</v>
      </c>
      <c r="AJ179" s="262">
        <f t="shared" si="44"/>
        <v>0</v>
      </c>
      <c r="AK179" s="262">
        <f t="shared" si="44"/>
        <v>0</v>
      </c>
      <c r="AL179" s="262">
        <f t="shared" si="44"/>
        <v>0</v>
      </c>
      <c r="AM179" s="262">
        <f t="shared" si="44"/>
        <v>0</v>
      </c>
      <c r="AN179" s="262">
        <f t="shared" si="44"/>
        <v>0</v>
      </c>
      <c r="AO179" s="262">
        <f t="shared" si="44"/>
        <v>0</v>
      </c>
      <c r="AP179" s="262">
        <f t="shared" si="44"/>
        <v>0</v>
      </c>
      <c r="AQ179" s="262">
        <f t="shared" si="44"/>
        <v>0</v>
      </c>
      <c r="AR179" s="262">
        <f t="shared" si="44"/>
        <v>0</v>
      </c>
      <c r="AS179" s="262">
        <f t="shared" si="44"/>
        <v>0</v>
      </c>
      <c r="AT179" s="262">
        <f t="shared" si="44"/>
        <v>0</v>
      </c>
      <c r="AU179" s="262">
        <f t="shared" si="44"/>
        <v>0</v>
      </c>
      <c r="AV179" s="262">
        <f t="shared" si="44"/>
        <v>0</v>
      </c>
      <c r="AW179" s="262">
        <f t="shared" si="44"/>
        <v>0</v>
      </c>
      <c r="AX179" s="262">
        <f t="shared" si="44"/>
        <v>0</v>
      </c>
      <c r="AY179" s="262">
        <f t="shared" si="44"/>
        <v>0</v>
      </c>
      <c r="AZ179" s="262">
        <f t="shared" si="44"/>
        <v>0</v>
      </c>
      <c r="BA179" s="262">
        <f t="shared" si="44"/>
        <v>0</v>
      </c>
      <c r="BB179" s="262">
        <f t="shared" si="44"/>
        <v>0</v>
      </c>
      <c r="BC179" s="1365"/>
      <c r="BD179" s="1214"/>
      <c r="BE179" s="1214"/>
      <c r="BF179" s="924" t="s">
        <v>729</v>
      </c>
    </row>
    <row r="180" spans="1:58" s="1334" customFormat="1" ht="14.25" hidden="1" customHeight="1" x14ac:dyDescent="0.15">
      <c r="A180" s="1214"/>
      <c r="B180" s="1083"/>
      <c r="C180" s="1214"/>
      <c r="D180" s="1214"/>
      <c r="E180" s="556">
        <v>15</v>
      </c>
      <c r="F180" s="3" t="str" cm="1">
        <f t="array" aca="1" ref="F180" ca="1">OFFSET(E180,-1,1)</f>
        <v>1</v>
      </c>
      <c r="G180" s="1214"/>
      <c r="H180" s="17" t="s">
        <v>730</v>
      </c>
      <c r="I180" s="1214"/>
      <c r="J180" s="1214"/>
      <c r="K180" s="1214"/>
      <c r="L180" s="1214"/>
      <c r="M180" s="1214"/>
      <c r="N180" s="1214"/>
      <c r="O180" s="1214"/>
      <c r="P180" s="1194"/>
      <c r="Q180" s="1194"/>
      <c r="R180" s="1194"/>
      <c r="S180" s="1194"/>
      <c r="T180" s="388" t="b" cm="1">
        <f t="array" ref="T180">T179</f>
        <v>0</v>
      </c>
      <c r="U180" s="1194"/>
      <c r="V180" s="1214"/>
      <c r="W180" s="1194"/>
      <c r="X180" s="2032"/>
      <c r="Y180" s="2011"/>
      <c r="Z180" s="1214"/>
      <c r="AA180" s="1214"/>
      <c r="AB180" s="159" t="s">
        <v>731</v>
      </c>
      <c r="AC180" s="254" t="s">
        <v>639</v>
      </c>
      <c r="AD180" s="12" t="s">
        <v>563</v>
      </c>
      <c r="AE180" s="1364"/>
      <c r="AF180" s="1364"/>
      <c r="AG180" s="1364"/>
      <c r="AH180" s="1364"/>
      <c r="AI180" s="194"/>
      <c r="AJ180" s="1364"/>
      <c r="AK180" s="1364"/>
      <c r="AL180" s="1364"/>
      <c r="AM180" s="1364"/>
      <c r="AN180" s="1364"/>
      <c r="AO180" s="1364"/>
      <c r="AP180" s="1364"/>
      <c r="AQ180" s="1364"/>
      <c r="AR180" s="1364"/>
      <c r="AS180" s="194"/>
      <c r="AT180" s="1364"/>
      <c r="AU180" s="1364"/>
      <c r="AV180" s="1364"/>
      <c r="AW180" s="1364"/>
      <c r="AX180" s="1364"/>
      <c r="AY180" s="1364"/>
      <c r="AZ180" s="1364"/>
      <c r="BA180" s="1364"/>
      <c r="BB180" s="1364"/>
      <c r="BC180" s="1365"/>
      <c r="BD180" s="1214"/>
      <c r="BE180" s="1214"/>
      <c r="BF180" s="924" t="s">
        <v>732</v>
      </c>
    </row>
    <row r="181" spans="1:58" s="1334" customFormat="1" ht="14.25" hidden="1" customHeight="1" x14ac:dyDescent="0.15">
      <c r="A181" s="1214"/>
      <c r="B181" s="1083"/>
      <c r="C181" s="1214"/>
      <c r="D181" s="1214"/>
      <c r="E181" s="556">
        <v>15</v>
      </c>
      <c r="F181" s="3" t="str" cm="1">
        <f t="array" aca="1" ref="F181" ca="1">OFFSET(E181,-1,1)</f>
        <v>1</v>
      </c>
      <c r="G181" s="1214"/>
      <c r="H181" s="17" t="s">
        <v>733</v>
      </c>
      <c r="I181" s="1214"/>
      <c r="J181" s="1214"/>
      <c r="K181" s="1214"/>
      <c r="L181" s="1214"/>
      <c r="M181" s="1214"/>
      <c r="N181" s="1214"/>
      <c r="O181" s="1214"/>
      <c r="P181" s="1194"/>
      <c r="Q181" s="1194"/>
      <c r="R181" s="1194"/>
      <c r="S181" s="1194"/>
      <c r="T181" s="388" t="b" cm="1">
        <f t="array" ref="T181">T180</f>
        <v>0</v>
      </c>
      <c r="U181" s="1194"/>
      <c r="V181" s="1214"/>
      <c r="W181" s="1194"/>
      <c r="X181" s="2032"/>
      <c r="Y181" s="2011"/>
      <c r="Z181" s="1214"/>
      <c r="AA181" s="1214"/>
      <c r="AB181" s="159" t="s">
        <v>734</v>
      </c>
      <c r="AC181" s="254" t="s">
        <v>643</v>
      </c>
      <c r="AD181" s="12" t="s">
        <v>563</v>
      </c>
      <c r="AE181" s="1364"/>
      <c r="AF181" s="1364"/>
      <c r="AG181" s="1364"/>
      <c r="AH181" s="1364"/>
      <c r="AI181" s="194"/>
      <c r="AJ181" s="1364"/>
      <c r="AK181" s="1364"/>
      <c r="AL181" s="1364"/>
      <c r="AM181" s="1364"/>
      <c r="AN181" s="1364"/>
      <c r="AO181" s="1364"/>
      <c r="AP181" s="1364"/>
      <c r="AQ181" s="1364"/>
      <c r="AR181" s="1364"/>
      <c r="AS181" s="194"/>
      <c r="AT181" s="1364"/>
      <c r="AU181" s="1364"/>
      <c r="AV181" s="1364"/>
      <c r="AW181" s="1364"/>
      <c r="AX181" s="1364"/>
      <c r="AY181" s="1364"/>
      <c r="AZ181" s="1364"/>
      <c r="BA181" s="1364"/>
      <c r="BB181" s="1364"/>
      <c r="BC181" s="1365"/>
      <c r="BD181" s="1214"/>
      <c r="BE181" s="1214"/>
      <c r="BF181" s="924" t="s">
        <v>735</v>
      </c>
    </row>
    <row r="182" spans="1:58" s="1334" customFormat="1" ht="14.25" hidden="1" customHeight="1" x14ac:dyDescent="0.15">
      <c r="A182" s="1214"/>
      <c r="B182" s="1083"/>
      <c r="C182" s="1214"/>
      <c r="D182" s="1214"/>
      <c r="E182" s="556">
        <v>15</v>
      </c>
      <c r="F182" s="3" t="str" cm="1">
        <f t="array" aca="1" ref="F182" ca="1">OFFSET(E182,-1,1)</f>
        <v>1</v>
      </c>
      <c r="G182" s="1214"/>
      <c r="H182" s="17" t="s">
        <v>736</v>
      </c>
      <c r="I182" s="1214"/>
      <c r="J182" s="1214"/>
      <c r="K182" s="1214"/>
      <c r="L182" s="1214"/>
      <c r="M182" s="1214"/>
      <c r="N182" s="1214"/>
      <c r="O182" s="1214"/>
      <c r="P182" s="1194"/>
      <c r="Q182" s="1194"/>
      <c r="R182" s="1194"/>
      <c r="S182" s="1194"/>
      <c r="T182" s="388" t="b" cm="1">
        <f t="array" ref="T182">T181</f>
        <v>0</v>
      </c>
      <c r="U182" s="1194"/>
      <c r="V182" s="1214"/>
      <c r="W182" s="1194"/>
      <c r="X182" s="2032"/>
      <c r="Y182" s="2011"/>
      <c r="Z182" s="1214"/>
      <c r="AA182" s="1214"/>
      <c r="AB182" s="159" t="s">
        <v>737</v>
      </c>
      <c r="AC182" s="111" t="s">
        <v>672</v>
      </c>
      <c r="AD182" s="12" t="s">
        <v>563</v>
      </c>
      <c r="AE182" s="262">
        <f t="shared" ref="AE182:BB182" si="45">AE183+AE184</f>
        <v>0</v>
      </c>
      <c r="AF182" s="262">
        <f t="shared" si="45"/>
        <v>0</v>
      </c>
      <c r="AG182" s="262">
        <f t="shared" si="45"/>
        <v>0</v>
      </c>
      <c r="AH182" s="262">
        <f t="shared" si="45"/>
        <v>0</v>
      </c>
      <c r="AI182" s="262">
        <f t="shared" si="45"/>
        <v>0</v>
      </c>
      <c r="AJ182" s="262">
        <f t="shared" si="45"/>
        <v>0</v>
      </c>
      <c r="AK182" s="262">
        <f t="shared" si="45"/>
        <v>0</v>
      </c>
      <c r="AL182" s="262">
        <f t="shared" si="45"/>
        <v>0</v>
      </c>
      <c r="AM182" s="262">
        <f t="shared" si="45"/>
        <v>0</v>
      </c>
      <c r="AN182" s="262">
        <f t="shared" si="45"/>
        <v>0</v>
      </c>
      <c r="AO182" s="262">
        <f t="shared" si="45"/>
        <v>0</v>
      </c>
      <c r="AP182" s="262">
        <f t="shared" si="45"/>
        <v>0</v>
      </c>
      <c r="AQ182" s="262">
        <f t="shared" si="45"/>
        <v>0</v>
      </c>
      <c r="AR182" s="262">
        <f t="shared" si="45"/>
        <v>0</v>
      </c>
      <c r="AS182" s="262">
        <f t="shared" si="45"/>
        <v>0</v>
      </c>
      <c r="AT182" s="262">
        <f t="shared" si="45"/>
        <v>0</v>
      </c>
      <c r="AU182" s="262">
        <f t="shared" si="45"/>
        <v>0</v>
      </c>
      <c r="AV182" s="262">
        <f t="shared" si="45"/>
        <v>0</v>
      </c>
      <c r="AW182" s="262">
        <f t="shared" si="45"/>
        <v>0</v>
      </c>
      <c r="AX182" s="262">
        <f t="shared" si="45"/>
        <v>0</v>
      </c>
      <c r="AY182" s="262">
        <f t="shared" si="45"/>
        <v>0</v>
      </c>
      <c r="AZ182" s="262">
        <f t="shared" si="45"/>
        <v>0</v>
      </c>
      <c r="BA182" s="262">
        <f t="shared" si="45"/>
        <v>0</v>
      </c>
      <c r="BB182" s="262">
        <f t="shared" si="45"/>
        <v>0</v>
      </c>
      <c r="BC182" s="1365"/>
      <c r="BD182" s="1214"/>
      <c r="BE182" s="1214"/>
      <c r="BF182" s="924" t="s">
        <v>738</v>
      </c>
    </row>
    <row r="183" spans="1:58" s="1334" customFormat="1" ht="14.25" hidden="1" customHeight="1" x14ac:dyDescent="0.15">
      <c r="A183" s="1214"/>
      <c r="B183" s="1083"/>
      <c r="C183" s="1214"/>
      <c r="D183" s="1214"/>
      <c r="E183" s="556">
        <v>15</v>
      </c>
      <c r="F183" s="3" t="str" cm="1">
        <f t="array" aca="1" ref="F183" ca="1">OFFSET(E183,-1,1)</f>
        <v>1</v>
      </c>
      <c r="G183" s="1214"/>
      <c r="H183" s="17" t="s">
        <v>739</v>
      </c>
      <c r="I183" s="1214"/>
      <c r="J183" s="1214"/>
      <c r="K183" s="1214"/>
      <c r="L183" s="1214"/>
      <c r="M183" s="1214"/>
      <c r="N183" s="1214"/>
      <c r="O183" s="1214"/>
      <c r="P183" s="1194"/>
      <c r="Q183" s="1194"/>
      <c r="R183" s="1194"/>
      <c r="S183" s="1194"/>
      <c r="T183" s="388" t="b" cm="1">
        <f t="array" ref="T183">T182</f>
        <v>0</v>
      </c>
      <c r="U183" s="1194"/>
      <c r="V183" s="1214"/>
      <c r="W183" s="1194"/>
      <c r="X183" s="2032"/>
      <c r="Y183" s="2011"/>
      <c r="Z183" s="1214"/>
      <c r="AA183" s="1214"/>
      <c r="AB183" s="159" t="s">
        <v>740</v>
      </c>
      <c r="AC183" s="254" t="s">
        <v>639</v>
      </c>
      <c r="AD183" s="12" t="s">
        <v>563</v>
      </c>
      <c r="AE183" s="1364"/>
      <c r="AF183" s="1364"/>
      <c r="AG183" s="1364"/>
      <c r="AH183" s="1364"/>
      <c r="AI183" s="194"/>
      <c r="AJ183" s="1364"/>
      <c r="AK183" s="1364"/>
      <c r="AL183" s="1364"/>
      <c r="AM183" s="1364"/>
      <c r="AN183" s="1364"/>
      <c r="AO183" s="1364"/>
      <c r="AP183" s="1364"/>
      <c r="AQ183" s="1364"/>
      <c r="AR183" s="1364"/>
      <c r="AS183" s="194"/>
      <c r="AT183" s="1364"/>
      <c r="AU183" s="1364"/>
      <c r="AV183" s="1364"/>
      <c r="AW183" s="1364"/>
      <c r="AX183" s="1364"/>
      <c r="AY183" s="1364"/>
      <c r="AZ183" s="1364"/>
      <c r="BA183" s="1364"/>
      <c r="BB183" s="1364"/>
      <c r="BC183" s="1365"/>
      <c r="BD183" s="1214"/>
      <c r="BE183" s="1214"/>
      <c r="BF183" s="924" t="s">
        <v>741</v>
      </c>
    </row>
    <row r="184" spans="1:58" s="1334" customFormat="1" ht="14.25" hidden="1" customHeight="1" x14ac:dyDescent="0.15">
      <c r="A184" s="1214"/>
      <c r="B184" s="1083"/>
      <c r="C184" s="1214"/>
      <c r="D184" s="1214"/>
      <c r="E184" s="556">
        <v>15</v>
      </c>
      <c r="F184" s="3" t="str" cm="1">
        <f t="array" aca="1" ref="F184" ca="1">OFFSET(E184,-1,1)</f>
        <v>1</v>
      </c>
      <c r="G184" s="1214"/>
      <c r="H184" s="17" t="s">
        <v>742</v>
      </c>
      <c r="I184" s="1214"/>
      <c r="J184" s="1214"/>
      <c r="K184" s="1214"/>
      <c r="L184" s="1214"/>
      <c r="M184" s="1214"/>
      <c r="N184" s="1214"/>
      <c r="O184" s="1214"/>
      <c r="P184" s="1194"/>
      <c r="Q184" s="1194"/>
      <c r="R184" s="1194"/>
      <c r="S184" s="1194"/>
      <c r="T184" s="388" t="b" cm="1">
        <f t="array" ref="T184">T183</f>
        <v>0</v>
      </c>
      <c r="U184" s="1194"/>
      <c r="V184" s="1214"/>
      <c r="W184" s="1194"/>
      <c r="X184" s="2032"/>
      <c r="Y184" s="2011"/>
      <c r="Z184" s="1214"/>
      <c r="AA184" s="1214"/>
      <c r="AB184" s="159" t="s">
        <v>743</v>
      </c>
      <c r="AC184" s="254" t="s">
        <v>643</v>
      </c>
      <c r="AD184" s="12" t="s">
        <v>563</v>
      </c>
      <c r="AE184" s="1364"/>
      <c r="AF184" s="1364"/>
      <c r="AG184" s="1364"/>
      <c r="AH184" s="1364"/>
      <c r="AI184" s="194"/>
      <c r="AJ184" s="1364"/>
      <c r="AK184" s="1364"/>
      <c r="AL184" s="1364"/>
      <c r="AM184" s="1364"/>
      <c r="AN184" s="1364"/>
      <c r="AO184" s="1364"/>
      <c r="AP184" s="1364"/>
      <c r="AQ184" s="1364"/>
      <c r="AR184" s="1364"/>
      <c r="AS184" s="194"/>
      <c r="AT184" s="1364"/>
      <c r="AU184" s="1364"/>
      <c r="AV184" s="1364"/>
      <c r="AW184" s="1364"/>
      <c r="AX184" s="1364"/>
      <c r="AY184" s="1364"/>
      <c r="AZ184" s="1364"/>
      <c r="BA184" s="1364"/>
      <c r="BB184" s="1364"/>
      <c r="BC184" s="1365"/>
      <c r="BD184" s="1214"/>
      <c r="BE184" s="1214"/>
      <c r="BF184" s="924" t="s">
        <v>744</v>
      </c>
    </row>
    <row r="185" spans="1:58" s="1334" customFormat="1" ht="14.25" hidden="1" customHeight="1" x14ac:dyDescent="0.15">
      <c r="A185" s="1214"/>
      <c r="B185" s="1083"/>
      <c r="C185" s="1214"/>
      <c r="D185" s="1214"/>
      <c r="E185" s="556">
        <v>15</v>
      </c>
      <c r="F185" s="3" t="str" cm="1">
        <f t="array" aca="1" ref="F185" ca="1">OFFSET(E185,-1,1)</f>
        <v>1</v>
      </c>
      <c r="G185" s="1214"/>
      <c r="H185" s="17" t="s">
        <v>745</v>
      </c>
      <c r="I185" s="1214"/>
      <c r="J185" s="1214"/>
      <c r="K185" s="1214"/>
      <c r="L185" s="1214"/>
      <c r="M185" s="1214"/>
      <c r="N185" s="1214"/>
      <c r="O185" s="1214"/>
      <c r="P185" s="1194"/>
      <c r="Q185" s="1194"/>
      <c r="R185" s="1194"/>
      <c r="S185" s="1194"/>
      <c r="T185" s="388" t="b" cm="1">
        <f t="array" ref="T185">T184</f>
        <v>0</v>
      </c>
      <c r="U185" s="1194"/>
      <c r="V185" s="1214"/>
      <c r="W185" s="1194"/>
      <c r="X185" s="2032"/>
      <c r="Y185" s="2011"/>
      <c r="Z185" s="1214"/>
      <c r="AA185" s="1214"/>
      <c r="AB185" s="159" t="s">
        <v>746</v>
      </c>
      <c r="AC185" s="111" t="s">
        <v>747</v>
      </c>
      <c r="AD185" s="12" t="s">
        <v>563</v>
      </c>
      <c r="AE185" s="262">
        <f t="shared" ref="AE185:BB185" si="46">AE186+AE187</f>
        <v>0</v>
      </c>
      <c r="AF185" s="262">
        <f t="shared" si="46"/>
        <v>0</v>
      </c>
      <c r="AG185" s="262">
        <f t="shared" si="46"/>
        <v>0</v>
      </c>
      <c r="AH185" s="262">
        <f t="shared" si="46"/>
        <v>0</v>
      </c>
      <c r="AI185" s="262">
        <f t="shared" si="46"/>
        <v>0</v>
      </c>
      <c r="AJ185" s="262">
        <f t="shared" si="46"/>
        <v>0</v>
      </c>
      <c r="AK185" s="262">
        <f t="shared" si="46"/>
        <v>0</v>
      </c>
      <c r="AL185" s="262">
        <f t="shared" si="46"/>
        <v>0</v>
      </c>
      <c r="AM185" s="262">
        <f t="shared" si="46"/>
        <v>0</v>
      </c>
      <c r="AN185" s="262">
        <f t="shared" si="46"/>
        <v>0</v>
      </c>
      <c r="AO185" s="262">
        <f t="shared" si="46"/>
        <v>0</v>
      </c>
      <c r="AP185" s="262">
        <f t="shared" si="46"/>
        <v>0</v>
      </c>
      <c r="AQ185" s="262">
        <f t="shared" si="46"/>
        <v>0</v>
      </c>
      <c r="AR185" s="262">
        <f t="shared" si="46"/>
        <v>0</v>
      </c>
      <c r="AS185" s="262">
        <f t="shared" si="46"/>
        <v>0</v>
      </c>
      <c r="AT185" s="262">
        <f t="shared" si="46"/>
        <v>0</v>
      </c>
      <c r="AU185" s="262">
        <f t="shared" si="46"/>
        <v>0</v>
      </c>
      <c r="AV185" s="262">
        <f t="shared" si="46"/>
        <v>0</v>
      </c>
      <c r="AW185" s="262">
        <f t="shared" si="46"/>
        <v>0</v>
      </c>
      <c r="AX185" s="262">
        <f t="shared" si="46"/>
        <v>0</v>
      </c>
      <c r="AY185" s="262">
        <f t="shared" si="46"/>
        <v>0</v>
      </c>
      <c r="AZ185" s="262">
        <f t="shared" si="46"/>
        <v>0</v>
      </c>
      <c r="BA185" s="262">
        <f t="shared" si="46"/>
        <v>0</v>
      </c>
      <c r="BB185" s="262">
        <f t="shared" si="46"/>
        <v>0</v>
      </c>
      <c r="BC185" s="1365"/>
      <c r="BD185" s="1214"/>
      <c r="BE185" s="1214"/>
      <c r="BF185" s="924" t="s">
        <v>748</v>
      </c>
    </row>
    <row r="186" spans="1:58" s="1334" customFormat="1" ht="14.25" hidden="1" customHeight="1" x14ac:dyDescent="0.15">
      <c r="A186" s="1214"/>
      <c r="B186" s="1083"/>
      <c r="C186" s="1214"/>
      <c r="D186" s="1214"/>
      <c r="E186" s="556">
        <v>15</v>
      </c>
      <c r="F186" s="3" t="str" cm="1">
        <f t="array" aca="1" ref="F186" ca="1">OFFSET(E186,-1,1)</f>
        <v>1</v>
      </c>
      <c r="G186" s="1214"/>
      <c r="H186" s="17" t="s">
        <v>749</v>
      </c>
      <c r="I186" s="1214"/>
      <c r="J186" s="1214"/>
      <c r="K186" s="1214"/>
      <c r="L186" s="1214"/>
      <c r="M186" s="1214"/>
      <c r="N186" s="1214"/>
      <c r="O186" s="1214"/>
      <c r="P186" s="1194"/>
      <c r="Q186" s="1194"/>
      <c r="R186" s="1194"/>
      <c r="S186" s="1194"/>
      <c r="T186" s="388" t="b" cm="1">
        <f t="array" ref="T186">T185</f>
        <v>0</v>
      </c>
      <c r="U186" s="1194"/>
      <c r="V186" s="1214"/>
      <c r="W186" s="1194"/>
      <c r="X186" s="2032"/>
      <c r="Y186" s="2011"/>
      <c r="Z186" s="1214"/>
      <c r="AA186" s="1214"/>
      <c r="AB186" s="159" t="s">
        <v>750</v>
      </c>
      <c r="AC186" s="248" t="s">
        <v>639</v>
      </c>
      <c r="AD186" s="12" t="s">
        <v>563</v>
      </c>
      <c r="AE186" s="1364"/>
      <c r="AF186" s="1364"/>
      <c r="AG186" s="1364"/>
      <c r="AH186" s="1364"/>
      <c r="AI186" s="194"/>
      <c r="AJ186" s="1364"/>
      <c r="AK186" s="1364"/>
      <c r="AL186" s="1364"/>
      <c r="AM186" s="1364"/>
      <c r="AN186" s="1364"/>
      <c r="AO186" s="1364"/>
      <c r="AP186" s="1364"/>
      <c r="AQ186" s="1364"/>
      <c r="AR186" s="1364"/>
      <c r="AS186" s="194"/>
      <c r="AT186" s="1364"/>
      <c r="AU186" s="1364"/>
      <c r="AV186" s="1364"/>
      <c r="AW186" s="1364"/>
      <c r="AX186" s="1364"/>
      <c r="AY186" s="1364"/>
      <c r="AZ186" s="1364"/>
      <c r="BA186" s="1364"/>
      <c r="BB186" s="1364"/>
      <c r="BC186" s="1365"/>
      <c r="BD186" s="1214"/>
      <c r="BE186" s="1214"/>
      <c r="BF186" s="924" t="s">
        <v>751</v>
      </c>
    </row>
    <row r="187" spans="1:58" s="1334" customFormat="1" ht="14.25" hidden="1" customHeight="1" x14ac:dyDescent="0.15">
      <c r="A187" s="1214"/>
      <c r="B187" s="1083"/>
      <c r="C187" s="1214"/>
      <c r="D187" s="1214"/>
      <c r="E187" s="556">
        <v>15</v>
      </c>
      <c r="F187" s="3" t="str" cm="1">
        <f t="array" aca="1" ref="F187" ca="1">OFFSET(E187,-1,1)</f>
        <v>1</v>
      </c>
      <c r="G187" s="1214"/>
      <c r="H187" s="17" t="s">
        <v>752</v>
      </c>
      <c r="I187" s="1214"/>
      <c r="J187" s="1214"/>
      <c r="K187" s="1214"/>
      <c r="L187" s="1214"/>
      <c r="M187" s="1214"/>
      <c r="N187" s="1214"/>
      <c r="O187" s="1214"/>
      <c r="P187" s="1194"/>
      <c r="Q187" s="1194"/>
      <c r="R187" s="1194"/>
      <c r="S187" s="1194"/>
      <c r="T187" s="388" t="b" cm="1">
        <f t="array" ref="T187">T186</f>
        <v>0</v>
      </c>
      <c r="U187" s="1194"/>
      <c r="V187" s="1214"/>
      <c r="W187" s="1194"/>
      <c r="X187" s="2032"/>
      <c r="Y187" s="2011"/>
      <c r="Z187" s="1214"/>
      <c r="AA187" s="1214"/>
      <c r="AB187" s="159" t="s">
        <v>753</v>
      </c>
      <c r="AC187" s="248" t="s">
        <v>643</v>
      </c>
      <c r="AD187" s="12" t="s">
        <v>563</v>
      </c>
      <c r="AE187" s="1364"/>
      <c r="AF187" s="1364"/>
      <c r="AG187" s="1364"/>
      <c r="AH187" s="1364"/>
      <c r="AI187" s="194"/>
      <c r="AJ187" s="1364"/>
      <c r="AK187" s="1364"/>
      <c r="AL187" s="1364"/>
      <c r="AM187" s="1364"/>
      <c r="AN187" s="1364"/>
      <c r="AO187" s="1364"/>
      <c r="AP187" s="1364"/>
      <c r="AQ187" s="1364"/>
      <c r="AR187" s="1364"/>
      <c r="AS187" s="194"/>
      <c r="AT187" s="1364"/>
      <c r="AU187" s="1364"/>
      <c r="AV187" s="1364"/>
      <c r="AW187" s="1364"/>
      <c r="AX187" s="1364"/>
      <c r="AY187" s="1364"/>
      <c r="AZ187" s="1364"/>
      <c r="BA187" s="1364"/>
      <c r="BB187" s="1364"/>
      <c r="BC187" s="1365"/>
      <c r="BD187" s="1214"/>
      <c r="BE187" s="1214"/>
      <c r="BF187" s="924" t="s">
        <v>754</v>
      </c>
    </row>
    <row r="188" spans="1:58" s="1334" customFormat="1" ht="21.75" hidden="1" customHeight="1" x14ac:dyDescent="0.15">
      <c r="A188" s="1214"/>
      <c r="B188" s="1083"/>
      <c r="C188" s="1214"/>
      <c r="D188" s="1214"/>
      <c r="E188" s="556">
        <v>22.5</v>
      </c>
      <c r="F188" s="3" t="str" cm="1">
        <f t="array" aca="1" ref="F188" ca="1">OFFSET(E188,-1,1)</f>
        <v>1</v>
      </c>
      <c r="G188" s="1214"/>
      <c r="H188" s="17" t="s">
        <v>755</v>
      </c>
      <c r="I188" s="1214"/>
      <c r="J188" s="1214"/>
      <c r="K188" s="1214"/>
      <c r="L188" s="1214"/>
      <c r="M188" s="1214"/>
      <c r="N188" s="1214"/>
      <c r="O188" s="1214"/>
      <c r="P188" s="1194"/>
      <c r="Q188" s="1194"/>
      <c r="R188" s="1194"/>
      <c r="S188" s="1194"/>
      <c r="T188" s="388" t="b" cm="1">
        <f t="array" ref="T188">T187</f>
        <v>0</v>
      </c>
      <c r="U188" s="1194"/>
      <c r="V188" s="1214"/>
      <c r="W188" s="1194"/>
      <c r="X188" s="2032"/>
      <c r="Y188" s="2011"/>
      <c r="Z188" s="1214"/>
      <c r="AA188" s="1214"/>
      <c r="AB188" s="159" t="s">
        <v>756</v>
      </c>
      <c r="AC188" s="255" t="s">
        <v>604</v>
      </c>
      <c r="AD188" s="12" t="s">
        <v>563</v>
      </c>
      <c r="AE188" s="1364"/>
      <c r="AF188" s="1364"/>
      <c r="AG188" s="1364"/>
      <c r="AH188" s="1364"/>
      <c r="AI188" s="194"/>
      <c r="AJ188" s="1364"/>
      <c r="AK188" s="1364"/>
      <c r="AL188" s="1364"/>
      <c r="AM188" s="1364"/>
      <c r="AN188" s="1364"/>
      <c r="AO188" s="1364"/>
      <c r="AP188" s="1364"/>
      <c r="AQ188" s="1364"/>
      <c r="AR188" s="1364"/>
      <c r="AS188" s="194"/>
      <c r="AT188" s="1364"/>
      <c r="AU188" s="1364"/>
      <c r="AV188" s="1364"/>
      <c r="AW188" s="1364"/>
      <c r="AX188" s="1364"/>
      <c r="AY188" s="1364"/>
      <c r="AZ188" s="1364"/>
      <c r="BA188" s="1364"/>
      <c r="BB188" s="1364"/>
      <c r="BC188" s="1365"/>
      <c r="BD188" s="1214"/>
      <c r="BE188" s="1214"/>
      <c r="BF188" s="924" t="s">
        <v>757</v>
      </c>
    </row>
    <row r="189" spans="1:58" s="1334" customFormat="1" ht="14.25" hidden="1" customHeight="1" x14ac:dyDescent="0.15">
      <c r="A189" s="1214"/>
      <c r="B189" s="1083"/>
      <c r="C189" s="1214"/>
      <c r="D189" s="1214"/>
      <c r="E189" s="556">
        <v>15</v>
      </c>
      <c r="F189" s="3" t="str" cm="1">
        <f t="array" aca="1" ref="F189" ca="1">OFFSET(E189,-1,1)</f>
        <v>1</v>
      </c>
      <c r="G189" s="1214"/>
      <c r="H189" s="17" t="s">
        <v>547</v>
      </c>
      <c r="I189" s="1214"/>
      <c r="J189" s="1214"/>
      <c r="K189" s="1214"/>
      <c r="L189" s="1214"/>
      <c r="M189" s="1214"/>
      <c r="N189" s="1214"/>
      <c r="O189" s="1214"/>
      <c r="P189" s="1194"/>
      <c r="Q189" s="1194"/>
      <c r="R189" s="1194"/>
      <c r="S189" s="1194"/>
      <c r="T189" s="388" t="b" cm="1">
        <f t="array" ref="T189">T188</f>
        <v>0</v>
      </c>
      <c r="U189" s="1194"/>
      <c r="V189" s="1214"/>
      <c r="W189" s="1194"/>
      <c r="X189" s="2032"/>
      <c r="Y189" s="2011"/>
      <c r="Z189" s="1214"/>
      <c r="AA189" s="1214"/>
      <c r="AB189" s="159" t="s">
        <v>444</v>
      </c>
      <c r="AC189" s="56" t="s">
        <v>758</v>
      </c>
      <c r="AD189" s="12" t="s">
        <v>563</v>
      </c>
      <c r="AE189" s="1364"/>
      <c r="AF189" s="1364"/>
      <c r="AG189" s="1364"/>
      <c r="AH189" s="1364"/>
      <c r="AI189" s="194"/>
      <c r="AJ189" s="1364"/>
      <c r="AK189" s="1364"/>
      <c r="AL189" s="1364"/>
      <c r="AM189" s="1364"/>
      <c r="AN189" s="1364"/>
      <c r="AO189" s="1364"/>
      <c r="AP189" s="1364"/>
      <c r="AQ189" s="1364"/>
      <c r="AR189" s="1364"/>
      <c r="AS189" s="194"/>
      <c r="AT189" s="1364"/>
      <c r="AU189" s="1364"/>
      <c r="AV189" s="1364"/>
      <c r="AW189" s="1364"/>
      <c r="AX189" s="1364"/>
      <c r="AY189" s="1364"/>
      <c r="AZ189" s="1364"/>
      <c r="BA189" s="1364"/>
      <c r="BB189" s="1364"/>
      <c r="BC189" s="1365"/>
      <c r="BD189" s="1214"/>
      <c r="BE189" s="1214"/>
      <c r="BF189" s="924" t="s">
        <v>759</v>
      </c>
    </row>
    <row r="190" spans="1:58" s="1334" customFormat="1" ht="14.25" hidden="1" customHeight="1" x14ac:dyDescent="0.15">
      <c r="A190" s="1214"/>
      <c r="B190" s="1083"/>
      <c r="C190" s="1214"/>
      <c r="D190" s="1214"/>
      <c r="E190" s="556">
        <v>15</v>
      </c>
      <c r="F190" s="3" t="str" cm="1">
        <f t="array" aca="1" ref="F190" ca="1">OFFSET(E190,-1,1)</f>
        <v>1</v>
      </c>
      <c r="G190" s="1214"/>
      <c r="H190" s="17" t="s">
        <v>591</v>
      </c>
      <c r="I190" s="1214"/>
      <c r="J190" s="1214"/>
      <c r="K190" s="1214"/>
      <c r="L190" s="1214"/>
      <c r="M190" s="1214"/>
      <c r="N190" s="1214"/>
      <c r="O190" s="1214"/>
      <c r="P190" s="1194"/>
      <c r="Q190" s="1194"/>
      <c r="R190" s="1194"/>
      <c r="S190" s="1194"/>
      <c r="T190" s="388" t="b" cm="1">
        <f t="array" ref="T190">T189</f>
        <v>0</v>
      </c>
      <c r="U190" s="1194"/>
      <c r="V190" s="1214"/>
      <c r="W190" s="1194"/>
      <c r="X190" s="2032"/>
      <c r="Y190" s="2011"/>
      <c r="Z190" s="1214"/>
      <c r="AA190" s="1214"/>
      <c r="AB190" s="159" t="s">
        <v>446</v>
      </c>
      <c r="AC190" s="56" t="s">
        <v>760</v>
      </c>
      <c r="AD190" s="12" t="s">
        <v>563</v>
      </c>
      <c r="AE190" s="1364"/>
      <c r="AF190" s="1364"/>
      <c r="AG190" s="1364"/>
      <c r="AH190" s="1364"/>
      <c r="AI190" s="194"/>
      <c r="AJ190" s="1364"/>
      <c r="AK190" s="1364"/>
      <c r="AL190" s="1364"/>
      <c r="AM190" s="1364"/>
      <c r="AN190" s="1364"/>
      <c r="AO190" s="1364"/>
      <c r="AP190" s="1364"/>
      <c r="AQ190" s="1364"/>
      <c r="AR190" s="1364"/>
      <c r="AS190" s="194"/>
      <c r="AT190" s="1364"/>
      <c r="AU190" s="1364"/>
      <c r="AV190" s="1364"/>
      <c r="AW190" s="1364"/>
      <c r="AX190" s="1364"/>
      <c r="AY190" s="1364"/>
      <c r="AZ190" s="1364"/>
      <c r="BA190" s="1364"/>
      <c r="BB190" s="1364"/>
      <c r="BC190" s="1365"/>
      <c r="BD190" s="1214"/>
      <c r="BE190" s="1214"/>
      <c r="BF190" s="924" t="s">
        <v>761</v>
      </c>
    </row>
    <row r="191" spans="1:58" s="1334" customFormat="1" ht="14.25" hidden="1" customHeight="1" x14ac:dyDescent="0.15">
      <c r="A191" s="1214"/>
      <c r="B191" s="1083"/>
      <c r="C191" s="1214"/>
      <c r="D191" s="1214"/>
      <c r="E191" s="556">
        <v>15</v>
      </c>
      <c r="F191" s="3" t="str" cm="1">
        <f t="array" aca="1" ref="F191" ca="1">OFFSET(E191,-1,1)</f>
        <v>1</v>
      </c>
      <c r="G191" s="1214"/>
      <c r="H191" s="17" t="s">
        <v>606</v>
      </c>
      <c r="I191" s="1214"/>
      <c r="J191" s="1214"/>
      <c r="K191" s="1214"/>
      <c r="L191" s="1214"/>
      <c r="M191" s="1214"/>
      <c r="N191" s="1214"/>
      <c r="O191" s="1214"/>
      <c r="P191" s="1194"/>
      <c r="Q191" s="1194"/>
      <c r="R191" s="1194"/>
      <c r="S191" s="1194"/>
      <c r="T191" s="388" t="b" cm="1">
        <f t="array" ref="T191">T190</f>
        <v>0</v>
      </c>
      <c r="U191" s="1194"/>
      <c r="V191" s="1214"/>
      <c r="W191" s="1194"/>
      <c r="X191" s="2032"/>
      <c r="Y191" s="2011"/>
      <c r="Z191" s="1214"/>
      <c r="AA191" s="1214"/>
      <c r="AB191" s="159" t="s">
        <v>448</v>
      </c>
      <c r="AC191" s="56" t="s">
        <v>762</v>
      </c>
      <c r="AD191" s="12" t="s">
        <v>563</v>
      </c>
      <c r="AE191" s="1364"/>
      <c r="AF191" s="1364"/>
      <c r="AG191" s="1364"/>
      <c r="AH191" s="1364"/>
      <c r="AI191" s="194"/>
      <c r="AJ191" s="1364"/>
      <c r="AK191" s="1364"/>
      <c r="AL191" s="1364"/>
      <c r="AM191" s="1364"/>
      <c r="AN191" s="1364"/>
      <c r="AO191" s="1364"/>
      <c r="AP191" s="1364"/>
      <c r="AQ191" s="1364"/>
      <c r="AR191" s="1364"/>
      <c r="AS191" s="194"/>
      <c r="AT191" s="1364"/>
      <c r="AU191" s="1364"/>
      <c r="AV191" s="1364"/>
      <c r="AW191" s="1364"/>
      <c r="AX191" s="1364"/>
      <c r="AY191" s="1364"/>
      <c r="AZ191" s="1364"/>
      <c r="BA191" s="1364"/>
      <c r="BB191" s="1364"/>
      <c r="BC191" s="1365"/>
      <c r="BD191" s="1214"/>
      <c r="BE191" s="1214"/>
      <c r="BF191" s="924" t="s">
        <v>763</v>
      </c>
    </row>
    <row r="192" spans="1:58" s="1334" customFormat="1" ht="14.25" hidden="1" customHeight="1" x14ac:dyDescent="0.15">
      <c r="A192" s="1214"/>
      <c r="B192" s="1083"/>
      <c r="C192" s="1214"/>
      <c r="D192" s="1214"/>
      <c r="E192" s="556">
        <v>15</v>
      </c>
      <c r="F192" s="3" t="str" cm="1">
        <f t="array" aca="1" ref="F192" ca="1">OFFSET(E192,-1,1)</f>
        <v>1</v>
      </c>
      <c r="G192" s="1214"/>
      <c r="H192" s="17" t="s">
        <v>613</v>
      </c>
      <c r="I192" s="1214"/>
      <c r="J192" s="1214"/>
      <c r="K192" s="1214"/>
      <c r="L192" s="1214"/>
      <c r="M192" s="1214"/>
      <c r="N192" s="1214"/>
      <c r="O192" s="1214"/>
      <c r="P192" s="1194"/>
      <c r="Q192" s="1194"/>
      <c r="R192" s="1194"/>
      <c r="S192" s="1194"/>
      <c r="T192" s="388" t="b" cm="1">
        <f t="array" ref="T192">T191</f>
        <v>0</v>
      </c>
      <c r="U192" s="1194"/>
      <c r="V192" s="1214"/>
      <c r="W192" s="1194"/>
      <c r="X192" s="2032"/>
      <c r="Y192" s="2011"/>
      <c r="Z192" s="1214"/>
      <c r="AA192" s="1214"/>
      <c r="AB192" s="159" t="s">
        <v>450</v>
      </c>
      <c r="AC192" s="57" t="s">
        <v>764</v>
      </c>
      <c r="AD192" s="12" t="s">
        <v>563</v>
      </c>
      <c r="AE192" s="262">
        <f t="shared" ref="AE192:BB192" si="47">AE193+AE194</f>
        <v>0</v>
      </c>
      <c r="AF192" s="262">
        <f t="shared" si="47"/>
        <v>0</v>
      </c>
      <c r="AG192" s="262">
        <f t="shared" si="47"/>
        <v>0</v>
      </c>
      <c r="AH192" s="262">
        <f t="shared" si="47"/>
        <v>0</v>
      </c>
      <c r="AI192" s="262">
        <f t="shared" si="47"/>
        <v>0</v>
      </c>
      <c r="AJ192" s="262">
        <f t="shared" si="47"/>
        <v>0</v>
      </c>
      <c r="AK192" s="262">
        <f t="shared" si="47"/>
        <v>0</v>
      </c>
      <c r="AL192" s="262">
        <f t="shared" si="47"/>
        <v>0</v>
      </c>
      <c r="AM192" s="262">
        <f t="shared" si="47"/>
        <v>0</v>
      </c>
      <c r="AN192" s="262">
        <f t="shared" si="47"/>
        <v>0</v>
      </c>
      <c r="AO192" s="262">
        <f t="shared" si="47"/>
        <v>0</v>
      </c>
      <c r="AP192" s="262">
        <f t="shared" si="47"/>
        <v>0</v>
      </c>
      <c r="AQ192" s="262">
        <f t="shared" si="47"/>
        <v>0</v>
      </c>
      <c r="AR192" s="262">
        <f t="shared" si="47"/>
        <v>0</v>
      </c>
      <c r="AS192" s="262">
        <f t="shared" si="47"/>
        <v>0</v>
      </c>
      <c r="AT192" s="262">
        <f t="shared" si="47"/>
        <v>0</v>
      </c>
      <c r="AU192" s="262">
        <f t="shared" si="47"/>
        <v>0</v>
      </c>
      <c r="AV192" s="262">
        <f t="shared" si="47"/>
        <v>0</v>
      </c>
      <c r="AW192" s="262">
        <f t="shared" si="47"/>
        <v>0</v>
      </c>
      <c r="AX192" s="262">
        <f t="shared" si="47"/>
        <v>0</v>
      </c>
      <c r="AY192" s="262">
        <f t="shared" si="47"/>
        <v>0</v>
      </c>
      <c r="AZ192" s="262">
        <f t="shared" si="47"/>
        <v>0</v>
      </c>
      <c r="BA192" s="262">
        <f t="shared" si="47"/>
        <v>0</v>
      </c>
      <c r="BB192" s="262">
        <f t="shared" si="47"/>
        <v>0</v>
      </c>
      <c r="BC192" s="1365"/>
      <c r="BD192" s="1214"/>
      <c r="BE192" s="1214"/>
      <c r="BF192" s="924" t="s">
        <v>765</v>
      </c>
    </row>
    <row r="193" spans="1:58" s="1334" customFormat="1" ht="14.25" hidden="1" customHeight="1" x14ac:dyDescent="0.15">
      <c r="A193" s="1214"/>
      <c r="B193" s="1083"/>
      <c r="C193" s="1214"/>
      <c r="D193" s="1214"/>
      <c r="E193" s="556">
        <v>15</v>
      </c>
      <c r="F193" s="3" t="str" cm="1">
        <f t="array" aca="1" ref="F193" ca="1">OFFSET(E193,-1,1)</f>
        <v>1</v>
      </c>
      <c r="G193" s="1214"/>
      <c r="H193" s="17" t="s">
        <v>616</v>
      </c>
      <c r="I193" s="1214"/>
      <c r="J193" s="1214"/>
      <c r="K193" s="1214"/>
      <c r="L193" s="1214"/>
      <c r="M193" s="1214"/>
      <c r="N193" s="1214"/>
      <c r="O193" s="1214"/>
      <c r="P193" s="1194"/>
      <c r="Q193" s="1194"/>
      <c r="R193" s="1194"/>
      <c r="S193" s="1194"/>
      <c r="T193" s="388" t="b" cm="1">
        <f t="array" ref="T193">T192</f>
        <v>0</v>
      </c>
      <c r="U193" s="1194"/>
      <c r="V193" s="1214"/>
      <c r="W193" s="1194"/>
      <c r="X193" s="2032"/>
      <c r="Y193" s="2011"/>
      <c r="Z193" s="1214"/>
      <c r="AA193" s="1214"/>
      <c r="AB193" s="159" t="s">
        <v>617</v>
      </c>
      <c r="AC193" s="111" t="s">
        <v>766</v>
      </c>
      <c r="AD193" s="12" t="s">
        <v>563</v>
      </c>
      <c r="AE193" s="1364"/>
      <c r="AF193" s="1364"/>
      <c r="AG193" s="1364"/>
      <c r="AH193" s="1364"/>
      <c r="AI193" s="194"/>
      <c r="AJ193" s="1364"/>
      <c r="AK193" s="1364"/>
      <c r="AL193" s="1364"/>
      <c r="AM193" s="1364"/>
      <c r="AN193" s="1364"/>
      <c r="AO193" s="1364"/>
      <c r="AP193" s="1364"/>
      <c r="AQ193" s="1364"/>
      <c r="AR193" s="1364"/>
      <c r="AS193" s="194"/>
      <c r="AT193" s="1364"/>
      <c r="AU193" s="1364"/>
      <c r="AV193" s="1364"/>
      <c r="AW193" s="1364"/>
      <c r="AX193" s="1364"/>
      <c r="AY193" s="1364"/>
      <c r="AZ193" s="1364"/>
      <c r="BA193" s="1364"/>
      <c r="BB193" s="1364"/>
      <c r="BC193" s="1365"/>
      <c r="BD193" s="1214"/>
      <c r="BE193" s="1214"/>
      <c r="BF193" s="924" t="s">
        <v>767</v>
      </c>
    </row>
    <row r="194" spans="1:58" s="1334" customFormat="1" ht="14.25" hidden="1" customHeight="1" x14ac:dyDescent="0.15">
      <c r="A194" s="1214"/>
      <c r="B194" s="1083"/>
      <c r="C194" s="1214"/>
      <c r="D194" s="1214"/>
      <c r="E194" s="556">
        <v>15</v>
      </c>
      <c r="F194" s="3" t="str" cm="1">
        <f t="array" aca="1" ref="F194" ca="1">OFFSET(E194,-1,1)</f>
        <v>1</v>
      </c>
      <c r="G194" s="1214"/>
      <c r="H194" s="17" t="s">
        <v>633</v>
      </c>
      <c r="I194" s="1214"/>
      <c r="J194" s="1214"/>
      <c r="K194" s="1214"/>
      <c r="L194" s="1214"/>
      <c r="M194" s="1214"/>
      <c r="N194" s="1214"/>
      <c r="O194" s="1214"/>
      <c r="P194" s="1194"/>
      <c r="Q194" s="1194"/>
      <c r="R194" s="1194"/>
      <c r="S194" s="1194"/>
      <c r="T194" s="388" t="b" cm="1">
        <f t="array" ref="T194">T193</f>
        <v>0</v>
      </c>
      <c r="U194" s="1194"/>
      <c r="V194" s="1214"/>
      <c r="W194" s="1194"/>
      <c r="X194" s="2032"/>
      <c r="Y194" s="2011"/>
      <c r="Z194" s="1214"/>
      <c r="AA194" s="1214"/>
      <c r="AB194" s="159" t="s">
        <v>634</v>
      </c>
      <c r="AC194" s="111" t="s">
        <v>768</v>
      </c>
      <c r="AD194" s="12" t="s">
        <v>563</v>
      </c>
      <c r="AE194" s="1364"/>
      <c r="AF194" s="1364"/>
      <c r="AG194" s="1364"/>
      <c r="AH194" s="1364"/>
      <c r="AI194" s="194"/>
      <c r="AJ194" s="1364"/>
      <c r="AK194" s="1364"/>
      <c r="AL194" s="1364"/>
      <c r="AM194" s="1364"/>
      <c r="AN194" s="1364"/>
      <c r="AO194" s="1364"/>
      <c r="AP194" s="1364"/>
      <c r="AQ194" s="1364"/>
      <c r="AR194" s="1364"/>
      <c r="AS194" s="194"/>
      <c r="AT194" s="1364"/>
      <c r="AU194" s="1364"/>
      <c r="AV194" s="1364"/>
      <c r="AW194" s="1364"/>
      <c r="AX194" s="1364"/>
      <c r="AY194" s="1364"/>
      <c r="AZ194" s="1364"/>
      <c r="BA194" s="1364"/>
      <c r="BB194" s="1364"/>
      <c r="BC194" s="1365"/>
      <c r="BD194" s="1214"/>
      <c r="BE194" s="1214"/>
      <c r="BF194" s="924" t="s">
        <v>769</v>
      </c>
    </row>
    <row r="195" spans="1:58" s="1334" customFormat="1" ht="21.75" hidden="1" customHeight="1" x14ac:dyDescent="0.15">
      <c r="A195" s="1214"/>
      <c r="B195" s="1083"/>
      <c r="C195" s="1214"/>
      <c r="D195" s="1214"/>
      <c r="E195" s="556">
        <v>22.5</v>
      </c>
      <c r="F195" s="3" t="str" cm="1">
        <f t="array" aca="1" ref="F195" ca="1">OFFSET(E195,-1,1)</f>
        <v>1</v>
      </c>
      <c r="G195" s="1214"/>
      <c r="H195" s="17" t="s">
        <v>770</v>
      </c>
      <c r="I195" s="1214"/>
      <c r="J195" s="1214"/>
      <c r="K195" s="1214"/>
      <c r="L195" s="1214"/>
      <c r="M195" s="1214"/>
      <c r="N195" s="1214"/>
      <c r="O195" s="1214"/>
      <c r="P195" s="1194"/>
      <c r="Q195" s="1194"/>
      <c r="R195" s="1194"/>
      <c r="S195" s="1194"/>
      <c r="T195" s="388" t="b" cm="1">
        <f t="array" ref="T195">T194</f>
        <v>0</v>
      </c>
      <c r="U195" s="1194"/>
      <c r="V195" s="1214"/>
      <c r="W195" s="1194"/>
      <c r="X195" s="2032"/>
      <c r="Y195" s="2011"/>
      <c r="Z195" s="1214"/>
      <c r="AA195" s="1214"/>
      <c r="AB195" s="159" t="s">
        <v>469</v>
      </c>
      <c r="AC195" s="256" t="s">
        <v>682</v>
      </c>
      <c r="AD195" s="12" t="s">
        <v>563</v>
      </c>
      <c r="AE195" s="1364"/>
      <c r="AF195" s="1364"/>
      <c r="AG195" s="1364"/>
      <c r="AH195" s="1364"/>
      <c r="AI195" s="194"/>
      <c r="AJ195" s="1364"/>
      <c r="AK195" s="1364"/>
      <c r="AL195" s="1364"/>
      <c r="AM195" s="1364"/>
      <c r="AN195" s="1364"/>
      <c r="AO195" s="1364"/>
      <c r="AP195" s="1364"/>
      <c r="AQ195" s="1364"/>
      <c r="AR195" s="1364"/>
      <c r="AS195" s="194"/>
      <c r="AT195" s="1364"/>
      <c r="AU195" s="1364"/>
      <c r="AV195" s="1364"/>
      <c r="AW195" s="1364"/>
      <c r="AX195" s="1364"/>
      <c r="AY195" s="1364"/>
      <c r="AZ195" s="1364"/>
      <c r="BA195" s="1364"/>
      <c r="BB195" s="1364"/>
      <c r="BC195" s="1365"/>
      <c r="BD195" s="1214"/>
      <c r="BE195" s="1214"/>
      <c r="BF195" s="924" t="s">
        <v>771</v>
      </c>
    </row>
    <row r="196" spans="1:58" s="1334" customFormat="1" ht="14.25" hidden="1" customHeight="1" x14ac:dyDescent="0.15">
      <c r="A196" s="1214"/>
      <c r="B196" s="1083"/>
      <c r="C196" s="1214"/>
      <c r="D196" s="1214"/>
      <c r="E196" s="556">
        <v>15</v>
      </c>
      <c r="F196" s="3" t="str" cm="1">
        <f t="array" aca="1" ref="F196" ca="1">OFFSET(E196,-1,1)</f>
        <v>1</v>
      </c>
      <c r="G196" s="1214"/>
      <c r="H196" s="17" t="s">
        <v>772</v>
      </c>
      <c r="I196" s="1214"/>
      <c r="J196" s="1214"/>
      <c r="K196" s="1214"/>
      <c r="L196" s="1214"/>
      <c r="M196" s="1214"/>
      <c r="N196" s="1214"/>
      <c r="O196" s="1214"/>
      <c r="P196" s="1194"/>
      <c r="Q196" s="1194"/>
      <c r="R196" s="1194"/>
      <c r="S196" s="1194"/>
      <c r="T196" s="388" t="b" cm="1">
        <f t="array" ref="T196">T195</f>
        <v>0</v>
      </c>
      <c r="U196" s="1194"/>
      <c r="V196" s="1214"/>
      <c r="W196" s="1194"/>
      <c r="X196" s="2032"/>
      <c r="Y196" s="2011"/>
      <c r="Z196" s="1214"/>
      <c r="AA196" s="1214"/>
      <c r="AB196" s="159" t="s">
        <v>472</v>
      </c>
      <c r="AC196" s="56" t="s">
        <v>773</v>
      </c>
      <c r="AD196" s="12" t="s">
        <v>563</v>
      </c>
      <c r="AE196" s="1364"/>
      <c r="AF196" s="1364"/>
      <c r="AG196" s="1364"/>
      <c r="AH196" s="1364"/>
      <c r="AI196" s="194"/>
      <c r="AJ196" s="1364"/>
      <c r="AK196" s="1364"/>
      <c r="AL196" s="1364"/>
      <c r="AM196" s="1364"/>
      <c r="AN196" s="1364"/>
      <c r="AO196" s="1364"/>
      <c r="AP196" s="1364"/>
      <c r="AQ196" s="1364"/>
      <c r="AR196" s="1364"/>
      <c r="AS196" s="194"/>
      <c r="AT196" s="1364"/>
      <c r="AU196" s="1364"/>
      <c r="AV196" s="1364"/>
      <c r="AW196" s="1364"/>
      <c r="AX196" s="1364"/>
      <c r="AY196" s="1364"/>
      <c r="AZ196" s="1364"/>
      <c r="BA196" s="1364"/>
      <c r="BB196" s="1364"/>
      <c r="BC196" s="1365"/>
      <c r="BD196" s="1214"/>
      <c r="BE196" s="1214"/>
      <c r="BF196" s="924" t="s">
        <v>774</v>
      </c>
    </row>
    <row r="197" spans="1:58" s="1334" customFormat="1" ht="11.25" hidden="1" customHeight="1" x14ac:dyDescent="0.15">
      <c r="A197" s="392"/>
      <c r="B197" s="582"/>
      <c r="C197" s="392"/>
      <c r="D197" s="392"/>
      <c r="E197" s="584" t="s">
        <v>370</v>
      </c>
      <c r="F197" s="1090" t="str" cm="1">
        <f t="array" aca="1" ref="F197" ca="1">OFFSET(E197,-1,1)</f>
        <v>1</v>
      </c>
      <c r="G197" s="392"/>
      <c r="H197" s="392"/>
      <c r="I197" s="392"/>
      <c r="J197" s="392"/>
      <c r="K197" s="17"/>
      <c r="L197" s="392"/>
      <c r="M197" s="392"/>
      <c r="N197" s="392"/>
      <c r="O197" s="392"/>
      <c r="P197" s="392"/>
      <c r="Q197" s="392"/>
      <c r="R197" s="337"/>
      <c r="S197" s="337"/>
      <c r="T197" s="388" t="b">
        <v>0</v>
      </c>
      <c r="U197" s="392"/>
      <c r="V197" s="392"/>
      <c r="W197" s="392"/>
      <c r="X197" s="2032"/>
      <c r="Y197" s="2011"/>
      <c r="Z197" s="392"/>
      <c r="AA197" s="392"/>
      <c r="AC197" s="19"/>
      <c r="AD197" s="19"/>
      <c r="AE197" s="260"/>
      <c r="AF197" s="260"/>
      <c r="AG197" s="260"/>
      <c r="AH197" s="260"/>
      <c r="AI197" s="260"/>
      <c r="AJ197" s="261"/>
      <c r="AK197" s="260"/>
      <c r="AL197" s="260"/>
      <c r="AM197" s="260"/>
      <c r="AN197" s="260"/>
      <c r="AO197" s="260"/>
      <c r="AP197" s="260"/>
      <c r="AQ197" s="260"/>
      <c r="AR197" s="260"/>
      <c r="AS197" s="260"/>
      <c r="AT197" s="260"/>
      <c r="AU197" s="260"/>
      <c r="AV197" s="260"/>
      <c r="AW197" s="260"/>
      <c r="AX197" s="260"/>
      <c r="AY197" s="260"/>
      <c r="AZ197" s="260"/>
      <c r="BA197" s="260"/>
      <c r="BB197" s="260"/>
      <c r="BF197" s="928"/>
    </row>
    <row r="198" spans="1:58" s="1334" customFormat="1" ht="14.25" hidden="1" customHeight="1" x14ac:dyDescent="0.15">
      <c r="A198" s="1214"/>
      <c r="B198" s="1083"/>
      <c r="C198" s="1214"/>
      <c r="D198" s="1214"/>
      <c r="E198" s="556">
        <v>15</v>
      </c>
      <c r="F198" s="3" t="str" cm="1">
        <f t="array" aca="1" ref="F198" ca="1">OFFSET(E198,-1,1)</f>
        <v>1</v>
      </c>
      <c r="G198" s="1214"/>
      <c r="H198" s="1214"/>
      <c r="I198" s="1214"/>
      <c r="J198" s="1214"/>
      <c r="K198" s="1214"/>
      <c r="L198" s="1214"/>
      <c r="M198" s="1214"/>
      <c r="N198" s="1214"/>
      <c r="O198" s="1214"/>
      <c r="P198" s="1194"/>
      <c r="Q198" s="1194"/>
      <c r="R198" s="337" t="b" cm="1">
        <f t="array" ref="R198">INDEX('Общие сведения'!$AN$185:$AN$228,MATCH($X118,'Общие сведения'!$Z$185:$Z$228,0))</f>
        <v>0</v>
      </c>
      <c r="S198" s="405" t="b">
        <f>IF(ISERROR(SEARCH("Водоотведение",AB118)),FALSE,TRUE)</f>
        <v>0</v>
      </c>
      <c r="T198" s="388" t="b">
        <f>AND(X118&gt;0,S198,R198)</f>
        <v>0</v>
      </c>
      <c r="U198" s="1194"/>
      <c r="V198" s="1214"/>
      <c r="W198" s="1194"/>
      <c r="X198" s="2032"/>
      <c r="Y198" s="2011"/>
      <c r="Z198" s="1214"/>
      <c r="AA198" s="1214"/>
      <c r="AB198" s="159" t="s">
        <v>282</v>
      </c>
      <c r="AC198" s="6" t="s">
        <v>714</v>
      </c>
      <c r="AD198" s="116"/>
      <c r="AE198" s="493" t="str" cm="1">
        <f t="array" ref="AE198">INDEX('Общие сведения'!$AH$185:$AH$228,MATCH($X118,'Общие сведения'!$Z$185:$Z$228,0))</f>
        <v>питьевая вода</v>
      </c>
      <c r="AF198" s="278"/>
      <c r="AG198" s="278"/>
      <c r="AH198" s="278"/>
      <c r="AI198" s="278"/>
      <c r="AJ198" s="278"/>
      <c r="AK198" s="278"/>
      <c r="AL198" s="278"/>
      <c r="AM198" s="278"/>
      <c r="AN198" s="278"/>
      <c r="AO198" s="278"/>
      <c r="AP198" s="278"/>
      <c r="AQ198" s="278"/>
      <c r="AR198" s="278"/>
      <c r="AS198" s="278"/>
      <c r="AT198" s="278"/>
      <c r="AU198" s="278"/>
      <c r="AV198" s="278"/>
      <c r="AW198" s="278"/>
      <c r="AX198" s="278"/>
      <c r="AY198" s="278"/>
      <c r="AZ198" s="278"/>
      <c r="BA198" s="278"/>
      <c r="BB198" s="279"/>
      <c r="BC198" s="1365"/>
      <c r="BD198" s="1214"/>
      <c r="BE198" s="1214"/>
      <c r="BF198" s="924" t="s">
        <v>775</v>
      </c>
    </row>
    <row r="199" spans="1:58" s="1334" customFormat="1" ht="14.25" hidden="1" customHeight="1" x14ac:dyDescent="0.15">
      <c r="A199" s="1214"/>
      <c r="B199" s="1083"/>
      <c r="C199" s="1214"/>
      <c r="D199" s="1214"/>
      <c r="E199" s="556">
        <v>15</v>
      </c>
      <c r="F199" s="3" t="str" cm="1">
        <f t="array" aca="1" ref="F199" ca="1">OFFSET(E199,-1,1)</f>
        <v>1</v>
      </c>
      <c r="G199" s="1214"/>
      <c r="H199" s="17" t="s">
        <v>335</v>
      </c>
      <c r="I199" s="1214"/>
      <c r="J199" s="1214"/>
      <c r="K199" s="1214"/>
      <c r="L199" s="1214"/>
      <c r="M199" s="1214"/>
      <c r="N199" s="1214"/>
      <c r="O199" s="1214"/>
      <c r="P199" s="1194"/>
      <c r="Q199" s="1194"/>
      <c r="R199" s="1194"/>
      <c r="S199" s="1194"/>
      <c r="T199" s="388" t="b" cm="1">
        <f t="array" ref="T199">T198</f>
        <v>0</v>
      </c>
      <c r="U199" s="1194"/>
      <c r="V199" s="1214"/>
      <c r="W199" s="1194"/>
      <c r="X199" s="2032"/>
      <c r="Y199" s="2011"/>
      <c r="Z199" s="1214"/>
      <c r="AA199" s="1214"/>
      <c r="AB199" s="159" t="s">
        <v>289</v>
      </c>
      <c r="AC199" s="257" t="s">
        <v>776</v>
      </c>
      <c r="AD199" s="12" t="s">
        <v>563</v>
      </c>
      <c r="AE199" s="262">
        <f t="shared" ref="AE199:BB199" si="48">AE200+AE202+AE201</f>
        <v>0</v>
      </c>
      <c r="AF199" s="262">
        <f t="shared" si="48"/>
        <v>0</v>
      </c>
      <c r="AG199" s="262">
        <f t="shared" si="48"/>
        <v>0</v>
      </c>
      <c r="AH199" s="262">
        <f t="shared" si="48"/>
        <v>0</v>
      </c>
      <c r="AI199" s="262">
        <f t="shared" si="48"/>
        <v>0</v>
      </c>
      <c r="AJ199" s="262">
        <f t="shared" si="48"/>
        <v>0</v>
      </c>
      <c r="AK199" s="262">
        <f t="shared" si="48"/>
        <v>0</v>
      </c>
      <c r="AL199" s="262">
        <f t="shared" si="48"/>
        <v>0</v>
      </c>
      <c r="AM199" s="262">
        <f t="shared" si="48"/>
        <v>0</v>
      </c>
      <c r="AN199" s="262">
        <f t="shared" si="48"/>
        <v>0</v>
      </c>
      <c r="AO199" s="262">
        <f t="shared" si="48"/>
        <v>0</v>
      </c>
      <c r="AP199" s="262">
        <f t="shared" si="48"/>
        <v>0</v>
      </c>
      <c r="AQ199" s="262">
        <f t="shared" si="48"/>
        <v>0</v>
      </c>
      <c r="AR199" s="262">
        <f t="shared" si="48"/>
        <v>0</v>
      </c>
      <c r="AS199" s="262">
        <f t="shared" si="48"/>
        <v>0</v>
      </c>
      <c r="AT199" s="262">
        <f t="shared" si="48"/>
        <v>0</v>
      </c>
      <c r="AU199" s="262">
        <f t="shared" si="48"/>
        <v>0</v>
      </c>
      <c r="AV199" s="262">
        <f t="shared" si="48"/>
        <v>0</v>
      </c>
      <c r="AW199" s="262">
        <f t="shared" si="48"/>
        <v>0</v>
      </c>
      <c r="AX199" s="262">
        <f t="shared" si="48"/>
        <v>0</v>
      </c>
      <c r="AY199" s="262">
        <f t="shared" si="48"/>
        <v>0</v>
      </c>
      <c r="AZ199" s="262">
        <f t="shared" si="48"/>
        <v>0</v>
      </c>
      <c r="BA199" s="262">
        <f t="shared" si="48"/>
        <v>0</v>
      </c>
      <c r="BB199" s="262">
        <f t="shared" si="48"/>
        <v>0</v>
      </c>
      <c r="BC199" s="1365"/>
      <c r="BD199" s="1214"/>
      <c r="BE199" s="1214"/>
      <c r="BF199" s="924" t="s">
        <v>777</v>
      </c>
    </row>
    <row r="200" spans="1:58" s="1334" customFormat="1" ht="14.25" hidden="1" customHeight="1" x14ac:dyDescent="0.15">
      <c r="A200" s="1214"/>
      <c r="B200" s="1083"/>
      <c r="C200" s="1214"/>
      <c r="D200" s="1214"/>
      <c r="E200" s="556">
        <v>15</v>
      </c>
      <c r="F200" s="3" t="str" cm="1">
        <f t="array" aca="1" ref="F200" ca="1">OFFSET(E200,-1,1)</f>
        <v>1</v>
      </c>
      <c r="G200" s="1214"/>
      <c r="H200" s="17" t="s">
        <v>565</v>
      </c>
      <c r="I200" s="1214"/>
      <c r="J200" s="1214"/>
      <c r="K200" s="1214"/>
      <c r="L200" s="1214"/>
      <c r="M200" s="1214"/>
      <c r="N200" s="1214"/>
      <c r="O200" s="1214"/>
      <c r="P200" s="1194"/>
      <c r="Q200" s="1194"/>
      <c r="R200" s="1194"/>
      <c r="S200" s="1194"/>
      <c r="T200" s="388" t="b" cm="1">
        <f t="array" ref="T200">T199</f>
        <v>0</v>
      </c>
      <c r="U200" s="1194"/>
      <c r="V200" s="1214"/>
      <c r="W200" s="1194"/>
      <c r="X200" s="2032"/>
      <c r="Y200" s="2011"/>
      <c r="Z200" s="1214"/>
      <c r="AA200" s="1214"/>
      <c r="AB200" s="159" t="s">
        <v>566</v>
      </c>
      <c r="AC200" s="133" t="s">
        <v>778</v>
      </c>
      <c r="AD200" s="12" t="s">
        <v>563</v>
      </c>
      <c r="AE200" s="1377"/>
      <c r="AF200" s="1377"/>
      <c r="AG200" s="1377"/>
      <c r="AH200" s="1377"/>
      <c r="AI200" s="197"/>
      <c r="AJ200" s="1377"/>
      <c r="AK200" s="1377"/>
      <c r="AL200" s="1377"/>
      <c r="AM200" s="1377"/>
      <c r="AN200" s="1377"/>
      <c r="AO200" s="1377"/>
      <c r="AP200" s="1377"/>
      <c r="AQ200" s="1377"/>
      <c r="AR200" s="1377"/>
      <c r="AS200" s="197"/>
      <c r="AT200" s="1377"/>
      <c r="AU200" s="1377"/>
      <c r="AV200" s="1377"/>
      <c r="AW200" s="1377"/>
      <c r="AX200" s="1377"/>
      <c r="AY200" s="1377"/>
      <c r="AZ200" s="1377"/>
      <c r="BA200" s="1377"/>
      <c r="BB200" s="1377"/>
      <c r="BC200" s="1365"/>
      <c r="BD200" s="1214"/>
      <c r="BE200" s="1214"/>
      <c r="BF200" s="924" t="s">
        <v>779</v>
      </c>
    </row>
    <row r="201" spans="1:58" s="1334" customFormat="1" ht="14.25" hidden="1" customHeight="1" x14ac:dyDescent="0.15">
      <c r="A201" s="1214"/>
      <c r="B201" s="1083"/>
      <c r="C201" s="1214"/>
      <c r="D201" s="1214"/>
      <c r="E201" s="556">
        <v>15</v>
      </c>
      <c r="F201" s="3" t="str" cm="1">
        <f t="array" aca="1" ref="F201" ca="1">OFFSET(E201,-1,1)</f>
        <v>1</v>
      </c>
      <c r="G201" s="1214"/>
      <c r="H201" s="17" t="s">
        <v>569</v>
      </c>
      <c r="I201" s="1214"/>
      <c r="J201" s="1214"/>
      <c r="K201" s="1214"/>
      <c r="L201" s="1214"/>
      <c r="M201" s="1214"/>
      <c r="N201" s="1214"/>
      <c r="O201" s="1214"/>
      <c r="P201" s="1194"/>
      <c r="Q201" s="1194"/>
      <c r="R201" s="1194"/>
      <c r="S201" s="1194"/>
      <c r="T201" s="388" t="b" cm="1">
        <f t="array" ref="T201">T200</f>
        <v>0</v>
      </c>
      <c r="U201" s="1194"/>
      <c r="V201" s="1214"/>
      <c r="W201" s="1194"/>
      <c r="X201" s="2032"/>
      <c r="Y201" s="2011"/>
      <c r="Z201" s="1214"/>
      <c r="AA201" s="1214"/>
      <c r="AB201" s="159" t="s">
        <v>570</v>
      </c>
      <c r="AC201" s="133" t="s">
        <v>780</v>
      </c>
      <c r="AD201" s="12" t="s">
        <v>563</v>
      </c>
      <c r="AE201" s="1377"/>
      <c r="AF201" s="1377"/>
      <c r="AG201" s="1377"/>
      <c r="AH201" s="1377"/>
      <c r="AI201" s="197"/>
      <c r="AJ201" s="1377"/>
      <c r="AK201" s="1377"/>
      <c r="AL201" s="1377"/>
      <c r="AM201" s="1377"/>
      <c r="AN201" s="1377"/>
      <c r="AO201" s="1377"/>
      <c r="AP201" s="1377"/>
      <c r="AQ201" s="1377"/>
      <c r="AR201" s="1377"/>
      <c r="AS201" s="197"/>
      <c r="AT201" s="1377"/>
      <c r="AU201" s="1377"/>
      <c r="AV201" s="1377"/>
      <c r="AW201" s="1377"/>
      <c r="AX201" s="1377"/>
      <c r="AY201" s="1377"/>
      <c r="AZ201" s="1377"/>
      <c r="BA201" s="1377"/>
      <c r="BB201" s="1377"/>
      <c r="BC201" s="1365"/>
      <c r="BD201" s="1214"/>
      <c r="BE201" s="1214"/>
      <c r="BF201" s="924" t="s">
        <v>781</v>
      </c>
    </row>
    <row r="202" spans="1:58" s="1334" customFormat="1" ht="21.75" hidden="1" customHeight="1" x14ac:dyDescent="0.15">
      <c r="A202" s="1214"/>
      <c r="B202" s="1083"/>
      <c r="C202" s="1214"/>
      <c r="D202" s="1214"/>
      <c r="E202" s="556">
        <v>22.5</v>
      </c>
      <c r="F202" s="3" t="str" cm="1">
        <f t="array" aca="1" ref="F202" ca="1">OFFSET(E202,-1,1)</f>
        <v>1</v>
      </c>
      <c r="G202" s="1214"/>
      <c r="H202" s="17" t="s">
        <v>573</v>
      </c>
      <c r="I202" s="1214"/>
      <c r="J202" s="1214"/>
      <c r="K202" s="1214"/>
      <c r="L202" s="1214"/>
      <c r="M202" s="1214"/>
      <c r="N202" s="1214"/>
      <c r="O202" s="1214"/>
      <c r="P202" s="1194"/>
      <c r="Q202" s="1194"/>
      <c r="R202" s="1194"/>
      <c r="S202" s="1194"/>
      <c r="T202" s="388" t="b" cm="1">
        <f t="array" ref="T202">T201</f>
        <v>0</v>
      </c>
      <c r="U202" s="1194"/>
      <c r="V202" s="1214"/>
      <c r="W202" s="1194"/>
      <c r="X202" s="2032"/>
      <c r="Y202" s="2011"/>
      <c r="Z202" s="1214"/>
      <c r="AA202" s="1214"/>
      <c r="AB202" s="159" t="s">
        <v>574</v>
      </c>
      <c r="AC202" s="133" t="s">
        <v>682</v>
      </c>
      <c r="AD202" s="12" t="s">
        <v>563</v>
      </c>
      <c r="AE202" s="1377"/>
      <c r="AF202" s="1377"/>
      <c r="AG202" s="1377"/>
      <c r="AH202" s="1377"/>
      <c r="AI202" s="197"/>
      <c r="AJ202" s="1377"/>
      <c r="AK202" s="1377"/>
      <c r="AL202" s="1377"/>
      <c r="AM202" s="1377"/>
      <c r="AN202" s="1377"/>
      <c r="AO202" s="1377"/>
      <c r="AP202" s="1377"/>
      <c r="AQ202" s="1377"/>
      <c r="AR202" s="1377"/>
      <c r="AS202" s="197"/>
      <c r="AT202" s="1377"/>
      <c r="AU202" s="1377"/>
      <c r="AV202" s="1377"/>
      <c r="AW202" s="1377"/>
      <c r="AX202" s="1377"/>
      <c r="AY202" s="1377"/>
      <c r="AZ202" s="1377"/>
      <c r="BA202" s="1377"/>
      <c r="BB202" s="1377"/>
      <c r="BC202" s="1365"/>
      <c r="BD202" s="1214"/>
      <c r="BE202" s="1214"/>
      <c r="BF202" s="924" t="s">
        <v>782</v>
      </c>
    </row>
    <row r="203" spans="1:58" s="1334" customFormat="1" ht="21.75" hidden="1" customHeight="1" x14ac:dyDescent="0.15">
      <c r="A203" s="1214"/>
      <c r="B203" s="1083"/>
      <c r="C203" s="1214"/>
      <c r="D203" s="1214"/>
      <c r="E203" s="556">
        <v>22.5</v>
      </c>
      <c r="F203" s="3" t="str" cm="1">
        <f t="array" aca="1" ref="F203" ca="1">OFFSET(E203,-1,1)</f>
        <v>1</v>
      </c>
      <c r="G203" s="17" t="s">
        <v>632</v>
      </c>
      <c r="H203" s="17" t="s">
        <v>334</v>
      </c>
      <c r="I203" s="1214"/>
      <c r="J203" s="1214"/>
      <c r="K203" s="1214"/>
      <c r="L203" s="1214"/>
      <c r="M203" s="1214"/>
      <c r="N203" s="1214"/>
      <c r="O203" s="1214"/>
      <c r="P203" s="1194"/>
      <c r="Q203" s="1194"/>
      <c r="R203" s="1194"/>
      <c r="S203" s="1194"/>
      <c r="T203" s="388" t="b" cm="1">
        <f t="array" ref="T203">T202</f>
        <v>0</v>
      </c>
      <c r="U203" s="1194"/>
      <c r="V203" s="1214"/>
      <c r="W203" s="1194"/>
      <c r="X203" s="2032"/>
      <c r="Y203" s="2011"/>
      <c r="Z203" s="1214"/>
      <c r="AA203" s="1214"/>
      <c r="AB203" s="159" t="s">
        <v>329</v>
      </c>
      <c r="AC203" s="257" t="s">
        <v>783</v>
      </c>
      <c r="AD203" s="12" t="s">
        <v>563</v>
      </c>
      <c r="AE203" s="262">
        <f t="shared" ref="AE203:BB203" si="49">AE204+AE205+AE208</f>
        <v>0</v>
      </c>
      <c r="AF203" s="262">
        <f t="shared" si="49"/>
        <v>0</v>
      </c>
      <c r="AG203" s="262">
        <f t="shared" si="49"/>
        <v>0</v>
      </c>
      <c r="AH203" s="262">
        <f t="shared" si="49"/>
        <v>0</v>
      </c>
      <c r="AI203" s="262">
        <f t="shared" si="49"/>
        <v>0</v>
      </c>
      <c r="AJ203" s="262">
        <f t="shared" si="49"/>
        <v>0</v>
      </c>
      <c r="AK203" s="262">
        <f t="shared" si="49"/>
        <v>0</v>
      </c>
      <c r="AL203" s="262">
        <f t="shared" si="49"/>
        <v>0</v>
      </c>
      <c r="AM203" s="262">
        <f t="shared" si="49"/>
        <v>0</v>
      </c>
      <c r="AN203" s="262">
        <f t="shared" si="49"/>
        <v>0</v>
      </c>
      <c r="AO203" s="262">
        <f t="shared" si="49"/>
        <v>0</v>
      </c>
      <c r="AP203" s="262">
        <f t="shared" si="49"/>
        <v>0</v>
      </c>
      <c r="AQ203" s="262">
        <f t="shared" si="49"/>
        <v>0</v>
      </c>
      <c r="AR203" s="262">
        <f t="shared" si="49"/>
        <v>0</v>
      </c>
      <c r="AS203" s="262">
        <f t="shared" si="49"/>
        <v>0</v>
      </c>
      <c r="AT203" s="262">
        <f t="shared" si="49"/>
        <v>0</v>
      </c>
      <c r="AU203" s="262">
        <f t="shared" si="49"/>
        <v>0</v>
      </c>
      <c r="AV203" s="262">
        <f t="shared" si="49"/>
        <v>0</v>
      </c>
      <c r="AW203" s="262">
        <f t="shared" si="49"/>
        <v>0</v>
      </c>
      <c r="AX203" s="262">
        <f t="shared" si="49"/>
        <v>0</v>
      </c>
      <c r="AY203" s="262">
        <f t="shared" si="49"/>
        <v>0</v>
      </c>
      <c r="AZ203" s="262">
        <f t="shared" si="49"/>
        <v>0</v>
      </c>
      <c r="BA203" s="262">
        <f t="shared" si="49"/>
        <v>0</v>
      </c>
      <c r="BB203" s="262">
        <f t="shared" si="49"/>
        <v>0</v>
      </c>
      <c r="BC203" s="1365"/>
      <c r="BD203" s="1214"/>
      <c r="BE203" s="1214"/>
      <c r="BF203" s="924" t="s">
        <v>784</v>
      </c>
    </row>
    <row r="204" spans="1:58" s="1334" customFormat="1" ht="14.25" hidden="1" customHeight="1" x14ac:dyDescent="0.15">
      <c r="A204" s="1214"/>
      <c r="B204" s="1083"/>
      <c r="C204" s="1214"/>
      <c r="D204" s="1214"/>
      <c r="E204" s="556">
        <v>15</v>
      </c>
      <c r="F204" s="3" t="str" cm="1">
        <f t="array" aca="1" ref="F204" ca="1">OFFSET(E204,-1,1)</f>
        <v>1</v>
      </c>
      <c r="G204" s="1214"/>
      <c r="H204" s="17" t="s">
        <v>579</v>
      </c>
      <c r="I204" s="1214"/>
      <c r="J204" s="1214"/>
      <c r="K204" s="1214"/>
      <c r="L204" s="1214"/>
      <c r="M204" s="1214"/>
      <c r="N204" s="1214"/>
      <c r="O204" s="1214"/>
      <c r="P204" s="1194"/>
      <c r="Q204" s="1194"/>
      <c r="R204" s="1194"/>
      <c r="S204" s="1194"/>
      <c r="T204" s="388" t="b" cm="1">
        <f t="array" ref="T204">T203</f>
        <v>0</v>
      </c>
      <c r="U204" s="1194"/>
      <c r="V204" s="1214"/>
      <c r="W204" s="1194"/>
      <c r="X204" s="2032"/>
      <c r="Y204" s="2011"/>
      <c r="Z204" s="1214"/>
      <c r="AA204" s="1214"/>
      <c r="AB204" s="159" t="s">
        <v>580</v>
      </c>
      <c r="AC204" s="133" t="s">
        <v>785</v>
      </c>
      <c r="AD204" s="12" t="s">
        <v>563</v>
      </c>
      <c r="AE204" s="1377"/>
      <c r="AF204" s="1377"/>
      <c r="AG204" s="1377"/>
      <c r="AH204" s="1377"/>
      <c r="AI204" s="197"/>
      <c r="AJ204" s="1377"/>
      <c r="AK204" s="1377"/>
      <c r="AL204" s="1377"/>
      <c r="AM204" s="1377"/>
      <c r="AN204" s="1377"/>
      <c r="AO204" s="1377"/>
      <c r="AP204" s="1377"/>
      <c r="AQ204" s="1377"/>
      <c r="AR204" s="1377"/>
      <c r="AS204" s="197"/>
      <c r="AT204" s="1377"/>
      <c r="AU204" s="1377"/>
      <c r="AV204" s="1377"/>
      <c r="AW204" s="1377"/>
      <c r="AX204" s="1377"/>
      <c r="AY204" s="1377"/>
      <c r="AZ204" s="1377"/>
      <c r="BA204" s="1377"/>
      <c r="BB204" s="1377"/>
      <c r="BC204" s="1365"/>
      <c r="BD204" s="1214"/>
      <c r="BE204" s="1214"/>
      <c r="BF204" s="924" t="s">
        <v>786</v>
      </c>
    </row>
    <row r="205" spans="1:58" s="1334" customFormat="1" ht="14.25" hidden="1" customHeight="1" x14ac:dyDescent="0.15">
      <c r="A205" s="1214"/>
      <c r="B205" s="1083"/>
      <c r="C205" s="1214"/>
      <c r="D205" s="1214"/>
      <c r="E205" s="556">
        <v>15</v>
      </c>
      <c r="F205" s="3" t="str" cm="1">
        <f t="array" aca="1" ref="F205" ca="1">OFFSET(E205,-1,1)</f>
        <v>1</v>
      </c>
      <c r="G205" s="1214"/>
      <c r="H205" s="17" t="s">
        <v>583</v>
      </c>
      <c r="I205" s="1214"/>
      <c r="J205" s="1214"/>
      <c r="K205" s="1214"/>
      <c r="L205" s="1214"/>
      <c r="M205" s="1214"/>
      <c r="N205" s="1214"/>
      <c r="O205" s="1214"/>
      <c r="P205" s="1194"/>
      <c r="Q205" s="1194"/>
      <c r="R205" s="1194"/>
      <c r="S205" s="1194"/>
      <c r="T205" s="388" t="b" cm="1">
        <f t="array" ref="T205">T204</f>
        <v>0</v>
      </c>
      <c r="U205" s="1194"/>
      <c r="V205" s="1214"/>
      <c r="W205" s="1194"/>
      <c r="X205" s="2032"/>
      <c r="Y205" s="2011"/>
      <c r="Z205" s="1214"/>
      <c r="AA205" s="1214"/>
      <c r="AB205" s="159" t="s">
        <v>584</v>
      </c>
      <c r="AC205" s="258" t="s">
        <v>787</v>
      </c>
      <c r="AD205" s="12" t="s">
        <v>563</v>
      </c>
      <c r="AE205" s="262">
        <f t="shared" ref="AE205:BB205" si="50">AE206+AE207</f>
        <v>0</v>
      </c>
      <c r="AF205" s="262">
        <f t="shared" si="50"/>
        <v>0</v>
      </c>
      <c r="AG205" s="262">
        <f t="shared" si="50"/>
        <v>0</v>
      </c>
      <c r="AH205" s="262">
        <f t="shared" si="50"/>
        <v>0</v>
      </c>
      <c r="AI205" s="262">
        <f t="shared" si="50"/>
        <v>0</v>
      </c>
      <c r="AJ205" s="262">
        <f t="shared" si="50"/>
        <v>0</v>
      </c>
      <c r="AK205" s="262">
        <f t="shared" si="50"/>
        <v>0</v>
      </c>
      <c r="AL205" s="262">
        <f t="shared" si="50"/>
        <v>0</v>
      </c>
      <c r="AM205" s="262">
        <f t="shared" si="50"/>
        <v>0</v>
      </c>
      <c r="AN205" s="262">
        <f t="shared" si="50"/>
        <v>0</v>
      </c>
      <c r="AO205" s="262">
        <f t="shared" si="50"/>
        <v>0</v>
      </c>
      <c r="AP205" s="262">
        <f t="shared" si="50"/>
        <v>0</v>
      </c>
      <c r="AQ205" s="262">
        <f t="shared" si="50"/>
        <v>0</v>
      </c>
      <c r="AR205" s="262">
        <f t="shared" si="50"/>
        <v>0</v>
      </c>
      <c r="AS205" s="262">
        <f t="shared" si="50"/>
        <v>0</v>
      </c>
      <c r="AT205" s="262">
        <f t="shared" si="50"/>
        <v>0</v>
      </c>
      <c r="AU205" s="262">
        <f t="shared" si="50"/>
        <v>0</v>
      </c>
      <c r="AV205" s="262">
        <f t="shared" si="50"/>
        <v>0</v>
      </c>
      <c r="AW205" s="262">
        <f t="shared" si="50"/>
        <v>0</v>
      </c>
      <c r="AX205" s="262">
        <f t="shared" si="50"/>
        <v>0</v>
      </c>
      <c r="AY205" s="262">
        <f t="shared" si="50"/>
        <v>0</v>
      </c>
      <c r="AZ205" s="262">
        <f t="shared" si="50"/>
        <v>0</v>
      </c>
      <c r="BA205" s="262">
        <f t="shared" si="50"/>
        <v>0</v>
      </c>
      <c r="BB205" s="262">
        <f t="shared" si="50"/>
        <v>0</v>
      </c>
      <c r="BC205" s="1365"/>
      <c r="BD205" s="1214"/>
      <c r="BE205" s="1214"/>
      <c r="BF205" s="924" t="s">
        <v>788</v>
      </c>
    </row>
    <row r="206" spans="1:58" s="1334" customFormat="1" ht="14.25" hidden="1" customHeight="1" x14ac:dyDescent="0.15">
      <c r="A206" s="1214"/>
      <c r="B206" s="1083"/>
      <c r="C206" s="1214"/>
      <c r="D206" s="1214"/>
      <c r="E206" s="556">
        <v>15</v>
      </c>
      <c r="F206" s="3" t="str" cm="1">
        <f t="array" aca="1" ref="F206" ca="1">OFFSET(E206,-1,1)</f>
        <v>1</v>
      </c>
      <c r="G206" s="1214"/>
      <c r="H206" s="17" t="s">
        <v>789</v>
      </c>
      <c r="I206" s="1214"/>
      <c r="J206" s="1214"/>
      <c r="K206" s="1214"/>
      <c r="L206" s="1214"/>
      <c r="M206" s="1214"/>
      <c r="N206" s="1214"/>
      <c r="O206" s="1214"/>
      <c r="P206" s="1194"/>
      <c r="Q206" s="1194"/>
      <c r="R206" s="1194"/>
      <c r="S206" s="1194"/>
      <c r="T206" s="388" t="b" cm="1">
        <f t="array" ref="T206">T205</f>
        <v>0</v>
      </c>
      <c r="U206" s="1194"/>
      <c r="V206" s="1214"/>
      <c r="W206" s="1194"/>
      <c r="X206" s="2032"/>
      <c r="Y206" s="2011"/>
      <c r="Z206" s="1214"/>
      <c r="AA206" s="1214"/>
      <c r="AB206" s="159" t="s">
        <v>790</v>
      </c>
      <c r="AC206" s="259" t="s">
        <v>639</v>
      </c>
      <c r="AD206" s="12" t="s">
        <v>563</v>
      </c>
      <c r="AE206" s="1377"/>
      <c r="AF206" s="1377"/>
      <c r="AG206" s="1377"/>
      <c r="AH206" s="1377"/>
      <c r="AI206" s="197"/>
      <c r="AJ206" s="1377"/>
      <c r="AK206" s="1377"/>
      <c r="AL206" s="1377"/>
      <c r="AM206" s="1377"/>
      <c r="AN206" s="1377"/>
      <c r="AO206" s="1377"/>
      <c r="AP206" s="1377"/>
      <c r="AQ206" s="1377"/>
      <c r="AR206" s="1377"/>
      <c r="AS206" s="197"/>
      <c r="AT206" s="1377"/>
      <c r="AU206" s="1377"/>
      <c r="AV206" s="1377"/>
      <c r="AW206" s="1377"/>
      <c r="AX206" s="1377"/>
      <c r="AY206" s="1377"/>
      <c r="AZ206" s="1377"/>
      <c r="BA206" s="1377"/>
      <c r="BB206" s="1377"/>
      <c r="BC206" s="1365"/>
      <c r="BD206" s="1214"/>
      <c r="BE206" s="1214"/>
      <c r="BF206" s="924" t="s">
        <v>791</v>
      </c>
    </row>
    <row r="207" spans="1:58" s="1334" customFormat="1" ht="14.25" hidden="1" customHeight="1" x14ac:dyDescent="0.15">
      <c r="A207" s="1214"/>
      <c r="B207" s="1083"/>
      <c r="C207" s="1214"/>
      <c r="D207" s="1214"/>
      <c r="E207" s="556">
        <v>15</v>
      </c>
      <c r="F207" s="3" t="str" cm="1">
        <f t="array" aca="1" ref="F207" ca="1">OFFSET(E207,-1,1)</f>
        <v>1</v>
      </c>
      <c r="G207" s="1214"/>
      <c r="H207" s="17" t="s">
        <v>792</v>
      </c>
      <c r="I207" s="1214"/>
      <c r="J207" s="1214"/>
      <c r="K207" s="1214"/>
      <c r="L207" s="1214"/>
      <c r="M207" s="1214"/>
      <c r="N207" s="1214"/>
      <c r="O207" s="1214"/>
      <c r="P207" s="1194"/>
      <c r="Q207" s="1194"/>
      <c r="R207" s="1194"/>
      <c r="S207" s="1194"/>
      <c r="T207" s="388" t="b" cm="1">
        <f t="array" ref="T207">T206</f>
        <v>0</v>
      </c>
      <c r="U207" s="1194"/>
      <c r="V207" s="1214"/>
      <c r="W207" s="1194"/>
      <c r="X207" s="2032"/>
      <c r="Y207" s="2011"/>
      <c r="Z207" s="1214"/>
      <c r="AA207" s="1214"/>
      <c r="AB207" s="159" t="s">
        <v>793</v>
      </c>
      <c r="AC207" s="259" t="s">
        <v>643</v>
      </c>
      <c r="AD207" s="12" t="s">
        <v>563</v>
      </c>
      <c r="AE207" s="1377"/>
      <c r="AF207" s="1377"/>
      <c r="AG207" s="1377"/>
      <c r="AH207" s="1377"/>
      <c r="AI207" s="197"/>
      <c r="AJ207" s="1377"/>
      <c r="AK207" s="1377"/>
      <c r="AL207" s="1377"/>
      <c r="AM207" s="1377"/>
      <c r="AN207" s="1377"/>
      <c r="AO207" s="1377"/>
      <c r="AP207" s="1377"/>
      <c r="AQ207" s="1377"/>
      <c r="AR207" s="1377"/>
      <c r="AS207" s="197"/>
      <c r="AT207" s="1377"/>
      <c r="AU207" s="1377"/>
      <c r="AV207" s="1377"/>
      <c r="AW207" s="1377"/>
      <c r="AX207" s="1377"/>
      <c r="AY207" s="1377"/>
      <c r="AZ207" s="1377"/>
      <c r="BA207" s="1377"/>
      <c r="BB207" s="1377"/>
      <c r="BC207" s="1365"/>
      <c r="BD207" s="1214"/>
      <c r="BE207" s="1214"/>
      <c r="BF207" s="924" t="s">
        <v>794</v>
      </c>
    </row>
    <row r="208" spans="1:58" s="1334" customFormat="1" ht="21.75" hidden="1" customHeight="1" x14ac:dyDescent="0.15">
      <c r="A208" s="1214"/>
      <c r="B208" s="1083"/>
      <c r="C208" s="1214"/>
      <c r="D208" s="1214"/>
      <c r="E208" s="556">
        <v>22.5</v>
      </c>
      <c r="F208" s="3" t="str" cm="1">
        <f t="array" aca="1" ref="F208" ca="1">OFFSET(E208,-1,1)</f>
        <v>1</v>
      </c>
      <c r="G208" s="1214"/>
      <c r="H208" s="17" t="s">
        <v>795</v>
      </c>
      <c r="I208" s="1214"/>
      <c r="J208" s="1214"/>
      <c r="K208" s="1214"/>
      <c r="L208" s="1214"/>
      <c r="M208" s="1214"/>
      <c r="N208" s="1214"/>
      <c r="O208" s="1214"/>
      <c r="P208" s="1194"/>
      <c r="Q208" s="1194"/>
      <c r="R208" s="1194"/>
      <c r="S208" s="1194"/>
      <c r="T208" s="388" t="b" cm="1">
        <f t="array" ref="T208">T207</f>
        <v>0</v>
      </c>
      <c r="U208" s="1194"/>
      <c r="V208" s="1214"/>
      <c r="W208" s="1194"/>
      <c r="X208" s="2032"/>
      <c r="Y208" s="2011"/>
      <c r="Z208" s="1214"/>
      <c r="AA208" s="1214"/>
      <c r="AB208" s="159" t="s">
        <v>796</v>
      </c>
      <c r="AC208" s="253" t="s">
        <v>604</v>
      </c>
      <c r="AD208" s="12" t="s">
        <v>563</v>
      </c>
      <c r="AE208" s="1364"/>
      <c r="AF208" s="1364"/>
      <c r="AG208" s="1364"/>
      <c r="AH208" s="1364"/>
      <c r="AI208" s="194"/>
      <c r="AJ208" s="1364"/>
      <c r="AK208" s="1364"/>
      <c r="AL208" s="1364"/>
      <c r="AM208" s="1364"/>
      <c r="AN208" s="1364"/>
      <c r="AO208" s="1364"/>
      <c r="AP208" s="1364"/>
      <c r="AQ208" s="1364"/>
      <c r="AR208" s="1364"/>
      <c r="AS208" s="194"/>
      <c r="AT208" s="1364"/>
      <c r="AU208" s="1364"/>
      <c r="AV208" s="1364"/>
      <c r="AW208" s="1364"/>
      <c r="AX208" s="1364"/>
      <c r="AY208" s="1364"/>
      <c r="AZ208" s="1364"/>
      <c r="BA208" s="1364"/>
      <c r="BB208" s="1364"/>
      <c r="BC208" s="1365"/>
      <c r="BD208" s="1214"/>
      <c r="BE208" s="1214"/>
      <c r="BF208" s="924" t="s">
        <v>797</v>
      </c>
    </row>
    <row r="209" spans="1:58" s="1334" customFormat="1" ht="14.25" customHeight="1" x14ac:dyDescent="0.15">
      <c r="A209" s="1214"/>
      <c r="B209" s="1083"/>
      <c r="C209" s="1214"/>
      <c r="D209" s="1214"/>
      <c r="E209" s="556">
        <v>15</v>
      </c>
      <c r="F209" s="265" t="str" cm="1">
        <f t="array" ref="F209">X209</f>
        <v>2</v>
      </c>
      <c r="G209" s="1214"/>
      <c r="H209" s="1214"/>
      <c r="I209" s="1214"/>
      <c r="J209" s="1214"/>
      <c r="K209" s="1214"/>
      <c r="L209" s="1214"/>
      <c r="M209" s="1214"/>
      <c r="N209" s="1214"/>
      <c r="O209" s="1214"/>
      <c r="P209" s="1194"/>
      <c r="Q209" s="1194"/>
      <c r="R209" s="1194"/>
      <c r="S209" s="1194"/>
      <c r="T209" s="388" t="b">
        <f>X209&gt;0</f>
        <v>1</v>
      </c>
      <c r="U209" s="1194"/>
      <c r="V209" s="17" t="str" cm="1">
        <f t="array" ref="V209">ИИКА!$AB$37</f>
        <v>Тариф 2 (Водоотведение) - тариф на водоотведение</v>
      </c>
      <c r="W209" s="1194"/>
      <c r="X209" s="2032" t="s">
        <v>289</v>
      </c>
      <c r="Y209" s="2011"/>
      <c r="Z209" s="1214"/>
      <c r="AA209" s="1214"/>
      <c r="AB209" s="99" t="str" cm="1">
        <f t="array" ref="AB209">ИИКА!$AB$37</f>
        <v>Тариф 2 (Водоотведение) - тариф на водоотведение</v>
      </c>
      <c r="AC209" s="99"/>
      <c r="AD209" s="99"/>
      <c r="AE209" s="99"/>
      <c r="AF209" s="99"/>
      <c r="AG209" s="99"/>
      <c r="AH209" s="99"/>
      <c r="AI209" s="99"/>
      <c r="AJ209" s="99"/>
      <c r="AK209" s="99"/>
      <c r="AL209" s="99"/>
      <c r="AM209" s="99"/>
      <c r="AN209" s="99"/>
      <c r="AO209" s="99"/>
      <c r="AP209" s="99"/>
      <c r="AQ209" s="99"/>
      <c r="AR209" s="99"/>
      <c r="AS209" s="99"/>
      <c r="AT209" s="99"/>
      <c r="AU209" s="99"/>
      <c r="AV209" s="99"/>
      <c r="AW209" s="99"/>
      <c r="AX209" s="99"/>
      <c r="AY209" s="99"/>
      <c r="AZ209" s="99"/>
      <c r="BA209" s="99"/>
      <c r="BB209" s="99"/>
      <c r="BC209" s="99"/>
      <c r="BD209" s="1214"/>
      <c r="BE209" s="1214"/>
      <c r="BF209" s="1216"/>
    </row>
    <row r="210" spans="1:58" s="1334" customFormat="1" ht="14.25" hidden="1" customHeight="1" x14ac:dyDescent="0.15">
      <c r="A210" s="1214"/>
      <c r="B210" s="1083"/>
      <c r="C210" s="1214"/>
      <c r="D210" s="1214"/>
      <c r="E210" s="556">
        <v>15</v>
      </c>
      <c r="F210" s="3" t="str" cm="1">
        <f t="array" aca="1" ref="F210" ca="1">OFFSET(E210,-1,1)</f>
        <v>2</v>
      </c>
      <c r="G210" s="1214"/>
      <c r="H210" s="1214"/>
      <c r="I210" s="1214"/>
      <c r="J210" s="1214"/>
      <c r="K210" s="1214"/>
      <c r="L210" s="1214"/>
      <c r="M210" s="1214"/>
      <c r="N210" s="1214"/>
      <c r="O210" s="1214"/>
      <c r="P210" s="1194"/>
      <c r="Q210" s="1194"/>
      <c r="R210" s="337" t="b" cm="1">
        <f t="array" ref="R210">INDEX('Общие сведения'!$AN$185:$AN$228,MATCH($X209,'Общие сведения'!$Z$185:$Z$228,0))</f>
        <v>0</v>
      </c>
      <c r="S210" s="337" t="b">
        <f>IF(ISERROR(SEARCH("Водоснабжение",AB209)),FALSE,TRUE)</f>
        <v>0</v>
      </c>
      <c r="T210" s="388" t="b">
        <f>AND(X209&gt;0,S210,NOT(R210))</f>
        <v>0</v>
      </c>
      <c r="U210" s="1194"/>
      <c r="V210" s="1214"/>
      <c r="W210" s="1194"/>
      <c r="X210" s="2032"/>
      <c r="Y210" s="2011"/>
      <c r="Z210" s="1214"/>
      <c r="AA210" s="1214"/>
      <c r="AB210" s="159" t="s">
        <v>282</v>
      </c>
      <c r="AC210" s="245" t="s">
        <v>560</v>
      </c>
      <c r="AD210" s="11"/>
      <c r="AE210" s="493" t="str" cm="1">
        <f t="array" ref="AE210">INDEX('Общие сведения'!$AH$185:$AH$228,MATCH($X209,'Общие сведения'!$Z$185:$Z$228,0))</f>
        <v>без дифференциации</v>
      </c>
      <c r="AF210" s="278"/>
      <c r="AG210" s="278"/>
      <c r="AH210" s="278"/>
      <c r="AI210" s="278"/>
      <c r="AJ210" s="278"/>
      <c r="AK210" s="278"/>
      <c r="AL210" s="278"/>
      <c r="AM210" s="278"/>
      <c r="AN210" s="278"/>
      <c r="AO210" s="278"/>
      <c r="AP210" s="278"/>
      <c r="AQ210" s="278"/>
      <c r="AR210" s="278"/>
      <c r="AS210" s="278"/>
      <c r="AT210" s="278"/>
      <c r="AU210" s="278"/>
      <c r="AV210" s="278"/>
      <c r="AW210" s="278"/>
      <c r="AX210" s="278"/>
      <c r="AY210" s="278"/>
      <c r="AZ210" s="278"/>
      <c r="BA210" s="278"/>
      <c r="BB210" s="279"/>
      <c r="BC210" s="1365"/>
      <c r="BD210" s="1214"/>
      <c r="BE210" s="1214"/>
      <c r="BF210" s="924" t="s">
        <v>561</v>
      </c>
    </row>
    <row r="211" spans="1:58" s="1334" customFormat="1" ht="14.25" hidden="1" customHeight="1" x14ac:dyDescent="0.15">
      <c r="A211" s="1214"/>
      <c r="B211" s="1083"/>
      <c r="C211" s="1214"/>
      <c r="D211" s="1214"/>
      <c r="E211" s="556">
        <v>15</v>
      </c>
      <c r="F211" s="3" t="str" cm="1">
        <f t="array" aca="1" ref="F211" ca="1">OFFSET(E211,-1,1)</f>
        <v>2</v>
      </c>
      <c r="G211" s="1214"/>
      <c r="H211" s="17" t="s">
        <v>335</v>
      </c>
      <c r="I211" s="1214"/>
      <c r="J211" s="1214"/>
      <c r="K211" s="1214"/>
      <c r="L211" s="1214"/>
      <c r="M211" s="1214"/>
      <c r="N211" s="1214"/>
      <c r="O211" s="1214"/>
      <c r="P211" s="1194"/>
      <c r="Q211" s="1194"/>
      <c r="R211" s="1194"/>
      <c r="S211" s="1194"/>
      <c r="T211" s="388" t="b" cm="1">
        <f t="array" ref="T211">T210</f>
        <v>0</v>
      </c>
      <c r="U211" s="1194"/>
      <c r="V211" s="1214"/>
      <c r="W211" s="1194"/>
      <c r="X211" s="2032"/>
      <c r="Y211" s="2011"/>
      <c r="Z211" s="1214"/>
      <c r="AA211" s="1214"/>
      <c r="AB211" s="159" t="s">
        <v>289</v>
      </c>
      <c r="AC211" s="246" t="s">
        <v>562</v>
      </c>
      <c r="AD211" s="12" t="s">
        <v>563</v>
      </c>
      <c r="AE211" s="232">
        <f t="shared" ref="AE211:BB211" si="51">AE220+AE215-AE218</f>
        <v>0</v>
      </c>
      <c r="AF211" s="232">
        <f t="shared" si="51"/>
        <v>0</v>
      </c>
      <c r="AG211" s="232">
        <f t="shared" si="51"/>
        <v>0</v>
      </c>
      <c r="AH211" s="232">
        <f t="shared" si="51"/>
        <v>0</v>
      </c>
      <c r="AI211" s="232">
        <f t="shared" si="51"/>
        <v>0</v>
      </c>
      <c r="AJ211" s="232">
        <f t="shared" si="51"/>
        <v>0</v>
      </c>
      <c r="AK211" s="232">
        <f t="shared" si="51"/>
        <v>0</v>
      </c>
      <c r="AL211" s="232">
        <f t="shared" si="51"/>
        <v>0</v>
      </c>
      <c r="AM211" s="232">
        <f t="shared" si="51"/>
        <v>0</v>
      </c>
      <c r="AN211" s="232">
        <f t="shared" si="51"/>
        <v>0</v>
      </c>
      <c r="AO211" s="232">
        <f t="shared" si="51"/>
        <v>0</v>
      </c>
      <c r="AP211" s="232">
        <f t="shared" si="51"/>
        <v>0</v>
      </c>
      <c r="AQ211" s="232">
        <f t="shared" si="51"/>
        <v>0</v>
      </c>
      <c r="AR211" s="232">
        <f t="shared" si="51"/>
        <v>0</v>
      </c>
      <c r="AS211" s="232">
        <f t="shared" si="51"/>
        <v>0</v>
      </c>
      <c r="AT211" s="232">
        <f t="shared" si="51"/>
        <v>0</v>
      </c>
      <c r="AU211" s="232">
        <f t="shared" si="51"/>
        <v>0</v>
      </c>
      <c r="AV211" s="232">
        <f t="shared" si="51"/>
        <v>0</v>
      </c>
      <c r="AW211" s="232">
        <f t="shared" si="51"/>
        <v>0</v>
      </c>
      <c r="AX211" s="232">
        <f t="shared" si="51"/>
        <v>0</v>
      </c>
      <c r="AY211" s="232">
        <f t="shared" si="51"/>
        <v>0</v>
      </c>
      <c r="AZ211" s="232">
        <f t="shared" si="51"/>
        <v>0</v>
      </c>
      <c r="BA211" s="232">
        <f t="shared" si="51"/>
        <v>0</v>
      </c>
      <c r="BB211" s="232">
        <f t="shared" si="51"/>
        <v>0</v>
      </c>
      <c r="BC211" s="1365"/>
      <c r="BD211" s="1214"/>
      <c r="BE211" s="1214"/>
      <c r="BF211" s="924" t="s">
        <v>564</v>
      </c>
    </row>
    <row r="212" spans="1:58" s="1334" customFormat="1" ht="14.25" hidden="1" customHeight="1" x14ac:dyDescent="0.15">
      <c r="A212" s="1214"/>
      <c r="B212" s="1083"/>
      <c r="C212" s="1214"/>
      <c r="D212" s="1214"/>
      <c r="E212" s="556">
        <v>15</v>
      </c>
      <c r="F212" s="3" t="str" cm="1">
        <f t="array" aca="1" ref="F212" ca="1">OFFSET(E212,-1,1)</f>
        <v>2</v>
      </c>
      <c r="G212" s="1214"/>
      <c r="H212" s="17" t="s">
        <v>565</v>
      </c>
      <c r="I212" s="1214"/>
      <c r="J212" s="1214"/>
      <c r="K212" s="1214"/>
      <c r="L212" s="1214"/>
      <c r="M212" s="1214"/>
      <c r="N212" s="1214"/>
      <c r="O212" s="1214"/>
      <c r="P212" s="1194"/>
      <c r="Q212" s="1194"/>
      <c r="R212" s="1194"/>
      <c r="S212" s="1194"/>
      <c r="T212" s="388" t="b" cm="1">
        <f t="array" ref="T212">T211</f>
        <v>0</v>
      </c>
      <c r="U212" s="1194"/>
      <c r="V212" s="1214"/>
      <c r="W212" s="1194"/>
      <c r="X212" s="2032"/>
      <c r="Y212" s="2011"/>
      <c r="Z212" s="1214"/>
      <c r="AA212" s="1214"/>
      <c r="AB212" s="159" t="s">
        <v>566</v>
      </c>
      <c r="AC212" s="111" t="s">
        <v>567</v>
      </c>
      <c r="AD212" s="12" t="s">
        <v>563</v>
      </c>
      <c r="AE212" s="1377"/>
      <c r="AF212" s="1377"/>
      <c r="AG212" s="1377"/>
      <c r="AH212" s="1377"/>
      <c r="AI212" s="197"/>
      <c r="AJ212" s="1377"/>
      <c r="AK212" s="1377"/>
      <c r="AL212" s="1377"/>
      <c r="AM212" s="1377"/>
      <c r="AN212" s="1377"/>
      <c r="AO212" s="1377"/>
      <c r="AP212" s="1377"/>
      <c r="AQ212" s="1377"/>
      <c r="AR212" s="1377"/>
      <c r="AS212" s="197"/>
      <c r="AT212" s="1377"/>
      <c r="AU212" s="1377"/>
      <c r="AV212" s="1377"/>
      <c r="AW212" s="1377"/>
      <c r="AX212" s="1377"/>
      <c r="AY212" s="1377"/>
      <c r="AZ212" s="1377"/>
      <c r="BA212" s="1377"/>
      <c r="BB212" s="1377"/>
      <c r="BC212" s="1379"/>
      <c r="BD212" s="1214"/>
      <c r="BE212" s="1214"/>
      <c r="BF212" s="924" t="s">
        <v>568</v>
      </c>
    </row>
    <row r="213" spans="1:58" s="1334" customFormat="1" ht="14.25" hidden="1" customHeight="1" x14ac:dyDescent="0.15">
      <c r="A213" s="1214"/>
      <c r="B213" s="1083"/>
      <c r="C213" s="1214"/>
      <c r="D213" s="1214"/>
      <c r="E213" s="556">
        <v>15</v>
      </c>
      <c r="F213" s="3" t="str" cm="1">
        <f t="array" aca="1" ref="F213" ca="1">OFFSET(E213,-1,1)</f>
        <v>2</v>
      </c>
      <c r="G213" s="1214"/>
      <c r="H213" s="17" t="s">
        <v>569</v>
      </c>
      <c r="I213" s="1214"/>
      <c r="J213" s="1214"/>
      <c r="K213" s="1214"/>
      <c r="L213" s="1214"/>
      <c r="M213" s="1214"/>
      <c r="N213" s="1214"/>
      <c r="O213" s="1214"/>
      <c r="P213" s="1194"/>
      <c r="Q213" s="1194"/>
      <c r="R213" s="1194"/>
      <c r="S213" s="1194"/>
      <c r="T213" s="388" t="b" cm="1">
        <f t="array" ref="T213">T212</f>
        <v>0</v>
      </c>
      <c r="U213" s="1194"/>
      <c r="V213" s="1214"/>
      <c r="W213" s="1194"/>
      <c r="X213" s="2032"/>
      <c r="Y213" s="2011"/>
      <c r="Z213" s="1214"/>
      <c r="AA213" s="1214"/>
      <c r="AB213" s="159" t="s">
        <v>570</v>
      </c>
      <c r="AC213" s="111" t="s">
        <v>571</v>
      </c>
      <c r="AD213" s="12" t="s">
        <v>563</v>
      </c>
      <c r="AE213" s="1377"/>
      <c r="AF213" s="1377"/>
      <c r="AG213" s="1377"/>
      <c r="AH213" s="1377"/>
      <c r="AI213" s="197"/>
      <c r="AJ213" s="1377"/>
      <c r="AK213" s="1377"/>
      <c r="AL213" s="1377"/>
      <c r="AM213" s="1377"/>
      <c r="AN213" s="1377"/>
      <c r="AO213" s="1377"/>
      <c r="AP213" s="1377"/>
      <c r="AQ213" s="1377"/>
      <c r="AR213" s="1377"/>
      <c r="AS213" s="197"/>
      <c r="AT213" s="1377"/>
      <c r="AU213" s="1377"/>
      <c r="AV213" s="1377"/>
      <c r="AW213" s="1377"/>
      <c r="AX213" s="1377"/>
      <c r="AY213" s="1377"/>
      <c r="AZ213" s="1377"/>
      <c r="BA213" s="1377"/>
      <c r="BB213" s="1377"/>
      <c r="BC213" s="1379"/>
      <c r="BD213" s="1214"/>
      <c r="BE213" s="1214"/>
      <c r="BF213" s="924" t="s">
        <v>572</v>
      </c>
    </row>
    <row r="214" spans="1:58" s="1334" customFormat="1" ht="21.75" hidden="1" customHeight="1" x14ac:dyDescent="0.15">
      <c r="A214" s="1214"/>
      <c r="B214" s="1083"/>
      <c r="C214" s="1214"/>
      <c r="D214" s="1214"/>
      <c r="E214" s="556">
        <v>22.5</v>
      </c>
      <c r="F214" s="3" t="str" cm="1">
        <f t="array" aca="1" ref="F214" ca="1">OFFSET(E214,-1,1)</f>
        <v>2</v>
      </c>
      <c r="G214" s="1214"/>
      <c r="H214" s="17" t="s">
        <v>573</v>
      </c>
      <c r="I214" s="1214"/>
      <c r="J214" s="1214"/>
      <c r="K214" s="1214"/>
      <c r="L214" s="1214"/>
      <c r="M214" s="1214"/>
      <c r="N214" s="1214"/>
      <c r="O214" s="1214"/>
      <c r="P214" s="1194"/>
      <c r="Q214" s="1194"/>
      <c r="R214" s="1194"/>
      <c r="S214" s="1194"/>
      <c r="T214" s="388" t="b" cm="1">
        <f t="array" ref="T214">T213</f>
        <v>0</v>
      </c>
      <c r="U214" s="1194"/>
      <c r="V214" s="1214"/>
      <c r="W214" s="1194"/>
      <c r="X214" s="2032"/>
      <c r="Y214" s="2011"/>
      <c r="Z214" s="1214"/>
      <c r="AA214" s="1214"/>
      <c r="AB214" s="159" t="s">
        <v>574</v>
      </c>
      <c r="AC214" s="246" t="s">
        <v>575</v>
      </c>
      <c r="AD214" s="12" t="s">
        <v>563</v>
      </c>
      <c r="AE214" s="1377"/>
      <c r="AF214" s="1377"/>
      <c r="AG214" s="1377"/>
      <c r="AH214" s="1377"/>
      <c r="AI214" s="197"/>
      <c r="AJ214" s="1377"/>
      <c r="AK214" s="1377"/>
      <c r="AL214" s="1377"/>
      <c r="AM214" s="1377"/>
      <c r="AN214" s="1377"/>
      <c r="AO214" s="1377"/>
      <c r="AP214" s="1377"/>
      <c r="AQ214" s="1377"/>
      <c r="AR214" s="1377"/>
      <c r="AS214" s="197"/>
      <c r="AT214" s="1377"/>
      <c r="AU214" s="1377"/>
      <c r="AV214" s="1377"/>
      <c r="AW214" s="1377"/>
      <c r="AX214" s="1377"/>
      <c r="AY214" s="1377"/>
      <c r="AZ214" s="1377"/>
      <c r="BA214" s="1377"/>
      <c r="BB214" s="1377"/>
      <c r="BC214" s="1379"/>
      <c r="BD214" s="1214"/>
      <c r="BE214" s="1214"/>
      <c r="BF214" s="924" t="s">
        <v>576</v>
      </c>
    </row>
    <row r="215" spans="1:58" s="1334" customFormat="1" ht="14.25" hidden="1" customHeight="1" x14ac:dyDescent="0.15">
      <c r="A215" s="1214"/>
      <c r="B215" s="1083"/>
      <c r="C215" s="1214"/>
      <c r="D215" s="1214"/>
      <c r="E215" s="556">
        <v>15</v>
      </c>
      <c r="F215" s="3" t="str" cm="1">
        <f t="array" aca="1" ref="F215" ca="1">OFFSET(E215,-1,1)</f>
        <v>2</v>
      </c>
      <c r="G215" s="1214"/>
      <c r="H215" s="17" t="s">
        <v>334</v>
      </c>
      <c r="I215" s="1214"/>
      <c r="J215" s="1214"/>
      <c r="K215" s="1214"/>
      <c r="L215" s="1214"/>
      <c r="M215" s="1214"/>
      <c r="N215" s="1214"/>
      <c r="O215" s="1214"/>
      <c r="P215" s="1194"/>
      <c r="Q215" s="1194"/>
      <c r="R215" s="1194"/>
      <c r="S215" s="1194"/>
      <c r="T215" s="388" t="b" cm="1">
        <f t="array" ref="T215">T214</f>
        <v>0</v>
      </c>
      <c r="U215" s="1194"/>
      <c r="V215" s="1214"/>
      <c r="W215" s="1194"/>
      <c r="X215" s="2032"/>
      <c r="Y215" s="2011"/>
      <c r="Z215" s="1214"/>
      <c r="AA215" s="1214"/>
      <c r="AB215" s="159" t="s">
        <v>329</v>
      </c>
      <c r="AC215" s="246" t="s">
        <v>577</v>
      </c>
      <c r="AD215" s="12" t="s">
        <v>563</v>
      </c>
      <c r="AE215" s="232">
        <f t="shared" ref="AE215:BB215" si="52">SUM(AE216:AE217)</f>
        <v>0</v>
      </c>
      <c r="AF215" s="232">
        <f t="shared" si="52"/>
        <v>0</v>
      </c>
      <c r="AG215" s="232">
        <f t="shared" si="52"/>
        <v>0</v>
      </c>
      <c r="AH215" s="232">
        <f t="shared" si="52"/>
        <v>0</v>
      </c>
      <c r="AI215" s="232">
        <f t="shared" si="52"/>
        <v>0</v>
      </c>
      <c r="AJ215" s="232">
        <f t="shared" si="52"/>
        <v>0</v>
      </c>
      <c r="AK215" s="232">
        <f t="shared" si="52"/>
        <v>0</v>
      </c>
      <c r="AL215" s="232">
        <f t="shared" si="52"/>
        <v>0</v>
      </c>
      <c r="AM215" s="232">
        <f t="shared" si="52"/>
        <v>0</v>
      </c>
      <c r="AN215" s="232">
        <f t="shared" si="52"/>
        <v>0</v>
      </c>
      <c r="AO215" s="232">
        <f t="shared" si="52"/>
        <v>0</v>
      </c>
      <c r="AP215" s="232">
        <f t="shared" si="52"/>
        <v>0</v>
      </c>
      <c r="AQ215" s="232">
        <f t="shared" si="52"/>
        <v>0</v>
      </c>
      <c r="AR215" s="232">
        <f t="shared" si="52"/>
        <v>0</v>
      </c>
      <c r="AS215" s="232">
        <f t="shared" si="52"/>
        <v>0</v>
      </c>
      <c r="AT215" s="232">
        <f t="shared" si="52"/>
        <v>0</v>
      </c>
      <c r="AU215" s="232">
        <f t="shared" si="52"/>
        <v>0</v>
      </c>
      <c r="AV215" s="232">
        <f t="shared" si="52"/>
        <v>0</v>
      </c>
      <c r="AW215" s="232">
        <f t="shared" si="52"/>
        <v>0</v>
      </c>
      <c r="AX215" s="232">
        <f t="shared" si="52"/>
        <v>0</v>
      </c>
      <c r="AY215" s="232">
        <f t="shared" si="52"/>
        <v>0</v>
      </c>
      <c r="AZ215" s="232">
        <f t="shared" si="52"/>
        <v>0</v>
      </c>
      <c r="BA215" s="232">
        <f t="shared" si="52"/>
        <v>0</v>
      </c>
      <c r="BB215" s="232">
        <f t="shared" si="52"/>
        <v>0</v>
      </c>
      <c r="BC215" s="1379"/>
      <c r="BD215" s="1214"/>
      <c r="BE215" s="1214"/>
      <c r="BF215" s="924" t="s">
        <v>578</v>
      </c>
    </row>
    <row r="216" spans="1:58" s="1334" customFormat="1" ht="14.25" hidden="1" customHeight="1" x14ac:dyDescent="0.15">
      <c r="A216" s="1214"/>
      <c r="B216" s="1083"/>
      <c r="C216" s="1214"/>
      <c r="D216" s="1214"/>
      <c r="E216" s="556">
        <v>15</v>
      </c>
      <c r="F216" s="3" t="str" cm="1">
        <f t="array" aca="1" ref="F216" ca="1">OFFSET(E216,-1,1)</f>
        <v>2</v>
      </c>
      <c r="G216" s="1214"/>
      <c r="H216" s="17" t="s">
        <v>579</v>
      </c>
      <c r="I216" s="1214"/>
      <c r="J216" s="1214"/>
      <c r="K216" s="1214"/>
      <c r="L216" s="1214"/>
      <c r="M216" s="1214"/>
      <c r="N216" s="1214"/>
      <c r="O216" s="1214"/>
      <c r="P216" s="1194"/>
      <c r="Q216" s="1194"/>
      <c r="R216" s="1194"/>
      <c r="S216" s="1194"/>
      <c r="T216" s="388" t="b" cm="1">
        <f t="array" ref="T216">T215</f>
        <v>0</v>
      </c>
      <c r="U216" s="1194"/>
      <c r="V216" s="1214"/>
      <c r="W216" s="1194"/>
      <c r="X216" s="2032"/>
      <c r="Y216" s="2011"/>
      <c r="Z216" s="1214"/>
      <c r="AA216" s="1214"/>
      <c r="AB216" s="159" t="s">
        <v>580</v>
      </c>
      <c r="AC216" s="111" t="s">
        <v>581</v>
      </c>
      <c r="AD216" s="12" t="s">
        <v>563</v>
      </c>
      <c r="AE216" s="1377"/>
      <c r="AF216" s="1377"/>
      <c r="AG216" s="1377"/>
      <c r="AH216" s="1377"/>
      <c r="AI216" s="197"/>
      <c r="AJ216" s="1377"/>
      <c r="AK216" s="1377"/>
      <c r="AL216" s="1377"/>
      <c r="AM216" s="1377"/>
      <c r="AN216" s="1377"/>
      <c r="AO216" s="1377"/>
      <c r="AP216" s="1377"/>
      <c r="AQ216" s="1377"/>
      <c r="AR216" s="1377"/>
      <c r="AS216" s="197"/>
      <c r="AT216" s="1377"/>
      <c r="AU216" s="1377"/>
      <c r="AV216" s="1377"/>
      <c r="AW216" s="1377"/>
      <c r="AX216" s="1377"/>
      <c r="AY216" s="1377"/>
      <c r="AZ216" s="1377"/>
      <c r="BA216" s="1377"/>
      <c r="BB216" s="1377"/>
      <c r="BC216" s="1379"/>
      <c r="BD216" s="1214"/>
      <c r="BE216" s="1214"/>
      <c r="BF216" s="924" t="s">
        <v>582</v>
      </c>
    </row>
    <row r="217" spans="1:58" s="1334" customFormat="1" ht="14.25" hidden="1" customHeight="1" x14ac:dyDescent="0.15">
      <c r="A217" s="1214"/>
      <c r="B217" s="1083"/>
      <c r="C217" s="1214"/>
      <c r="D217" s="1214"/>
      <c r="E217" s="556">
        <v>15</v>
      </c>
      <c r="F217" s="3" t="str" cm="1">
        <f t="array" aca="1" ref="F217" ca="1">OFFSET(E217,-1,1)</f>
        <v>2</v>
      </c>
      <c r="G217" s="1214"/>
      <c r="H217" s="17" t="s">
        <v>583</v>
      </c>
      <c r="I217" s="1214"/>
      <c r="J217" s="1214"/>
      <c r="K217" s="1214"/>
      <c r="L217" s="1214"/>
      <c r="M217" s="1214"/>
      <c r="N217" s="1214"/>
      <c r="O217" s="1214"/>
      <c r="P217" s="1194"/>
      <c r="Q217" s="1194"/>
      <c r="R217" s="1194"/>
      <c r="S217" s="1194"/>
      <c r="T217" s="388" t="b" cm="1">
        <f t="array" ref="T217">T216</f>
        <v>0</v>
      </c>
      <c r="U217" s="1194"/>
      <c r="V217" s="1214"/>
      <c r="W217" s="1194"/>
      <c r="X217" s="2032"/>
      <c r="Y217" s="2011"/>
      <c r="Z217" s="1214"/>
      <c r="AA217" s="1214"/>
      <c r="AB217" s="159" t="s">
        <v>584</v>
      </c>
      <c r="AC217" s="111" t="s">
        <v>585</v>
      </c>
      <c r="AD217" s="12" t="s">
        <v>563</v>
      </c>
      <c r="AE217" s="1377"/>
      <c r="AF217" s="1377"/>
      <c r="AG217" s="1377"/>
      <c r="AH217" s="1377"/>
      <c r="AI217" s="197"/>
      <c r="AJ217" s="1377"/>
      <c r="AK217" s="1377"/>
      <c r="AL217" s="1377"/>
      <c r="AM217" s="1377"/>
      <c r="AN217" s="1377"/>
      <c r="AO217" s="1377"/>
      <c r="AP217" s="1377"/>
      <c r="AQ217" s="1377"/>
      <c r="AR217" s="1377"/>
      <c r="AS217" s="197"/>
      <c r="AT217" s="1377"/>
      <c r="AU217" s="1377"/>
      <c r="AV217" s="1377"/>
      <c r="AW217" s="1377"/>
      <c r="AX217" s="1377"/>
      <c r="AY217" s="1377"/>
      <c r="AZ217" s="1377"/>
      <c r="BA217" s="1377"/>
      <c r="BB217" s="1377"/>
      <c r="BC217" s="1379"/>
      <c r="BD217" s="1214"/>
      <c r="BE217" s="1214"/>
      <c r="BF217" s="924" t="s">
        <v>586</v>
      </c>
    </row>
    <row r="218" spans="1:58" s="1334" customFormat="1" ht="14.25" hidden="1" customHeight="1" x14ac:dyDescent="0.15">
      <c r="A218" s="1214"/>
      <c r="B218" s="1083"/>
      <c r="C218" s="1214"/>
      <c r="D218" s="1214"/>
      <c r="E218" s="556">
        <v>15</v>
      </c>
      <c r="F218" s="3" t="str" cm="1">
        <f t="array" aca="1" ref="F218" ca="1">OFFSET(E218,-1,1)</f>
        <v>2</v>
      </c>
      <c r="G218" s="1214"/>
      <c r="H218" s="17" t="s">
        <v>544</v>
      </c>
      <c r="I218" s="1214"/>
      <c r="J218" s="1214"/>
      <c r="K218" s="1214"/>
      <c r="L218" s="1214"/>
      <c r="M218" s="1214"/>
      <c r="N218" s="1214"/>
      <c r="O218" s="1214"/>
      <c r="P218" s="1194"/>
      <c r="Q218" s="1194"/>
      <c r="R218" s="1194"/>
      <c r="S218" s="1194"/>
      <c r="T218" s="388" t="b" cm="1">
        <f t="array" ref="T218">T217</f>
        <v>0</v>
      </c>
      <c r="U218" s="1194"/>
      <c r="V218" s="1214"/>
      <c r="W218" s="1194"/>
      <c r="X218" s="2032"/>
      <c r="Y218" s="2011"/>
      <c r="Z218" s="1214"/>
      <c r="AA218" s="1214"/>
      <c r="AB218" s="159" t="s">
        <v>441</v>
      </c>
      <c r="AC218" s="245" t="s">
        <v>587</v>
      </c>
      <c r="AD218" s="12" t="s">
        <v>563</v>
      </c>
      <c r="AE218" s="1364"/>
      <c r="AF218" s="1364"/>
      <c r="AG218" s="1364"/>
      <c r="AH218" s="1364"/>
      <c r="AI218" s="194"/>
      <c r="AJ218" s="1364"/>
      <c r="AK218" s="1364"/>
      <c r="AL218" s="1364"/>
      <c r="AM218" s="1364"/>
      <c r="AN218" s="1364"/>
      <c r="AO218" s="1364"/>
      <c r="AP218" s="1364"/>
      <c r="AQ218" s="1364"/>
      <c r="AR218" s="1364"/>
      <c r="AS218" s="194"/>
      <c r="AT218" s="1364"/>
      <c r="AU218" s="1364"/>
      <c r="AV218" s="1364"/>
      <c r="AW218" s="1364"/>
      <c r="AX218" s="1364"/>
      <c r="AY218" s="1364"/>
      <c r="AZ218" s="1364"/>
      <c r="BA218" s="1364"/>
      <c r="BB218" s="1364"/>
      <c r="BC218" s="1379"/>
      <c r="BD218" s="1214"/>
      <c r="BE218" s="1214"/>
      <c r="BF218" s="924" t="s">
        <v>588</v>
      </c>
    </row>
    <row r="219" spans="1:58" s="1334" customFormat="1" ht="14.25" hidden="1" customHeight="1" x14ac:dyDescent="0.15">
      <c r="A219" s="1214"/>
      <c r="B219" s="1083"/>
      <c r="C219" s="1214"/>
      <c r="D219" s="1214"/>
      <c r="E219" s="556">
        <v>15</v>
      </c>
      <c r="F219" s="3" t="str" cm="1">
        <f t="array" aca="1" ref="F219" ca="1">OFFSET(E219,-1,1)</f>
        <v>2</v>
      </c>
      <c r="G219" s="1214"/>
      <c r="H219" s="17" t="s">
        <v>547</v>
      </c>
      <c r="I219" s="1214"/>
      <c r="J219" s="1214"/>
      <c r="K219" s="1214"/>
      <c r="L219" s="1214"/>
      <c r="M219" s="1214"/>
      <c r="N219" s="1214"/>
      <c r="O219" s="1214"/>
      <c r="P219" s="1194"/>
      <c r="Q219" s="1194"/>
      <c r="R219" s="1194"/>
      <c r="S219" s="1194"/>
      <c r="T219" s="388" t="b" cm="1">
        <f t="array" ref="T219">T218</f>
        <v>0</v>
      </c>
      <c r="U219" s="1194"/>
      <c r="V219" s="1214"/>
      <c r="W219" s="1194"/>
      <c r="X219" s="2032"/>
      <c r="Y219" s="2011"/>
      <c r="Z219" s="1214"/>
      <c r="AA219" s="1214"/>
      <c r="AB219" s="159" t="s">
        <v>444</v>
      </c>
      <c r="AC219" s="245" t="s">
        <v>589</v>
      </c>
      <c r="AD219" s="12" t="s">
        <v>563</v>
      </c>
      <c r="AE219" s="1377"/>
      <c r="AF219" s="1377"/>
      <c r="AG219" s="1377"/>
      <c r="AH219" s="1377"/>
      <c r="AI219" s="197"/>
      <c r="AJ219" s="1377"/>
      <c r="AK219" s="1377"/>
      <c r="AL219" s="1377"/>
      <c r="AM219" s="1377"/>
      <c r="AN219" s="1377"/>
      <c r="AO219" s="1377"/>
      <c r="AP219" s="1377"/>
      <c r="AQ219" s="1377"/>
      <c r="AR219" s="1377"/>
      <c r="AS219" s="197"/>
      <c r="AT219" s="1377"/>
      <c r="AU219" s="1377"/>
      <c r="AV219" s="1377"/>
      <c r="AW219" s="1377"/>
      <c r="AX219" s="1377"/>
      <c r="AY219" s="1377"/>
      <c r="AZ219" s="1377"/>
      <c r="BA219" s="1377"/>
      <c r="BB219" s="1377"/>
      <c r="BC219" s="1379"/>
      <c r="BD219" s="1214"/>
      <c r="BE219" s="1214"/>
      <c r="BF219" s="924" t="s">
        <v>590</v>
      </c>
    </row>
    <row r="220" spans="1:58" s="1334" customFormat="1" ht="14.25" hidden="1" customHeight="1" x14ac:dyDescent="0.15">
      <c r="A220" s="1214"/>
      <c r="B220" s="1083"/>
      <c r="C220" s="1214"/>
      <c r="D220" s="1214"/>
      <c r="E220" s="556">
        <v>15</v>
      </c>
      <c r="F220" s="3" t="str" cm="1">
        <f t="array" aca="1" ref="F220" ca="1">OFFSET(E220,-1,1)</f>
        <v>2</v>
      </c>
      <c r="G220" s="1214"/>
      <c r="H220" s="17" t="s">
        <v>591</v>
      </c>
      <c r="I220" s="1214"/>
      <c r="J220" s="1214"/>
      <c r="K220" s="1214"/>
      <c r="L220" s="1214"/>
      <c r="M220" s="1214"/>
      <c r="N220" s="1214"/>
      <c r="O220" s="1214"/>
      <c r="P220" s="1194"/>
      <c r="Q220" s="1194"/>
      <c r="R220" s="1194"/>
      <c r="S220" s="1194"/>
      <c r="T220" s="388" t="b" cm="1">
        <f t="array" ref="T220">T219</f>
        <v>0</v>
      </c>
      <c r="U220" s="1194"/>
      <c r="V220" s="1214"/>
      <c r="W220" s="1194"/>
      <c r="X220" s="2032"/>
      <c r="Y220" s="2011"/>
      <c r="Z220" s="1214"/>
      <c r="AA220" s="1214"/>
      <c r="AB220" s="159" t="s">
        <v>446</v>
      </c>
      <c r="AC220" s="246" t="s">
        <v>592</v>
      </c>
      <c r="AD220" s="12" t="s">
        <v>563</v>
      </c>
      <c r="AE220" s="232">
        <f t="shared" ref="AE220:BB220" si="53">AE226+AE224</f>
        <v>0</v>
      </c>
      <c r="AF220" s="232">
        <f t="shared" si="53"/>
        <v>0</v>
      </c>
      <c r="AG220" s="232">
        <f t="shared" si="53"/>
        <v>0</v>
      </c>
      <c r="AH220" s="232">
        <f t="shared" si="53"/>
        <v>0</v>
      </c>
      <c r="AI220" s="232">
        <f t="shared" si="53"/>
        <v>0</v>
      </c>
      <c r="AJ220" s="232">
        <f t="shared" si="53"/>
        <v>0</v>
      </c>
      <c r="AK220" s="232">
        <f t="shared" si="53"/>
        <v>0</v>
      </c>
      <c r="AL220" s="232">
        <f t="shared" si="53"/>
        <v>0</v>
      </c>
      <c r="AM220" s="232">
        <f t="shared" si="53"/>
        <v>0</v>
      </c>
      <c r="AN220" s="232">
        <f t="shared" si="53"/>
        <v>0</v>
      </c>
      <c r="AO220" s="232">
        <f t="shared" si="53"/>
        <v>0</v>
      </c>
      <c r="AP220" s="232">
        <f t="shared" si="53"/>
        <v>0</v>
      </c>
      <c r="AQ220" s="232">
        <f t="shared" si="53"/>
        <v>0</v>
      </c>
      <c r="AR220" s="232">
        <f t="shared" si="53"/>
        <v>0</v>
      </c>
      <c r="AS220" s="232">
        <f t="shared" si="53"/>
        <v>0</v>
      </c>
      <c r="AT220" s="232">
        <f t="shared" si="53"/>
        <v>0</v>
      </c>
      <c r="AU220" s="232">
        <f t="shared" si="53"/>
        <v>0</v>
      </c>
      <c r="AV220" s="232">
        <f t="shared" si="53"/>
        <v>0</v>
      </c>
      <c r="AW220" s="232">
        <f t="shared" si="53"/>
        <v>0</v>
      </c>
      <c r="AX220" s="232">
        <f t="shared" si="53"/>
        <v>0</v>
      </c>
      <c r="AY220" s="232">
        <f t="shared" si="53"/>
        <v>0</v>
      </c>
      <c r="AZ220" s="232">
        <f t="shared" si="53"/>
        <v>0</v>
      </c>
      <c r="BA220" s="232">
        <f t="shared" si="53"/>
        <v>0</v>
      </c>
      <c r="BB220" s="232">
        <f t="shared" si="53"/>
        <v>0</v>
      </c>
      <c r="BC220" s="1379"/>
      <c r="BD220" s="1214"/>
      <c r="BE220" s="1214"/>
      <c r="BF220" s="924" t="s">
        <v>593</v>
      </c>
    </row>
    <row r="221" spans="1:58" s="1334" customFormat="1" ht="21.75" hidden="1" customHeight="1" x14ac:dyDescent="0.15">
      <c r="A221" s="1214"/>
      <c r="B221" s="1083"/>
      <c r="C221" s="1214"/>
      <c r="D221" s="1214"/>
      <c r="E221" s="556">
        <v>22.5</v>
      </c>
      <c r="F221" s="3" t="str" cm="1">
        <f t="array" aca="1" ref="F221" ca="1">OFFSET(E221,-1,1)</f>
        <v>2</v>
      </c>
      <c r="G221" s="1214"/>
      <c r="H221" s="17" t="s">
        <v>594</v>
      </c>
      <c r="I221" s="1214"/>
      <c r="J221" s="1214"/>
      <c r="K221" s="1214"/>
      <c r="L221" s="1214"/>
      <c r="M221" s="1214"/>
      <c r="N221" s="1214"/>
      <c r="O221" s="1214"/>
      <c r="P221" s="1194"/>
      <c r="Q221" s="1194"/>
      <c r="R221" s="1194"/>
      <c r="S221" s="1194"/>
      <c r="T221" s="388" t="b" cm="1">
        <f t="array" ref="T221">T220</f>
        <v>0</v>
      </c>
      <c r="U221" s="1194"/>
      <c r="V221" s="1214"/>
      <c r="W221" s="1194"/>
      <c r="X221" s="2032"/>
      <c r="Y221" s="2011"/>
      <c r="Z221" s="1214"/>
      <c r="AA221" s="1214"/>
      <c r="AB221" s="159" t="s">
        <v>595</v>
      </c>
      <c r="AC221" s="111" t="s">
        <v>596</v>
      </c>
      <c r="AD221" s="12" t="s">
        <v>563</v>
      </c>
      <c r="AE221" s="1377"/>
      <c r="AF221" s="1377"/>
      <c r="AG221" s="1377"/>
      <c r="AH221" s="1377"/>
      <c r="AI221" s="197"/>
      <c r="AJ221" s="1377"/>
      <c r="AK221" s="1377"/>
      <c r="AL221" s="1377"/>
      <c r="AM221" s="1377"/>
      <c r="AN221" s="1377"/>
      <c r="AO221" s="1377"/>
      <c r="AP221" s="1377"/>
      <c r="AQ221" s="1377"/>
      <c r="AR221" s="1377"/>
      <c r="AS221" s="197"/>
      <c r="AT221" s="1377"/>
      <c r="AU221" s="1377"/>
      <c r="AV221" s="1377"/>
      <c r="AW221" s="1377"/>
      <c r="AX221" s="1377"/>
      <c r="AY221" s="1377"/>
      <c r="AZ221" s="1377"/>
      <c r="BA221" s="1377"/>
      <c r="BB221" s="1377"/>
      <c r="BC221" s="1379"/>
      <c r="BD221" s="1214"/>
      <c r="BE221" s="1214"/>
      <c r="BF221" s="924" t="s">
        <v>597</v>
      </c>
    </row>
    <row r="222" spans="1:58" s="1334" customFormat="1" ht="14.25" hidden="1" customHeight="1" x14ac:dyDescent="0.15">
      <c r="A222" s="1214"/>
      <c r="B222" s="1083"/>
      <c r="C222" s="1214"/>
      <c r="D222" s="1214"/>
      <c r="E222" s="556">
        <v>15</v>
      </c>
      <c r="F222" s="3" t="str" cm="1">
        <f t="array" aca="1" ref="F222" ca="1">OFFSET(E222,-1,1)</f>
        <v>2</v>
      </c>
      <c r="G222" s="1214"/>
      <c r="H222" s="17" t="s">
        <v>598</v>
      </c>
      <c r="I222" s="1214"/>
      <c r="J222" s="1214"/>
      <c r="K222" s="1214"/>
      <c r="L222" s="1214"/>
      <c r="M222" s="1214"/>
      <c r="N222" s="1214"/>
      <c r="O222" s="1214"/>
      <c r="P222" s="1194"/>
      <c r="Q222" s="1194"/>
      <c r="R222" s="1194"/>
      <c r="S222" s="1194"/>
      <c r="T222" s="388" t="b" cm="1">
        <f t="array" ref="T222">T221</f>
        <v>0</v>
      </c>
      <c r="U222" s="1194"/>
      <c r="V222" s="1214"/>
      <c r="W222" s="1194"/>
      <c r="X222" s="2032"/>
      <c r="Y222" s="2011"/>
      <c r="Z222" s="1214"/>
      <c r="AA222" s="1214"/>
      <c r="AB222" s="159" t="s">
        <v>599</v>
      </c>
      <c r="AC222" s="111" t="s">
        <v>600</v>
      </c>
      <c r="AD222" s="12" t="s">
        <v>563</v>
      </c>
      <c r="AE222" s="1377"/>
      <c r="AF222" s="1377"/>
      <c r="AG222" s="1377"/>
      <c r="AH222" s="1377"/>
      <c r="AI222" s="197"/>
      <c r="AJ222" s="1377"/>
      <c r="AK222" s="1377"/>
      <c r="AL222" s="1377"/>
      <c r="AM222" s="1377"/>
      <c r="AN222" s="1377"/>
      <c r="AO222" s="1377"/>
      <c r="AP222" s="1377"/>
      <c r="AQ222" s="1377"/>
      <c r="AR222" s="1377"/>
      <c r="AS222" s="197"/>
      <c r="AT222" s="1377"/>
      <c r="AU222" s="1377"/>
      <c r="AV222" s="1377"/>
      <c r="AW222" s="1377"/>
      <c r="AX222" s="1377"/>
      <c r="AY222" s="1377"/>
      <c r="AZ222" s="1377"/>
      <c r="BA222" s="1377"/>
      <c r="BB222" s="1377"/>
      <c r="BC222" s="1379"/>
      <c r="BD222" s="1214"/>
      <c r="BE222" s="1214"/>
      <c r="BF222" s="924" t="s">
        <v>601</v>
      </c>
    </row>
    <row r="223" spans="1:58" s="1334" customFormat="1" ht="21.75" hidden="1" customHeight="1" x14ac:dyDescent="0.15">
      <c r="A223" s="1214"/>
      <c r="B223" s="1083"/>
      <c r="C223" s="1214"/>
      <c r="D223" s="1214"/>
      <c r="E223" s="556">
        <v>22.5</v>
      </c>
      <c r="F223" s="3" t="str" cm="1">
        <f t="array" aca="1" ref="F223" ca="1">OFFSET(E223,-1,1)</f>
        <v>2</v>
      </c>
      <c r="G223" s="1214"/>
      <c r="H223" s="17" t="s">
        <v>602</v>
      </c>
      <c r="I223" s="1214"/>
      <c r="J223" s="1214"/>
      <c r="K223" s="1214"/>
      <c r="L223" s="1214"/>
      <c r="M223" s="1214"/>
      <c r="N223" s="1214"/>
      <c r="O223" s="1214"/>
      <c r="P223" s="1194"/>
      <c r="Q223" s="1194"/>
      <c r="R223" s="1194"/>
      <c r="S223" s="1194"/>
      <c r="T223" s="388" t="b" cm="1">
        <f t="array" ref="T223">T222</f>
        <v>0</v>
      </c>
      <c r="U223" s="1194"/>
      <c r="V223" s="1214"/>
      <c r="W223" s="1194"/>
      <c r="X223" s="2032"/>
      <c r="Y223" s="2011"/>
      <c r="Z223" s="1214"/>
      <c r="AA223" s="1214"/>
      <c r="AB223" s="159" t="s">
        <v>603</v>
      </c>
      <c r="AC223" s="111" t="s">
        <v>604</v>
      </c>
      <c r="AD223" s="12" t="s">
        <v>563</v>
      </c>
      <c r="AE223" s="1377"/>
      <c r="AF223" s="1377"/>
      <c r="AG223" s="1377"/>
      <c r="AH223" s="1377"/>
      <c r="AI223" s="197"/>
      <c r="AJ223" s="1377"/>
      <c r="AK223" s="1377"/>
      <c r="AL223" s="1377"/>
      <c r="AM223" s="1377"/>
      <c r="AN223" s="1377"/>
      <c r="AO223" s="1377"/>
      <c r="AP223" s="1377"/>
      <c r="AQ223" s="1377"/>
      <c r="AR223" s="1377"/>
      <c r="AS223" s="197"/>
      <c r="AT223" s="1377"/>
      <c r="AU223" s="1377"/>
      <c r="AV223" s="1377"/>
      <c r="AW223" s="1377"/>
      <c r="AX223" s="1377"/>
      <c r="AY223" s="1377"/>
      <c r="AZ223" s="1377"/>
      <c r="BA223" s="1377"/>
      <c r="BB223" s="1377"/>
      <c r="BC223" s="1379"/>
      <c r="BD223" s="1214"/>
      <c r="BE223" s="1214"/>
      <c r="BF223" s="924" t="s">
        <v>605</v>
      </c>
    </row>
    <row r="224" spans="1:58" s="1334" customFormat="1" ht="14.25" hidden="1" customHeight="1" x14ac:dyDescent="0.15">
      <c r="A224" s="1214"/>
      <c r="B224" s="1083"/>
      <c r="C224" s="1214"/>
      <c r="D224" s="1214"/>
      <c r="E224" s="556">
        <v>15</v>
      </c>
      <c r="F224" s="3" t="str" cm="1">
        <f t="array" aca="1" ref="F224" ca="1">OFFSET(E224,-1,1)</f>
        <v>2</v>
      </c>
      <c r="G224" s="1214"/>
      <c r="H224" s="17" t="s">
        <v>606</v>
      </c>
      <c r="I224" s="1214"/>
      <c r="J224" s="1214"/>
      <c r="K224" s="1214"/>
      <c r="L224" s="1214"/>
      <c r="M224" s="1214"/>
      <c r="N224" s="1214"/>
      <c r="O224" s="1214"/>
      <c r="P224" s="1194"/>
      <c r="Q224" s="1194"/>
      <c r="R224" s="1194"/>
      <c r="S224" s="1194"/>
      <c r="T224" s="388" t="b" cm="1">
        <f t="array" ref="T224">T223</f>
        <v>0</v>
      </c>
      <c r="U224" s="1194"/>
      <c r="V224" s="1214"/>
      <c r="W224" s="1194"/>
      <c r="X224" s="2032"/>
      <c r="Y224" s="2011"/>
      <c r="Z224" s="1214"/>
      <c r="AA224" s="1214"/>
      <c r="AB224" s="159" t="s">
        <v>448</v>
      </c>
      <c r="AC224" s="245" t="s">
        <v>607</v>
      </c>
      <c r="AD224" s="12" t="s">
        <v>563</v>
      </c>
      <c r="AE224" s="1377"/>
      <c r="AF224" s="1377"/>
      <c r="AG224" s="1377"/>
      <c r="AH224" s="1377"/>
      <c r="AI224" s="197"/>
      <c r="AJ224" s="1377"/>
      <c r="AK224" s="1377"/>
      <c r="AL224" s="1377"/>
      <c r="AM224" s="1377"/>
      <c r="AN224" s="1377"/>
      <c r="AO224" s="1377"/>
      <c r="AP224" s="1377"/>
      <c r="AQ224" s="1377"/>
      <c r="AR224" s="1377"/>
      <c r="AS224" s="197"/>
      <c r="AT224" s="1377"/>
      <c r="AU224" s="1377"/>
      <c r="AV224" s="1377"/>
      <c r="AW224" s="1377"/>
      <c r="AX224" s="1377"/>
      <c r="AY224" s="1377"/>
      <c r="AZ224" s="1377"/>
      <c r="BA224" s="1377"/>
      <c r="BB224" s="1377"/>
      <c r="BC224" s="1379"/>
      <c r="BD224" s="1214"/>
      <c r="BE224" s="1214"/>
      <c r="BF224" s="924" t="s">
        <v>608</v>
      </c>
    </row>
    <row r="225" spans="1:58" s="1334" customFormat="1" ht="14.25" hidden="1" customHeight="1" x14ac:dyDescent="0.15">
      <c r="A225" s="1214"/>
      <c r="B225" s="1083"/>
      <c r="C225" s="1214"/>
      <c r="D225" s="1214"/>
      <c r="E225" s="556">
        <v>15</v>
      </c>
      <c r="F225" s="3" t="str" cm="1">
        <f t="array" aca="1" ref="F225" ca="1">OFFSET(E225,-1,1)</f>
        <v>2</v>
      </c>
      <c r="G225" s="1214"/>
      <c r="H225" s="17" t="s">
        <v>609</v>
      </c>
      <c r="I225" s="1214"/>
      <c r="J225" s="1214"/>
      <c r="K225" s="1214"/>
      <c r="L225" s="1214"/>
      <c r="M225" s="1214"/>
      <c r="N225" s="1214"/>
      <c r="O225" s="1214"/>
      <c r="P225" s="1194"/>
      <c r="Q225" s="1194"/>
      <c r="R225" s="1194"/>
      <c r="S225" s="1194"/>
      <c r="T225" s="388" t="b" cm="1">
        <f t="array" ref="T225">T224</f>
        <v>0</v>
      </c>
      <c r="U225" s="1194"/>
      <c r="V225" s="1214"/>
      <c r="W225" s="1194"/>
      <c r="X225" s="2032"/>
      <c r="Y225" s="2011"/>
      <c r="Z225" s="1214"/>
      <c r="AA225" s="1214"/>
      <c r="AB225" s="159" t="s">
        <v>610</v>
      </c>
      <c r="AC225" s="247" t="s">
        <v>611</v>
      </c>
      <c r="AD225" s="12" t="s">
        <v>490</v>
      </c>
      <c r="AE225" s="1358">
        <f t="shared" ref="AE225:BB225" si="54">IF(AE220=0,0,AE224/AE220*100)</f>
        <v>0</v>
      </c>
      <c r="AF225" s="1358">
        <f t="shared" si="54"/>
        <v>0</v>
      </c>
      <c r="AG225" s="1358">
        <f t="shared" si="54"/>
        <v>0</v>
      </c>
      <c r="AH225" s="1358">
        <f t="shared" si="54"/>
        <v>0</v>
      </c>
      <c r="AI225" s="60">
        <f t="shared" si="54"/>
        <v>0</v>
      </c>
      <c r="AJ225" s="1358">
        <f t="shared" si="54"/>
        <v>0</v>
      </c>
      <c r="AK225" s="1358">
        <f t="shared" si="54"/>
        <v>0</v>
      </c>
      <c r="AL225" s="1358">
        <f t="shared" si="54"/>
        <v>0</v>
      </c>
      <c r="AM225" s="1358">
        <f t="shared" si="54"/>
        <v>0</v>
      </c>
      <c r="AN225" s="1358">
        <f t="shared" si="54"/>
        <v>0</v>
      </c>
      <c r="AO225" s="1358">
        <f t="shared" si="54"/>
        <v>0</v>
      </c>
      <c r="AP225" s="1358">
        <f t="shared" si="54"/>
        <v>0</v>
      </c>
      <c r="AQ225" s="1358">
        <f t="shared" si="54"/>
        <v>0</v>
      </c>
      <c r="AR225" s="1358">
        <f t="shared" si="54"/>
        <v>0</v>
      </c>
      <c r="AS225" s="60">
        <f t="shared" si="54"/>
        <v>0</v>
      </c>
      <c r="AT225" s="1358">
        <f t="shared" si="54"/>
        <v>0</v>
      </c>
      <c r="AU225" s="1358">
        <f t="shared" si="54"/>
        <v>0</v>
      </c>
      <c r="AV225" s="1358">
        <f t="shared" si="54"/>
        <v>0</v>
      </c>
      <c r="AW225" s="1358">
        <f t="shared" si="54"/>
        <v>0</v>
      </c>
      <c r="AX225" s="1358">
        <f t="shared" si="54"/>
        <v>0</v>
      </c>
      <c r="AY225" s="1358">
        <f t="shared" si="54"/>
        <v>0</v>
      </c>
      <c r="AZ225" s="1358">
        <f t="shared" si="54"/>
        <v>0</v>
      </c>
      <c r="BA225" s="1358">
        <f t="shared" si="54"/>
        <v>0</v>
      </c>
      <c r="BB225" s="1358">
        <f t="shared" si="54"/>
        <v>0</v>
      </c>
      <c r="BC225" s="1379"/>
      <c r="BD225" s="1214"/>
      <c r="BE225" s="1214"/>
      <c r="BF225" s="924" t="s">
        <v>612</v>
      </c>
    </row>
    <row r="226" spans="1:58" s="1334" customFormat="1" ht="14.25" hidden="1" customHeight="1" x14ac:dyDescent="0.15">
      <c r="A226" s="1214"/>
      <c r="B226" s="1083"/>
      <c r="C226" s="1214"/>
      <c r="D226" s="1214"/>
      <c r="E226" s="556">
        <v>15</v>
      </c>
      <c r="F226" s="3" t="str" cm="1">
        <f t="array" aca="1" ref="F226" ca="1">OFFSET(E226,-1,1)</f>
        <v>2</v>
      </c>
      <c r="G226" s="1214"/>
      <c r="H226" s="17" t="s">
        <v>613</v>
      </c>
      <c r="I226" s="1214"/>
      <c r="J226" s="1214"/>
      <c r="K226" s="1214"/>
      <c r="L226" s="1214"/>
      <c r="M226" s="1214"/>
      <c r="N226" s="1214"/>
      <c r="O226" s="1214"/>
      <c r="P226" s="1194"/>
      <c r="Q226" s="1194"/>
      <c r="R226" s="1194"/>
      <c r="S226" s="1194"/>
      <c r="T226" s="388" t="b" cm="1">
        <f t="array" ref="T226">T225</f>
        <v>0</v>
      </c>
      <c r="U226" s="1194"/>
      <c r="V226" s="1214"/>
      <c r="W226" s="1194"/>
      <c r="X226" s="2032"/>
      <c r="Y226" s="2011"/>
      <c r="Z226" s="1214"/>
      <c r="AA226" s="1214"/>
      <c r="AB226" s="159" t="s">
        <v>450</v>
      </c>
      <c r="AC226" s="245" t="s">
        <v>614</v>
      </c>
      <c r="AD226" s="12" t="s">
        <v>563</v>
      </c>
      <c r="AE226" s="232">
        <f t="shared" ref="AE226:BB226" si="55">AE227+AE231+AE234+AE244</f>
        <v>0</v>
      </c>
      <c r="AF226" s="232">
        <f t="shared" si="55"/>
        <v>0</v>
      </c>
      <c r="AG226" s="232">
        <f t="shared" si="55"/>
        <v>0</v>
      </c>
      <c r="AH226" s="232">
        <f t="shared" si="55"/>
        <v>0</v>
      </c>
      <c r="AI226" s="232">
        <f t="shared" si="55"/>
        <v>0</v>
      </c>
      <c r="AJ226" s="232">
        <f t="shared" si="55"/>
        <v>0</v>
      </c>
      <c r="AK226" s="232">
        <f t="shared" si="55"/>
        <v>0</v>
      </c>
      <c r="AL226" s="232">
        <f t="shared" si="55"/>
        <v>0</v>
      </c>
      <c r="AM226" s="232">
        <f t="shared" si="55"/>
        <v>0</v>
      </c>
      <c r="AN226" s="232">
        <f t="shared" si="55"/>
        <v>0</v>
      </c>
      <c r="AO226" s="232">
        <f t="shared" si="55"/>
        <v>0</v>
      </c>
      <c r="AP226" s="232">
        <f t="shared" si="55"/>
        <v>0</v>
      </c>
      <c r="AQ226" s="232">
        <f t="shared" si="55"/>
        <v>0</v>
      </c>
      <c r="AR226" s="232">
        <f t="shared" si="55"/>
        <v>0</v>
      </c>
      <c r="AS226" s="232">
        <f t="shared" si="55"/>
        <v>0</v>
      </c>
      <c r="AT226" s="232">
        <f t="shared" si="55"/>
        <v>0</v>
      </c>
      <c r="AU226" s="232">
        <f t="shared" si="55"/>
        <v>0</v>
      </c>
      <c r="AV226" s="232">
        <f t="shared" si="55"/>
        <v>0</v>
      </c>
      <c r="AW226" s="232">
        <f t="shared" si="55"/>
        <v>0</v>
      </c>
      <c r="AX226" s="232">
        <f t="shared" si="55"/>
        <v>0</v>
      </c>
      <c r="AY226" s="232">
        <f t="shared" si="55"/>
        <v>0</v>
      </c>
      <c r="AZ226" s="232">
        <f t="shared" si="55"/>
        <v>0</v>
      </c>
      <c r="BA226" s="232">
        <f t="shared" si="55"/>
        <v>0</v>
      </c>
      <c r="BB226" s="232">
        <f t="shared" si="55"/>
        <v>0</v>
      </c>
      <c r="BC226" s="1379"/>
      <c r="BD226" s="1214"/>
      <c r="BE226" s="1214"/>
      <c r="BF226" s="924" t="s">
        <v>615</v>
      </c>
    </row>
    <row r="227" spans="1:58" s="1334" customFormat="1" ht="14.25" hidden="1" customHeight="1" x14ac:dyDescent="0.15">
      <c r="A227" s="1214"/>
      <c r="B227" s="1083"/>
      <c r="C227" s="1214"/>
      <c r="D227" s="1214"/>
      <c r="E227" s="556">
        <v>15</v>
      </c>
      <c r="F227" s="3" t="str" cm="1">
        <f t="array" aca="1" ref="F227" ca="1">OFFSET(E227,-1,1)</f>
        <v>2</v>
      </c>
      <c r="G227" s="17" t="str">
        <f>IF(OwnNeedsInPO="да","ПО","")</f>
        <v>ПО</v>
      </c>
      <c r="H227" s="17" t="s">
        <v>616</v>
      </c>
      <c r="I227" s="1214"/>
      <c r="J227" s="1214"/>
      <c r="K227" s="1214"/>
      <c r="L227" s="1214"/>
      <c r="M227" s="1214"/>
      <c r="N227" s="1214"/>
      <c r="O227" s="1214"/>
      <c r="P227" s="1194"/>
      <c r="Q227" s="1194"/>
      <c r="R227" s="1194"/>
      <c r="S227" s="1194"/>
      <c r="T227" s="388" t="b" cm="1">
        <f t="array" ref="T227">T226</f>
        <v>0</v>
      </c>
      <c r="U227" s="1194"/>
      <c r="V227" s="1214"/>
      <c r="W227" s="1194"/>
      <c r="X227" s="2032"/>
      <c r="Y227" s="2011"/>
      <c r="Z227" s="1214"/>
      <c r="AA227" s="1214"/>
      <c r="AB227" s="159" t="s">
        <v>617</v>
      </c>
      <c r="AC227" s="111" t="s">
        <v>618</v>
      </c>
      <c r="AD227" s="12" t="s">
        <v>563</v>
      </c>
      <c r="AE227" s="232">
        <f t="shared" ref="AE227:BB227" si="56">SUM(AE228:AE230)</f>
        <v>0</v>
      </c>
      <c r="AF227" s="232">
        <f t="shared" si="56"/>
        <v>0</v>
      </c>
      <c r="AG227" s="232">
        <f t="shared" si="56"/>
        <v>0</v>
      </c>
      <c r="AH227" s="232">
        <f t="shared" si="56"/>
        <v>0</v>
      </c>
      <c r="AI227" s="232">
        <f t="shared" si="56"/>
        <v>0</v>
      </c>
      <c r="AJ227" s="232">
        <f t="shared" si="56"/>
        <v>0</v>
      </c>
      <c r="AK227" s="232">
        <f t="shared" si="56"/>
        <v>0</v>
      </c>
      <c r="AL227" s="232">
        <f t="shared" si="56"/>
        <v>0</v>
      </c>
      <c r="AM227" s="232">
        <f t="shared" si="56"/>
        <v>0</v>
      </c>
      <c r="AN227" s="232">
        <f t="shared" si="56"/>
        <v>0</v>
      </c>
      <c r="AO227" s="232">
        <f t="shared" si="56"/>
        <v>0</v>
      </c>
      <c r="AP227" s="232">
        <f t="shared" si="56"/>
        <v>0</v>
      </c>
      <c r="AQ227" s="232">
        <f t="shared" si="56"/>
        <v>0</v>
      </c>
      <c r="AR227" s="232">
        <f t="shared" si="56"/>
        <v>0</v>
      </c>
      <c r="AS227" s="232">
        <f t="shared" si="56"/>
        <v>0</v>
      </c>
      <c r="AT227" s="232">
        <f t="shared" si="56"/>
        <v>0</v>
      </c>
      <c r="AU227" s="232">
        <f t="shared" si="56"/>
        <v>0</v>
      </c>
      <c r="AV227" s="232">
        <f t="shared" si="56"/>
        <v>0</v>
      </c>
      <c r="AW227" s="232">
        <f t="shared" si="56"/>
        <v>0</v>
      </c>
      <c r="AX227" s="232">
        <f t="shared" si="56"/>
        <v>0</v>
      </c>
      <c r="AY227" s="232">
        <f t="shared" si="56"/>
        <v>0</v>
      </c>
      <c r="AZ227" s="232">
        <f t="shared" si="56"/>
        <v>0</v>
      </c>
      <c r="BA227" s="232">
        <f t="shared" si="56"/>
        <v>0</v>
      </c>
      <c r="BB227" s="232">
        <f t="shared" si="56"/>
        <v>0</v>
      </c>
      <c r="BC227" s="1379"/>
      <c r="BD227" s="1214"/>
      <c r="BE227" s="1214"/>
      <c r="BF227" s="924" t="s">
        <v>619</v>
      </c>
    </row>
    <row r="228" spans="1:58" s="1334" customFormat="1" ht="14.25" hidden="1" customHeight="1" x14ac:dyDescent="0.15">
      <c r="A228" s="1214"/>
      <c r="B228" s="1083"/>
      <c r="C228" s="1214"/>
      <c r="D228" s="1214"/>
      <c r="E228" s="556">
        <v>15</v>
      </c>
      <c r="F228" s="3" t="str" cm="1">
        <f t="array" aca="1" ref="F228" ca="1">OFFSET(E228,-1,1)</f>
        <v>2</v>
      </c>
      <c r="G228" s="1214"/>
      <c r="H228" s="17" t="s">
        <v>620</v>
      </c>
      <c r="I228" s="1214"/>
      <c r="J228" s="1214"/>
      <c r="K228" s="1214"/>
      <c r="L228" s="1214"/>
      <c r="M228" s="1214"/>
      <c r="N228" s="1214"/>
      <c r="O228" s="1214"/>
      <c r="P228" s="1194"/>
      <c r="Q228" s="1194"/>
      <c r="R228" s="1194"/>
      <c r="S228" s="1194"/>
      <c r="T228" s="388" t="b" cm="1">
        <f t="array" ref="T228">T227</f>
        <v>0</v>
      </c>
      <c r="U228" s="1194"/>
      <c r="V228" s="1214"/>
      <c r="W228" s="1194"/>
      <c r="X228" s="2032"/>
      <c r="Y228" s="2011"/>
      <c r="Z228" s="1214"/>
      <c r="AA228" s="1214"/>
      <c r="AB228" s="159" t="s">
        <v>621</v>
      </c>
      <c r="AC228" s="248" t="s">
        <v>622</v>
      </c>
      <c r="AD228" s="12" t="s">
        <v>563</v>
      </c>
      <c r="AE228" s="1377"/>
      <c r="AF228" s="1377"/>
      <c r="AG228" s="1377"/>
      <c r="AH228" s="1377"/>
      <c r="AI228" s="197"/>
      <c r="AJ228" s="1377"/>
      <c r="AK228" s="1377"/>
      <c r="AL228" s="1377"/>
      <c r="AM228" s="1377"/>
      <c r="AN228" s="1377"/>
      <c r="AO228" s="1377"/>
      <c r="AP228" s="1377"/>
      <c r="AQ228" s="1377"/>
      <c r="AR228" s="1377"/>
      <c r="AS228" s="197"/>
      <c r="AT228" s="1377"/>
      <c r="AU228" s="1377"/>
      <c r="AV228" s="1377"/>
      <c r="AW228" s="1377"/>
      <c r="AX228" s="1377"/>
      <c r="AY228" s="1377"/>
      <c r="AZ228" s="1377"/>
      <c r="BA228" s="1377"/>
      <c r="BB228" s="1377"/>
      <c r="BC228" s="1379"/>
      <c r="BD228" s="1214"/>
      <c r="BE228" s="1214"/>
      <c r="BF228" s="924" t="s">
        <v>623</v>
      </c>
    </row>
    <row r="229" spans="1:58" s="1334" customFormat="1" ht="14.25" hidden="1" customHeight="1" x14ac:dyDescent="0.15">
      <c r="A229" s="1214"/>
      <c r="B229" s="1083"/>
      <c r="C229" s="1214"/>
      <c r="D229" s="1214"/>
      <c r="E229" s="556">
        <v>15</v>
      </c>
      <c r="F229" s="3" t="str" cm="1">
        <f t="array" aca="1" ref="F229" ca="1">OFFSET(E229,-1,1)</f>
        <v>2</v>
      </c>
      <c r="G229" s="1214"/>
      <c r="H229" s="17" t="s">
        <v>624</v>
      </c>
      <c r="I229" s="1214"/>
      <c r="J229" s="1214"/>
      <c r="K229" s="1214"/>
      <c r="L229" s="1214"/>
      <c r="M229" s="1214"/>
      <c r="N229" s="1214"/>
      <c r="O229" s="1214"/>
      <c r="P229" s="1194"/>
      <c r="Q229" s="1194"/>
      <c r="R229" s="1194"/>
      <c r="S229" s="1194"/>
      <c r="T229" s="388" t="b" cm="1">
        <f t="array" ref="T229">T228</f>
        <v>0</v>
      </c>
      <c r="U229" s="1194"/>
      <c r="V229" s="1214"/>
      <c r="W229" s="1194"/>
      <c r="X229" s="2032"/>
      <c r="Y229" s="2011"/>
      <c r="Z229" s="1214"/>
      <c r="AA229" s="1214"/>
      <c r="AB229" s="159" t="s">
        <v>625</v>
      </c>
      <c r="AC229" s="248" t="s">
        <v>626</v>
      </c>
      <c r="AD229" s="12" t="s">
        <v>563</v>
      </c>
      <c r="AE229" s="1377"/>
      <c r="AF229" s="1377"/>
      <c r="AG229" s="1377"/>
      <c r="AH229" s="1377"/>
      <c r="AI229" s="197"/>
      <c r="AJ229" s="1377"/>
      <c r="AK229" s="1377"/>
      <c r="AL229" s="1377"/>
      <c r="AM229" s="1377"/>
      <c r="AN229" s="1377"/>
      <c r="AO229" s="1377"/>
      <c r="AP229" s="1377"/>
      <c r="AQ229" s="1377"/>
      <c r="AR229" s="1377"/>
      <c r="AS229" s="197"/>
      <c r="AT229" s="1377"/>
      <c r="AU229" s="1377"/>
      <c r="AV229" s="1377"/>
      <c r="AW229" s="1377"/>
      <c r="AX229" s="1377"/>
      <c r="AY229" s="1377"/>
      <c r="AZ229" s="1377"/>
      <c r="BA229" s="1377"/>
      <c r="BB229" s="1377"/>
      <c r="BC229" s="1379"/>
      <c r="BD229" s="1214"/>
      <c r="BE229" s="1214"/>
      <c r="BF229" s="924" t="s">
        <v>627</v>
      </c>
    </row>
    <row r="230" spans="1:58" s="1334" customFormat="1" ht="14.25" hidden="1" customHeight="1" x14ac:dyDescent="0.15">
      <c r="A230" s="1214"/>
      <c r="B230" s="1083"/>
      <c r="C230" s="1214"/>
      <c r="D230" s="1214"/>
      <c r="E230" s="556">
        <v>15</v>
      </c>
      <c r="F230" s="3" t="str" cm="1">
        <f t="array" aca="1" ref="F230" ca="1">OFFSET(E230,-1,1)</f>
        <v>2</v>
      </c>
      <c r="G230" s="1214"/>
      <c r="H230" s="17" t="s">
        <v>628</v>
      </c>
      <c r="I230" s="1214"/>
      <c r="J230" s="1214"/>
      <c r="K230" s="1214"/>
      <c r="L230" s="1214"/>
      <c r="M230" s="1214"/>
      <c r="N230" s="1214"/>
      <c r="O230" s="1214"/>
      <c r="P230" s="1194"/>
      <c r="Q230" s="1194"/>
      <c r="R230" s="1194"/>
      <c r="S230" s="1194"/>
      <c r="T230" s="388" t="b" cm="1">
        <f t="array" ref="T230">T229</f>
        <v>0</v>
      </c>
      <c r="U230" s="1194"/>
      <c r="V230" s="1214"/>
      <c r="W230" s="1194"/>
      <c r="X230" s="2032"/>
      <c r="Y230" s="2011"/>
      <c r="Z230" s="1214"/>
      <c r="AA230" s="1214"/>
      <c r="AB230" s="159" t="s">
        <v>629</v>
      </c>
      <c r="AC230" s="248" t="s">
        <v>630</v>
      </c>
      <c r="AD230" s="12" t="s">
        <v>563</v>
      </c>
      <c r="AE230" s="1377"/>
      <c r="AF230" s="1377"/>
      <c r="AG230" s="1377"/>
      <c r="AH230" s="1377"/>
      <c r="AI230" s="197"/>
      <c r="AJ230" s="1377"/>
      <c r="AK230" s="1377"/>
      <c r="AL230" s="1377"/>
      <c r="AM230" s="1377"/>
      <c r="AN230" s="1377"/>
      <c r="AO230" s="1377"/>
      <c r="AP230" s="1377"/>
      <c r="AQ230" s="1377"/>
      <c r="AR230" s="1377"/>
      <c r="AS230" s="197"/>
      <c r="AT230" s="1377"/>
      <c r="AU230" s="1377"/>
      <c r="AV230" s="1377"/>
      <c r="AW230" s="1377"/>
      <c r="AX230" s="1377"/>
      <c r="AY230" s="1377"/>
      <c r="AZ230" s="1377"/>
      <c r="BA230" s="1377"/>
      <c r="BB230" s="1377"/>
      <c r="BC230" s="1379"/>
      <c r="BD230" s="1214"/>
      <c r="BE230" s="1214"/>
      <c r="BF230" s="924" t="s">
        <v>631</v>
      </c>
    </row>
    <row r="231" spans="1:58" s="1334" customFormat="1" ht="14.25" hidden="1" customHeight="1" x14ac:dyDescent="0.15">
      <c r="A231" s="1214"/>
      <c r="B231" s="1083"/>
      <c r="C231" s="1214"/>
      <c r="D231" s="1214"/>
      <c r="E231" s="556">
        <v>15</v>
      </c>
      <c r="F231" s="3" t="str" cm="1">
        <f t="array" aca="1" ref="F231" ca="1">OFFSET(E231,-1,1)</f>
        <v>2</v>
      </c>
      <c r="G231" s="17" t="s">
        <v>632</v>
      </c>
      <c r="H231" s="17" t="s">
        <v>633</v>
      </c>
      <c r="I231" s="1214"/>
      <c r="J231" s="1214"/>
      <c r="K231" s="1214"/>
      <c r="L231" s="1214"/>
      <c r="M231" s="1214"/>
      <c r="N231" s="1214"/>
      <c r="O231" s="1214"/>
      <c r="P231" s="1194"/>
      <c r="Q231" s="1194"/>
      <c r="R231" s="1194"/>
      <c r="S231" s="1194"/>
      <c r="T231" s="388" t="b" cm="1">
        <f t="array" ref="T231">T230</f>
        <v>0</v>
      </c>
      <c r="U231" s="1194"/>
      <c r="V231" s="1214"/>
      <c r="W231" s="1194"/>
      <c r="X231" s="2032"/>
      <c r="Y231" s="2011"/>
      <c r="Z231" s="1214"/>
      <c r="AA231" s="1214"/>
      <c r="AB231" s="159" t="s">
        <v>634</v>
      </c>
      <c r="AC231" s="111" t="s">
        <v>635</v>
      </c>
      <c r="AD231" s="12" t="s">
        <v>563</v>
      </c>
      <c r="AE231" s="232">
        <f t="shared" ref="AE231:BB231" si="57">SUM(AE232:AE233)</f>
        <v>0</v>
      </c>
      <c r="AF231" s="232">
        <f t="shared" si="57"/>
        <v>0</v>
      </c>
      <c r="AG231" s="232">
        <f t="shared" si="57"/>
        <v>0</v>
      </c>
      <c r="AH231" s="232">
        <f t="shared" si="57"/>
        <v>0</v>
      </c>
      <c r="AI231" s="232">
        <f t="shared" si="57"/>
        <v>0</v>
      </c>
      <c r="AJ231" s="232">
        <f t="shared" si="57"/>
        <v>0</v>
      </c>
      <c r="AK231" s="232">
        <f t="shared" si="57"/>
        <v>0</v>
      </c>
      <c r="AL231" s="232">
        <f t="shared" si="57"/>
        <v>0</v>
      </c>
      <c r="AM231" s="232">
        <f t="shared" si="57"/>
        <v>0</v>
      </c>
      <c r="AN231" s="232">
        <f t="shared" si="57"/>
        <v>0</v>
      </c>
      <c r="AO231" s="232">
        <f t="shared" si="57"/>
        <v>0</v>
      </c>
      <c r="AP231" s="232">
        <f t="shared" si="57"/>
        <v>0</v>
      </c>
      <c r="AQ231" s="232">
        <f t="shared" si="57"/>
        <v>0</v>
      </c>
      <c r="AR231" s="232">
        <f t="shared" si="57"/>
        <v>0</v>
      </c>
      <c r="AS231" s="232">
        <f t="shared" si="57"/>
        <v>0</v>
      </c>
      <c r="AT231" s="232">
        <f t="shared" si="57"/>
        <v>0</v>
      </c>
      <c r="AU231" s="232">
        <f t="shared" si="57"/>
        <v>0</v>
      </c>
      <c r="AV231" s="232">
        <f t="shared" si="57"/>
        <v>0</v>
      </c>
      <c r="AW231" s="232">
        <f t="shared" si="57"/>
        <v>0</v>
      </c>
      <c r="AX231" s="232">
        <f t="shared" si="57"/>
        <v>0</v>
      </c>
      <c r="AY231" s="232">
        <f t="shared" si="57"/>
        <v>0</v>
      </c>
      <c r="AZ231" s="232">
        <f t="shared" si="57"/>
        <v>0</v>
      </c>
      <c r="BA231" s="232">
        <f t="shared" si="57"/>
        <v>0</v>
      </c>
      <c r="BB231" s="232">
        <f t="shared" si="57"/>
        <v>0</v>
      </c>
      <c r="BC231" s="1379"/>
      <c r="BD231" s="1214"/>
      <c r="BE231" s="1214"/>
      <c r="BF231" s="924" t="s">
        <v>636</v>
      </c>
    </row>
    <row r="232" spans="1:58" s="1334" customFormat="1" ht="14.25" hidden="1" customHeight="1" x14ac:dyDescent="0.15">
      <c r="A232" s="1214"/>
      <c r="B232" s="1083"/>
      <c r="C232" s="1214"/>
      <c r="D232" s="1214"/>
      <c r="E232" s="556">
        <v>15</v>
      </c>
      <c r="F232" s="3" t="str" cm="1">
        <f t="array" aca="1" ref="F232" ca="1">OFFSET(E232,-1,1)</f>
        <v>2</v>
      </c>
      <c r="G232" s="1214"/>
      <c r="H232" s="17" t="s">
        <v>637</v>
      </c>
      <c r="I232" s="1214"/>
      <c r="J232" s="1214"/>
      <c r="K232" s="1214"/>
      <c r="L232" s="1214"/>
      <c r="M232" s="1214"/>
      <c r="N232" s="1214"/>
      <c r="O232" s="1214"/>
      <c r="P232" s="1194"/>
      <c r="Q232" s="1194"/>
      <c r="R232" s="1194"/>
      <c r="S232" s="1194"/>
      <c r="T232" s="388" t="b" cm="1">
        <f t="array" ref="T232">T231</f>
        <v>0</v>
      </c>
      <c r="U232" s="1194"/>
      <c r="V232" s="1214"/>
      <c r="W232" s="1194"/>
      <c r="X232" s="2032"/>
      <c r="Y232" s="2011"/>
      <c r="Z232" s="1214"/>
      <c r="AA232" s="1214"/>
      <c r="AB232" s="159" t="s">
        <v>638</v>
      </c>
      <c r="AC232" s="248" t="s">
        <v>639</v>
      </c>
      <c r="AD232" s="12" t="s">
        <v>563</v>
      </c>
      <c r="AE232" s="1377"/>
      <c r="AF232" s="1377"/>
      <c r="AG232" s="1377"/>
      <c r="AH232" s="1377"/>
      <c r="AI232" s="197"/>
      <c r="AJ232" s="1377"/>
      <c r="AK232" s="1377"/>
      <c r="AL232" s="1377"/>
      <c r="AM232" s="1377"/>
      <c r="AN232" s="1377"/>
      <c r="AO232" s="1377"/>
      <c r="AP232" s="1377"/>
      <c r="AQ232" s="1377"/>
      <c r="AR232" s="1377"/>
      <c r="AS232" s="197"/>
      <c r="AT232" s="1377"/>
      <c r="AU232" s="1377"/>
      <c r="AV232" s="1377"/>
      <c r="AW232" s="1377"/>
      <c r="AX232" s="1377"/>
      <c r="AY232" s="1377"/>
      <c r="AZ232" s="1377"/>
      <c r="BA232" s="1377"/>
      <c r="BB232" s="1377"/>
      <c r="BC232" s="1379"/>
      <c r="BD232" s="1214"/>
      <c r="BE232" s="1214"/>
      <c r="BF232" s="924" t="s">
        <v>640</v>
      </c>
    </row>
    <row r="233" spans="1:58" s="1334" customFormat="1" ht="14.25" hidden="1" customHeight="1" x14ac:dyDescent="0.15">
      <c r="A233" s="1214"/>
      <c r="B233" s="1083"/>
      <c r="C233" s="1214"/>
      <c r="D233" s="1214"/>
      <c r="E233" s="556">
        <v>15</v>
      </c>
      <c r="F233" s="3" t="str" cm="1">
        <f t="array" aca="1" ref="F233" ca="1">OFFSET(E233,-1,1)</f>
        <v>2</v>
      </c>
      <c r="G233" s="1214"/>
      <c r="H233" s="17" t="s">
        <v>641</v>
      </c>
      <c r="I233" s="1214"/>
      <c r="J233" s="1214"/>
      <c r="K233" s="1214"/>
      <c r="L233" s="1214"/>
      <c r="M233" s="1214"/>
      <c r="N233" s="1214"/>
      <c r="O233" s="1214"/>
      <c r="P233" s="1194"/>
      <c r="Q233" s="1194"/>
      <c r="R233" s="1194"/>
      <c r="S233" s="1194"/>
      <c r="T233" s="388" t="b" cm="1">
        <f t="array" ref="T233">T232</f>
        <v>0</v>
      </c>
      <c r="U233" s="1194"/>
      <c r="V233" s="1214"/>
      <c r="W233" s="1194"/>
      <c r="X233" s="2032"/>
      <c r="Y233" s="2011"/>
      <c r="Z233" s="1214"/>
      <c r="AA233" s="1214"/>
      <c r="AB233" s="159" t="s">
        <v>642</v>
      </c>
      <c r="AC233" s="248" t="s">
        <v>643</v>
      </c>
      <c r="AD233" s="12" t="s">
        <v>563</v>
      </c>
      <c r="AE233" s="1377"/>
      <c r="AF233" s="1377"/>
      <c r="AG233" s="1377"/>
      <c r="AH233" s="1377"/>
      <c r="AI233" s="197"/>
      <c r="AJ233" s="1377"/>
      <c r="AK233" s="1377"/>
      <c r="AL233" s="1377"/>
      <c r="AM233" s="1377"/>
      <c r="AN233" s="1377"/>
      <c r="AO233" s="1377"/>
      <c r="AP233" s="1377"/>
      <c r="AQ233" s="1377"/>
      <c r="AR233" s="1377"/>
      <c r="AS233" s="197"/>
      <c r="AT233" s="1377"/>
      <c r="AU233" s="1377"/>
      <c r="AV233" s="1377"/>
      <c r="AW233" s="1377"/>
      <c r="AX233" s="1377"/>
      <c r="AY233" s="1377"/>
      <c r="AZ233" s="1377"/>
      <c r="BA233" s="1377"/>
      <c r="BB233" s="1377"/>
      <c r="BC233" s="1379"/>
      <c r="BD233" s="1214"/>
      <c r="BE233" s="1214"/>
      <c r="BF233" s="924" t="s">
        <v>644</v>
      </c>
    </row>
    <row r="234" spans="1:58" s="1334" customFormat="1" ht="14.25" hidden="1" customHeight="1" x14ac:dyDescent="0.15">
      <c r="A234" s="1214"/>
      <c r="B234" s="1083"/>
      <c r="C234" s="1214"/>
      <c r="D234" s="1214"/>
      <c r="E234" s="556">
        <v>15</v>
      </c>
      <c r="F234" s="3" t="str" cm="1">
        <f t="array" aca="1" ref="F234" ca="1">OFFSET(E234,-1,1)</f>
        <v>2</v>
      </c>
      <c r="G234" s="17" t="s">
        <v>632</v>
      </c>
      <c r="H234" s="17" t="s">
        <v>645</v>
      </c>
      <c r="I234" s="1214"/>
      <c r="J234" s="1214"/>
      <c r="K234" s="1214"/>
      <c r="L234" s="1214"/>
      <c r="M234" s="1214"/>
      <c r="N234" s="1214"/>
      <c r="O234" s="1214"/>
      <c r="P234" s="1194"/>
      <c r="Q234" s="1194"/>
      <c r="R234" s="1194"/>
      <c r="S234" s="1194"/>
      <c r="T234" s="388" t="b" cm="1">
        <f t="array" ref="T234">T233</f>
        <v>0</v>
      </c>
      <c r="U234" s="1194"/>
      <c r="V234" s="1214"/>
      <c r="W234" s="1194"/>
      <c r="X234" s="2032"/>
      <c r="Y234" s="2011"/>
      <c r="Z234" s="1214"/>
      <c r="AA234" s="1214"/>
      <c r="AB234" s="159" t="s">
        <v>646</v>
      </c>
      <c r="AC234" s="111" t="s">
        <v>647</v>
      </c>
      <c r="AD234" s="12" t="s">
        <v>563</v>
      </c>
      <c r="AE234" s="232">
        <f t="shared" ref="AE234:BB234" si="58">AE235+AE238+AE241</f>
        <v>0</v>
      </c>
      <c r="AF234" s="232">
        <f t="shared" si="58"/>
        <v>0</v>
      </c>
      <c r="AG234" s="232">
        <f t="shared" si="58"/>
        <v>0</v>
      </c>
      <c r="AH234" s="232">
        <f t="shared" si="58"/>
        <v>0</v>
      </c>
      <c r="AI234" s="232">
        <f t="shared" si="58"/>
        <v>0</v>
      </c>
      <c r="AJ234" s="232">
        <f t="shared" si="58"/>
        <v>0</v>
      </c>
      <c r="AK234" s="232">
        <f t="shared" si="58"/>
        <v>0</v>
      </c>
      <c r="AL234" s="232">
        <f t="shared" si="58"/>
        <v>0</v>
      </c>
      <c r="AM234" s="232">
        <f t="shared" si="58"/>
        <v>0</v>
      </c>
      <c r="AN234" s="232">
        <f t="shared" si="58"/>
        <v>0</v>
      </c>
      <c r="AO234" s="232">
        <f t="shared" si="58"/>
        <v>0</v>
      </c>
      <c r="AP234" s="232">
        <f t="shared" si="58"/>
        <v>0</v>
      </c>
      <c r="AQ234" s="232">
        <f t="shared" si="58"/>
        <v>0</v>
      </c>
      <c r="AR234" s="232">
        <f t="shared" si="58"/>
        <v>0</v>
      </c>
      <c r="AS234" s="232">
        <f t="shared" si="58"/>
        <v>0</v>
      </c>
      <c r="AT234" s="232">
        <f t="shared" si="58"/>
        <v>0</v>
      </c>
      <c r="AU234" s="232">
        <f t="shared" si="58"/>
        <v>0</v>
      </c>
      <c r="AV234" s="232">
        <f t="shared" si="58"/>
        <v>0</v>
      </c>
      <c r="AW234" s="232">
        <f t="shared" si="58"/>
        <v>0</v>
      </c>
      <c r="AX234" s="232">
        <f t="shared" si="58"/>
        <v>0</v>
      </c>
      <c r="AY234" s="232">
        <f t="shared" si="58"/>
        <v>0</v>
      </c>
      <c r="AZ234" s="232">
        <f t="shared" si="58"/>
        <v>0</v>
      </c>
      <c r="BA234" s="232">
        <f t="shared" si="58"/>
        <v>0</v>
      </c>
      <c r="BB234" s="232">
        <f t="shared" si="58"/>
        <v>0</v>
      </c>
      <c r="BC234" s="1379"/>
      <c r="BD234" s="1214"/>
      <c r="BE234" s="1214"/>
      <c r="BF234" s="924" t="s">
        <v>648</v>
      </c>
    </row>
    <row r="235" spans="1:58" s="1334" customFormat="1" ht="14.25" hidden="1" customHeight="1" x14ac:dyDescent="0.15">
      <c r="A235" s="1214"/>
      <c r="B235" s="1083"/>
      <c r="C235" s="1214"/>
      <c r="D235" s="1214"/>
      <c r="E235" s="556">
        <v>15</v>
      </c>
      <c r="F235" s="3" t="str" cm="1">
        <f t="array" aca="1" ref="F235" ca="1">OFFSET(E235,-1,1)</f>
        <v>2</v>
      </c>
      <c r="G235" s="1214"/>
      <c r="H235" s="17" t="s">
        <v>649</v>
      </c>
      <c r="I235" s="1214"/>
      <c r="J235" s="1214"/>
      <c r="K235" s="1214"/>
      <c r="L235" s="1214"/>
      <c r="M235" s="1214"/>
      <c r="N235" s="1214"/>
      <c r="O235" s="1214"/>
      <c r="P235" s="1194"/>
      <c r="Q235" s="1194"/>
      <c r="R235" s="1194"/>
      <c r="S235" s="1194"/>
      <c r="T235" s="388" t="b" cm="1">
        <f t="array" ref="T235">T234</f>
        <v>0</v>
      </c>
      <c r="U235" s="1194"/>
      <c r="V235" s="1214"/>
      <c r="W235" s="1194"/>
      <c r="X235" s="2032"/>
      <c r="Y235" s="2011"/>
      <c r="Z235" s="1214"/>
      <c r="AA235" s="1214"/>
      <c r="AB235" s="159" t="s">
        <v>650</v>
      </c>
      <c r="AC235" s="248" t="s">
        <v>651</v>
      </c>
      <c r="AD235" s="12" t="s">
        <v>563</v>
      </c>
      <c r="AE235" s="232">
        <f t="shared" ref="AE235:BB235" si="59">SUM(AE236:AE237)</f>
        <v>0</v>
      </c>
      <c r="AF235" s="232">
        <f t="shared" si="59"/>
        <v>0</v>
      </c>
      <c r="AG235" s="232">
        <f t="shared" si="59"/>
        <v>0</v>
      </c>
      <c r="AH235" s="232">
        <f t="shared" si="59"/>
        <v>0</v>
      </c>
      <c r="AI235" s="232">
        <f t="shared" si="59"/>
        <v>0</v>
      </c>
      <c r="AJ235" s="232">
        <f t="shared" si="59"/>
        <v>0</v>
      </c>
      <c r="AK235" s="232">
        <f t="shared" si="59"/>
        <v>0</v>
      </c>
      <c r="AL235" s="232">
        <f t="shared" si="59"/>
        <v>0</v>
      </c>
      <c r="AM235" s="232">
        <f t="shared" si="59"/>
        <v>0</v>
      </c>
      <c r="AN235" s="232">
        <f t="shared" si="59"/>
        <v>0</v>
      </c>
      <c r="AO235" s="232">
        <f t="shared" si="59"/>
        <v>0</v>
      </c>
      <c r="AP235" s="232">
        <f t="shared" si="59"/>
        <v>0</v>
      </c>
      <c r="AQ235" s="232">
        <f t="shared" si="59"/>
        <v>0</v>
      </c>
      <c r="AR235" s="232">
        <f t="shared" si="59"/>
        <v>0</v>
      </c>
      <c r="AS235" s="232">
        <f t="shared" si="59"/>
        <v>0</v>
      </c>
      <c r="AT235" s="232">
        <f t="shared" si="59"/>
        <v>0</v>
      </c>
      <c r="AU235" s="232">
        <f t="shared" si="59"/>
        <v>0</v>
      </c>
      <c r="AV235" s="232">
        <f t="shared" si="59"/>
        <v>0</v>
      </c>
      <c r="AW235" s="232">
        <f t="shared" si="59"/>
        <v>0</v>
      </c>
      <c r="AX235" s="232">
        <f t="shared" si="59"/>
        <v>0</v>
      </c>
      <c r="AY235" s="232">
        <f t="shared" si="59"/>
        <v>0</v>
      </c>
      <c r="AZ235" s="232">
        <f t="shared" si="59"/>
        <v>0</v>
      </c>
      <c r="BA235" s="232">
        <f t="shared" si="59"/>
        <v>0</v>
      </c>
      <c r="BB235" s="232">
        <f t="shared" si="59"/>
        <v>0</v>
      </c>
      <c r="BC235" s="1379"/>
      <c r="BD235" s="1214"/>
      <c r="BE235" s="1214"/>
      <c r="BF235" s="924" t="s">
        <v>652</v>
      </c>
    </row>
    <row r="236" spans="1:58" s="1334" customFormat="1" ht="14.25" hidden="1" customHeight="1" x14ac:dyDescent="0.15">
      <c r="A236" s="1214"/>
      <c r="B236" s="1083"/>
      <c r="C236" s="1214"/>
      <c r="D236" s="1214"/>
      <c r="E236" s="556">
        <v>15</v>
      </c>
      <c r="F236" s="3" t="str" cm="1">
        <f t="array" aca="1" ref="F236" ca="1">OFFSET(E236,-1,1)</f>
        <v>2</v>
      </c>
      <c r="G236" s="1214"/>
      <c r="H236" s="17" t="s">
        <v>653</v>
      </c>
      <c r="I236" s="1214"/>
      <c r="J236" s="1214"/>
      <c r="K236" s="1214"/>
      <c r="L236" s="1214"/>
      <c r="M236" s="1214"/>
      <c r="N236" s="1214"/>
      <c r="O236" s="1214"/>
      <c r="P236" s="1194"/>
      <c r="Q236" s="1194"/>
      <c r="R236" s="1194"/>
      <c r="S236" s="1194"/>
      <c r="T236" s="388" t="b" cm="1">
        <f t="array" ref="T236">T235</f>
        <v>0</v>
      </c>
      <c r="U236" s="1194"/>
      <c r="V236" s="1214"/>
      <c r="W236" s="1194"/>
      <c r="X236" s="2032"/>
      <c r="Y236" s="2011"/>
      <c r="Z236" s="1214"/>
      <c r="AA236" s="1214"/>
      <c r="AB236" s="159" t="s">
        <v>654</v>
      </c>
      <c r="AC236" s="249" t="s">
        <v>639</v>
      </c>
      <c r="AD236" s="12" t="s">
        <v>563</v>
      </c>
      <c r="AE236" s="1377"/>
      <c r="AF236" s="1377"/>
      <c r="AG236" s="1377"/>
      <c r="AH236" s="1377"/>
      <c r="AI236" s="197"/>
      <c r="AJ236" s="1377"/>
      <c r="AK236" s="1377"/>
      <c r="AL236" s="1377"/>
      <c r="AM236" s="1377"/>
      <c r="AN236" s="1377"/>
      <c r="AO236" s="1377"/>
      <c r="AP236" s="1377"/>
      <c r="AQ236" s="1377"/>
      <c r="AR236" s="1377"/>
      <c r="AS236" s="197"/>
      <c r="AT236" s="1377"/>
      <c r="AU236" s="1377"/>
      <c r="AV236" s="1377"/>
      <c r="AW236" s="1377"/>
      <c r="AX236" s="1377"/>
      <c r="AY236" s="1377"/>
      <c r="AZ236" s="1377"/>
      <c r="BA236" s="1377"/>
      <c r="BB236" s="1377"/>
      <c r="BC236" s="1379"/>
      <c r="BD236" s="1214"/>
      <c r="BE236" s="1214"/>
      <c r="BF236" s="924" t="s">
        <v>655</v>
      </c>
    </row>
    <row r="237" spans="1:58" s="1334" customFormat="1" ht="14.25" hidden="1" customHeight="1" x14ac:dyDescent="0.15">
      <c r="A237" s="1214"/>
      <c r="B237" s="1083"/>
      <c r="C237" s="1214"/>
      <c r="D237" s="1214"/>
      <c r="E237" s="556">
        <v>15</v>
      </c>
      <c r="F237" s="3" t="str" cm="1">
        <f t="array" aca="1" ref="F237" ca="1">OFFSET(E237,-1,1)</f>
        <v>2</v>
      </c>
      <c r="G237" s="1214"/>
      <c r="H237" s="17" t="s">
        <v>656</v>
      </c>
      <c r="I237" s="1214"/>
      <c r="J237" s="1214"/>
      <c r="K237" s="1214"/>
      <c r="L237" s="1214"/>
      <c r="M237" s="1214"/>
      <c r="N237" s="1214"/>
      <c r="O237" s="1214"/>
      <c r="P237" s="1194"/>
      <c r="Q237" s="1194"/>
      <c r="R237" s="1194"/>
      <c r="S237" s="1194"/>
      <c r="T237" s="388" t="b" cm="1">
        <f t="array" ref="T237">T236</f>
        <v>0</v>
      </c>
      <c r="U237" s="1194"/>
      <c r="V237" s="1214"/>
      <c r="W237" s="1194"/>
      <c r="X237" s="2032"/>
      <c r="Y237" s="2011"/>
      <c r="Z237" s="1214"/>
      <c r="AA237" s="1214"/>
      <c r="AB237" s="159" t="s">
        <v>657</v>
      </c>
      <c r="AC237" s="249" t="s">
        <v>643</v>
      </c>
      <c r="AD237" s="12" t="s">
        <v>563</v>
      </c>
      <c r="AE237" s="1377"/>
      <c r="AF237" s="1377"/>
      <c r="AG237" s="1377"/>
      <c r="AH237" s="1377"/>
      <c r="AI237" s="197"/>
      <c r="AJ237" s="1377"/>
      <c r="AK237" s="1377"/>
      <c r="AL237" s="1377"/>
      <c r="AM237" s="1377"/>
      <c r="AN237" s="1377"/>
      <c r="AO237" s="1377"/>
      <c r="AP237" s="1377"/>
      <c r="AQ237" s="1377"/>
      <c r="AR237" s="1377"/>
      <c r="AS237" s="197"/>
      <c r="AT237" s="1377"/>
      <c r="AU237" s="1377"/>
      <c r="AV237" s="1377"/>
      <c r="AW237" s="1377"/>
      <c r="AX237" s="1377"/>
      <c r="AY237" s="1377"/>
      <c r="AZ237" s="1377"/>
      <c r="BA237" s="1377"/>
      <c r="BB237" s="1377"/>
      <c r="BC237" s="1379"/>
      <c r="BD237" s="1214"/>
      <c r="BE237" s="1214"/>
      <c r="BF237" s="924" t="s">
        <v>658</v>
      </c>
    </row>
    <row r="238" spans="1:58" s="1334" customFormat="1" ht="14.25" hidden="1" customHeight="1" x14ac:dyDescent="0.15">
      <c r="A238" s="1214"/>
      <c r="B238" s="1083"/>
      <c r="C238" s="1214"/>
      <c r="D238" s="1214"/>
      <c r="E238" s="556">
        <v>15</v>
      </c>
      <c r="F238" s="3" t="str" cm="1">
        <f t="array" aca="1" ref="F238" ca="1">OFFSET(E238,-1,1)</f>
        <v>2</v>
      </c>
      <c r="G238" s="17" t="s">
        <v>659</v>
      </c>
      <c r="H238" s="17" t="s">
        <v>660</v>
      </c>
      <c r="I238" s="1214"/>
      <c r="J238" s="1214"/>
      <c r="K238" s="1214"/>
      <c r="L238" s="1214"/>
      <c r="M238" s="1214"/>
      <c r="N238" s="1214"/>
      <c r="O238" s="1214"/>
      <c r="P238" s="1194"/>
      <c r="Q238" s="1194"/>
      <c r="R238" s="1194"/>
      <c r="S238" s="1194"/>
      <c r="T238" s="388" t="b" cm="1">
        <f t="array" ref="T238">T237</f>
        <v>0</v>
      </c>
      <c r="U238" s="1194"/>
      <c r="V238" s="1214"/>
      <c r="W238" s="1194"/>
      <c r="X238" s="2032"/>
      <c r="Y238" s="2011"/>
      <c r="Z238" s="1214"/>
      <c r="AA238" s="1214"/>
      <c r="AB238" s="159" t="s">
        <v>661</v>
      </c>
      <c r="AC238" s="248" t="s">
        <v>662</v>
      </c>
      <c r="AD238" s="12" t="s">
        <v>563</v>
      </c>
      <c r="AE238" s="232">
        <f t="shared" ref="AE238:BB238" si="60">SUM(AE239:AE240)</f>
        <v>0</v>
      </c>
      <c r="AF238" s="232">
        <f t="shared" si="60"/>
        <v>0</v>
      </c>
      <c r="AG238" s="232">
        <f t="shared" si="60"/>
        <v>0</v>
      </c>
      <c r="AH238" s="232">
        <f t="shared" si="60"/>
        <v>0</v>
      </c>
      <c r="AI238" s="232">
        <f t="shared" si="60"/>
        <v>0</v>
      </c>
      <c r="AJ238" s="232">
        <f t="shared" si="60"/>
        <v>0</v>
      </c>
      <c r="AK238" s="232">
        <f t="shared" si="60"/>
        <v>0</v>
      </c>
      <c r="AL238" s="232">
        <f t="shared" si="60"/>
        <v>0</v>
      </c>
      <c r="AM238" s="232">
        <f t="shared" si="60"/>
        <v>0</v>
      </c>
      <c r="AN238" s="232">
        <f t="shared" si="60"/>
        <v>0</v>
      </c>
      <c r="AO238" s="232">
        <f t="shared" si="60"/>
        <v>0</v>
      </c>
      <c r="AP238" s="232">
        <f t="shared" si="60"/>
        <v>0</v>
      </c>
      <c r="AQ238" s="232">
        <f t="shared" si="60"/>
        <v>0</v>
      </c>
      <c r="AR238" s="232">
        <f t="shared" si="60"/>
        <v>0</v>
      </c>
      <c r="AS238" s="232">
        <f t="shared" si="60"/>
        <v>0</v>
      </c>
      <c r="AT238" s="232">
        <f t="shared" si="60"/>
        <v>0</v>
      </c>
      <c r="AU238" s="232">
        <f t="shared" si="60"/>
        <v>0</v>
      </c>
      <c r="AV238" s="232">
        <f t="shared" si="60"/>
        <v>0</v>
      </c>
      <c r="AW238" s="232">
        <f t="shared" si="60"/>
        <v>0</v>
      </c>
      <c r="AX238" s="232">
        <f t="shared" si="60"/>
        <v>0</v>
      </c>
      <c r="AY238" s="232">
        <f t="shared" si="60"/>
        <v>0</v>
      </c>
      <c r="AZ238" s="232">
        <f t="shared" si="60"/>
        <v>0</v>
      </c>
      <c r="BA238" s="232">
        <f t="shared" si="60"/>
        <v>0</v>
      </c>
      <c r="BB238" s="232">
        <f t="shared" si="60"/>
        <v>0</v>
      </c>
      <c r="BC238" s="1379"/>
      <c r="BD238" s="1214"/>
      <c r="BE238" s="1214"/>
      <c r="BF238" s="924" t="s">
        <v>663</v>
      </c>
    </row>
    <row r="239" spans="1:58" s="1334" customFormat="1" ht="14.25" hidden="1" customHeight="1" x14ac:dyDescent="0.15">
      <c r="A239" s="1214"/>
      <c r="B239" s="1083"/>
      <c r="C239" s="1214"/>
      <c r="D239" s="1214"/>
      <c r="E239" s="556">
        <v>15</v>
      </c>
      <c r="F239" s="3" t="str" cm="1">
        <f t="array" aca="1" ref="F239" ca="1">OFFSET(E239,-1,1)</f>
        <v>2</v>
      </c>
      <c r="G239" s="1214"/>
      <c r="H239" s="17" t="s">
        <v>664</v>
      </c>
      <c r="I239" s="1214"/>
      <c r="J239" s="1214"/>
      <c r="K239" s="1214"/>
      <c r="L239" s="1214"/>
      <c r="M239" s="1214"/>
      <c r="N239" s="1214"/>
      <c r="O239" s="1214"/>
      <c r="P239" s="1194"/>
      <c r="Q239" s="1194"/>
      <c r="R239" s="1194"/>
      <c r="S239" s="1194"/>
      <c r="T239" s="388" t="b" cm="1">
        <f t="array" ref="T239">T238</f>
        <v>0</v>
      </c>
      <c r="U239" s="1194"/>
      <c r="V239" s="1214"/>
      <c r="W239" s="1194"/>
      <c r="X239" s="2032"/>
      <c r="Y239" s="2011"/>
      <c r="Z239" s="1214"/>
      <c r="AA239" s="1214"/>
      <c r="AB239" s="159" t="s">
        <v>665</v>
      </c>
      <c r="AC239" s="249" t="s">
        <v>639</v>
      </c>
      <c r="AD239" s="12" t="s">
        <v>563</v>
      </c>
      <c r="AE239" s="1377"/>
      <c r="AF239" s="1377"/>
      <c r="AG239" s="1377"/>
      <c r="AH239" s="1377"/>
      <c r="AI239" s="197"/>
      <c r="AJ239" s="1377"/>
      <c r="AK239" s="1377"/>
      <c r="AL239" s="1377"/>
      <c r="AM239" s="1377"/>
      <c r="AN239" s="1377"/>
      <c r="AO239" s="1377"/>
      <c r="AP239" s="1377"/>
      <c r="AQ239" s="1377"/>
      <c r="AR239" s="1377"/>
      <c r="AS239" s="197"/>
      <c r="AT239" s="1377"/>
      <c r="AU239" s="1377"/>
      <c r="AV239" s="1377"/>
      <c r="AW239" s="1377"/>
      <c r="AX239" s="1377"/>
      <c r="AY239" s="1377"/>
      <c r="AZ239" s="1377"/>
      <c r="BA239" s="1377"/>
      <c r="BB239" s="1377"/>
      <c r="BC239" s="1379"/>
      <c r="BD239" s="1214"/>
      <c r="BE239" s="1214"/>
      <c r="BF239" s="924" t="s">
        <v>666</v>
      </c>
    </row>
    <row r="240" spans="1:58" s="1334" customFormat="1" ht="14.25" hidden="1" customHeight="1" x14ac:dyDescent="0.15">
      <c r="A240" s="1214"/>
      <c r="B240" s="1083"/>
      <c r="C240" s="1214"/>
      <c r="D240" s="1214"/>
      <c r="E240" s="556">
        <v>15</v>
      </c>
      <c r="F240" s="3" t="str" cm="1">
        <f t="array" aca="1" ref="F240" ca="1">OFFSET(E240,-1,1)</f>
        <v>2</v>
      </c>
      <c r="G240" s="1214"/>
      <c r="H240" s="17" t="s">
        <v>667</v>
      </c>
      <c r="I240" s="1214"/>
      <c r="J240" s="1214"/>
      <c r="K240" s="1214"/>
      <c r="L240" s="1214"/>
      <c r="M240" s="1214"/>
      <c r="N240" s="1214"/>
      <c r="O240" s="1214"/>
      <c r="P240" s="1194"/>
      <c r="Q240" s="1194"/>
      <c r="R240" s="1194"/>
      <c r="S240" s="1194"/>
      <c r="T240" s="388" t="b" cm="1">
        <f t="array" ref="T240">T239</f>
        <v>0</v>
      </c>
      <c r="U240" s="1194"/>
      <c r="V240" s="1214"/>
      <c r="W240" s="1194"/>
      <c r="X240" s="2032"/>
      <c r="Y240" s="2011"/>
      <c r="Z240" s="1214"/>
      <c r="AA240" s="1214"/>
      <c r="AB240" s="159" t="s">
        <v>668</v>
      </c>
      <c r="AC240" s="249" t="s">
        <v>643</v>
      </c>
      <c r="AD240" s="12" t="s">
        <v>563</v>
      </c>
      <c r="AE240" s="1377"/>
      <c r="AF240" s="1377"/>
      <c r="AG240" s="1377"/>
      <c r="AH240" s="1377"/>
      <c r="AI240" s="197"/>
      <c r="AJ240" s="1377"/>
      <c r="AK240" s="1377"/>
      <c r="AL240" s="1377"/>
      <c r="AM240" s="1377"/>
      <c r="AN240" s="1377"/>
      <c r="AO240" s="1377"/>
      <c r="AP240" s="1377"/>
      <c r="AQ240" s="1377"/>
      <c r="AR240" s="1377"/>
      <c r="AS240" s="197"/>
      <c r="AT240" s="1377"/>
      <c r="AU240" s="1377"/>
      <c r="AV240" s="1377"/>
      <c r="AW240" s="1377"/>
      <c r="AX240" s="1377"/>
      <c r="AY240" s="1377"/>
      <c r="AZ240" s="1377"/>
      <c r="BA240" s="1377"/>
      <c r="BB240" s="1377"/>
      <c r="BC240" s="1379"/>
      <c r="BD240" s="1214"/>
      <c r="BE240" s="1214"/>
      <c r="BF240" s="924" t="s">
        <v>669</v>
      </c>
    </row>
    <row r="241" spans="1:58" s="1334" customFormat="1" ht="14.25" hidden="1" customHeight="1" x14ac:dyDescent="0.15">
      <c r="A241" s="1214"/>
      <c r="B241" s="1083"/>
      <c r="C241" s="1214"/>
      <c r="D241" s="1214"/>
      <c r="E241" s="556">
        <v>15</v>
      </c>
      <c r="F241" s="3" t="str" cm="1">
        <f t="array" aca="1" ref="F241" ca="1">OFFSET(E241,-1,1)</f>
        <v>2</v>
      </c>
      <c r="G241" s="1214"/>
      <c r="H241" s="17" t="s">
        <v>670</v>
      </c>
      <c r="I241" s="1214"/>
      <c r="J241" s="1214"/>
      <c r="K241" s="1214"/>
      <c r="L241" s="1214"/>
      <c r="M241" s="1214"/>
      <c r="N241" s="1214"/>
      <c r="O241" s="1214"/>
      <c r="P241" s="1194"/>
      <c r="Q241" s="1194"/>
      <c r="R241" s="1194"/>
      <c r="S241" s="1194"/>
      <c r="T241" s="388" t="b" cm="1">
        <f t="array" ref="T241">T240</f>
        <v>0</v>
      </c>
      <c r="U241" s="1194"/>
      <c r="V241" s="1214"/>
      <c r="W241" s="1194"/>
      <c r="X241" s="2032"/>
      <c r="Y241" s="2011"/>
      <c r="Z241" s="1214"/>
      <c r="AA241" s="1214"/>
      <c r="AB241" s="159" t="s">
        <v>671</v>
      </c>
      <c r="AC241" s="248" t="s">
        <v>672</v>
      </c>
      <c r="AD241" s="12" t="s">
        <v>563</v>
      </c>
      <c r="AE241" s="232">
        <f t="shared" ref="AE241:BB241" si="61">SUM(AE242:AE243)</f>
        <v>0</v>
      </c>
      <c r="AF241" s="232">
        <f t="shared" si="61"/>
        <v>0</v>
      </c>
      <c r="AG241" s="232">
        <f t="shared" si="61"/>
        <v>0</v>
      </c>
      <c r="AH241" s="232">
        <f t="shared" si="61"/>
        <v>0</v>
      </c>
      <c r="AI241" s="232">
        <f t="shared" si="61"/>
        <v>0</v>
      </c>
      <c r="AJ241" s="232">
        <f t="shared" si="61"/>
        <v>0</v>
      </c>
      <c r="AK241" s="232">
        <f t="shared" si="61"/>
        <v>0</v>
      </c>
      <c r="AL241" s="232">
        <f t="shared" si="61"/>
        <v>0</v>
      </c>
      <c r="AM241" s="232">
        <f t="shared" si="61"/>
        <v>0</v>
      </c>
      <c r="AN241" s="232">
        <f t="shared" si="61"/>
        <v>0</v>
      </c>
      <c r="AO241" s="232">
        <f t="shared" si="61"/>
        <v>0</v>
      </c>
      <c r="AP241" s="232">
        <f t="shared" si="61"/>
        <v>0</v>
      </c>
      <c r="AQ241" s="232">
        <f t="shared" si="61"/>
        <v>0</v>
      </c>
      <c r="AR241" s="232">
        <f t="shared" si="61"/>
        <v>0</v>
      </c>
      <c r="AS241" s="232">
        <f t="shared" si="61"/>
        <v>0</v>
      </c>
      <c r="AT241" s="232">
        <f t="shared" si="61"/>
        <v>0</v>
      </c>
      <c r="AU241" s="232">
        <f t="shared" si="61"/>
        <v>0</v>
      </c>
      <c r="AV241" s="232">
        <f t="shared" si="61"/>
        <v>0</v>
      </c>
      <c r="AW241" s="232">
        <f t="shared" si="61"/>
        <v>0</v>
      </c>
      <c r="AX241" s="232">
        <f t="shared" si="61"/>
        <v>0</v>
      </c>
      <c r="AY241" s="232">
        <f t="shared" si="61"/>
        <v>0</v>
      </c>
      <c r="AZ241" s="232">
        <f t="shared" si="61"/>
        <v>0</v>
      </c>
      <c r="BA241" s="232">
        <f t="shared" si="61"/>
        <v>0</v>
      </c>
      <c r="BB241" s="232">
        <f t="shared" si="61"/>
        <v>0</v>
      </c>
      <c r="BC241" s="1379"/>
      <c r="BD241" s="1214"/>
      <c r="BE241" s="1214"/>
      <c r="BF241" s="924" t="s">
        <v>673</v>
      </c>
    </row>
    <row r="242" spans="1:58" s="1334" customFormat="1" ht="14.25" hidden="1" customHeight="1" x14ac:dyDescent="0.15">
      <c r="A242" s="1214"/>
      <c r="B242" s="1083"/>
      <c r="C242" s="1214"/>
      <c r="D242" s="1214"/>
      <c r="E242" s="556">
        <v>15</v>
      </c>
      <c r="F242" s="3" t="str" cm="1">
        <f t="array" aca="1" ref="F242" ca="1">OFFSET(E242,-1,1)</f>
        <v>2</v>
      </c>
      <c r="G242" s="1214"/>
      <c r="H242" s="17" t="s">
        <v>674</v>
      </c>
      <c r="I242" s="1214"/>
      <c r="J242" s="1214"/>
      <c r="K242" s="1214"/>
      <c r="L242" s="1214"/>
      <c r="M242" s="1214"/>
      <c r="N242" s="1214"/>
      <c r="O242" s="1214"/>
      <c r="P242" s="1194"/>
      <c r="Q242" s="1194"/>
      <c r="R242" s="1194"/>
      <c r="S242" s="1194"/>
      <c r="T242" s="388" t="b" cm="1">
        <f t="array" ref="T242">T241</f>
        <v>0</v>
      </c>
      <c r="U242" s="1194"/>
      <c r="V242" s="1214"/>
      <c r="W242" s="1194"/>
      <c r="X242" s="2032"/>
      <c r="Y242" s="2011"/>
      <c r="Z242" s="1214"/>
      <c r="AA242" s="1214"/>
      <c r="AB242" s="159" t="s">
        <v>675</v>
      </c>
      <c r="AC242" s="249" t="s">
        <v>639</v>
      </c>
      <c r="AD242" s="12" t="s">
        <v>563</v>
      </c>
      <c r="AE242" s="1377"/>
      <c r="AF242" s="1377"/>
      <c r="AG242" s="1377"/>
      <c r="AH242" s="1377"/>
      <c r="AI242" s="197"/>
      <c r="AJ242" s="1377"/>
      <c r="AK242" s="1377"/>
      <c r="AL242" s="1377"/>
      <c r="AM242" s="1377"/>
      <c r="AN242" s="1377"/>
      <c r="AO242" s="1377"/>
      <c r="AP242" s="1377"/>
      <c r="AQ242" s="1377"/>
      <c r="AR242" s="1377"/>
      <c r="AS242" s="197"/>
      <c r="AT242" s="1377"/>
      <c r="AU242" s="1377"/>
      <c r="AV242" s="1377"/>
      <c r="AW242" s="1377"/>
      <c r="AX242" s="1377"/>
      <c r="AY242" s="1377"/>
      <c r="AZ242" s="1377"/>
      <c r="BA242" s="1377"/>
      <c r="BB242" s="1377"/>
      <c r="BC242" s="1379"/>
      <c r="BD242" s="1214"/>
      <c r="BE242" s="1214"/>
      <c r="BF242" s="924" t="s">
        <v>676</v>
      </c>
    </row>
    <row r="243" spans="1:58" s="1334" customFormat="1" ht="14.25" hidden="1" customHeight="1" x14ac:dyDescent="0.15">
      <c r="A243" s="1214"/>
      <c r="B243" s="1083"/>
      <c r="C243" s="1214"/>
      <c r="D243" s="1214"/>
      <c r="E243" s="556">
        <v>15</v>
      </c>
      <c r="F243" s="3" t="str" cm="1">
        <f t="array" aca="1" ref="F243" ca="1">OFFSET(E243,-1,1)</f>
        <v>2</v>
      </c>
      <c r="G243" s="1214"/>
      <c r="H243" s="17" t="s">
        <v>677</v>
      </c>
      <c r="I243" s="1214"/>
      <c r="J243" s="1214"/>
      <c r="K243" s="1214"/>
      <c r="L243" s="1214"/>
      <c r="M243" s="1214"/>
      <c r="N243" s="1214"/>
      <c r="O243" s="1214"/>
      <c r="P243" s="1194"/>
      <c r="Q243" s="1194"/>
      <c r="R243" s="1194"/>
      <c r="S243" s="1194"/>
      <c r="T243" s="388" t="b" cm="1">
        <f t="array" ref="T243">T242</f>
        <v>0</v>
      </c>
      <c r="U243" s="1194"/>
      <c r="V243" s="1214"/>
      <c r="W243" s="1194"/>
      <c r="X243" s="2032"/>
      <c r="Y243" s="2011"/>
      <c r="Z243" s="1214"/>
      <c r="AA243" s="1214"/>
      <c r="AB243" s="159" t="s">
        <v>678</v>
      </c>
      <c r="AC243" s="249" t="s">
        <v>643</v>
      </c>
      <c r="AD243" s="12" t="s">
        <v>563</v>
      </c>
      <c r="AE243" s="1377"/>
      <c r="AF243" s="1377"/>
      <c r="AG243" s="1377"/>
      <c r="AH243" s="1377"/>
      <c r="AI243" s="197"/>
      <c r="AJ243" s="1377"/>
      <c r="AK243" s="1377"/>
      <c r="AL243" s="1377"/>
      <c r="AM243" s="1377"/>
      <c r="AN243" s="1377"/>
      <c r="AO243" s="1377"/>
      <c r="AP243" s="1377"/>
      <c r="AQ243" s="1377"/>
      <c r="AR243" s="1377"/>
      <c r="AS243" s="197"/>
      <c r="AT243" s="1377"/>
      <c r="AU243" s="1377"/>
      <c r="AV243" s="1377"/>
      <c r="AW243" s="1377"/>
      <c r="AX243" s="1377"/>
      <c r="AY243" s="1377"/>
      <c r="AZ243" s="1377"/>
      <c r="BA243" s="1377"/>
      <c r="BB243" s="1377"/>
      <c r="BC243" s="1365"/>
      <c r="BD243" s="1214"/>
      <c r="BE243" s="1214"/>
      <c r="BF243" s="924" t="s">
        <v>679</v>
      </c>
    </row>
    <row r="244" spans="1:58" s="1334" customFormat="1" ht="21.75" hidden="1" customHeight="1" x14ac:dyDescent="0.15">
      <c r="A244" s="1214"/>
      <c r="B244" s="1083"/>
      <c r="C244" s="1214"/>
      <c r="D244" s="1214"/>
      <c r="E244" s="556">
        <v>22.5</v>
      </c>
      <c r="F244" s="3" t="str" cm="1">
        <f t="array" aca="1" ref="F244" ca="1">OFFSET(E244,-1,1)</f>
        <v>2</v>
      </c>
      <c r="G244" s="1214"/>
      <c r="H244" s="17" t="s">
        <v>680</v>
      </c>
      <c r="I244" s="392"/>
      <c r="J244" s="392"/>
      <c r="K244" s="1214"/>
      <c r="L244" s="1214"/>
      <c r="M244" s="1214"/>
      <c r="N244" s="1214"/>
      <c r="O244" s="1214"/>
      <c r="P244" s="1194"/>
      <c r="Q244" s="1194"/>
      <c r="R244" s="1194"/>
      <c r="S244" s="1194"/>
      <c r="T244" s="388" t="b" cm="1">
        <f t="array" ref="T244">T243</f>
        <v>0</v>
      </c>
      <c r="U244" s="1194"/>
      <c r="V244" s="1214"/>
      <c r="W244" s="1194"/>
      <c r="X244" s="2032"/>
      <c r="Y244" s="2011"/>
      <c r="Z244" s="1214"/>
      <c r="AA244" s="1214"/>
      <c r="AB244" s="159" t="s">
        <v>681</v>
      </c>
      <c r="AC244" s="250" t="s">
        <v>682</v>
      </c>
      <c r="AD244" s="12" t="s">
        <v>563</v>
      </c>
      <c r="AE244" s="1364"/>
      <c r="AF244" s="1364"/>
      <c r="AG244" s="1364"/>
      <c r="AH244" s="1364"/>
      <c r="AI244" s="194"/>
      <c r="AJ244" s="1364"/>
      <c r="AK244" s="1364"/>
      <c r="AL244" s="1364"/>
      <c r="AM244" s="1364"/>
      <c r="AN244" s="1364"/>
      <c r="AO244" s="1364"/>
      <c r="AP244" s="1364"/>
      <c r="AQ244" s="1364"/>
      <c r="AR244" s="1364"/>
      <c r="AS244" s="194"/>
      <c r="AT244" s="1364"/>
      <c r="AU244" s="1364"/>
      <c r="AV244" s="1364"/>
      <c r="AW244" s="1364"/>
      <c r="AX244" s="1364"/>
      <c r="AY244" s="1364"/>
      <c r="AZ244" s="1364"/>
      <c r="BA244" s="1364"/>
      <c r="BB244" s="1364"/>
      <c r="BC244" s="1365"/>
      <c r="BD244" s="1214"/>
      <c r="BE244" s="1214"/>
      <c r="BF244" s="924" t="s">
        <v>683</v>
      </c>
    </row>
    <row r="245" spans="1:58" s="1334" customFormat="1" ht="14.25" hidden="1" customHeight="1" x14ac:dyDescent="0.15">
      <c r="A245" s="1214"/>
      <c r="B245" s="1083"/>
      <c r="C245" s="1214"/>
      <c r="D245" s="1214"/>
      <c r="E245" s="556">
        <v>15</v>
      </c>
      <c r="F245" s="265" t="str" cm="1">
        <f t="array" aca="1" ref="F245" ca="1">OFFSET(E245,-1,1)</f>
        <v>2</v>
      </c>
      <c r="G245" s="1214"/>
      <c r="H245" s="1214"/>
      <c r="I245" s="1214"/>
      <c r="J245" s="1214"/>
      <c r="K245" s="1214"/>
      <c r="L245" s="1214"/>
      <c r="M245" s="1214"/>
      <c r="N245" s="1214"/>
      <c r="O245" s="1214"/>
      <c r="P245" s="1194"/>
      <c r="Q245" s="1194"/>
      <c r="R245" s="1194"/>
      <c r="S245" s="1194"/>
      <c r="T245" s="388" t="b" cm="1">
        <f t="array" ref="T245">T244</f>
        <v>0</v>
      </c>
      <c r="U245" s="1194"/>
      <c r="V245" s="1214"/>
      <c r="W245" s="1194"/>
      <c r="X245" s="2032"/>
      <c r="Y245" s="2011"/>
      <c r="Z245" s="1214"/>
      <c r="AA245" s="1214"/>
      <c r="AB245" s="159" t="s">
        <v>684</v>
      </c>
      <c r="AC245" s="250" t="s">
        <v>685</v>
      </c>
      <c r="AD245" s="12" t="s">
        <v>563</v>
      </c>
      <c r="AE245" s="1364"/>
      <c r="AF245" s="1364"/>
      <c r="AG245" s="1364"/>
      <c r="AH245" s="1364"/>
      <c r="AI245" s="194"/>
      <c r="AJ245" s="1364"/>
      <c r="AK245" s="1364"/>
      <c r="AL245" s="1364"/>
      <c r="AM245" s="1364"/>
      <c r="AN245" s="1364"/>
      <c r="AO245" s="1364"/>
      <c r="AP245" s="1364"/>
      <c r="AQ245" s="1364"/>
      <c r="AR245" s="1364"/>
      <c r="AS245" s="194"/>
      <c r="AT245" s="1364"/>
      <c r="AU245" s="1364"/>
      <c r="AV245" s="1364"/>
      <c r="AW245" s="1364"/>
      <c r="AX245" s="1364"/>
      <c r="AY245" s="1364"/>
      <c r="AZ245" s="1364"/>
      <c r="BA245" s="1364"/>
      <c r="BB245" s="1364"/>
      <c r="BC245" s="1365"/>
      <c r="BD245" s="1214"/>
      <c r="BE245" s="1214"/>
      <c r="BF245" s="924" t="s">
        <v>686</v>
      </c>
    </row>
    <row r="246" spans="1:58" s="1334" customFormat="1" ht="11.25" hidden="1" customHeight="1" x14ac:dyDescent="0.15">
      <c r="A246" s="392"/>
      <c r="B246" s="582"/>
      <c r="C246" s="392"/>
      <c r="D246" s="392"/>
      <c r="E246" s="584" t="s">
        <v>370</v>
      </c>
      <c r="F246" s="1090" t="str" cm="1">
        <f t="array" aca="1" ref="F246" ca="1">OFFSET(E246,-1,1)</f>
        <v>2</v>
      </c>
      <c r="G246" s="392"/>
      <c r="H246" s="392"/>
      <c r="K246" s="17"/>
      <c r="L246" s="392"/>
      <c r="M246" s="392"/>
      <c r="N246" s="392"/>
      <c r="O246" s="392"/>
      <c r="P246" s="392"/>
      <c r="Q246" s="392"/>
      <c r="R246" s="337"/>
      <c r="S246" s="337"/>
      <c r="T246" s="388" t="b">
        <v>0</v>
      </c>
      <c r="U246" s="392"/>
      <c r="V246" s="392"/>
      <c r="W246" s="392"/>
      <c r="X246" s="2032"/>
      <c r="Y246" s="2011"/>
      <c r="Z246" s="392"/>
      <c r="AA246" s="392"/>
      <c r="AC246" s="19"/>
      <c r="AD246" s="19"/>
      <c r="AE246" s="260"/>
      <c r="AF246" s="260"/>
      <c r="AG246" s="260"/>
      <c r="AH246" s="260"/>
      <c r="AI246" s="260"/>
      <c r="AJ246" s="261"/>
      <c r="AK246" s="260"/>
      <c r="AL246" s="260"/>
      <c r="AM246" s="260"/>
      <c r="AN246" s="260"/>
      <c r="AO246" s="260"/>
      <c r="AP246" s="260"/>
      <c r="AQ246" s="260"/>
      <c r="AR246" s="260"/>
      <c r="AS246" s="260"/>
      <c r="AT246" s="260"/>
      <c r="AU246" s="260"/>
      <c r="AV246" s="260"/>
      <c r="AW246" s="260"/>
      <c r="AX246" s="260"/>
      <c r="AY246" s="260"/>
      <c r="AZ246" s="260"/>
      <c r="BA246" s="260"/>
      <c r="BB246" s="260"/>
      <c r="BF246" s="928"/>
    </row>
    <row r="247" spans="1:58" s="1334" customFormat="1" ht="14.25" hidden="1" customHeight="1" x14ac:dyDescent="0.15">
      <c r="A247" s="1214"/>
      <c r="B247" s="1083"/>
      <c r="C247" s="1214"/>
      <c r="D247" s="1214"/>
      <c r="E247" s="556">
        <v>15</v>
      </c>
      <c r="F247" s="3" t="str" cm="1">
        <f t="array" aca="1" ref="F247" ca="1">OFFSET(E247,-1,1)</f>
        <v>2</v>
      </c>
      <c r="G247" s="1214"/>
      <c r="H247" s="1214"/>
      <c r="I247" s="1214"/>
      <c r="J247" s="1214"/>
      <c r="K247" s="1214"/>
      <c r="L247" s="1214"/>
      <c r="M247" s="1214"/>
      <c r="N247" s="1214"/>
      <c r="O247" s="1214"/>
      <c r="P247" s="1194"/>
      <c r="Q247" s="1194"/>
      <c r="R247" s="337" t="b" cm="1">
        <f t="array" ref="R247">INDEX('Общие сведения'!$AN$185:$AN$228,MATCH($X209,'Общие сведения'!$Z$185:$Z$228,0))</f>
        <v>0</v>
      </c>
      <c r="S247" s="337" t="b">
        <f>IF(ISERROR(SEARCH("Водоснабжение",AB209)),FALSE,TRUE)</f>
        <v>0</v>
      </c>
      <c r="T247" s="388" t="b">
        <f>AND(X209&gt;0,S247,R247)</f>
        <v>0</v>
      </c>
      <c r="U247" s="1194"/>
      <c r="V247" s="1214"/>
      <c r="W247" s="1194"/>
      <c r="X247" s="2032"/>
      <c r="Y247" s="2011"/>
      <c r="Z247" s="1214"/>
      <c r="AA247" s="1214"/>
      <c r="AB247" s="159" t="s">
        <v>282</v>
      </c>
      <c r="AC247" s="244" t="s">
        <v>560</v>
      </c>
      <c r="AD247" s="117"/>
      <c r="AE247" s="493" t="str" cm="1">
        <f t="array" ref="AE247">INDEX('Общие сведения'!$AH$185:$AH$228,MATCH($X209,'Общие сведения'!$Z$185:$Z$228,0))</f>
        <v>без дифференциации</v>
      </c>
      <c r="AF247" s="278"/>
      <c r="AG247" s="278"/>
      <c r="AH247" s="278"/>
      <c r="AI247" s="278"/>
      <c r="AJ247" s="278"/>
      <c r="AK247" s="278"/>
      <c r="AL247" s="278"/>
      <c r="AM247" s="278"/>
      <c r="AN247" s="278"/>
      <c r="AO247" s="278"/>
      <c r="AP247" s="278"/>
      <c r="AQ247" s="278"/>
      <c r="AR247" s="278"/>
      <c r="AS247" s="278"/>
      <c r="AT247" s="278"/>
      <c r="AU247" s="278"/>
      <c r="AV247" s="278"/>
      <c r="AW247" s="278"/>
      <c r="AX247" s="278"/>
      <c r="AY247" s="278"/>
      <c r="AZ247" s="278"/>
      <c r="BA247" s="278"/>
      <c r="BB247" s="279"/>
      <c r="BC247" s="1365"/>
      <c r="BD247" s="1214"/>
      <c r="BE247" s="1214"/>
      <c r="BF247" s="924" t="s">
        <v>687</v>
      </c>
    </row>
    <row r="248" spans="1:58" s="1334" customFormat="1" ht="14.25" hidden="1" customHeight="1" x14ac:dyDescent="0.15">
      <c r="A248" s="1214"/>
      <c r="B248" s="1083"/>
      <c r="C248" s="1214"/>
      <c r="D248" s="1214"/>
      <c r="E248" s="556">
        <v>15</v>
      </c>
      <c r="F248" s="3" t="str" cm="1">
        <f t="array" aca="1" ref="F248" ca="1">OFFSET(E248,-1,1)</f>
        <v>2</v>
      </c>
      <c r="G248" s="1214"/>
      <c r="H248" s="17" t="s">
        <v>335</v>
      </c>
      <c r="I248" s="1214"/>
      <c r="J248" s="1214"/>
      <c r="K248" s="1214"/>
      <c r="L248" s="1214"/>
      <c r="M248" s="1214"/>
      <c r="N248" s="1214"/>
      <c r="O248" s="1214"/>
      <c r="P248" s="1194"/>
      <c r="Q248" s="1194"/>
      <c r="R248" s="1194"/>
      <c r="S248" s="1194"/>
      <c r="T248" s="388" t="b" cm="1">
        <f t="array" ref="T248">T247</f>
        <v>0</v>
      </c>
      <c r="U248" s="1194"/>
      <c r="V248" s="1214"/>
      <c r="W248" s="1194"/>
      <c r="X248" s="2032"/>
      <c r="Y248" s="2011"/>
      <c r="Z248" s="1214"/>
      <c r="AA248" s="1214"/>
      <c r="AB248" s="159" t="s">
        <v>289</v>
      </c>
      <c r="AC248" s="251" t="s">
        <v>688</v>
      </c>
      <c r="AD248" s="12" t="s">
        <v>563</v>
      </c>
      <c r="AE248" s="262">
        <f t="shared" ref="AE248:BB248" si="62">AE252+AE254+AE257+AE260</f>
        <v>0</v>
      </c>
      <c r="AF248" s="262">
        <f t="shared" si="62"/>
        <v>0</v>
      </c>
      <c r="AG248" s="262">
        <f t="shared" si="62"/>
        <v>0</v>
      </c>
      <c r="AH248" s="262">
        <f t="shared" si="62"/>
        <v>0</v>
      </c>
      <c r="AI248" s="262">
        <f t="shared" si="62"/>
        <v>0</v>
      </c>
      <c r="AJ248" s="262">
        <f t="shared" si="62"/>
        <v>0</v>
      </c>
      <c r="AK248" s="262">
        <f t="shared" si="62"/>
        <v>0</v>
      </c>
      <c r="AL248" s="262">
        <f t="shared" si="62"/>
        <v>0</v>
      </c>
      <c r="AM248" s="262">
        <f t="shared" si="62"/>
        <v>0</v>
      </c>
      <c r="AN248" s="262">
        <f t="shared" si="62"/>
        <v>0</v>
      </c>
      <c r="AO248" s="262">
        <f t="shared" si="62"/>
        <v>0</v>
      </c>
      <c r="AP248" s="262">
        <f t="shared" si="62"/>
        <v>0</v>
      </c>
      <c r="AQ248" s="262">
        <f t="shared" si="62"/>
        <v>0</v>
      </c>
      <c r="AR248" s="262">
        <f t="shared" si="62"/>
        <v>0</v>
      </c>
      <c r="AS248" s="262">
        <f t="shared" si="62"/>
        <v>0</v>
      </c>
      <c r="AT248" s="262">
        <f t="shared" si="62"/>
        <v>0</v>
      </c>
      <c r="AU248" s="262">
        <f t="shared" si="62"/>
        <v>0</v>
      </c>
      <c r="AV248" s="262">
        <f t="shared" si="62"/>
        <v>0</v>
      </c>
      <c r="AW248" s="262">
        <f t="shared" si="62"/>
        <v>0</v>
      </c>
      <c r="AX248" s="262">
        <f t="shared" si="62"/>
        <v>0</v>
      </c>
      <c r="AY248" s="262">
        <f t="shared" si="62"/>
        <v>0</v>
      </c>
      <c r="AZ248" s="262">
        <f t="shared" si="62"/>
        <v>0</v>
      </c>
      <c r="BA248" s="262">
        <f t="shared" si="62"/>
        <v>0</v>
      </c>
      <c r="BB248" s="262">
        <f t="shared" si="62"/>
        <v>0</v>
      </c>
      <c r="BC248" s="1365"/>
      <c r="BD248" s="1214"/>
      <c r="BE248" s="1214"/>
      <c r="BF248" s="924" t="s">
        <v>689</v>
      </c>
    </row>
    <row r="249" spans="1:58" s="1334" customFormat="1" ht="14.25" hidden="1" customHeight="1" x14ac:dyDescent="0.15">
      <c r="A249" s="1214"/>
      <c r="B249" s="1083"/>
      <c r="C249" s="1214"/>
      <c r="D249" s="1214"/>
      <c r="E249" s="556">
        <v>15</v>
      </c>
      <c r="F249" s="3" t="str" cm="1">
        <f t="array" aca="1" ref="F249" ca="1">OFFSET(E249,-1,1)</f>
        <v>2</v>
      </c>
      <c r="G249" s="1214"/>
      <c r="H249" s="17" t="s">
        <v>565</v>
      </c>
      <c r="I249" s="1214"/>
      <c r="J249" s="1214"/>
      <c r="K249" s="1214"/>
      <c r="L249" s="1214"/>
      <c r="M249" s="1214"/>
      <c r="N249" s="1214"/>
      <c r="O249" s="1214"/>
      <c r="P249" s="1194"/>
      <c r="Q249" s="1194"/>
      <c r="R249" s="1194"/>
      <c r="S249" s="1194"/>
      <c r="T249" s="388" t="b" cm="1">
        <f t="array" ref="T249">T248</f>
        <v>0</v>
      </c>
      <c r="U249" s="1194"/>
      <c r="V249" s="1214"/>
      <c r="W249" s="1194"/>
      <c r="X249" s="2032"/>
      <c r="Y249" s="2011"/>
      <c r="Z249" s="1214"/>
      <c r="AA249" s="1214"/>
      <c r="AB249" s="159" t="s">
        <v>566</v>
      </c>
      <c r="AC249" s="252" t="s">
        <v>690</v>
      </c>
      <c r="AD249" s="12" t="s">
        <v>563</v>
      </c>
      <c r="AE249" s="1364"/>
      <c r="AF249" s="1364"/>
      <c r="AG249" s="1364"/>
      <c r="AH249" s="1364"/>
      <c r="AI249" s="194"/>
      <c r="AJ249" s="1364"/>
      <c r="AK249" s="1364"/>
      <c r="AL249" s="1364"/>
      <c r="AM249" s="1364"/>
      <c r="AN249" s="1364"/>
      <c r="AO249" s="1364"/>
      <c r="AP249" s="1364"/>
      <c r="AQ249" s="1364"/>
      <c r="AR249" s="1364"/>
      <c r="AS249" s="194"/>
      <c r="AT249" s="1364"/>
      <c r="AU249" s="1364"/>
      <c r="AV249" s="1364"/>
      <c r="AW249" s="1364"/>
      <c r="AX249" s="1364"/>
      <c r="AY249" s="1364"/>
      <c r="AZ249" s="1364"/>
      <c r="BA249" s="1364"/>
      <c r="BB249" s="1364"/>
      <c r="BC249" s="1365"/>
      <c r="BD249" s="1214"/>
      <c r="BE249" s="1214"/>
      <c r="BF249" s="924" t="s">
        <v>691</v>
      </c>
    </row>
    <row r="250" spans="1:58" s="1334" customFormat="1" ht="14.25" hidden="1" customHeight="1" x14ac:dyDescent="0.15">
      <c r="A250" s="1214"/>
      <c r="B250" s="1083"/>
      <c r="C250" s="1214"/>
      <c r="D250" s="1214"/>
      <c r="E250" s="556">
        <v>15</v>
      </c>
      <c r="F250" s="3" t="str" cm="1">
        <f t="array" aca="1" ref="F250" ca="1">OFFSET(E250,-1,1)</f>
        <v>2</v>
      </c>
      <c r="G250" s="1214"/>
      <c r="H250" s="17" t="s">
        <v>569</v>
      </c>
      <c r="I250" s="1214"/>
      <c r="J250" s="1214"/>
      <c r="K250" s="1214"/>
      <c r="L250" s="1214"/>
      <c r="M250" s="1214"/>
      <c r="N250" s="1214"/>
      <c r="O250" s="1214"/>
      <c r="P250" s="1194"/>
      <c r="Q250" s="1194"/>
      <c r="R250" s="1194"/>
      <c r="S250" s="1194"/>
      <c r="T250" s="388" t="b" cm="1">
        <f t="array" ref="T250">T249</f>
        <v>0</v>
      </c>
      <c r="U250" s="1194"/>
      <c r="V250" s="1214"/>
      <c r="W250" s="1194"/>
      <c r="X250" s="2032"/>
      <c r="Y250" s="2011"/>
      <c r="Z250" s="1214"/>
      <c r="AA250" s="1214"/>
      <c r="AB250" s="159" t="s">
        <v>570</v>
      </c>
      <c r="AC250" s="252" t="s">
        <v>692</v>
      </c>
      <c r="AD250" s="12" t="s">
        <v>563</v>
      </c>
      <c r="AE250" s="1364"/>
      <c r="AF250" s="1364"/>
      <c r="AG250" s="1364"/>
      <c r="AH250" s="1364"/>
      <c r="AI250" s="194"/>
      <c r="AJ250" s="1364"/>
      <c r="AK250" s="1364"/>
      <c r="AL250" s="1364"/>
      <c r="AM250" s="1364"/>
      <c r="AN250" s="1364"/>
      <c r="AO250" s="1364"/>
      <c r="AP250" s="1364"/>
      <c r="AQ250" s="1364"/>
      <c r="AR250" s="1364"/>
      <c r="AS250" s="194"/>
      <c r="AT250" s="1364"/>
      <c r="AU250" s="1364"/>
      <c r="AV250" s="1364"/>
      <c r="AW250" s="1364"/>
      <c r="AX250" s="1364"/>
      <c r="AY250" s="1364"/>
      <c r="AZ250" s="1364"/>
      <c r="BA250" s="1364"/>
      <c r="BB250" s="1364"/>
      <c r="BC250" s="1365"/>
      <c r="BD250" s="1214"/>
      <c r="BE250" s="1214"/>
      <c r="BF250" s="924" t="s">
        <v>693</v>
      </c>
    </row>
    <row r="251" spans="1:58" s="1334" customFormat="1" ht="21.75" hidden="1" customHeight="1" x14ac:dyDescent="0.15">
      <c r="A251" s="1214"/>
      <c r="B251" s="1083"/>
      <c r="C251" s="1214"/>
      <c r="D251" s="1214"/>
      <c r="E251" s="556">
        <v>22.5</v>
      </c>
      <c r="F251" s="3" t="str" cm="1">
        <f t="array" aca="1" ref="F251" ca="1">OFFSET(E251,-1,1)</f>
        <v>2</v>
      </c>
      <c r="G251" s="1214"/>
      <c r="H251" s="17" t="s">
        <v>573</v>
      </c>
      <c r="I251" s="1214"/>
      <c r="J251" s="1214"/>
      <c r="K251" s="1214"/>
      <c r="L251" s="1214"/>
      <c r="M251" s="1214"/>
      <c r="N251" s="1214"/>
      <c r="O251" s="1214"/>
      <c r="P251" s="1194"/>
      <c r="Q251" s="1194"/>
      <c r="R251" s="1194"/>
      <c r="S251" s="1194"/>
      <c r="T251" s="388" t="b" cm="1">
        <f t="array" ref="T251">T250</f>
        <v>0</v>
      </c>
      <c r="U251" s="1194"/>
      <c r="V251" s="1214"/>
      <c r="W251" s="1194"/>
      <c r="X251" s="2032"/>
      <c r="Y251" s="2011"/>
      <c r="Z251" s="1214"/>
      <c r="AA251" s="1214"/>
      <c r="AB251" s="159" t="s">
        <v>574</v>
      </c>
      <c r="AC251" s="252" t="s">
        <v>694</v>
      </c>
      <c r="AD251" s="12" t="s">
        <v>563</v>
      </c>
      <c r="AE251" s="1364"/>
      <c r="AF251" s="1364"/>
      <c r="AG251" s="1364"/>
      <c r="AH251" s="1364"/>
      <c r="AI251" s="194"/>
      <c r="AJ251" s="1364"/>
      <c r="AK251" s="1364"/>
      <c r="AL251" s="1364"/>
      <c r="AM251" s="1364"/>
      <c r="AN251" s="1364"/>
      <c r="AO251" s="1364"/>
      <c r="AP251" s="1364"/>
      <c r="AQ251" s="1364"/>
      <c r="AR251" s="1364"/>
      <c r="AS251" s="194"/>
      <c r="AT251" s="1364"/>
      <c r="AU251" s="1364"/>
      <c r="AV251" s="1364"/>
      <c r="AW251" s="1364"/>
      <c r="AX251" s="1364"/>
      <c r="AY251" s="1364"/>
      <c r="AZ251" s="1364"/>
      <c r="BA251" s="1364"/>
      <c r="BB251" s="1364"/>
      <c r="BC251" s="1365"/>
      <c r="BD251" s="1214"/>
      <c r="BE251" s="1214"/>
      <c r="BF251" s="924" t="s">
        <v>695</v>
      </c>
    </row>
    <row r="252" spans="1:58" s="1334" customFormat="1" ht="14.25" hidden="1" customHeight="1" x14ac:dyDescent="0.15">
      <c r="A252" s="1214"/>
      <c r="B252" s="1083"/>
      <c r="C252" s="1214"/>
      <c r="D252" s="1214"/>
      <c r="E252" s="556">
        <v>15</v>
      </c>
      <c r="F252" s="3" t="str" cm="1">
        <f t="array" aca="1" ref="F252" ca="1">OFFSET(E252,-1,1)</f>
        <v>2</v>
      </c>
      <c r="G252" s="1214"/>
      <c r="H252" s="17" t="s">
        <v>334</v>
      </c>
      <c r="I252" s="1214"/>
      <c r="J252" s="1214"/>
      <c r="K252" s="1214"/>
      <c r="L252" s="1214"/>
      <c r="M252" s="1214"/>
      <c r="N252" s="1214"/>
      <c r="O252" s="1214"/>
      <c r="P252" s="1194"/>
      <c r="Q252" s="1194"/>
      <c r="R252" s="1194"/>
      <c r="S252" s="1194"/>
      <c r="T252" s="388" t="b" cm="1">
        <f t="array" ref="T252">T251</f>
        <v>0</v>
      </c>
      <c r="U252" s="1194"/>
      <c r="V252" s="1214"/>
      <c r="W252" s="1194"/>
      <c r="X252" s="2032"/>
      <c r="Y252" s="2011"/>
      <c r="Z252" s="1214"/>
      <c r="AA252" s="1214"/>
      <c r="AB252" s="159" t="s">
        <v>329</v>
      </c>
      <c r="AC252" s="244" t="s">
        <v>607</v>
      </c>
      <c r="AD252" s="12" t="s">
        <v>563</v>
      </c>
      <c r="AE252" s="1364"/>
      <c r="AF252" s="1364"/>
      <c r="AG252" s="1364"/>
      <c r="AH252" s="1364"/>
      <c r="AI252" s="194"/>
      <c r="AJ252" s="1364"/>
      <c r="AK252" s="1364"/>
      <c r="AL252" s="1364"/>
      <c r="AM252" s="1364"/>
      <c r="AN252" s="1364"/>
      <c r="AO252" s="1364"/>
      <c r="AP252" s="1364"/>
      <c r="AQ252" s="1364"/>
      <c r="AR252" s="1364"/>
      <c r="AS252" s="194"/>
      <c r="AT252" s="1364"/>
      <c r="AU252" s="1364"/>
      <c r="AV252" s="1364"/>
      <c r="AW252" s="1364"/>
      <c r="AX252" s="1364"/>
      <c r="AY252" s="1364"/>
      <c r="AZ252" s="1364"/>
      <c r="BA252" s="1364"/>
      <c r="BB252" s="1364"/>
      <c r="BC252" s="1365"/>
      <c r="BD252" s="1214"/>
      <c r="BE252" s="1214"/>
      <c r="BF252" s="924" t="s">
        <v>696</v>
      </c>
    </row>
    <row r="253" spans="1:58" s="1334" customFormat="1" ht="14.25" hidden="1" customHeight="1" x14ac:dyDescent="0.15">
      <c r="A253" s="1214"/>
      <c r="B253" s="1083"/>
      <c r="C253" s="1214"/>
      <c r="D253" s="1214"/>
      <c r="E253" s="556">
        <v>15</v>
      </c>
      <c r="F253" s="3" t="str" cm="1">
        <f t="array" aca="1" ref="F253" ca="1">OFFSET(E253,-1,1)</f>
        <v>2</v>
      </c>
      <c r="G253" s="1214"/>
      <c r="H253" s="17" t="s">
        <v>579</v>
      </c>
      <c r="I253" s="1214"/>
      <c r="J253" s="1214"/>
      <c r="K253" s="1214"/>
      <c r="L253" s="1214"/>
      <c r="M253" s="1214"/>
      <c r="N253" s="1214"/>
      <c r="O253" s="1214"/>
      <c r="P253" s="1194"/>
      <c r="Q253" s="1194"/>
      <c r="R253" s="1194"/>
      <c r="S253" s="1194"/>
      <c r="T253" s="388" t="b" cm="1">
        <f t="array" ref="T253">T252</f>
        <v>0</v>
      </c>
      <c r="U253" s="1194"/>
      <c r="V253" s="1214"/>
      <c r="W253" s="1194"/>
      <c r="X253" s="2032"/>
      <c r="Y253" s="2011"/>
      <c r="Z253" s="1214"/>
      <c r="AA253" s="1214"/>
      <c r="AB253" s="159" t="s">
        <v>580</v>
      </c>
      <c r="AC253" s="247" t="s">
        <v>611</v>
      </c>
      <c r="AD253" s="12" t="s">
        <v>490</v>
      </c>
      <c r="AE253" s="1358">
        <f t="shared" ref="AE253:BB253" si="63">IF(AE248=0,0,AE252/AE248*100)</f>
        <v>0</v>
      </c>
      <c r="AF253" s="1358">
        <f t="shared" si="63"/>
        <v>0</v>
      </c>
      <c r="AG253" s="1358">
        <f t="shared" si="63"/>
        <v>0</v>
      </c>
      <c r="AH253" s="1358">
        <f t="shared" si="63"/>
        <v>0</v>
      </c>
      <c r="AI253" s="60">
        <f t="shared" si="63"/>
        <v>0</v>
      </c>
      <c r="AJ253" s="1358">
        <f t="shared" si="63"/>
        <v>0</v>
      </c>
      <c r="AK253" s="1358">
        <f t="shared" si="63"/>
        <v>0</v>
      </c>
      <c r="AL253" s="1358">
        <f t="shared" si="63"/>
        <v>0</v>
      </c>
      <c r="AM253" s="1358">
        <f t="shared" si="63"/>
        <v>0</v>
      </c>
      <c r="AN253" s="1358">
        <f t="shared" si="63"/>
        <v>0</v>
      </c>
      <c r="AO253" s="1358">
        <f t="shared" si="63"/>
        <v>0</v>
      </c>
      <c r="AP253" s="1358">
        <f t="shared" si="63"/>
        <v>0</v>
      </c>
      <c r="AQ253" s="1358">
        <f t="shared" si="63"/>
        <v>0</v>
      </c>
      <c r="AR253" s="1358">
        <f t="shared" si="63"/>
        <v>0</v>
      </c>
      <c r="AS253" s="60">
        <f t="shared" si="63"/>
        <v>0</v>
      </c>
      <c r="AT253" s="1358">
        <f t="shared" si="63"/>
        <v>0</v>
      </c>
      <c r="AU253" s="1358">
        <f t="shared" si="63"/>
        <v>0</v>
      </c>
      <c r="AV253" s="1358">
        <f t="shared" si="63"/>
        <v>0</v>
      </c>
      <c r="AW253" s="1358">
        <f t="shared" si="63"/>
        <v>0</v>
      </c>
      <c r="AX253" s="1358">
        <f t="shared" si="63"/>
        <v>0</v>
      </c>
      <c r="AY253" s="1358">
        <f t="shared" si="63"/>
        <v>0</v>
      </c>
      <c r="AZ253" s="1358">
        <f t="shared" si="63"/>
        <v>0</v>
      </c>
      <c r="BA253" s="1358">
        <f t="shared" si="63"/>
        <v>0</v>
      </c>
      <c r="BB253" s="1358">
        <f t="shared" si="63"/>
        <v>0</v>
      </c>
      <c r="BC253" s="1379"/>
      <c r="BD253" s="1214"/>
      <c r="BE253" s="1214"/>
      <c r="BF253" s="924" t="s">
        <v>697</v>
      </c>
    </row>
    <row r="254" spans="1:58" s="1334" customFormat="1" ht="14.25" hidden="1" customHeight="1" x14ac:dyDescent="0.15">
      <c r="A254" s="1214"/>
      <c r="B254" s="1083"/>
      <c r="C254" s="1214"/>
      <c r="D254" s="1214"/>
      <c r="E254" s="556">
        <v>15</v>
      </c>
      <c r="F254" s="3" t="str" cm="1">
        <f t="array" aca="1" ref="F254" ca="1">OFFSET(E254,-1,1)</f>
        <v>2</v>
      </c>
      <c r="G254" s="1214"/>
      <c r="H254" s="17" t="s">
        <v>544</v>
      </c>
      <c r="I254" s="1214"/>
      <c r="J254" s="1214"/>
      <c r="K254" s="1214"/>
      <c r="L254" s="1214"/>
      <c r="M254" s="1214"/>
      <c r="N254" s="1214"/>
      <c r="O254" s="1214"/>
      <c r="P254" s="1194"/>
      <c r="Q254" s="1194"/>
      <c r="R254" s="1194"/>
      <c r="S254" s="1194"/>
      <c r="T254" s="388" t="b" cm="1">
        <f t="array" ref="T254">T253</f>
        <v>0</v>
      </c>
      <c r="U254" s="1194"/>
      <c r="V254" s="1214"/>
      <c r="W254" s="1194"/>
      <c r="X254" s="2032"/>
      <c r="Y254" s="2011"/>
      <c r="Z254" s="1214"/>
      <c r="AA254" s="1214"/>
      <c r="AB254" s="159" t="s">
        <v>441</v>
      </c>
      <c r="AC254" s="251" t="s">
        <v>618</v>
      </c>
      <c r="AD254" s="12" t="s">
        <v>563</v>
      </c>
      <c r="AE254" s="262">
        <f t="shared" ref="AE254:BB254" si="64">AE255+AE256</f>
        <v>0</v>
      </c>
      <c r="AF254" s="262">
        <f t="shared" si="64"/>
        <v>0</v>
      </c>
      <c r="AG254" s="262">
        <f t="shared" si="64"/>
        <v>0</v>
      </c>
      <c r="AH254" s="262">
        <f t="shared" si="64"/>
        <v>0</v>
      </c>
      <c r="AI254" s="262">
        <f t="shared" si="64"/>
        <v>0</v>
      </c>
      <c r="AJ254" s="262">
        <f t="shared" si="64"/>
        <v>0</v>
      </c>
      <c r="AK254" s="262">
        <f t="shared" si="64"/>
        <v>0</v>
      </c>
      <c r="AL254" s="262">
        <f t="shared" si="64"/>
        <v>0</v>
      </c>
      <c r="AM254" s="262">
        <f t="shared" si="64"/>
        <v>0</v>
      </c>
      <c r="AN254" s="262">
        <f t="shared" si="64"/>
        <v>0</v>
      </c>
      <c r="AO254" s="262">
        <f t="shared" si="64"/>
        <v>0</v>
      </c>
      <c r="AP254" s="262">
        <f t="shared" si="64"/>
        <v>0</v>
      </c>
      <c r="AQ254" s="262">
        <f t="shared" si="64"/>
        <v>0</v>
      </c>
      <c r="AR254" s="262">
        <f t="shared" si="64"/>
        <v>0</v>
      </c>
      <c r="AS254" s="262">
        <f t="shared" si="64"/>
        <v>0</v>
      </c>
      <c r="AT254" s="262">
        <f t="shared" si="64"/>
        <v>0</v>
      </c>
      <c r="AU254" s="262">
        <f t="shared" si="64"/>
        <v>0</v>
      </c>
      <c r="AV254" s="262">
        <f t="shared" si="64"/>
        <v>0</v>
      </c>
      <c r="AW254" s="262">
        <f t="shared" si="64"/>
        <v>0</v>
      </c>
      <c r="AX254" s="262">
        <f t="shared" si="64"/>
        <v>0</v>
      </c>
      <c r="AY254" s="262">
        <f t="shared" si="64"/>
        <v>0</v>
      </c>
      <c r="AZ254" s="262">
        <f t="shared" si="64"/>
        <v>0</v>
      </c>
      <c r="BA254" s="262">
        <f t="shared" si="64"/>
        <v>0</v>
      </c>
      <c r="BB254" s="262">
        <f t="shared" si="64"/>
        <v>0</v>
      </c>
      <c r="BC254" s="1365"/>
      <c r="BD254" s="1214"/>
      <c r="BE254" s="1214"/>
      <c r="BF254" s="924" t="s">
        <v>698</v>
      </c>
    </row>
    <row r="255" spans="1:58" s="1334" customFormat="1" ht="14.25" hidden="1" customHeight="1" x14ac:dyDescent="0.15">
      <c r="A255" s="1214"/>
      <c r="B255" s="1083"/>
      <c r="C255" s="1214"/>
      <c r="D255" s="1214"/>
      <c r="E255" s="556">
        <v>15</v>
      </c>
      <c r="F255" s="3" t="str" cm="1">
        <f t="array" aca="1" ref="F255" ca="1">OFFSET(E255,-1,1)</f>
        <v>2</v>
      </c>
      <c r="G255" s="1214"/>
      <c r="H255" s="17" t="s">
        <v>699</v>
      </c>
      <c r="I255" s="1214"/>
      <c r="J255" s="1214"/>
      <c r="K255" s="1214"/>
      <c r="L255" s="1214"/>
      <c r="M255" s="1214"/>
      <c r="N255" s="1214"/>
      <c r="O255" s="1214"/>
      <c r="P255" s="1194"/>
      <c r="Q255" s="1194"/>
      <c r="R255" s="1194"/>
      <c r="S255" s="1194"/>
      <c r="T255" s="388" t="b" cm="1">
        <f t="array" ref="T255">T254</f>
        <v>0</v>
      </c>
      <c r="U255" s="1194"/>
      <c r="V255" s="1214"/>
      <c r="W255" s="1194"/>
      <c r="X255" s="2032"/>
      <c r="Y255" s="2011"/>
      <c r="Z255" s="1214"/>
      <c r="AA255" s="1214"/>
      <c r="AB255" s="159" t="s">
        <v>700</v>
      </c>
      <c r="AC255" s="252" t="s">
        <v>622</v>
      </c>
      <c r="AD255" s="12" t="s">
        <v>563</v>
      </c>
      <c r="AE255" s="1364"/>
      <c r="AF255" s="1364"/>
      <c r="AG255" s="1364"/>
      <c r="AH255" s="1364"/>
      <c r="AI255" s="194"/>
      <c r="AJ255" s="1364"/>
      <c r="AK255" s="1364"/>
      <c r="AL255" s="1364"/>
      <c r="AM255" s="1364"/>
      <c r="AN255" s="1364"/>
      <c r="AO255" s="1364"/>
      <c r="AP255" s="1364"/>
      <c r="AQ255" s="1364"/>
      <c r="AR255" s="1364"/>
      <c r="AS255" s="194"/>
      <c r="AT255" s="1364"/>
      <c r="AU255" s="1364"/>
      <c r="AV255" s="1364"/>
      <c r="AW255" s="1364"/>
      <c r="AX255" s="1364"/>
      <c r="AY255" s="1364"/>
      <c r="AZ255" s="1364"/>
      <c r="BA255" s="1364"/>
      <c r="BB255" s="1364"/>
      <c r="BC255" s="1365"/>
      <c r="BD255" s="1214"/>
      <c r="BE255" s="1214"/>
      <c r="BF255" s="924" t="s">
        <v>701</v>
      </c>
    </row>
    <row r="256" spans="1:58" s="1334" customFormat="1" ht="14.25" hidden="1" customHeight="1" x14ac:dyDescent="0.15">
      <c r="A256" s="1214"/>
      <c r="B256" s="1083"/>
      <c r="C256" s="1214"/>
      <c r="D256" s="1214"/>
      <c r="E256" s="556">
        <v>15</v>
      </c>
      <c r="F256" s="3" t="str" cm="1">
        <f t="array" aca="1" ref="F256" ca="1">OFFSET(E256,-1,1)</f>
        <v>2</v>
      </c>
      <c r="G256" s="1214"/>
      <c r="H256" s="17" t="s">
        <v>702</v>
      </c>
      <c r="I256" s="1214"/>
      <c r="J256" s="1214"/>
      <c r="K256" s="1214"/>
      <c r="L256" s="1214"/>
      <c r="M256" s="1214"/>
      <c r="N256" s="1214"/>
      <c r="O256" s="1214"/>
      <c r="P256" s="1194"/>
      <c r="Q256" s="1194"/>
      <c r="R256" s="1194"/>
      <c r="S256" s="1194"/>
      <c r="T256" s="388" t="b" cm="1">
        <f t="array" ref="T256">T255</f>
        <v>0</v>
      </c>
      <c r="U256" s="1194"/>
      <c r="V256" s="1214"/>
      <c r="W256" s="1194"/>
      <c r="X256" s="2032"/>
      <c r="Y256" s="2011"/>
      <c r="Z256" s="1214"/>
      <c r="AA256" s="1214"/>
      <c r="AB256" s="159" t="s">
        <v>703</v>
      </c>
      <c r="AC256" s="252" t="s">
        <v>626</v>
      </c>
      <c r="AD256" s="12" t="s">
        <v>563</v>
      </c>
      <c r="AE256" s="1364"/>
      <c r="AF256" s="1364"/>
      <c r="AG256" s="1364"/>
      <c r="AH256" s="1364"/>
      <c r="AI256" s="194"/>
      <c r="AJ256" s="1364"/>
      <c r="AK256" s="1364"/>
      <c r="AL256" s="1364"/>
      <c r="AM256" s="1364"/>
      <c r="AN256" s="1364"/>
      <c r="AO256" s="1364"/>
      <c r="AP256" s="1364"/>
      <c r="AQ256" s="1364"/>
      <c r="AR256" s="1364"/>
      <c r="AS256" s="194"/>
      <c r="AT256" s="1364"/>
      <c r="AU256" s="1364"/>
      <c r="AV256" s="1364"/>
      <c r="AW256" s="1364"/>
      <c r="AX256" s="1364"/>
      <c r="AY256" s="1364"/>
      <c r="AZ256" s="1364"/>
      <c r="BA256" s="1364"/>
      <c r="BB256" s="1364"/>
      <c r="BC256" s="1365"/>
      <c r="BD256" s="1214"/>
      <c r="BE256" s="1214"/>
      <c r="BF256" s="924" t="s">
        <v>704</v>
      </c>
    </row>
    <row r="257" spans="1:58" s="1334" customFormat="1" ht="14.25" hidden="1" customHeight="1" x14ac:dyDescent="0.15">
      <c r="A257" s="1214"/>
      <c r="B257" s="1083"/>
      <c r="C257" s="1214"/>
      <c r="D257" s="1214"/>
      <c r="E257" s="556">
        <v>15</v>
      </c>
      <c r="F257" s="3" t="str" cm="1">
        <f t="array" aca="1" ref="F257" ca="1">OFFSET(E257,-1,1)</f>
        <v>2</v>
      </c>
      <c r="G257" s="17" t="s">
        <v>632</v>
      </c>
      <c r="H257" s="17" t="s">
        <v>547</v>
      </c>
      <c r="I257" s="1214"/>
      <c r="J257" s="1214"/>
      <c r="K257" s="1214"/>
      <c r="L257" s="1214"/>
      <c r="M257" s="1214"/>
      <c r="N257" s="1214"/>
      <c r="O257" s="1214"/>
      <c r="P257" s="1194"/>
      <c r="Q257" s="1194"/>
      <c r="R257" s="1194"/>
      <c r="S257" s="1194"/>
      <c r="T257" s="388" t="b" cm="1">
        <f t="array" ref="T257">T256</f>
        <v>0</v>
      </c>
      <c r="U257" s="1194"/>
      <c r="V257" s="1214"/>
      <c r="W257" s="1194"/>
      <c r="X257" s="2032"/>
      <c r="Y257" s="2011"/>
      <c r="Z257" s="1214"/>
      <c r="AA257" s="1214"/>
      <c r="AB257" s="159" t="s">
        <v>444</v>
      </c>
      <c r="AC257" s="251" t="s">
        <v>635</v>
      </c>
      <c r="AD257" s="12" t="s">
        <v>563</v>
      </c>
      <c r="AE257" s="262">
        <f t="shared" ref="AE257:BB257" si="65">AE258+AE259</f>
        <v>0</v>
      </c>
      <c r="AF257" s="262">
        <f t="shared" si="65"/>
        <v>0</v>
      </c>
      <c r="AG257" s="262">
        <f t="shared" si="65"/>
        <v>0</v>
      </c>
      <c r="AH257" s="262">
        <f t="shared" si="65"/>
        <v>0</v>
      </c>
      <c r="AI257" s="262">
        <f t="shared" si="65"/>
        <v>0</v>
      </c>
      <c r="AJ257" s="262">
        <f t="shared" si="65"/>
        <v>0</v>
      </c>
      <c r="AK257" s="262">
        <f t="shared" si="65"/>
        <v>0</v>
      </c>
      <c r="AL257" s="262">
        <f t="shared" si="65"/>
        <v>0</v>
      </c>
      <c r="AM257" s="262">
        <f t="shared" si="65"/>
        <v>0</v>
      </c>
      <c r="AN257" s="262">
        <f t="shared" si="65"/>
        <v>0</v>
      </c>
      <c r="AO257" s="262">
        <f t="shared" si="65"/>
        <v>0</v>
      </c>
      <c r="AP257" s="262">
        <f t="shared" si="65"/>
        <v>0</v>
      </c>
      <c r="AQ257" s="262">
        <f t="shared" si="65"/>
        <v>0</v>
      </c>
      <c r="AR257" s="262">
        <f t="shared" si="65"/>
        <v>0</v>
      </c>
      <c r="AS257" s="262">
        <f t="shared" si="65"/>
        <v>0</v>
      </c>
      <c r="AT257" s="262">
        <f t="shared" si="65"/>
        <v>0</v>
      </c>
      <c r="AU257" s="262">
        <f t="shared" si="65"/>
        <v>0</v>
      </c>
      <c r="AV257" s="262">
        <f t="shared" si="65"/>
        <v>0</v>
      </c>
      <c r="AW257" s="262">
        <f t="shared" si="65"/>
        <v>0</v>
      </c>
      <c r="AX257" s="262">
        <f t="shared" si="65"/>
        <v>0</v>
      </c>
      <c r="AY257" s="262">
        <f t="shared" si="65"/>
        <v>0</v>
      </c>
      <c r="AZ257" s="262">
        <f t="shared" si="65"/>
        <v>0</v>
      </c>
      <c r="BA257" s="262">
        <f t="shared" si="65"/>
        <v>0</v>
      </c>
      <c r="BB257" s="262">
        <f t="shared" si="65"/>
        <v>0</v>
      </c>
      <c r="BC257" s="1365"/>
      <c r="BD257" s="1214"/>
      <c r="BE257" s="1214"/>
      <c r="BF257" s="924" t="s">
        <v>705</v>
      </c>
    </row>
    <row r="258" spans="1:58" s="1334" customFormat="1" ht="14.25" hidden="1" customHeight="1" x14ac:dyDescent="0.15">
      <c r="A258" s="1214"/>
      <c r="B258" s="1083"/>
      <c r="C258" s="1214"/>
      <c r="D258" s="1214"/>
      <c r="E258" s="556">
        <v>15</v>
      </c>
      <c r="F258" s="3" t="str" cm="1">
        <f t="array" aca="1" ref="F258" ca="1">OFFSET(E258,-1,1)</f>
        <v>2</v>
      </c>
      <c r="G258" s="1214"/>
      <c r="H258" s="17" t="s">
        <v>706</v>
      </c>
      <c r="I258" s="1214"/>
      <c r="J258" s="1214"/>
      <c r="K258" s="1214"/>
      <c r="L258" s="1214"/>
      <c r="M258" s="1214"/>
      <c r="N258" s="1214"/>
      <c r="O258" s="1214"/>
      <c r="P258" s="1194"/>
      <c r="Q258" s="1194"/>
      <c r="R258" s="1194"/>
      <c r="S258" s="1194"/>
      <c r="T258" s="388" t="b" cm="1">
        <f t="array" ref="T258">T257</f>
        <v>0</v>
      </c>
      <c r="U258" s="1194"/>
      <c r="V258" s="1214"/>
      <c r="W258" s="1194"/>
      <c r="X258" s="2032"/>
      <c r="Y258" s="2011"/>
      <c r="Z258" s="1214"/>
      <c r="AA258" s="1214"/>
      <c r="AB258" s="159" t="s">
        <v>707</v>
      </c>
      <c r="AC258" s="252" t="s">
        <v>639</v>
      </c>
      <c r="AD258" s="12" t="s">
        <v>563</v>
      </c>
      <c r="AE258" s="1364"/>
      <c r="AF258" s="1364"/>
      <c r="AG258" s="1364"/>
      <c r="AH258" s="1364"/>
      <c r="AI258" s="194"/>
      <c r="AJ258" s="1364"/>
      <c r="AK258" s="1364"/>
      <c r="AL258" s="1364"/>
      <c r="AM258" s="1364"/>
      <c r="AN258" s="1364"/>
      <c r="AO258" s="1364"/>
      <c r="AP258" s="1364"/>
      <c r="AQ258" s="1364"/>
      <c r="AR258" s="1364"/>
      <c r="AS258" s="194"/>
      <c r="AT258" s="1364"/>
      <c r="AU258" s="1364"/>
      <c r="AV258" s="1364"/>
      <c r="AW258" s="1364"/>
      <c r="AX258" s="1364"/>
      <c r="AY258" s="1364"/>
      <c r="AZ258" s="1364"/>
      <c r="BA258" s="1364"/>
      <c r="BB258" s="1364"/>
      <c r="BC258" s="1365"/>
      <c r="BD258" s="1214"/>
      <c r="BE258" s="1214"/>
      <c r="BF258" s="924" t="s">
        <v>708</v>
      </c>
    </row>
    <row r="259" spans="1:58" s="1334" customFormat="1" ht="14.25" hidden="1" customHeight="1" x14ac:dyDescent="0.15">
      <c r="A259" s="1214"/>
      <c r="B259" s="1083"/>
      <c r="C259" s="1214"/>
      <c r="D259" s="1214"/>
      <c r="E259" s="556">
        <v>15</v>
      </c>
      <c r="F259" s="3" t="str" cm="1">
        <f t="array" aca="1" ref="F259" ca="1">OFFSET(E259,-1,1)</f>
        <v>2</v>
      </c>
      <c r="G259" s="1214"/>
      <c r="H259" s="17" t="s">
        <v>709</v>
      </c>
      <c r="I259" s="1214"/>
      <c r="J259" s="1214"/>
      <c r="K259" s="1214"/>
      <c r="L259" s="1214"/>
      <c r="M259" s="1214"/>
      <c r="N259" s="1214"/>
      <c r="O259" s="1214"/>
      <c r="P259" s="1194"/>
      <c r="Q259" s="1194"/>
      <c r="R259" s="1194"/>
      <c r="S259" s="1194"/>
      <c r="T259" s="388" t="b" cm="1">
        <f t="array" ref="T259">T258</f>
        <v>0</v>
      </c>
      <c r="U259" s="1194"/>
      <c r="V259" s="1214"/>
      <c r="W259" s="1194"/>
      <c r="X259" s="2032"/>
      <c r="Y259" s="2011"/>
      <c r="Z259" s="1214"/>
      <c r="AA259" s="1214"/>
      <c r="AB259" s="159" t="s">
        <v>710</v>
      </c>
      <c r="AC259" s="252" t="s">
        <v>643</v>
      </c>
      <c r="AD259" s="12" t="s">
        <v>563</v>
      </c>
      <c r="AE259" s="1364"/>
      <c r="AF259" s="1364"/>
      <c r="AG259" s="1364"/>
      <c r="AH259" s="1364"/>
      <c r="AI259" s="194"/>
      <c r="AJ259" s="1364"/>
      <c r="AK259" s="1364"/>
      <c r="AL259" s="1364"/>
      <c r="AM259" s="1364"/>
      <c r="AN259" s="1364"/>
      <c r="AO259" s="1364"/>
      <c r="AP259" s="1364"/>
      <c r="AQ259" s="1364"/>
      <c r="AR259" s="1364"/>
      <c r="AS259" s="194"/>
      <c r="AT259" s="1364"/>
      <c r="AU259" s="1364"/>
      <c r="AV259" s="1364"/>
      <c r="AW259" s="1364"/>
      <c r="AX259" s="1364"/>
      <c r="AY259" s="1364"/>
      <c r="AZ259" s="1364"/>
      <c r="BA259" s="1364"/>
      <c r="BB259" s="1364"/>
      <c r="BC259" s="1365"/>
      <c r="BD259" s="1214"/>
      <c r="BE259" s="1214"/>
      <c r="BF259" s="924" t="s">
        <v>711</v>
      </c>
    </row>
    <row r="260" spans="1:58" s="1334" customFormat="1" ht="21.75" hidden="1" customHeight="1" x14ac:dyDescent="0.15">
      <c r="A260" s="1214"/>
      <c r="B260" s="1083"/>
      <c r="C260" s="1214"/>
      <c r="D260" s="1214"/>
      <c r="E260" s="556">
        <v>22.5</v>
      </c>
      <c r="F260" s="3" t="str" cm="1">
        <f t="array" aca="1" ref="F260" ca="1">OFFSET(E260,-1,1)</f>
        <v>2</v>
      </c>
      <c r="G260" s="1214"/>
      <c r="H260" s="17" t="s">
        <v>591</v>
      </c>
      <c r="I260" s="392"/>
      <c r="J260" s="392"/>
      <c r="K260" s="1214"/>
      <c r="L260" s="1214"/>
      <c r="M260" s="1214"/>
      <c r="N260" s="1214"/>
      <c r="O260" s="1214"/>
      <c r="P260" s="1194"/>
      <c r="Q260" s="1194"/>
      <c r="R260" s="1194"/>
      <c r="S260" s="1194"/>
      <c r="T260" s="388" t="b" cm="1">
        <f t="array" ref="T260">T259</f>
        <v>0</v>
      </c>
      <c r="U260" s="1194"/>
      <c r="V260" s="1214"/>
      <c r="W260" s="1194"/>
      <c r="X260" s="2032"/>
      <c r="Y260" s="2011"/>
      <c r="Z260" s="1214"/>
      <c r="AA260" s="1214"/>
      <c r="AB260" s="159" t="s">
        <v>446</v>
      </c>
      <c r="AC260" s="253" t="s">
        <v>682</v>
      </c>
      <c r="AD260" s="12" t="s">
        <v>563</v>
      </c>
      <c r="AE260" s="1364"/>
      <c r="AF260" s="1364"/>
      <c r="AG260" s="1364"/>
      <c r="AH260" s="1364"/>
      <c r="AI260" s="194"/>
      <c r="AJ260" s="1364"/>
      <c r="AK260" s="1364"/>
      <c r="AL260" s="1364"/>
      <c r="AM260" s="1364"/>
      <c r="AN260" s="1364"/>
      <c r="AO260" s="1364"/>
      <c r="AP260" s="1364"/>
      <c r="AQ260" s="1364"/>
      <c r="AR260" s="1364"/>
      <c r="AS260" s="194"/>
      <c r="AT260" s="1364"/>
      <c r="AU260" s="1364"/>
      <c r="AV260" s="1364"/>
      <c r="AW260" s="1364"/>
      <c r="AX260" s="1364"/>
      <c r="AY260" s="1364"/>
      <c r="AZ260" s="1364"/>
      <c r="BA260" s="1364"/>
      <c r="BB260" s="1364"/>
      <c r="BC260" s="1365"/>
      <c r="BD260" s="1214"/>
      <c r="BE260" s="1214"/>
      <c r="BF260" s="924" t="s">
        <v>712</v>
      </c>
    </row>
    <row r="261" spans="1:58" s="1334" customFormat="1" ht="14.25" hidden="1" customHeight="1" x14ac:dyDescent="0.15">
      <c r="A261" s="1214"/>
      <c r="B261" s="1083"/>
      <c r="C261" s="1214"/>
      <c r="D261" s="1214"/>
      <c r="E261" s="556">
        <v>15</v>
      </c>
      <c r="F261" s="265" t="str" cm="1">
        <f t="array" aca="1" ref="F261" ca="1">OFFSET(E261,-1,1)</f>
        <v>2</v>
      </c>
      <c r="G261" s="1214"/>
      <c r="H261" s="1214"/>
      <c r="I261" s="1214"/>
      <c r="J261" s="1214"/>
      <c r="K261" s="1214"/>
      <c r="L261" s="1214"/>
      <c r="M261" s="1214"/>
      <c r="N261" s="1214"/>
      <c r="O261" s="1214"/>
      <c r="P261" s="1194"/>
      <c r="Q261" s="1194"/>
      <c r="R261" s="1194"/>
      <c r="S261" s="1194"/>
      <c r="T261" s="388" t="b" cm="1">
        <f t="array" ref="T261">T260</f>
        <v>0</v>
      </c>
      <c r="U261" s="1194"/>
      <c r="V261" s="1214"/>
      <c r="W261" s="1194"/>
      <c r="X261" s="2032"/>
      <c r="Y261" s="2011"/>
      <c r="Z261" s="1214"/>
      <c r="AA261" s="1214"/>
      <c r="AB261" s="159" t="s">
        <v>684</v>
      </c>
      <c r="AC261" s="250" t="s">
        <v>685</v>
      </c>
      <c r="AD261" s="12" t="s">
        <v>563</v>
      </c>
      <c r="AE261" s="1364"/>
      <c r="AF261" s="1364"/>
      <c r="AG261" s="1364"/>
      <c r="AH261" s="1364"/>
      <c r="AI261" s="194"/>
      <c r="AJ261" s="1364"/>
      <c r="AK261" s="1364"/>
      <c r="AL261" s="1364"/>
      <c r="AM261" s="1364"/>
      <c r="AN261" s="1364"/>
      <c r="AO261" s="1364"/>
      <c r="AP261" s="1364"/>
      <c r="AQ261" s="1364"/>
      <c r="AR261" s="1364"/>
      <c r="AS261" s="194"/>
      <c r="AT261" s="1364"/>
      <c r="AU261" s="1364"/>
      <c r="AV261" s="1364"/>
      <c r="AW261" s="1364"/>
      <c r="AX261" s="1364"/>
      <c r="AY261" s="1364"/>
      <c r="AZ261" s="1364"/>
      <c r="BA261" s="1364"/>
      <c r="BB261" s="1364"/>
      <c r="BC261" s="1365"/>
      <c r="BD261" s="1214"/>
      <c r="BE261" s="1214"/>
      <c r="BF261" s="924" t="s">
        <v>713</v>
      </c>
    </row>
    <row r="262" spans="1:58" s="1334" customFormat="1" ht="11.25" hidden="1" customHeight="1" x14ac:dyDescent="0.15">
      <c r="A262" s="392"/>
      <c r="B262" s="582"/>
      <c r="C262" s="392"/>
      <c r="D262" s="392"/>
      <c r="E262" s="584" t="s">
        <v>370</v>
      </c>
      <c r="F262" s="1090" t="str" cm="1">
        <f t="array" aca="1" ref="F262" ca="1">OFFSET(E262,-1,1)</f>
        <v>2</v>
      </c>
      <c r="G262" s="392"/>
      <c r="H262" s="392"/>
      <c r="K262" s="17"/>
      <c r="L262" s="392"/>
      <c r="M262" s="392"/>
      <c r="N262" s="392"/>
      <c r="O262" s="392"/>
      <c r="P262" s="392"/>
      <c r="Q262" s="392"/>
      <c r="R262" s="337"/>
      <c r="S262" s="392"/>
      <c r="T262" s="388" t="b">
        <v>0</v>
      </c>
      <c r="U262" s="392"/>
      <c r="V262" s="392"/>
      <c r="W262" s="392"/>
      <c r="X262" s="2032"/>
      <c r="Y262" s="2011"/>
      <c r="Z262" s="392"/>
      <c r="AA262" s="392"/>
      <c r="AC262" s="19"/>
      <c r="AD262" s="19"/>
      <c r="AE262" s="260"/>
      <c r="AF262" s="260"/>
      <c r="AG262" s="260"/>
      <c r="AH262" s="260"/>
      <c r="AI262" s="260"/>
      <c r="AJ262" s="261"/>
      <c r="AK262" s="260"/>
      <c r="AL262" s="260"/>
      <c r="AM262" s="260"/>
      <c r="AN262" s="260"/>
      <c r="AO262" s="260"/>
      <c r="AP262" s="260"/>
      <c r="AQ262" s="260"/>
      <c r="AR262" s="260"/>
      <c r="AS262" s="260"/>
      <c r="AT262" s="260"/>
      <c r="AU262" s="260"/>
      <c r="AV262" s="260"/>
      <c r="AW262" s="260"/>
      <c r="AX262" s="260"/>
      <c r="AY262" s="260"/>
      <c r="AZ262" s="260"/>
      <c r="BA262" s="260"/>
      <c r="BB262" s="260"/>
      <c r="BF262" s="928"/>
    </row>
    <row r="263" spans="1:58" s="1334" customFormat="1" ht="14.25" customHeight="1" x14ac:dyDescent="0.15">
      <c r="A263" s="1214"/>
      <c r="B263" s="1083"/>
      <c r="C263" s="1214"/>
      <c r="D263" s="1214"/>
      <c r="E263" s="556">
        <v>15</v>
      </c>
      <c r="F263" s="3" t="str" cm="1">
        <f t="array" aca="1" ref="F263" ca="1">OFFSET(E263,-1,1)</f>
        <v>2</v>
      </c>
      <c r="G263" s="1214"/>
      <c r="H263" s="1214"/>
      <c r="I263" s="1214"/>
      <c r="J263" s="1214"/>
      <c r="K263" s="1214"/>
      <c r="L263" s="1214"/>
      <c r="M263" s="1214"/>
      <c r="N263" s="1214"/>
      <c r="O263" s="1214"/>
      <c r="P263" s="1194"/>
      <c r="Q263" s="1194"/>
      <c r="R263" s="337" t="b" cm="1">
        <f t="array" ref="R263">INDEX('Общие сведения'!$AN$185:$AN$228,MATCH($X209,'Общие сведения'!$Z$185:$Z$228,0))</f>
        <v>0</v>
      </c>
      <c r="S263" s="405" t="b">
        <f>IF(ISERROR(SEARCH("Водоотведение",AB209)),FALSE,TRUE)</f>
        <v>1</v>
      </c>
      <c r="T263" s="388" t="b">
        <f>AND(X209&gt;0,S263,NOT(R263))</f>
        <v>1</v>
      </c>
      <c r="U263" s="1194"/>
      <c r="V263" s="1214"/>
      <c r="W263" s="1194"/>
      <c r="X263" s="2032"/>
      <c r="Y263" s="2011"/>
      <c r="Z263" s="1214"/>
      <c r="AA263" s="1214"/>
      <c r="AB263" s="159" t="s">
        <v>282</v>
      </c>
      <c r="AC263" s="56" t="s">
        <v>714</v>
      </c>
      <c r="AD263" s="116"/>
      <c r="AE263" s="493" t="str" cm="1">
        <f t="array" ref="AE263">INDEX('Общие сведения'!$AH$185:$AH$228,MATCH($X209,'Общие сведения'!$Z$185:$Z$228,0))</f>
        <v>без дифференциации</v>
      </c>
      <c r="AF263" s="278"/>
      <c r="AG263" s="278"/>
      <c r="AH263" s="278"/>
      <c r="AI263" s="278"/>
      <c r="AJ263" s="278"/>
      <c r="AK263" s="278"/>
      <c r="AL263" s="278"/>
      <c r="AM263" s="278"/>
      <c r="AN263" s="278"/>
      <c r="AO263" s="278"/>
      <c r="AP263" s="278"/>
      <c r="AQ263" s="278"/>
      <c r="AR263" s="278"/>
      <c r="AS263" s="278"/>
      <c r="AT263" s="278"/>
      <c r="AU263" s="278"/>
      <c r="AV263" s="278"/>
      <c r="AW263" s="278"/>
      <c r="AX263" s="278"/>
      <c r="AY263" s="278"/>
      <c r="AZ263" s="278"/>
      <c r="BA263" s="278"/>
      <c r="BB263" s="279"/>
      <c r="BC263" s="119"/>
      <c r="BD263" s="1214"/>
      <c r="BE263" s="1214"/>
      <c r="BF263" s="924" t="s">
        <v>715</v>
      </c>
    </row>
    <row r="264" spans="1:58" s="1334" customFormat="1" ht="14.25" customHeight="1" x14ac:dyDescent="0.15">
      <c r="A264" s="1214"/>
      <c r="B264" s="1083"/>
      <c r="C264" s="1214"/>
      <c r="D264" s="1214"/>
      <c r="E264" s="556">
        <v>15</v>
      </c>
      <c r="F264" s="3" t="str" cm="1">
        <f t="array" aca="1" ref="F264" ca="1">OFFSET(E264,-1,1)</f>
        <v>2</v>
      </c>
      <c r="G264" s="1214"/>
      <c r="H264" s="17" t="s">
        <v>335</v>
      </c>
      <c r="I264" s="1214"/>
      <c r="J264" s="1214"/>
      <c r="K264" s="1214"/>
      <c r="L264" s="1214"/>
      <c r="M264" s="1214"/>
      <c r="N264" s="1214"/>
      <c r="O264" s="1214"/>
      <c r="P264" s="1194"/>
      <c r="Q264" s="1194"/>
      <c r="R264" s="1194"/>
      <c r="S264" s="1194"/>
      <c r="T264" s="388" t="b" cm="1">
        <f t="array" ref="T264">T263</f>
        <v>1</v>
      </c>
      <c r="U264" s="1194"/>
      <c r="V264" s="1214"/>
      <c r="W264" s="1194"/>
      <c r="X264" s="2032"/>
      <c r="Y264" s="2011"/>
      <c r="Z264" s="1214"/>
      <c r="AA264" s="1214"/>
      <c r="AB264" s="159" t="s">
        <v>289</v>
      </c>
      <c r="AC264" s="56" t="s">
        <v>716</v>
      </c>
      <c r="AD264" s="12" t="s">
        <v>563</v>
      </c>
      <c r="AE264" s="263">
        <f t="shared" ref="AE264:BB264" si="66">AE265+AE266+AE279</f>
        <v>2881.4542799999999</v>
      </c>
      <c r="AF264" s="263">
        <f t="shared" si="66"/>
        <v>2636.9479999999999</v>
      </c>
      <c r="AG264" s="263">
        <f t="shared" si="66"/>
        <v>2636.9479999999999</v>
      </c>
      <c r="AH264" s="263">
        <f t="shared" si="66"/>
        <v>2881.4542799999999</v>
      </c>
      <c r="AI264" s="263">
        <f t="shared" si="66"/>
        <v>2636.9479999999999</v>
      </c>
      <c r="AJ264" s="263">
        <f t="shared" si="66"/>
        <v>0</v>
      </c>
      <c r="AK264" s="263">
        <f t="shared" si="66"/>
        <v>0</v>
      </c>
      <c r="AL264" s="263">
        <f t="shared" si="66"/>
        <v>0</v>
      </c>
      <c r="AM264" s="263">
        <f t="shared" si="66"/>
        <v>0</v>
      </c>
      <c r="AN264" s="263">
        <f t="shared" si="66"/>
        <v>0</v>
      </c>
      <c r="AO264" s="263">
        <f t="shared" si="66"/>
        <v>0</v>
      </c>
      <c r="AP264" s="263">
        <f t="shared" si="66"/>
        <v>0</v>
      </c>
      <c r="AQ264" s="263">
        <f t="shared" si="66"/>
        <v>0</v>
      </c>
      <c r="AR264" s="263">
        <f t="shared" si="66"/>
        <v>0</v>
      </c>
      <c r="AS264" s="263">
        <f t="shared" si="66"/>
        <v>2451.4411899999996</v>
      </c>
      <c r="AT264" s="263">
        <f t="shared" si="66"/>
        <v>0</v>
      </c>
      <c r="AU264" s="263">
        <f t="shared" si="66"/>
        <v>0</v>
      </c>
      <c r="AV264" s="263">
        <f t="shared" si="66"/>
        <v>0</v>
      </c>
      <c r="AW264" s="263">
        <f t="shared" si="66"/>
        <v>0</v>
      </c>
      <c r="AX264" s="263">
        <f t="shared" si="66"/>
        <v>0</v>
      </c>
      <c r="AY264" s="263">
        <f t="shared" si="66"/>
        <v>0</v>
      </c>
      <c r="AZ264" s="263">
        <f t="shared" si="66"/>
        <v>0</v>
      </c>
      <c r="BA264" s="263">
        <f t="shared" si="66"/>
        <v>0</v>
      </c>
      <c r="BB264" s="263">
        <f t="shared" si="66"/>
        <v>0</v>
      </c>
      <c r="BC264" s="119"/>
      <c r="BD264" s="1214"/>
      <c r="BE264" s="1214"/>
      <c r="BF264" s="924" t="s">
        <v>717</v>
      </c>
    </row>
    <row r="265" spans="1:58" s="1334" customFormat="1" ht="14.25" customHeight="1" x14ac:dyDescent="0.15">
      <c r="A265" s="1214"/>
      <c r="B265" s="1083"/>
      <c r="C265" s="1214"/>
      <c r="D265" s="1214"/>
      <c r="E265" s="556">
        <v>15</v>
      </c>
      <c r="F265" s="3" t="str" cm="1">
        <f t="array" aca="1" ref="F265" ca="1">OFFSET(E265,-1,1)</f>
        <v>2</v>
      </c>
      <c r="G265" s="17" t="str">
        <f>IF(OwnNeedsInPO="да","ПО","")</f>
        <v>ПО</v>
      </c>
      <c r="H265" s="17" t="s">
        <v>334</v>
      </c>
      <c r="I265" s="1214"/>
      <c r="J265" s="1214"/>
      <c r="K265" s="1214"/>
      <c r="L265" s="1214"/>
      <c r="M265" s="1214"/>
      <c r="N265" s="1214"/>
      <c r="O265" s="1214"/>
      <c r="P265" s="1194"/>
      <c r="Q265" s="1194"/>
      <c r="R265" s="1194"/>
      <c r="S265" s="1194"/>
      <c r="T265" s="388" t="b" cm="1">
        <f t="array" ref="T265">T264</f>
        <v>1</v>
      </c>
      <c r="U265" s="1194"/>
      <c r="V265" s="1214"/>
      <c r="W265" s="1194"/>
      <c r="X265" s="2032"/>
      <c r="Y265" s="2011"/>
      <c r="Z265" s="1214"/>
      <c r="AA265" s="1214"/>
      <c r="AB265" s="159" t="s">
        <v>329</v>
      </c>
      <c r="AC265" s="56" t="s">
        <v>718</v>
      </c>
      <c r="AD265" s="12" t="s">
        <v>563</v>
      </c>
      <c r="AE265" s="194"/>
      <c r="AF265" s="194"/>
      <c r="AG265" s="194"/>
      <c r="AH265" s="194"/>
      <c r="AI265" s="194"/>
      <c r="AJ265" s="1364"/>
      <c r="AK265" s="1364"/>
      <c r="AL265" s="1364"/>
      <c r="AM265" s="1364"/>
      <c r="AN265" s="1364"/>
      <c r="AO265" s="1364"/>
      <c r="AP265" s="194"/>
      <c r="AQ265" s="194"/>
      <c r="AR265" s="194"/>
      <c r="AS265" s="194"/>
      <c r="AT265" s="1364"/>
      <c r="AU265" s="1364"/>
      <c r="AV265" s="1364"/>
      <c r="AW265" s="1364"/>
      <c r="AX265" s="1364"/>
      <c r="AY265" s="1364"/>
      <c r="AZ265" s="194"/>
      <c r="BA265" s="194"/>
      <c r="BB265" s="194"/>
      <c r="BC265" s="119"/>
      <c r="BD265" s="1214"/>
      <c r="BE265" s="1214"/>
      <c r="BF265" s="924" t="s">
        <v>719</v>
      </c>
    </row>
    <row r="266" spans="1:58" s="1334" customFormat="1" ht="14.25" customHeight="1" x14ac:dyDescent="0.15">
      <c r="A266" s="1214"/>
      <c r="B266" s="1083"/>
      <c r="C266" s="1214"/>
      <c r="D266" s="1214"/>
      <c r="E266" s="556">
        <v>15</v>
      </c>
      <c r="F266" s="3" t="str" cm="1">
        <f t="array" aca="1" ref="F266" ca="1">OFFSET(E266,-1,1)</f>
        <v>2</v>
      </c>
      <c r="G266" s="17" t="s">
        <v>632</v>
      </c>
      <c r="H266" s="17" t="s">
        <v>544</v>
      </c>
      <c r="I266" s="1214"/>
      <c r="J266" s="1214"/>
      <c r="K266" s="1214"/>
      <c r="L266" s="1214"/>
      <c r="M266" s="1214"/>
      <c r="N266" s="1214"/>
      <c r="O266" s="1214"/>
      <c r="P266" s="1194"/>
      <c r="Q266" s="1194"/>
      <c r="R266" s="1194"/>
      <c r="S266" s="1194"/>
      <c r="T266" s="388" t="b" cm="1">
        <f t="array" ref="T266">T265</f>
        <v>1</v>
      </c>
      <c r="U266" s="1194"/>
      <c r="V266" s="1214"/>
      <c r="W266" s="1194"/>
      <c r="X266" s="2032"/>
      <c r="Y266" s="2011"/>
      <c r="Z266" s="1214"/>
      <c r="AA266" s="1214"/>
      <c r="AB266" s="159" t="s">
        <v>441</v>
      </c>
      <c r="AC266" s="57" t="s">
        <v>720</v>
      </c>
      <c r="AD266" s="12" t="s">
        <v>563</v>
      </c>
      <c r="AE266" s="262">
        <f t="shared" ref="AE266:BB266" si="67">AE267+AE270+AE273+AE276</f>
        <v>2881.4542799999999</v>
      </c>
      <c r="AF266" s="262">
        <f t="shared" si="67"/>
        <v>2636.9479999999999</v>
      </c>
      <c r="AG266" s="262">
        <f t="shared" si="67"/>
        <v>2636.9479999999999</v>
      </c>
      <c r="AH266" s="262">
        <f t="shared" si="67"/>
        <v>2881.4542799999999</v>
      </c>
      <c r="AI266" s="262">
        <f t="shared" si="67"/>
        <v>2636.9479999999999</v>
      </c>
      <c r="AJ266" s="262">
        <f t="shared" si="67"/>
        <v>0</v>
      </c>
      <c r="AK266" s="262">
        <f t="shared" si="67"/>
        <v>0</v>
      </c>
      <c r="AL266" s="262">
        <f t="shared" si="67"/>
        <v>0</v>
      </c>
      <c r="AM266" s="262">
        <f t="shared" si="67"/>
        <v>0</v>
      </c>
      <c r="AN266" s="262">
        <f t="shared" si="67"/>
        <v>0</v>
      </c>
      <c r="AO266" s="262">
        <f t="shared" si="67"/>
        <v>0</v>
      </c>
      <c r="AP266" s="262">
        <f t="shared" si="67"/>
        <v>0</v>
      </c>
      <c r="AQ266" s="262">
        <f t="shared" si="67"/>
        <v>0</v>
      </c>
      <c r="AR266" s="262">
        <f t="shared" si="67"/>
        <v>0</v>
      </c>
      <c r="AS266" s="262">
        <f t="shared" si="67"/>
        <v>2451.4411899999996</v>
      </c>
      <c r="AT266" s="262">
        <f t="shared" si="67"/>
        <v>0</v>
      </c>
      <c r="AU266" s="262">
        <f t="shared" si="67"/>
        <v>0</v>
      </c>
      <c r="AV266" s="262">
        <f t="shared" si="67"/>
        <v>0</v>
      </c>
      <c r="AW266" s="262">
        <f t="shared" si="67"/>
        <v>0</v>
      </c>
      <c r="AX266" s="262">
        <f t="shared" si="67"/>
        <v>0</v>
      </c>
      <c r="AY266" s="262">
        <f t="shared" si="67"/>
        <v>0</v>
      </c>
      <c r="AZ266" s="262">
        <f t="shared" si="67"/>
        <v>0</v>
      </c>
      <c r="BA266" s="262">
        <f t="shared" si="67"/>
        <v>0</v>
      </c>
      <c r="BB266" s="262">
        <f t="shared" si="67"/>
        <v>0</v>
      </c>
      <c r="BC266" s="119"/>
      <c r="BD266" s="1214"/>
      <c r="BE266" s="1214"/>
      <c r="BF266" s="924" t="s">
        <v>721</v>
      </c>
    </row>
    <row r="267" spans="1:58" s="1334" customFormat="1" ht="14.25" customHeight="1" x14ac:dyDescent="0.15">
      <c r="A267" s="1214"/>
      <c r="B267" s="1083"/>
      <c r="C267" s="1214"/>
      <c r="D267" s="1214"/>
      <c r="E267" s="556">
        <v>15</v>
      </c>
      <c r="F267" s="3" t="str" cm="1">
        <f t="array" aca="1" ref="F267" ca="1">OFFSET(E267,-1,1)</f>
        <v>2</v>
      </c>
      <c r="G267" s="1214"/>
      <c r="H267" s="17" t="s">
        <v>699</v>
      </c>
      <c r="I267" s="1214"/>
      <c r="J267" s="1214"/>
      <c r="K267" s="1214"/>
      <c r="L267" s="1214"/>
      <c r="M267" s="1214"/>
      <c r="N267" s="1214"/>
      <c r="O267" s="1214"/>
      <c r="P267" s="1194"/>
      <c r="Q267" s="1194"/>
      <c r="R267" s="1194"/>
      <c r="S267" s="1194"/>
      <c r="T267" s="388" t="b" cm="1">
        <f t="array" ref="T267">T266</f>
        <v>1</v>
      </c>
      <c r="U267" s="1194"/>
      <c r="V267" s="1214"/>
      <c r="W267" s="1194"/>
      <c r="X267" s="2032"/>
      <c r="Y267" s="2011"/>
      <c r="Z267" s="1214"/>
      <c r="AA267" s="1214"/>
      <c r="AB267" s="159" t="s">
        <v>700</v>
      </c>
      <c r="AC267" s="111" t="s">
        <v>651</v>
      </c>
      <c r="AD267" s="12" t="s">
        <v>563</v>
      </c>
      <c r="AE267" s="262">
        <f t="shared" ref="AE267:BB267" si="68">AE268+AE269</f>
        <v>334.07823000000002</v>
      </c>
      <c r="AF267" s="262">
        <f t="shared" si="68"/>
        <v>259.93099999999998</v>
      </c>
      <c r="AG267" s="262">
        <f t="shared" si="68"/>
        <v>259.93099999999998</v>
      </c>
      <c r="AH267" s="262">
        <f t="shared" si="68"/>
        <v>334.07823000000002</v>
      </c>
      <c r="AI267" s="262">
        <f t="shared" si="68"/>
        <v>259.93099999999998</v>
      </c>
      <c r="AJ267" s="262">
        <f t="shared" si="68"/>
        <v>0</v>
      </c>
      <c r="AK267" s="262">
        <f t="shared" si="68"/>
        <v>0</v>
      </c>
      <c r="AL267" s="262">
        <f t="shared" si="68"/>
        <v>0</v>
      </c>
      <c r="AM267" s="262">
        <f t="shared" si="68"/>
        <v>0</v>
      </c>
      <c r="AN267" s="262">
        <f t="shared" si="68"/>
        <v>0</v>
      </c>
      <c r="AO267" s="262">
        <f t="shared" si="68"/>
        <v>0</v>
      </c>
      <c r="AP267" s="262">
        <f t="shared" si="68"/>
        <v>0</v>
      </c>
      <c r="AQ267" s="262">
        <f t="shared" si="68"/>
        <v>0</v>
      </c>
      <c r="AR267" s="262">
        <f t="shared" si="68"/>
        <v>0</v>
      </c>
      <c r="AS267" s="262">
        <f t="shared" si="68"/>
        <v>167.03912</v>
      </c>
      <c r="AT267" s="262">
        <f t="shared" si="68"/>
        <v>0</v>
      </c>
      <c r="AU267" s="262">
        <f t="shared" si="68"/>
        <v>0</v>
      </c>
      <c r="AV267" s="262">
        <f t="shared" si="68"/>
        <v>0</v>
      </c>
      <c r="AW267" s="262">
        <f t="shared" si="68"/>
        <v>0</v>
      </c>
      <c r="AX267" s="262">
        <f t="shared" si="68"/>
        <v>0</v>
      </c>
      <c r="AY267" s="262">
        <f t="shared" si="68"/>
        <v>0</v>
      </c>
      <c r="AZ267" s="262">
        <f t="shared" si="68"/>
        <v>0</v>
      </c>
      <c r="BA267" s="262">
        <f t="shared" si="68"/>
        <v>0</v>
      </c>
      <c r="BB267" s="262">
        <f t="shared" si="68"/>
        <v>0</v>
      </c>
      <c r="BC267" s="119"/>
      <c r="BD267" s="1214"/>
      <c r="BE267" s="1214"/>
      <c r="BF267" s="924" t="s">
        <v>722</v>
      </c>
    </row>
    <row r="268" spans="1:58" s="1334" customFormat="1" ht="117.75" customHeight="1" x14ac:dyDescent="0.15">
      <c r="A268" s="1214"/>
      <c r="B268" s="1083"/>
      <c r="C268" s="1214"/>
      <c r="D268" s="1214"/>
      <c r="E268" s="556">
        <v>15</v>
      </c>
      <c r="F268" s="3" t="str" cm="1">
        <f t="array" aca="1" ref="F268" ca="1">OFFSET(E268,-1,1)</f>
        <v>2</v>
      </c>
      <c r="G268" s="1214"/>
      <c r="H268" s="17" t="s">
        <v>723</v>
      </c>
      <c r="I268" s="1214"/>
      <c r="J268" s="1214"/>
      <c r="K268" s="1214"/>
      <c r="L268" s="1214"/>
      <c r="M268" s="1214"/>
      <c r="N268" s="1214"/>
      <c r="O268" s="1214"/>
      <c r="P268" s="1194"/>
      <c r="Q268" s="1194"/>
      <c r="R268" s="1194"/>
      <c r="S268" s="1194"/>
      <c r="T268" s="388" t="b" cm="1">
        <f t="array" ref="T268">T267</f>
        <v>1</v>
      </c>
      <c r="U268" s="1194"/>
      <c r="V268" s="1214"/>
      <c r="W268" s="1194"/>
      <c r="X268" s="2032"/>
      <c r="Y268" s="2011"/>
      <c r="Z268" s="1214"/>
      <c r="AA268" s="1214"/>
      <c r="AB268" s="159" t="s">
        <v>724</v>
      </c>
      <c r="AC268" s="254" t="s">
        <v>639</v>
      </c>
      <c r="AD268" s="12" t="s">
        <v>563</v>
      </c>
      <c r="AE268" s="194">
        <v>334.07823000000002</v>
      </c>
      <c r="AF268" s="194">
        <v>259.93099999999998</v>
      </c>
      <c r="AG268" s="194">
        <v>259.93099999999998</v>
      </c>
      <c r="AH268" s="194">
        <v>334.07823000000002</v>
      </c>
      <c r="AI268" s="194">
        <v>259.93099999999998</v>
      </c>
      <c r="AJ268" s="1364"/>
      <c r="AK268" s="1364"/>
      <c r="AL268" s="1364"/>
      <c r="AM268" s="1364"/>
      <c r="AN268" s="1364"/>
      <c r="AO268" s="1364"/>
      <c r="AP268" s="194"/>
      <c r="AQ268" s="194"/>
      <c r="AR268" s="194"/>
      <c r="AS268" s="194">
        <v>167.03912</v>
      </c>
      <c r="AT268" s="1364"/>
      <c r="AU268" s="1364"/>
      <c r="AV268" s="1364"/>
      <c r="AW268" s="1364"/>
      <c r="AX268" s="1364"/>
      <c r="AY268" s="1364"/>
      <c r="AZ268" s="194"/>
      <c r="BA268" s="194"/>
      <c r="BB268" s="194"/>
      <c r="BC268" s="119" t="s">
        <v>801</v>
      </c>
      <c r="BD268" s="1214"/>
      <c r="BE268" s="1214"/>
      <c r="BF268" s="924" t="s">
        <v>725</v>
      </c>
    </row>
    <row r="269" spans="1:58" s="1334" customFormat="1" ht="14.25" customHeight="1" x14ac:dyDescent="0.15">
      <c r="A269" s="1214"/>
      <c r="B269" s="1083"/>
      <c r="C269" s="1214"/>
      <c r="D269" s="1214"/>
      <c r="E269" s="556">
        <v>15</v>
      </c>
      <c r="F269" s="3" t="str" cm="1">
        <f t="array" aca="1" ref="F269" ca="1">OFFSET(E269,-1,1)</f>
        <v>2</v>
      </c>
      <c r="G269" s="1214"/>
      <c r="H269" s="17" t="s">
        <v>726</v>
      </c>
      <c r="I269" s="1214"/>
      <c r="J269" s="1214"/>
      <c r="K269" s="1214"/>
      <c r="L269" s="1214"/>
      <c r="M269" s="1214"/>
      <c r="N269" s="1214"/>
      <c r="O269" s="1214"/>
      <c r="P269" s="1194"/>
      <c r="Q269" s="1194"/>
      <c r="R269" s="1194"/>
      <c r="S269" s="1194"/>
      <c r="T269" s="388" t="b" cm="1">
        <f t="array" ref="T269">T268</f>
        <v>1</v>
      </c>
      <c r="U269" s="1194"/>
      <c r="V269" s="1214"/>
      <c r="W269" s="1194"/>
      <c r="X269" s="2032"/>
      <c r="Y269" s="2011"/>
      <c r="Z269" s="1214"/>
      <c r="AA269" s="1214"/>
      <c r="AB269" s="159" t="s">
        <v>727</v>
      </c>
      <c r="AC269" s="254" t="s">
        <v>643</v>
      </c>
      <c r="AD269" s="12" t="s">
        <v>563</v>
      </c>
      <c r="AE269" s="194"/>
      <c r="AF269" s="194"/>
      <c r="AG269" s="194"/>
      <c r="AH269" s="194"/>
      <c r="AI269" s="194"/>
      <c r="AJ269" s="1364"/>
      <c r="AK269" s="1364"/>
      <c r="AL269" s="1364"/>
      <c r="AM269" s="1364"/>
      <c r="AN269" s="1364"/>
      <c r="AO269" s="1364"/>
      <c r="AP269" s="194"/>
      <c r="AQ269" s="194"/>
      <c r="AR269" s="194"/>
      <c r="AS269" s="194"/>
      <c r="AT269" s="1364"/>
      <c r="AU269" s="1364"/>
      <c r="AV269" s="1364"/>
      <c r="AW269" s="1364"/>
      <c r="AX269" s="1364"/>
      <c r="AY269" s="1364"/>
      <c r="AZ269" s="194"/>
      <c r="BA269" s="194"/>
      <c r="BB269" s="194"/>
      <c r="BC269" s="119"/>
      <c r="BD269" s="1214"/>
      <c r="BE269" s="1214"/>
      <c r="BF269" s="924" t="s">
        <v>728</v>
      </c>
    </row>
    <row r="270" spans="1:58" s="1334" customFormat="1" ht="14.25" customHeight="1" x14ac:dyDescent="0.15">
      <c r="A270" s="1214"/>
      <c r="B270" s="1083"/>
      <c r="C270" s="1214"/>
      <c r="D270" s="1214"/>
      <c r="E270" s="556">
        <v>15</v>
      </c>
      <c r="F270" s="3" t="str" cm="1">
        <f t="array" aca="1" ref="F270" ca="1">OFFSET(E270,-1,1)</f>
        <v>2</v>
      </c>
      <c r="G270" s="17" t="s">
        <v>659</v>
      </c>
      <c r="H270" s="17" t="s">
        <v>702</v>
      </c>
      <c r="I270" s="1214"/>
      <c r="J270" s="1214"/>
      <c r="K270" s="1214"/>
      <c r="L270" s="1214"/>
      <c r="M270" s="1214"/>
      <c r="N270" s="1214"/>
      <c r="O270" s="1214"/>
      <c r="P270" s="1194"/>
      <c r="Q270" s="1194"/>
      <c r="R270" s="1194"/>
      <c r="S270" s="1194"/>
      <c r="T270" s="388" t="b" cm="1">
        <f t="array" ref="T270">T269</f>
        <v>1</v>
      </c>
      <c r="U270" s="1194"/>
      <c r="V270" s="1214"/>
      <c r="W270" s="1194"/>
      <c r="X270" s="2032"/>
      <c r="Y270" s="2011"/>
      <c r="Z270" s="1214"/>
      <c r="AA270" s="1214"/>
      <c r="AB270" s="159" t="s">
        <v>703</v>
      </c>
      <c r="AC270" s="111" t="s">
        <v>662</v>
      </c>
      <c r="AD270" s="12" t="s">
        <v>563</v>
      </c>
      <c r="AE270" s="262">
        <f t="shared" ref="AE270:BB270" si="69">AE271+AE272</f>
        <v>2051.1704500000001</v>
      </c>
      <c r="AF270" s="262">
        <f t="shared" si="69"/>
        <v>1500.87</v>
      </c>
      <c r="AG270" s="262">
        <f t="shared" si="69"/>
        <v>1500.87</v>
      </c>
      <c r="AH270" s="262">
        <f t="shared" si="69"/>
        <v>2051.1704500000001</v>
      </c>
      <c r="AI270" s="262">
        <f t="shared" si="69"/>
        <v>1500.87</v>
      </c>
      <c r="AJ270" s="262">
        <f t="shared" si="69"/>
        <v>0</v>
      </c>
      <c r="AK270" s="262">
        <f t="shared" si="69"/>
        <v>0</v>
      </c>
      <c r="AL270" s="262">
        <f t="shared" si="69"/>
        <v>0</v>
      </c>
      <c r="AM270" s="262">
        <f t="shared" si="69"/>
        <v>0</v>
      </c>
      <c r="AN270" s="262">
        <f t="shared" si="69"/>
        <v>0</v>
      </c>
      <c r="AO270" s="262">
        <f t="shared" si="69"/>
        <v>0</v>
      </c>
      <c r="AP270" s="262">
        <f t="shared" si="69"/>
        <v>0</v>
      </c>
      <c r="AQ270" s="262">
        <f t="shared" si="69"/>
        <v>0</v>
      </c>
      <c r="AR270" s="262">
        <f t="shared" si="69"/>
        <v>0</v>
      </c>
      <c r="AS270" s="262">
        <f t="shared" si="69"/>
        <v>1427.1029699999999</v>
      </c>
      <c r="AT270" s="262">
        <f t="shared" si="69"/>
        <v>0</v>
      </c>
      <c r="AU270" s="262">
        <f t="shared" si="69"/>
        <v>0</v>
      </c>
      <c r="AV270" s="262">
        <f t="shared" si="69"/>
        <v>0</v>
      </c>
      <c r="AW270" s="262">
        <f t="shared" si="69"/>
        <v>0</v>
      </c>
      <c r="AX270" s="262">
        <f t="shared" si="69"/>
        <v>0</v>
      </c>
      <c r="AY270" s="262">
        <f t="shared" si="69"/>
        <v>0</v>
      </c>
      <c r="AZ270" s="262">
        <f t="shared" si="69"/>
        <v>0</v>
      </c>
      <c r="BA270" s="262">
        <f t="shared" si="69"/>
        <v>0</v>
      </c>
      <c r="BB270" s="262">
        <f t="shared" si="69"/>
        <v>0</v>
      </c>
      <c r="BC270" s="119"/>
      <c r="BD270" s="1214"/>
      <c r="BE270" s="1214"/>
      <c r="BF270" s="924" t="s">
        <v>729</v>
      </c>
    </row>
    <row r="271" spans="1:58" s="1334" customFormat="1" ht="117.75" customHeight="1" x14ac:dyDescent="0.15">
      <c r="A271" s="1214"/>
      <c r="B271" s="1083"/>
      <c r="C271" s="1214"/>
      <c r="D271" s="1214"/>
      <c r="E271" s="556">
        <v>15</v>
      </c>
      <c r="F271" s="3" t="str" cm="1">
        <f t="array" aca="1" ref="F271" ca="1">OFFSET(E271,-1,1)</f>
        <v>2</v>
      </c>
      <c r="G271" s="1214"/>
      <c r="H271" s="17" t="s">
        <v>730</v>
      </c>
      <c r="I271" s="1214"/>
      <c r="J271" s="1214"/>
      <c r="K271" s="1214"/>
      <c r="L271" s="1214"/>
      <c r="M271" s="1214"/>
      <c r="N271" s="1214"/>
      <c r="O271" s="1214"/>
      <c r="P271" s="1194"/>
      <c r="Q271" s="1194"/>
      <c r="R271" s="1194"/>
      <c r="S271" s="1194"/>
      <c r="T271" s="388" t="b" cm="1">
        <f t="array" ref="T271">T270</f>
        <v>1</v>
      </c>
      <c r="U271" s="1194"/>
      <c r="V271" s="1214"/>
      <c r="W271" s="1194"/>
      <c r="X271" s="2032"/>
      <c r="Y271" s="2011"/>
      <c r="Z271" s="1214"/>
      <c r="AA271" s="1214"/>
      <c r="AB271" s="159" t="s">
        <v>731</v>
      </c>
      <c r="AC271" s="254" t="s">
        <v>639</v>
      </c>
      <c r="AD271" s="12" t="s">
        <v>563</v>
      </c>
      <c r="AE271" s="194">
        <v>2051.1704500000001</v>
      </c>
      <c r="AF271" s="194">
        <v>1500.87</v>
      </c>
      <c r="AG271" s="194">
        <v>1500.87</v>
      </c>
      <c r="AH271" s="194">
        <v>2051.1704500000001</v>
      </c>
      <c r="AI271" s="194">
        <v>1500.87</v>
      </c>
      <c r="AJ271" s="1364"/>
      <c r="AK271" s="1364"/>
      <c r="AL271" s="1364"/>
      <c r="AM271" s="1364"/>
      <c r="AN271" s="1364"/>
      <c r="AO271" s="1364"/>
      <c r="AP271" s="194"/>
      <c r="AQ271" s="194"/>
      <c r="AR271" s="194"/>
      <c r="AS271" s="194">
        <v>1427.1029699999999</v>
      </c>
      <c r="AT271" s="1364"/>
      <c r="AU271" s="1364"/>
      <c r="AV271" s="1364"/>
      <c r="AW271" s="1364"/>
      <c r="AX271" s="1364"/>
      <c r="AY271" s="1364"/>
      <c r="AZ271" s="194"/>
      <c r="BA271" s="194"/>
      <c r="BB271" s="194"/>
      <c r="BC271" s="119" t="s">
        <v>801</v>
      </c>
      <c r="BD271" s="1214"/>
      <c r="BE271" s="1214"/>
      <c r="BF271" s="924" t="s">
        <v>732</v>
      </c>
    </row>
    <row r="272" spans="1:58" s="1334" customFormat="1" ht="14.25" customHeight="1" x14ac:dyDescent="0.15">
      <c r="A272" s="1214"/>
      <c r="B272" s="1083"/>
      <c r="C272" s="1214"/>
      <c r="D272" s="1214"/>
      <c r="E272" s="556">
        <v>15</v>
      </c>
      <c r="F272" s="3" t="str" cm="1">
        <f t="array" aca="1" ref="F272" ca="1">OFFSET(E272,-1,1)</f>
        <v>2</v>
      </c>
      <c r="G272" s="1214"/>
      <c r="H272" s="17" t="s">
        <v>733</v>
      </c>
      <c r="I272" s="1214"/>
      <c r="J272" s="1214"/>
      <c r="K272" s="1214"/>
      <c r="L272" s="1214"/>
      <c r="M272" s="1214"/>
      <c r="N272" s="1214"/>
      <c r="O272" s="1214"/>
      <c r="P272" s="1194"/>
      <c r="Q272" s="1194"/>
      <c r="R272" s="1194"/>
      <c r="S272" s="1194"/>
      <c r="T272" s="388" t="b" cm="1">
        <f t="array" ref="T272">T271</f>
        <v>1</v>
      </c>
      <c r="U272" s="1194"/>
      <c r="V272" s="1214"/>
      <c r="W272" s="1194"/>
      <c r="X272" s="2032"/>
      <c r="Y272" s="2011"/>
      <c r="Z272" s="1214"/>
      <c r="AA272" s="1214"/>
      <c r="AB272" s="159" t="s">
        <v>734</v>
      </c>
      <c r="AC272" s="254" t="s">
        <v>643</v>
      </c>
      <c r="AD272" s="12" t="s">
        <v>563</v>
      </c>
      <c r="AE272" s="194"/>
      <c r="AF272" s="194"/>
      <c r="AG272" s="194"/>
      <c r="AH272" s="194"/>
      <c r="AI272" s="194"/>
      <c r="AJ272" s="1364"/>
      <c r="AK272" s="1364"/>
      <c r="AL272" s="1364"/>
      <c r="AM272" s="1364"/>
      <c r="AN272" s="1364"/>
      <c r="AO272" s="1364"/>
      <c r="AP272" s="194"/>
      <c r="AQ272" s="194"/>
      <c r="AR272" s="194"/>
      <c r="AS272" s="194"/>
      <c r="AT272" s="1364"/>
      <c r="AU272" s="1364"/>
      <c r="AV272" s="1364"/>
      <c r="AW272" s="1364"/>
      <c r="AX272" s="1364"/>
      <c r="AY272" s="1364"/>
      <c r="AZ272" s="194"/>
      <c r="BA272" s="194"/>
      <c r="BB272" s="194"/>
      <c r="BC272" s="119"/>
      <c r="BD272" s="1214"/>
      <c r="BE272" s="1214"/>
      <c r="BF272" s="924" t="s">
        <v>735</v>
      </c>
    </row>
    <row r="273" spans="1:58" s="1334" customFormat="1" ht="14.25" customHeight="1" x14ac:dyDescent="0.15">
      <c r="A273" s="1214"/>
      <c r="B273" s="1083"/>
      <c r="C273" s="1214"/>
      <c r="D273" s="1214"/>
      <c r="E273" s="556">
        <v>15</v>
      </c>
      <c r="F273" s="3" t="str" cm="1">
        <f t="array" aca="1" ref="F273" ca="1">OFFSET(E273,-1,1)</f>
        <v>2</v>
      </c>
      <c r="G273" s="1214"/>
      <c r="H273" s="17" t="s">
        <v>736</v>
      </c>
      <c r="I273" s="1214"/>
      <c r="J273" s="1214"/>
      <c r="K273" s="1214"/>
      <c r="L273" s="1214"/>
      <c r="M273" s="1214"/>
      <c r="N273" s="1214"/>
      <c r="O273" s="1214"/>
      <c r="P273" s="1194"/>
      <c r="Q273" s="1194"/>
      <c r="R273" s="1194"/>
      <c r="S273" s="1194"/>
      <c r="T273" s="388" t="b" cm="1">
        <f t="array" ref="T273">T272</f>
        <v>1</v>
      </c>
      <c r="U273" s="1194"/>
      <c r="V273" s="1214"/>
      <c r="W273" s="1194"/>
      <c r="X273" s="2032"/>
      <c r="Y273" s="2011"/>
      <c r="Z273" s="1214"/>
      <c r="AA273" s="1214"/>
      <c r="AB273" s="159" t="s">
        <v>737</v>
      </c>
      <c r="AC273" s="111" t="s">
        <v>672</v>
      </c>
      <c r="AD273" s="12" t="s">
        <v>563</v>
      </c>
      <c r="AE273" s="262">
        <f t="shared" ref="AE273:BB273" si="70">AE274+AE275</f>
        <v>496.2056</v>
      </c>
      <c r="AF273" s="262">
        <f t="shared" si="70"/>
        <v>876.14700000000005</v>
      </c>
      <c r="AG273" s="262">
        <f t="shared" si="70"/>
        <v>876.14700000000005</v>
      </c>
      <c r="AH273" s="262">
        <f t="shared" si="70"/>
        <v>496.2056</v>
      </c>
      <c r="AI273" s="262">
        <f t="shared" si="70"/>
        <v>876.14700000000005</v>
      </c>
      <c r="AJ273" s="262">
        <f t="shared" si="70"/>
        <v>0</v>
      </c>
      <c r="AK273" s="262">
        <f t="shared" si="70"/>
        <v>0</v>
      </c>
      <c r="AL273" s="262">
        <f t="shared" si="70"/>
        <v>0</v>
      </c>
      <c r="AM273" s="262">
        <f t="shared" si="70"/>
        <v>0</v>
      </c>
      <c r="AN273" s="262">
        <f t="shared" si="70"/>
        <v>0</v>
      </c>
      <c r="AO273" s="262">
        <f t="shared" si="70"/>
        <v>0</v>
      </c>
      <c r="AP273" s="262">
        <f t="shared" si="70"/>
        <v>0</v>
      </c>
      <c r="AQ273" s="262">
        <f t="shared" si="70"/>
        <v>0</v>
      </c>
      <c r="AR273" s="262">
        <f t="shared" si="70"/>
        <v>0</v>
      </c>
      <c r="AS273" s="262">
        <f t="shared" si="70"/>
        <v>857.29909999999995</v>
      </c>
      <c r="AT273" s="262">
        <f t="shared" si="70"/>
        <v>0</v>
      </c>
      <c r="AU273" s="262">
        <f t="shared" si="70"/>
        <v>0</v>
      </c>
      <c r="AV273" s="262">
        <f t="shared" si="70"/>
        <v>0</v>
      </c>
      <c r="AW273" s="262">
        <f t="shared" si="70"/>
        <v>0</v>
      </c>
      <c r="AX273" s="262">
        <f t="shared" si="70"/>
        <v>0</v>
      </c>
      <c r="AY273" s="262">
        <f t="shared" si="70"/>
        <v>0</v>
      </c>
      <c r="AZ273" s="262">
        <f t="shared" si="70"/>
        <v>0</v>
      </c>
      <c r="BA273" s="262">
        <f t="shared" si="70"/>
        <v>0</v>
      </c>
      <c r="BB273" s="262">
        <f t="shared" si="70"/>
        <v>0</v>
      </c>
      <c r="BC273" s="119"/>
      <c r="BD273" s="1214"/>
      <c r="BE273" s="1214"/>
      <c r="BF273" s="924" t="s">
        <v>738</v>
      </c>
    </row>
    <row r="274" spans="1:58" s="1334" customFormat="1" ht="117.75" customHeight="1" x14ac:dyDescent="0.15">
      <c r="A274" s="1214"/>
      <c r="B274" s="1083"/>
      <c r="C274" s="1214"/>
      <c r="D274" s="1214"/>
      <c r="E274" s="556">
        <v>15</v>
      </c>
      <c r="F274" s="3" t="str" cm="1">
        <f t="array" aca="1" ref="F274" ca="1">OFFSET(E274,-1,1)</f>
        <v>2</v>
      </c>
      <c r="G274" s="1214"/>
      <c r="H274" s="17" t="s">
        <v>739</v>
      </c>
      <c r="I274" s="1214"/>
      <c r="J274" s="1214"/>
      <c r="K274" s="1214"/>
      <c r="L274" s="1214"/>
      <c r="M274" s="1214"/>
      <c r="N274" s="1214"/>
      <c r="O274" s="1214"/>
      <c r="P274" s="1194"/>
      <c r="Q274" s="1194"/>
      <c r="R274" s="1194"/>
      <c r="S274" s="1194"/>
      <c r="T274" s="388" t="b" cm="1">
        <f t="array" ref="T274">T273</f>
        <v>1</v>
      </c>
      <c r="U274" s="1194"/>
      <c r="V274" s="1214"/>
      <c r="W274" s="1194"/>
      <c r="X274" s="2032"/>
      <c r="Y274" s="2011"/>
      <c r="Z274" s="1214"/>
      <c r="AA274" s="1214"/>
      <c r="AB274" s="159" t="s">
        <v>740</v>
      </c>
      <c r="AC274" s="254" t="s">
        <v>639</v>
      </c>
      <c r="AD274" s="12" t="s">
        <v>563</v>
      </c>
      <c r="AE274" s="194">
        <v>496.2056</v>
      </c>
      <c r="AF274" s="194">
        <v>876.14700000000005</v>
      </c>
      <c r="AG274" s="194">
        <v>876.14700000000005</v>
      </c>
      <c r="AH274" s="194">
        <v>496.2056</v>
      </c>
      <c r="AI274" s="194">
        <v>876.14700000000005</v>
      </c>
      <c r="AJ274" s="1364"/>
      <c r="AK274" s="1364"/>
      <c r="AL274" s="1364"/>
      <c r="AM274" s="1364"/>
      <c r="AN274" s="1364"/>
      <c r="AO274" s="1364"/>
      <c r="AP274" s="194"/>
      <c r="AQ274" s="194"/>
      <c r="AR274" s="194"/>
      <c r="AS274" s="194">
        <v>857.29909999999995</v>
      </c>
      <c r="AT274" s="1364"/>
      <c r="AU274" s="1364"/>
      <c r="AV274" s="1364"/>
      <c r="AW274" s="1364"/>
      <c r="AX274" s="1364"/>
      <c r="AY274" s="1364"/>
      <c r="AZ274" s="194"/>
      <c r="BA274" s="194"/>
      <c r="BB274" s="194"/>
      <c r="BC274" s="119" t="s">
        <v>801</v>
      </c>
      <c r="BD274" s="1214"/>
      <c r="BE274" s="1214"/>
      <c r="BF274" s="924" t="s">
        <v>741</v>
      </c>
    </row>
    <row r="275" spans="1:58" s="1334" customFormat="1" ht="14.25" customHeight="1" x14ac:dyDescent="0.15">
      <c r="A275" s="1214"/>
      <c r="B275" s="1083"/>
      <c r="C275" s="1214"/>
      <c r="D275" s="1214"/>
      <c r="E275" s="556">
        <v>15</v>
      </c>
      <c r="F275" s="3" t="str" cm="1">
        <f t="array" aca="1" ref="F275" ca="1">OFFSET(E275,-1,1)</f>
        <v>2</v>
      </c>
      <c r="G275" s="1214"/>
      <c r="H275" s="17" t="s">
        <v>742</v>
      </c>
      <c r="I275" s="1214"/>
      <c r="J275" s="1214"/>
      <c r="K275" s="1214"/>
      <c r="L275" s="1214"/>
      <c r="M275" s="1214"/>
      <c r="N275" s="1214"/>
      <c r="O275" s="1214"/>
      <c r="P275" s="1194"/>
      <c r="Q275" s="1194"/>
      <c r="R275" s="1194"/>
      <c r="S275" s="1194"/>
      <c r="T275" s="388" t="b" cm="1">
        <f t="array" ref="T275">T274</f>
        <v>1</v>
      </c>
      <c r="U275" s="1194"/>
      <c r="V275" s="1214"/>
      <c r="W275" s="1194"/>
      <c r="X275" s="2032"/>
      <c r="Y275" s="2011"/>
      <c r="Z275" s="1214"/>
      <c r="AA275" s="1214"/>
      <c r="AB275" s="159" t="s">
        <v>743</v>
      </c>
      <c r="AC275" s="254" t="s">
        <v>643</v>
      </c>
      <c r="AD275" s="12" t="s">
        <v>563</v>
      </c>
      <c r="AE275" s="194"/>
      <c r="AF275" s="194"/>
      <c r="AG275" s="194"/>
      <c r="AH275" s="194"/>
      <c r="AI275" s="194"/>
      <c r="AJ275" s="1364"/>
      <c r="AK275" s="1364"/>
      <c r="AL275" s="1364"/>
      <c r="AM275" s="1364"/>
      <c r="AN275" s="1364"/>
      <c r="AO275" s="1364"/>
      <c r="AP275" s="194"/>
      <c r="AQ275" s="194"/>
      <c r="AR275" s="194"/>
      <c r="AS275" s="194"/>
      <c r="AT275" s="1364"/>
      <c r="AU275" s="1364"/>
      <c r="AV275" s="1364"/>
      <c r="AW275" s="1364"/>
      <c r="AX275" s="1364"/>
      <c r="AY275" s="1364"/>
      <c r="AZ275" s="194"/>
      <c r="BA275" s="194"/>
      <c r="BB275" s="194"/>
      <c r="BC275" s="119"/>
      <c r="BD275" s="1214"/>
      <c r="BE275" s="1214"/>
      <c r="BF275" s="924" t="s">
        <v>744</v>
      </c>
    </row>
    <row r="276" spans="1:58" s="1334" customFormat="1" ht="14.25" customHeight="1" x14ac:dyDescent="0.15">
      <c r="A276" s="1214"/>
      <c r="B276" s="1083"/>
      <c r="C276" s="1214"/>
      <c r="D276" s="1214"/>
      <c r="E276" s="556">
        <v>15</v>
      </c>
      <c r="F276" s="3" t="str" cm="1">
        <f t="array" aca="1" ref="F276" ca="1">OFFSET(E276,-1,1)</f>
        <v>2</v>
      </c>
      <c r="G276" s="1214"/>
      <c r="H276" s="17" t="s">
        <v>745</v>
      </c>
      <c r="I276" s="1214"/>
      <c r="J276" s="1214"/>
      <c r="K276" s="1214"/>
      <c r="L276" s="1214"/>
      <c r="M276" s="1214"/>
      <c r="N276" s="1214"/>
      <c r="O276" s="1214"/>
      <c r="P276" s="1194"/>
      <c r="Q276" s="1194"/>
      <c r="R276" s="1194"/>
      <c r="S276" s="1194"/>
      <c r="T276" s="388" t="b" cm="1">
        <f t="array" ref="T276">T275</f>
        <v>1</v>
      </c>
      <c r="U276" s="1194"/>
      <c r="V276" s="1214"/>
      <c r="W276" s="1194"/>
      <c r="X276" s="2032"/>
      <c r="Y276" s="2011"/>
      <c r="Z276" s="1214"/>
      <c r="AA276" s="1214"/>
      <c r="AB276" s="159" t="s">
        <v>746</v>
      </c>
      <c r="AC276" s="111" t="s">
        <v>747</v>
      </c>
      <c r="AD276" s="12" t="s">
        <v>563</v>
      </c>
      <c r="AE276" s="262">
        <f t="shared" ref="AE276:BB276" si="71">AE277+AE278</f>
        <v>0</v>
      </c>
      <c r="AF276" s="262">
        <f t="shared" si="71"/>
        <v>0</v>
      </c>
      <c r="AG276" s="262">
        <f t="shared" si="71"/>
        <v>0</v>
      </c>
      <c r="AH276" s="262">
        <f t="shared" si="71"/>
        <v>0</v>
      </c>
      <c r="AI276" s="262">
        <f t="shared" si="71"/>
        <v>0</v>
      </c>
      <c r="AJ276" s="262">
        <f t="shared" si="71"/>
        <v>0</v>
      </c>
      <c r="AK276" s="262">
        <f t="shared" si="71"/>
        <v>0</v>
      </c>
      <c r="AL276" s="262">
        <f t="shared" si="71"/>
        <v>0</v>
      </c>
      <c r="AM276" s="262">
        <f t="shared" si="71"/>
        <v>0</v>
      </c>
      <c r="AN276" s="262">
        <f t="shared" si="71"/>
        <v>0</v>
      </c>
      <c r="AO276" s="262">
        <f t="shared" si="71"/>
        <v>0</v>
      </c>
      <c r="AP276" s="262">
        <f t="shared" si="71"/>
        <v>0</v>
      </c>
      <c r="AQ276" s="262">
        <f t="shared" si="71"/>
        <v>0</v>
      </c>
      <c r="AR276" s="262">
        <f t="shared" si="71"/>
        <v>0</v>
      </c>
      <c r="AS276" s="262">
        <f t="shared" si="71"/>
        <v>0</v>
      </c>
      <c r="AT276" s="262">
        <f t="shared" si="71"/>
        <v>0</v>
      </c>
      <c r="AU276" s="262">
        <f t="shared" si="71"/>
        <v>0</v>
      </c>
      <c r="AV276" s="262">
        <f t="shared" si="71"/>
        <v>0</v>
      </c>
      <c r="AW276" s="262">
        <f t="shared" si="71"/>
        <v>0</v>
      </c>
      <c r="AX276" s="262">
        <f t="shared" si="71"/>
        <v>0</v>
      </c>
      <c r="AY276" s="262">
        <f t="shared" si="71"/>
        <v>0</v>
      </c>
      <c r="AZ276" s="262">
        <f t="shared" si="71"/>
        <v>0</v>
      </c>
      <c r="BA276" s="262">
        <f t="shared" si="71"/>
        <v>0</v>
      </c>
      <c r="BB276" s="262">
        <f t="shared" si="71"/>
        <v>0</v>
      </c>
      <c r="BC276" s="119"/>
      <c r="BD276" s="1214"/>
      <c r="BE276" s="1214"/>
      <c r="BF276" s="924" t="s">
        <v>748</v>
      </c>
    </row>
    <row r="277" spans="1:58" s="1334" customFormat="1" ht="14.25" customHeight="1" x14ac:dyDescent="0.15">
      <c r="A277" s="1214"/>
      <c r="B277" s="1083"/>
      <c r="C277" s="1214"/>
      <c r="D277" s="1214"/>
      <c r="E277" s="556">
        <v>15</v>
      </c>
      <c r="F277" s="3" t="str" cm="1">
        <f t="array" aca="1" ref="F277" ca="1">OFFSET(E277,-1,1)</f>
        <v>2</v>
      </c>
      <c r="G277" s="1214"/>
      <c r="H277" s="17" t="s">
        <v>749</v>
      </c>
      <c r="I277" s="1214"/>
      <c r="J277" s="1214"/>
      <c r="K277" s="1214"/>
      <c r="L277" s="1214"/>
      <c r="M277" s="1214"/>
      <c r="N277" s="1214"/>
      <c r="O277" s="1214"/>
      <c r="P277" s="1194"/>
      <c r="Q277" s="1194"/>
      <c r="R277" s="1194"/>
      <c r="S277" s="1194"/>
      <c r="T277" s="388" t="b" cm="1">
        <f t="array" ref="T277">T276</f>
        <v>1</v>
      </c>
      <c r="U277" s="1194"/>
      <c r="V277" s="1214"/>
      <c r="W277" s="1194"/>
      <c r="X277" s="2032"/>
      <c r="Y277" s="2011"/>
      <c r="Z277" s="1214"/>
      <c r="AA277" s="1214"/>
      <c r="AB277" s="159" t="s">
        <v>750</v>
      </c>
      <c r="AC277" s="248" t="s">
        <v>639</v>
      </c>
      <c r="AD277" s="12" t="s">
        <v>563</v>
      </c>
      <c r="AE277" s="194"/>
      <c r="AF277" s="194"/>
      <c r="AG277" s="194"/>
      <c r="AH277" s="194"/>
      <c r="AI277" s="194"/>
      <c r="AJ277" s="1364"/>
      <c r="AK277" s="1364"/>
      <c r="AL277" s="1364"/>
      <c r="AM277" s="1364"/>
      <c r="AN277" s="1364"/>
      <c r="AO277" s="1364"/>
      <c r="AP277" s="194"/>
      <c r="AQ277" s="194"/>
      <c r="AR277" s="194"/>
      <c r="AS277" s="194"/>
      <c r="AT277" s="1364"/>
      <c r="AU277" s="1364"/>
      <c r="AV277" s="1364"/>
      <c r="AW277" s="1364"/>
      <c r="AX277" s="1364"/>
      <c r="AY277" s="1364"/>
      <c r="AZ277" s="194"/>
      <c r="BA277" s="194"/>
      <c r="BB277" s="194"/>
      <c r="BC277" s="119"/>
      <c r="BD277" s="1214"/>
      <c r="BE277" s="1214"/>
      <c r="BF277" s="924" t="s">
        <v>751</v>
      </c>
    </row>
    <row r="278" spans="1:58" s="1334" customFormat="1" ht="14.25" customHeight="1" x14ac:dyDescent="0.15">
      <c r="A278" s="1214"/>
      <c r="B278" s="1083"/>
      <c r="C278" s="1214"/>
      <c r="D278" s="1214"/>
      <c r="E278" s="556">
        <v>15</v>
      </c>
      <c r="F278" s="3" t="str" cm="1">
        <f t="array" aca="1" ref="F278" ca="1">OFFSET(E278,-1,1)</f>
        <v>2</v>
      </c>
      <c r="G278" s="1214"/>
      <c r="H278" s="17" t="s">
        <v>752</v>
      </c>
      <c r="I278" s="1214"/>
      <c r="J278" s="1214"/>
      <c r="K278" s="1214"/>
      <c r="L278" s="1214"/>
      <c r="M278" s="1214"/>
      <c r="N278" s="1214"/>
      <c r="O278" s="1214"/>
      <c r="P278" s="1194"/>
      <c r="Q278" s="1194"/>
      <c r="R278" s="1194"/>
      <c r="S278" s="1194"/>
      <c r="T278" s="388" t="b" cm="1">
        <f t="array" ref="T278">T277</f>
        <v>1</v>
      </c>
      <c r="U278" s="1194"/>
      <c r="V278" s="1214"/>
      <c r="W278" s="1194"/>
      <c r="X278" s="2032"/>
      <c r="Y278" s="2011"/>
      <c r="Z278" s="1214"/>
      <c r="AA278" s="1214"/>
      <c r="AB278" s="159" t="s">
        <v>753</v>
      </c>
      <c r="AC278" s="248" t="s">
        <v>643</v>
      </c>
      <c r="AD278" s="12" t="s">
        <v>563</v>
      </c>
      <c r="AE278" s="194"/>
      <c r="AF278" s="194"/>
      <c r="AG278" s="194"/>
      <c r="AH278" s="194"/>
      <c r="AI278" s="194"/>
      <c r="AJ278" s="1364"/>
      <c r="AK278" s="1364"/>
      <c r="AL278" s="1364"/>
      <c r="AM278" s="1364"/>
      <c r="AN278" s="1364"/>
      <c r="AO278" s="1364"/>
      <c r="AP278" s="194"/>
      <c r="AQ278" s="194"/>
      <c r="AR278" s="194"/>
      <c r="AS278" s="194"/>
      <c r="AT278" s="1364"/>
      <c r="AU278" s="1364"/>
      <c r="AV278" s="1364"/>
      <c r="AW278" s="1364"/>
      <c r="AX278" s="1364"/>
      <c r="AY278" s="1364"/>
      <c r="AZ278" s="194"/>
      <c r="BA278" s="194"/>
      <c r="BB278" s="194"/>
      <c r="BC278" s="119"/>
      <c r="BD278" s="1214"/>
      <c r="BE278" s="1214"/>
      <c r="BF278" s="924" t="s">
        <v>754</v>
      </c>
    </row>
    <row r="279" spans="1:58" s="1334" customFormat="1" ht="21.75" customHeight="1" x14ac:dyDescent="0.15">
      <c r="A279" s="1214"/>
      <c r="B279" s="1083"/>
      <c r="C279" s="1214"/>
      <c r="D279" s="1214"/>
      <c r="E279" s="556">
        <v>22.5</v>
      </c>
      <c r="F279" s="3" t="str" cm="1">
        <f t="array" aca="1" ref="F279" ca="1">OFFSET(E279,-1,1)</f>
        <v>2</v>
      </c>
      <c r="G279" s="1214"/>
      <c r="H279" s="17" t="s">
        <v>755</v>
      </c>
      <c r="I279" s="1214"/>
      <c r="J279" s="1214"/>
      <c r="K279" s="1214"/>
      <c r="L279" s="1214"/>
      <c r="M279" s="1214"/>
      <c r="N279" s="1214"/>
      <c r="O279" s="1214"/>
      <c r="P279" s="1194"/>
      <c r="Q279" s="1194"/>
      <c r="R279" s="1194"/>
      <c r="S279" s="1194"/>
      <c r="T279" s="388" t="b" cm="1">
        <f t="array" ref="T279">T278</f>
        <v>1</v>
      </c>
      <c r="U279" s="1194"/>
      <c r="V279" s="1214"/>
      <c r="W279" s="1194"/>
      <c r="X279" s="2032"/>
      <c r="Y279" s="2011"/>
      <c r="Z279" s="1214"/>
      <c r="AA279" s="1214"/>
      <c r="AB279" s="159" t="s">
        <v>756</v>
      </c>
      <c r="AC279" s="255" t="s">
        <v>604</v>
      </c>
      <c r="AD279" s="12" t="s">
        <v>563</v>
      </c>
      <c r="AE279" s="194"/>
      <c r="AF279" s="194"/>
      <c r="AG279" s="194"/>
      <c r="AH279" s="194"/>
      <c r="AI279" s="194"/>
      <c r="AJ279" s="1364"/>
      <c r="AK279" s="1364"/>
      <c r="AL279" s="1364"/>
      <c r="AM279" s="1364"/>
      <c r="AN279" s="1364"/>
      <c r="AO279" s="1364"/>
      <c r="AP279" s="194"/>
      <c r="AQ279" s="194"/>
      <c r="AR279" s="194"/>
      <c r="AS279" s="194"/>
      <c r="AT279" s="1364"/>
      <c r="AU279" s="1364"/>
      <c r="AV279" s="1364"/>
      <c r="AW279" s="1364"/>
      <c r="AX279" s="1364"/>
      <c r="AY279" s="1364"/>
      <c r="AZ279" s="194"/>
      <c r="BA279" s="194"/>
      <c r="BB279" s="194"/>
      <c r="BC279" s="119"/>
      <c r="BD279" s="1214"/>
      <c r="BE279" s="1214"/>
      <c r="BF279" s="924" t="s">
        <v>757</v>
      </c>
    </row>
    <row r="280" spans="1:58" s="1334" customFormat="1" ht="33.75" customHeight="1" x14ac:dyDescent="0.15">
      <c r="A280" s="1214"/>
      <c r="B280" s="1083"/>
      <c r="C280" s="1214"/>
      <c r="D280" s="1214"/>
      <c r="E280" s="556">
        <v>15</v>
      </c>
      <c r="F280" s="3" t="str" cm="1">
        <f t="array" aca="1" ref="F280" ca="1">OFFSET(E280,-1,1)</f>
        <v>2</v>
      </c>
      <c r="G280" s="1214"/>
      <c r="H280" s="17" t="s">
        <v>547</v>
      </c>
      <c r="I280" s="1214"/>
      <c r="J280" s="1214"/>
      <c r="K280" s="1214"/>
      <c r="L280" s="1214"/>
      <c r="M280" s="1214"/>
      <c r="N280" s="1214"/>
      <c r="O280" s="1214"/>
      <c r="P280" s="1194"/>
      <c r="Q280" s="1194"/>
      <c r="R280" s="1194"/>
      <c r="S280" s="1194"/>
      <c r="T280" s="388" t="b" cm="1">
        <f t="array" ref="T280">T279</f>
        <v>1</v>
      </c>
      <c r="U280" s="1194"/>
      <c r="V280" s="1214"/>
      <c r="W280" s="1194"/>
      <c r="X280" s="2032"/>
      <c r="Y280" s="2011"/>
      <c r="Z280" s="1214"/>
      <c r="AA280" s="1214"/>
      <c r="AB280" s="159" t="s">
        <v>444</v>
      </c>
      <c r="AC280" s="56" t="s">
        <v>758</v>
      </c>
      <c r="AD280" s="12" t="s">
        <v>563</v>
      </c>
      <c r="AE280" s="194">
        <v>440.702</v>
      </c>
      <c r="AF280" s="194">
        <v>669.55200000000002</v>
      </c>
      <c r="AG280" s="194">
        <v>669.55200000000002</v>
      </c>
      <c r="AH280" s="194">
        <v>440.702</v>
      </c>
      <c r="AI280" s="194">
        <v>669.55200000000002</v>
      </c>
      <c r="AJ280" s="1364"/>
      <c r="AK280" s="1364"/>
      <c r="AL280" s="1364"/>
      <c r="AM280" s="1364"/>
      <c r="AN280" s="1364"/>
      <c r="AO280" s="1364"/>
      <c r="AP280" s="194"/>
      <c r="AQ280" s="194"/>
      <c r="AR280" s="194"/>
      <c r="AS280" s="194">
        <f>644.69107+24.861</f>
        <v>669.55206999999996</v>
      </c>
      <c r="AT280" s="1364"/>
      <c r="AU280" s="1364"/>
      <c r="AV280" s="1364"/>
      <c r="AW280" s="1364"/>
      <c r="AX280" s="1364"/>
      <c r="AY280" s="1364"/>
      <c r="AZ280" s="194"/>
      <c r="BA280" s="194"/>
      <c r="BB280" s="194"/>
      <c r="BC280" s="119" t="s">
        <v>802</v>
      </c>
      <c r="BD280" s="1214"/>
      <c r="BE280" s="1214"/>
      <c r="BF280" s="924" t="s">
        <v>759</v>
      </c>
    </row>
    <row r="281" spans="1:58" s="1334" customFormat="1" ht="14.65" customHeight="1" x14ac:dyDescent="0.15">
      <c r="A281" s="1214"/>
      <c r="B281" s="1083"/>
      <c r="C281" s="1214"/>
      <c r="D281" s="1214"/>
      <c r="E281" s="556">
        <v>15</v>
      </c>
      <c r="F281" s="3" t="str" cm="1">
        <f t="array" aca="1" ref="F281" ca="1">OFFSET(E281,-1,1)</f>
        <v>2</v>
      </c>
      <c r="G281" s="1214"/>
      <c r="H281" s="17" t="s">
        <v>591</v>
      </c>
      <c r="I281" s="1214"/>
      <c r="J281" s="1214"/>
      <c r="K281" s="1214"/>
      <c r="L281" s="1214"/>
      <c r="M281" s="1214"/>
      <c r="N281" s="1214"/>
      <c r="O281" s="1214"/>
      <c r="P281" s="1194"/>
      <c r="Q281" s="1194"/>
      <c r="R281" s="1194"/>
      <c r="S281" s="1194"/>
      <c r="T281" s="388" t="b" cm="1">
        <f t="array" ref="T281">T280</f>
        <v>1</v>
      </c>
      <c r="U281" s="1194"/>
      <c r="V281" s="1214"/>
      <c r="W281" s="1194"/>
      <c r="X281" s="2032"/>
      <c r="Y281" s="2011"/>
      <c r="Z281" s="1214"/>
      <c r="AA281" s="1214"/>
      <c r="AB281" s="159" t="s">
        <v>446</v>
      </c>
      <c r="AC281" s="56" t="s">
        <v>760</v>
      </c>
      <c r="AD281" s="12" t="s">
        <v>563</v>
      </c>
      <c r="AE281" s="194">
        <v>3322.1562800000002</v>
      </c>
      <c r="AF281" s="194">
        <v>3306.5</v>
      </c>
      <c r="AG281" s="194">
        <v>3306.5</v>
      </c>
      <c r="AH281" s="194">
        <v>3322.1562800000002</v>
      </c>
      <c r="AI281" s="194">
        <v>3306.5</v>
      </c>
      <c r="AJ281" s="1364"/>
      <c r="AK281" s="1364"/>
      <c r="AL281" s="1364"/>
      <c r="AM281" s="1364"/>
      <c r="AN281" s="1364"/>
      <c r="AO281" s="1364"/>
      <c r="AP281" s="194"/>
      <c r="AQ281" s="194"/>
      <c r="AR281" s="194"/>
      <c r="AS281" s="194">
        <f>AS280+AS264</f>
        <v>3120.9932599999993</v>
      </c>
      <c r="AT281" s="1364"/>
      <c r="AU281" s="1364"/>
      <c r="AV281" s="1364"/>
      <c r="AW281" s="1364"/>
      <c r="AX281" s="1364"/>
      <c r="AY281" s="1364"/>
      <c r="AZ281" s="194"/>
      <c r="BA281" s="194"/>
      <c r="BB281" s="194"/>
      <c r="BC281" s="119"/>
      <c r="BD281" s="1214"/>
      <c r="BE281" s="1214"/>
      <c r="BF281" s="924" t="s">
        <v>761</v>
      </c>
    </row>
    <row r="282" spans="1:58" s="1334" customFormat="1" ht="14.65" customHeight="1" x14ac:dyDescent="0.15">
      <c r="A282" s="1214"/>
      <c r="B282" s="1083"/>
      <c r="C282" s="1214"/>
      <c r="D282" s="1214"/>
      <c r="E282" s="556">
        <v>15</v>
      </c>
      <c r="F282" s="3" t="str" cm="1">
        <f t="array" aca="1" ref="F282" ca="1">OFFSET(E282,-1,1)</f>
        <v>2</v>
      </c>
      <c r="G282" s="1214"/>
      <c r="H282" s="17" t="s">
        <v>606</v>
      </c>
      <c r="I282" s="1214"/>
      <c r="J282" s="1214"/>
      <c r="K282" s="1214"/>
      <c r="L282" s="1214"/>
      <c r="M282" s="1214"/>
      <c r="N282" s="1214"/>
      <c r="O282" s="1214"/>
      <c r="P282" s="1194"/>
      <c r="Q282" s="1194"/>
      <c r="R282" s="1194"/>
      <c r="S282" s="1194"/>
      <c r="T282" s="388" t="b" cm="1">
        <f t="array" ref="T282">T281</f>
        <v>1</v>
      </c>
      <c r="U282" s="1194"/>
      <c r="V282" s="1214"/>
      <c r="W282" s="1194"/>
      <c r="X282" s="2032"/>
      <c r="Y282" s="2011"/>
      <c r="Z282" s="1214"/>
      <c r="AA282" s="1214"/>
      <c r="AB282" s="159" t="s">
        <v>448</v>
      </c>
      <c r="AC282" s="56" t="s">
        <v>762</v>
      </c>
      <c r="AD282" s="12" t="s">
        <v>563</v>
      </c>
      <c r="AE282" s="194">
        <v>3322.1562800000002</v>
      </c>
      <c r="AF282" s="194">
        <v>3306.5</v>
      </c>
      <c r="AG282" s="194">
        <v>3306.5</v>
      </c>
      <c r="AH282" s="194">
        <v>3322.1562800000002</v>
      </c>
      <c r="AI282" s="194">
        <v>3306.5</v>
      </c>
      <c r="AJ282" s="1364"/>
      <c r="AK282" s="1364"/>
      <c r="AL282" s="1364"/>
      <c r="AM282" s="1364"/>
      <c r="AN282" s="1364"/>
      <c r="AO282" s="1364"/>
      <c r="AP282" s="194"/>
      <c r="AQ282" s="194"/>
      <c r="AR282" s="194"/>
      <c r="AS282" s="194">
        <v>3120.9932600000002</v>
      </c>
      <c r="AT282" s="1364"/>
      <c r="AU282" s="1364"/>
      <c r="AV282" s="1364"/>
      <c r="AW282" s="1364"/>
      <c r="AX282" s="1364"/>
      <c r="AY282" s="1364"/>
      <c r="AZ282" s="194"/>
      <c r="BA282" s="194"/>
      <c r="BB282" s="194"/>
      <c r="BC282" s="119"/>
      <c r="BD282" s="1214"/>
      <c r="BE282" s="1214"/>
      <c r="BF282" s="924" t="s">
        <v>763</v>
      </c>
    </row>
    <row r="283" spans="1:58" s="1334" customFormat="1" ht="14.25" customHeight="1" x14ac:dyDescent="0.15">
      <c r="A283" s="1214"/>
      <c r="B283" s="1083"/>
      <c r="C283" s="1214"/>
      <c r="D283" s="1214"/>
      <c r="E283" s="556">
        <v>15</v>
      </c>
      <c r="F283" s="3" t="str" cm="1">
        <f t="array" aca="1" ref="F283" ca="1">OFFSET(E283,-1,1)</f>
        <v>2</v>
      </c>
      <c r="G283" s="1214"/>
      <c r="H283" s="17" t="s">
        <v>613</v>
      </c>
      <c r="I283" s="1214"/>
      <c r="J283" s="1214"/>
      <c r="K283" s="1214"/>
      <c r="L283" s="1214"/>
      <c r="M283" s="1214"/>
      <c r="N283" s="1214"/>
      <c r="O283" s="1214"/>
      <c r="P283" s="1194"/>
      <c r="Q283" s="1194"/>
      <c r="R283" s="1194"/>
      <c r="S283" s="1194"/>
      <c r="T283" s="388" t="b" cm="1">
        <f t="array" ref="T283">T282</f>
        <v>1</v>
      </c>
      <c r="U283" s="1194"/>
      <c r="V283" s="1214"/>
      <c r="W283" s="1194"/>
      <c r="X283" s="2032"/>
      <c r="Y283" s="2011"/>
      <c r="Z283" s="1214"/>
      <c r="AA283" s="1214"/>
      <c r="AB283" s="159" t="s">
        <v>450</v>
      </c>
      <c r="AC283" s="57" t="s">
        <v>764</v>
      </c>
      <c r="AD283" s="12" t="s">
        <v>563</v>
      </c>
      <c r="AE283" s="262">
        <f t="shared" ref="AE283:BB283" si="72">AE284+AE285</f>
        <v>0</v>
      </c>
      <c r="AF283" s="262">
        <f t="shared" si="72"/>
        <v>0</v>
      </c>
      <c r="AG283" s="262">
        <f t="shared" si="72"/>
        <v>0</v>
      </c>
      <c r="AH283" s="262">
        <f t="shared" si="72"/>
        <v>0</v>
      </c>
      <c r="AI283" s="262">
        <f t="shared" si="72"/>
        <v>0</v>
      </c>
      <c r="AJ283" s="262">
        <f t="shared" si="72"/>
        <v>0</v>
      </c>
      <c r="AK283" s="262">
        <f t="shared" si="72"/>
        <v>0</v>
      </c>
      <c r="AL283" s="262">
        <f t="shared" si="72"/>
        <v>0</v>
      </c>
      <c r="AM283" s="262">
        <f t="shared" si="72"/>
        <v>0</v>
      </c>
      <c r="AN283" s="262">
        <f t="shared" si="72"/>
        <v>0</v>
      </c>
      <c r="AO283" s="262">
        <f t="shared" si="72"/>
        <v>0</v>
      </c>
      <c r="AP283" s="262">
        <f t="shared" si="72"/>
        <v>0</v>
      </c>
      <c r="AQ283" s="262">
        <f t="shared" si="72"/>
        <v>0</v>
      </c>
      <c r="AR283" s="262">
        <f t="shared" si="72"/>
        <v>0</v>
      </c>
      <c r="AS283" s="262">
        <f t="shared" si="72"/>
        <v>0</v>
      </c>
      <c r="AT283" s="262">
        <f t="shared" si="72"/>
        <v>0</v>
      </c>
      <c r="AU283" s="262">
        <f t="shared" si="72"/>
        <v>0</v>
      </c>
      <c r="AV283" s="262">
        <f t="shared" si="72"/>
        <v>0</v>
      </c>
      <c r="AW283" s="262">
        <f t="shared" si="72"/>
        <v>0</v>
      </c>
      <c r="AX283" s="262">
        <f t="shared" si="72"/>
        <v>0</v>
      </c>
      <c r="AY283" s="262">
        <f t="shared" si="72"/>
        <v>0</v>
      </c>
      <c r="AZ283" s="262">
        <f t="shared" si="72"/>
        <v>0</v>
      </c>
      <c r="BA283" s="262">
        <f t="shared" si="72"/>
        <v>0</v>
      </c>
      <c r="BB283" s="262">
        <f t="shared" si="72"/>
        <v>0</v>
      </c>
      <c r="BC283" s="119"/>
      <c r="BD283" s="1214"/>
      <c r="BE283" s="1214"/>
      <c r="BF283" s="924" t="s">
        <v>765</v>
      </c>
    </row>
    <row r="284" spans="1:58" s="1334" customFormat="1" ht="14.25" customHeight="1" x14ac:dyDescent="0.15">
      <c r="A284" s="1214"/>
      <c r="B284" s="1083"/>
      <c r="C284" s="1214"/>
      <c r="D284" s="1214"/>
      <c r="E284" s="556">
        <v>15</v>
      </c>
      <c r="F284" s="3" t="str" cm="1">
        <f t="array" aca="1" ref="F284" ca="1">OFFSET(E284,-1,1)</f>
        <v>2</v>
      </c>
      <c r="G284" s="1214"/>
      <c r="H284" s="17" t="s">
        <v>616</v>
      </c>
      <c r="I284" s="1214"/>
      <c r="J284" s="1214"/>
      <c r="K284" s="1214"/>
      <c r="L284" s="1214"/>
      <c r="M284" s="1214"/>
      <c r="N284" s="1214"/>
      <c r="O284" s="1214"/>
      <c r="P284" s="1194"/>
      <c r="Q284" s="1194"/>
      <c r="R284" s="1194"/>
      <c r="S284" s="1194"/>
      <c r="T284" s="388" t="b" cm="1">
        <f t="array" ref="T284">T283</f>
        <v>1</v>
      </c>
      <c r="U284" s="1194"/>
      <c r="V284" s="1214"/>
      <c r="W284" s="1194"/>
      <c r="X284" s="2032"/>
      <c r="Y284" s="2011"/>
      <c r="Z284" s="1214"/>
      <c r="AA284" s="1214"/>
      <c r="AB284" s="159" t="s">
        <v>617</v>
      </c>
      <c r="AC284" s="111" t="s">
        <v>766</v>
      </c>
      <c r="AD284" s="12" t="s">
        <v>563</v>
      </c>
      <c r="AE284" s="194"/>
      <c r="AF284" s="194"/>
      <c r="AG284" s="194"/>
      <c r="AH284" s="194"/>
      <c r="AI284" s="194"/>
      <c r="AJ284" s="1364"/>
      <c r="AK284" s="1364"/>
      <c r="AL284" s="1364"/>
      <c r="AM284" s="1364"/>
      <c r="AN284" s="1364"/>
      <c r="AO284" s="1364"/>
      <c r="AP284" s="194"/>
      <c r="AQ284" s="194"/>
      <c r="AR284" s="194"/>
      <c r="AS284" s="194"/>
      <c r="AT284" s="1364"/>
      <c r="AU284" s="1364"/>
      <c r="AV284" s="1364"/>
      <c r="AW284" s="1364"/>
      <c r="AX284" s="1364"/>
      <c r="AY284" s="1364"/>
      <c r="AZ284" s="194"/>
      <c r="BA284" s="194"/>
      <c r="BB284" s="194"/>
      <c r="BC284" s="119"/>
      <c r="BD284" s="1214"/>
      <c r="BE284" s="1214"/>
      <c r="BF284" s="924" t="s">
        <v>767</v>
      </c>
    </row>
    <row r="285" spans="1:58" s="1334" customFormat="1" ht="14.25" customHeight="1" x14ac:dyDescent="0.15">
      <c r="A285" s="1214"/>
      <c r="B285" s="1083"/>
      <c r="C285" s="1214"/>
      <c r="D285" s="1214"/>
      <c r="E285" s="556">
        <v>15</v>
      </c>
      <c r="F285" s="3" t="str" cm="1">
        <f t="array" aca="1" ref="F285" ca="1">OFFSET(E285,-1,1)</f>
        <v>2</v>
      </c>
      <c r="G285" s="1214"/>
      <c r="H285" s="17" t="s">
        <v>633</v>
      </c>
      <c r="I285" s="1214"/>
      <c r="J285" s="1214"/>
      <c r="K285" s="1214"/>
      <c r="L285" s="1214"/>
      <c r="M285" s="1214"/>
      <c r="N285" s="1214"/>
      <c r="O285" s="1214"/>
      <c r="P285" s="1194"/>
      <c r="Q285" s="1194"/>
      <c r="R285" s="1194"/>
      <c r="S285" s="1194"/>
      <c r="T285" s="388" t="b" cm="1">
        <f t="array" ref="T285">T284</f>
        <v>1</v>
      </c>
      <c r="U285" s="1194"/>
      <c r="V285" s="1214"/>
      <c r="W285" s="1194"/>
      <c r="X285" s="2032"/>
      <c r="Y285" s="2011"/>
      <c r="Z285" s="1214"/>
      <c r="AA285" s="1214"/>
      <c r="AB285" s="159" t="s">
        <v>634</v>
      </c>
      <c r="AC285" s="111" t="s">
        <v>768</v>
      </c>
      <c r="AD285" s="12" t="s">
        <v>563</v>
      </c>
      <c r="AE285" s="194"/>
      <c r="AF285" s="194"/>
      <c r="AG285" s="194"/>
      <c r="AH285" s="194"/>
      <c r="AI285" s="194"/>
      <c r="AJ285" s="1364"/>
      <c r="AK285" s="1364"/>
      <c r="AL285" s="1364"/>
      <c r="AM285" s="1364"/>
      <c r="AN285" s="1364"/>
      <c r="AO285" s="1364"/>
      <c r="AP285" s="194"/>
      <c r="AQ285" s="194"/>
      <c r="AR285" s="194"/>
      <c r="AS285" s="194"/>
      <c r="AT285" s="1364"/>
      <c r="AU285" s="1364"/>
      <c r="AV285" s="1364"/>
      <c r="AW285" s="1364"/>
      <c r="AX285" s="1364"/>
      <c r="AY285" s="1364"/>
      <c r="AZ285" s="194"/>
      <c r="BA285" s="194"/>
      <c r="BB285" s="194"/>
      <c r="BC285" s="119"/>
      <c r="BD285" s="1214"/>
      <c r="BE285" s="1214"/>
      <c r="BF285" s="924" t="s">
        <v>769</v>
      </c>
    </row>
    <row r="286" spans="1:58" s="1334" customFormat="1" ht="21.75" customHeight="1" x14ac:dyDescent="0.15">
      <c r="A286" s="1214"/>
      <c r="B286" s="1083"/>
      <c r="C286" s="1214"/>
      <c r="D286" s="1214"/>
      <c r="E286" s="556">
        <v>22.5</v>
      </c>
      <c r="F286" s="3" t="str" cm="1">
        <f t="array" aca="1" ref="F286" ca="1">OFFSET(E286,-1,1)</f>
        <v>2</v>
      </c>
      <c r="G286" s="1214"/>
      <c r="H286" s="17" t="s">
        <v>770</v>
      </c>
      <c r="I286" s="1214"/>
      <c r="J286" s="1214"/>
      <c r="K286" s="1214"/>
      <c r="L286" s="1214"/>
      <c r="M286" s="1214"/>
      <c r="N286" s="1214"/>
      <c r="O286" s="1214"/>
      <c r="P286" s="1194"/>
      <c r="Q286" s="1194"/>
      <c r="R286" s="1194"/>
      <c r="S286" s="1194"/>
      <c r="T286" s="388" t="b" cm="1">
        <f t="array" ref="T286">T285</f>
        <v>1</v>
      </c>
      <c r="U286" s="1194"/>
      <c r="V286" s="1214"/>
      <c r="W286" s="1194"/>
      <c r="X286" s="2032"/>
      <c r="Y286" s="2011"/>
      <c r="Z286" s="1214"/>
      <c r="AA286" s="1214"/>
      <c r="AB286" s="159" t="s">
        <v>469</v>
      </c>
      <c r="AC286" s="256" t="s">
        <v>682</v>
      </c>
      <c r="AD286" s="12" t="s">
        <v>563</v>
      </c>
      <c r="AE286" s="194"/>
      <c r="AF286" s="194"/>
      <c r="AG286" s="194"/>
      <c r="AH286" s="194"/>
      <c r="AI286" s="194"/>
      <c r="AJ286" s="1364"/>
      <c r="AK286" s="1364"/>
      <c r="AL286" s="1364"/>
      <c r="AM286" s="1364"/>
      <c r="AN286" s="1364"/>
      <c r="AO286" s="1364"/>
      <c r="AP286" s="194"/>
      <c r="AQ286" s="194"/>
      <c r="AR286" s="194"/>
      <c r="AS286" s="194"/>
      <c r="AT286" s="1364"/>
      <c r="AU286" s="1364"/>
      <c r="AV286" s="1364"/>
      <c r="AW286" s="1364"/>
      <c r="AX286" s="1364"/>
      <c r="AY286" s="1364"/>
      <c r="AZ286" s="194"/>
      <c r="BA286" s="194"/>
      <c r="BB286" s="194"/>
      <c r="BC286" s="119"/>
      <c r="BD286" s="1214"/>
      <c r="BE286" s="1214"/>
      <c r="BF286" s="924" t="s">
        <v>771</v>
      </c>
    </row>
    <row r="287" spans="1:58" s="1334" customFormat="1" ht="14.25" customHeight="1" x14ac:dyDescent="0.15">
      <c r="A287" s="1214"/>
      <c r="B287" s="1083"/>
      <c r="C287" s="1214"/>
      <c r="D287" s="1214"/>
      <c r="E287" s="556">
        <v>15</v>
      </c>
      <c r="F287" s="3" t="str" cm="1">
        <f t="array" aca="1" ref="F287" ca="1">OFFSET(E287,-1,1)</f>
        <v>2</v>
      </c>
      <c r="G287" s="1214"/>
      <c r="H287" s="17" t="s">
        <v>772</v>
      </c>
      <c r="I287" s="1214"/>
      <c r="J287" s="1214"/>
      <c r="K287" s="1214"/>
      <c r="L287" s="1214"/>
      <c r="M287" s="1214"/>
      <c r="N287" s="1214"/>
      <c r="O287" s="1214"/>
      <c r="P287" s="1194"/>
      <c r="Q287" s="1194"/>
      <c r="R287" s="1194"/>
      <c r="S287" s="1194"/>
      <c r="T287" s="388" t="b" cm="1">
        <f t="array" ref="T287">T286</f>
        <v>1</v>
      </c>
      <c r="U287" s="1194"/>
      <c r="V287" s="1214"/>
      <c r="W287" s="1194"/>
      <c r="X287" s="2032"/>
      <c r="Y287" s="2011"/>
      <c r="Z287" s="1214"/>
      <c r="AA287" s="1214"/>
      <c r="AB287" s="159" t="s">
        <v>472</v>
      </c>
      <c r="AC287" s="56" t="s">
        <v>773</v>
      </c>
      <c r="AD287" s="12" t="s">
        <v>563</v>
      </c>
      <c r="AE287" s="194"/>
      <c r="AF287" s="194"/>
      <c r="AG287" s="194"/>
      <c r="AH287" s="194"/>
      <c r="AI287" s="194"/>
      <c r="AJ287" s="1364"/>
      <c r="AK287" s="1364"/>
      <c r="AL287" s="1364"/>
      <c r="AM287" s="1364"/>
      <c r="AN287" s="1364"/>
      <c r="AO287" s="1364"/>
      <c r="AP287" s="194"/>
      <c r="AQ287" s="194"/>
      <c r="AR287" s="194"/>
      <c r="AS287" s="194"/>
      <c r="AT287" s="1364"/>
      <c r="AU287" s="1364"/>
      <c r="AV287" s="1364"/>
      <c r="AW287" s="1364"/>
      <c r="AX287" s="1364"/>
      <c r="AY287" s="1364"/>
      <c r="AZ287" s="194"/>
      <c r="BA287" s="194"/>
      <c r="BB287" s="194"/>
      <c r="BC287" s="119"/>
      <c r="BD287" s="1214"/>
      <c r="BE287" s="1214"/>
      <c r="BF287" s="924" t="s">
        <v>774</v>
      </c>
    </row>
    <row r="288" spans="1:58" s="1334" customFormat="1" ht="11.25" hidden="1" customHeight="1" x14ac:dyDescent="0.15">
      <c r="A288" s="392"/>
      <c r="B288" s="582"/>
      <c r="C288" s="392"/>
      <c r="D288" s="392"/>
      <c r="E288" s="584" t="s">
        <v>370</v>
      </c>
      <c r="F288" s="1090" t="str" cm="1">
        <f t="array" aca="1" ref="F288" ca="1">OFFSET(E288,-1,1)</f>
        <v>2</v>
      </c>
      <c r="G288" s="392"/>
      <c r="H288" s="392"/>
      <c r="I288" s="392"/>
      <c r="J288" s="392"/>
      <c r="K288" s="17"/>
      <c r="L288" s="392"/>
      <c r="M288" s="392"/>
      <c r="N288" s="392"/>
      <c r="O288" s="392"/>
      <c r="P288" s="392"/>
      <c r="Q288" s="392"/>
      <c r="R288" s="337"/>
      <c r="S288" s="337"/>
      <c r="T288" s="388" t="b">
        <v>0</v>
      </c>
      <c r="U288" s="392"/>
      <c r="V288" s="392"/>
      <c r="W288" s="392"/>
      <c r="X288" s="2032"/>
      <c r="Y288" s="2011"/>
      <c r="Z288" s="392"/>
      <c r="AA288" s="392"/>
      <c r="AC288" s="19"/>
      <c r="AD288" s="19"/>
      <c r="AE288" s="260"/>
      <c r="AF288" s="260"/>
      <c r="AG288" s="260"/>
      <c r="AH288" s="260"/>
      <c r="AI288" s="260"/>
      <c r="AJ288" s="261"/>
      <c r="AK288" s="260"/>
      <c r="AL288" s="260"/>
      <c r="AM288" s="260"/>
      <c r="AN288" s="260"/>
      <c r="AO288" s="260"/>
      <c r="AP288" s="260"/>
      <c r="AQ288" s="260"/>
      <c r="AR288" s="260"/>
      <c r="AS288" s="260"/>
      <c r="AT288" s="260"/>
      <c r="AU288" s="260"/>
      <c r="AV288" s="260"/>
      <c r="AW288" s="260"/>
      <c r="AX288" s="260"/>
      <c r="AY288" s="260"/>
      <c r="AZ288" s="260"/>
      <c r="BA288" s="260"/>
      <c r="BB288" s="260"/>
      <c r="BF288" s="928"/>
    </row>
    <row r="289" spans="1:58" s="1334" customFormat="1" ht="14.25" hidden="1" customHeight="1" x14ac:dyDescent="0.15">
      <c r="A289" s="1214"/>
      <c r="B289" s="1083"/>
      <c r="C289" s="1214"/>
      <c r="D289" s="1214"/>
      <c r="E289" s="556">
        <v>15</v>
      </c>
      <c r="F289" s="3" t="str" cm="1">
        <f t="array" aca="1" ref="F289" ca="1">OFFSET(E289,-1,1)</f>
        <v>2</v>
      </c>
      <c r="G289" s="1214"/>
      <c r="H289" s="1214"/>
      <c r="I289" s="1214"/>
      <c r="J289" s="1214"/>
      <c r="K289" s="1214"/>
      <c r="L289" s="1214"/>
      <c r="M289" s="1214"/>
      <c r="N289" s="1214"/>
      <c r="O289" s="1214"/>
      <c r="P289" s="1194"/>
      <c r="Q289" s="1194"/>
      <c r="R289" s="337" t="b" cm="1">
        <f t="array" ref="R289">INDEX('Общие сведения'!$AN$185:$AN$228,MATCH($X209,'Общие сведения'!$Z$185:$Z$228,0))</f>
        <v>0</v>
      </c>
      <c r="S289" s="405" t="b">
        <f>IF(ISERROR(SEARCH("Водоотведение",AB209)),FALSE,TRUE)</f>
        <v>1</v>
      </c>
      <c r="T289" s="388" t="b">
        <f>AND(X209&gt;0,S289,R289)</f>
        <v>0</v>
      </c>
      <c r="U289" s="1194"/>
      <c r="V289" s="1214"/>
      <c r="W289" s="1194"/>
      <c r="X289" s="2032"/>
      <c r="Y289" s="2011"/>
      <c r="Z289" s="1214"/>
      <c r="AA289" s="1214"/>
      <c r="AB289" s="159" t="s">
        <v>282</v>
      </c>
      <c r="AC289" s="6" t="s">
        <v>714</v>
      </c>
      <c r="AD289" s="116"/>
      <c r="AE289" s="493" t="str" cm="1">
        <f t="array" ref="AE289">INDEX('Общие сведения'!$AH$185:$AH$228,MATCH($X209,'Общие сведения'!$Z$185:$Z$228,0))</f>
        <v>без дифференциации</v>
      </c>
      <c r="AF289" s="278"/>
      <c r="AG289" s="278"/>
      <c r="AH289" s="278"/>
      <c r="AI289" s="278"/>
      <c r="AJ289" s="278"/>
      <c r="AK289" s="278"/>
      <c r="AL289" s="278"/>
      <c r="AM289" s="278"/>
      <c r="AN289" s="278"/>
      <c r="AO289" s="278"/>
      <c r="AP289" s="278"/>
      <c r="AQ289" s="278"/>
      <c r="AR289" s="278"/>
      <c r="AS289" s="278"/>
      <c r="AT289" s="278"/>
      <c r="AU289" s="278"/>
      <c r="AV289" s="278"/>
      <c r="AW289" s="278"/>
      <c r="AX289" s="278"/>
      <c r="AY289" s="278"/>
      <c r="AZ289" s="278"/>
      <c r="BA289" s="278"/>
      <c r="BB289" s="279"/>
      <c r="BC289" s="1365"/>
      <c r="BD289" s="1214"/>
      <c r="BE289" s="1214"/>
      <c r="BF289" s="924" t="s">
        <v>775</v>
      </c>
    </row>
    <row r="290" spans="1:58" s="1334" customFormat="1" ht="14.25" hidden="1" customHeight="1" x14ac:dyDescent="0.15">
      <c r="A290" s="1214"/>
      <c r="B290" s="1083"/>
      <c r="C290" s="1214"/>
      <c r="D290" s="1214"/>
      <c r="E290" s="556">
        <v>15</v>
      </c>
      <c r="F290" s="3" t="str" cm="1">
        <f t="array" aca="1" ref="F290" ca="1">OFFSET(E290,-1,1)</f>
        <v>2</v>
      </c>
      <c r="G290" s="1214"/>
      <c r="H290" s="17" t="s">
        <v>335</v>
      </c>
      <c r="I290" s="1214"/>
      <c r="J290" s="1214"/>
      <c r="K290" s="1214"/>
      <c r="L290" s="1214"/>
      <c r="M290" s="1214"/>
      <c r="N290" s="1214"/>
      <c r="O290" s="1214"/>
      <c r="P290" s="1194"/>
      <c r="Q290" s="1194"/>
      <c r="R290" s="1194"/>
      <c r="S290" s="1194"/>
      <c r="T290" s="388" t="b" cm="1">
        <f t="array" ref="T290">T289</f>
        <v>0</v>
      </c>
      <c r="U290" s="1194"/>
      <c r="V290" s="1214"/>
      <c r="W290" s="1194"/>
      <c r="X290" s="2032"/>
      <c r="Y290" s="2011"/>
      <c r="Z290" s="1214"/>
      <c r="AA290" s="1214"/>
      <c r="AB290" s="159" t="s">
        <v>289</v>
      </c>
      <c r="AC290" s="257" t="s">
        <v>776</v>
      </c>
      <c r="AD290" s="12" t="s">
        <v>563</v>
      </c>
      <c r="AE290" s="262">
        <f t="shared" ref="AE290:BB290" si="73">AE291+AE293+AE292</f>
        <v>0</v>
      </c>
      <c r="AF290" s="262">
        <f t="shared" si="73"/>
        <v>0</v>
      </c>
      <c r="AG290" s="262">
        <f t="shared" si="73"/>
        <v>0</v>
      </c>
      <c r="AH290" s="262">
        <f t="shared" si="73"/>
        <v>0</v>
      </c>
      <c r="AI290" s="262">
        <f t="shared" si="73"/>
        <v>0</v>
      </c>
      <c r="AJ290" s="262">
        <f t="shared" si="73"/>
        <v>0</v>
      </c>
      <c r="AK290" s="262">
        <f t="shared" si="73"/>
        <v>0</v>
      </c>
      <c r="AL290" s="262">
        <f t="shared" si="73"/>
        <v>0</v>
      </c>
      <c r="AM290" s="262">
        <f t="shared" si="73"/>
        <v>0</v>
      </c>
      <c r="AN290" s="262">
        <f t="shared" si="73"/>
        <v>0</v>
      </c>
      <c r="AO290" s="262">
        <f t="shared" si="73"/>
        <v>0</v>
      </c>
      <c r="AP290" s="262">
        <f t="shared" si="73"/>
        <v>0</v>
      </c>
      <c r="AQ290" s="262">
        <f t="shared" si="73"/>
        <v>0</v>
      </c>
      <c r="AR290" s="262">
        <f t="shared" si="73"/>
        <v>0</v>
      </c>
      <c r="AS290" s="262">
        <f t="shared" si="73"/>
        <v>0</v>
      </c>
      <c r="AT290" s="262">
        <f t="shared" si="73"/>
        <v>0</v>
      </c>
      <c r="AU290" s="262">
        <f t="shared" si="73"/>
        <v>0</v>
      </c>
      <c r="AV290" s="262">
        <f t="shared" si="73"/>
        <v>0</v>
      </c>
      <c r="AW290" s="262">
        <f t="shared" si="73"/>
        <v>0</v>
      </c>
      <c r="AX290" s="262">
        <f t="shared" si="73"/>
        <v>0</v>
      </c>
      <c r="AY290" s="262">
        <f t="shared" si="73"/>
        <v>0</v>
      </c>
      <c r="AZ290" s="262">
        <f t="shared" si="73"/>
        <v>0</v>
      </c>
      <c r="BA290" s="262">
        <f t="shared" si="73"/>
        <v>0</v>
      </c>
      <c r="BB290" s="262">
        <f t="shared" si="73"/>
        <v>0</v>
      </c>
      <c r="BC290" s="1365"/>
      <c r="BD290" s="1214"/>
      <c r="BE290" s="1214"/>
      <c r="BF290" s="924" t="s">
        <v>777</v>
      </c>
    </row>
    <row r="291" spans="1:58" s="1334" customFormat="1" ht="14.25" hidden="1" customHeight="1" x14ac:dyDescent="0.15">
      <c r="A291" s="1214"/>
      <c r="B291" s="1083"/>
      <c r="C291" s="1214"/>
      <c r="D291" s="1214"/>
      <c r="E291" s="556">
        <v>15</v>
      </c>
      <c r="F291" s="3" t="str" cm="1">
        <f t="array" aca="1" ref="F291" ca="1">OFFSET(E291,-1,1)</f>
        <v>2</v>
      </c>
      <c r="G291" s="1214"/>
      <c r="H291" s="17" t="s">
        <v>565</v>
      </c>
      <c r="I291" s="1214"/>
      <c r="J291" s="1214"/>
      <c r="K291" s="1214"/>
      <c r="L291" s="1214"/>
      <c r="M291" s="1214"/>
      <c r="N291" s="1214"/>
      <c r="O291" s="1214"/>
      <c r="P291" s="1194"/>
      <c r="Q291" s="1194"/>
      <c r="R291" s="1194"/>
      <c r="S291" s="1194"/>
      <c r="T291" s="388" t="b" cm="1">
        <f t="array" ref="T291">T290</f>
        <v>0</v>
      </c>
      <c r="U291" s="1194"/>
      <c r="V291" s="1214"/>
      <c r="W291" s="1194"/>
      <c r="X291" s="2032"/>
      <c r="Y291" s="2011"/>
      <c r="Z291" s="1214"/>
      <c r="AA291" s="1214"/>
      <c r="AB291" s="159" t="s">
        <v>566</v>
      </c>
      <c r="AC291" s="133" t="s">
        <v>778</v>
      </c>
      <c r="AD291" s="12" t="s">
        <v>563</v>
      </c>
      <c r="AE291" s="1377"/>
      <c r="AF291" s="1377"/>
      <c r="AG291" s="1377"/>
      <c r="AH291" s="1377"/>
      <c r="AI291" s="197"/>
      <c r="AJ291" s="1377"/>
      <c r="AK291" s="1377"/>
      <c r="AL291" s="1377"/>
      <c r="AM291" s="1377"/>
      <c r="AN291" s="1377"/>
      <c r="AO291" s="1377"/>
      <c r="AP291" s="1377"/>
      <c r="AQ291" s="1377"/>
      <c r="AR291" s="1377"/>
      <c r="AS291" s="197"/>
      <c r="AT291" s="1377"/>
      <c r="AU291" s="1377"/>
      <c r="AV291" s="1377"/>
      <c r="AW291" s="1377"/>
      <c r="AX291" s="1377"/>
      <c r="AY291" s="1377"/>
      <c r="AZ291" s="1377"/>
      <c r="BA291" s="1377"/>
      <c r="BB291" s="1377"/>
      <c r="BC291" s="1365"/>
      <c r="BD291" s="1214"/>
      <c r="BE291" s="1214"/>
      <c r="BF291" s="924" t="s">
        <v>779</v>
      </c>
    </row>
    <row r="292" spans="1:58" s="1334" customFormat="1" ht="14.25" hidden="1" customHeight="1" x14ac:dyDescent="0.15">
      <c r="A292" s="1214"/>
      <c r="B292" s="1083"/>
      <c r="C292" s="1214"/>
      <c r="D292" s="1214"/>
      <c r="E292" s="556">
        <v>15</v>
      </c>
      <c r="F292" s="3" t="str" cm="1">
        <f t="array" aca="1" ref="F292" ca="1">OFFSET(E292,-1,1)</f>
        <v>2</v>
      </c>
      <c r="G292" s="1214"/>
      <c r="H292" s="17" t="s">
        <v>569</v>
      </c>
      <c r="I292" s="1214"/>
      <c r="J292" s="1214"/>
      <c r="K292" s="1214"/>
      <c r="L292" s="1214"/>
      <c r="M292" s="1214"/>
      <c r="N292" s="1214"/>
      <c r="O292" s="1214"/>
      <c r="P292" s="1194"/>
      <c r="Q292" s="1194"/>
      <c r="R292" s="1194"/>
      <c r="S292" s="1194"/>
      <c r="T292" s="388" t="b" cm="1">
        <f t="array" ref="T292">T291</f>
        <v>0</v>
      </c>
      <c r="U292" s="1194"/>
      <c r="V292" s="1214"/>
      <c r="W292" s="1194"/>
      <c r="X292" s="2032"/>
      <c r="Y292" s="2011"/>
      <c r="Z292" s="1214"/>
      <c r="AA292" s="1214"/>
      <c r="AB292" s="159" t="s">
        <v>570</v>
      </c>
      <c r="AC292" s="133" t="s">
        <v>780</v>
      </c>
      <c r="AD292" s="12" t="s">
        <v>563</v>
      </c>
      <c r="AE292" s="1377"/>
      <c r="AF292" s="1377"/>
      <c r="AG292" s="1377"/>
      <c r="AH292" s="1377"/>
      <c r="AI292" s="197"/>
      <c r="AJ292" s="1377"/>
      <c r="AK292" s="1377"/>
      <c r="AL292" s="1377"/>
      <c r="AM292" s="1377"/>
      <c r="AN292" s="1377"/>
      <c r="AO292" s="1377"/>
      <c r="AP292" s="1377"/>
      <c r="AQ292" s="1377"/>
      <c r="AR292" s="1377"/>
      <c r="AS292" s="197"/>
      <c r="AT292" s="1377"/>
      <c r="AU292" s="1377"/>
      <c r="AV292" s="1377"/>
      <c r="AW292" s="1377"/>
      <c r="AX292" s="1377"/>
      <c r="AY292" s="1377"/>
      <c r="AZ292" s="1377"/>
      <c r="BA292" s="1377"/>
      <c r="BB292" s="1377"/>
      <c r="BC292" s="1365"/>
      <c r="BD292" s="1214"/>
      <c r="BE292" s="1214"/>
      <c r="BF292" s="924" t="s">
        <v>781</v>
      </c>
    </row>
    <row r="293" spans="1:58" s="1334" customFormat="1" ht="21.75" hidden="1" customHeight="1" x14ac:dyDescent="0.15">
      <c r="A293" s="1214"/>
      <c r="B293" s="1083"/>
      <c r="C293" s="1214"/>
      <c r="D293" s="1214"/>
      <c r="E293" s="556">
        <v>22.5</v>
      </c>
      <c r="F293" s="3" t="str" cm="1">
        <f t="array" aca="1" ref="F293" ca="1">OFFSET(E293,-1,1)</f>
        <v>2</v>
      </c>
      <c r="G293" s="1214"/>
      <c r="H293" s="17" t="s">
        <v>573</v>
      </c>
      <c r="I293" s="1214"/>
      <c r="J293" s="1214"/>
      <c r="K293" s="1214"/>
      <c r="L293" s="1214"/>
      <c r="M293" s="1214"/>
      <c r="N293" s="1214"/>
      <c r="O293" s="1214"/>
      <c r="P293" s="1194"/>
      <c r="Q293" s="1194"/>
      <c r="R293" s="1194"/>
      <c r="S293" s="1194"/>
      <c r="T293" s="388" t="b" cm="1">
        <f t="array" ref="T293">T292</f>
        <v>0</v>
      </c>
      <c r="U293" s="1194"/>
      <c r="V293" s="1214"/>
      <c r="W293" s="1194"/>
      <c r="X293" s="2032"/>
      <c r="Y293" s="2011"/>
      <c r="Z293" s="1214"/>
      <c r="AA293" s="1214"/>
      <c r="AB293" s="159" t="s">
        <v>574</v>
      </c>
      <c r="AC293" s="133" t="s">
        <v>682</v>
      </c>
      <c r="AD293" s="12" t="s">
        <v>563</v>
      </c>
      <c r="AE293" s="1377"/>
      <c r="AF293" s="1377"/>
      <c r="AG293" s="1377"/>
      <c r="AH293" s="1377"/>
      <c r="AI293" s="197"/>
      <c r="AJ293" s="1377"/>
      <c r="AK293" s="1377"/>
      <c r="AL293" s="1377"/>
      <c r="AM293" s="1377"/>
      <c r="AN293" s="1377"/>
      <c r="AO293" s="1377"/>
      <c r="AP293" s="1377"/>
      <c r="AQ293" s="1377"/>
      <c r="AR293" s="1377"/>
      <c r="AS293" s="197"/>
      <c r="AT293" s="1377"/>
      <c r="AU293" s="1377"/>
      <c r="AV293" s="1377"/>
      <c r="AW293" s="1377"/>
      <c r="AX293" s="1377"/>
      <c r="AY293" s="1377"/>
      <c r="AZ293" s="1377"/>
      <c r="BA293" s="1377"/>
      <c r="BB293" s="1377"/>
      <c r="BC293" s="1365"/>
      <c r="BD293" s="1214"/>
      <c r="BE293" s="1214"/>
      <c r="BF293" s="924" t="s">
        <v>782</v>
      </c>
    </row>
    <row r="294" spans="1:58" s="1334" customFormat="1" ht="21.75" hidden="1" customHeight="1" x14ac:dyDescent="0.15">
      <c r="A294" s="1214"/>
      <c r="B294" s="1083"/>
      <c r="C294" s="1214"/>
      <c r="D294" s="1214"/>
      <c r="E294" s="556">
        <v>22.5</v>
      </c>
      <c r="F294" s="3" t="str" cm="1">
        <f t="array" aca="1" ref="F294" ca="1">OFFSET(E294,-1,1)</f>
        <v>2</v>
      </c>
      <c r="G294" s="17" t="s">
        <v>632</v>
      </c>
      <c r="H294" s="17" t="s">
        <v>334</v>
      </c>
      <c r="I294" s="1214"/>
      <c r="J294" s="1214"/>
      <c r="K294" s="1214"/>
      <c r="L294" s="1214"/>
      <c r="M294" s="1214"/>
      <c r="N294" s="1214"/>
      <c r="O294" s="1214"/>
      <c r="P294" s="1194"/>
      <c r="Q294" s="1194"/>
      <c r="R294" s="1194"/>
      <c r="S294" s="1194"/>
      <c r="T294" s="388" t="b" cm="1">
        <f t="array" ref="T294">T293</f>
        <v>0</v>
      </c>
      <c r="U294" s="1194"/>
      <c r="V294" s="1214"/>
      <c r="W294" s="1194"/>
      <c r="X294" s="2032"/>
      <c r="Y294" s="2011"/>
      <c r="Z294" s="1214"/>
      <c r="AA294" s="1214"/>
      <c r="AB294" s="159" t="s">
        <v>329</v>
      </c>
      <c r="AC294" s="257" t="s">
        <v>783</v>
      </c>
      <c r="AD294" s="12" t="s">
        <v>563</v>
      </c>
      <c r="AE294" s="262">
        <f t="shared" ref="AE294:BB294" si="74">AE295+AE296+AE299</f>
        <v>0</v>
      </c>
      <c r="AF294" s="262">
        <f t="shared" si="74"/>
        <v>0</v>
      </c>
      <c r="AG294" s="262">
        <f t="shared" si="74"/>
        <v>0</v>
      </c>
      <c r="AH294" s="262">
        <f t="shared" si="74"/>
        <v>0</v>
      </c>
      <c r="AI294" s="262">
        <f t="shared" si="74"/>
        <v>0</v>
      </c>
      <c r="AJ294" s="262">
        <f t="shared" si="74"/>
        <v>0</v>
      </c>
      <c r="AK294" s="262">
        <f t="shared" si="74"/>
        <v>0</v>
      </c>
      <c r="AL294" s="262">
        <f t="shared" si="74"/>
        <v>0</v>
      </c>
      <c r="AM294" s="262">
        <f t="shared" si="74"/>
        <v>0</v>
      </c>
      <c r="AN294" s="262">
        <f t="shared" si="74"/>
        <v>0</v>
      </c>
      <c r="AO294" s="262">
        <f t="shared" si="74"/>
        <v>0</v>
      </c>
      <c r="AP294" s="262">
        <f t="shared" si="74"/>
        <v>0</v>
      </c>
      <c r="AQ294" s="262">
        <f t="shared" si="74"/>
        <v>0</v>
      </c>
      <c r="AR294" s="262">
        <f t="shared" si="74"/>
        <v>0</v>
      </c>
      <c r="AS294" s="262">
        <f t="shared" si="74"/>
        <v>0</v>
      </c>
      <c r="AT294" s="262">
        <f t="shared" si="74"/>
        <v>0</v>
      </c>
      <c r="AU294" s="262">
        <f t="shared" si="74"/>
        <v>0</v>
      </c>
      <c r="AV294" s="262">
        <f t="shared" si="74"/>
        <v>0</v>
      </c>
      <c r="AW294" s="262">
        <f t="shared" si="74"/>
        <v>0</v>
      </c>
      <c r="AX294" s="262">
        <f t="shared" si="74"/>
        <v>0</v>
      </c>
      <c r="AY294" s="262">
        <f t="shared" si="74"/>
        <v>0</v>
      </c>
      <c r="AZ294" s="262">
        <f t="shared" si="74"/>
        <v>0</v>
      </c>
      <c r="BA294" s="262">
        <f t="shared" si="74"/>
        <v>0</v>
      </c>
      <c r="BB294" s="262">
        <f t="shared" si="74"/>
        <v>0</v>
      </c>
      <c r="BC294" s="1365"/>
      <c r="BD294" s="1214"/>
      <c r="BE294" s="1214"/>
      <c r="BF294" s="924" t="s">
        <v>784</v>
      </c>
    </row>
    <row r="295" spans="1:58" s="1334" customFormat="1" ht="14.25" hidden="1" customHeight="1" x14ac:dyDescent="0.15">
      <c r="A295" s="1214"/>
      <c r="B295" s="1083"/>
      <c r="C295" s="1214"/>
      <c r="D295" s="1214"/>
      <c r="E295" s="556">
        <v>15</v>
      </c>
      <c r="F295" s="3" t="str" cm="1">
        <f t="array" aca="1" ref="F295" ca="1">OFFSET(E295,-1,1)</f>
        <v>2</v>
      </c>
      <c r="G295" s="1214"/>
      <c r="H295" s="17" t="s">
        <v>579</v>
      </c>
      <c r="I295" s="1214"/>
      <c r="J295" s="1214"/>
      <c r="K295" s="1214"/>
      <c r="L295" s="1214"/>
      <c r="M295" s="1214"/>
      <c r="N295" s="1214"/>
      <c r="O295" s="1214"/>
      <c r="P295" s="1194"/>
      <c r="Q295" s="1194"/>
      <c r="R295" s="1194"/>
      <c r="S295" s="1194"/>
      <c r="T295" s="388" t="b" cm="1">
        <f t="array" ref="T295">T294</f>
        <v>0</v>
      </c>
      <c r="U295" s="1194"/>
      <c r="V295" s="1214"/>
      <c r="W295" s="1194"/>
      <c r="X295" s="2032"/>
      <c r="Y295" s="2011"/>
      <c r="Z295" s="1214"/>
      <c r="AA295" s="1214"/>
      <c r="AB295" s="159" t="s">
        <v>580</v>
      </c>
      <c r="AC295" s="133" t="s">
        <v>785</v>
      </c>
      <c r="AD295" s="12" t="s">
        <v>563</v>
      </c>
      <c r="AE295" s="1377"/>
      <c r="AF295" s="1377"/>
      <c r="AG295" s="1377"/>
      <c r="AH295" s="1377"/>
      <c r="AI295" s="197"/>
      <c r="AJ295" s="1377"/>
      <c r="AK295" s="1377"/>
      <c r="AL295" s="1377"/>
      <c r="AM295" s="1377"/>
      <c r="AN295" s="1377"/>
      <c r="AO295" s="1377"/>
      <c r="AP295" s="1377"/>
      <c r="AQ295" s="1377"/>
      <c r="AR295" s="1377"/>
      <c r="AS295" s="197"/>
      <c r="AT295" s="1377"/>
      <c r="AU295" s="1377"/>
      <c r="AV295" s="1377"/>
      <c r="AW295" s="1377"/>
      <c r="AX295" s="1377"/>
      <c r="AY295" s="1377"/>
      <c r="AZ295" s="1377"/>
      <c r="BA295" s="1377"/>
      <c r="BB295" s="1377"/>
      <c r="BC295" s="1365"/>
      <c r="BD295" s="1214"/>
      <c r="BE295" s="1214"/>
      <c r="BF295" s="924" t="s">
        <v>786</v>
      </c>
    </row>
    <row r="296" spans="1:58" s="1334" customFormat="1" ht="14.25" hidden="1" customHeight="1" x14ac:dyDescent="0.15">
      <c r="A296" s="1214"/>
      <c r="B296" s="1083"/>
      <c r="C296" s="1214"/>
      <c r="D296" s="1214"/>
      <c r="E296" s="556">
        <v>15</v>
      </c>
      <c r="F296" s="3" t="str" cm="1">
        <f t="array" aca="1" ref="F296" ca="1">OFFSET(E296,-1,1)</f>
        <v>2</v>
      </c>
      <c r="G296" s="1214"/>
      <c r="H296" s="17" t="s">
        <v>583</v>
      </c>
      <c r="I296" s="1214"/>
      <c r="J296" s="1214"/>
      <c r="K296" s="1214"/>
      <c r="L296" s="1214"/>
      <c r="M296" s="1214"/>
      <c r="N296" s="1214"/>
      <c r="O296" s="1214"/>
      <c r="P296" s="1194"/>
      <c r="Q296" s="1194"/>
      <c r="R296" s="1194"/>
      <c r="S296" s="1194"/>
      <c r="T296" s="388" t="b" cm="1">
        <f t="array" ref="T296">T295</f>
        <v>0</v>
      </c>
      <c r="U296" s="1194"/>
      <c r="V296" s="1214"/>
      <c r="W296" s="1194"/>
      <c r="X296" s="2032"/>
      <c r="Y296" s="2011"/>
      <c r="Z296" s="1214"/>
      <c r="AA296" s="1214"/>
      <c r="AB296" s="159" t="s">
        <v>584</v>
      </c>
      <c r="AC296" s="258" t="s">
        <v>787</v>
      </c>
      <c r="AD296" s="12" t="s">
        <v>563</v>
      </c>
      <c r="AE296" s="262">
        <f t="shared" ref="AE296:BB296" si="75">AE297+AE298</f>
        <v>0</v>
      </c>
      <c r="AF296" s="262">
        <f t="shared" si="75"/>
        <v>0</v>
      </c>
      <c r="AG296" s="262">
        <f t="shared" si="75"/>
        <v>0</v>
      </c>
      <c r="AH296" s="262">
        <f t="shared" si="75"/>
        <v>0</v>
      </c>
      <c r="AI296" s="262">
        <f t="shared" si="75"/>
        <v>0</v>
      </c>
      <c r="AJ296" s="262">
        <f t="shared" si="75"/>
        <v>0</v>
      </c>
      <c r="AK296" s="262">
        <f t="shared" si="75"/>
        <v>0</v>
      </c>
      <c r="AL296" s="262">
        <f t="shared" si="75"/>
        <v>0</v>
      </c>
      <c r="AM296" s="262">
        <f t="shared" si="75"/>
        <v>0</v>
      </c>
      <c r="AN296" s="262">
        <f t="shared" si="75"/>
        <v>0</v>
      </c>
      <c r="AO296" s="262">
        <f t="shared" si="75"/>
        <v>0</v>
      </c>
      <c r="AP296" s="262">
        <f t="shared" si="75"/>
        <v>0</v>
      </c>
      <c r="AQ296" s="262">
        <f t="shared" si="75"/>
        <v>0</v>
      </c>
      <c r="AR296" s="262">
        <f t="shared" si="75"/>
        <v>0</v>
      </c>
      <c r="AS296" s="262">
        <f t="shared" si="75"/>
        <v>0</v>
      </c>
      <c r="AT296" s="262">
        <f t="shared" si="75"/>
        <v>0</v>
      </c>
      <c r="AU296" s="262">
        <f t="shared" si="75"/>
        <v>0</v>
      </c>
      <c r="AV296" s="262">
        <f t="shared" si="75"/>
        <v>0</v>
      </c>
      <c r="AW296" s="262">
        <f t="shared" si="75"/>
        <v>0</v>
      </c>
      <c r="AX296" s="262">
        <f t="shared" si="75"/>
        <v>0</v>
      </c>
      <c r="AY296" s="262">
        <f t="shared" si="75"/>
        <v>0</v>
      </c>
      <c r="AZ296" s="262">
        <f t="shared" si="75"/>
        <v>0</v>
      </c>
      <c r="BA296" s="262">
        <f t="shared" si="75"/>
        <v>0</v>
      </c>
      <c r="BB296" s="262">
        <f t="shared" si="75"/>
        <v>0</v>
      </c>
      <c r="BC296" s="1365"/>
      <c r="BD296" s="1214"/>
      <c r="BE296" s="1214"/>
      <c r="BF296" s="924" t="s">
        <v>788</v>
      </c>
    </row>
    <row r="297" spans="1:58" s="1334" customFormat="1" ht="14.25" hidden="1" customHeight="1" x14ac:dyDescent="0.15">
      <c r="A297" s="1214"/>
      <c r="B297" s="1083"/>
      <c r="C297" s="1214"/>
      <c r="D297" s="1214"/>
      <c r="E297" s="556">
        <v>15</v>
      </c>
      <c r="F297" s="3" t="str" cm="1">
        <f t="array" aca="1" ref="F297" ca="1">OFFSET(E297,-1,1)</f>
        <v>2</v>
      </c>
      <c r="G297" s="1214"/>
      <c r="H297" s="17" t="s">
        <v>789</v>
      </c>
      <c r="I297" s="1214"/>
      <c r="J297" s="1214"/>
      <c r="K297" s="1214"/>
      <c r="L297" s="1214"/>
      <c r="M297" s="1214"/>
      <c r="N297" s="1214"/>
      <c r="O297" s="1214"/>
      <c r="P297" s="1194"/>
      <c r="Q297" s="1194"/>
      <c r="R297" s="1194"/>
      <c r="S297" s="1194"/>
      <c r="T297" s="388" t="b" cm="1">
        <f t="array" ref="T297">T296</f>
        <v>0</v>
      </c>
      <c r="U297" s="1194"/>
      <c r="V297" s="1214"/>
      <c r="W297" s="1194"/>
      <c r="X297" s="2032"/>
      <c r="Y297" s="2011"/>
      <c r="Z297" s="1214"/>
      <c r="AA297" s="1214"/>
      <c r="AB297" s="159" t="s">
        <v>790</v>
      </c>
      <c r="AC297" s="259" t="s">
        <v>639</v>
      </c>
      <c r="AD297" s="12" t="s">
        <v>563</v>
      </c>
      <c r="AE297" s="1377"/>
      <c r="AF297" s="1377"/>
      <c r="AG297" s="1377"/>
      <c r="AH297" s="1377"/>
      <c r="AI297" s="197"/>
      <c r="AJ297" s="1377"/>
      <c r="AK297" s="1377"/>
      <c r="AL297" s="1377"/>
      <c r="AM297" s="1377"/>
      <c r="AN297" s="1377"/>
      <c r="AO297" s="1377"/>
      <c r="AP297" s="1377"/>
      <c r="AQ297" s="1377"/>
      <c r="AR297" s="1377"/>
      <c r="AS297" s="197"/>
      <c r="AT297" s="1377"/>
      <c r="AU297" s="1377"/>
      <c r="AV297" s="1377"/>
      <c r="AW297" s="1377"/>
      <c r="AX297" s="1377"/>
      <c r="AY297" s="1377"/>
      <c r="AZ297" s="1377"/>
      <c r="BA297" s="1377"/>
      <c r="BB297" s="1377"/>
      <c r="BC297" s="1365"/>
      <c r="BD297" s="1214"/>
      <c r="BE297" s="1214"/>
      <c r="BF297" s="924" t="s">
        <v>791</v>
      </c>
    </row>
    <row r="298" spans="1:58" s="1334" customFormat="1" ht="14.25" hidden="1" customHeight="1" x14ac:dyDescent="0.15">
      <c r="A298" s="1214"/>
      <c r="B298" s="1083"/>
      <c r="C298" s="1214"/>
      <c r="D298" s="1214"/>
      <c r="E298" s="556">
        <v>15</v>
      </c>
      <c r="F298" s="3" t="str" cm="1">
        <f t="array" aca="1" ref="F298" ca="1">OFFSET(E298,-1,1)</f>
        <v>2</v>
      </c>
      <c r="G298" s="1214"/>
      <c r="H298" s="17" t="s">
        <v>792</v>
      </c>
      <c r="I298" s="1214"/>
      <c r="J298" s="1214"/>
      <c r="K298" s="1214"/>
      <c r="L298" s="1214"/>
      <c r="M298" s="1214"/>
      <c r="N298" s="1214"/>
      <c r="O298" s="1214"/>
      <c r="P298" s="1194"/>
      <c r="Q298" s="1194"/>
      <c r="R298" s="1194"/>
      <c r="S298" s="1194"/>
      <c r="T298" s="388" t="b" cm="1">
        <f t="array" ref="T298">T297</f>
        <v>0</v>
      </c>
      <c r="U298" s="1194"/>
      <c r="V298" s="1214"/>
      <c r="W298" s="1194"/>
      <c r="X298" s="2032"/>
      <c r="Y298" s="2011"/>
      <c r="Z298" s="1214"/>
      <c r="AA298" s="1214"/>
      <c r="AB298" s="159" t="s">
        <v>793</v>
      </c>
      <c r="AC298" s="259" t="s">
        <v>643</v>
      </c>
      <c r="AD298" s="12" t="s">
        <v>563</v>
      </c>
      <c r="AE298" s="1377"/>
      <c r="AF298" s="1377"/>
      <c r="AG298" s="1377"/>
      <c r="AH298" s="1377"/>
      <c r="AI298" s="197"/>
      <c r="AJ298" s="1377"/>
      <c r="AK298" s="1377"/>
      <c r="AL298" s="1377"/>
      <c r="AM298" s="1377"/>
      <c r="AN298" s="1377"/>
      <c r="AO298" s="1377"/>
      <c r="AP298" s="1377"/>
      <c r="AQ298" s="1377"/>
      <c r="AR298" s="1377"/>
      <c r="AS298" s="197"/>
      <c r="AT298" s="1377"/>
      <c r="AU298" s="1377"/>
      <c r="AV298" s="1377"/>
      <c r="AW298" s="1377"/>
      <c r="AX298" s="1377"/>
      <c r="AY298" s="1377"/>
      <c r="AZ298" s="1377"/>
      <c r="BA298" s="1377"/>
      <c r="BB298" s="1377"/>
      <c r="BC298" s="1365"/>
      <c r="BD298" s="1214"/>
      <c r="BE298" s="1214"/>
      <c r="BF298" s="924" t="s">
        <v>794</v>
      </c>
    </row>
    <row r="299" spans="1:58" s="1334" customFormat="1" ht="21.75" hidden="1" customHeight="1" x14ac:dyDescent="0.15">
      <c r="A299" s="1214"/>
      <c r="B299" s="1083"/>
      <c r="C299" s="1214"/>
      <c r="D299" s="1214"/>
      <c r="E299" s="556">
        <v>22.5</v>
      </c>
      <c r="F299" s="3" t="str" cm="1">
        <f t="array" aca="1" ref="F299" ca="1">OFFSET(E299,-1,1)</f>
        <v>2</v>
      </c>
      <c r="G299" s="1214"/>
      <c r="H299" s="17" t="s">
        <v>795</v>
      </c>
      <c r="I299" s="1214"/>
      <c r="J299" s="1214"/>
      <c r="K299" s="1214"/>
      <c r="L299" s="1214"/>
      <c r="M299" s="1214"/>
      <c r="N299" s="1214"/>
      <c r="O299" s="1214"/>
      <c r="P299" s="1194"/>
      <c r="Q299" s="1194"/>
      <c r="R299" s="1194"/>
      <c r="S299" s="1194"/>
      <c r="T299" s="388" t="b" cm="1">
        <f t="array" ref="T299">T298</f>
        <v>0</v>
      </c>
      <c r="U299" s="1194"/>
      <c r="V299" s="1214"/>
      <c r="W299" s="1194"/>
      <c r="X299" s="2032"/>
      <c r="Y299" s="2011"/>
      <c r="Z299" s="1214"/>
      <c r="AA299" s="1214"/>
      <c r="AB299" s="159" t="s">
        <v>796</v>
      </c>
      <c r="AC299" s="253" t="s">
        <v>604</v>
      </c>
      <c r="AD299" s="12" t="s">
        <v>563</v>
      </c>
      <c r="AE299" s="1364"/>
      <c r="AF299" s="1364"/>
      <c r="AG299" s="1364"/>
      <c r="AH299" s="1364"/>
      <c r="AI299" s="194"/>
      <c r="AJ299" s="1364"/>
      <c r="AK299" s="1364"/>
      <c r="AL299" s="1364"/>
      <c r="AM299" s="1364"/>
      <c r="AN299" s="1364"/>
      <c r="AO299" s="1364"/>
      <c r="AP299" s="1364"/>
      <c r="AQ299" s="1364"/>
      <c r="AR299" s="1364"/>
      <c r="AS299" s="194"/>
      <c r="AT299" s="1364"/>
      <c r="AU299" s="1364"/>
      <c r="AV299" s="1364"/>
      <c r="AW299" s="1364"/>
      <c r="AX299" s="1364"/>
      <c r="AY299" s="1364"/>
      <c r="AZ299" s="1364"/>
      <c r="BA299" s="1364"/>
      <c r="BB299" s="1364"/>
      <c r="BC299" s="1365"/>
      <c r="BD299" s="1214"/>
      <c r="BE299" s="1214"/>
      <c r="BF299" s="924" t="s">
        <v>797</v>
      </c>
    </row>
    <row r="300" spans="1:58" ht="14.65" customHeight="1" x14ac:dyDescent="0.15">
      <c r="E300" s="556">
        <v>15</v>
      </c>
      <c r="U300" s="337" t="s">
        <v>176</v>
      </c>
      <c r="V300" s="59" t="s">
        <v>803</v>
      </c>
      <c r="AB300" s="432"/>
      <c r="AC300" s="391"/>
      <c r="AD300" s="433"/>
      <c r="AE300" s="862"/>
      <c r="AF300" s="862"/>
      <c r="AG300" s="862"/>
      <c r="AH300" s="862"/>
      <c r="AI300" s="862"/>
      <c r="AJ300" s="862"/>
      <c r="AK300" s="862"/>
      <c r="AL300" s="862"/>
      <c r="AM300" s="862"/>
      <c r="AN300" s="862"/>
      <c r="AO300" s="862"/>
      <c r="AP300" s="862"/>
      <c r="AQ300" s="862"/>
      <c r="AR300" s="862"/>
      <c r="AS300" s="862"/>
      <c r="AT300" s="862"/>
      <c r="AU300" s="862"/>
      <c r="AV300" s="862"/>
      <c r="AW300" s="862"/>
      <c r="AX300" s="862"/>
      <c r="AY300" s="862"/>
      <c r="AZ300" s="862"/>
      <c r="BA300" s="862"/>
      <c r="BB300" s="862"/>
      <c r="BC300" s="863"/>
    </row>
    <row r="301" spans="1:58" s="1214" customFormat="1" ht="10.9" customHeight="1" x14ac:dyDescent="0.15">
      <c r="B301" s="434"/>
      <c r="E301" s="558">
        <v>11.25</v>
      </c>
      <c r="F301" s="668"/>
      <c r="K301" s="17"/>
      <c r="P301" s="405"/>
      <c r="Q301" s="405"/>
      <c r="R301" s="405"/>
      <c r="S301" s="405"/>
      <c r="T301" s="412"/>
      <c r="U301" s="412"/>
      <c r="V301" s="427"/>
      <c r="W301" s="412"/>
      <c r="X301" s="412"/>
      <c r="Y301" s="412"/>
      <c r="Z301" s="412"/>
      <c r="AA301" s="412"/>
      <c r="AB301" s="2039" t="s">
        <v>402</v>
      </c>
      <c r="AC301" s="2039"/>
      <c r="AD301" s="2039"/>
      <c r="AE301" s="2040"/>
      <c r="AF301" s="2040"/>
      <c r="AG301" s="2040"/>
      <c r="AH301" s="2040"/>
      <c r="AI301" s="2040"/>
      <c r="AJ301" s="2040"/>
      <c r="AK301" s="2040"/>
      <c r="AL301" s="2040"/>
      <c r="AM301" s="2040"/>
      <c r="AN301" s="2040"/>
      <c r="AO301" s="2040"/>
      <c r="AP301" s="2040"/>
      <c r="AQ301" s="2040"/>
      <c r="AR301" s="2040"/>
      <c r="AS301" s="2040"/>
      <c r="AT301" s="2040"/>
      <c r="AU301" s="2040"/>
      <c r="AV301" s="2040"/>
      <c r="AW301" s="2040"/>
      <c r="AX301" s="2040"/>
      <c r="AY301" s="2040"/>
      <c r="AZ301" s="2040"/>
      <c r="BA301" s="2040"/>
      <c r="BB301" s="2040"/>
      <c r="BC301" s="2040"/>
      <c r="BD301" s="412"/>
      <c r="BF301" s="929"/>
    </row>
    <row r="302" spans="1:58" ht="14.65" customHeight="1" x14ac:dyDescent="0.15">
      <c r="E302" s="556">
        <v>15</v>
      </c>
      <c r="T302" s="412"/>
      <c r="U302" s="412"/>
      <c r="V302" s="427"/>
      <c r="W302" s="412"/>
      <c r="X302" s="412"/>
      <c r="Y302" s="412"/>
      <c r="Z302" s="412"/>
      <c r="AA302" s="585"/>
      <c r="AB302" s="2041" t="s">
        <v>804</v>
      </c>
      <c r="AC302" s="2042"/>
      <c r="AD302" s="2042"/>
      <c r="AE302" s="2042"/>
      <c r="AF302" s="2042"/>
      <c r="AG302" s="2042"/>
      <c r="AH302" s="2042"/>
      <c r="AI302" s="2042"/>
      <c r="AJ302" s="2043"/>
      <c r="AK302" s="2043"/>
      <c r="AL302" s="2043"/>
      <c r="AM302" s="2043"/>
      <c r="AN302" s="2043"/>
      <c r="AO302" s="2043"/>
      <c r="AP302" s="2043"/>
      <c r="AQ302" s="2043"/>
      <c r="AR302" s="2043"/>
      <c r="AS302" s="2042"/>
      <c r="AT302" s="2043"/>
      <c r="AU302" s="2043"/>
      <c r="AV302" s="2043"/>
      <c r="AW302" s="2043"/>
      <c r="AX302" s="2043"/>
      <c r="AY302" s="2043"/>
      <c r="AZ302" s="2043"/>
      <c r="BA302" s="2043"/>
      <c r="BB302" s="2043"/>
      <c r="BC302" s="2044"/>
      <c r="BD302" s="412"/>
    </row>
    <row r="303" spans="1:58" ht="14.65" hidden="1" customHeight="1" x14ac:dyDescent="0.15">
      <c r="E303" s="556">
        <v>15</v>
      </c>
      <c r="T303" s="388" t="b">
        <f>ROW(W303)&gt;ROW(W$303)</f>
        <v>0</v>
      </c>
      <c r="U303" s="412"/>
      <c r="V303" s="427"/>
      <c r="W303" s="677" t="s">
        <v>172</v>
      </c>
      <c r="X303" s="412"/>
      <c r="Y303" s="412"/>
      <c r="Z303" s="412"/>
      <c r="AA303" s="586" t="s">
        <v>173</v>
      </c>
      <c r="AB303" s="2045"/>
      <c r="AC303" s="2046"/>
      <c r="AD303" s="2046"/>
      <c r="AE303" s="2046"/>
      <c r="AF303" s="2046"/>
      <c r="AG303" s="2046"/>
      <c r="AH303" s="2046"/>
      <c r="AI303" s="2047"/>
      <c r="AJ303" s="2046"/>
      <c r="AK303" s="2046"/>
      <c r="AL303" s="2046"/>
      <c r="AM303" s="2046"/>
      <c r="AN303" s="2046"/>
      <c r="AO303" s="2046"/>
      <c r="AP303" s="2046"/>
      <c r="AQ303" s="2046"/>
      <c r="AR303" s="2046"/>
      <c r="AS303" s="2047"/>
      <c r="AT303" s="2046"/>
      <c r="AU303" s="2046"/>
      <c r="AV303" s="2046"/>
      <c r="AW303" s="2046"/>
      <c r="AX303" s="2046"/>
      <c r="AY303" s="2046"/>
      <c r="AZ303" s="2046"/>
      <c r="BA303" s="2046"/>
      <c r="BB303" s="2046"/>
      <c r="BC303" s="2048"/>
      <c r="BD303" s="412"/>
    </row>
    <row r="304" spans="1:58" s="1334" customFormat="1" ht="14.25" customHeight="1" x14ac:dyDescent="0.15">
      <c r="A304" s="1214"/>
      <c r="B304" s="1083"/>
      <c r="C304" s="1214"/>
      <c r="D304" s="1214"/>
      <c r="E304" s="556">
        <v>15</v>
      </c>
      <c r="F304" s="1232"/>
      <c r="G304" s="1214"/>
      <c r="H304" s="1214"/>
      <c r="I304" s="1214"/>
      <c r="J304" s="1214"/>
      <c r="K304" s="1214"/>
      <c r="L304" s="1214"/>
      <c r="M304" s="1214"/>
      <c r="N304" s="1214"/>
      <c r="O304" s="1214"/>
      <c r="P304" s="1194"/>
      <c r="Q304" s="1194"/>
      <c r="R304" s="1194"/>
      <c r="S304" s="1194"/>
      <c r="T304" s="388" t="b">
        <f>ROW(W304)&gt;ROW(W$303)</f>
        <v>1</v>
      </c>
      <c r="U304" s="412"/>
      <c r="V304" s="427"/>
      <c r="W304" s="677"/>
      <c r="X304" s="412"/>
      <c r="Y304" s="412"/>
      <c r="Z304" s="412" t="s">
        <v>147</v>
      </c>
      <c r="AA304" s="586" t="s">
        <v>173</v>
      </c>
      <c r="AB304" s="2049" t="s">
        <v>805</v>
      </c>
      <c r="AC304" s="2047"/>
      <c r="AD304" s="2047"/>
      <c r="AE304" s="2047"/>
      <c r="AF304" s="2047"/>
      <c r="AG304" s="2047"/>
      <c r="AH304" s="2047"/>
      <c r="AI304" s="2047"/>
      <c r="AJ304" s="2046"/>
      <c r="AK304" s="2046"/>
      <c r="AL304" s="2046"/>
      <c r="AM304" s="2046"/>
      <c r="AN304" s="2046"/>
      <c r="AO304" s="2046"/>
      <c r="AP304" s="2047"/>
      <c r="AQ304" s="2047"/>
      <c r="AR304" s="2047"/>
      <c r="AS304" s="2047"/>
      <c r="AT304" s="2046"/>
      <c r="AU304" s="2046"/>
      <c r="AV304" s="2046"/>
      <c r="AW304" s="2046"/>
      <c r="AX304" s="2046"/>
      <c r="AY304" s="2046"/>
      <c r="AZ304" s="2047"/>
      <c r="BA304" s="2047"/>
      <c r="BB304" s="2047"/>
      <c r="BC304" s="2050"/>
      <c r="BD304" s="412"/>
      <c r="BE304" s="1214"/>
      <c r="BF304" s="1216"/>
    </row>
    <row r="305" spans="5:56" ht="14.65" customHeight="1" x14ac:dyDescent="0.15">
      <c r="E305" s="556">
        <v>15</v>
      </c>
      <c r="T305" s="412"/>
      <c r="U305" s="412"/>
      <c r="V305" s="412"/>
      <c r="W305" s="677" t="s">
        <v>403</v>
      </c>
      <c r="X305" s="412"/>
      <c r="Y305" s="412"/>
      <c r="Z305" s="412"/>
      <c r="AA305" s="412"/>
      <c r="AB305" s="571"/>
      <c r="AC305" s="437" t="s">
        <v>404</v>
      </c>
      <c r="AD305" s="428"/>
      <c r="AE305" s="429"/>
      <c r="AF305" s="429"/>
      <c r="AG305" s="429"/>
      <c r="AH305" s="429"/>
      <c r="AI305" s="429"/>
      <c r="AJ305" s="429"/>
      <c r="AK305" s="429"/>
      <c r="AL305" s="429"/>
      <c r="AM305" s="429"/>
      <c r="AN305" s="429"/>
      <c r="AO305" s="429"/>
      <c r="AP305" s="429"/>
      <c r="AQ305" s="429"/>
      <c r="AR305" s="429"/>
      <c r="AS305" s="429"/>
      <c r="AT305" s="429"/>
      <c r="AU305" s="429"/>
      <c r="AV305" s="429"/>
      <c r="AW305" s="429"/>
      <c r="AX305" s="429"/>
      <c r="AY305" s="429"/>
      <c r="AZ305" s="429"/>
      <c r="BA305" s="429"/>
      <c r="BB305" s="429"/>
      <c r="BC305" s="430"/>
      <c r="BD305" s="412"/>
    </row>
    <row r="306" spans="5:56" ht="10.7" customHeight="1" x14ac:dyDescent="0.15">
      <c r="E306" s="556">
        <v>11</v>
      </c>
      <c r="T306" s="412"/>
      <c r="U306" s="412"/>
      <c r="V306" s="412"/>
      <c r="W306" s="412"/>
      <c r="X306" s="412"/>
      <c r="Y306" s="412"/>
      <c r="Z306" s="412"/>
      <c r="AA306" s="412"/>
      <c r="AB306" s="431"/>
      <c r="AC306" s="431"/>
      <c r="AD306" s="431"/>
      <c r="AE306" s="412"/>
      <c r="AF306" s="412"/>
      <c r="AG306" s="412"/>
      <c r="AH306" s="412"/>
      <c r="AI306" s="412"/>
      <c r="AJ306" s="412"/>
      <c r="AK306" s="412"/>
      <c r="AL306" s="412"/>
      <c r="AM306" s="412"/>
      <c r="AN306" s="412"/>
      <c r="AO306" s="412"/>
      <c r="AP306" s="412"/>
      <c r="AQ306" s="412"/>
      <c r="AR306" s="412"/>
      <c r="AS306" s="412"/>
      <c r="AT306" s="412"/>
      <c r="AU306" s="412"/>
      <c r="AV306" s="412"/>
      <c r="AW306" s="412"/>
      <c r="AX306" s="412"/>
      <c r="AY306" s="412"/>
      <c r="AZ306" s="412"/>
      <c r="BA306" s="412"/>
      <c r="BB306" s="412"/>
      <c r="BC306" s="431"/>
      <c r="BD306" s="412"/>
    </row>
  </sheetData>
  <sheetProtection formatColumns="0" formatRows="0" insertRows="0" deleteColumns="0" deleteRows="0" sort="0" autoFilter="0"/>
  <mergeCells count="14">
    <mergeCell ref="AB304:BC304"/>
    <mergeCell ref="AB301:BC301"/>
    <mergeCell ref="AB302:BC302"/>
    <mergeCell ref="AB303:BC303"/>
    <mergeCell ref="X118:X208"/>
    <mergeCell ref="Y118:Y208"/>
    <mergeCell ref="X209:X299"/>
    <mergeCell ref="Y209:Y299"/>
    <mergeCell ref="AD24:AD25"/>
    <mergeCell ref="BC24:BC25"/>
    <mergeCell ref="AB24:AB25"/>
    <mergeCell ref="AC24:AC25"/>
    <mergeCell ref="X27:X117"/>
    <mergeCell ref="Y27:Y117"/>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B212:BB214 BB216:BB219 BB221:BB224 BB228:BB230 BB232:BB233 BB236:BB237 BB239:BB240 BB242:BB245 BB249:BB252 BB255:BB256 BB258:BB261 BB265 BB268:BB269 BB271:BB272 BB274:BB275 BB277:BB282 BB284:BB287 BB291:BB293 BB295 BB297:BB299 BA115:BA117 BA121:BA123 BA125:BA128 BA130:BA133 BA137:BA139 BA141:BA142 BA145:BA146 BA148:BA149 BA151:BA154 BA158:BA161 BA164:BA165 BA167:BA170 BA174 BA177:BA178 BA180:BA181 BA183:BA184 BA186:BA191 BA193:BA196 BA200:BA202 BA204 BA206:BA208 BA212:BA214 BA216:BA219 BA221:BA224 BA228:BA230 BA232:BA233 BA236:BA237 BA239:BA240 BA242:BA245 BA249:BA252 BA255:BA256 BA258:BA261 BA265 BA268:BA269 BA271:BA272 BA274:BA275 BA277:BA282 BA284:BA287 BA291:BA293 BA295 BA297:BA299 AZ115:AZ117 AZ121:AZ123 AZ125:AZ128 AZ130:AZ133 AZ137:AZ139 AZ141:AZ142 AZ145:AZ146 AZ148:AZ149 AZ151:AZ154 AZ158:AZ161 AZ164:AZ165 AZ167:AZ170 AZ174 AZ177:AZ178 AZ180:AZ181 AZ183:AZ184 AZ186:AZ191 AZ193:AZ196 AZ200:AZ202 AZ204 AZ206:AZ208 AZ212:AZ214 AZ216:AZ219 AZ221:AZ224 AZ228:AZ230 AZ232:AZ233 AZ236:AZ237 AZ239:AZ240 AZ242:AZ245 AZ249:AZ252 AZ255:AZ256 AZ258:AZ261 AZ265 AZ268:AZ269 AZ271:AZ272 AZ274:AZ275 AZ277:AZ282 AZ284:AZ287 AZ291:AZ293 AZ295 AZ297:AZ299 AY115:AY117 AY121:AY123 AY125:AY128 AY130:AY133 AY137:AY139 AY141:AY142 AY145:AY146 AY148:AY149 AY151:AY154 AY158:AY161 AY164:AY165 AY167:AY170 AY174 AY177:AY178 AY180:AY181 AY183:AY184 AY186:AY191 AY193:AY196 AY200:AY202 AY204 AY206:AY208 AY212:AY214 AY216:AY219 AY221:AY224 AY228:AY230 AY232:AY233 AY236:AY237 AY239:AY240 AY242:AY245 AY249:AY252 AY255:AY256 AY258:AY261 AY265 AY268:AY269 AY271:AY272 AY274:AY275 AY277:AY282 AY284:AY287 AY291:AY293 AY295 AY297:AY299 AX115:AX117 AX121:AX123 AX125:AX128 AX130:AX133 AX137:AX139 AX141:AX142 AX145:AX146 AX148:AX149 AX151:AX154 AX158:AX161 AX164:AX165 AX167:AX170 AX174 AX177:AX178 AX180:AX181 AX183:AX184 AX186:AX191 AX193:AX196 AX200:AX202 AX204 AX206:AX208 AX212:AX214 AX216:AX219 AX221:AX224 AX228:AX230 AX232:AX233 AX236:AX237 AX239:AX240 AX242:AX245 AX249:AX252 AX255:AX256 AX258:AX261 AX265 AX268:AX269 AX271:AX272 AX274:AX275 AX277:AX282 AX284:AX287 AX291:AX293 AX295 AX297:AX299 AW115:AW117 AW121:AW123 AW125:AW128 AW130:AW133 AW137:AW139 AW141:AW142 AW145:AW146 AW148:AW149 AW151:AW154 AW158:AW161 AW164:AW165 AW167:AW170 AW174 AW177:AW178 AW180:AW181 AW183:AW184 AW186:AW191 AW193:AW196 AW200:AW202 AW204 AW206:AW208 AW212:AW214 AW216:AW219 AW221:AW224 AW228:AW230 AW232:AW233 AW236:AW237 AW239:AW240 AW242:AW245 AW249:AW252 AW255:AW256 AW258:AW261 AW265 AW268:AW269 AW271:AW272 AW274:AW275 AW277:AW282 AW284:AW287 AW291:AW293 AW295 AW297:AW299 AV115:AV117 AV121:AV123 AV125:AV128 AV130:AV133 AV137:AV139 AV141:AV142 AV145:AV146 AV148:AV149 AV151:AV154 AV158:AV161 AV164:AV165 AV167:AV170 AV174 AV177:AV178 AV180:AV181 AV183:AV184 AV186:AV191 AV193:AV196 AV200:AV202 AV204 AV206:AV208 AV212:AV214 AV216:AV219 AV221:AV224 AV228:AV230 AV232:AV233 AV236:AV237 AV239:AV240 AV242:AV245 AV249:AV252 AV255:AV256 AV258:AV261 AV265 AV268:AV269 AV271:AV272 AV274:AV275 AV277:AV282 AV284:AV287 AV291:AV293 AV295 AV297:AV299 AU115:AU117 AU121:AU123 AU125:AU128 AU130:AU133 AU137:AU139 AU141:AU142 AU145:AU146 AU148:AU149 AU151:AU154 AU158:AU161 AU164:AU165 AU167:AU170 AU174 AU177:AU178 AU180:AU181 AU183:AU184 AU186:AU191 AU193:AU196 AU200:AU202 AU204 AU206:AU208 AU212:AU214 AU216:AU219 AU221:AU224 AU228:AU230 AU232:AU233 AU236:AU237 AU239:AU240 AU242:AU245 AU249:AU252 AU255:AU256 AU258:AU261 AU265 AU268:AU269 AU271:AU272 AU274:AU275 AU277:AU282 AU284:AU287 AU291:AU293 AU295 AU297:AU299 AT115:AT117 AT121:AT123 AT125:AT128 AT130:AT133 AT137:AT139 AT141:AT142 AT145:AT146 AT148:AT149 AT151:AT154 AT158:AT161 AT164:AT165 AT167:AT170 AT174 AT177:AT178 AT180:AT181 AT183:AT184 AT186:AT191 AT193:AT196 AT200:AT202 AT204 AT206:AT208 AT212:AT214 AT216:AT219 AT221:AT224 AT228:AT230 AT232:AT233 AT236:AT237 AT239:AT240 AT242:AT245 AT249:AT252 AT255:AT256 AT258:AT261 AT265 AT268:AT269 AT271:AT272 AT274:AT275 AT277:AT282 AT284:AT287 AT291:AT293 AT295 AT297:AT299 AS115:AS117 AS121:AS123 AS125:AS128 AS130:AS133 AS137:AS139 AS141:AS142 AS145:AS146 AS148:AS149 AS151:AS154 AS158:AS161 AS164:AS165 AS167:AS170 AS174 AS177:AS178 AS180:AS181 AS183:AS184 AS186:AS191 AS193:AS196 AS200:AS202 AS204 AS206:AS208 AS212:AS214 AS216:AS219 AS221:AS224 AS228:AS230 AS232:AS233 AS236:AS237 AS239:AS240 AS242:AS245 AS249:AS252 AS255:AS256 AS258:AS261 AS265 AS268:AS269 AS271:AS272 AS274:AS275 AS277:AS282 AS284:AS287 AS291:AS293 AS295 AS297:AS299 AR115:AR117 AR121:AR123 AR125:AR128 AR130:AR133 AR137:AR139 AR141:AR142 AR145:AR146 AR148:AR149 AR151:AR154 AR158:AR161 AR164:AR165 AR167:AR170 AR174 AR177:AR178 AR180:AR181 AR183:AR184 AR186:AR191 AR193:AR196 AR200:AR202 AR204 AR206:AR208 AR212:AR214 AR216:AR219 AR221:AR224 AR228:AR230 AR232:AR233 AR236:AR237 AR239:AR240 AR242:AR245 AR249:AR252 AR255:AR256 AR258:AR261 AR265 AR268:AR269 AR271:AR272 AR274:AR275 AR277:AR282 AR284:AR287 AR291:AR293 AR295 AR297:AR299 AQ115:AQ117 AQ121:AQ123 AQ125:AQ128 AQ130:AQ133 AQ137:AQ139 AQ141:AQ142 AQ145:AQ146 AQ148:AQ149 AQ151:AQ154 AQ158:AQ161 AQ164:AQ165 AQ167:AQ170 AQ174 AQ177:AQ178 AQ180:AQ181 AQ183:AQ184 AQ186:AQ191 AQ193:AQ196 AQ200:AQ202 AQ204 AQ206:AQ208 AQ212:AQ214 AQ216:AQ219 AQ221:AQ224 AQ228:AQ230 AQ232:AQ233 AQ236:AQ237 AQ239:AQ240 AQ242:AQ245 AQ249:AQ252 AQ255:AQ256 AQ258:AQ261 AQ265 AQ268:AQ269 AQ271:AQ272 AQ274:AQ275 AQ277:AQ282 AQ284:AQ287 AQ291:AQ293 AQ295 AQ297:AQ299 AP115:AP117 AP121:AP123 AP125:AP128 AP130:AP133 AP137:AP139 AP141:AP142 AP145:AP146 AP148:AP149 AP151:AP154 AP158:AP161 AP164:AP165 AP167:AP170 AP174 AP177:AP178 AP180:AP181 AP183:AP184 AP186:AP191 AP193:AP196 AP200:AP202 AP204 AP206:AP208 AP212:AP214 AP216:AP219 AP221:AP224 AP228:AP230 AP232:AP233 AP236:AP237 AP239:AP240 AP242:AP245 AP249:AP252 AP255:AP256 AP258:AP261 AP265 AP268:AP269 AP271:AP272 AP274:AP275 AP277:AP282 AP284:AP287 AP291:AP293 AP295 AP297:AP299 AO115:AO117 AO121:AO123 AO125:AO128 AO130:AO133 AO137:AO139 AO141:AO142 AO145:AO146 AO148:AO149 AO151:AO154 AO158:AO161 AO164:AO165 AO167:AO170 AO174 AO177:AO178 AO180:AO181 AO183:AO184 AO186:AO191 AO193:AO196 AO200:AO202 AO204 AO206:AO208 AO212:AO214 AO216:AO219 AO221:AO224 AO228:AO230 AO232:AO233 AO236:AO237 AO239:AO240 AO242:AO245 AO249:AO252 AO255:AO256 AO258:AO261 AO265 AO268:AO269 AO271:AO272 AO274:AO275 AO277:AO282 AO284:AO287 AO291:AO293 AO295 AO297:AO299 AN115:AN117 AN121:AN123 AN125:AN128 AN130:AN133 AN137:AN139 AN141:AN142 AN145:AN146 AN148:AN149 AN151:AN154 AN158:AN161 AN164:AN165 AN167:AN170 AN174 AN177:AN178 AN180:AN181 AN183:AN184 AN186:AN191 AN193:AN196 AN200:AN202 AN204 AN206:AN208 AN212:AN214 AN216:AN219 AN221:AN224 AN228:AN230 AN232:AN233 AN236:AN237 AN239:AN240 AN242:AN245 AN249:AN252 AN255:AN256 AN258:AN261 AN265 AN268:AN269 AN271:AN272 AN274:AN275 AN277:AN282 AN284:AN287 AN291:AN293 AN295 AN297:AN299 AM115:AM117 AM121:AM123 AM125:AM128 AM130:AM133 AM137:AM139 AM141:AM142 AM145:AM146 AM148:AM149 AM151:AM154 AM158:AM161 AM164:AM165 AM167:AM170 AM174 AM177:AM178 AM180:AM181 AM183:AM184 AM186:AM191 AM193:AM196 AM200:AM202 AM204 AM206:AM208 AM212:AM214 AM216:AM219 AM221:AM224 AM228:AM230 AM232:AM233 AM236:AM237 AM239:AM240 AM242:AM245 AM249:AM252 AM255:AM256 AM258:AM261 AM265 AM268:AM269 AM271:AM272 AM274:AM275 AM277:AM282 AM284:AM287 AM291:AM293 AM295 AM297:AM299 AL115:AL117 AL121:AL123 AL125:AL128 AL130:AL133 AL137:AL139 AL141:AL142 AL145:AL146 AL148:AL149 AL151:AL154 AL158:AL161 AL164:AL165 AL167:AL170 AL174 AL177:AL178 AL180:AL181 AL183:AL184 AL186:AL191 AL193:AL196 AL200:AL202 AL204 AL206:AL208 AL212:AL214 AL216:AL219 AL221:AL224 AL228:AL230 AL232:AL233 AL236:AL237 AL239:AL240 AL242:AL245 AL249:AL252 AL255:AL256 AL258:AL261 AL265 AL268:AL269 AL271:AL272 AL274:AL275 AL277:AL282 AL284:AL287 AL291:AL293 AL295 AL297:AL299 AK115:AK117 AK121:AK123 AK125:AK128 AK130:AK133 AK137:AK139 AK141:AK142 AK145:AK146 AK148:AK149 AK151:AK154 AK158:AK161 AK164:AK165 AK167:AK170 AK174 AK177:AK178 AK180:AK181 AK183:AK184 AK186:AK191 AK193:AK196 AK200:AK202 AK204 AK206:AK208 AK212:AK214 AK216:AK219 AK221:AK224 AK228:AK230 AK232:AK233 AK236:AK237 AK239:AK240 AK242:AK245 AK249:AK252 AK255:AK256 AK258:AK261 AK265 AK268:AK269 AK271:AK272 AK274:AK275 AK277:AK282 AK284:AK287 AK291:AK293 AK295 AK297:AK299 AJ115:AJ117 AJ121:AJ123 AJ125:AJ128 AJ130:AJ133 AJ137:AJ139 AJ141:AJ142 AJ145:AJ146 AJ148:AJ149 AJ151:AJ154 AJ158:AJ161 AJ164:AJ165 AJ167:AJ170 AJ174 AJ177:AJ178 AJ180:AJ181 AJ183:AJ184 AJ186:AJ191 AJ193:AJ196 AJ200:AJ202 AJ204 AJ206:AJ208 AJ212:AJ214 AJ216:AJ219 AJ221:AJ224 AJ228:AJ230 AJ232:AJ233 AJ236:AJ237 AJ239:AJ240 AJ242:AJ245 AJ249:AJ252 AJ255:AJ256 AJ258:AJ261 AJ265 AJ268:AJ269 AJ271:AJ272 AJ274:AJ275 AJ277:AJ282 AJ284:AJ287 AJ291:AJ293 AJ295 AJ297:AJ299 AI115:AI117 AI121:AI123 AI125:AI128 AI130:AI133 AI137:AI139 AI141:AI142 AI145:AI146 AI148:AI149 AI151:AI154 AI158:AI161 AI164:AI165 AI167:AI170 AI174 AI177:AI178 AI180:AI181 AI183:AI184 AI186:AI191 AI193:AI196 AI200:AI202 AI204 AI206:AI208 AI212:AI214 AI216:AI219 AI221:AI224 AI228:AI230 AI232:AI233 AI236:AI237 AI239:AI240 AI242:AI245 AI249:AI252 AI255:AI256 AI258:AI261 AI265 AI268:AI269 AI271:AI272 AI274:AI275 AI277:AI282 AI284:AI287 AI291:AI293 AI295 AI297:AI299 AH115:AH117 AH121:AH123 AH125:AH128 AH130:AH133 AH137:AH139 AH141:AH142 AH145:AH146 AH148:AH149 AH151:AH154 AH158:AH161 AH164:AH165 AH167:AH170 AH174 AH177:AH178 AH180:AH181 AH183:AH184 AH186:AH191 AH193:AH196 AH200:AH202 AH204 AH206:AH208 AH212:AH214 AH216:AH219 AH221:AH224 AH228:AH230 AH232:AH233 AH236:AH237 AH239:AH240 AH242:AH245 AH249:AH252 AH255:AH256 AH258:AH261 AH265 AH268:AH269 AH271:AH272 AH274:AH275 AH277:AH282 AH284:AH287 AH291:AH293 AH295 AH297:AH299 AG115:AG117 AG121:AG123 AG125:AG128 AG130:AG133 AG137:AG139 AG141:AG142 AG145:AG146 AG148:AG149 AG151:AG154 AG158:AG161 AG164:AG165 AG167:AG170 AG174 AG177:AG178 AG180:AG181 AG183:AG184 AG186:AG191 AG193:AG196 AG200:AG202 AG204 AG206:AG208 AG212:AG214 AG216:AG219 AG221:AG224 AG228:AG230 AG232:AG233 AG236:AG237 AG239:AG240 AG242:AG245 AG249:AG252 AG255:AG256 AG258:AG261 AG265 AG268:AG269 AG271:AG272 AG274:AG275 AG277:AG282 AG284:AG287 AG291:AG293 AG295 AG297:AG299 AF115:AF117 AF121:AF123 AF125:AF128 AF130:AF133 AF137:AF139 AF141:AF142 AF145:AF146 AF148:AF149 AF151:AF154 AF158:AF161 AF164:AF165 AF167:AF170 AF174 AF177:AF178 AF180:AF181 AF183:AF184 AF186:AF191 AF193:AF196 AF200:AF202 AF204 AF206:AF208 AF212:AF214 AF216:AF219 AF221:AF224 AF228:AF230 AF232:AF233 AF236:AF237 AF239:AF240 AF242:AF245 AF249:AF252 AF255:AF256 AF258:AF261 AF265 AF268:AF269 AF271:AF272 AF274:AF275 AF277:AF282 AF284:AF287 AF291:AF293 AF295 AF297:AF299 AE115:AE117 AE121:AE123 AE125:AE128 AE130:AE133 AE137:AE139 AE141:AE142 AE145:AE146 AE148:AE149 AE151:AE154 AE158:AE161 AE164:AE165 AE167:AE170 AE174 AE177:AE178 AE180:AE181 AE183:AE184 AE186:AE191 AE193:AE196 AE200:AE202 AE204 AE206:AE208 AE212:AE214 AE216:AE219 AE221:AE224 AE228:AE230 AE232:AE233 AE236:AE237 AE239:AE240 AE242:AE245 AE249:AE252 AE255:AE256 AE258:AE261 AE265 AE268:AE269 AE271:AE272 AE274:AE275 AE277:AE282 AE284:AE287 AE291:AE293 AE295 AE297:AE299 AE95:BB100 AE102:BB105 AE83:BB83 AE76:BB79" xr:uid="{00000000-0002-0000-0A00-000000000000}">
      <formula1>0</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D8432-350A-3106-3498-5D7AA178D318}">
  <sheetPr>
    <tabColor rgb="FF002060"/>
    <outlinePr summaryBelow="0" summaryRight="0"/>
    <pageSetUpPr fitToPage="1"/>
  </sheetPr>
  <dimension ref="A1:AW43"/>
  <sheetViews>
    <sheetView showGridLines="0" workbookViewId="0">
      <pane xSplit="29" ySplit="27" topLeftCell="AD28" activePane="bottomRight" state="frozen"/>
      <selection pane="topRight" activeCell="AD1" sqref="AD1"/>
      <selection pane="bottomLeft" activeCell="A28" sqref="A28"/>
      <selection pane="bottomRight" activeCell="AA21" sqref="AA21"/>
    </sheetView>
  </sheetViews>
  <sheetFormatPr defaultColWidth="8.7109375" defaultRowHeight="11.25" customHeight="1" x14ac:dyDescent="0.15"/>
  <cols>
    <col min="1" max="1" width="4.5703125" style="930" hidden="1" customWidth="1"/>
    <col min="2" max="2" width="6.7109375" style="1128" hidden="1" customWidth="1"/>
    <col min="3" max="3" width="3.85546875" style="1128" hidden="1" customWidth="1"/>
    <col min="4" max="4" width="2.7109375" style="1128" hidden="1" customWidth="1"/>
    <col min="5" max="5" width="2.7109375" style="1081" hidden="1" customWidth="1"/>
    <col min="6" max="6" width="3.5703125" style="1128" hidden="1" customWidth="1"/>
    <col min="7" max="19" width="2.7109375" style="1128" hidden="1" customWidth="1"/>
    <col min="20" max="20" width="7.7109375" style="1128" hidden="1" customWidth="1"/>
    <col min="21" max="21" width="5.85546875" style="1128" hidden="1" customWidth="1"/>
    <col min="22" max="22" width="7.7109375" style="1128" hidden="1" customWidth="1"/>
    <col min="23" max="23" width="6.140625" style="1128" hidden="1" customWidth="1"/>
    <col min="24" max="25" width="5.5703125" style="1128" hidden="1" customWidth="1"/>
    <col min="26" max="26" width="5.28515625" style="1128" hidden="1" customWidth="1"/>
    <col min="27" max="27" width="3" style="1128" customWidth="1"/>
    <col min="28" max="28" width="11.7109375" style="1128" customWidth="1"/>
    <col min="29" max="29" width="18.85546875" style="1128" customWidth="1"/>
    <col min="30" max="30" width="13.5703125" style="1333" customWidth="1"/>
    <col min="31" max="31" width="13" style="1333" customWidth="1"/>
    <col min="32" max="32" width="7.28515625" style="1333" customWidth="1"/>
    <col min="33" max="35" width="17.85546875" style="1333" customWidth="1"/>
    <col min="36" max="36" width="7.42578125" style="1333" customWidth="1"/>
    <col min="37" max="40" width="12.5703125" style="1333" customWidth="1"/>
    <col min="41" max="42" width="20" style="1128" customWidth="1"/>
    <col min="43" max="43" width="3" style="1128" customWidth="1"/>
    <col min="44" max="44" width="8.7109375" style="1128" hidden="1"/>
    <col min="45" max="47" width="8.7109375" style="1082" hidden="1"/>
    <col min="48" max="49" width="8.7109375" style="1081" hidden="1"/>
  </cols>
  <sheetData>
    <row r="1" spans="1:49" ht="11.25" hidden="1" customHeight="1" x14ac:dyDescent="0.15">
      <c r="E1" s="411"/>
      <c r="F1" s="411" t="s">
        <v>319</v>
      </c>
      <c r="H1" s="411" t="s">
        <v>320</v>
      </c>
      <c r="T1" s="1316" t="s">
        <v>92</v>
      </c>
      <c r="U1" s="388" t="s">
        <v>97</v>
      </c>
      <c r="V1" s="388" t="s">
        <v>93</v>
      </c>
      <c r="W1" s="388" t="s">
        <v>94</v>
      </c>
      <c r="X1" s="388" t="s">
        <v>95</v>
      </c>
      <c r="Z1" s="388" t="s">
        <v>99</v>
      </c>
      <c r="AA1" s="388" t="s">
        <v>96</v>
      </c>
      <c r="AB1" s="388" t="s">
        <v>321</v>
      </c>
      <c r="AC1" s="388" t="s">
        <v>98</v>
      </c>
      <c r="AS1" s="934" t="s">
        <v>322</v>
      </c>
      <c r="AT1" s="934" t="s">
        <v>323</v>
      </c>
      <c r="AU1" s="934" t="s">
        <v>324</v>
      </c>
      <c r="AV1" s="573" t="s">
        <v>327</v>
      </c>
      <c r="AW1" s="573" t="s">
        <v>328</v>
      </c>
    </row>
    <row r="2" spans="1:49" ht="11.25" hidden="1" customHeight="1" x14ac:dyDescent="0.15">
      <c r="B2" s="1317" t="s">
        <v>18</v>
      </c>
      <c r="E2" s="411"/>
    </row>
    <row r="3" spans="1:49" ht="11.25" hidden="1" customHeight="1" x14ac:dyDescent="0.15">
      <c r="E3" s="411"/>
      <c r="AK3" s="1214" cm="1">
        <f t="array" ref="AK3">god</f>
        <v>2026</v>
      </c>
      <c r="AL3" s="463"/>
      <c r="AM3" s="463" cm="1">
        <f t="array" ref="AM3">god</f>
        <v>2026</v>
      </c>
      <c r="AN3" s="463"/>
    </row>
    <row r="4" spans="1:49" ht="11.25" hidden="1" customHeight="1" x14ac:dyDescent="0.15">
      <c r="E4" s="411"/>
      <c r="AK4" s="463"/>
      <c r="AL4" s="463"/>
      <c r="AM4" s="463"/>
      <c r="AN4" s="463"/>
    </row>
    <row r="5" spans="1:49" s="1081" customFormat="1" ht="11.25" hidden="1" customHeight="1" x14ac:dyDescent="0.15">
      <c r="A5" s="930"/>
      <c r="B5" s="411"/>
      <c r="C5" s="411"/>
      <c r="D5" s="411"/>
      <c r="E5" s="573" t="s">
        <v>19</v>
      </c>
      <c r="AA5" s="573">
        <v>3</v>
      </c>
      <c r="AB5" s="573">
        <v>11.71</v>
      </c>
      <c r="AC5" s="573">
        <v>18.86</v>
      </c>
      <c r="AD5" s="575">
        <v>13.57</v>
      </c>
      <c r="AE5" s="575">
        <v>13</v>
      </c>
      <c r="AF5" s="575">
        <v>7.29</v>
      </c>
      <c r="AG5" s="575">
        <v>17.86</v>
      </c>
      <c r="AH5" s="575">
        <v>17.86</v>
      </c>
      <c r="AI5" s="575">
        <v>17.86</v>
      </c>
      <c r="AJ5" s="575">
        <v>7.43</v>
      </c>
      <c r="AK5" s="1215">
        <v>12.57</v>
      </c>
      <c r="AL5" s="574">
        <v>12.57</v>
      </c>
      <c r="AM5" s="574">
        <v>12.57</v>
      </c>
      <c r="AN5" s="574">
        <v>12.57</v>
      </c>
      <c r="AO5" s="573">
        <v>20</v>
      </c>
      <c r="AP5" s="573">
        <v>20</v>
      </c>
      <c r="AQ5" s="573">
        <v>3</v>
      </c>
      <c r="AS5" s="934"/>
      <c r="AT5" s="934"/>
      <c r="AU5" s="934"/>
    </row>
    <row r="6" spans="1:49" ht="11.25" hidden="1" customHeight="1" x14ac:dyDescent="0.15">
      <c r="A6" s="930" t="s">
        <v>330</v>
      </c>
      <c r="AC6" s="411" t="s">
        <v>331</v>
      </c>
      <c r="AD6" s="445" t="s">
        <v>332</v>
      </c>
      <c r="AE6" s="445" t="s">
        <v>333</v>
      </c>
      <c r="AF6" s="445" t="s">
        <v>335</v>
      </c>
      <c r="AG6" s="445" t="s">
        <v>334</v>
      </c>
      <c r="AH6" s="445" t="s">
        <v>544</v>
      </c>
      <c r="AI6" s="445" t="s">
        <v>547</v>
      </c>
      <c r="AJ6" s="445" t="s">
        <v>591</v>
      </c>
      <c r="AK6" s="463" t="s">
        <v>609</v>
      </c>
      <c r="AL6" s="463" t="s">
        <v>806</v>
      </c>
      <c r="AM6" s="463" t="s">
        <v>807</v>
      </c>
      <c r="AN6" s="463" t="s">
        <v>808</v>
      </c>
      <c r="AO6" s="411" t="s">
        <v>809</v>
      </c>
      <c r="AP6" s="411" t="s">
        <v>810</v>
      </c>
    </row>
    <row r="7" spans="1:49" ht="11.25" hidden="1" customHeight="1" x14ac:dyDescent="0.15">
      <c r="AK7" s="463"/>
      <c r="AL7" s="463"/>
      <c r="AM7" s="463"/>
      <c r="AN7" s="463"/>
    </row>
    <row r="8" spans="1:49" ht="11.25" hidden="1" customHeight="1" x14ac:dyDescent="0.15">
      <c r="AK8" s="463"/>
      <c r="AL8" s="463"/>
      <c r="AM8" s="463"/>
      <c r="AN8" s="463"/>
    </row>
    <row r="9" spans="1:49" s="1082" customFormat="1" ht="11.25" hidden="1" customHeight="1" x14ac:dyDescent="0.15">
      <c r="A9" s="933" t="s">
        <v>811</v>
      </c>
      <c r="AD9" s="937" t="str" cm="1">
        <f t="array" ref="AD9">AD24</f>
        <v>Тип материала трубопровода</v>
      </c>
      <c r="AE9" s="937" t="str" cm="1">
        <f t="array" ref="AE9">AE24</f>
        <v>Тип грунта</v>
      </c>
      <c r="AF9" s="937" t="str" cm="1">
        <f t="array" ref="AF9">AF24</f>
        <v>Глубина грунта, м</v>
      </c>
      <c r="AG9" s="937" t="str" cm="1">
        <f t="array" ref="AG9">AG24</f>
        <v>Средняя стоимость строительства 1 км трубопровода, _x000D_
тыс. руб.</v>
      </c>
      <c r="AH9" s="937" t="str" cm="1">
        <f t="array" ref="AH9">AH24</f>
        <v>Средняя стоимость строительства 1 км трубопровода диаметром 500 мм, тыс.руб.</v>
      </c>
      <c r="AI9" s="937" t="str" cm="1">
        <f t="array" ref="AI9">AI24</f>
        <v>Источник информации по средней стоимости строительства</v>
      </c>
      <c r="AJ9" s="937" t="str" cm="1">
        <f t="array" ref="AJ9">AJ24</f>
        <v>Kd</v>
      </c>
      <c r="AK9" s="935" t="str" cm="1">
        <f t="array" ref="AK9">AK27</f>
        <v>км</v>
      </c>
      <c r="AL9" s="935" t="str" cm="1">
        <f t="array" ref="AL9">AL27</f>
        <v>усл.км</v>
      </c>
      <c r="AM9" s="935" t="str" cm="1">
        <f t="array" ref="AM9">AM27</f>
        <v>км</v>
      </c>
      <c r="AN9" s="935" t="str" cm="1">
        <f t="array" ref="AN9">AN27</f>
        <v>усл.км</v>
      </c>
      <c r="AO9" s="937"/>
      <c r="AP9" s="937"/>
      <c r="AV9" s="573"/>
      <c r="AW9" s="573"/>
    </row>
    <row r="10" spans="1:49" s="1082" customFormat="1" ht="11.25" hidden="1" customHeight="1" x14ac:dyDescent="0.15">
      <c r="A10" s="933" t="s">
        <v>363</v>
      </c>
      <c r="AD10" s="935"/>
      <c r="AE10" s="935"/>
      <c r="AF10" s="935"/>
      <c r="AG10" s="935"/>
      <c r="AH10" s="935"/>
      <c r="AI10" s="935"/>
      <c r="AJ10" s="935"/>
      <c r="AK10" s="1216" t="str" cm="1">
        <f t="array" ref="AK10">AK26</f>
        <v>Предложение организации</v>
      </c>
      <c r="AL10" s="936" t="str" cm="1">
        <f t="array" ref="AL10">AK10</f>
        <v>Предложение организации</v>
      </c>
      <c r="AM10" s="936" t="str" cm="1">
        <f t="array" ref="AM10">AM26</f>
        <v>Принято органом регулирования</v>
      </c>
      <c r="AN10" s="936" t="str" cm="1">
        <f t="array" ref="AN10">AM10</f>
        <v>Принято органом регулирования</v>
      </c>
      <c r="AV10" s="573"/>
      <c r="AW10" s="573"/>
    </row>
    <row r="11" spans="1:49" s="1082" customFormat="1" ht="11.25" hidden="1" customHeight="1" x14ac:dyDescent="0.15">
      <c r="A11" s="933" t="s">
        <v>364</v>
      </c>
      <c r="AD11" s="935"/>
      <c r="AE11" s="935"/>
      <c r="AF11" s="935"/>
      <c r="AG11" s="935"/>
      <c r="AH11" s="935"/>
      <c r="AI11" s="935"/>
      <c r="AJ11" s="935"/>
      <c r="AK11" s="936"/>
      <c r="AL11" s="936"/>
      <c r="AM11" s="936"/>
      <c r="AN11" s="936"/>
      <c r="AO11" s="934" t="str" cm="1">
        <f t="array" ref="AO11">AO24</f>
        <v>Ссылка на правовую норму (основание для принятия показателя в расчет тарифа)</v>
      </c>
      <c r="AP11" s="934" t="str" cm="1">
        <f t="array" ref="AP11">AP24</f>
        <v>Комментарии</v>
      </c>
      <c r="AV11" s="573"/>
      <c r="AW11" s="573"/>
    </row>
    <row r="12" spans="1:49" s="1082" customFormat="1" ht="11.25" hidden="1" customHeight="1" x14ac:dyDescent="0.15">
      <c r="A12" s="933" t="s">
        <v>337</v>
      </c>
      <c r="AC12" s="934" t="s">
        <v>324</v>
      </c>
      <c r="AD12" s="935"/>
      <c r="AE12" s="935"/>
      <c r="AF12" s="935"/>
      <c r="AG12" s="935"/>
      <c r="AH12" s="935"/>
      <c r="AI12" s="935"/>
      <c r="AJ12" s="935"/>
      <c r="AK12" s="936"/>
      <c r="AL12" s="936"/>
      <c r="AM12" s="936"/>
      <c r="AN12" s="936"/>
      <c r="AV12" s="573"/>
      <c r="AW12" s="573"/>
    </row>
    <row r="13" spans="1:49" ht="11.25" hidden="1" customHeight="1" x14ac:dyDescent="0.15">
      <c r="AK13" s="463"/>
      <c r="AL13" s="463"/>
      <c r="AM13" s="463"/>
      <c r="AN13" s="463"/>
    </row>
    <row r="14" spans="1:49" ht="11.25" hidden="1" customHeight="1" x14ac:dyDescent="0.15">
      <c r="AK14" s="1217"/>
      <c r="AL14" s="1217"/>
      <c r="AM14" s="1217"/>
      <c r="AN14" s="1217"/>
    </row>
    <row r="15" spans="1:49" ht="11.25" hidden="1" customHeight="1" x14ac:dyDescent="0.15">
      <c r="AK15" s="1217"/>
      <c r="AL15" s="1217"/>
      <c r="AM15" s="1217"/>
      <c r="AN15" s="1217"/>
    </row>
    <row r="16" spans="1:49" ht="11.25" hidden="1" customHeight="1" x14ac:dyDescent="0.15">
      <c r="AK16" s="1217"/>
      <c r="AL16" s="1217"/>
      <c r="AM16" s="1217"/>
      <c r="AN16" s="1217"/>
    </row>
    <row r="17" spans="1:49" ht="11.25" hidden="1" customHeight="1" x14ac:dyDescent="0.15">
      <c r="AK17" s="1217"/>
      <c r="AL17" s="1217"/>
      <c r="AM17" s="1217"/>
      <c r="AN17" s="1217"/>
    </row>
    <row r="18" spans="1:49" ht="11.25" hidden="1" customHeight="1" x14ac:dyDescent="0.15">
      <c r="AC18" s="411" t="s">
        <v>812</v>
      </c>
    </row>
    <row r="19" spans="1:49" ht="11.25" hidden="1" customHeight="1" x14ac:dyDescent="0.15"/>
    <row r="20" spans="1:49" ht="11.25" hidden="1" customHeight="1" x14ac:dyDescent="0.15"/>
    <row r="21" spans="1:49" ht="14.65" customHeight="1" x14ac:dyDescent="0.15">
      <c r="E21" s="573">
        <v>15</v>
      </c>
      <c r="AA21" s="411"/>
      <c r="AC21" s="446" t="str" cm="1">
        <f t="array" ref="AC21">tpl_title</f>
        <v>Кемеровская область / 2026 / ООО "Чистая вода" (ИНН:4246023100, КПП:424601001) / ДПР: 2024-2032</v>
      </c>
    </row>
    <row r="22" spans="1:49" ht="19.5" customHeight="1" x14ac:dyDescent="0.25">
      <c r="E22" s="573">
        <v>20</v>
      </c>
      <c r="AB22" s="1218" t="s">
        <v>46</v>
      </c>
      <c r="AC22" s="1219"/>
      <c r="AD22" s="1220"/>
      <c r="AE22" s="1220"/>
      <c r="AF22" s="1220"/>
      <c r="AG22" s="1220"/>
      <c r="AH22" s="1220"/>
      <c r="AI22" s="1220"/>
      <c r="AJ22" s="1220"/>
      <c r="AK22" s="464"/>
      <c r="AL22" s="464"/>
      <c r="AM22" s="464"/>
      <c r="AN22" s="464"/>
      <c r="AO22" s="1221"/>
      <c r="AP22" s="1221"/>
    </row>
    <row r="23" spans="1:49" ht="10.9" customHeight="1" x14ac:dyDescent="0.15">
      <c r="E23" s="573">
        <v>11.25</v>
      </c>
      <c r="AB23" s="2051"/>
      <c r="AC23" s="2051"/>
      <c r="AD23" s="2051"/>
      <c r="AE23" s="2051"/>
      <c r="AF23" s="2051"/>
      <c r="AG23" s="2051"/>
      <c r="AH23" s="2051"/>
      <c r="AI23" s="2051"/>
      <c r="AJ23" s="2051"/>
      <c r="AK23" s="2051"/>
      <c r="AL23" s="2051"/>
      <c r="AM23" s="2051"/>
      <c r="AN23" s="447"/>
    </row>
    <row r="24" spans="1:49" ht="10.9" customHeight="1" x14ac:dyDescent="0.15">
      <c r="E24" s="573">
        <v>11.25</v>
      </c>
      <c r="AB24" s="2035" t="s">
        <v>813</v>
      </c>
      <c r="AC24" s="2052" t="s">
        <v>814</v>
      </c>
      <c r="AD24" s="2052" t="s">
        <v>815</v>
      </c>
      <c r="AE24" s="2052" t="s">
        <v>816</v>
      </c>
      <c r="AF24" s="2052" t="s">
        <v>817</v>
      </c>
      <c r="AG24" s="2052" t="s">
        <v>818</v>
      </c>
      <c r="AH24" s="2052" t="s">
        <v>819</v>
      </c>
      <c r="AI24" s="2053" t="s">
        <v>820</v>
      </c>
      <c r="AJ24" s="2056" t="s">
        <v>821</v>
      </c>
      <c r="AK24" s="2057" t="s">
        <v>822</v>
      </c>
      <c r="AL24" s="2058"/>
      <c r="AM24" s="2058"/>
      <c r="AN24" s="2059"/>
      <c r="AO24" s="2060" t="s">
        <v>558</v>
      </c>
      <c r="AP24" s="2060" t="s">
        <v>368</v>
      </c>
    </row>
    <row r="25" spans="1:49" ht="14.65" customHeight="1" x14ac:dyDescent="0.15">
      <c r="E25" s="573">
        <v>15</v>
      </c>
      <c r="AB25" s="2035"/>
      <c r="AC25" s="2052"/>
      <c r="AD25" s="2052"/>
      <c r="AE25" s="2052"/>
      <c r="AF25" s="2052"/>
      <c r="AG25" s="2052"/>
      <c r="AH25" s="2052"/>
      <c r="AI25" s="2054"/>
      <c r="AJ25" s="2056"/>
      <c r="AK25" s="2037" t="str">
        <f>god&amp;" год"</f>
        <v>2026 год</v>
      </c>
      <c r="AL25" s="2061"/>
      <c r="AM25" s="2061"/>
      <c r="AN25" s="2062"/>
      <c r="AO25" s="2060"/>
      <c r="AP25" s="2060"/>
    </row>
    <row r="26" spans="1:49" ht="48.75" customHeight="1" x14ac:dyDescent="0.15">
      <c r="E26" s="573">
        <v>50</v>
      </c>
      <c r="AB26" s="2035"/>
      <c r="AC26" s="2052"/>
      <c r="AD26" s="2052"/>
      <c r="AE26" s="2052"/>
      <c r="AF26" s="2052"/>
      <c r="AG26" s="2052"/>
      <c r="AH26" s="2052"/>
      <c r="AI26" s="2054"/>
      <c r="AJ26" s="2056"/>
      <c r="AK26" s="2063" t="s">
        <v>360</v>
      </c>
      <c r="AL26" s="2063"/>
      <c r="AM26" s="2060" t="s">
        <v>359</v>
      </c>
      <c r="AN26" s="2060"/>
      <c r="AO26" s="2060"/>
      <c r="AP26" s="2060"/>
    </row>
    <row r="27" spans="1:49" ht="13.9" customHeight="1" x14ac:dyDescent="0.15">
      <c r="E27" s="573">
        <v>14.25</v>
      </c>
      <c r="AB27" s="2035"/>
      <c r="AC27" s="2052"/>
      <c r="AD27" s="2052"/>
      <c r="AE27" s="2052"/>
      <c r="AF27" s="2052"/>
      <c r="AG27" s="2052"/>
      <c r="AH27" s="2052"/>
      <c r="AI27" s="2055"/>
      <c r="AJ27" s="2056"/>
      <c r="AK27" s="465" t="s">
        <v>385</v>
      </c>
      <c r="AL27" s="465" t="s">
        <v>823</v>
      </c>
      <c r="AM27" s="465" t="s">
        <v>385</v>
      </c>
      <c r="AN27" s="465" t="s">
        <v>823</v>
      </c>
      <c r="AO27" s="2060"/>
      <c r="AP27" s="2060"/>
    </row>
    <row r="28" spans="1:49" ht="11.25" hidden="1" customHeight="1" x14ac:dyDescent="0.15">
      <c r="E28" s="573">
        <v>0</v>
      </c>
      <c r="AB28" s="646"/>
      <c r="AC28" s="1091"/>
      <c r="AD28" s="647"/>
      <c r="AE28" s="647"/>
      <c r="AF28" s="647"/>
      <c r="AG28" s="647"/>
      <c r="AH28" s="647"/>
      <c r="AI28" s="1092"/>
      <c r="AJ28" s="1093"/>
      <c r="AK28" s="640"/>
      <c r="AL28" s="640"/>
      <c r="AM28" s="640"/>
      <c r="AN28" s="640"/>
      <c r="AO28" s="640"/>
      <c r="AP28" s="640"/>
    </row>
    <row r="29" spans="1:49" ht="14.65" hidden="1" customHeight="1" x14ac:dyDescent="0.15">
      <c r="E29" s="573">
        <v>15</v>
      </c>
      <c r="F29" s="1222" cm="1">
        <f t="array" ref="F29">X29</f>
        <v>0</v>
      </c>
      <c r="G29" s="411" t="s">
        <v>824</v>
      </c>
      <c r="T29" s="388" t="b">
        <f>X29&gt;0</f>
        <v>0</v>
      </c>
      <c r="V29" s="411" t="s">
        <v>271</v>
      </c>
      <c r="X29" s="2066">
        <v>0</v>
      </c>
      <c r="Z29" s="2067"/>
      <c r="AB29" s="1094" t="str" cm="1">
        <f t="array" ref="AB29">INDEX('Общие сведения'!$AG$185:$AG$228,MATCH($X29,'Общие сведения'!$Z$185:$Z$228,0))</f>
        <v xml:space="preserve">Тариф 0 () - </v>
      </c>
      <c r="AC29" s="1095"/>
      <c r="AD29" s="99"/>
      <c r="AE29" s="99"/>
      <c r="AF29" s="99"/>
      <c r="AG29" s="99"/>
      <c r="AH29" s="99"/>
      <c r="AI29" s="99"/>
      <c r="AJ29" s="99"/>
      <c r="AK29" s="1096">
        <f>SUM(AK30:AK31)</f>
        <v>0</v>
      </c>
      <c r="AL29" s="466">
        <f>SUM(AL30:AL31)</f>
        <v>0</v>
      </c>
      <c r="AM29" s="466">
        <f>SUM(AM30:AM31)</f>
        <v>0</v>
      </c>
      <c r="AN29" s="466">
        <f>SUM(AN30:AN31)</f>
        <v>0</v>
      </c>
      <c r="AO29" s="1095"/>
      <c r="AP29" s="1095"/>
    </row>
    <row r="30" spans="1:49" ht="14.65" hidden="1" customHeight="1" x14ac:dyDescent="0.15">
      <c r="E30" s="573">
        <v>15</v>
      </c>
      <c r="F30" s="3" cm="1">
        <f t="array" aca="1" ref="F30" ca="1">OFFSET(E30,-1,1)</f>
        <v>0</v>
      </c>
      <c r="H30" s="411" cm="1">
        <f t="array" ref="H30">AB30</f>
        <v>0</v>
      </c>
      <c r="T30" s="388" t="b">
        <f ca="1">AND(F30&gt;0,AB30&gt;0)</f>
        <v>0</v>
      </c>
      <c r="W30" s="677" t="s">
        <v>172</v>
      </c>
      <c r="X30" s="2066"/>
      <c r="Z30" s="2067"/>
      <c r="AA30" s="1097" t="s">
        <v>173</v>
      </c>
      <c r="AB30" s="592">
        <v>0</v>
      </c>
      <c r="AC30" s="1388"/>
      <c r="AD30" s="1389"/>
      <c r="AE30" s="1389"/>
      <c r="AF30" s="1390"/>
      <c r="AG30" s="1391"/>
      <c r="AH30" s="1391"/>
      <c r="AI30" s="1392"/>
      <c r="AJ30" s="1098">
        <f>IF(AH30=0,0,AG30/AH30)</f>
        <v>0</v>
      </c>
      <c r="AK30" s="1393"/>
      <c r="AL30" s="1394">
        <f>AK30*$AJ30</f>
        <v>0</v>
      </c>
      <c r="AM30" s="1393"/>
      <c r="AN30" s="467">
        <f>AM30*$AJ30</f>
        <v>0</v>
      </c>
      <c r="AO30" s="1395"/>
      <c r="AP30" s="1395"/>
      <c r="AS30" s="934" t="s">
        <v>825</v>
      </c>
      <c r="AT30" s="934" t="s">
        <v>826</v>
      </c>
      <c r="AU30" s="934" cm="1">
        <f t="array" ref="AU30">AC30</f>
        <v>0</v>
      </c>
      <c r="AW30" s="573" t="b">
        <v>1</v>
      </c>
    </row>
    <row r="31" spans="1:49" ht="14.65" hidden="1" customHeight="1" x14ac:dyDescent="0.15">
      <c r="C31" s="932"/>
      <c r="E31" s="573">
        <v>15</v>
      </c>
      <c r="F31" s="3" cm="1">
        <f t="array" aca="1" ref="F31" ca="1">OFFSET(E31,-1,1)</f>
        <v>0</v>
      </c>
      <c r="G31" s="932"/>
      <c r="H31" s="411" t="str">
        <f>"!= 0"</f>
        <v>!= 0</v>
      </c>
      <c r="T31" s="388" t="b" cm="1">
        <f t="array" ref="T31">T29</f>
        <v>0</v>
      </c>
      <c r="W31" s="677" t="s">
        <v>827</v>
      </c>
      <c r="X31" s="2066"/>
      <c r="Z31" s="2067"/>
      <c r="AB31" s="1099"/>
      <c r="AC31" s="1100" t="s">
        <v>176</v>
      </c>
      <c r="AD31" s="1223"/>
      <c r="AE31" s="1223"/>
      <c r="AF31" s="1223"/>
      <c r="AG31" s="1223"/>
      <c r="AH31" s="1223"/>
      <c r="AI31" s="1223"/>
      <c r="AJ31" s="1223"/>
      <c r="AK31" s="1223"/>
      <c r="AL31" s="1223"/>
      <c r="AM31" s="1223"/>
      <c r="AN31" s="1223"/>
      <c r="AO31" s="1318"/>
      <c r="AP31" s="1101"/>
      <c r="AV31" s="573" t="s">
        <v>826</v>
      </c>
    </row>
    <row r="32" spans="1:49" s="1334" customFormat="1" ht="14.25" customHeight="1" x14ac:dyDescent="0.15">
      <c r="A32" s="930"/>
      <c r="B32" s="1128"/>
      <c r="C32" s="1128"/>
      <c r="D32" s="1128"/>
      <c r="E32" s="573">
        <v>15</v>
      </c>
      <c r="F32" s="1222" t="str" cm="1">
        <f t="array" ref="F32">X32</f>
        <v>1</v>
      </c>
      <c r="G32" s="411" t="s">
        <v>824</v>
      </c>
      <c r="H32" s="1128"/>
      <c r="I32" s="1128"/>
      <c r="J32" s="1128"/>
      <c r="K32" s="1128"/>
      <c r="L32" s="1128"/>
      <c r="M32" s="1128"/>
      <c r="N32" s="1128"/>
      <c r="O32" s="1128"/>
      <c r="P32" s="1128"/>
      <c r="Q32" s="1128"/>
      <c r="R32" s="1128"/>
      <c r="S32" s="1128"/>
      <c r="T32" s="388" t="b">
        <f>X32&gt;0</f>
        <v>1</v>
      </c>
      <c r="U32" s="1128"/>
      <c r="V32" s="411" t="str" cm="1">
        <f t="array" ref="V32">Баланс!$AB$118</f>
        <v>Тариф 1 (Водоснабжение) - тариф на питьевую воду</v>
      </c>
      <c r="W32" s="1128"/>
      <c r="X32" s="2066" t="s">
        <v>282</v>
      </c>
      <c r="Y32" s="1128"/>
      <c r="Z32" s="2067"/>
      <c r="AA32" s="1128"/>
      <c r="AB32" s="1094" t="str" cm="1">
        <f t="array" ref="AB32">Баланс!$AB$118</f>
        <v>Тариф 1 (Водоснабжение) - тариф на питьевую воду</v>
      </c>
      <c r="AC32" s="1095"/>
      <c r="AD32" s="99"/>
      <c r="AE32" s="99"/>
      <c r="AF32" s="99"/>
      <c r="AG32" s="99"/>
      <c r="AH32" s="99"/>
      <c r="AI32" s="99"/>
      <c r="AJ32" s="99"/>
      <c r="AK32" s="1096">
        <f>SUM(AK33:AK34)</f>
        <v>0</v>
      </c>
      <c r="AL32" s="466">
        <f>SUM(AL33:AL34)</f>
        <v>0</v>
      </c>
      <c r="AM32" s="466">
        <f>SUM(AM33:AM34)</f>
        <v>0</v>
      </c>
      <c r="AN32" s="466">
        <f>SUM(AN33:AN34)</f>
        <v>0</v>
      </c>
      <c r="AO32" s="1095"/>
      <c r="AP32" s="1095"/>
      <c r="AQ32" s="1128"/>
      <c r="AR32" s="1128"/>
      <c r="AS32" s="1082"/>
      <c r="AT32" s="1082"/>
      <c r="AU32" s="1082"/>
      <c r="AV32" s="1081"/>
      <c r="AW32" s="1081"/>
    </row>
    <row r="33" spans="1:49" s="1334" customFormat="1" ht="14.25" hidden="1" customHeight="1" x14ac:dyDescent="0.15">
      <c r="A33" s="930"/>
      <c r="B33" s="1128"/>
      <c r="C33" s="1128"/>
      <c r="D33" s="1128"/>
      <c r="E33" s="573">
        <v>15</v>
      </c>
      <c r="F33" s="3" t="str" cm="1">
        <f t="array" aca="1" ref="F33" ca="1">OFFSET(E33,-1,1)</f>
        <v>1</v>
      </c>
      <c r="G33" s="1128"/>
      <c r="H33" s="411" cm="1">
        <f t="array" ref="H33">AB33</f>
        <v>0</v>
      </c>
      <c r="I33" s="1128"/>
      <c r="J33" s="1128"/>
      <c r="K33" s="1128"/>
      <c r="L33" s="1128"/>
      <c r="M33" s="1128"/>
      <c r="N33" s="1128"/>
      <c r="O33" s="1128"/>
      <c r="P33" s="1128"/>
      <c r="Q33" s="1128"/>
      <c r="R33" s="1128"/>
      <c r="S33" s="1128"/>
      <c r="T33" s="388" t="b">
        <f ca="1">AND(F33&gt;0,AB33&gt;0)</f>
        <v>0</v>
      </c>
      <c r="U33" s="1128"/>
      <c r="V33" s="1128"/>
      <c r="W33" s="677" t="s">
        <v>172</v>
      </c>
      <c r="X33" s="2066"/>
      <c r="Y33" s="1128"/>
      <c r="Z33" s="2067"/>
      <c r="AA33" s="1097" t="s">
        <v>173</v>
      </c>
      <c r="AB33" s="592">
        <v>0</v>
      </c>
      <c r="AC33" s="1388"/>
      <c r="AD33" s="1389"/>
      <c r="AE33" s="1389"/>
      <c r="AF33" s="1390"/>
      <c r="AG33" s="1391"/>
      <c r="AH33" s="1391"/>
      <c r="AI33" s="1392"/>
      <c r="AJ33" s="1098">
        <f>IF(AH33=0,0,AG33/AH33)</f>
        <v>0</v>
      </c>
      <c r="AK33" s="1393"/>
      <c r="AL33" s="1394">
        <f>AK33*$AJ33</f>
        <v>0</v>
      </c>
      <c r="AM33" s="1393"/>
      <c r="AN33" s="467">
        <f>AM33*$AJ33</f>
        <v>0</v>
      </c>
      <c r="AO33" s="1395"/>
      <c r="AP33" s="1395"/>
      <c r="AQ33" s="1128"/>
      <c r="AR33" s="1128"/>
      <c r="AS33" s="934" t="s">
        <v>825</v>
      </c>
      <c r="AT33" s="934" t="s">
        <v>826</v>
      </c>
      <c r="AU33" s="934" cm="1">
        <f t="array" ref="AU33">AC33</f>
        <v>0</v>
      </c>
      <c r="AV33" s="1081"/>
      <c r="AW33" s="573" t="b">
        <v>1</v>
      </c>
    </row>
    <row r="34" spans="1:49" s="1334" customFormat="1" ht="14.25" customHeight="1" x14ac:dyDescent="0.15">
      <c r="A34" s="930"/>
      <c r="B34" s="1128"/>
      <c r="C34" s="932"/>
      <c r="D34" s="1128"/>
      <c r="E34" s="573">
        <v>15</v>
      </c>
      <c r="F34" s="3" t="str" cm="1">
        <f t="array" aca="1" ref="F34" ca="1">OFFSET(E34,-1,1)</f>
        <v>1</v>
      </c>
      <c r="G34" s="932"/>
      <c r="H34" s="411" t="str">
        <f>"!= 0"</f>
        <v>!= 0</v>
      </c>
      <c r="I34" s="1128"/>
      <c r="J34" s="1128"/>
      <c r="K34" s="1128"/>
      <c r="L34" s="1128"/>
      <c r="M34" s="1128"/>
      <c r="N34" s="1128"/>
      <c r="O34" s="1128"/>
      <c r="P34" s="1128"/>
      <c r="Q34" s="1128"/>
      <c r="R34" s="1128"/>
      <c r="S34" s="1128"/>
      <c r="T34" s="388" t="b" cm="1">
        <f t="array" ref="T34">T32</f>
        <v>1</v>
      </c>
      <c r="U34" s="1128"/>
      <c r="V34" s="1128"/>
      <c r="W34" s="677" t="s">
        <v>827</v>
      </c>
      <c r="X34" s="2066"/>
      <c r="Y34" s="1128"/>
      <c r="Z34" s="2067"/>
      <c r="AA34" s="1128"/>
      <c r="AB34" s="1099"/>
      <c r="AC34" s="1100" t="s">
        <v>176</v>
      </c>
      <c r="AD34" s="1223"/>
      <c r="AE34" s="1223"/>
      <c r="AF34" s="1223"/>
      <c r="AG34" s="1223"/>
      <c r="AH34" s="1223"/>
      <c r="AI34" s="1223"/>
      <c r="AJ34" s="1223"/>
      <c r="AK34" s="1223"/>
      <c r="AL34" s="1223"/>
      <c r="AM34" s="1223"/>
      <c r="AN34" s="1223"/>
      <c r="AO34" s="1318"/>
      <c r="AP34" s="1101"/>
      <c r="AQ34" s="1128"/>
      <c r="AR34" s="1128"/>
      <c r="AS34" s="1082"/>
      <c r="AT34" s="1082"/>
      <c r="AU34" s="1082"/>
      <c r="AV34" s="573" t="s">
        <v>826</v>
      </c>
      <c r="AW34" s="1081"/>
    </row>
    <row r="35" spans="1:49" s="1334" customFormat="1" ht="14.25" customHeight="1" x14ac:dyDescent="0.15">
      <c r="A35" s="930"/>
      <c r="B35" s="1128"/>
      <c r="C35" s="1128"/>
      <c r="D35" s="1128"/>
      <c r="E35" s="573">
        <v>15</v>
      </c>
      <c r="F35" s="1222" t="str" cm="1">
        <f t="array" ref="F35">X35</f>
        <v>2</v>
      </c>
      <c r="G35" s="411" t="s">
        <v>824</v>
      </c>
      <c r="H35" s="1128"/>
      <c r="I35" s="1128"/>
      <c r="J35" s="1128"/>
      <c r="K35" s="1128"/>
      <c r="L35" s="1128"/>
      <c r="M35" s="1128"/>
      <c r="N35" s="1128"/>
      <c r="O35" s="1128"/>
      <c r="P35" s="1128"/>
      <c r="Q35" s="1128"/>
      <c r="R35" s="1128"/>
      <c r="S35" s="1128"/>
      <c r="T35" s="388" t="b">
        <f>X35&gt;0</f>
        <v>1</v>
      </c>
      <c r="U35" s="1128"/>
      <c r="V35" s="411" t="str" cm="1">
        <f t="array" ref="V35">Баланс!$AB$209</f>
        <v>Тариф 2 (Водоотведение) - тариф на водоотведение</v>
      </c>
      <c r="W35" s="1128"/>
      <c r="X35" s="2066" t="s">
        <v>289</v>
      </c>
      <c r="Y35" s="1128"/>
      <c r="Z35" s="2067"/>
      <c r="AA35" s="1128"/>
      <c r="AB35" s="1094" t="str" cm="1">
        <f t="array" ref="AB35">Баланс!$AB$209</f>
        <v>Тариф 2 (Водоотведение) - тариф на водоотведение</v>
      </c>
      <c r="AC35" s="1095"/>
      <c r="AD35" s="99"/>
      <c r="AE35" s="99"/>
      <c r="AF35" s="99"/>
      <c r="AG35" s="99"/>
      <c r="AH35" s="99"/>
      <c r="AI35" s="99"/>
      <c r="AJ35" s="99"/>
      <c r="AK35" s="1096">
        <f>SUM(AK36:AK37)</f>
        <v>0</v>
      </c>
      <c r="AL35" s="466">
        <f>SUM(AL36:AL37)</f>
        <v>0</v>
      </c>
      <c r="AM35" s="466">
        <f>SUM(AM36:AM37)</f>
        <v>0</v>
      </c>
      <c r="AN35" s="466">
        <f>SUM(AN36:AN37)</f>
        <v>0</v>
      </c>
      <c r="AO35" s="1095"/>
      <c r="AP35" s="1095"/>
      <c r="AQ35" s="1128"/>
      <c r="AR35" s="1128"/>
      <c r="AS35" s="1082"/>
      <c r="AT35" s="1082"/>
      <c r="AU35" s="1082"/>
      <c r="AV35" s="1081"/>
      <c r="AW35" s="1081"/>
    </row>
    <row r="36" spans="1:49" s="1334" customFormat="1" ht="14.25" hidden="1" customHeight="1" x14ac:dyDescent="0.15">
      <c r="A36" s="930"/>
      <c r="B36" s="1128"/>
      <c r="C36" s="1128"/>
      <c r="D36" s="1128"/>
      <c r="E36" s="573">
        <v>15</v>
      </c>
      <c r="F36" s="3" t="str" cm="1">
        <f t="array" aca="1" ref="F36" ca="1">OFFSET(E36,-1,1)</f>
        <v>2</v>
      </c>
      <c r="G36" s="1128"/>
      <c r="H36" s="411" cm="1">
        <f t="array" ref="H36">AB36</f>
        <v>0</v>
      </c>
      <c r="I36" s="1128"/>
      <c r="J36" s="1128"/>
      <c r="K36" s="1128"/>
      <c r="L36" s="1128"/>
      <c r="M36" s="1128"/>
      <c r="N36" s="1128"/>
      <c r="O36" s="1128"/>
      <c r="P36" s="1128"/>
      <c r="Q36" s="1128"/>
      <c r="R36" s="1128"/>
      <c r="S36" s="1128"/>
      <c r="T36" s="388" t="b">
        <f ca="1">AND(F36&gt;0,AB36&gt;0)</f>
        <v>0</v>
      </c>
      <c r="U36" s="1128"/>
      <c r="V36" s="1128"/>
      <c r="W36" s="677" t="s">
        <v>172</v>
      </c>
      <c r="X36" s="2066"/>
      <c r="Y36" s="1128"/>
      <c r="Z36" s="2067"/>
      <c r="AA36" s="1097" t="s">
        <v>173</v>
      </c>
      <c r="AB36" s="592">
        <v>0</v>
      </c>
      <c r="AC36" s="1388"/>
      <c r="AD36" s="1389"/>
      <c r="AE36" s="1389"/>
      <c r="AF36" s="1390"/>
      <c r="AG36" s="1391"/>
      <c r="AH36" s="1391"/>
      <c r="AI36" s="1392"/>
      <c r="AJ36" s="1098">
        <f>IF(AH36=0,0,AG36/AH36)</f>
        <v>0</v>
      </c>
      <c r="AK36" s="1393"/>
      <c r="AL36" s="1394">
        <f>AK36*$AJ36</f>
        <v>0</v>
      </c>
      <c r="AM36" s="1393"/>
      <c r="AN36" s="467">
        <f>AM36*$AJ36</f>
        <v>0</v>
      </c>
      <c r="AO36" s="1395"/>
      <c r="AP36" s="1395"/>
      <c r="AQ36" s="1128"/>
      <c r="AR36" s="1128"/>
      <c r="AS36" s="934" t="s">
        <v>825</v>
      </c>
      <c r="AT36" s="934" t="s">
        <v>826</v>
      </c>
      <c r="AU36" s="934" cm="1">
        <f t="array" ref="AU36">AC36</f>
        <v>0</v>
      </c>
      <c r="AV36" s="1081"/>
      <c r="AW36" s="573" t="b">
        <v>1</v>
      </c>
    </row>
    <row r="37" spans="1:49" s="1334" customFormat="1" ht="14.25" customHeight="1" x14ac:dyDescent="0.15">
      <c r="A37" s="930"/>
      <c r="B37" s="1128"/>
      <c r="C37" s="932"/>
      <c r="D37" s="1128"/>
      <c r="E37" s="573">
        <v>15</v>
      </c>
      <c r="F37" s="3" t="str" cm="1">
        <f t="array" aca="1" ref="F37" ca="1">OFFSET(E37,-1,1)</f>
        <v>2</v>
      </c>
      <c r="G37" s="932"/>
      <c r="H37" s="411" t="str">
        <f>"!= 0"</f>
        <v>!= 0</v>
      </c>
      <c r="I37" s="1128"/>
      <c r="J37" s="1128"/>
      <c r="K37" s="1128"/>
      <c r="L37" s="1128"/>
      <c r="M37" s="1128"/>
      <c r="N37" s="1128"/>
      <c r="O37" s="1128"/>
      <c r="P37" s="1128"/>
      <c r="Q37" s="1128"/>
      <c r="R37" s="1128"/>
      <c r="S37" s="1128"/>
      <c r="T37" s="388" t="b" cm="1">
        <f t="array" ref="T37">T35</f>
        <v>1</v>
      </c>
      <c r="U37" s="1128"/>
      <c r="V37" s="1128"/>
      <c r="W37" s="677" t="s">
        <v>827</v>
      </c>
      <c r="X37" s="2066"/>
      <c r="Y37" s="1128"/>
      <c r="Z37" s="2067"/>
      <c r="AA37" s="1128"/>
      <c r="AB37" s="1099"/>
      <c r="AC37" s="1100" t="s">
        <v>176</v>
      </c>
      <c r="AD37" s="1223"/>
      <c r="AE37" s="1223"/>
      <c r="AF37" s="1223"/>
      <c r="AG37" s="1223"/>
      <c r="AH37" s="1223"/>
      <c r="AI37" s="1223"/>
      <c r="AJ37" s="1223"/>
      <c r="AK37" s="1223"/>
      <c r="AL37" s="1223"/>
      <c r="AM37" s="1223"/>
      <c r="AN37" s="1223"/>
      <c r="AO37" s="1318"/>
      <c r="AP37" s="1101"/>
      <c r="AQ37" s="1128"/>
      <c r="AR37" s="1128"/>
      <c r="AS37" s="1082"/>
      <c r="AT37" s="1082"/>
      <c r="AU37" s="1082"/>
      <c r="AV37" s="573" t="s">
        <v>826</v>
      </c>
      <c r="AW37" s="1081"/>
    </row>
    <row r="38" spans="1:49" ht="10.9" customHeight="1" x14ac:dyDescent="0.15">
      <c r="E38" s="573">
        <v>11.25</v>
      </c>
      <c r="U38" s="1102" t="s">
        <v>176</v>
      </c>
      <c r="V38" s="1103" t="s">
        <v>828</v>
      </c>
      <c r="AB38" s="458"/>
      <c r="AC38" s="459"/>
      <c r="AD38" s="458"/>
      <c r="AE38" s="458"/>
      <c r="AF38" s="458"/>
      <c r="AG38" s="458"/>
      <c r="AH38" s="458"/>
      <c r="AI38" s="458"/>
      <c r="AJ38" s="458"/>
      <c r="AK38" s="460"/>
      <c r="AL38" s="460"/>
    </row>
    <row r="39" spans="1:49" s="1214" customFormat="1" ht="14.65" customHeight="1" x14ac:dyDescent="0.15">
      <c r="A39" s="931"/>
      <c r="E39" s="574">
        <v>15</v>
      </c>
      <c r="AB39" s="2035" t="s">
        <v>402</v>
      </c>
      <c r="AC39" s="2035"/>
      <c r="AD39" s="2035"/>
      <c r="AE39" s="2035"/>
      <c r="AF39" s="2035"/>
      <c r="AG39" s="2035"/>
      <c r="AH39" s="2035"/>
      <c r="AI39" s="2035"/>
      <c r="AJ39" s="2035"/>
      <c r="AK39" s="2068"/>
      <c r="AL39" s="2068"/>
      <c r="AM39" s="2068"/>
      <c r="AN39" s="2068"/>
      <c r="AO39" s="2068"/>
      <c r="AP39" s="2068"/>
      <c r="AS39" s="936"/>
      <c r="AT39" s="936"/>
      <c r="AU39" s="936"/>
      <c r="AV39" s="574"/>
      <c r="AW39" s="574"/>
    </row>
    <row r="40" spans="1:49" s="1214" customFormat="1" ht="14.65" customHeight="1" x14ac:dyDescent="0.15">
      <c r="A40" s="931"/>
      <c r="E40" s="574">
        <v>15</v>
      </c>
      <c r="AA40" s="1224"/>
      <c r="AB40" s="2069"/>
      <c r="AC40" s="2069"/>
      <c r="AD40" s="2069"/>
      <c r="AE40" s="2069"/>
      <c r="AF40" s="2069"/>
      <c r="AG40" s="2069"/>
      <c r="AH40" s="2069"/>
      <c r="AI40" s="2069"/>
      <c r="AJ40" s="2069"/>
      <c r="AK40" s="2070"/>
      <c r="AL40" s="2070"/>
      <c r="AM40" s="2070"/>
      <c r="AN40" s="2070"/>
      <c r="AO40" s="2070"/>
      <c r="AP40" s="2070"/>
      <c r="AS40" s="936"/>
      <c r="AT40" s="936"/>
      <c r="AU40" s="936"/>
      <c r="AV40" s="574"/>
      <c r="AW40" s="574"/>
    </row>
    <row r="41" spans="1:49" s="1214" customFormat="1" ht="14.65" hidden="1" customHeight="1" x14ac:dyDescent="0.15">
      <c r="A41" s="931"/>
      <c r="E41" s="574">
        <v>15</v>
      </c>
      <c r="T41" s="388" t="b">
        <f>ROW(Y41)&gt;ROW(Y$41)</f>
        <v>0</v>
      </c>
      <c r="W41" s="677" t="s">
        <v>172</v>
      </c>
      <c r="AA41" s="1104" t="s">
        <v>173</v>
      </c>
      <c r="AB41" s="2064"/>
      <c r="AC41" s="2023"/>
      <c r="AD41" s="2023"/>
      <c r="AE41" s="2023"/>
      <c r="AF41" s="2023"/>
      <c r="AG41" s="2023"/>
      <c r="AH41" s="2023"/>
      <c r="AI41" s="2023"/>
      <c r="AJ41" s="2023"/>
      <c r="AK41" s="2023"/>
      <c r="AL41" s="2023"/>
      <c r="AM41" s="2023"/>
      <c r="AN41" s="2023"/>
      <c r="AO41" s="2023"/>
      <c r="AP41" s="2065"/>
      <c r="AS41" s="936"/>
      <c r="AT41" s="936"/>
      <c r="AU41" s="936"/>
      <c r="AV41" s="574"/>
      <c r="AW41" s="574"/>
    </row>
    <row r="42" spans="1:49" s="1214" customFormat="1" ht="14.65" customHeight="1" x14ac:dyDescent="0.15">
      <c r="A42" s="931"/>
      <c r="E42" s="574">
        <v>15</v>
      </c>
      <c r="W42" s="677" t="s">
        <v>403</v>
      </c>
      <c r="AB42" s="1225"/>
      <c r="AC42" s="1226" t="s">
        <v>404</v>
      </c>
      <c r="AD42" s="1227"/>
      <c r="AE42" s="1227"/>
      <c r="AF42" s="1227"/>
      <c r="AG42" s="1227"/>
      <c r="AH42" s="1227"/>
      <c r="AI42" s="1227"/>
      <c r="AJ42" s="1227"/>
      <c r="AK42" s="1228"/>
      <c r="AL42" s="1228"/>
      <c r="AM42" s="1228"/>
      <c r="AN42" s="1228"/>
      <c r="AO42" s="1319"/>
      <c r="AP42" s="1229"/>
      <c r="AS42" s="936"/>
      <c r="AT42" s="936"/>
      <c r="AU42" s="936"/>
      <c r="AV42" s="574"/>
      <c r="AW42" s="574"/>
    </row>
    <row r="43" spans="1:49" ht="10.7" customHeight="1" x14ac:dyDescent="0.15">
      <c r="E43" s="573">
        <v>11</v>
      </c>
      <c r="AC43" s="461"/>
      <c r="AQ43" s="411"/>
    </row>
  </sheetData>
  <sheetProtection formatColumns="0" formatRows="0" insertRows="0" deleteColumns="0" deleteRows="0" sort="0" autoFilter="0"/>
  <mergeCells count="25">
    <mergeCell ref="AB41:AP41"/>
    <mergeCell ref="X29:X31"/>
    <mergeCell ref="Z29:Z31"/>
    <mergeCell ref="AB39:AP39"/>
    <mergeCell ref="AB40:AP40"/>
    <mergeCell ref="X32:X34"/>
    <mergeCell ref="Z32:Z34"/>
    <mergeCell ref="X35:X37"/>
    <mergeCell ref="Z35:Z37"/>
    <mergeCell ref="AO24:AO27"/>
    <mergeCell ref="AP24:AP27"/>
    <mergeCell ref="AK25:AN25"/>
    <mergeCell ref="AK26:AL26"/>
    <mergeCell ref="AM26:AN26"/>
    <mergeCell ref="AB23:AM23"/>
    <mergeCell ref="AB24:AB27"/>
    <mergeCell ref="AC24:AC27"/>
    <mergeCell ref="AD24:AD27"/>
    <mergeCell ref="AE24:AE27"/>
    <mergeCell ref="AF24:AF27"/>
    <mergeCell ref="AG24:AG27"/>
    <mergeCell ref="AH24:AH27"/>
    <mergeCell ref="AI24:AI27"/>
    <mergeCell ref="AJ24:AJ27"/>
    <mergeCell ref="AK24:AN24"/>
  </mergeCells>
  <dataValidations count="8">
    <dataValidation type="decimal" allowBlank="1" showErrorMessage="1" errorTitle="Ошибка" error="Допускается ввод только неотрицательных чисел!" sqref="AH29 AM30 AK30 AG30:AH30 AH32 AG33 AH33 AK33 AM33 AH35 AG36 AH36 AK36 AM36" xr:uid="{00000000-0002-0000-0B00-000000000000}">
      <formula1>0</formula1>
      <formula2>9.99999999999999E+23</formula2>
    </dataValidation>
    <dataValidation type="list" allowBlank="1" showInputMessage="1" errorTitle="Ошибка" error="Выберите значение из списка" prompt="Выберите значение из списка или введите свой вариант" sqref="AE30 AE33 AE36" xr:uid="{00000000-0002-0000-0B00-000001000000}">
      <formula1>grunt_list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AD36" xr:uid="{00000000-0002-0000-0B00-000002000000}">
      <formula1>material_list</formula1>
    </dataValidation>
    <dataValidation type="list" allowBlank="1" showInputMessage="1" showErrorMessage="1" errorTitle="Ошибка" error="Выберите значение из списка" prompt="Выберите значение из списка" sqref="AC30" xr:uid="{00000000-0002-0000-0B00-000003000000}">
      <formula1>diametr_list</formula1>
    </dataValidation>
    <dataValidation type="list" allowBlank="1" showInputMessage="1" showErrorMessage="1" errorTitle="Ошибка" error="Выберите значение из списка" prompt="Выберите значение из списка" sqref="AI30 AI33 AI36" xr:uid="{00000000-0002-0000-0B00-000004000000}">
      <formula1>ist_info_build_list</formula1>
    </dataValidation>
    <dataValidation type="whole" allowBlank="1" showErrorMessage="1" errorTitle="Ошибка" error="Допускается ввод только неотрицательных целых чисел!" sqref="AF30 AF33 AF36" xr:uid="{00000000-0002-0000-0B00-000005000000}">
      <formula1>0</formula1>
      <formula2>9.99999999999999E+23</formula2>
    </dataValidation>
    <dataValidation type="list" allowBlank="1" showInputMessage="1" showErrorMessage="1" errorTitle="Ошибка" error="Выберите значение из списка" sqref="AC33" xr:uid="{00000000-0002-0000-0B00-000006000000}">
      <formula1>diametr_list_vs</formula1>
    </dataValidation>
    <dataValidation type="list" allowBlank="1" showInputMessage="1" showErrorMessage="1" errorTitle="Ошибка" error="Выберите значение из списка" sqref="AC36" xr:uid="{00000000-0002-0000-0B00-000007000000}">
      <formula1>diametr_list_vo</formula1>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60818-B488-8B48-F42C-E1BC27F15A98}">
  <sheetPr>
    <tabColor rgb="FF002060"/>
    <outlinePr summaryBelow="0" summaryRight="0"/>
    <pageSetUpPr fitToPage="1"/>
  </sheetPr>
  <dimension ref="A1:BJ58"/>
  <sheetViews>
    <sheetView showGridLines="0" workbookViewId="0">
      <pane xSplit="30" ySplit="25" topLeftCell="AE31" activePane="bottomRight" state="frozen"/>
      <selection pane="topRight" activeCell="AE1" sqref="AE1"/>
      <selection pane="bottomLeft" activeCell="A26" sqref="A26"/>
      <selection pane="bottomRight" activeCell="AB51" sqref="AB51:BC51"/>
    </sheetView>
  </sheetViews>
  <sheetFormatPr defaultColWidth="9.140625" defaultRowHeight="11.25" customHeight="1" x14ac:dyDescent="0.15"/>
  <cols>
    <col min="1" max="1" width="3.5703125" style="1214" hidden="1" customWidth="1"/>
    <col min="2" max="2" width="8.5703125" style="1083" hidden="1" customWidth="1"/>
    <col min="3" max="3" width="6.28515625" style="1214" hidden="1" customWidth="1"/>
    <col min="4" max="4" width="6.140625" style="1214" hidden="1" customWidth="1"/>
    <col min="5" max="5" width="3.5703125" style="1215" hidden="1" customWidth="1"/>
    <col min="6" max="10" width="3.5703125" style="1214" hidden="1" customWidth="1"/>
    <col min="11" max="11" width="7.42578125" style="1214" hidden="1" customWidth="1"/>
    <col min="12" max="12" width="6.7109375" style="1214" hidden="1" customWidth="1"/>
    <col min="13" max="19" width="3.5703125" style="1214" hidden="1" customWidth="1"/>
    <col min="20" max="20" width="10" style="1214" hidden="1" customWidth="1"/>
    <col min="21" max="26" width="6.85546875" style="1214" hidden="1" customWidth="1"/>
    <col min="27" max="27" width="3" style="1214" customWidth="1"/>
    <col min="28" max="28" width="9.7109375" style="1214" customWidth="1"/>
    <col min="29" max="29" width="20" style="1214" customWidth="1"/>
    <col min="30" max="30" width="8.5703125" style="1214" customWidth="1"/>
    <col min="31" max="35" width="12.5703125" style="1214" customWidth="1"/>
    <col min="36" max="44" width="12.5703125" style="1214" hidden="1" customWidth="1"/>
    <col min="45" max="45" width="12.5703125" style="1214" customWidth="1"/>
    <col min="46" max="54" width="12.5703125" style="1214" hidden="1" customWidth="1"/>
    <col min="55" max="55" width="20" style="1214" customWidth="1"/>
    <col min="56" max="56" width="3" style="1214" customWidth="1"/>
    <col min="57" max="57" width="9.140625" style="1214" hidden="1"/>
    <col min="58" max="60" width="9.140625" style="1216" hidden="1"/>
    <col min="61" max="62" width="9.140625" style="1215" hidden="1"/>
  </cols>
  <sheetData>
    <row r="1" spans="1:62" ht="11.25" hidden="1" customHeight="1" x14ac:dyDescent="0.15">
      <c r="E1" s="17"/>
      <c r="F1" s="17" t="s">
        <v>319</v>
      </c>
      <c r="G1" s="17" t="s">
        <v>330</v>
      </c>
      <c r="H1" s="17" t="s">
        <v>354</v>
      </c>
      <c r="T1" s="388" t="s">
        <v>92</v>
      </c>
      <c r="U1" s="388" t="s">
        <v>97</v>
      </c>
      <c r="V1" s="388" t="s">
        <v>93</v>
      </c>
      <c r="W1" s="388" t="s">
        <v>94</v>
      </c>
      <c r="X1" s="388" t="s">
        <v>95</v>
      </c>
      <c r="Z1" s="388" t="s">
        <v>99</v>
      </c>
      <c r="AA1" s="390" t="s">
        <v>96</v>
      </c>
      <c r="AB1" s="390" t="s">
        <v>321</v>
      </c>
      <c r="AC1" s="389" t="s">
        <v>98</v>
      </c>
      <c r="BF1" s="924" t="s">
        <v>322</v>
      </c>
      <c r="BG1" s="924" t="s">
        <v>323</v>
      </c>
      <c r="BH1" s="924" t="s">
        <v>324</v>
      </c>
      <c r="BI1" s="556" t="s">
        <v>327</v>
      </c>
      <c r="BJ1" s="556" t="s">
        <v>328</v>
      </c>
    </row>
    <row r="2" spans="1:62" s="1083" customFormat="1" ht="11.25" hidden="1" customHeight="1" x14ac:dyDescent="0.15">
      <c r="B2" s="367" t="s">
        <v>18</v>
      </c>
      <c r="AI2" s="368" t="b">
        <f t="shared" ref="AI2:BB2" si="0">AI6&lt;=last_year_vis</f>
        <v>1</v>
      </c>
      <c r="AJ2" s="368" t="b">
        <f t="shared" si="0"/>
        <v>0</v>
      </c>
      <c r="AK2" s="368" t="b">
        <f t="shared" si="0"/>
        <v>0</v>
      </c>
      <c r="AL2" s="368" t="b">
        <f t="shared" si="0"/>
        <v>0</v>
      </c>
      <c r="AM2" s="368" t="b">
        <f t="shared" si="0"/>
        <v>0</v>
      </c>
      <c r="AN2" s="368" t="b">
        <f t="shared" si="0"/>
        <v>0</v>
      </c>
      <c r="AO2" s="368" t="b">
        <f t="shared" si="0"/>
        <v>0</v>
      </c>
      <c r="AP2" s="368" t="b">
        <f t="shared" si="0"/>
        <v>0</v>
      </c>
      <c r="AQ2" s="368" t="b">
        <f t="shared" si="0"/>
        <v>0</v>
      </c>
      <c r="AR2" s="368" t="b">
        <f t="shared" si="0"/>
        <v>0</v>
      </c>
      <c r="AS2" s="368" t="b">
        <f t="shared" si="0"/>
        <v>1</v>
      </c>
      <c r="AT2" s="368" t="b">
        <f t="shared" si="0"/>
        <v>0</v>
      </c>
      <c r="AU2" s="368" t="b">
        <f t="shared" si="0"/>
        <v>0</v>
      </c>
      <c r="AV2" s="368" t="b">
        <f t="shared" si="0"/>
        <v>0</v>
      </c>
      <c r="AW2" s="368" t="b">
        <f t="shared" si="0"/>
        <v>0</v>
      </c>
      <c r="AX2" s="368" t="b">
        <f t="shared" si="0"/>
        <v>0</v>
      </c>
      <c r="AY2" s="368" t="b">
        <f t="shared" si="0"/>
        <v>0</v>
      </c>
      <c r="AZ2" s="368" t="b">
        <f t="shared" si="0"/>
        <v>0</v>
      </c>
      <c r="BA2" s="368" t="b">
        <f t="shared" si="0"/>
        <v>0</v>
      </c>
      <c r="BB2" s="368" t="b">
        <f t="shared" si="0"/>
        <v>0</v>
      </c>
      <c r="BF2" s="925"/>
      <c r="BG2" s="925"/>
      <c r="BH2" s="925"/>
      <c r="BI2" s="938"/>
      <c r="BJ2" s="938"/>
    </row>
    <row r="3" spans="1:62" ht="11.25" hidden="1" customHeight="1" x14ac:dyDescent="0.15">
      <c r="E3" s="17"/>
    </row>
    <row r="4" spans="1:62" ht="11.25" hidden="1" customHeight="1" x14ac:dyDescent="0.15">
      <c r="E4" s="17"/>
    </row>
    <row r="5" spans="1:62" s="1215" customFormat="1" ht="11.25" hidden="1" customHeight="1" x14ac:dyDescent="0.15">
      <c r="A5" s="17"/>
      <c r="B5" s="349"/>
      <c r="C5" s="17"/>
      <c r="D5" s="17"/>
      <c r="E5" s="556" t="s">
        <v>19</v>
      </c>
      <c r="AA5" s="556">
        <v>3</v>
      </c>
      <c r="AB5" s="556">
        <v>9.7100000000000009</v>
      </c>
      <c r="AC5" s="556">
        <v>20</v>
      </c>
      <c r="AD5" s="556">
        <v>8.57</v>
      </c>
      <c r="AE5" s="556">
        <v>12.57</v>
      </c>
      <c r="AF5" s="556">
        <v>12.57</v>
      </c>
      <c r="AG5" s="556">
        <v>12.57</v>
      </c>
      <c r="AH5" s="556">
        <v>12.57</v>
      </c>
      <c r="AI5" s="556">
        <v>12.57</v>
      </c>
      <c r="AJ5" s="556">
        <v>12.57</v>
      </c>
      <c r="AK5" s="556">
        <v>12.57</v>
      </c>
      <c r="AL5" s="556">
        <v>12.57</v>
      </c>
      <c r="AM5" s="556">
        <v>12.57</v>
      </c>
      <c r="AN5" s="556">
        <v>12.57</v>
      </c>
      <c r="AO5" s="556">
        <v>12.57</v>
      </c>
      <c r="AP5" s="556">
        <v>12.57</v>
      </c>
      <c r="AQ5" s="556">
        <v>12.57</v>
      </c>
      <c r="AR5" s="556">
        <v>12.57</v>
      </c>
      <c r="AS5" s="556">
        <v>12.57</v>
      </c>
      <c r="AT5" s="556">
        <v>12.57</v>
      </c>
      <c r="AU5" s="556">
        <v>12.57</v>
      </c>
      <c r="AV5" s="556">
        <v>12.57</v>
      </c>
      <c r="AW5" s="556">
        <v>12.57</v>
      </c>
      <c r="AX5" s="556">
        <v>12.57</v>
      </c>
      <c r="AY5" s="556">
        <v>12.57</v>
      </c>
      <c r="AZ5" s="556">
        <v>12.57</v>
      </c>
      <c r="BA5" s="556">
        <v>12.57</v>
      </c>
      <c r="BB5" s="556">
        <v>12.57</v>
      </c>
      <c r="BC5" s="556">
        <v>20</v>
      </c>
      <c r="BD5" s="556">
        <v>3</v>
      </c>
      <c r="BF5" s="924"/>
      <c r="BG5" s="924"/>
      <c r="BH5" s="924"/>
    </row>
    <row r="6" spans="1:62" ht="11.25" hidden="1" customHeight="1" x14ac:dyDescent="0.15">
      <c r="A6" s="17" t="s">
        <v>357</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17" t="s">
        <v>358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62" ht="11.25" hidden="1" customHeight="1" x14ac:dyDescent="0.15"/>
    <row r="9" spans="1:62" s="1216" customFormat="1" ht="11.25" hidden="1" customHeight="1" x14ac:dyDescent="0.15">
      <c r="A9" s="924" t="s">
        <v>362</v>
      </c>
      <c r="B9" s="925"/>
      <c r="AE9" s="924" cm="1">
        <f t="array" ref="AE9">AE6</f>
        <v>2024</v>
      </c>
      <c r="AF9" s="924" cm="1">
        <f t="array" ref="AF9">AF6</f>
        <v>2024</v>
      </c>
      <c r="AG9" s="924" cm="1">
        <f t="array" ref="AG9">AG6</f>
        <v>2024</v>
      </c>
      <c r="AH9" s="924" cm="1">
        <f t="array" ref="AH9">AH6</f>
        <v>2025</v>
      </c>
      <c r="AI9" s="924" cm="1">
        <f t="array" ref="AI9">AI6</f>
        <v>2026</v>
      </c>
      <c r="AJ9" s="924" cm="1">
        <f t="array" ref="AJ9">AJ6</f>
        <v>2027</v>
      </c>
      <c r="AK9" s="924" cm="1">
        <f t="array" ref="AK9">AK6</f>
        <v>2028</v>
      </c>
      <c r="AL9" s="924" cm="1">
        <f t="array" ref="AL9">AL6</f>
        <v>2029</v>
      </c>
      <c r="AM9" s="924" cm="1">
        <f t="array" ref="AM9">AM6</f>
        <v>2030</v>
      </c>
      <c r="AN9" s="924" cm="1">
        <f t="array" ref="AN9">AN6</f>
        <v>2031</v>
      </c>
      <c r="AO9" s="924" cm="1">
        <f t="array" ref="AO9">AO6</f>
        <v>2032</v>
      </c>
      <c r="AP9" s="924" cm="1">
        <f t="array" ref="AP9">AP6</f>
        <v>2033</v>
      </c>
      <c r="AQ9" s="924" cm="1">
        <f t="array" ref="AQ9">AQ6</f>
        <v>2034</v>
      </c>
      <c r="AR9" s="924" cm="1">
        <f t="array" ref="AR9">AR6</f>
        <v>2035</v>
      </c>
      <c r="AS9" s="924" cm="1">
        <f t="array" ref="AS9">AS6</f>
        <v>2026</v>
      </c>
      <c r="AT9" s="924" cm="1">
        <f t="array" ref="AT9">AT6</f>
        <v>2027</v>
      </c>
      <c r="AU9" s="924" cm="1">
        <f t="array" ref="AU9">AU6</f>
        <v>2028</v>
      </c>
      <c r="AV9" s="924" cm="1">
        <f t="array" ref="AV9">AV6</f>
        <v>2029</v>
      </c>
      <c r="AW9" s="924" cm="1">
        <f t="array" ref="AW9">AW6</f>
        <v>2030</v>
      </c>
      <c r="AX9" s="924" cm="1">
        <f t="array" ref="AX9">AX6</f>
        <v>2031</v>
      </c>
      <c r="AY9" s="924" cm="1">
        <f t="array" ref="AY9">AY6</f>
        <v>2032</v>
      </c>
      <c r="AZ9" s="924" cm="1">
        <f t="array" ref="AZ9">AZ6</f>
        <v>2033</v>
      </c>
      <c r="BA9" s="924" cm="1">
        <f t="array" ref="BA9">BA6</f>
        <v>2034</v>
      </c>
      <c r="BB9" s="924" cm="1">
        <f t="array" ref="BB9">BB6</f>
        <v>2035</v>
      </c>
      <c r="BI9" s="556"/>
      <c r="BJ9" s="556"/>
    </row>
    <row r="10" spans="1:62" s="1216" customFormat="1" ht="11.25" hidden="1" customHeight="1" x14ac:dyDescent="0.15">
      <c r="A10" s="924" t="s">
        <v>363</v>
      </c>
      <c r="B10" s="925"/>
      <c r="AE10" s="924" t="str" cm="1">
        <f t="array" ref="AE10">AE25</f>
        <v>Принято органом регулирования</v>
      </c>
      <c r="AF10" s="924" t="str" cm="1">
        <f t="array" ref="AF10">AF25</f>
        <v>Факт по данным организации</v>
      </c>
      <c r="AG10" s="924" t="str" cm="1">
        <f t="array" ref="AG10">AG25</f>
        <v>Факт, принятый органом регулирования</v>
      </c>
      <c r="AH10" s="924" t="str" cm="1">
        <f t="array" ref="AH10">AH25</f>
        <v>Принято органом регулирования</v>
      </c>
      <c r="AI10" s="924" t="str" cm="1">
        <f t="array" ref="AI10">AI25</f>
        <v>Предложение организации</v>
      </c>
      <c r="AJ10" s="924" t="str" cm="1">
        <f t="array" ref="AJ10">AJ25</f>
        <v>Предложение организации</v>
      </c>
      <c r="AK10" s="924" t="str" cm="1">
        <f t="array" ref="AK10">AK25</f>
        <v>Предложение организации</v>
      </c>
      <c r="AL10" s="924" t="str" cm="1">
        <f t="array" ref="AL10">AL25</f>
        <v>Предложение организации</v>
      </c>
      <c r="AM10" s="924" t="str" cm="1">
        <f t="array" ref="AM10">AM25</f>
        <v>Предложение организации</v>
      </c>
      <c r="AN10" s="924" t="str" cm="1">
        <f t="array" ref="AN10">AN25</f>
        <v>Предложение организации</v>
      </c>
      <c r="AO10" s="924" t="str" cm="1">
        <f t="array" ref="AO10">AO25</f>
        <v>Предложение организации</v>
      </c>
      <c r="AP10" s="924" t="str" cm="1">
        <f t="array" ref="AP10">AP25</f>
        <v>Предложение организации</v>
      </c>
      <c r="AQ10" s="924" t="str" cm="1">
        <f t="array" ref="AQ10">AQ25</f>
        <v>Предложение организации</v>
      </c>
      <c r="AR10" s="924" t="str" cm="1">
        <f t="array" ref="AR10">AR25</f>
        <v>Предложение организации</v>
      </c>
      <c r="AS10" s="924" t="str" cm="1">
        <f t="array" ref="AS10">AS25</f>
        <v>Принято органом регулирования</v>
      </c>
      <c r="AT10" s="924" t="str" cm="1">
        <f t="array" ref="AT10">AT25</f>
        <v>Принято органом регулирования</v>
      </c>
      <c r="AU10" s="924" t="str" cm="1">
        <f t="array" ref="AU10">AU25</f>
        <v>Принято органом регулирования</v>
      </c>
      <c r="AV10" s="924" t="str" cm="1">
        <f t="array" ref="AV10">AV25</f>
        <v>Принято органом регулирования</v>
      </c>
      <c r="AW10" s="924" t="str" cm="1">
        <f t="array" ref="AW10">AW25</f>
        <v>Принято органом регулирования</v>
      </c>
      <c r="AX10" s="924" t="str" cm="1">
        <f t="array" ref="AX10">AX25</f>
        <v>Принято органом регулирования</v>
      </c>
      <c r="AY10" s="924" t="str" cm="1">
        <f t="array" ref="AY10">AY25</f>
        <v>Принято органом регулирования</v>
      </c>
      <c r="AZ10" s="924" t="str" cm="1">
        <f t="array" ref="AZ10">AZ25</f>
        <v>Принято органом регулирования</v>
      </c>
      <c r="BA10" s="924" t="str" cm="1">
        <f t="array" ref="BA10">BA25</f>
        <v>Принято органом регулирования</v>
      </c>
      <c r="BB10" s="924" t="str" cm="1">
        <f t="array" ref="BB10">BB25</f>
        <v>Принято органом регулирования</v>
      </c>
      <c r="BI10" s="556"/>
      <c r="BJ10" s="556"/>
    </row>
    <row r="11" spans="1:62" s="1216" customFormat="1" ht="11.25" hidden="1" customHeight="1" x14ac:dyDescent="0.15">
      <c r="A11" s="924" t="s">
        <v>364</v>
      </c>
      <c r="B11" s="925"/>
      <c r="BC11" s="924" t="str" cm="1">
        <f t="array" ref="BC11">BC24</f>
        <v>Ссылка на правовую норму (основание для принятия показателя в расчет тарифа)</v>
      </c>
      <c r="BI11" s="556"/>
      <c r="BJ11" s="556"/>
    </row>
    <row r="12" spans="1:62" s="1216" customFormat="1" ht="11.25" hidden="1" customHeight="1" x14ac:dyDescent="0.15">
      <c r="A12" s="924" t="s">
        <v>337</v>
      </c>
      <c r="B12" s="925"/>
      <c r="AC12" s="924" t="s">
        <v>324</v>
      </c>
      <c r="BI12" s="556"/>
      <c r="BJ12" s="556"/>
    </row>
    <row r="13" spans="1:62" ht="11.25" hidden="1" customHeight="1" x14ac:dyDescent="0.15"/>
    <row r="14" spans="1:62" ht="11.25" hidden="1" customHeight="1" x14ac:dyDescent="0.15"/>
    <row r="15" spans="1:62" ht="11.25" hidden="1" customHeight="1" x14ac:dyDescent="0.15"/>
    <row r="16" spans="1:62" ht="11.25" hidden="1" customHeight="1" x14ac:dyDescent="0.15"/>
    <row r="17" spans="1:62" ht="11.25" hidden="1" customHeight="1" x14ac:dyDescent="0.15"/>
    <row r="18" spans="1:62" ht="11.25" hidden="1" customHeight="1" x14ac:dyDescent="0.15">
      <c r="A18" s="17" t="s">
        <v>365</v>
      </c>
      <c r="AC18" s="17" t="s">
        <v>194</v>
      </c>
    </row>
    <row r="19" spans="1:62" ht="11.25" hidden="1" customHeight="1" x14ac:dyDescent="0.15"/>
    <row r="20" spans="1:62" ht="11.25" hidden="1" customHeight="1" x14ac:dyDescent="0.15"/>
    <row r="21" spans="1:62" ht="14.65" customHeight="1" x14ac:dyDescent="0.15">
      <c r="E21" s="556">
        <v>15</v>
      </c>
      <c r="AA21" s="581"/>
      <c r="AC21" s="3" t="str" cm="1">
        <f t="array" ref="AC21">tpl_title</f>
        <v>Кемеровская область / 2026 / ООО "Чистая вода" (ИНН:4246023100, КПП:424601001) / ДПР: 2024-2032</v>
      </c>
    </row>
    <row r="22" spans="1:62" s="1249" customFormat="1" ht="14.65" customHeight="1" x14ac:dyDescent="0.15">
      <c r="B22" s="349"/>
      <c r="E22" s="557">
        <v>15</v>
      </c>
      <c r="AB22" s="236" t="s">
        <v>829</v>
      </c>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F22" s="927"/>
      <c r="BG22" s="927"/>
      <c r="BH22" s="927"/>
      <c r="BI22" s="557"/>
      <c r="BJ22" s="557"/>
    </row>
    <row r="23" spans="1:62" s="1249" customFormat="1" ht="10.9" customHeight="1" x14ac:dyDescent="0.15">
      <c r="B23" s="349"/>
      <c r="E23" s="557">
        <v>11.25</v>
      </c>
      <c r="AB23" s="120"/>
      <c r="AC23" s="120"/>
      <c r="AD23" s="120"/>
      <c r="AE23" s="121"/>
      <c r="AF23" s="121"/>
      <c r="AG23" s="121"/>
      <c r="AH23" s="121"/>
      <c r="AI23" s="120"/>
      <c r="AJ23" s="120"/>
      <c r="AK23" s="120"/>
      <c r="AL23" s="120"/>
      <c r="AM23" s="120"/>
      <c r="AN23" s="120"/>
      <c r="AO23" s="120"/>
      <c r="AP23" s="120"/>
      <c r="AQ23" s="120"/>
      <c r="AR23" s="120"/>
      <c r="AS23" s="120"/>
      <c r="AT23" s="120"/>
      <c r="AU23" s="120"/>
      <c r="AV23" s="120"/>
      <c r="AW23" s="120"/>
      <c r="AX23" s="120"/>
      <c r="AY23" s="120"/>
      <c r="AZ23" s="120"/>
      <c r="BA23" s="120"/>
      <c r="BB23" s="120"/>
      <c r="BC23" s="120"/>
      <c r="BF23" s="927"/>
      <c r="BG23" s="927"/>
      <c r="BH23" s="927"/>
      <c r="BI23" s="557"/>
      <c r="BJ23" s="557"/>
    </row>
    <row r="24" spans="1:62" s="1086" customFormat="1" ht="14.65" customHeight="1" x14ac:dyDescent="0.15">
      <c r="B24" s="351"/>
      <c r="E24" s="554">
        <v>15</v>
      </c>
      <c r="AB24" s="2071" t="s">
        <v>21</v>
      </c>
      <c r="AC24" s="2071" t="s">
        <v>366</v>
      </c>
      <c r="AD24" s="2071" t="s">
        <v>367</v>
      </c>
      <c r="AE24" s="275" t="str">
        <f>god-2&amp;" год"</f>
        <v>2024 год</v>
      </c>
      <c r="AF24" s="1029" t="str">
        <f>god-2&amp;" год"</f>
        <v>2024 год</v>
      </c>
      <c r="AG24" s="275" t="str">
        <f>god-2&amp;" год"</f>
        <v>2024 год</v>
      </c>
      <c r="AH24" s="13" t="str">
        <f>god-1&amp;" год"</f>
        <v>2025 год</v>
      </c>
      <c r="AI24" s="1026" t="str">
        <f>god&amp;" год"</f>
        <v>2026 год</v>
      </c>
      <c r="AJ24" s="1026" t="str">
        <f>god+1&amp;" год"</f>
        <v>2027 год</v>
      </c>
      <c r="AK24" s="1026" t="str">
        <f>god+2&amp;" год"</f>
        <v>2028 год</v>
      </c>
      <c r="AL24" s="1026" t="str">
        <f>god+3&amp;" год"</f>
        <v>2029 год</v>
      </c>
      <c r="AM24" s="1026" t="str">
        <f>god+4&amp;" год"</f>
        <v>2030 год</v>
      </c>
      <c r="AN24" s="1026" t="str">
        <f>god+5&amp;" год"</f>
        <v>2031 год</v>
      </c>
      <c r="AO24" s="1026" t="str">
        <f>god+6&amp;" год"</f>
        <v>2032 год</v>
      </c>
      <c r="AP24" s="1026" t="str">
        <f>god+7&amp;" год"</f>
        <v>2033 год</v>
      </c>
      <c r="AQ24" s="1026" t="str">
        <f>god+8&amp;" год"</f>
        <v>2034 год</v>
      </c>
      <c r="AR24" s="1026"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036" t="s">
        <v>558</v>
      </c>
      <c r="BF24" s="922"/>
      <c r="BG24" s="922"/>
      <c r="BH24" s="922"/>
      <c r="BI24" s="554"/>
      <c r="BJ24" s="554"/>
    </row>
    <row r="25" spans="1:62" s="1086" customFormat="1" ht="48.75" customHeight="1" x14ac:dyDescent="0.15">
      <c r="B25" s="351"/>
      <c r="E25" s="554">
        <v>50</v>
      </c>
      <c r="F25" s="63" t="s">
        <v>369</v>
      </c>
      <c r="AB25" s="2071"/>
      <c r="AC25" s="2071"/>
      <c r="AD25" s="2071"/>
      <c r="AE25" s="11" t="s">
        <v>359</v>
      </c>
      <c r="AF25" s="1026" t="s">
        <v>484</v>
      </c>
      <c r="AG25" s="11" t="s">
        <v>485</v>
      </c>
      <c r="AH25" s="11" t="s">
        <v>359</v>
      </c>
      <c r="AI25" s="1030" t="s">
        <v>360</v>
      </c>
      <c r="AJ25" s="1030" t="s">
        <v>360</v>
      </c>
      <c r="AK25" s="1030" t="s">
        <v>360</v>
      </c>
      <c r="AL25" s="1030" t="s">
        <v>360</v>
      </c>
      <c r="AM25" s="1030" t="s">
        <v>360</v>
      </c>
      <c r="AN25" s="1030" t="s">
        <v>360</v>
      </c>
      <c r="AO25" s="1030" t="s">
        <v>360</v>
      </c>
      <c r="AP25" s="1030" t="s">
        <v>360</v>
      </c>
      <c r="AQ25" s="1030" t="s">
        <v>360</v>
      </c>
      <c r="AR25" s="1030" t="s">
        <v>360</v>
      </c>
      <c r="AS25" s="276" t="s">
        <v>359</v>
      </c>
      <c r="AT25" s="276" t="s">
        <v>359</v>
      </c>
      <c r="AU25" s="276" t="s">
        <v>359</v>
      </c>
      <c r="AV25" s="276" t="s">
        <v>359</v>
      </c>
      <c r="AW25" s="276" t="s">
        <v>359</v>
      </c>
      <c r="AX25" s="276" t="s">
        <v>359</v>
      </c>
      <c r="AY25" s="276" t="s">
        <v>359</v>
      </c>
      <c r="AZ25" s="276" t="s">
        <v>359</v>
      </c>
      <c r="BA25" s="276" t="s">
        <v>359</v>
      </c>
      <c r="BB25" s="276" t="s">
        <v>359</v>
      </c>
      <c r="BC25" s="2036"/>
      <c r="BF25" s="922"/>
      <c r="BG25" s="922"/>
      <c r="BH25" s="922"/>
      <c r="BI25" s="554"/>
      <c r="BJ25" s="554"/>
    </row>
    <row r="26" spans="1:62" s="1334" customFormat="1" ht="11.25" hidden="1" customHeight="1" x14ac:dyDescent="0.15">
      <c r="A26" s="422"/>
      <c r="B26" s="582"/>
      <c r="C26" s="422"/>
      <c r="D26" s="422"/>
      <c r="E26" s="583">
        <v>0</v>
      </c>
      <c r="F26" s="405"/>
      <c r="G26" s="422"/>
      <c r="H26" s="422"/>
      <c r="I26" s="422"/>
      <c r="J26" s="422"/>
      <c r="K26" s="422"/>
      <c r="L26" s="422"/>
      <c r="M26" s="422"/>
      <c r="N26" s="422"/>
      <c r="O26" s="422"/>
      <c r="P26" s="422"/>
      <c r="Q26" s="422"/>
      <c r="R26" s="422"/>
      <c r="S26" s="422"/>
      <c r="T26" s="422"/>
      <c r="U26" s="422"/>
      <c r="V26" s="422"/>
      <c r="W26" s="422"/>
      <c r="X26" s="422"/>
      <c r="Y26" s="422"/>
      <c r="Z26" s="422"/>
      <c r="AA26" s="422"/>
      <c r="AC26" s="19"/>
      <c r="AD26" s="19"/>
      <c r="AE26" s="19"/>
      <c r="AF26" s="19"/>
      <c r="AQ26" s="20"/>
      <c r="BF26" s="913"/>
      <c r="BG26" s="913"/>
      <c r="BH26" s="913"/>
      <c r="BI26" s="548"/>
      <c r="BJ26" s="548"/>
    </row>
    <row r="27" spans="1:62" s="1086" customFormat="1" ht="14.65" hidden="1" customHeight="1" x14ac:dyDescent="0.15">
      <c r="B27" s="351"/>
      <c r="E27" s="554">
        <v>15</v>
      </c>
      <c r="F27" s="265" cm="1">
        <f t="array" ref="F27">X27</f>
        <v>0</v>
      </c>
      <c r="G27" s="65"/>
      <c r="H27" s="65"/>
      <c r="T27" s="388" t="b">
        <f>X27&gt;0</f>
        <v>0</v>
      </c>
      <c r="V27" s="63" t="s">
        <v>271</v>
      </c>
      <c r="X27" s="2009">
        <v>0</v>
      </c>
      <c r="Z27" s="2034"/>
      <c r="AB27" s="102" t="str" cm="1">
        <f t="array" ref="AB27">INDEX('Общие сведения'!$AG$185:$AG$228,MATCH($X27,'Общие сведения'!$Z$185:$Z$228,0))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F27" s="922"/>
      <c r="BG27" s="922"/>
      <c r="BH27" s="922"/>
      <c r="BI27" s="554"/>
      <c r="BJ27" s="554"/>
    </row>
    <row r="28" spans="1:62" s="1332" customFormat="1" ht="14.65" hidden="1" customHeight="1" x14ac:dyDescent="0.15">
      <c r="B28" s="351"/>
      <c r="D28" s="406"/>
      <c r="E28" s="185">
        <v>15</v>
      </c>
      <c r="F28" s="3" cm="1">
        <f t="array" aca="1" ref="F28" ca="1">OFFSET(E28,-1,1)</f>
        <v>0</v>
      </c>
      <c r="H28" s="65" t="str" cm="1">
        <f t="array" ref="H28">AC28</f>
        <v>Всего по тарифу</v>
      </c>
      <c r="K28" s="406" t="str">
        <f ca="1">F28&amp;"komm"</f>
        <v>0komm</v>
      </c>
      <c r="L28" s="830" cm="1">
        <f t="array" ref="L28">BC28</f>
        <v>0</v>
      </c>
      <c r="T28" s="388" t="b" cm="1">
        <f t="array" ref="T28">T27</f>
        <v>0</v>
      </c>
      <c r="X28" s="2009"/>
      <c r="Z28" s="2034"/>
      <c r="AB28" s="64"/>
      <c r="AC28" s="57" t="s">
        <v>830</v>
      </c>
      <c r="AD28" s="12" t="s">
        <v>831</v>
      </c>
      <c r="AE28" s="61">
        <f t="shared" ref="AE28:BB28" si="1">SUM(AE29:AE30)</f>
        <v>0</v>
      </c>
      <c r="AF28" s="61">
        <f t="shared" si="1"/>
        <v>0</v>
      </c>
      <c r="AG28" s="61">
        <f t="shared" si="1"/>
        <v>0</v>
      </c>
      <c r="AH28" s="61">
        <f t="shared" si="1"/>
        <v>0</v>
      </c>
      <c r="AI28" s="61">
        <f t="shared" si="1"/>
        <v>0</v>
      </c>
      <c r="AJ28" s="61">
        <f t="shared" si="1"/>
        <v>0</v>
      </c>
      <c r="AK28" s="61">
        <f t="shared" si="1"/>
        <v>0</v>
      </c>
      <c r="AL28" s="61">
        <f t="shared" si="1"/>
        <v>0</v>
      </c>
      <c r="AM28" s="61">
        <f t="shared" si="1"/>
        <v>0</v>
      </c>
      <c r="AN28" s="61">
        <f t="shared" si="1"/>
        <v>0</v>
      </c>
      <c r="AO28" s="61">
        <f t="shared" si="1"/>
        <v>0</v>
      </c>
      <c r="AP28" s="61">
        <f t="shared" si="1"/>
        <v>0</v>
      </c>
      <c r="AQ28" s="61">
        <f t="shared" si="1"/>
        <v>0</v>
      </c>
      <c r="AR28" s="61">
        <f t="shared" si="1"/>
        <v>0</v>
      </c>
      <c r="AS28" s="61">
        <f t="shared" si="1"/>
        <v>0</v>
      </c>
      <c r="AT28" s="61">
        <f t="shared" si="1"/>
        <v>0</v>
      </c>
      <c r="AU28" s="61">
        <f t="shared" si="1"/>
        <v>0</v>
      </c>
      <c r="AV28" s="61">
        <f t="shared" si="1"/>
        <v>0</v>
      </c>
      <c r="AW28" s="61">
        <f t="shared" si="1"/>
        <v>0</v>
      </c>
      <c r="AX28" s="61">
        <f t="shared" si="1"/>
        <v>0</v>
      </c>
      <c r="AY28" s="61">
        <f t="shared" si="1"/>
        <v>0</v>
      </c>
      <c r="AZ28" s="61">
        <f t="shared" si="1"/>
        <v>0</v>
      </c>
      <c r="BA28" s="61">
        <f t="shared" si="1"/>
        <v>0</v>
      </c>
      <c r="BB28" s="61">
        <f t="shared" si="1"/>
        <v>0</v>
      </c>
      <c r="BC28" s="1365"/>
      <c r="BF28" s="939" t="s">
        <v>832</v>
      </c>
      <c r="BG28" s="939"/>
      <c r="BH28" s="939"/>
      <c r="BI28" s="185"/>
      <c r="BJ28" s="185"/>
    </row>
    <row r="29" spans="1:62" s="1332" customFormat="1" ht="14.65" hidden="1" customHeight="1" x14ac:dyDescent="0.15">
      <c r="B29" s="351"/>
      <c r="E29" s="185">
        <v>15</v>
      </c>
      <c r="F29" s="3" cm="1">
        <f t="array" aca="1" ref="F29" ca="1">OFFSET(E29,-1,1)</f>
        <v>0</v>
      </c>
      <c r="G29" s="65" t="s">
        <v>331</v>
      </c>
      <c r="H29" s="65" cm="1">
        <f t="array" ref="H29">AC29</f>
        <v>0</v>
      </c>
      <c r="T29" s="388" t="b">
        <f ca="1">AND(F29&gt;0,AB29&gt;0)</f>
        <v>0</v>
      </c>
      <c r="W29" s="677" t="s">
        <v>172</v>
      </c>
      <c r="X29" s="2009"/>
      <c r="Z29" s="2034"/>
      <c r="AA29" s="586" t="s">
        <v>173</v>
      </c>
      <c r="AB29" s="8">
        <v>0</v>
      </c>
      <c r="AC29" s="1396"/>
      <c r="AD29" s="12" t="s">
        <v>831</v>
      </c>
      <c r="AE29" s="1358"/>
      <c r="AF29" s="1358"/>
      <c r="AG29" s="1358"/>
      <c r="AH29" s="1358"/>
      <c r="AI29" s="60"/>
      <c r="AJ29" s="1358"/>
      <c r="AK29" s="1358"/>
      <c r="AL29" s="1358"/>
      <c r="AM29" s="1358"/>
      <c r="AN29" s="1358"/>
      <c r="AO29" s="1358"/>
      <c r="AP29" s="1358"/>
      <c r="AQ29" s="1358"/>
      <c r="AR29" s="1358"/>
      <c r="AS29" s="60"/>
      <c r="AT29" s="1358"/>
      <c r="AU29" s="1358"/>
      <c r="AV29" s="1358"/>
      <c r="AW29" s="1358"/>
      <c r="AX29" s="1358"/>
      <c r="AY29" s="1358"/>
      <c r="AZ29" s="1358"/>
      <c r="BA29" s="1358"/>
      <c r="BB29" s="1358"/>
      <c r="BC29" s="1365"/>
      <c r="BF29" s="939" t="s">
        <v>833</v>
      </c>
      <c r="BG29" s="939" t="s">
        <v>834</v>
      </c>
      <c r="BH29" s="939" cm="1">
        <f t="array" ref="BH29">AC29</f>
        <v>0</v>
      </c>
      <c r="BI29" s="185"/>
      <c r="BJ29" s="185" t="b">
        <v>1</v>
      </c>
    </row>
    <row r="30" spans="1:62" s="1249" customFormat="1" ht="14.65" hidden="1" customHeight="1" x14ac:dyDescent="0.15">
      <c r="B30" s="349"/>
      <c r="E30" s="557">
        <v>15</v>
      </c>
      <c r="F30" s="3" cm="1">
        <f t="array" aca="1" ref="F30" ca="1">OFFSET(E30,-1,1)</f>
        <v>0</v>
      </c>
      <c r="H30" s="62" t="str">
        <f>"!== 'Всего по тарифу'"</f>
        <v>!== 'Всего по тарифу'</v>
      </c>
      <c r="T30" s="388" t="b" cm="1">
        <f t="array" ref="T30">T27</f>
        <v>0</v>
      </c>
      <c r="W30" s="677" t="s">
        <v>835</v>
      </c>
      <c r="X30" s="2009"/>
      <c r="Z30" s="2034"/>
      <c r="AB30" s="94"/>
      <c r="AC30" s="97" t="s">
        <v>176</v>
      </c>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106"/>
      <c r="BF30" s="927"/>
      <c r="BG30" s="927"/>
      <c r="BH30" s="927"/>
      <c r="BI30" s="557" t="s">
        <v>834</v>
      </c>
      <c r="BJ30" s="557"/>
    </row>
    <row r="31" spans="1:62" s="1397" customFormat="1" ht="14.25" customHeight="1" x14ac:dyDescent="0.15">
      <c r="A31" s="1086"/>
      <c r="B31" s="351"/>
      <c r="C31" s="1086"/>
      <c r="D31" s="1086"/>
      <c r="E31" s="554">
        <v>15</v>
      </c>
      <c r="F31" s="265" t="str" cm="1">
        <f t="array" ref="F31">X31</f>
        <v>1</v>
      </c>
      <c r="G31" s="65"/>
      <c r="H31" s="65"/>
      <c r="I31" s="1086"/>
      <c r="J31" s="1086"/>
      <c r="K31" s="1086"/>
      <c r="L31" s="1086"/>
      <c r="M31" s="1086"/>
      <c r="N31" s="1086"/>
      <c r="O31" s="1086"/>
      <c r="P31" s="1086"/>
      <c r="Q31" s="1086"/>
      <c r="R31" s="1086"/>
      <c r="S31" s="1086"/>
      <c r="T31" s="388" t="b">
        <f>X31&gt;0</f>
        <v>1</v>
      </c>
      <c r="U31" s="1086"/>
      <c r="V31" s="63" t="str" cm="1">
        <f t="array" ref="V31">'Условные метры'!$AB$32</f>
        <v>Тариф 1 (Водоснабжение) - тариф на питьевую воду</v>
      </c>
      <c r="W31" s="1086"/>
      <c r="X31" s="2009" t="s">
        <v>282</v>
      </c>
      <c r="Y31" s="1086"/>
      <c r="Z31" s="2034"/>
      <c r="AA31" s="1086"/>
      <c r="AB31" s="102" t="str" cm="1">
        <f t="array" ref="AB31">'Условные метры'!$AB$32</f>
        <v>Тариф 1 (Водоснабжение) - тариф на питьевую воду</v>
      </c>
      <c r="AC31" s="99"/>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1086"/>
      <c r="BE31" s="1086"/>
      <c r="BF31" s="922"/>
      <c r="BG31" s="922"/>
      <c r="BH31" s="922"/>
      <c r="BI31" s="554"/>
      <c r="BJ31" s="554"/>
    </row>
    <row r="32" spans="1:62" s="1088" customFormat="1" ht="14.25" customHeight="1" x14ac:dyDescent="0.15">
      <c r="A32" s="1332"/>
      <c r="B32" s="351"/>
      <c r="C32" s="1332"/>
      <c r="D32" s="406"/>
      <c r="E32" s="185">
        <v>15</v>
      </c>
      <c r="F32" s="3" t="str" cm="1">
        <f t="array" aca="1" ref="F32" ca="1">OFFSET(E32,-1,1)</f>
        <v>1</v>
      </c>
      <c r="G32" s="1332"/>
      <c r="H32" s="65" t="str" cm="1">
        <f t="array" ref="H32">AC32</f>
        <v>Всего по тарифу</v>
      </c>
      <c r="I32" s="1332"/>
      <c r="J32" s="1332"/>
      <c r="K32" s="406" t="str">
        <f ca="1">F32&amp;"komm"</f>
        <v>1komm</v>
      </c>
      <c r="L32" s="830" t="str" cm="1">
        <f t="array" ref="L32">BC32</f>
        <v>Согласно п. 49.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Неподконтрольные расходы включают в себя: 10) расходы на реагенты. (пп. 10 введен Приказом ФАС России от 08.10.2020 N 976/20)</v>
      </c>
      <c r="M32" s="1332"/>
      <c r="N32" s="1332"/>
      <c r="O32" s="1332"/>
      <c r="P32" s="1332"/>
      <c r="Q32" s="1332"/>
      <c r="R32" s="1332"/>
      <c r="S32" s="1332"/>
      <c r="T32" s="388" t="b" cm="1">
        <f t="array" ref="T32">T31</f>
        <v>1</v>
      </c>
      <c r="U32" s="1332"/>
      <c r="V32" s="1332"/>
      <c r="W32" s="1332"/>
      <c r="X32" s="2009"/>
      <c r="Y32" s="1332"/>
      <c r="Z32" s="2034"/>
      <c r="AA32" s="1332"/>
      <c r="AB32" s="64"/>
      <c r="AC32" s="57" t="s">
        <v>830</v>
      </c>
      <c r="AD32" s="12" t="s">
        <v>831</v>
      </c>
      <c r="AE32" s="61">
        <f t="shared" ref="AE32:BB32" si="2">SUM(AE33:AE39)</f>
        <v>24438.1472204167</v>
      </c>
      <c r="AF32" s="61">
        <f t="shared" si="2"/>
        <v>21908.58</v>
      </c>
      <c r="AG32" s="61">
        <f t="shared" si="2"/>
        <v>21887.43</v>
      </c>
      <c r="AH32" s="61">
        <f t="shared" si="2"/>
        <v>25464.549403674202</v>
      </c>
      <c r="AI32" s="61">
        <f t="shared" si="2"/>
        <v>31510.65</v>
      </c>
      <c r="AJ32" s="61">
        <f t="shared" si="2"/>
        <v>28747.65152576</v>
      </c>
      <c r="AK32" s="61">
        <f t="shared" si="2"/>
        <v>29897.547586790399</v>
      </c>
      <c r="AL32" s="61">
        <f t="shared" si="2"/>
        <v>31093.459890262002</v>
      </c>
      <c r="AM32" s="61">
        <f t="shared" si="2"/>
        <v>32337.1954858725</v>
      </c>
      <c r="AN32" s="61">
        <f t="shared" si="2"/>
        <v>33630.678313307399</v>
      </c>
      <c r="AO32" s="61">
        <f t="shared" si="2"/>
        <v>34975.918245839697</v>
      </c>
      <c r="AP32" s="61">
        <f t="shared" si="2"/>
        <v>0</v>
      </c>
      <c r="AQ32" s="61">
        <f t="shared" si="2"/>
        <v>0</v>
      </c>
      <c r="AR32" s="61">
        <f t="shared" si="2"/>
        <v>0</v>
      </c>
      <c r="AS32" s="61">
        <f t="shared" si="2"/>
        <v>18562.939999999999</v>
      </c>
      <c r="AT32" s="61">
        <f t="shared" si="2"/>
        <v>27542.456635013998</v>
      </c>
      <c r="AU32" s="61">
        <f t="shared" si="2"/>
        <v>28644.154900414502</v>
      </c>
      <c r="AV32" s="61">
        <f t="shared" si="2"/>
        <v>29789.921096431197</v>
      </c>
      <c r="AW32" s="61">
        <f t="shared" si="2"/>
        <v>30981.517940288399</v>
      </c>
      <c r="AX32" s="61">
        <f t="shared" si="2"/>
        <v>32220.778657899904</v>
      </c>
      <c r="AY32" s="61">
        <f t="shared" si="2"/>
        <v>33509.609804215899</v>
      </c>
      <c r="AZ32" s="61">
        <f t="shared" si="2"/>
        <v>0</v>
      </c>
      <c r="BA32" s="61">
        <f t="shared" si="2"/>
        <v>0</v>
      </c>
      <c r="BB32" s="61">
        <f t="shared" si="2"/>
        <v>0</v>
      </c>
      <c r="BC32" s="119" t="s">
        <v>836</v>
      </c>
      <c r="BD32" s="1332"/>
      <c r="BE32" s="1332"/>
      <c r="BF32" s="939" t="s">
        <v>832</v>
      </c>
      <c r="BG32" s="939"/>
      <c r="BH32" s="939"/>
      <c r="BI32" s="185"/>
      <c r="BJ32" s="185"/>
    </row>
    <row r="33" spans="1:62" s="1088" customFormat="1" ht="14.25" hidden="1" customHeight="1" x14ac:dyDescent="0.15">
      <c r="A33" s="1332"/>
      <c r="B33" s="351"/>
      <c r="C33" s="1332"/>
      <c r="D33" s="1332"/>
      <c r="E33" s="185">
        <v>15</v>
      </c>
      <c r="F33" s="3" t="str" cm="1">
        <f t="array" aca="1" ref="F33" ca="1">OFFSET(E33,-1,1)</f>
        <v>1</v>
      </c>
      <c r="G33" s="65" t="s">
        <v>331</v>
      </c>
      <c r="H33" s="65" cm="1">
        <f t="array" ref="H33">AC33</f>
        <v>0</v>
      </c>
      <c r="I33" s="1332"/>
      <c r="J33" s="1332"/>
      <c r="K33" s="1332"/>
      <c r="L33" s="1332"/>
      <c r="M33" s="1332"/>
      <c r="N33" s="1332"/>
      <c r="O33" s="1332"/>
      <c r="P33" s="1332"/>
      <c r="Q33" s="1332"/>
      <c r="R33" s="1332"/>
      <c r="S33" s="1332"/>
      <c r="T33" s="388" t="b">
        <f t="shared" ref="T33:T38" ca="1" si="3">AND(F33&gt;0,AB33&gt;0)</f>
        <v>0</v>
      </c>
      <c r="U33" s="1332"/>
      <c r="V33" s="1332"/>
      <c r="W33" s="677" t="s">
        <v>172</v>
      </c>
      <c r="X33" s="2009"/>
      <c r="Y33" s="1332"/>
      <c r="Z33" s="2034"/>
      <c r="AA33" s="586" t="s">
        <v>173</v>
      </c>
      <c r="AB33" s="8">
        <v>0</v>
      </c>
      <c r="AC33" s="1396"/>
      <c r="AD33" s="12" t="s">
        <v>831</v>
      </c>
      <c r="AE33" s="1358"/>
      <c r="AF33" s="1358"/>
      <c r="AG33" s="1358"/>
      <c r="AH33" s="1358"/>
      <c r="AI33" s="60"/>
      <c r="AJ33" s="1358"/>
      <c r="AK33" s="1358"/>
      <c r="AL33" s="1358"/>
      <c r="AM33" s="1358"/>
      <c r="AN33" s="1358"/>
      <c r="AO33" s="1358"/>
      <c r="AP33" s="1358"/>
      <c r="AQ33" s="1358"/>
      <c r="AR33" s="1358"/>
      <c r="AS33" s="60"/>
      <c r="AT33" s="1358"/>
      <c r="AU33" s="1358"/>
      <c r="AV33" s="1358"/>
      <c r="AW33" s="1358"/>
      <c r="AX33" s="1358"/>
      <c r="AY33" s="1358"/>
      <c r="AZ33" s="1358"/>
      <c r="BA33" s="1358"/>
      <c r="BB33" s="1358"/>
      <c r="BC33" s="1365"/>
      <c r="BD33" s="1332"/>
      <c r="BE33" s="1332"/>
      <c r="BF33" s="939" t="s">
        <v>833</v>
      </c>
      <c r="BG33" s="939" t="s">
        <v>834</v>
      </c>
      <c r="BH33" s="939" cm="1">
        <f t="array" ref="BH33">AC33</f>
        <v>0</v>
      </c>
      <c r="BI33" s="185"/>
      <c r="BJ33" s="185" t="b">
        <v>1</v>
      </c>
    </row>
    <row r="34" spans="1:62" s="1088" customFormat="1" ht="18.75" customHeight="1" x14ac:dyDescent="0.15">
      <c r="A34" s="1332"/>
      <c r="B34" s="351"/>
      <c r="C34" s="1332"/>
      <c r="D34" s="1332"/>
      <c r="E34" s="185">
        <v>15</v>
      </c>
      <c r="F34" s="3" t="str" cm="1">
        <f t="array" aca="1" ref="F34" ca="1">OFFSET(E34,-1,1)</f>
        <v>1</v>
      </c>
      <c r="G34" s="65" t="s">
        <v>331</v>
      </c>
      <c r="H34" s="65" t="str" cm="1">
        <f t="array" ref="H34">AC34</f>
        <v>Активированный уголь</v>
      </c>
      <c r="I34" s="1332"/>
      <c r="J34" s="1332"/>
      <c r="K34" s="1332"/>
      <c r="L34" s="1332"/>
      <c r="M34" s="1332"/>
      <c r="N34" s="1332"/>
      <c r="O34" s="1332"/>
      <c r="P34" s="1332"/>
      <c r="Q34" s="1332"/>
      <c r="R34" s="1332"/>
      <c r="S34" s="1332"/>
      <c r="T34" s="388" t="b">
        <f t="shared" ca="1" si="3"/>
        <v>1</v>
      </c>
      <c r="U34" s="1332"/>
      <c r="V34" s="1332"/>
      <c r="W34" s="677"/>
      <c r="X34" s="2009"/>
      <c r="Y34" s="1332"/>
      <c r="Z34" s="2034"/>
      <c r="AA34" s="586" t="s">
        <v>173</v>
      </c>
      <c r="AB34" s="8" t="s">
        <v>282</v>
      </c>
      <c r="AC34" s="118" t="s">
        <v>837</v>
      </c>
      <c r="AD34" s="12" t="s">
        <v>831</v>
      </c>
      <c r="AE34" s="60">
        <v>5572.1467199999997</v>
      </c>
      <c r="AF34" s="60">
        <v>770</v>
      </c>
      <c r="AG34" s="60">
        <v>770</v>
      </c>
      <c r="AH34" s="60">
        <v>5806.1768822399999</v>
      </c>
      <c r="AI34" s="60">
        <v>6510.22</v>
      </c>
      <c r="AJ34" s="1358">
        <v>6267.91</v>
      </c>
      <c r="AK34" s="1358">
        <v>6518.62</v>
      </c>
      <c r="AL34" s="1358">
        <v>6779.37</v>
      </c>
      <c r="AM34" s="1358">
        <v>7050.5447999999997</v>
      </c>
      <c r="AN34" s="1358">
        <v>7332.56</v>
      </c>
      <c r="AO34" s="1358">
        <v>7625.87</v>
      </c>
      <c r="AP34" s="60"/>
      <c r="AQ34" s="60"/>
      <c r="AR34" s="60"/>
      <c r="AS34" s="60">
        <v>629.72</v>
      </c>
      <c r="AT34" s="1358">
        <v>6279.9609158308003</v>
      </c>
      <c r="AU34" s="1358">
        <v>6531.1593524640002</v>
      </c>
      <c r="AV34" s="1358">
        <v>6792.4057265625997</v>
      </c>
      <c r="AW34" s="1358">
        <v>7064.1019556251003</v>
      </c>
      <c r="AX34" s="1358">
        <v>7346.6660338500997</v>
      </c>
      <c r="AY34" s="1358">
        <v>7640.5326752041001</v>
      </c>
      <c r="AZ34" s="60"/>
      <c r="BA34" s="60"/>
      <c r="BB34" s="60"/>
      <c r="BC34" s="119" t="s">
        <v>838</v>
      </c>
      <c r="BD34" s="1332"/>
      <c r="BE34" s="1332"/>
      <c r="BF34" s="939" t="s">
        <v>833</v>
      </c>
      <c r="BG34" s="939" t="s">
        <v>834</v>
      </c>
      <c r="BH34" s="939" t="str" cm="1">
        <f t="array" ref="BH34">AC34</f>
        <v>Активированный уголь</v>
      </c>
      <c r="BI34" s="185"/>
      <c r="BJ34" s="185" t="b">
        <v>1</v>
      </c>
    </row>
    <row r="35" spans="1:62" s="1088" customFormat="1" ht="18.75" customHeight="1" x14ac:dyDescent="0.15">
      <c r="A35" s="1332"/>
      <c r="B35" s="351"/>
      <c r="C35" s="1332"/>
      <c r="D35" s="1332"/>
      <c r="E35" s="185">
        <v>15</v>
      </c>
      <c r="F35" s="3" t="str" cm="1">
        <f t="array" aca="1" ref="F35" ca="1">OFFSET(E35,-1,1)</f>
        <v>1</v>
      </c>
      <c r="G35" s="65" t="s">
        <v>331</v>
      </c>
      <c r="H35" s="65" t="str" cm="1">
        <f t="array" ref="H35">AC35</f>
        <v>Гипохлорит натрия</v>
      </c>
      <c r="I35" s="1332"/>
      <c r="J35" s="1332"/>
      <c r="K35" s="1332"/>
      <c r="L35" s="1332"/>
      <c r="M35" s="1332"/>
      <c r="N35" s="1332"/>
      <c r="O35" s="1332"/>
      <c r="P35" s="1332"/>
      <c r="Q35" s="1332"/>
      <c r="R35" s="1332"/>
      <c r="S35" s="1332"/>
      <c r="T35" s="388" t="b">
        <f t="shared" ca="1" si="3"/>
        <v>1</v>
      </c>
      <c r="U35" s="1332"/>
      <c r="V35" s="1332"/>
      <c r="W35" s="677"/>
      <c r="X35" s="2009"/>
      <c r="Y35" s="1332"/>
      <c r="Z35" s="2034"/>
      <c r="AA35" s="586" t="s">
        <v>173</v>
      </c>
      <c r="AB35" s="8" t="s">
        <v>289</v>
      </c>
      <c r="AC35" s="118" t="s">
        <v>839</v>
      </c>
      <c r="AD35" s="12" t="s">
        <v>831</v>
      </c>
      <c r="AE35" s="60">
        <v>10656.45</v>
      </c>
      <c r="AF35" s="60">
        <v>10529.97</v>
      </c>
      <c r="AG35" s="60">
        <v>10529.97</v>
      </c>
      <c r="AH35" s="60">
        <v>11104.0209</v>
      </c>
      <c r="AI35" s="60">
        <v>12478.44</v>
      </c>
      <c r="AJ35" s="1358">
        <v>12288.34</v>
      </c>
      <c r="AK35" s="1358">
        <v>12779.87</v>
      </c>
      <c r="AL35" s="1358">
        <v>13291.07</v>
      </c>
      <c r="AM35" s="1358">
        <v>13822.71</v>
      </c>
      <c r="AN35" s="1358">
        <v>14375.62</v>
      </c>
      <c r="AO35" s="1358">
        <v>14950.65</v>
      </c>
      <c r="AP35" s="60"/>
      <c r="AQ35" s="60"/>
      <c r="AR35" s="60"/>
      <c r="AS35" s="60">
        <v>8934.2000000000007</v>
      </c>
      <c r="AT35" s="1358">
        <v>12010.109005439999</v>
      </c>
      <c r="AU35" s="1358">
        <v>12490.5133656576</v>
      </c>
      <c r="AV35" s="1358">
        <v>12990.133900283899</v>
      </c>
      <c r="AW35" s="1358">
        <v>13509.739256295299</v>
      </c>
      <c r="AX35" s="1358">
        <v>14050.128826547099</v>
      </c>
      <c r="AY35" s="1358">
        <v>14612.133979609</v>
      </c>
      <c r="AZ35" s="60"/>
      <c r="BA35" s="60"/>
      <c r="BB35" s="60"/>
      <c r="BC35" s="119" t="s">
        <v>838</v>
      </c>
      <c r="BD35" s="1332"/>
      <c r="BE35" s="1332"/>
      <c r="BF35" s="939" t="s">
        <v>833</v>
      </c>
      <c r="BG35" s="939" t="s">
        <v>834</v>
      </c>
      <c r="BH35" s="939" t="str" cm="1">
        <f t="array" ref="BH35">AC35</f>
        <v>Гипохлорит натрия</v>
      </c>
      <c r="BI35" s="185"/>
      <c r="BJ35" s="185" t="b">
        <v>1</v>
      </c>
    </row>
    <row r="36" spans="1:62" s="1088" customFormat="1" ht="18.75" customHeight="1" x14ac:dyDescent="0.15">
      <c r="A36" s="1332"/>
      <c r="B36" s="351"/>
      <c r="C36" s="1332"/>
      <c r="D36" s="1332"/>
      <c r="E36" s="185">
        <v>15</v>
      </c>
      <c r="F36" s="3" t="str" cm="1">
        <f t="array" aca="1" ref="F36" ca="1">OFFSET(E36,-1,1)</f>
        <v>1</v>
      </c>
      <c r="G36" s="65" t="s">
        <v>331</v>
      </c>
      <c r="H36" s="65" t="str" cm="1">
        <f t="array" ref="H36">AC36</f>
        <v>Оксихлорид алюминия</v>
      </c>
      <c r="I36" s="1332"/>
      <c r="J36" s="1332"/>
      <c r="K36" s="1332"/>
      <c r="L36" s="1332"/>
      <c r="M36" s="1332"/>
      <c r="N36" s="1332"/>
      <c r="O36" s="1332"/>
      <c r="P36" s="1332"/>
      <c r="Q36" s="1332"/>
      <c r="R36" s="1332"/>
      <c r="S36" s="1332"/>
      <c r="T36" s="388" t="b">
        <f t="shared" ca="1" si="3"/>
        <v>1</v>
      </c>
      <c r="U36" s="1332"/>
      <c r="V36" s="1332"/>
      <c r="W36" s="677"/>
      <c r="X36" s="2009"/>
      <c r="Y36" s="1332"/>
      <c r="Z36" s="2034"/>
      <c r="AA36" s="586" t="s">
        <v>173</v>
      </c>
      <c r="AB36" s="8" t="s">
        <v>329</v>
      </c>
      <c r="AC36" s="118" t="s">
        <v>840</v>
      </c>
      <c r="AD36" s="12" t="s">
        <v>831</v>
      </c>
      <c r="AE36" s="60">
        <v>6850.4166666666997</v>
      </c>
      <c r="AF36" s="60">
        <v>9221.58</v>
      </c>
      <c r="AG36" s="60">
        <v>9221.58</v>
      </c>
      <c r="AH36" s="60">
        <v>7138.1341666667004</v>
      </c>
      <c r="AI36" s="60">
        <v>10797.99</v>
      </c>
      <c r="AJ36" s="1358">
        <v>8494.4429440000004</v>
      </c>
      <c r="AK36" s="1358">
        <v>8834.2206617600004</v>
      </c>
      <c r="AL36" s="1358">
        <v>9187.5894882304001</v>
      </c>
      <c r="AM36" s="1358">
        <v>9555.0930677596007</v>
      </c>
      <c r="AN36" s="1358">
        <v>9937.2967904699999</v>
      </c>
      <c r="AO36" s="1358">
        <v>10334.7886620888</v>
      </c>
      <c r="AP36" s="60"/>
      <c r="AQ36" s="60"/>
      <c r="AR36" s="60"/>
      <c r="AS36" s="60">
        <v>7835.06</v>
      </c>
      <c r="AT36" s="1358">
        <v>7720.6059146667003</v>
      </c>
      <c r="AU36" s="1358">
        <v>8029.4301512533002</v>
      </c>
      <c r="AV36" s="1358">
        <v>8350.6073573034992</v>
      </c>
      <c r="AW36" s="1358">
        <v>8684.6316515956005</v>
      </c>
      <c r="AX36" s="1358">
        <v>9032.0169176594009</v>
      </c>
      <c r="AY36" s="1358">
        <v>9393.2975943658003</v>
      </c>
      <c r="AZ36" s="60"/>
      <c r="BA36" s="60"/>
      <c r="BB36" s="60"/>
      <c r="BC36" s="119" t="s">
        <v>838</v>
      </c>
      <c r="BD36" s="1332"/>
      <c r="BE36" s="1332"/>
      <c r="BF36" s="939" t="s">
        <v>833</v>
      </c>
      <c r="BG36" s="939" t="s">
        <v>834</v>
      </c>
      <c r="BH36" s="939" t="str" cm="1">
        <f t="array" ref="BH36">AC36</f>
        <v>Оксихлорид алюминия</v>
      </c>
      <c r="BI36" s="185"/>
      <c r="BJ36" s="185" t="b">
        <v>1</v>
      </c>
    </row>
    <row r="37" spans="1:62" s="1088" customFormat="1" ht="18.75" customHeight="1" x14ac:dyDescent="0.15">
      <c r="A37" s="1332"/>
      <c r="B37" s="351"/>
      <c r="C37" s="1332"/>
      <c r="D37" s="1332"/>
      <c r="E37" s="185">
        <v>15</v>
      </c>
      <c r="F37" s="3" t="str" cm="1">
        <f t="array" aca="1" ref="F37" ca="1">OFFSET(E37,-1,1)</f>
        <v>1</v>
      </c>
      <c r="G37" s="65" t="s">
        <v>331</v>
      </c>
      <c r="H37" s="65" t="str" cm="1">
        <f t="array" ref="H37">AC37</f>
        <v>Сульфат аммония</v>
      </c>
      <c r="I37" s="1332"/>
      <c r="J37" s="1332"/>
      <c r="K37" s="1332"/>
      <c r="L37" s="1332"/>
      <c r="M37" s="1332"/>
      <c r="N37" s="1332"/>
      <c r="O37" s="1332"/>
      <c r="P37" s="1332"/>
      <c r="Q37" s="1332"/>
      <c r="R37" s="1332"/>
      <c r="S37" s="1332"/>
      <c r="T37" s="388" t="b">
        <f t="shared" ca="1" si="3"/>
        <v>1</v>
      </c>
      <c r="U37" s="1332"/>
      <c r="V37" s="1332"/>
      <c r="W37" s="677"/>
      <c r="X37" s="2009"/>
      <c r="Y37" s="1332"/>
      <c r="Z37" s="2034"/>
      <c r="AA37" s="586" t="s">
        <v>173</v>
      </c>
      <c r="AB37" s="8" t="s">
        <v>441</v>
      </c>
      <c r="AC37" s="118" t="s">
        <v>841</v>
      </c>
      <c r="AD37" s="12" t="s">
        <v>831</v>
      </c>
      <c r="AE37" s="60">
        <v>1128.1338337499999</v>
      </c>
      <c r="AF37" s="60">
        <v>968.63</v>
      </c>
      <c r="AG37" s="60">
        <v>968.63</v>
      </c>
      <c r="AH37" s="60">
        <v>1175.5154547674999</v>
      </c>
      <c r="AI37" s="60">
        <v>1228.51</v>
      </c>
      <c r="AJ37" s="1358">
        <v>1416.2037760000001</v>
      </c>
      <c r="AK37" s="1358">
        <v>1472.85192704</v>
      </c>
      <c r="AL37" s="1358">
        <v>1531.7660041216</v>
      </c>
      <c r="AM37" s="1358">
        <v>1593.0366442864999</v>
      </c>
      <c r="AN37" s="1358">
        <v>1656.7581100579</v>
      </c>
      <c r="AO37" s="1358">
        <v>1723.0284344602001</v>
      </c>
      <c r="AP37" s="60"/>
      <c r="AQ37" s="60"/>
      <c r="AR37" s="60"/>
      <c r="AS37" s="60">
        <v>825.43</v>
      </c>
      <c r="AT37" s="1358">
        <v>1271.4375158764999</v>
      </c>
      <c r="AU37" s="1358">
        <v>1322.2950165115999</v>
      </c>
      <c r="AV37" s="1358">
        <v>1375.1868171721001</v>
      </c>
      <c r="AW37" s="1358">
        <v>1430.1942898589</v>
      </c>
      <c r="AX37" s="1358">
        <v>1487.4020614532999</v>
      </c>
      <c r="AY37" s="1358">
        <v>1546.8981439114</v>
      </c>
      <c r="AZ37" s="60"/>
      <c r="BA37" s="60"/>
      <c r="BB37" s="60"/>
      <c r="BC37" s="119" t="s">
        <v>838</v>
      </c>
      <c r="BD37" s="1332"/>
      <c r="BE37" s="1332"/>
      <c r="BF37" s="939" t="s">
        <v>833</v>
      </c>
      <c r="BG37" s="939" t="s">
        <v>834</v>
      </c>
      <c r="BH37" s="939" t="str" cm="1">
        <f t="array" ref="BH37">AC37</f>
        <v>Сульфат аммония</v>
      </c>
      <c r="BI37" s="185"/>
      <c r="BJ37" s="185" t="b">
        <v>1</v>
      </c>
    </row>
    <row r="38" spans="1:62" s="1088" customFormat="1" ht="18.75" customHeight="1" x14ac:dyDescent="0.15">
      <c r="A38" s="1332"/>
      <c r="B38" s="351"/>
      <c r="C38" s="1332"/>
      <c r="D38" s="1332"/>
      <c r="E38" s="185">
        <v>15</v>
      </c>
      <c r="F38" s="3" t="str" cm="1">
        <f t="array" aca="1" ref="F38" ca="1">OFFSET(E38,-1,1)</f>
        <v>1</v>
      </c>
      <c r="G38" s="65" t="s">
        <v>331</v>
      </c>
      <c r="H38" s="65" t="str" cm="1">
        <f t="array" ref="H38">AC38</f>
        <v>Флокулянт Праестол</v>
      </c>
      <c r="I38" s="1332"/>
      <c r="J38" s="1332"/>
      <c r="K38" s="1332"/>
      <c r="L38" s="1332"/>
      <c r="M38" s="1332"/>
      <c r="N38" s="1332"/>
      <c r="O38" s="1332"/>
      <c r="P38" s="1332"/>
      <c r="Q38" s="1332"/>
      <c r="R38" s="1332"/>
      <c r="S38" s="1332"/>
      <c r="T38" s="388" t="b">
        <f t="shared" ca="1" si="3"/>
        <v>1</v>
      </c>
      <c r="U38" s="1332"/>
      <c r="V38" s="1332"/>
      <c r="W38" s="677"/>
      <c r="X38" s="2009"/>
      <c r="Y38" s="1332"/>
      <c r="Z38" s="2034"/>
      <c r="AA38" s="586" t="s">
        <v>173</v>
      </c>
      <c r="AB38" s="8" t="s">
        <v>444</v>
      </c>
      <c r="AC38" s="118" t="s">
        <v>842</v>
      </c>
      <c r="AD38" s="12" t="s">
        <v>831</v>
      </c>
      <c r="AE38" s="60">
        <v>231</v>
      </c>
      <c r="AF38" s="60">
        <v>418.4</v>
      </c>
      <c r="AG38" s="60">
        <v>397.25</v>
      </c>
      <c r="AH38" s="60">
        <v>240.702</v>
      </c>
      <c r="AI38" s="60">
        <v>495.49</v>
      </c>
      <c r="AJ38" s="1358">
        <v>280.75480576000001</v>
      </c>
      <c r="AK38" s="1358">
        <v>291.98499799040002</v>
      </c>
      <c r="AL38" s="1358">
        <v>303.66439790999999</v>
      </c>
      <c r="AM38" s="1358">
        <v>315.81097382640002</v>
      </c>
      <c r="AN38" s="1358">
        <v>328.44341277950002</v>
      </c>
      <c r="AO38" s="1358">
        <v>341.58114929070001</v>
      </c>
      <c r="AP38" s="60"/>
      <c r="AQ38" s="60"/>
      <c r="AR38" s="60"/>
      <c r="AS38" s="60">
        <v>338.53</v>
      </c>
      <c r="AT38" s="1358">
        <v>260.34328319999997</v>
      </c>
      <c r="AU38" s="1358">
        <v>270.75701452800001</v>
      </c>
      <c r="AV38" s="1358">
        <v>281.58729510910001</v>
      </c>
      <c r="AW38" s="1358">
        <v>292.85078691349997</v>
      </c>
      <c r="AX38" s="1358">
        <v>304.56481839000003</v>
      </c>
      <c r="AY38" s="1358">
        <v>316.74741112560002</v>
      </c>
      <c r="AZ38" s="60"/>
      <c r="BA38" s="60"/>
      <c r="BB38" s="60"/>
      <c r="BC38" s="119" t="s">
        <v>838</v>
      </c>
      <c r="BD38" s="1332"/>
      <c r="BE38" s="1332"/>
      <c r="BF38" s="939" t="s">
        <v>833</v>
      </c>
      <c r="BG38" s="939" t="s">
        <v>834</v>
      </c>
      <c r="BH38" s="939" t="str" cm="1">
        <f t="array" ref="BH38">AC38</f>
        <v>Флокулянт Праестол</v>
      </c>
      <c r="BI38" s="185"/>
      <c r="BJ38" s="185" t="b">
        <v>1</v>
      </c>
    </row>
    <row r="39" spans="1:62" s="1249" customFormat="1" ht="14.25" customHeight="1" x14ac:dyDescent="0.15">
      <c r="B39" s="349"/>
      <c r="E39" s="557">
        <v>15</v>
      </c>
      <c r="F39" s="3" t="str" cm="1">
        <f t="array" aca="1" ref="F39" ca="1">OFFSET(E39,-1,1)</f>
        <v>1</v>
      </c>
      <c r="H39" s="62" t="str">
        <f>"!== 'Всего по тарифу'"</f>
        <v>!== 'Всего по тарифу'</v>
      </c>
      <c r="T39" s="388" t="b" cm="1">
        <f t="array" ref="T39">T31</f>
        <v>1</v>
      </c>
      <c r="W39" s="677" t="s">
        <v>835</v>
      </c>
      <c r="X39" s="2009"/>
      <c r="Z39" s="2034"/>
      <c r="AB39" s="94"/>
      <c r="AC39" s="97" t="s">
        <v>176</v>
      </c>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106"/>
      <c r="BF39" s="927"/>
      <c r="BG39" s="927"/>
      <c r="BH39" s="927"/>
      <c r="BI39" s="557" t="s">
        <v>834</v>
      </c>
      <c r="BJ39" s="557"/>
    </row>
    <row r="40" spans="1:62" s="1398" customFormat="1" ht="14.25" customHeight="1" x14ac:dyDescent="0.15">
      <c r="A40" s="1086"/>
      <c r="B40" s="351"/>
      <c r="C40" s="1086"/>
      <c r="D40" s="1086"/>
      <c r="E40" s="554">
        <v>15</v>
      </c>
      <c r="F40" s="265" t="str" cm="1">
        <f t="array" ref="F40">X40</f>
        <v>2</v>
      </c>
      <c r="G40" s="65"/>
      <c r="H40" s="65"/>
      <c r="I40" s="1086"/>
      <c r="J40" s="1086"/>
      <c r="K40" s="1086"/>
      <c r="L40" s="1086"/>
      <c r="M40" s="1086"/>
      <c r="N40" s="1086"/>
      <c r="O40" s="1086"/>
      <c r="P40" s="1086"/>
      <c r="Q40" s="1086"/>
      <c r="R40" s="1086"/>
      <c r="S40" s="1086"/>
      <c r="T40" s="388" t="b">
        <f>X40&gt;0</f>
        <v>1</v>
      </c>
      <c r="U40" s="1086"/>
      <c r="V40" s="63" t="str" cm="1">
        <f t="array" ref="V40">'Условные метры'!$AB$35</f>
        <v>Тариф 2 (Водоотведение) - тариф на водоотведение</v>
      </c>
      <c r="W40" s="1086"/>
      <c r="X40" s="2009" t="s">
        <v>289</v>
      </c>
      <c r="Y40" s="1086"/>
      <c r="Z40" s="2034"/>
      <c r="AA40" s="1086"/>
      <c r="AB40" s="102" t="str" cm="1">
        <f t="array" ref="AB40">'Условные метры'!$AB$35</f>
        <v>Тариф 2 (Водоотведение) - тариф на водоотведение</v>
      </c>
      <c r="AC40" s="99"/>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1086"/>
      <c r="BE40" s="1086"/>
      <c r="BF40" s="922"/>
      <c r="BG40" s="922"/>
      <c r="BH40" s="922"/>
      <c r="BI40" s="554"/>
      <c r="BJ40" s="554"/>
    </row>
    <row r="41" spans="1:62" s="1088" customFormat="1" ht="14.25" customHeight="1" x14ac:dyDescent="0.15">
      <c r="A41" s="1332"/>
      <c r="B41" s="351"/>
      <c r="C41" s="1332"/>
      <c r="D41" s="406"/>
      <c r="E41" s="185">
        <v>15</v>
      </c>
      <c r="F41" s="3" t="str" cm="1">
        <f t="array" aca="1" ref="F41" ca="1">OFFSET(E41,-1,1)</f>
        <v>2</v>
      </c>
      <c r="G41" s="1332"/>
      <c r="H41" s="65" t="str" cm="1">
        <f t="array" ref="H41">AC41</f>
        <v>Всего по тарифу</v>
      </c>
      <c r="I41" s="1332"/>
      <c r="J41" s="1332"/>
      <c r="K41" s="406" t="str">
        <f ca="1">F41&amp;"komm"</f>
        <v>2komm</v>
      </c>
      <c r="L41" s="830" t="str" cm="1">
        <f t="array" ref="L41">BC41</f>
        <v>Согласно п. 49.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Неподконтрольные расходы включают в себя: 10) расходы на реагенты. (пп. 10 введен Приказом ФАС России от 08.10.2020 N 976/20)</v>
      </c>
      <c r="M41" s="1332"/>
      <c r="N41" s="1332"/>
      <c r="O41" s="1332"/>
      <c r="P41" s="1332"/>
      <c r="Q41" s="1332"/>
      <c r="R41" s="1332"/>
      <c r="S41" s="1332"/>
      <c r="T41" s="388" t="b" cm="1">
        <f t="array" ref="T41">T40</f>
        <v>1</v>
      </c>
      <c r="U41" s="1332"/>
      <c r="V41" s="1332"/>
      <c r="W41" s="1332"/>
      <c r="X41" s="2009"/>
      <c r="Y41" s="1332"/>
      <c r="Z41" s="2034"/>
      <c r="AA41" s="1332"/>
      <c r="AB41" s="64"/>
      <c r="AC41" s="57" t="s">
        <v>830</v>
      </c>
      <c r="AD41" s="12" t="s">
        <v>831</v>
      </c>
      <c r="AE41" s="61">
        <f t="shared" ref="AE41:BB41" si="4">SUM(AE42:AE45)</f>
        <v>1205.73</v>
      </c>
      <c r="AF41" s="61">
        <f t="shared" si="4"/>
        <v>1124.97</v>
      </c>
      <c r="AG41" s="61">
        <f t="shared" si="4"/>
        <v>1111.6199999999999</v>
      </c>
      <c r="AH41" s="61">
        <f t="shared" si="4"/>
        <v>1376.150995297</v>
      </c>
      <c r="AI41" s="61">
        <f t="shared" si="4"/>
        <v>1436.24</v>
      </c>
      <c r="AJ41" s="61">
        <f t="shared" si="4"/>
        <v>0</v>
      </c>
      <c r="AK41" s="61">
        <f t="shared" si="4"/>
        <v>0</v>
      </c>
      <c r="AL41" s="61">
        <f t="shared" si="4"/>
        <v>0</v>
      </c>
      <c r="AM41" s="61">
        <f t="shared" si="4"/>
        <v>0</v>
      </c>
      <c r="AN41" s="61">
        <f t="shared" si="4"/>
        <v>0</v>
      </c>
      <c r="AO41" s="61">
        <f t="shared" si="4"/>
        <v>0</v>
      </c>
      <c r="AP41" s="61">
        <f t="shared" si="4"/>
        <v>0</v>
      </c>
      <c r="AQ41" s="61">
        <f t="shared" si="4"/>
        <v>0</v>
      </c>
      <c r="AR41" s="61">
        <f t="shared" si="4"/>
        <v>0</v>
      </c>
      <c r="AS41" s="61">
        <f t="shared" si="4"/>
        <v>1137.17</v>
      </c>
      <c r="AT41" s="61">
        <f t="shared" si="4"/>
        <v>0</v>
      </c>
      <c r="AU41" s="61">
        <f t="shared" si="4"/>
        <v>0</v>
      </c>
      <c r="AV41" s="61">
        <f t="shared" si="4"/>
        <v>0</v>
      </c>
      <c r="AW41" s="61">
        <f t="shared" si="4"/>
        <v>0</v>
      </c>
      <c r="AX41" s="61">
        <f t="shared" si="4"/>
        <v>0</v>
      </c>
      <c r="AY41" s="61">
        <f t="shared" si="4"/>
        <v>0</v>
      </c>
      <c r="AZ41" s="61">
        <f t="shared" si="4"/>
        <v>0</v>
      </c>
      <c r="BA41" s="61">
        <f t="shared" si="4"/>
        <v>0</v>
      </c>
      <c r="BB41" s="61">
        <f t="shared" si="4"/>
        <v>0</v>
      </c>
      <c r="BC41" s="119" t="s">
        <v>836</v>
      </c>
      <c r="BD41" s="1332"/>
      <c r="BE41" s="1332"/>
      <c r="BF41" s="939" t="s">
        <v>832</v>
      </c>
      <c r="BG41" s="939"/>
      <c r="BH41" s="939"/>
      <c r="BI41" s="185"/>
      <c r="BJ41" s="185"/>
    </row>
    <row r="42" spans="1:62" s="1088" customFormat="1" ht="14.25" hidden="1" customHeight="1" x14ac:dyDescent="0.15">
      <c r="A42" s="1332"/>
      <c r="B42" s="351"/>
      <c r="C42" s="1332"/>
      <c r="D42" s="1332"/>
      <c r="E42" s="185">
        <v>15</v>
      </c>
      <c r="F42" s="3" t="str" cm="1">
        <f t="array" aca="1" ref="F42" ca="1">OFFSET(E42,-1,1)</f>
        <v>2</v>
      </c>
      <c r="G42" s="65" t="s">
        <v>331</v>
      </c>
      <c r="H42" s="65" cm="1">
        <f t="array" ref="H42">AC42</f>
        <v>0</v>
      </c>
      <c r="I42" s="1332"/>
      <c r="J42" s="1332"/>
      <c r="K42" s="1332"/>
      <c r="L42" s="1332"/>
      <c r="M42" s="1332"/>
      <c r="N42" s="1332"/>
      <c r="O42" s="1332"/>
      <c r="P42" s="1332"/>
      <c r="Q42" s="1332"/>
      <c r="R42" s="1332"/>
      <c r="S42" s="1332"/>
      <c r="T42" s="388" t="b">
        <f ca="1">AND(F42&gt;0,AB42&gt;0)</f>
        <v>0</v>
      </c>
      <c r="U42" s="1332"/>
      <c r="V42" s="1332"/>
      <c r="W42" s="677" t="s">
        <v>172</v>
      </c>
      <c r="X42" s="2009"/>
      <c r="Y42" s="1332"/>
      <c r="Z42" s="2034"/>
      <c r="AA42" s="586" t="s">
        <v>173</v>
      </c>
      <c r="AB42" s="8">
        <v>0</v>
      </c>
      <c r="AC42" s="1396"/>
      <c r="AD42" s="12" t="s">
        <v>831</v>
      </c>
      <c r="AE42" s="1358"/>
      <c r="AF42" s="1358"/>
      <c r="AG42" s="1358"/>
      <c r="AH42" s="1358"/>
      <c r="AI42" s="60"/>
      <c r="AJ42" s="1358"/>
      <c r="AK42" s="1358"/>
      <c r="AL42" s="1358"/>
      <c r="AM42" s="1358"/>
      <c r="AN42" s="1358"/>
      <c r="AO42" s="1358"/>
      <c r="AP42" s="1358"/>
      <c r="AQ42" s="1358"/>
      <c r="AR42" s="1358"/>
      <c r="AS42" s="60"/>
      <c r="AT42" s="1358"/>
      <c r="AU42" s="1358"/>
      <c r="AV42" s="1358"/>
      <c r="AW42" s="1358"/>
      <c r="AX42" s="1358"/>
      <c r="AY42" s="1358"/>
      <c r="AZ42" s="1358"/>
      <c r="BA42" s="1358"/>
      <c r="BB42" s="1358"/>
      <c r="BC42" s="1365"/>
      <c r="BD42" s="1332"/>
      <c r="BE42" s="1332"/>
      <c r="BF42" s="939" t="s">
        <v>833</v>
      </c>
      <c r="BG42" s="939" t="s">
        <v>834</v>
      </c>
      <c r="BH42" s="939" cm="1">
        <f t="array" ref="BH42">AC42</f>
        <v>0</v>
      </c>
      <c r="BI42" s="185"/>
      <c r="BJ42" s="185" t="b">
        <v>1</v>
      </c>
    </row>
    <row r="43" spans="1:62" s="1088" customFormat="1" ht="18.75" customHeight="1" x14ac:dyDescent="0.15">
      <c r="A43" s="1332"/>
      <c r="B43" s="351"/>
      <c r="C43" s="1332"/>
      <c r="D43" s="1332"/>
      <c r="E43" s="185">
        <v>15</v>
      </c>
      <c r="F43" s="3" t="str" cm="1">
        <f t="array" aca="1" ref="F43" ca="1">OFFSET(E43,-1,1)</f>
        <v>2</v>
      </c>
      <c r="G43" s="65" t="s">
        <v>331</v>
      </c>
      <c r="H43" s="65" t="str" cm="1">
        <f t="array" ref="H43">AC43</f>
        <v>Гипохлорит натрия</v>
      </c>
      <c r="I43" s="1332"/>
      <c r="J43" s="1332"/>
      <c r="K43" s="1332"/>
      <c r="L43" s="1332"/>
      <c r="M43" s="1332"/>
      <c r="N43" s="1332"/>
      <c r="O43" s="1332"/>
      <c r="P43" s="1332"/>
      <c r="Q43" s="1332"/>
      <c r="R43" s="1332"/>
      <c r="S43" s="1332"/>
      <c r="T43" s="388" t="b">
        <f ca="1">AND(F43&gt;0,AB43&gt;0)</f>
        <v>1</v>
      </c>
      <c r="U43" s="1332"/>
      <c r="V43" s="1332"/>
      <c r="W43" s="677"/>
      <c r="X43" s="2009"/>
      <c r="Y43" s="1332"/>
      <c r="Z43" s="2034"/>
      <c r="AA43" s="586" t="s">
        <v>173</v>
      </c>
      <c r="AB43" s="8" t="s">
        <v>282</v>
      </c>
      <c r="AC43" s="118" t="s">
        <v>839</v>
      </c>
      <c r="AD43" s="12" t="s">
        <v>831</v>
      </c>
      <c r="AE43" s="60">
        <v>1092.93</v>
      </c>
      <c r="AF43" s="60">
        <v>1022.55</v>
      </c>
      <c r="AG43" s="60">
        <v>1022.55</v>
      </c>
      <c r="AH43" s="60">
        <v>1138.8330599999999</v>
      </c>
      <c r="AI43" s="60">
        <v>1189.45</v>
      </c>
      <c r="AJ43" s="1358"/>
      <c r="AK43" s="1358"/>
      <c r="AL43" s="1358"/>
      <c r="AM43" s="1358"/>
      <c r="AN43" s="1358"/>
      <c r="AO43" s="1358"/>
      <c r="AP43" s="60"/>
      <c r="AQ43" s="60"/>
      <c r="AR43" s="60"/>
      <c r="AS43" s="60">
        <v>1046.05</v>
      </c>
      <c r="AT43" s="1358"/>
      <c r="AU43" s="1358"/>
      <c r="AV43" s="1358"/>
      <c r="AW43" s="1358"/>
      <c r="AX43" s="1358"/>
      <c r="AY43" s="1358"/>
      <c r="AZ43" s="60"/>
      <c r="BA43" s="60"/>
      <c r="BB43" s="60"/>
      <c r="BC43" s="119" t="s">
        <v>838</v>
      </c>
      <c r="BD43" s="1332"/>
      <c r="BE43" s="1332"/>
      <c r="BF43" s="939" t="s">
        <v>833</v>
      </c>
      <c r="BG43" s="939" t="s">
        <v>834</v>
      </c>
      <c r="BH43" s="939" t="str" cm="1">
        <f t="array" ref="BH43">AC43</f>
        <v>Гипохлорит натрия</v>
      </c>
      <c r="BI43" s="185"/>
      <c r="BJ43" s="185" t="b">
        <v>1</v>
      </c>
    </row>
    <row r="44" spans="1:62" s="1088" customFormat="1" ht="18.75" customHeight="1" x14ac:dyDescent="0.15">
      <c r="A44" s="1332"/>
      <c r="B44" s="351"/>
      <c r="C44" s="1332"/>
      <c r="D44" s="1332"/>
      <c r="E44" s="185">
        <v>15</v>
      </c>
      <c r="F44" s="3" t="str" cm="1">
        <f t="array" aca="1" ref="F44" ca="1">OFFSET(E44,-1,1)</f>
        <v>2</v>
      </c>
      <c r="G44" s="65" t="s">
        <v>331</v>
      </c>
      <c r="H44" s="65" t="str" cm="1">
        <f t="array" ref="H44">AC44</f>
        <v>БИНГСТИ</v>
      </c>
      <c r="I44" s="1332"/>
      <c r="J44" s="1332"/>
      <c r="K44" s="1332"/>
      <c r="L44" s="1332"/>
      <c r="M44" s="1332"/>
      <c r="N44" s="1332"/>
      <c r="O44" s="1332"/>
      <c r="P44" s="1332"/>
      <c r="Q44" s="1332"/>
      <c r="R44" s="1332"/>
      <c r="S44" s="1332"/>
      <c r="T44" s="388" t="b">
        <f ca="1">AND(F44&gt;0,AB44&gt;0)</f>
        <v>1</v>
      </c>
      <c r="U44" s="1332"/>
      <c r="V44" s="1332"/>
      <c r="W44" s="677"/>
      <c r="X44" s="2009"/>
      <c r="Y44" s="1332"/>
      <c r="Z44" s="2034"/>
      <c r="AA44" s="586" t="s">
        <v>173</v>
      </c>
      <c r="AB44" s="8" t="s">
        <v>289</v>
      </c>
      <c r="AC44" s="118" t="s">
        <v>843</v>
      </c>
      <c r="AD44" s="12" t="s">
        <v>831</v>
      </c>
      <c r="AE44" s="60">
        <v>112.8</v>
      </c>
      <c r="AF44" s="60">
        <v>102.42</v>
      </c>
      <c r="AG44" s="60">
        <v>89.07</v>
      </c>
      <c r="AH44" s="60">
        <v>237.31793529699999</v>
      </c>
      <c r="AI44" s="60">
        <v>246.79</v>
      </c>
      <c r="AJ44" s="1358"/>
      <c r="AK44" s="1358"/>
      <c r="AL44" s="1358"/>
      <c r="AM44" s="1358"/>
      <c r="AN44" s="1358"/>
      <c r="AO44" s="1358"/>
      <c r="AP44" s="60"/>
      <c r="AQ44" s="60"/>
      <c r="AR44" s="60"/>
      <c r="AS44" s="60">
        <v>91.12</v>
      </c>
      <c r="AT44" s="1358"/>
      <c r="AU44" s="1358"/>
      <c r="AV44" s="1358"/>
      <c r="AW44" s="1358"/>
      <c r="AX44" s="1358"/>
      <c r="AY44" s="1358"/>
      <c r="AZ44" s="60"/>
      <c r="BA44" s="60"/>
      <c r="BB44" s="60"/>
      <c r="BC44" s="119" t="s">
        <v>838</v>
      </c>
      <c r="BD44" s="1332"/>
      <c r="BE44" s="1332"/>
      <c r="BF44" s="939" t="s">
        <v>833</v>
      </c>
      <c r="BG44" s="939" t="s">
        <v>834</v>
      </c>
      <c r="BH44" s="939" t="str" cm="1">
        <f t="array" ref="BH44">AC44</f>
        <v>БИНГСТИ</v>
      </c>
      <c r="BI44" s="185"/>
      <c r="BJ44" s="185" t="b">
        <v>1</v>
      </c>
    </row>
    <row r="45" spans="1:62" s="1249" customFormat="1" ht="14.25" customHeight="1" x14ac:dyDescent="0.15">
      <c r="B45" s="349"/>
      <c r="E45" s="557">
        <v>15</v>
      </c>
      <c r="F45" s="3" t="str" cm="1">
        <f t="array" aca="1" ref="F45" ca="1">OFFSET(E45,-1,1)</f>
        <v>2</v>
      </c>
      <c r="H45" s="62" t="str">
        <f>"!== 'Всего по тарифу'"</f>
        <v>!== 'Всего по тарифу'</v>
      </c>
      <c r="T45" s="388" t="b" cm="1">
        <f t="array" ref="T45">T40</f>
        <v>1</v>
      </c>
      <c r="W45" s="677" t="s">
        <v>835</v>
      </c>
      <c r="X45" s="2009"/>
      <c r="Z45" s="2034"/>
      <c r="AB45" s="94"/>
      <c r="AC45" s="97" t="s">
        <v>176</v>
      </c>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106"/>
      <c r="BF45" s="927"/>
      <c r="BG45" s="927"/>
      <c r="BH45" s="927"/>
      <c r="BI45" s="557" t="s">
        <v>834</v>
      </c>
      <c r="BJ45" s="557"/>
    </row>
    <row r="46" spans="1:62" s="1334" customFormat="1" ht="10.9" customHeight="1" x14ac:dyDescent="0.15">
      <c r="A46" s="422"/>
      <c r="B46" s="582"/>
      <c r="C46" s="422"/>
      <c r="D46" s="422"/>
      <c r="E46" s="583">
        <v>11.25</v>
      </c>
      <c r="F46" s="405"/>
      <c r="G46" s="422"/>
      <c r="H46" s="422"/>
      <c r="I46" s="422"/>
      <c r="J46" s="422"/>
      <c r="K46" s="422"/>
      <c r="L46" s="422"/>
      <c r="M46" s="422"/>
      <c r="N46" s="422"/>
      <c r="O46" s="422"/>
      <c r="P46" s="422"/>
      <c r="Q46" s="422"/>
      <c r="R46" s="422"/>
      <c r="S46" s="422"/>
      <c r="T46" s="422"/>
      <c r="U46" s="337" t="s">
        <v>176</v>
      </c>
      <c r="V46" s="59" t="s">
        <v>844</v>
      </c>
      <c r="W46" s="422"/>
      <c r="X46" s="422"/>
      <c r="Y46" s="422"/>
      <c r="Z46" s="422"/>
      <c r="AA46" s="422"/>
      <c r="AC46" s="19"/>
      <c r="AD46" s="19"/>
      <c r="AE46" s="19"/>
      <c r="AF46" s="19"/>
      <c r="AQ46" s="20"/>
      <c r="BF46" s="913"/>
      <c r="BG46" s="913"/>
      <c r="BH46" s="913"/>
      <c r="BI46" s="548"/>
      <c r="BJ46" s="548"/>
    </row>
    <row r="47" spans="1:62" ht="10.9" customHeight="1" x14ac:dyDescent="0.15">
      <c r="E47" s="556">
        <v>11.25</v>
      </c>
    </row>
    <row r="48" spans="1:62" ht="14.65" customHeight="1" x14ac:dyDescent="0.15">
      <c r="E48" s="556">
        <v>15</v>
      </c>
      <c r="AB48" s="2035" t="s">
        <v>402</v>
      </c>
      <c r="AC48" s="2035"/>
      <c r="AD48" s="2035"/>
      <c r="AE48" s="2035"/>
      <c r="AF48" s="2035"/>
      <c r="AG48" s="2035"/>
      <c r="AH48" s="2035"/>
      <c r="AI48" s="2068"/>
      <c r="AJ48" s="2068"/>
      <c r="AK48" s="2068"/>
      <c r="AL48" s="2068"/>
      <c r="AM48" s="2068"/>
      <c r="AN48" s="2068"/>
      <c r="AO48" s="2068"/>
      <c r="AP48" s="2068"/>
      <c r="AQ48" s="2068"/>
      <c r="AR48" s="2068"/>
      <c r="AS48" s="2068"/>
      <c r="AT48" s="2068"/>
      <c r="AU48" s="2068"/>
      <c r="AV48" s="2068"/>
      <c r="AW48" s="2068"/>
      <c r="AX48" s="2068"/>
      <c r="AY48" s="2068"/>
      <c r="AZ48" s="2068"/>
      <c r="BA48" s="2068"/>
      <c r="BB48" s="2068"/>
      <c r="BC48" s="2068"/>
    </row>
    <row r="49" spans="1:62" ht="14.65" customHeight="1" x14ac:dyDescent="0.15">
      <c r="E49" s="556">
        <v>15</v>
      </c>
      <c r="AB49" s="2076" t="s">
        <v>845</v>
      </c>
      <c r="AC49" s="2074"/>
      <c r="AD49" s="2074"/>
      <c r="AE49" s="2074"/>
      <c r="AF49" s="2074"/>
      <c r="AG49" s="2074"/>
      <c r="AH49" s="2074"/>
      <c r="AI49" s="2074"/>
      <c r="AJ49" s="2073"/>
      <c r="AK49" s="2073"/>
      <c r="AL49" s="2073"/>
      <c r="AM49" s="2073"/>
      <c r="AN49" s="2073"/>
      <c r="AO49" s="2073"/>
      <c r="AP49" s="2073"/>
      <c r="AQ49" s="2073"/>
      <c r="AR49" s="2073"/>
      <c r="AS49" s="2074"/>
      <c r="AT49" s="2073"/>
      <c r="AU49" s="2073"/>
      <c r="AV49" s="2073"/>
      <c r="AW49" s="2073"/>
      <c r="AX49" s="2073"/>
      <c r="AY49" s="2073"/>
      <c r="AZ49" s="2073"/>
      <c r="BA49" s="2073"/>
      <c r="BB49" s="2073"/>
      <c r="BC49" s="2077"/>
    </row>
    <row r="50" spans="1:62" ht="14.65" hidden="1" customHeight="1" x14ac:dyDescent="0.15">
      <c r="E50" s="556">
        <v>15</v>
      </c>
      <c r="T50" s="388" t="b">
        <f t="shared" ref="T50:T56" si="5">ROW(W50)&gt;ROW(W$50)</f>
        <v>0</v>
      </c>
      <c r="W50" s="677" t="s">
        <v>172</v>
      </c>
      <c r="AA50" s="586" t="s">
        <v>173</v>
      </c>
      <c r="AB50" s="2072" t="s">
        <v>147</v>
      </c>
      <c r="AC50" s="2073"/>
      <c r="AD50" s="2073"/>
      <c r="AE50" s="2073"/>
      <c r="AF50" s="2073"/>
      <c r="AG50" s="2073"/>
      <c r="AH50" s="2073"/>
      <c r="AI50" s="2074"/>
      <c r="AJ50" s="2073"/>
      <c r="AK50" s="2073"/>
      <c r="AL50" s="2073"/>
      <c r="AM50" s="2073"/>
      <c r="AN50" s="2073"/>
      <c r="AO50" s="2073"/>
      <c r="AP50" s="2073"/>
      <c r="AQ50" s="2073"/>
      <c r="AR50" s="2073"/>
      <c r="AS50" s="2074"/>
      <c r="AT50" s="2073"/>
      <c r="AU50" s="2073"/>
      <c r="AV50" s="2073"/>
      <c r="AW50" s="2073"/>
      <c r="AX50" s="2073"/>
      <c r="AY50" s="2073"/>
      <c r="AZ50" s="2073"/>
      <c r="BA50" s="2073"/>
      <c r="BB50" s="2073"/>
      <c r="BC50" s="2075"/>
    </row>
    <row r="51" spans="1:62" s="1334" customFormat="1" ht="14.25" customHeight="1" x14ac:dyDescent="0.15">
      <c r="A51" s="1214"/>
      <c r="B51" s="1083"/>
      <c r="C51" s="1214"/>
      <c r="D51" s="1214"/>
      <c r="E51" s="556">
        <v>15</v>
      </c>
      <c r="F51" s="1214"/>
      <c r="G51" s="1214"/>
      <c r="H51" s="1214"/>
      <c r="I51" s="1214"/>
      <c r="J51" s="1214"/>
      <c r="K51" s="1214"/>
      <c r="L51" s="1214"/>
      <c r="M51" s="1214"/>
      <c r="N51" s="1214"/>
      <c r="O51" s="1214"/>
      <c r="P51" s="1214"/>
      <c r="Q51" s="1214"/>
      <c r="R51" s="1214"/>
      <c r="S51" s="1214"/>
      <c r="T51" s="388" t="b">
        <f t="shared" si="5"/>
        <v>1</v>
      </c>
      <c r="U51" s="1214"/>
      <c r="V51" s="1214"/>
      <c r="W51" s="677"/>
      <c r="X51" s="1214"/>
      <c r="Y51" s="1214"/>
      <c r="Z51" s="1214"/>
      <c r="AA51" s="586" t="s">
        <v>173</v>
      </c>
      <c r="AB51" s="2076" t="s">
        <v>846</v>
      </c>
      <c r="AC51" s="2074"/>
      <c r="AD51" s="2074"/>
      <c r="AE51" s="2074"/>
      <c r="AF51" s="2074"/>
      <c r="AG51" s="2074"/>
      <c r="AH51" s="2074"/>
      <c r="AI51" s="2074"/>
      <c r="AJ51" s="2073"/>
      <c r="AK51" s="2073"/>
      <c r="AL51" s="2073"/>
      <c r="AM51" s="2073"/>
      <c r="AN51" s="2073"/>
      <c r="AO51" s="2073"/>
      <c r="AP51" s="2074"/>
      <c r="AQ51" s="2074"/>
      <c r="AR51" s="2074"/>
      <c r="AS51" s="2074"/>
      <c r="AT51" s="2073"/>
      <c r="AU51" s="2073"/>
      <c r="AV51" s="2073"/>
      <c r="AW51" s="2073"/>
      <c r="AX51" s="2073"/>
      <c r="AY51" s="2073"/>
      <c r="AZ51" s="2074"/>
      <c r="BA51" s="2074"/>
      <c r="BB51" s="2074"/>
      <c r="BC51" s="2077"/>
      <c r="BD51" s="1214"/>
      <c r="BE51" s="1214"/>
      <c r="BF51" s="1216"/>
      <c r="BG51" s="1216"/>
      <c r="BH51" s="1216"/>
      <c r="BI51" s="1215"/>
      <c r="BJ51" s="1215"/>
    </row>
    <row r="52" spans="1:62" s="1334" customFormat="1" ht="14.25" customHeight="1" x14ac:dyDescent="0.15">
      <c r="A52" s="1214"/>
      <c r="B52" s="1083"/>
      <c r="C52" s="1214"/>
      <c r="D52" s="1214"/>
      <c r="E52" s="556">
        <v>15</v>
      </c>
      <c r="F52" s="1214"/>
      <c r="G52" s="1214"/>
      <c r="H52" s="1214"/>
      <c r="I52" s="1214"/>
      <c r="J52" s="1214"/>
      <c r="K52" s="1214"/>
      <c r="L52" s="1214"/>
      <c r="M52" s="1214"/>
      <c r="N52" s="1214"/>
      <c r="O52" s="1214"/>
      <c r="P52" s="1214"/>
      <c r="Q52" s="1214"/>
      <c r="R52" s="1214"/>
      <c r="S52" s="1214"/>
      <c r="T52" s="388" t="b">
        <f t="shared" si="5"/>
        <v>1</v>
      </c>
      <c r="U52" s="1214"/>
      <c r="V52" s="1214"/>
      <c r="W52" s="677"/>
      <c r="X52" s="1214"/>
      <c r="Y52" s="1214"/>
      <c r="Z52" s="1214"/>
      <c r="AA52" s="586" t="s">
        <v>173</v>
      </c>
      <c r="AB52" s="2076" t="s">
        <v>847</v>
      </c>
      <c r="AC52" s="2074"/>
      <c r="AD52" s="2074"/>
      <c r="AE52" s="2074"/>
      <c r="AF52" s="2074"/>
      <c r="AG52" s="2074"/>
      <c r="AH52" s="2074"/>
      <c r="AI52" s="2074"/>
      <c r="AJ52" s="2073"/>
      <c r="AK52" s="2073"/>
      <c r="AL52" s="2073"/>
      <c r="AM52" s="2073"/>
      <c r="AN52" s="2073"/>
      <c r="AO52" s="2073"/>
      <c r="AP52" s="2074"/>
      <c r="AQ52" s="2074"/>
      <c r="AR52" s="2074"/>
      <c r="AS52" s="2074"/>
      <c r="AT52" s="2073"/>
      <c r="AU52" s="2073"/>
      <c r="AV52" s="2073"/>
      <c r="AW52" s="2073"/>
      <c r="AX52" s="2073"/>
      <c r="AY52" s="2073"/>
      <c r="AZ52" s="2074"/>
      <c r="BA52" s="2074"/>
      <c r="BB52" s="2074"/>
      <c r="BC52" s="2077"/>
      <c r="BD52" s="1214"/>
      <c r="BE52" s="1214"/>
      <c r="BF52" s="1216"/>
      <c r="BG52" s="1216"/>
      <c r="BH52" s="1216"/>
      <c r="BI52" s="1215"/>
      <c r="BJ52" s="1215"/>
    </row>
    <row r="53" spans="1:62" s="1334" customFormat="1" ht="14.25" customHeight="1" x14ac:dyDescent="0.15">
      <c r="A53" s="1214"/>
      <c r="B53" s="1083"/>
      <c r="C53" s="1214"/>
      <c r="D53" s="1214"/>
      <c r="E53" s="556">
        <v>15</v>
      </c>
      <c r="F53" s="1214"/>
      <c r="G53" s="1214"/>
      <c r="H53" s="1214"/>
      <c r="I53" s="1214"/>
      <c r="J53" s="1214"/>
      <c r="K53" s="1214"/>
      <c r="L53" s="1214"/>
      <c r="M53" s="1214"/>
      <c r="N53" s="1214"/>
      <c r="O53" s="1214"/>
      <c r="P53" s="1214"/>
      <c r="Q53" s="1214"/>
      <c r="R53" s="1214"/>
      <c r="S53" s="1214"/>
      <c r="T53" s="388" t="b">
        <f t="shared" si="5"/>
        <v>1</v>
      </c>
      <c r="U53" s="1214"/>
      <c r="V53" s="1214"/>
      <c r="W53" s="677"/>
      <c r="X53" s="1214"/>
      <c r="Y53" s="1214"/>
      <c r="Z53" s="1214"/>
      <c r="AA53" s="586" t="s">
        <v>173</v>
      </c>
      <c r="AB53" s="2076" t="s">
        <v>848</v>
      </c>
      <c r="AC53" s="2074"/>
      <c r="AD53" s="2074"/>
      <c r="AE53" s="2074"/>
      <c r="AF53" s="2074"/>
      <c r="AG53" s="2074"/>
      <c r="AH53" s="2074"/>
      <c r="AI53" s="2074"/>
      <c r="AJ53" s="2073"/>
      <c r="AK53" s="2073"/>
      <c r="AL53" s="2073"/>
      <c r="AM53" s="2073"/>
      <c r="AN53" s="2073"/>
      <c r="AO53" s="2073"/>
      <c r="AP53" s="2074"/>
      <c r="AQ53" s="2074"/>
      <c r="AR53" s="2074"/>
      <c r="AS53" s="2074"/>
      <c r="AT53" s="2073"/>
      <c r="AU53" s="2073"/>
      <c r="AV53" s="2073"/>
      <c r="AW53" s="2073"/>
      <c r="AX53" s="2073"/>
      <c r="AY53" s="2073"/>
      <c r="AZ53" s="2074"/>
      <c r="BA53" s="2074"/>
      <c r="BB53" s="2074"/>
      <c r="BC53" s="2077"/>
      <c r="BD53" s="1214"/>
      <c r="BE53" s="1214"/>
      <c r="BF53" s="1216"/>
      <c r="BG53" s="1216"/>
      <c r="BH53" s="1216"/>
      <c r="BI53" s="1215"/>
      <c r="BJ53" s="1215"/>
    </row>
    <row r="54" spans="1:62" s="1334" customFormat="1" ht="14.25" customHeight="1" x14ac:dyDescent="0.15">
      <c r="A54" s="1214"/>
      <c r="B54" s="1083"/>
      <c r="C54" s="1214"/>
      <c r="D54" s="1214"/>
      <c r="E54" s="556">
        <v>15</v>
      </c>
      <c r="F54" s="1214"/>
      <c r="G54" s="1214"/>
      <c r="H54" s="1214"/>
      <c r="I54" s="1214"/>
      <c r="J54" s="1214"/>
      <c r="K54" s="1214"/>
      <c r="L54" s="1214"/>
      <c r="M54" s="1214"/>
      <c r="N54" s="1214"/>
      <c r="O54" s="1214"/>
      <c r="P54" s="1214"/>
      <c r="Q54" s="1214"/>
      <c r="R54" s="1214"/>
      <c r="S54" s="1214"/>
      <c r="T54" s="388" t="b">
        <f t="shared" si="5"/>
        <v>1</v>
      </c>
      <c r="U54" s="1214"/>
      <c r="V54" s="1214"/>
      <c r="W54" s="677"/>
      <c r="X54" s="1214"/>
      <c r="Y54" s="1214"/>
      <c r="Z54" s="1214"/>
      <c r="AA54" s="586" t="s">
        <v>173</v>
      </c>
      <c r="AB54" s="2076" t="s">
        <v>849</v>
      </c>
      <c r="AC54" s="2074"/>
      <c r="AD54" s="2074"/>
      <c r="AE54" s="2074"/>
      <c r="AF54" s="2074"/>
      <c r="AG54" s="2074"/>
      <c r="AH54" s="2074"/>
      <c r="AI54" s="2074"/>
      <c r="AJ54" s="2073"/>
      <c r="AK54" s="2073"/>
      <c r="AL54" s="2073"/>
      <c r="AM54" s="2073"/>
      <c r="AN54" s="2073"/>
      <c r="AO54" s="2073"/>
      <c r="AP54" s="2074"/>
      <c r="AQ54" s="2074"/>
      <c r="AR54" s="2074"/>
      <c r="AS54" s="2074"/>
      <c r="AT54" s="2073"/>
      <c r="AU54" s="2073"/>
      <c r="AV54" s="2073"/>
      <c r="AW54" s="2073"/>
      <c r="AX54" s="2073"/>
      <c r="AY54" s="2073"/>
      <c r="AZ54" s="2074"/>
      <c r="BA54" s="2074"/>
      <c r="BB54" s="2074"/>
      <c r="BC54" s="2077"/>
      <c r="BD54" s="1214"/>
      <c r="BE54" s="1214"/>
      <c r="BF54" s="1216"/>
      <c r="BG54" s="1216"/>
      <c r="BH54" s="1216"/>
      <c r="BI54" s="1215"/>
      <c r="BJ54" s="1215"/>
    </row>
    <row r="55" spans="1:62" s="1334" customFormat="1" ht="14.25" customHeight="1" x14ac:dyDescent="0.15">
      <c r="A55" s="1214"/>
      <c r="B55" s="1083"/>
      <c r="C55" s="1214"/>
      <c r="D55" s="1214"/>
      <c r="E55" s="556">
        <v>15</v>
      </c>
      <c r="F55" s="1214"/>
      <c r="G55" s="1214"/>
      <c r="H55" s="1214"/>
      <c r="I55" s="1214"/>
      <c r="J55" s="1214"/>
      <c r="K55" s="1214"/>
      <c r="L55" s="1214"/>
      <c r="M55" s="1214"/>
      <c r="N55" s="1214"/>
      <c r="O55" s="1214"/>
      <c r="P55" s="1214"/>
      <c r="Q55" s="1214"/>
      <c r="R55" s="1214"/>
      <c r="S55" s="1214"/>
      <c r="T55" s="388" t="b">
        <f t="shared" si="5"/>
        <v>1</v>
      </c>
      <c r="U55" s="1214"/>
      <c r="V55" s="1214"/>
      <c r="W55" s="677"/>
      <c r="X55" s="1214"/>
      <c r="Y55" s="1214"/>
      <c r="Z55" s="1214"/>
      <c r="AA55" s="586" t="s">
        <v>173</v>
      </c>
      <c r="AB55" s="2076" t="s">
        <v>850</v>
      </c>
      <c r="AC55" s="2074"/>
      <c r="AD55" s="2074"/>
      <c r="AE55" s="2074"/>
      <c r="AF55" s="2074"/>
      <c r="AG55" s="2074"/>
      <c r="AH55" s="2074"/>
      <c r="AI55" s="2074"/>
      <c r="AJ55" s="2073"/>
      <c r="AK55" s="2073"/>
      <c r="AL55" s="2073"/>
      <c r="AM55" s="2073"/>
      <c r="AN55" s="2073"/>
      <c r="AO55" s="2073"/>
      <c r="AP55" s="2074"/>
      <c r="AQ55" s="2074"/>
      <c r="AR55" s="2074"/>
      <c r="AS55" s="2074"/>
      <c r="AT55" s="2073"/>
      <c r="AU55" s="2073"/>
      <c r="AV55" s="2073"/>
      <c r="AW55" s="2073"/>
      <c r="AX55" s="2073"/>
      <c r="AY55" s="2073"/>
      <c r="AZ55" s="2074"/>
      <c r="BA55" s="2074"/>
      <c r="BB55" s="2074"/>
      <c r="BC55" s="2077"/>
      <c r="BD55" s="1214"/>
      <c r="BE55" s="1214"/>
      <c r="BF55" s="1216"/>
      <c r="BG55" s="1216"/>
      <c r="BH55" s="1216"/>
      <c r="BI55" s="1215"/>
      <c r="BJ55" s="1215"/>
    </row>
    <row r="56" spans="1:62" s="1334" customFormat="1" ht="14.25" customHeight="1" x14ac:dyDescent="0.15">
      <c r="A56" s="1214"/>
      <c r="B56" s="1083"/>
      <c r="C56" s="1214"/>
      <c r="D56" s="1214"/>
      <c r="E56" s="556">
        <v>15</v>
      </c>
      <c r="F56" s="1214"/>
      <c r="G56" s="1214"/>
      <c r="H56" s="1214"/>
      <c r="I56" s="1214"/>
      <c r="J56" s="1214"/>
      <c r="K56" s="1214"/>
      <c r="L56" s="1214"/>
      <c r="M56" s="1214"/>
      <c r="N56" s="1214"/>
      <c r="O56" s="1214"/>
      <c r="P56" s="1214"/>
      <c r="Q56" s="1214"/>
      <c r="R56" s="1214"/>
      <c r="S56" s="1214"/>
      <c r="T56" s="388" t="b">
        <f t="shared" si="5"/>
        <v>1</v>
      </c>
      <c r="U56" s="1214"/>
      <c r="V56" s="1214"/>
      <c r="W56" s="677"/>
      <c r="X56" s="1214"/>
      <c r="Y56" s="1214"/>
      <c r="Z56" s="1214"/>
      <c r="AA56" s="586" t="s">
        <v>173</v>
      </c>
      <c r="AB56" s="2076" t="s">
        <v>851</v>
      </c>
      <c r="AC56" s="2074"/>
      <c r="AD56" s="2074"/>
      <c r="AE56" s="2074"/>
      <c r="AF56" s="2074"/>
      <c r="AG56" s="2074"/>
      <c r="AH56" s="2074"/>
      <c r="AI56" s="2074"/>
      <c r="AJ56" s="2073"/>
      <c r="AK56" s="2073"/>
      <c r="AL56" s="2073"/>
      <c r="AM56" s="2073"/>
      <c r="AN56" s="2073"/>
      <c r="AO56" s="2073"/>
      <c r="AP56" s="2074"/>
      <c r="AQ56" s="2074"/>
      <c r="AR56" s="2074"/>
      <c r="AS56" s="2074"/>
      <c r="AT56" s="2073"/>
      <c r="AU56" s="2073"/>
      <c r="AV56" s="2073"/>
      <c r="AW56" s="2073"/>
      <c r="AX56" s="2073"/>
      <c r="AY56" s="2073"/>
      <c r="AZ56" s="2074"/>
      <c r="BA56" s="2074"/>
      <c r="BB56" s="2074"/>
      <c r="BC56" s="2077"/>
      <c r="BD56" s="1214"/>
      <c r="BE56" s="1214"/>
      <c r="BF56" s="1216"/>
      <c r="BG56" s="1216"/>
      <c r="BH56" s="1216"/>
      <c r="BI56" s="1215"/>
      <c r="BJ56" s="1215"/>
    </row>
    <row r="57" spans="1:62" ht="14.65" customHeight="1" x14ac:dyDescent="0.15">
      <c r="E57" s="556">
        <v>15</v>
      </c>
      <c r="W57" s="677" t="s">
        <v>403</v>
      </c>
      <c r="AB57" s="571"/>
      <c r="AC57" s="437" t="s">
        <v>404</v>
      </c>
      <c r="AD57" s="227"/>
      <c r="AE57" s="227"/>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9"/>
    </row>
    <row r="58" spans="1:62" ht="10.7" customHeight="1" x14ac:dyDescent="0.15">
      <c r="E58" s="556">
        <v>11</v>
      </c>
      <c r="BD58" s="17"/>
    </row>
  </sheetData>
  <sheetProtection formatColumns="0" formatRows="0" insertRows="0" deleteColumns="0" deleteRows="0" sort="0" autoFilter="0"/>
  <mergeCells count="19">
    <mergeCell ref="AB56:BC56"/>
    <mergeCell ref="AB51:BC51"/>
    <mergeCell ref="AB52:BC52"/>
    <mergeCell ref="AB53:BC53"/>
    <mergeCell ref="AB54:BC54"/>
    <mergeCell ref="AB55:BC55"/>
    <mergeCell ref="AB50:BC50"/>
    <mergeCell ref="AB49:BC49"/>
    <mergeCell ref="X31:X39"/>
    <mergeCell ref="Z31:Z39"/>
    <mergeCell ref="X40:X45"/>
    <mergeCell ref="Z40:Z45"/>
    <mergeCell ref="X27:X30"/>
    <mergeCell ref="Z27:Z30"/>
    <mergeCell ref="AB48:BC48"/>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29:BB29 AE33:AE38 AF33:AF38 AG33:AG38 AH33:AH38 AI33:AI38 AJ33:AJ38 AK33:AK38 AL33:AL38 AM33:AM38 AN33:AN38 AO33:AO38 AP33:AP38 AQ33:AQ38 AR33:AR38 AS33:AS38 AT33:AT38 AU33:AU38 AV33:AV38 AW33:AW38 AX33:AX38 AY33:AY38 AZ33:AZ38 BA33:BA38 BB33:BB38 AE42:AE44 AF42:AF44 AG42:AG44 AH42:AH44 AI42:AI44 AJ42:AJ44 AK42:AK44 AL42:AL44 AM42:AM44 AN42:AN44 AO42:AO44 AP42:AP44 AQ42:AQ44 AR42:AR44 AS42:AS44 AT42:AT44 AU42:AU44 AV42:AV44 AW42:AW44 AX42:AX44 AY42:AY44 AZ42:AZ44 BA42:BA44 BB42:BB44" xr:uid="{00000000-0002-0000-0C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46382-6B13-1F38-630A-0D386BAD8B31}">
  <sheetPr>
    <tabColor rgb="FFFFC000"/>
    <outlinePr summaryBelow="0" summaryRight="0"/>
    <pageSetUpPr fitToPage="1"/>
  </sheetPr>
  <dimension ref="A1:BJ122"/>
  <sheetViews>
    <sheetView showGridLines="0" workbookViewId="0">
      <pane xSplit="30" ySplit="25" topLeftCell="AF80" activePane="bottomRight" state="frozen"/>
      <selection pane="topRight" activeCell="AE1" sqref="AE1"/>
      <selection pane="bottomLeft" activeCell="A26" sqref="A26"/>
      <selection pane="bottomRight" activeCell="AS85" sqref="AS85"/>
    </sheetView>
  </sheetViews>
  <sheetFormatPr defaultColWidth="9.140625" defaultRowHeight="11.25" customHeight="1" x14ac:dyDescent="0.15"/>
  <cols>
    <col min="1" max="1" width="3.5703125" style="1214" hidden="1" customWidth="1"/>
    <col min="2" max="2" width="4.42578125" style="1083" hidden="1" customWidth="1"/>
    <col min="3" max="3" width="6.7109375" style="1222" hidden="1" customWidth="1"/>
    <col min="4" max="4" width="4.5703125" style="1214" hidden="1" customWidth="1"/>
    <col min="5" max="5" width="3.5703125" style="1215" hidden="1" customWidth="1"/>
    <col min="6" max="6" width="8.140625" style="1214" hidden="1" customWidth="1"/>
    <col min="7" max="10" width="3.5703125" style="1214" hidden="1" customWidth="1"/>
    <col min="11" max="11" width="5.85546875" style="1214" hidden="1" customWidth="1"/>
    <col min="12" max="19" width="3.5703125" style="1214" hidden="1" customWidth="1"/>
    <col min="20" max="20" width="10.28515625" style="1214" hidden="1" customWidth="1"/>
    <col min="21" max="21" width="5.85546875" style="1214" hidden="1" customWidth="1"/>
    <col min="22" max="23" width="6.140625" style="1214" hidden="1" customWidth="1"/>
    <col min="24" max="25" width="5.5703125" style="1214" hidden="1" customWidth="1"/>
    <col min="26" max="26" width="5.28515625" style="1214" hidden="1" customWidth="1"/>
    <col min="27" max="27" width="3" style="1214" customWidth="1"/>
    <col min="28" max="28" width="11" style="1214" customWidth="1"/>
    <col min="29" max="29" width="35" style="1214" customWidth="1"/>
    <col min="30" max="30" width="12.5703125" style="1214" customWidth="1"/>
    <col min="31" max="31" width="14.5703125" style="1214" customWidth="1"/>
    <col min="32" max="32" width="12.5703125" style="1214" customWidth="1"/>
    <col min="33" max="33" width="15" style="1214" customWidth="1"/>
    <col min="34" max="34" width="16" style="1214" customWidth="1"/>
    <col min="35" max="35" width="12.5703125" style="1214" customWidth="1"/>
    <col min="36" max="44" width="12.5703125" style="1214" hidden="1" customWidth="1"/>
    <col min="45" max="45" width="15.42578125" style="1214" customWidth="1"/>
    <col min="46" max="54" width="15.42578125" style="1214" hidden="1" customWidth="1"/>
    <col min="55" max="55" width="20" style="1214" customWidth="1"/>
    <col min="56" max="56" width="3" style="1214" customWidth="1"/>
    <col min="57" max="57" width="9.140625" style="1214" hidden="1"/>
    <col min="58" max="60" width="9.140625" style="1216" hidden="1"/>
    <col min="61" max="62" width="9.140625" style="1215" hidden="1"/>
  </cols>
  <sheetData>
    <row r="1" spans="1:62" ht="11.25" hidden="1" customHeight="1" x14ac:dyDescent="0.15">
      <c r="E1" s="17"/>
      <c r="F1" s="17" t="s">
        <v>319</v>
      </c>
      <c r="G1" s="17" t="s">
        <v>330</v>
      </c>
      <c r="H1" s="17" t="s">
        <v>354</v>
      </c>
      <c r="T1" s="388" t="s">
        <v>92</v>
      </c>
      <c r="U1" s="388" t="s">
        <v>97</v>
      </c>
      <c r="V1" s="388" t="s">
        <v>93</v>
      </c>
      <c r="W1" s="388" t="s">
        <v>94</v>
      </c>
      <c r="X1" s="388" t="s">
        <v>95</v>
      </c>
      <c r="Y1" s="390" t="s">
        <v>321</v>
      </c>
      <c r="Z1" s="388" t="s">
        <v>99</v>
      </c>
      <c r="AA1" s="390" t="s">
        <v>96</v>
      </c>
      <c r="AB1" s="444"/>
      <c r="AC1" s="389" t="s">
        <v>98</v>
      </c>
      <c r="BF1" s="924" t="s">
        <v>322</v>
      </c>
      <c r="BG1" s="924" t="s">
        <v>323</v>
      </c>
      <c r="BH1" s="924" t="s">
        <v>324</v>
      </c>
      <c r="BI1" s="556" t="s">
        <v>327</v>
      </c>
      <c r="BJ1" s="556" t="s">
        <v>328</v>
      </c>
    </row>
    <row r="2" spans="1:62" s="1083" customFormat="1" ht="11.25" hidden="1" customHeight="1" x14ac:dyDescent="0.15">
      <c r="B2" s="367" t="s">
        <v>18</v>
      </c>
      <c r="C2" s="408"/>
      <c r="AI2" s="368" t="b">
        <f t="shared" ref="AI2:BB2" si="0">AI6&lt;=last_year_vis</f>
        <v>1</v>
      </c>
      <c r="AJ2" s="368" t="b">
        <f t="shared" si="0"/>
        <v>0</v>
      </c>
      <c r="AK2" s="368" t="b">
        <f t="shared" si="0"/>
        <v>0</v>
      </c>
      <c r="AL2" s="368" t="b">
        <f t="shared" si="0"/>
        <v>0</v>
      </c>
      <c r="AM2" s="368" t="b">
        <f t="shared" si="0"/>
        <v>0</v>
      </c>
      <c r="AN2" s="368" t="b">
        <f t="shared" si="0"/>
        <v>0</v>
      </c>
      <c r="AO2" s="368" t="b">
        <f t="shared" si="0"/>
        <v>0</v>
      </c>
      <c r="AP2" s="368" t="b">
        <f t="shared" si="0"/>
        <v>0</v>
      </c>
      <c r="AQ2" s="368" t="b">
        <f t="shared" si="0"/>
        <v>0</v>
      </c>
      <c r="AR2" s="368" t="b">
        <f t="shared" si="0"/>
        <v>0</v>
      </c>
      <c r="AS2" s="368" t="b">
        <f t="shared" si="0"/>
        <v>1</v>
      </c>
      <c r="AT2" s="368" t="b">
        <f t="shared" si="0"/>
        <v>0</v>
      </c>
      <c r="AU2" s="368" t="b">
        <f t="shared" si="0"/>
        <v>0</v>
      </c>
      <c r="AV2" s="368" t="b">
        <f t="shared" si="0"/>
        <v>0</v>
      </c>
      <c r="AW2" s="368" t="b">
        <f t="shared" si="0"/>
        <v>0</v>
      </c>
      <c r="AX2" s="368" t="b">
        <f t="shared" si="0"/>
        <v>0</v>
      </c>
      <c r="AY2" s="368" t="b">
        <f t="shared" si="0"/>
        <v>0</v>
      </c>
      <c r="AZ2" s="368" t="b">
        <f t="shared" si="0"/>
        <v>0</v>
      </c>
      <c r="BA2" s="368" t="b">
        <f t="shared" si="0"/>
        <v>0</v>
      </c>
      <c r="BB2" s="368" t="b">
        <f t="shared" si="0"/>
        <v>0</v>
      </c>
      <c r="BF2" s="925"/>
      <c r="BG2" s="925"/>
      <c r="BH2" s="925"/>
      <c r="BI2" s="938"/>
      <c r="BJ2" s="938"/>
    </row>
    <row r="3" spans="1:62" ht="11.25" hidden="1" customHeight="1" x14ac:dyDescent="0.15">
      <c r="E3" s="17"/>
    </row>
    <row r="4" spans="1:62" ht="11.25" hidden="1" customHeight="1" x14ac:dyDescent="0.15">
      <c r="E4" s="17"/>
    </row>
    <row r="5" spans="1:62" s="1215" customFormat="1" ht="11.25" hidden="1" customHeight="1" x14ac:dyDescent="0.15">
      <c r="A5" s="17"/>
      <c r="B5" s="349"/>
      <c r="C5" s="407"/>
      <c r="D5" s="17"/>
      <c r="E5" s="556" t="s">
        <v>19</v>
      </c>
      <c r="AA5" s="556">
        <v>3</v>
      </c>
      <c r="AB5" s="556">
        <v>11</v>
      </c>
      <c r="AC5" s="556">
        <v>35</v>
      </c>
      <c r="AD5" s="556">
        <v>12.57</v>
      </c>
      <c r="AE5" s="556">
        <v>14.57</v>
      </c>
      <c r="AF5" s="556">
        <v>12.57</v>
      </c>
      <c r="AG5" s="556">
        <v>15</v>
      </c>
      <c r="AH5" s="556">
        <v>16</v>
      </c>
      <c r="AI5" s="556">
        <v>12.57</v>
      </c>
      <c r="AJ5" s="556">
        <v>12.57</v>
      </c>
      <c r="AK5" s="556">
        <v>12.57</v>
      </c>
      <c r="AL5" s="556">
        <v>12.57</v>
      </c>
      <c r="AM5" s="556">
        <v>12.57</v>
      </c>
      <c r="AN5" s="556">
        <v>12.57</v>
      </c>
      <c r="AO5" s="556">
        <v>12.57</v>
      </c>
      <c r="AP5" s="556">
        <v>12.57</v>
      </c>
      <c r="AQ5" s="556">
        <v>12.57</v>
      </c>
      <c r="AR5" s="556">
        <v>12.57</v>
      </c>
      <c r="AS5" s="556">
        <v>15.43</v>
      </c>
      <c r="AT5" s="556">
        <v>15.43</v>
      </c>
      <c r="AU5" s="556">
        <v>15.43</v>
      </c>
      <c r="AV5" s="556">
        <v>15.43</v>
      </c>
      <c r="AW5" s="556">
        <v>15.43</v>
      </c>
      <c r="AX5" s="556">
        <v>15.43</v>
      </c>
      <c r="AY5" s="556">
        <v>15.43</v>
      </c>
      <c r="AZ5" s="556">
        <v>15.43</v>
      </c>
      <c r="BA5" s="556">
        <v>15.43</v>
      </c>
      <c r="BB5" s="556">
        <v>15.43</v>
      </c>
      <c r="BC5" s="556">
        <v>20</v>
      </c>
      <c r="BD5" s="556">
        <v>3</v>
      </c>
      <c r="BF5" s="924"/>
      <c r="BG5" s="924"/>
      <c r="BH5" s="924"/>
    </row>
    <row r="6" spans="1:62" ht="11.25" hidden="1" customHeight="1" x14ac:dyDescent="0.15">
      <c r="A6" s="17" t="s">
        <v>357</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17" t="s">
        <v>358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$AI$25</f>
        <v>Предложение организации</v>
      </c>
      <c r="AK7" s="17" t="str" cm="1">
        <f t="array" ref="AK7">$AI$25</f>
        <v>Предложение организации</v>
      </c>
      <c r="AL7" s="17" t="str" cm="1">
        <f t="array" ref="AL7">$AI$25</f>
        <v>Предложение организации</v>
      </c>
      <c r="AM7" s="17" t="str" cm="1">
        <f t="array" ref="AM7">$AI$25</f>
        <v>Предложение организации</v>
      </c>
      <c r="AN7" s="17" t="str" cm="1">
        <f t="array" ref="AN7">$AI$25</f>
        <v>Предложение организации</v>
      </c>
      <c r="AO7" s="17" t="str" cm="1">
        <f t="array" ref="AO7">$AI$25</f>
        <v>Предложение организации</v>
      </c>
      <c r="AP7" s="17" t="str" cm="1">
        <f t="array" ref="AP7">$AI$25</f>
        <v>Предложение организации</v>
      </c>
      <c r="AQ7" s="17" t="str" cm="1">
        <f t="array" ref="AQ7">$AI$25</f>
        <v>Предложение организации</v>
      </c>
      <c r="AR7" s="17" t="str" cm="1">
        <f t="array" ref="AR7">$AI$25</f>
        <v>Предложение организации</v>
      </c>
      <c r="AS7" s="17" t="str" cm="1">
        <f t="array" ref="AS7">$AS$25</f>
        <v>Принято органом регулирования</v>
      </c>
      <c r="AT7" s="17" t="str" cm="1">
        <f t="array" ref="AT7">$AS$25</f>
        <v>Принято органом регулирования</v>
      </c>
      <c r="AU7" s="17" t="str" cm="1">
        <f t="array" ref="AU7">$AS$25</f>
        <v>Принято органом регулирования</v>
      </c>
      <c r="AV7" s="17" t="str" cm="1">
        <f t="array" ref="AV7">$AS$25</f>
        <v>Принято органом регулирования</v>
      </c>
      <c r="AW7" s="17" t="str" cm="1">
        <f t="array" ref="AW7">$AS$25</f>
        <v>Принято органом регулирования</v>
      </c>
      <c r="AX7" s="17" t="str" cm="1">
        <f t="array" ref="AX7">$AS$25</f>
        <v>Принято органом регулирования</v>
      </c>
      <c r="AY7" s="17" t="str" cm="1">
        <f t="array" ref="AY7">$AS$25</f>
        <v>Принято органом регулирования</v>
      </c>
      <c r="AZ7" s="17" t="str" cm="1">
        <f t="array" ref="AZ7">$AS$25</f>
        <v>Принято органом регулирования</v>
      </c>
      <c r="BA7" s="17" t="str" cm="1">
        <f t="array" ref="BA7">$AS$25</f>
        <v>Принято органом регулирования</v>
      </c>
      <c r="BB7" s="17" t="str" cm="1">
        <f t="array" ref="BB7">$AS$25</f>
        <v>Принято органом регулирования</v>
      </c>
    </row>
    <row r="8" spans="1:62" ht="11.25" hidden="1" customHeight="1" x14ac:dyDescent="0.15">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62" s="1216" customFormat="1" ht="11.25" hidden="1" customHeight="1" x14ac:dyDescent="0.15">
      <c r="A9" s="924" t="s">
        <v>362</v>
      </c>
      <c r="B9" s="925"/>
      <c r="C9" s="940"/>
      <c r="AE9" s="924" cm="1">
        <f t="array" ref="AE9">AE6</f>
        <v>2024</v>
      </c>
      <c r="AF9" s="924" cm="1">
        <f t="array" ref="AF9">AF6</f>
        <v>2024</v>
      </c>
      <c r="AG9" s="924" cm="1">
        <f t="array" ref="AG9">AG6</f>
        <v>2024</v>
      </c>
      <c r="AH9" s="924" cm="1">
        <f t="array" ref="AH9">AH6</f>
        <v>2025</v>
      </c>
      <c r="AI9" s="924" cm="1">
        <f t="array" ref="AI9">AI6</f>
        <v>2026</v>
      </c>
      <c r="AJ9" s="924" cm="1">
        <f t="array" ref="AJ9">AJ6</f>
        <v>2027</v>
      </c>
      <c r="AK9" s="924" cm="1">
        <f t="array" ref="AK9">AK6</f>
        <v>2028</v>
      </c>
      <c r="AL9" s="924" cm="1">
        <f t="array" ref="AL9">AL6</f>
        <v>2029</v>
      </c>
      <c r="AM9" s="924" cm="1">
        <f t="array" ref="AM9">AM6</f>
        <v>2030</v>
      </c>
      <c r="AN9" s="924" cm="1">
        <f t="array" ref="AN9">AN6</f>
        <v>2031</v>
      </c>
      <c r="AO9" s="924" cm="1">
        <f t="array" ref="AO9">AO6</f>
        <v>2032</v>
      </c>
      <c r="AP9" s="924" cm="1">
        <f t="array" ref="AP9">AP6</f>
        <v>2033</v>
      </c>
      <c r="AQ9" s="924" cm="1">
        <f t="array" ref="AQ9">AQ6</f>
        <v>2034</v>
      </c>
      <c r="AR9" s="924" cm="1">
        <f t="array" ref="AR9">AR6</f>
        <v>2035</v>
      </c>
      <c r="AS9" s="924" cm="1">
        <f t="array" ref="AS9">AS6</f>
        <v>2026</v>
      </c>
      <c r="AT9" s="924" cm="1">
        <f t="array" ref="AT9">AT6</f>
        <v>2027</v>
      </c>
      <c r="AU9" s="924" cm="1">
        <f t="array" ref="AU9">AU6</f>
        <v>2028</v>
      </c>
      <c r="AV9" s="924" cm="1">
        <f t="array" ref="AV9">AV6</f>
        <v>2029</v>
      </c>
      <c r="AW9" s="924" cm="1">
        <f t="array" ref="AW9">AW6</f>
        <v>2030</v>
      </c>
      <c r="AX9" s="924" cm="1">
        <f t="array" ref="AX9">AX6</f>
        <v>2031</v>
      </c>
      <c r="AY9" s="924" cm="1">
        <f t="array" ref="AY9">AY6</f>
        <v>2032</v>
      </c>
      <c r="AZ9" s="924" cm="1">
        <f t="array" ref="AZ9">AZ6</f>
        <v>2033</v>
      </c>
      <c r="BA9" s="924" cm="1">
        <f t="array" ref="BA9">BA6</f>
        <v>2034</v>
      </c>
      <c r="BB9" s="924" cm="1">
        <f t="array" ref="BB9">BB6</f>
        <v>2035</v>
      </c>
      <c r="BI9" s="556"/>
      <c r="BJ9" s="556"/>
    </row>
    <row r="10" spans="1:62" s="1216" customFormat="1" ht="11.25" hidden="1" customHeight="1" x14ac:dyDescent="0.15">
      <c r="A10" s="924" t="s">
        <v>363</v>
      </c>
      <c r="B10" s="925"/>
      <c r="C10" s="940"/>
      <c r="AE10" s="924" t="str" cm="1">
        <f t="array" ref="AE10">AE25</f>
        <v>Принято органом регулирования</v>
      </c>
      <c r="AF10" s="924" t="str" cm="1">
        <f t="array" ref="AF10">AF25</f>
        <v>Факт по данным организации</v>
      </c>
      <c r="AG10" s="924" t="str" cm="1">
        <f t="array" ref="AG10">AG25</f>
        <v>Факт, принятый органом регулирования</v>
      </c>
      <c r="AH10" s="924" t="str" cm="1">
        <f t="array" ref="AH10">AH25</f>
        <v>Принято органом регулирования</v>
      </c>
      <c r="AI10" s="924" t="str" cm="1">
        <f t="array" ref="AI10">AI25</f>
        <v>Предложение организации</v>
      </c>
      <c r="AJ10" s="924" t="str" cm="1">
        <f t="array" ref="AJ10">AJ25</f>
        <v>Предложение организации</v>
      </c>
      <c r="AK10" s="924" t="str" cm="1">
        <f t="array" ref="AK10">AK25</f>
        <v>Предложение организации</v>
      </c>
      <c r="AL10" s="924" t="str" cm="1">
        <f t="array" ref="AL10">AL25</f>
        <v>Предложение организации</v>
      </c>
      <c r="AM10" s="924" t="str" cm="1">
        <f t="array" ref="AM10">AM25</f>
        <v>Предложение организации</v>
      </c>
      <c r="AN10" s="924" t="str" cm="1">
        <f t="array" ref="AN10">AN25</f>
        <v>Предложение организации</v>
      </c>
      <c r="AO10" s="924" t="str" cm="1">
        <f t="array" ref="AO10">AO25</f>
        <v>Предложение организации</v>
      </c>
      <c r="AP10" s="924" t="str" cm="1">
        <f t="array" ref="AP10">AP25</f>
        <v>Предложение организации</v>
      </c>
      <c r="AQ10" s="924" t="str" cm="1">
        <f t="array" ref="AQ10">AQ25</f>
        <v>Предложение организации</v>
      </c>
      <c r="AR10" s="924" t="str" cm="1">
        <f t="array" ref="AR10">AR25</f>
        <v>Предложение организации</v>
      </c>
      <c r="AS10" s="924" t="str" cm="1">
        <f t="array" ref="AS10">AS25</f>
        <v>Принято органом регулирования</v>
      </c>
      <c r="AT10" s="924" t="str" cm="1">
        <f t="array" ref="AT10">AT25</f>
        <v>Принято органом регулирования</v>
      </c>
      <c r="AU10" s="924" t="str" cm="1">
        <f t="array" ref="AU10">AU25</f>
        <v>Принято органом регулирования</v>
      </c>
      <c r="AV10" s="924" t="str" cm="1">
        <f t="array" ref="AV10">AV25</f>
        <v>Принято органом регулирования</v>
      </c>
      <c r="AW10" s="924" t="str" cm="1">
        <f t="array" ref="AW10">AW25</f>
        <v>Принято органом регулирования</v>
      </c>
      <c r="AX10" s="924" t="str" cm="1">
        <f t="array" ref="AX10">AX25</f>
        <v>Принято органом регулирования</v>
      </c>
      <c r="AY10" s="924" t="str" cm="1">
        <f t="array" ref="AY10">AY25</f>
        <v>Принято органом регулирования</v>
      </c>
      <c r="AZ10" s="924" t="str" cm="1">
        <f t="array" ref="AZ10">AZ25</f>
        <v>Принято органом регулирования</v>
      </c>
      <c r="BA10" s="924" t="str" cm="1">
        <f t="array" ref="BA10">BA25</f>
        <v>Принято органом регулирования</v>
      </c>
      <c r="BB10" s="924" t="str" cm="1">
        <f t="array" ref="BB10">BB25</f>
        <v>Принято органом регулирования</v>
      </c>
      <c r="BI10" s="556"/>
      <c r="BJ10" s="556"/>
    </row>
    <row r="11" spans="1:62" s="1216" customFormat="1" ht="11.25" hidden="1" customHeight="1" x14ac:dyDescent="0.15">
      <c r="A11" s="924" t="s">
        <v>364</v>
      </c>
      <c r="B11" s="925"/>
      <c r="C11" s="940"/>
      <c r="BC11" s="924" t="str" cm="1">
        <f t="array" ref="BC11">BC24</f>
        <v>Ссылка на правовую норму (основание для принятия показателя в расчет тарифа)</v>
      </c>
      <c r="BI11" s="556"/>
      <c r="BJ11" s="556"/>
    </row>
    <row r="12" spans="1:62" s="1216" customFormat="1" ht="11.25" hidden="1" customHeight="1" x14ac:dyDescent="0.15">
      <c r="A12" s="924" t="s">
        <v>337</v>
      </c>
      <c r="B12" s="925"/>
      <c r="C12" s="940"/>
      <c r="AC12" s="924" t="s">
        <v>324</v>
      </c>
      <c r="BI12" s="556"/>
      <c r="BJ12" s="556"/>
    </row>
    <row r="13" spans="1:62" ht="11.25" hidden="1" customHeight="1" x14ac:dyDescent="0.15"/>
    <row r="14" spans="1:62" ht="11.25" hidden="1" customHeight="1" x14ac:dyDescent="0.15"/>
    <row r="15" spans="1:62" ht="11.25" hidden="1" customHeight="1" x14ac:dyDescent="0.15"/>
    <row r="16" spans="1:62" ht="11.25" hidden="1" customHeight="1" x14ac:dyDescent="0.15"/>
    <row r="17" spans="1:62" ht="11.25" hidden="1" customHeight="1" x14ac:dyDescent="0.15"/>
    <row r="18" spans="1:62" ht="11.25" hidden="1" customHeight="1" x14ac:dyDescent="0.15">
      <c r="A18" s="17" t="s">
        <v>365</v>
      </c>
      <c r="AC18" s="17" t="s">
        <v>194</v>
      </c>
    </row>
    <row r="19" spans="1:62" ht="11.25" hidden="1" customHeight="1" x14ac:dyDescent="0.15"/>
    <row r="20" spans="1:62" ht="11.25" hidden="1" customHeight="1" x14ac:dyDescent="0.15"/>
    <row r="21" spans="1:62" ht="14.65" customHeight="1" x14ac:dyDescent="0.15">
      <c r="E21" s="556">
        <v>15</v>
      </c>
      <c r="AA21" s="581"/>
      <c r="AC21" s="3" t="str" cm="1">
        <f t="array" ref="AC21">tpl_title</f>
        <v>Кемеровская область / 2026 / ООО "Чистая вода" (ИНН:4246023100, КПП:424601001) / ДПР: 2024-2032</v>
      </c>
    </row>
    <row r="22" spans="1:62" s="1249" customFormat="1" ht="19.5" customHeight="1" x14ac:dyDescent="0.15">
      <c r="B22" s="349"/>
      <c r="C22" s="407"/>
      <c r="E22" s="557">
        <v>20</v>
      </c>
      <c r="AB22" s="236" t="s">
        <v>50</v>
      </c>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F22" s="927"/>
      <c r="BG22" s="927"/>
      <c r="BH22" s="927"/>
      <c r="BI22" s="557"/>
      <c r="BJ22" s="557"/>
    </row>
    <row r="23" spans="1:62" s="1249" customFormat="1" ht="10.9" customHeight="1" x14ac:dyDescent="0.15">
      <c r="B23" s="349"/>
      <c r="C23" s="407"/>
      <c r="E23" s="557">
        <v>11.25</v>
      </c>
      <c r="AB23" s="120"/>
      <c r="AC23" s="120"/>
      <c r="AD23" s="120"/>
      <c r="AE23" s="121"/>
      <c r="AF23" s="121"/>
      <c r="AG23" s="121"/>
      <c r="AH23" s="121"/>
      <c r="AI23" s="120"/>
      <c r="AJ23" s="120"/>
      <c r="AK23" s="120"/>
      <c r="AL23" s="120"/>
      <c r="AM23" s="120"/>
      <c r="AN23" s="120"/>
      <c r="AO23" s="120"/>
      <c r="AP23" s="120"/>
      <c r="AQ23" s="120"/>
      <c r="AR23" s="120"/>
      <c r="AS23" s="120"/>
      <c r="AT23" s="120"/>
      <c r="AU23" s="120"/>
      <c r="AV23" s="120"/>
      <c r="AW23" s="120"/>
      <c r="AX23" s="120"/>
      <c r="AY23" s="120"/>
      <c r="AZ23" s="120"/>
      <c r="BA23" s="120"/>
      <c r="BB23" s="120"/>
      <c r="BC23" s="120"/>
      <c r="BF23" s="927"/>
      <c r="BG23" s="927"/>
      <c r="BH23" s="927"/>
      <c r="BI23" s="557"/>
      <c r="BJ23" s="557"/>
    </row>
    <row r="24" spans="1:62" s="1086" customFormat="1" ht="14.65" customHeight="1" x14ac:dyDescent="0.15">
      <c r="B24" s="351"/>
      <c r="C24" s="409"/>
      <c r="E24" s="554">
        <v>15</v>
      </c>
      <c r="AB24" s="2071" t="s">
        <v>21</v>
      </c>
      <c r="AC24" s="2071" t="s">
        <v>366</v>
      </c>
      <c r="AD24" s="2071" t="s">
        <v>367</v>
      </c>
      <c r="AE24" s="275" t="str">
        <f>god-2&amp;" год"</f>
        <v>2024 год</v>
      </c>
      <c r="AF24" s="1029" t="str">
        <f>god-2&amp;" год"</f>
        <v>2024 год</v>
      </c>
      <c r="AG24" s="275" t="str">
        <f>god-2&amp;" год"</f>
        <v>2024 год</v>
      </c>
      <c r="AH24" s="13" t="str">
        <f>god-1&amp;" год"</f>
        <v>2025 год</v>
      </c>
      <c r="AI24" s="1026" t="str">
        <f>god&amp;" год"</f>
        <v>2026 год</v>
      </c>
      <c r="AJ24" s="1026" t="str">
        <f>god+1&amp;" год"</f>
        <v>2027 год</v>
      </c>
      <c r="AK24" s="1026" t="str">
        <f>god+2&amp;" год"</f>
        <v>2028 год</v>
      </c>
      <c r="AL24" s="1026" t="str">
        <f>god+3&amp;" год"</f>
        <v>2029 год</v>
      </c>
      <c r="AM24" s="1026" t="str">
        <f>god+4&amp;" год"</f>
        <v>2030 год</v>
      </c>
      <c r="AN24" s="1026" t="str">
        <f>god+5&amp;" год"</f>
        <v>2031 год</v>
      </c>
      <c r="AO24" s="1026" t="str">
        <f>god+6&amp;" год"</f>
        <v>2032 год</v>
      </c>
      <c r="AP24" s="1026" t="str">
        <f>god+7&amp;" год"</f>
        <v>2033 год</v>
      </c>
      <c r="AQ24" s="1026" t="str">
        <f>god+8&amp;" год"</f>
        <v>2034 год</v>
      </c>
      <c r="AR24" s="1026"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036" t="s">
        <v>558</v>
      </c>
      <c r="BF24" s="922"/>
      <c r="BG24" s="922"/>
      <c r="BH24" s="922"/>
      <c r="BI24" s="554"/>
      <c r="BJ24" s="554"/>
    </row>
    <row r="25" spans="1:62" s="1086" customFormat="1" ht="48.75" customHeight="1" x14ac:dyDescent="0.15">
      <c r="B25" s="351"/>
      <c r="C25" s="409"/>
      <c r="E25" s="554">
        <v>50</v>
      </c>
      <c r="AB25" s="2071"/>
      <c r="AC25" s="2071"/>
      <c r="AD25" s="2071"/>
      <c r="AE25" s="11" t="s">
        <v>359</v>
      </c>
      <c r="AF25" s="1026" t="s">
        <v>484</v>
      </c>
      <c r="AG25" s="11" t="s">
        <v>485</v>
      </c>
      <c r="AH25" s="11" t="s">
        <v>359</v>
      </c>
      <c r="AI25" s="1030" t="s">
        <v>360</v>
      </c>
      <c r="AJ25" s="1030" t="s">
        <v>360</v>
      </c>
      <c r="AK25" s="1030" t="s">
        <v>360</v>
      </c>
      <c r="AL25" s="1030" t="s">
        <v>360</v>
      </c>
      <c r="AM25" s="1030" t="s">
        <v>360</v>
      </c>
      <c r="AN25" s="1030" t="s">
        <v>360</v>
      </c>
      <c r="AO25" s="1030" t="s">
        <v>360</v>
      </c>
      <c r="AP25" s="1030" t="s">
        <v>360</v>
      </c>
      <c r="AQ25" s="1030" t="s">
        <v>360</v>
      </c>
      <c r="AR25" s="1030" t="s">
        <v>360</v>
      </c>
      <c r="AS25" s="276" t="s">
        <v>359</v>
      </c>
      <c r="AT25" s="276" t="s">
        <v>359</v>
      </c>
      <c r="AU25" s="276" t="s">
        <v>359</v>
      </c>
      <c r="AV25" s="276" t="s">
        <v>359</v>
      </c>
      <c r="AW25" s="276" t="s">
        <v>359</v>
      </c>
      <c r="AX25" s="276" t="s">
        <v>359</v>
      </c>
      <c r="AY25" s="276" t="s">
        <v>359</v>
      </c>
      <c r="AZ25" s="276" t="s">
        <v>359</v>
      </c>
      <c r="BA25" s="276" t="s">
        <v>359</v>
      </c>
      <c r="BB25" s="276" t="s">
        <v>359</v>
      </c>
      <c r="BC25" s="2036"/>
      <c r="BF25" s="922"/>
      <c r="BG25" s="922"/>
      <c r="BH25" s="922"/>
      <c r="BI25" s="554"/>
      <c r="BJ25" s="554"/>
    </row>
    <row r="26" spans="1:62" s="1086" customFormat="1" ht="14.25" hidden="1" customHeight="1" x14ac:dyDescent="0.15">
      <c r="B26" s="351"/>
      <c r="C26" s="409"/>
      <c r="E26" s="554">
        <v>0</v>
      </c>
      <c r="AB26" s="645"/>
      <c r="AC26" s="645"/>
      <c r="AD26" s="645"/>
      <c r="AE26" s="642"/>
      <c r="AF26" s="642"/>
      <c r="AG26" s="642"/>
      <c r="AH26" s="642"/>
      <c r="AI26" s="642"/>
      <c r="AJ26" s="642"/>
      <c r="AK26" s="642"/>
      <c r="AL26" s="642"/>
      <c r="AM26" s="642"/>
      <c r="AN26" s="642"/>
      <c r="AO26" s="642"/>
      <c r="AP26" s="642"/>
      <c r="AQ26" s="642"/>
      <c r="AR26" s="642"/>
      <c r="AS26" s="642"/>
      <c r="AT26" s="642"/>
      <c r="AU26" s="642"/>
      <c r="AV26" s="642"/>
      <c r="AW26" s="642"/>
      <c r="AX26" s="642"/>
      <c r="AY26" s="642"/>
      <c r="AZ26" s="642"/>
      <c r="BA26" s="642"/>
      <c r="BB26" s="642"/>
      <c r="BC26" s="642"/>
      <c r="BF26" s="922"/>
      <c r="BG26" s="922"/>
      <c r="BH26" s="922"/>
      <c r="BI26" s="554"/>
      <c r="BJ26" s="554"/>
    </row>
    <row r="27" spans="1:62" s="1086" customFormat="1" ht="14.65" hidden="1" customHeight="1" x14ac:dyDescent="0.15">
      <c r="B27" s="351"/>
      <c r="C27" s="408"/>
      <c r="E27" s="556">
        <v>15</v>
      </c>
      <c r="F27" s="17" cm="1">
        <f t="array" ref="F27">X27</f>
        <v>0</v>
      </c>
      <c r="G27" s="17"/>
      <c r="H27" s="17"/>
      <c r="T27" s="388" t="b">
        <f>X27&gt;0</f>
        <v>0</v>
      </c>
      <c r="V27" s="63" t="s">
        <v>271</v>
      </c>
      <c r="X27" s="2009">
        <v>0</v>
      </c>
      <c r="Z27" s="2034"/>
      <c r="AB27" s="102" t="str" cm="1">
        <f t="array" ref="AB27">INDEX('Общие сведения'!$AG$185:$AG$228,MATCH($X27,'Общие сведения'!$Z$185:$Z$228,0))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F27" s="922"/>
      <c r="BG27" s="922"/>
      <c r="BH27" s="922"/>
      <c r="BI27" s="554"/>
      <c r="BJ27" s="554"/>
    </row>
    <row r="28" spans="1:62" s="1332" customFormat="1" ht="10.9" hidden="1" customHeight="1" x14ac:dyDescent="0.15">
      <c r="B28" s="351"/>
      <c r="C28" s="406"/>
      <c r="D28" s="867"/>
      <c r="E28" s="185">
        <v>11.25</v>
      </c>
      <c r="F28" s="3" cm="1">
        <f t="array" aca="1" ref="F28" ca="1">OFFSET(E28,-1,1)</f>
        <v>0</v>
      </c>
      <c r="G28" s="45" t="s">
        <v>331</v>
      </c>
      <c r="H28" s="45"/>
      <c r="K28" s="406" t="str">
        <f ca="1">F28&amp;"komm"</f>
        <v>0komm</v>
      </c>
      <c r="L28" s="830" cm="1">
        <f t="array" ref="L28">BC28</f>
        <v>0</v>
      </c>
      <c r="T28" s="388" t="b" cm="1">
        <f t="array" ref="T28">T27</f>
        <v>0</v>
      </c>
      <c r="X28" s="2009"/>
      <c r="Z28" s="2034"/>
      <c r="AB28" s="8" t="s">
        <v>282</v>
      </c>
      <c r="AC28" s="57" t="s">
        <v>830</v>
      </c>
      <c r="AD28" s="8" t="s">
        <v>831</v>
      </c>
      <c r="AE28" s="110">
        <f t="shared" ref="AE28:BB28" si="2">IF(COUNTIF(AE33:AE46,"Ошибка")&gt;0,"Ошибка",SUMIF($AD33:$AD46,$AD28,AE33:AE46))</f>
        <v>0</v>
      </c>
      <c r="AF28" s="110">
        <f t="shared" si="2"/>
        <v>0</v>
      </c>
      <c r="AG28" s="110">
        <f t="shared" si="2"/>
        <v>0</v>
      </c>
      <c r="AH28" s="110">
        <f t="shared" si="2"/>
        <v>0</v>
      </c>
      <c r="AI28" s="110">
        <f t="shared" si="2"/>
        <v>0</v>
      </c>
      <c r="AJ28" s="110">
        <f t="shared" si="2"/>
        <v>0</v>
      </c>
      <c r="AK28" s="110">
        <f t="shared" si="2"/>
        <v>0</v>
      </c>
      <c r="AL28" s="110">
        <f t="shared" si="2"/>
        <v>0</v>
      </c>
      <c r="AM28" s="110">
        <f t="shared" si="2"/>
        <v>0</v>
      </c>
      <c r="AN28" s="110">
        <f t="shared" si="2"/>
        <v>0</v>
      </c>
      <c r="AO28" s="110">
        <f t="shared" si="2"/>
        <v>0</v>
      </c>
      <c r="AP28" s="110">
        <f t="shared" si="2"/>
        <v>0</v>
      </c>
      <c r="AQ28" s="110">
        <f t="shared" si="2"/>
        <v>0</v>
      </c>
      <c r="AR28" s="110">
        <f t="shared" si="2"/>
        <v>0</v>
      </c>
      <c r="AS28" s="110">
        <f t="shared" si="2"/>
        <v>0</v>
      </c>
      <c r="AT28" s="110">
        <f t="shared" si="2"/>
        <v>0</v>
      </c>
      <c r="AU28" s="110">
        <f t="shared" si="2"/>
        <v>0</v>
      </c>
      <c r="AV28" s="110">
        <f t="shared" si="2"/>
        <v>0</v>
      </c>
      <c r="AW28" s="110">
        <f t="shared" si="2"/>
        <v>0</v>
      </c>
      <c r="AX28" s="110">
        <f t="shared" si="2"/>
        <v>0</v>
      </c>
      <c r="AY28" s="110">
        <f t="shared" si="2"/>
        <v>0</v>
      </c>
      <c r="AZ28" s="110">
        <f t="shared" si="2"/>
        <v>0</v>
      </c>
      <c r="BA28" s="110">
        <f t="shared" si="2"/>
        <v>0</v>
      </c>
      <c r="BB28" s="110">
        <f t="shared" si="2"/>
        <v>0</v>
      </c>
      <c r="BC28" s="1365"/>
      <c r="BF28" s="939" t="s">
        <v>852</v>
      </c>
      <c r="BG28" s="939"/>
      <c r="BH28" s="939"/>
      <c r="BI28" s="185"/>
      <c r="BJ28" s="185"/>
    </row>
    <row r="29" spans="1:62" s="1332" customFormat="1" ht="10.9" hidden="1" customHeight="1" x14ac:dyDescent="0.15">
      <c r="B29" s="351"/>
      <c r="C29" s="406"/>
      <c r="E29" s="185">
        <v>11.25</v>
      </c>
      <c r="F29" s="3" cm="1">
        <f t="array" aca="1" ref="F29" ca="1">OFFSET(E29,-1,1)</f>
        <v>0</v>
      </c>
      <c r="G29" s="45" t="s">
        <v>332</v>
      </c>
      <c r="H29" s="45"/>
      <c r="T29" s="388" t="b" cm="1">
        <f t="array" ref="T29">T28</f>
        <v>0</v>
      </c>
      <c r="X29" s="2009"/>
      <c r="Z29" s="2034"/>
      <c r="AB29" s="8" t="s">
        <v>289</v>
      </c>
      <c r="AC29" s="57" t="s">
        <v>853</v>
      </c>
      <c r="AD29" s="11" t="s">
        <v>854</v>
      </c>
      <c r="AE29" s="110">
        <f>SUMIF(AD33:AD46,AD29,AE33:AE46)</f>
        <v>0</v>
      </c>
      <c r="AF29" s="110">
        <f>SUMIF(AD33:AD46,AD29,AF33:AF46)</f>
        <v>0</v>
      </c>
      <c r="AG29" s="110">
        <f>SUMIF(AD33:AD46,AD29,AG33:AG46)</f>
        <v>0</v>
      </c>
      <c r="AH29" s="110">
        <f>SUMIF(AD33:AD46,AD29,AH33:AH46)</f>
        <v>0</v>
      </c>
      <c r="AI29" s="110">
        <f>SUMIF(AD33:AD46,AD29,AI33:AI46)</f>
        <v>0</v>
      </c>
      <c r="AJ29" s="110">
        <f>SUMIF(AD33:AD46,AD29,AJ33:AJ46)</f>
        <v>0</v>
      </c>
      <c r="AK29" s="110">
        <f>SUMIF(AD33:AD46,AD29,AK33:AK46)</f>
        <v>0</v>
      </c>
      <c r="AL29" s="110">
        <f>SUMIF(AD33:AD46,AD29,AL33:AL46)</f>
        <v>0</v>
      </c>
      <c r="AM29" s="110">
        <f>SUMIF(AD33:AD46,AD29,AM33:AM46)</f>
        <v>0</v>
      </c>
      <c r="AN29" s="110">
        <f>SUMIF(AD33:AD46,AD29,AN33:AN46)</f>
        <v>0</v>
      </c>
      <c r="AO29" s="110">
        <f>SUMIF(AD33:AD46,AD29,AO33:AO46)</f>
        <v>0</v>
      </c>
      <c r="AP29" s="110">
        <f>SUMIF(AD33:AD46,AD29,AP33:AP46)</f>
        <v>0</v>
      </c>
      <c r="AQ29" s="110">
        <f>SUMIF(AD33:AD46,AD29,AQ33:AQ46)</f>
        <v>0</v>
      </c>
      <c r="AR29" s="110">
        <f>SUMIF(AD33:AD46,AD29,AR33:AR46)</f>
        <v>0</v>
      </c>
      <c r="AS29" s="110">
        <f>SUMIF(AD33:AD46,AD29,AS33:AS46)</f>
        <v>0</v>
      </c>
      <c r="AT29" s="110">
        <f>SUMIF(AD33:AD46,AD29,AT33:AT46)</f>
        <v>0</v>
      </c>
      <c r="AU29" s="110">
        <f>SUMIF(AD33:AD46,AD29,AU33:AU46)</f>
        <v>0</v>
      </c>
      <c r="AV29" s="110">
        <f>SUMIF(AD33:AD46,AD29,AV33:AV46)</f>
        <v>0</v>
      </c>
      <c r="AW29" s="110">
        <f>SUMIF(AD33:AD46,AD29,AW33:AW46)</f>
        <v>0</v>
      </c>
      <c r="AX29" s="110">
        <f>SUMIF(AD33:AD46,AD29,AX33:AX46)</f>
        <v>0</v>
      </c>
      <c r="AY29" s="110">
        <f>SUMIF(AD33:AD46,AD29,AY33:AY46)</f>
        <v>0</v>
      </c>
      <c r="AZ29" s="110">
        <f>SUMIF(AD33:AD46,AD29,AZ33:AZ46)</f>
        <v>0</v>
      </c>
      <c r="BA29" s="110">
        <f>SUMIF(AD33:AD46,AD29,BA33:BA46)</f>
        <v>0</v>
      </c>
      <c r="BB29" s="110">
        <f>SUMIF(AD33:AD46,AD29,BB33:BB46)</f>
        <v>0</v>
      </c>
      <c r="BC29" s="1365"/>
      <c r="BF29" s="939" t="s">
        <v>855</v>
      </c>
      <c r="BG29" s="939"/>
      <c r="BH29" s="939"/>
      <c r="BI29" s="185"/>
      <c r="BJ29" s="185"/>
    </row>
    <row r="30" spans="1:62" s="1332" customFormat="1" ht="10.9" hidden="1" customHeight="1" x14ac:dyDescent="0.15">
      <c r="B30" s="351"/>
      <c r="C30" s="406"/>
      <c r="E30" s="185">
        <v>11.25</v>
      </c>
      <c r="F30" s="3" cm="1">
        <f t="array" aca="1" ref="F30" ca="1">OFFSET(E30,-1,1)</f>
        <v>0</v>
      </c>
      <c r="G30" s="45" t="s">
        <v>333</v>
      </c>
      <c r="H30" s="45"/>
      <c r="T30" s="388" t="b" cm="1">
        <f t="array" ref="T30">T29</f>
        <v>0</v>
      </c>
      <c r="X30" s="2009"/>
      <c r="Z30" s="2034"/>
      <c r="AB30" s="8" t="s">
        <v>329</v>
      </c>
      <c r="AC30" s="57" t="s">
        <v>856</v>
      </c>
      <c r="AD30" s="11" t="s">
        <v>857</v>
      </c>
      <c r="AE30" s="1399"/>
      <c r="AF30" s="1399"/>
      <c r="AG30" s="1399"/>
      <c r="AH30" s="1399"/>
      <c r="AI30" s="158"/>
      <c r="AJ30" s="1399"/>
      <c r="AK30" s="1399"/>
      <c r="AL30" s="1399"/>
      <c r="AM30" s="1399"/>
      <c r="AN30" s="1399"/>
      <c r="AO30" s="1399"/>
      <c r="AP30" s="1399"/>
      <c r="AQ30" s="1399"/>
      <c r="AR30" s="1399"/>
      <c r="AS30" s="158"/>
      <c r="AT30" s="1399"/>
      <c r="AU30" s="1399"/>
      <c r="AV30" s="1399"/>
      <c r="AW30" s="1399"/>
      <c r="AX30" s="1399"/>
      <c r="AY30" s="1399"/>
      <c r="AZ30" s="1399"/>
      <c r="BA30" s="1399"/>
      <c r="BB30" s="1399"/>
      <c r="BC30" s="1365"/>
      <c r="BF30" s="939" t="s">
        <v>858</v>
      </c>
      <c r="BG30" s="939"/>
      <c r="BH30" s="939"/>
      <c r="BI30" s="185"/>
      <c r="BJ30" s="185"/>
    </row>
    <row r="31" spans="1:62" s="1332" customFormat="1" ht="10.9" hidden="1" customHeight="1" x14ac:dyDescent="0.15">
      <c r="B31" s="351"/>
      <c r="C31" s="406"/>
      <c r="E31" s="185">
        <v>11.25</v>
      </c>
      <c r="F31" s="3" cm="1">
        <f t="array" aca="1" ref="F31" ca="1">OFFSET(E31,-1,1)</f>
        <v>0</v>
      </c>
      <c r="G31" s="45" t="s">
        <v>335</v>
      </c>
      <c r="H31" s="45"/>
      <c r="T31" s="388" t="b" cm="1">
        <f t="array" ref="T31">T30</f>
        <v>0</v>
      </c>
      <c r="X31" s="2009"/>
      <c r="Z31" s="2034"/>
      <c r="AB31" s="8" t="s">
        <v>441</v>
      </c>
      <c r="AC31" s="57" t="s">
        <v>859</v>
      </c>
      <c r="AD31" s="11" t="s">
        <v>860</v>
      </c>
      <c r="AE31" s="110">
        <f t="shared" ref="AE31:BB31" si="3">IF(AE29=0,0,AE28/AE29)</f>
        <v>0</v>
      </c>
      <c r="AF31" s="110">
        <f t="shared" si="3"/>
        <v>0</v>
      </c>
      <c r="AG31" s="110">
        <f t="shared" si="3"/>
        <v>0</v>
      </c>
      <c r="AH31" s="110">
        <f t="shared" si="3"/>
        <v>0</v>
      </c>
      <c r="AI31" s="110">
        <f t="shared" si="3"/>
        <v>0</v>
      </c>
      <c r="AJ31" s="110">
        <f t="shared" si="3"/>
        <v>0</v>
      </c>
      <c r="AK31" s="110">
        <f t="shared" si="3"/>
        <v>0</v>
      </c>
      <c r="AL31" s="110">
        <f t="shared" si="3"/>
        <v>0</v>
      </c>
      <c r="AM31" s="110">
        <f t="shared" si="3"/>
        <v>0</v>
      </c>
      <c r="AN31" s="110">
        <f t="shared" si="3"/>
        <v>0</v>
      </c>
      <c r="AO31" s="110">
        <f t="shared" si="3"/>
        <v>0</v>
      </c>
      <c r="AP31" s="110">
        <f t="shared" si="3"/>
        <v>0</v>
      </c>
      <c r="AQ31" s="110">
        <f t="shared" si="3"/>
        <v>0</v>
      </c>
      <c r="AR31" s="110">
        <f t="shared" si="3"/>
        <v>0</v>
      </c>
      <c r="AS31" s="110">
        <f t="shared" si="3"/>
        <v>0</v>
      </c>
      <c r="AT31" s="110">
        <f t="shared" si="3"/>
        <v>0</v>
      </c>
      <c r="AU31" s="110">
        <f t="shared" si="3"/>
        <v>0</v>
      </c>
      <c r="AV31" s="110">
        <f t="shared" si="3"/>
        <v>0</v>
      </c>
      <c r="AW31" s="110">
        <f t="shared" si="3"/>
        <v>0</v>
      </c>
      <c r="AX31" s="110">
        <f t="shared" si="3"/>
        <v>0</v>
      </c>
      <c r="AY31" s="110">
        <f t="shared" si="3"/>
        <v>0</v>
      </c>
      <c r="AZ31" s="110">
        <f t="shared" si="3"/>
        <v>0</v>
      </c>
      <c r="BA31" s="110">
        <f t="shared" si="3"/>
        <v>0</v>
      </c>
      <c r="BB31" s="110">
        <f t="shared" si="3"/>
        <v>0</v>
      </c>
      <c r="BC31" s="1365"/>
      <c r="BF31" s="939" t="s">
        <v>861</v>
      </c>
      <c r="BG31" s="939"/>
      <c r="BH31" s="939"/>
      <c r="BI31" s="185"/>
      <c r="BJ31" s="185"/>
    </row>
    <row r="32" spans="1:62" s="1332" customFormat="1" ht="10.9" hidden="1" customHeight="1" x14ac:dyDescent="0.15">
      <c r="B32" s="351"/>
      <c r="C32" s="406"/>
      <c r="E32" s="185">
        <v>11.25</v>
      </c>
      <c r="F32" s="3" cm="1">
        <f t="array" aca="1" ref="F32" ca="1">OFFSET(E32,-1,1)</f>
        <v>0</v>
      </c>
      <c r="G32" s="45" t="s">
        <v>334</v>
      </c>
      <c r="H32" s="45"/>
      <c r="T32" s="388" t="b" cm="1">
        <f t="array" ref="T32">T31</f>
        <v>0</v>
      </c>
      <c r="X32" s="2009"/>
      <c r="Z32" s="2034"/>
      <c r="AB32" s="8" t="s">
        <v>444</v>
      </c>
      <c r="AC32" s="57" t="s">
        <v>862</v>
      </c>
      <c r="AD32" s="11" t="s">
        <v>863</v>
      </c>
      <c r="AE32" s="232">
        <f t="shared" ref="AE32:BB32" si="4">IF(AE30=0,0,AE29/AE30)</f>
        <v>0</v>
      </c>
      <c r="AF32" s="232">
        <f t="shared" si="4"/>
        <v>0</v>
      </c>
      <c r="AG32" s="232">
        <f t="shared" si="4"/>
        <v>0</v>
      </c>
      <c r="AH32" s="232">
        <f t="shared" si="4"/>
        <v>0</v>
      </c>
      <c r="AI32" s="232">
        <f t="shared" si="4"/>
        <v>0</v>
      </c>
      <c r="AJ32" s="232">
        <f t="shared" si="4"/>
        <v>0</v>
      </c>
      <c r="AK32" s="232">
        <f t="shared" si="4"/>
        <v>0</v>
      </c>
      <c r="AL32" s="232">
        <f t="shared" si="4"/>
        <v>0</v>
      </c>
      <c r="AM32" s="232">
        <f t="shared" si="4"/>
        <v>0</v>
      </c>
      <c r="AN32" s="232">
        <f t="shared" si="4"/>
        <v>0</v>
      </c>
      <c r="AO32" s="232">
        <f t="shared" si="4"/>
        <v>0</v>
      </c>
      <c r="AP32" s="232">
        <f t="shared" si="4"/>
        <v>0</v>
      </c>
      <c r="AQ32" s="232">
        <f t="shared" si="4"/>
        <v>0</v>
      </c>
      <c r="AR32" s="232">
        <f t="shared" si="4"/>
        <v>0</v>
      </c>
      <c r="AS32" s="232">
        <f t="shared" si="4"/>
        <v>0</v>
      </c>
      <c r="AT32" s="232">
        <f t="shared" si="4"/>
        <v>0</v>
      </c>
      <c r="AU32" s="232">
        <f t="shared" si="4"/>
        <v>0</v>
      </c>
      <c r="AV32" s="232">
        <f t="shared" si="4"/>
        <v>0</v>
      </c>
      <c r="AW32" s="232">
        <f t="shared" si="4"/>
        <v>0</v>
      </c>
      <c r="AX32" s="232">
        <f t="shared" si="4"/>
        <v>0</v>
      </c>
      <c r="AY32" s="232">
        <f t="shared" si="4"/>
        <v>0</v>
      </c>
      <c r="AZ32" s="232">
        <f t="shared" si="4"/>
        <v>0</v>
      </c>
      <c r="BA32" s="232">
        <f t="shared" si="4"/>
        <v>0</v>
      </c>
      <c r="BB32" s="232">
        <f t="shared" si="4"/>
        <v>0</v>
      </c>
      <c r="BC32" s="1365"/>
      <c r="BF32" s="939" t="s">
        <v>864</v>
      </c>
      <c r="BG32" s="939"/>
      <c r="BH32" s="939"/>
      <c r="BI32" s="185"/>
      <c r="BJ32" s="185"/>
    </row>
    <row r="33" spans="1:62" s="1332" customFormat="1" ht="12.6" hidden="1" customHeight="1" x14ac:dyDescent="0.15">
      <c r="B33" s="351"/>
      <c r="C33" s="406"/>
      <c r="E33" s="185">
        <v>13</v>
      </c>
      <c r="F33" s="3" cm="1">
        <f t="array" aca="1" ref="F33" ca="1">OFFSET(E33,-1,1)</f>
        <v>0</v>
      </c>
      <c r="G33" s="45"/>
      <c r="H33" s="45"/>
      <c r="T33" s="388" t="b" cm="1">
        <f t="array" ref="T33">T32</f>
        <v>0</v>
      </c>
      <c r="X33" s="2009"/>
      <c r="Z33" s="2034"/>
      <c r="AB33" s="576"/>
      <c r="AC33" s="184" t="s">
        <v>865</v>
      </c>
      <c r="AD33" s="185"/>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6"/>
      <c r="BC33" s="187"/>
      <c r="BF33" s="939"/>
      <c r="BG33" s="939"/>
      <c r="BH33" s="939"/>
      <c r="BI33" s="185"/>
      <c r="BJ33" s="185"/>
    </row>
    <row r="34" spans="1:62" s="1332" customFormat="1" ht="10.9" hidden="1" customHeight="1" x14ac:dyDescent="0.15">
      <c r="B34" s="351"/>
      <c r="C34" s="406"/>
      <c r="E34" s="185">
        <v>11.25</v>
      </c>
      <c r="F34" s="3" cm="1">
        <f t="array" aca="1" ref="F34" ca="1">OFFSET(E34,-1,1)</f>
        <v>0</v>
      </c>
      <c r="G34" s="45" t="s">
        <v>544</v>
      </c>
      <c r="H34" s="45" cm="1">
        <f t="array" ref="H34">AC34</f>
        <v>0</v>
      </c>
      <c r="T34" s="388" t="b">
        <f ca="1">AND(F34&gt;0,Y34&gt;0)</f>
        <v>0</v>
      </c>
      <c r="W34" s="677" t="s">
        <v>172</v>
      </c>
      <c r="X34" s="2009"/>
      <c r="Y34" s="2009">
        <v>0</v>
      </c>
      <c r="Z34" s="2034"/>
      <c r="AA34" s="1958" t="s">
        <v>173</v>
      </c>
      <c r="AB34" s="8" t="str">
        <f>"6."&amp;Y34</f>
        <v>6.0</v>
      </c>
      <c r="AC34" s="1396"/>
      <c r="AD34" s="8" t="s">
        <v>831</v>
      </c>
      <c r="AE34" s="1358"/>
      <c r="AF34" s="1358"/>
      <c r="AG34" s="1358"/>
      <c r="AH34" s="1358"/>
      <c r="AI34" s="60"/>
      <c r="AJ34" s="1358"/>
      <c r="AK34" s="1358"/>
      <c r="AL34" s="1358"/>
      <c r="AM34" s="1358"/>
      <c r="AN34" s="1358"/>
      <c r="AO34" s="1358"/>
      <c r="AP34" s="1358"/>
      <c r="AQ34" s="1358"/>
      <c r="AR34" s="1358"/>
      <c r="AS34" s="60"/>
      <c r="AT34" s="1358"/>
      <c r="AU34" s="1358"/>
      <c r="AV34" s="1358"/>
      <c r="AW34" s="1358"/>
      <c r="AX34" s="1358"/>
      <c r="AY34" s="1358"/>
      <c r="AZ34" s="1358"/>
      <c r="BA34" s="1358"/>
      <c r="BB34" s="1358"/>
      <c r="BC34" s="1365"/>
      <c r="BF34" s="939" t="s">
        <v>866</v>
      </c>
      <c r="BG34" s="939" t="s">
        <v>867</v>
      </c>
      <c r="BH34" s="939" cm="1">
        <f t="array" ref="BH34">AC34</f>
        <v>0</v>
      </c>
      <c r="BI34" s="185"/>
      <c r="BJ34" s="185" t="b">
        <v>1</v>
      </c>
    </row>
    <row r="35" spans="1:62" s="1332" customFormat="1" ht="10.9" hidden="1" customHeight="1" x14ac:dyDescent="0.15">
      <c r="B35" s="351"/>
      <c r="C35" s="406"/>
      <c r="E35" s="185">
        <v>11.25</v>
      </c>
      <c r="F35" s="3" cm="1">
        <f t="array" aca="1" ref="F35" ca="1">OFFSET(E35,-1,1)</f>
        <v>0</v>
      </c>
      <c r="G35" s="45" t="s">
        <v>699</v>
      </c>
      <c r="H35" s="45" cm="1">
        <f t="array" ref="H35">H34</f>
        <v>0</v>
      </c>
      <c r="T35" s="388" t="b" cm="1">
        <f t="array" aca="1" ref="T35" ca="1">T34</f>
        <v>0</v>
      </c>
      <c r="X35" s="2009"/>
      <c r="Y35" s="2009"/>
      <c r="Z35" s="2034"/>
      <c r="AA35" s="1958"/>
      <c r="AB35" s="8" t="str">
        <f>AB34&amp;".1"</f>
        <v>6.0.1</v>
      </c>
      <c r="AC35" s="111" t="s">
        <v>868</v>
      </c>
      <c r="AD35" s="11" t="s">
        <v>860</v>
      </c>
      <c r="AE35" s="110">
        <f t="shared" ref="AE35:BB35" si="5">IF(OR(AND(AE34&lt;&gt;0,AE36=0),AND(AE34=0,AE36&lt;&gt;0)),"Ошибка",IF(AE36=0,0,AE34/AE36))</f>
        <v>0</v>
      </c>
      <c r="AF35" s="110">
        <f t="shared" si="5"/>
        <v>0</v>
      </c>
      <c r="AG35" s="110">
        <f t="shared" si="5"/>
        <v>0</v>
      </c>
      <c r="AH35" s="110">
        <f t="shared" si="5"/>
        <v>0</v>
      </c>
      <c r="AI35" s="110">
        <f t="shared" si="5"/>
        <v>0</v>
      </c>
      <c r="AJ35" s="110">
        <f t="shared" si="5"/>
        <v>0</v>
      </c>
      <c r="AK35" s="110">
        <f t="shared" si="5"/>
        <v>0</v>
      </c>
      <c r="AL35" s="110">
        <f t="shared" si="5"/>
        <v>0</v>
      </c>
      <c r="AM35" s="110">
        <f t="shared" si="5"/>
        <v>0</v>
      </c>
      <c r="AN35" s="110">
        <f t="shared" si="5"/>
        <v>0</v>
      </c>
      <c r="AO35" s="110">
        <f t="shared" si="5"/>
        <v>0</v>
      </c>
      <c r="AP35" s="110">
        <f t="shared" si="5"/>
        <v>0</v>
      </c>
      <c r="AQ35" s="110">
        <f t="shared" si="5"/>
        <v>0</v>
      </c>
      <c r="AR35" s="110">
        <f t="shared" si="5"/>
        <v>0</v>
      </c>
      <c r="AS35" s="110">
        <f t="shared" si="5"/>
        <v>0</v>
      </c>
      <c r="AT35" s="110">
        <f t="shared" si="5"/>
        <v>0</v>
      </c>
      <c r="AU35" s="110">
        <f t="shared" si="5"/>
        <v>0</v>
      </c>
      <c r="AV35" s="110">
        <f t="shared" si="5"/>
        <v>0</v>
      </c>
      <c r="AW35" s="110">
        <f t="shared" si="5"/>
        <v>0</v>
      </c>
      <c r="AX35" s="110">
        <f t="shared" si="5"/>
        <v>0</v>
      </c>
      <c r="AY35" s="110">
        <f t="shared" si="5"/>
        <v>0</v>
      </c>
      <c r="AZ35" s="110">
        <f t="shared" si="5"/>
        <v>0</v>
      </c>
      <c r="BA35" s="110">
        <f t="shared" si="5"/>
        <v>0</v>
      </c>
      <c r="BB35" s="110">
        <f t="shared" si="5"/>
        <v>0</v>
      </c>
      <c r="BC35" s="1365"/>
      <c r="BF35" s="939" t="s">
        <v>869</v>
      </c>
      <c r="BG35" s="939" t="s">
        <v>867</v>
      </c>
      <c r="BH35" s="939" cm="1">
        <f t="array" ref="BH35">BH34</f>
        <v>0</v>
      </c>
      <c r="BI35" s="185"/>
      <c r="BJ35" s="185"/>
    </row>
    <row r="36" spans="1:62" s="1332" customFormat="1" ht="10.9" hidden="1" customHeight="1" x14ac:dyDescent="0.15">
      <c r="B36" s="351"/>
      <c r="C36" s="406"/>
      <c r="E36" s="185">
        <v>11.25</v>
      </c>
      <c r="F36" s="3" cm="1">
        <f t="array" aca="1" ref="F36" ca="1">OFFSET(E36,-1,1)</f>
        <v>0</v>
      </c>
      <c r="G36" s="45" t="s">
        <v>702</v>
      </c>
      <c r="H36" s="45" cm="1">
        <f t="array" ref="H36">H35</f>
        <v>0</v>
      </c>
      <c r="T36" s="388" t="b" cm="1">
        <f t="array" aca="1" ref="T36" ca="1">T35</f>
        <v>0</v>
      </c>
      <c r="X36" s="2009"/>
      <c r="Y36" s="2009"/>
      <c r="Z36" s="2034"/>
      <c r="AA36" s="1958"/>
      <c r="AB36" s="8" t="str">
        <f>AB34&amp;".2"</f>
        <v>6.0.2</v>
      </c>
      <c r="AC36" s="111" t="s">
        <v>870</v>
      </c>
      <c r="AD36" s="11" t="s">
        <v>854</v>
      </c>
      <c r="AE36" s="1358"/>
      <c r="AF36" s="1358"/>
      <c r="AG36" s="1358"/>
      <c r="AH36" s="1358"/>
      <c r="AI36" s="60"/>
      <c r="AJ36" s="1358"/>
      <c r="AK36" s="1358"/>
      <c r="AL36" s="1358"/>
      <c r="AM36" s="1358"/>
      <c r="AN36" s="1358"/>
      <c r="AO36" s="1358"/>
      <c r="AP36" s="1358"/>
      <c r="AQ36" s="1358"/>
      <c r="AR36" s="1358"/>
      <c r="AS36" s="60"/>
      <c r="AT36" s="1358"/>
      <c r="AU36" s="1358"/>
      <c r="AV36" s="1358"/>
      <c r="AW36" s="1358"/>
      <c r="AX36" s="1358"/>
      <c r="AY36" s="1358"/>
      <c r="AZ36" s="1358"/>
      <c r="BA36" s="1358"/>
      <c r="BB36" s="1358"/>
      <c r="BC36" s="1365"/>
      <c r="BF36" s="939" t="s">
        <v>871</v>
      </c>
      <c r="BG36" s="939" t="s">
        <v>867</v>
      </c>
      <c r="BH36" s="939" cm="1">
        <f t="array" ref="BH36">BH35</f>
        <v>0</v>
      </c>
      <c r="BI36" s="185"/>
      <c r="BJ36" s="185"/>
    </row>
    <row r="37" spans="1:62" s="1249" customFormat="1" ht="14.65" hidden="1" customHeight="1" x14ac:dyDescent="0.15">
      <c r="B37" s="349"/>
      <c r="C37" s="406"/>
      <c r="E37" s="557">
        <v>15</v>
      </c>
      <c r="F37" s="3" cm="1">
        <f t="array" aca="1" ref="F37" ca="1">OFFSET(E37,-1,1)</f>
        <v>0</v>
      </c>
      <c r="H37" s="868" t="s">
        <v>872</v>
      </c>
      <c r="T37" s="388" t="b">
        <f ca="1">F37&gt;0</f>
        <v>0</v>
      </c>
      <c r="W37" s="677" t="s">
        <v>396</v>
      </c>
      <c r="X37" s="2009"/>
      <c r="Z37" s="2034"/>
      <c r="AB37" s="577"/>
      <c r="AC37" s="97" t="s">
        <v>176</v>
      </c>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106"/>
      <c r="BF37" s="927"/>
      <c r="BG37" s="927"/>
      <c r="BH37" s="927"/>
      <c r="BI37" s="557" t="s">
        <v>867</v>
      </c>
      <c r="BJ37" s="557"/>
    </row>
    <row r="38" spans="1:62" s="1332" customFormat="1" ht="12.6" hidden="1" customHeight="1" x14ac:dyDescent="0.15">
      <c r="B38" s="351"/>
      <c r="C38" s="406"/>
      <c r="E38" s="185">
        <v>13</v>
      </c>
      <c r="F38" s="3" cm="1">
        <f t="array" aca="1" ref="F38" ca="1">OFFSET(E38,-1,1)</f>
        <v>0</v>
      </c>
      <c r="G38" s="45"/>
      <c r="H38" s="45"/>
      <c r="T38" s="388" t="b" cm="1">
        <f t="array" aca="1" ref="T38" ca="1">T37</f>
        <v>0</v>
      </c>
      <c r="X38" s="2009"/>
      <c r="Z38" s="2034"/>
      <c r="AB38" s="576"/>
      <c r="AC38" s="184" t="s">
        <v>873</v>
      </c>
      <c r="AD38" s="185"/>
      <c r="AE38" s="186"/>
      <c r="AF38" s="186"/>
      <c r="AG38" s="186"/>
      <c r="AH38" s="186"/>
      <c r="AI38" s="186"/>
      <c r="AJ38" s="186"/>
      <c r="AK38" s="186"/>
      <c r="AL38" s="186"/>
      <c r="AM38" s="186"/>
      <c r="AN38" s="186"/>
      <c r="AO38" s="186"/>
      <c r="AP38" s="186"/>
      <c r="AQ38" s="186"/>
      <c r="AR38" s="186"/>
      <c r="AS38" s="186"/>
      <c r="AT38" s="186"/>
      <c r="AU38" s="186"/>
      <c r="AV38" s="186"/>
      <c r="AW38" s="186"/>
      <c r="AX38" s="186"/>
      <c r="AY38" s="186"/>
      <c r="AZ38" s="186"/>
      <c r="BA38" s="186"/>
      <c r="BB38" s="186"/>
      <c r="BC38" s="187"/>
      <c r="BF38" s="939"/>
      <c r="BG38" s="939"/>
      <c r="BH38" s="939"/>
      <c r="BI38" s="185"/>
      <c r="BJ38" s="185"/>
    </row>
    <row r="39" spans="1:62" s="1332" customFormat="1" ht="10.9" hidden="1" customHeight="1" x14ac:dyDescent="0.15">
      <c r="B39" s="351"/>
      <c r="C39" s="406"/>
      <c r="E39" s="185">
        <v>11.25</v>
      </c>
      <c r="F39" s="3" cm="1">
        <f t="array" aca="1" ref="F39" ca="1">OFFSET(E39,-1,1)</f>
        <v>0</v>
      </c>
      <c r="G39" s="45" t="s">
        <v>544</v>
      </c>
      <c r="H39" s="45" cm="1">
        <f t="array" ref="H39">AC39</f>
        <v>0</v>
      </c>
      <c r="T39" s="388" t="b">
        <f ca="1">AND(F39&gt;0,Y39&gt;0)</f>
        <v>0</v>
      </c>
      <c r="W39" s="677" t="s">
        <v>172</v>
      </c>
      <c r="X39" s="2009"/>
      <c r="Y39" s="2009">
        <v>0</v>
      </c>
      <c r="Z39" s="2034"/>
      <c r="AA39" s="1958" t="s">
        <v>173</v>
      </c>
      <c r="AB39" s="8" t="str">
        <f>"7."&amp;Y39</f>
        <v>7.0</v>
      </c>
      <c r="AC39" s="1396"/>
      <c r="AD39" s="8" t="s">
        <v>831</v>
      </c>
      <c r="AE39" s="110">
        <f t="shared" ref="AE39:BB39" si="6">AE40+AE43</f>
        <v>0</v>
      </c>
      <c r="AF39" s="110">
        <f t="shared" si="6"/>
        <v>0</v>
      </c>
      <c r="AG39" s="110">
        <f t="shared" si="6"/>
        <v>0</v>
      </c>
      <c r="AH39" s="110">
        <f t="shared" si="6"/>
        <v>0</v>
      </c>
      <c r="AI39" s="110">
        <f t="shared" si="6"/>
        <v>0</v>
      </c>
      <c r="AJ39" s="110">
        <f t="shared" si="6"/>
        <v>0</v>
      </c>
      <c r="AK39" s="110">
        <f t="shared" si="6"/>
        <v>0</v>
      </c>
      <c r="AL39" s="110">
        <f t="shared" si="6"/>
        <v>0</v>
      </c>
      <c r="AM39" s="110">
        <f t="shared" si="6"/>
        <v>0</v>
      </c>
      <c r="AN39" s="110">
        <f t="shared" si="6"/>
        <v>0</v>
      </c>
      <c r="AO39" s="110">
        <f t="shared" si="6"/>
        <v>0</v>
      </c>
      <c r="AP39" s="110">
        <f t="shared" si="6"/>
        <v>0</v>
      </c>
      <c r="AQ39" s="110">
        <f t="shared" si="6"/>
        <v>0</v>
      </c>
      <c r="AR39" s="110">
        <f t="shared" si="6"/>
        <v>0</v>
      </c>
      <c r="AS39" s="110">
        <f t="shared" si="6"/>
        <v>0</v>
      </c>
      <c r="AT39" s="110">
        <f t="shared" si="6"/>
        <v>0</v>
      </c>
      <c r="AU39" s="110">
        <f t="shared" si="6"/>
        <v>0</v>
      </c>
      <c r="AV39" s="110">
        <f t="shared" si="6"/>
        <v>0</v>
      </c>
      <c r="AW39" s="110">
        <f t="shared" si="6"/>
        <v>0</v>
      </c>
      <c r="AX39" s="110">
        <f t="shared" si="6"/>
        <v>0</v>
      </c>
      <c r="AY39" s="110">
        <f t="shared" si="6"/>
        <v>0</v>
      </c>
      <c r="AZ39" s="110">
        <f t="shared" si="6"/>
        <v>0</v>
      </c>
      <c r="BA39" s="110">
        <f t="shared" si="6"/>
        <v>0</v>
      </c>
      <c r="BB39" s="110">
        <f t="shared" si="6"/>
        <v>0</v>
      </c>
      <c r="BC39" s="1365"/>
      <c r="BF39" s="939" t="s">
        <v>874</v>
      </c>
      <c r="BG39" s="939" t="s">
        <v>875</v>
      </c>
      <c r="BH39" s="939" cm="1">
        <f t="array" ref="BH39">AC39</f>
        <v>0</v>
      </c>
      <c r="BI39" s="185"/>
      <c r="BJ39" s="185"/>
    </row>
    <row r="40" spans="1:62" s="1332" customFormat="1" ht="10.9" hidden="1" customHeight="1" x14ac:dyDescent="0.15">
      <c r="B40" s="351"/>
      <c r="C40" s="406"/>
      <c r="E40" s="185">
        <v>11.25</v>
      </c>
      <c r="F40" s="3" cm="1">
        <f t="array" aca="1" ref="F40" ca="1">OFFSET(E40,-1,1)</f>
        <v>0</v>
      </c>
      <c r="G40" s="45" t="s">
        <v>706</v>
      </c>
      <c r="H40" s="45" cm="1">
        <f t="array" ref="H40">H39</f>
        <v>0</v>
      </c>
      <c r="T40" s="388" t="b" cm="1">
        <f t="array" aca="1" ref="T40" ca="1">T39</f>
        <v>0</v>
      </c>
      <c r="X40" s="2009"/>
      <c r="Y40" s="2009"/>
      <c r="Z40" s="2034"/>
      <c r="AA40" s="1958"/>
      <c r="AB40" s="8" t="str">
        <f>AB39&amp;".1"</f>
        <v>7.0.1</v>
      </c>
      <c r="AC40" s="111" t="s">
        <v>876</v>
      </c>
      <c r="AD40" s="8" t="s">
        <v>877</v>
      </c>
      <c r="AE40" s="1358"/>
      <c r="AF40" s="1358"/>
      <c r="AG40" s="1358"/>
      <c r="AH40" s="1358"/>
      <c r="AI40" s="60"/>
      <c r="AJ40" s="1358"/>
      <c r="AK40" s="1358"/>
      <c r="AL40" s="1358"/>
      <c r="AM40" s="1358"/>
      <c r="AN40" s="1358"/>
      <c r="AO40" s="1358"/>
      <c r="AP40" s="1358"/>
      <c r="AQ40" s="1358"/>
      <c r="AR40" s="1358"/>
      <c r="AS40" s="60"/>
      <c r="AT40" s="1358"/>
      <c r="AU40" s="1358"/>
      <c r="AV40" s="1358"/>
      <c r="AW40" s="1358"/>
      <c r="AX40" s="1358"/>
      <c r="AY40" s="1358"/>
      <c r="AZ40" s="1358"/>
      <c r="BA40" s="1358"/>
      <c r="BB40" s="1358"/>
      <c r="BC40" s="1365"/>
      <c r="BF40" s="939" t="s">
        <v>878</v>
      </c>
      <c r="BG40" s="939" t="s">
        <v>875</v>
      </c>
      <c r="BH40" s="939" cm="1">
        <f t="array" ref="BH40">BH39</f>
        <v>0</v>
      </c>
      <c r="BI40" s="185"/>
      <c r="BJ40" s="185"/>
    </row>
    <row r="41" spans="1:62" s="1332" customFormat="1" ht="10.9" hidden="1" customHeight="1" x14ac:dyDescent="0.15">
      <c r="B41" s="351"/>
      <c r="C41" s="406"/>
      <c r="E41" s="185">
        <v>11.25</v>
      </c>
      <c r="F41" s="3" cm="1">
        <f t="array" aca="1" ref="F41" ca="1">OFFSET(E41,-1,1)</f>
        <v>0</v>
      </c>
      <c r="G41" s="45" t="s">
        <v>879</v>
      </c>
      <c r="H41" s="45" cm="1">
        <f t="array" ref="H41">H40</f>
        <v>0</v>
      </c>
      <c r="T41" s="388" t="b" cm="1">
        <f t="array" aca="1" ref="T41" ca="1">T40</f>
        <v>0</v>
      </c>
      <c r="X41" s="2009"/>
      <c r="Y41" s="2009"/>
      <c r="Z41" s="2034"/>
      <c r="AA41" s="1958"/>
      <c r="AB41" s="8" t="str">
        <f>AB39&amp;".1.1"</f>
        <v>7.0.1.1</v>
      </c>
      <c r="AC41" s="248" t="s">
        <v>868</v>
      </c>
      <c r="AD41" s="11" t="s">
        <v>860</v>
      </c>
      <c r="AE41" s="110">
        <f t="shared" ref="AE41:BB41" si="7">IF(OR(AND(AE40&lt;&gt;0,AE42=0),AND(AE40=0,AE42&lt;&gt;0)),"Ошибка",IF(AE42=0,0,AE40/AE42))</f>
        <v>0</v>
      </c>
      <c r="AF41" s="110">
        <f t="shared" si="7"/>
        <v>0</v>
      </c>
      <c r="AG41" s="110">
        <f t="shared" si="7"/>
        <v>0</v>
      </c>
      <c r="AH41" s="110">
        <f t="shared" si="7"/>
        <v>0</v>
      </c>
      <c r="AI41" s="110">
        <f t="shared" si="7"/>
        <v>0</v>
      </c>
      <c r="AJ41" s="110">
        <f t="shared" si="7"/>
        <v>0</v>
      </c>
      <c r="AK41" s="110">
        <f t="shared" si="7"/>
        <v>0</v>
      </c>
      <c r="AL41" s="110">
        <f t="shared" si="7"/>
        <v>0</v>
      </c>
      <c r="AM41" s="110">
        <f t="shared" si="7"/>
        <v>0</v>
      </c>
      <c r="AN41" s="110">
        <f t="shared" si="7"/>
        <v>0</v>
      </c>
      <c r="AO41" s="110">
        <f t="shared" si="7"/>
        <v>0</v>
      </c>
      <c r="AP41" s="110">
        <f t="shared" si="7"/>
        <v>0</v>
      </c>
      <c r="AQ41" s="110">
        <f t="shared" si="7"/>
        <v>0</v>
      </c>
      <c r="AR41" s="110">
        <f t="shared" si="7"/>
        <v>0</v>
      </c>
      <c r="AS41" s="110">
        <f t="shared" si="7"/>
        <v>0</v>
      </c>
      <c r="AT41" s="110">
        <f t="shared" si="7"/>
        <v>0</v>
      </c>
      <c r="AU41" s="110">
        <f t="shared" si="7"/>
        <v>0</v>
      </c>
      <c r="AV41" s="110">
        <f t="shared" si="7"/>
        <v>0</v>
      </c>
      <c r="AW41" s="110">
        <f t="shared" si="7"/>
        <v>0</v>
      </c>
      <c r="AX41" s="110">
        <f t="shared" si="7"/>
        <v>0</v>
      </c>
      <c r="AY41" s="110">
        <f t="shared" si="7"/>
        <v>0</v>
      </c>
      <c r="AZ41" s="110">
        <f t="shared" si="7"/>
        <v>0</v>
      </c>
      <c r="BA41" s="110">
        <f t="shared" si="7"/>
        <v>0</v>
      </c>
      <c r="BB41" s="110">
        <f t="shared" si="7"/>
        <v>0</v>
      </c>
      <c r="BC41" s="1365"/>
      <c r="BF41" s="939" t="s">
        <v>880</v>
      </c>
      <c r="BG41" s="939" t="s">
        <v>875</v>
      </c>
      <c r="BH41" s="939" cm="1">
        <f t="array" ref="BH41">BH40</f>
        <v>0</v>
      </c>
      <c r="BI41" s="185"/>
      <c r="BJ41" s="185"/>
    </row>
    <row r="42" spans="1:62" s="1332" customFormat="1" ht="10.9" hidden="1" customHeight="1" x14ac:dyDescent="0.15">
      <c r="B42" s="351"/>
      <c r="C42" s="406"/>
      <c r="E42" s="185">
        <v>11.25</v>
      </c>
      <c r="F42" s="3" cm="1">
        <f t="array" aca="1" ref="F42" ca="1">OFFSET(E42,-1,1)</f>
        <v>0</v>
      </c>
      <c r="G42" s="45" t="s">
        <v>881</v>
      </c>
      <c r="H42" s="45" cm="1">
        <f t="array" ref="H42">H41</f>
        <v>0</v>
      </c>
      <c r="T42" s="388" t="b" cm="1">
        <f t="array" aca="1" ref="T42" ca="1">T41</f>
        <v>0</v>
      </c>
      <c r="X42" s="2009"/>
      <c r="Y42" s="2009"/>
      <c r="Z42" s="2034"/>
      <c r="AA42" s="1958"/>
      <c r="AB42" s="8" t="str">
        <f>AB39&amp;".1.2"</f>
        <v>7.0.1.2</v>
      </c>
      <c r="AC42" s="248" t="s">
        <v>870</v>
      </c>
      <c r="AD42" s="11" t="s">
        <v>854</v>
      </c>
      <c r="AE42" s="1358"/>
      <c r="AF42" s="1358"/>
      <c r="AG42" s="1358"/>
      <c r="AH42" s="1358"/>
      <c r="AI42" s="60"/>
      <c r="AJ42" s="1358"/>
      <c r="AK42" s="1358"/>
      <c r="AL42" s="1358"/>
      <c r="AM42" s="1358"/>
      <c r="AN42" s="1358"/>
      <c r="AO42" s="1358"/>
      <c r="AP42" s="1358"/>
      <c r="AQ42" s="1358"/>
      <c r="AR42" s="1358"/>
      <c r="AS42" s="60"/>
      <c r="AT42" s="1358"/>
      <c r="AU42" s="1358"/>
      <c r="AV42" s="1358"/>
      <c r="AW42" s="1358"/>
      <c r="AX42" s="1358"/>
      <c r="AY42" s="1358"/>
      <c r="AZ42" s="1358"/>
      <c r="BA42" s="1358"/>
      <c r="BB42" s="1358"/>
      <c r="BC42" s="1365"/>
      <c r="BF42" s="939" t="s">
        <v>882</v>
      </c>
      <c r="BG42" s="939" t="s">
        <v>875</v>
      </c>
      <c r="BH42" s="939" cm="1">
        <f t="array" ref="BH42">BH41</f>
        <v>0</v>
      </c>
      <c r="BI42" s="185"/>
      <c r="BJ42" s="185"/>
    </row>
    <row r="43" spans="1:62" s="1332" customFormat="1" ht="10.9" hidden="1" customHeight="1" x14ac:dyDescent="0.15">
      <c r="B43" s="351"/>
      <c r="C43" s="406"/>
      <c r="E43" s="185">
        <v>11.25</v>
      </c>
      <c r="F43" s="3" cm="1">
        <f t="array" aca="1" ref="F43" ca="1">OFFSET(E43,-1,1)</f>
        <v>0</v>
      </c>
      <c r="G43" s="45" t="s">
        <v>709</v>
      </c>
      <c r="H43" s="45" cm="1">
        <f t="array" ref="H43">H42</f>
        <v>0</v>
      </c>
      <c r="T43" s="388" t="b" cm="1">
        <f t="array" aca="1" ref="T43" ca="1">T42</f>
        <v>0</v>
      </c>
      <c r="X43" s="2009"/>
      <c r="Y43" s="2009"/>
      <c r="Z43" s="2034"/>
      <c r="AA43" s="1958"/>
      <c r="AB43" s="8" t="str">
        <f>AB39&amp;".2"</f>
        <v>7.0.2</v>
      </c>
      <c r="AC43" s="111" t="s">
        <v>883</v>
      </c>
      <c r="AD43" s="8" t="s">
        <v>877</v>
      </c>
      <c r="AE43" s="1358"/>
      <c r="AF43" s="1358"/>
      <c r="AG43" s="1358"/>
      <c r="AH43" s="1358"/>
      <c r="AI43" s="60"/>
      <c r="AJ43" s="1358"/>
      <c r="AK43" s="1358"/>
      <c r="AL43" s="1358"/>
      <c r="AM43" s="1358"/>
      <c r="AN43" s="1358"/>
      <c r="AO43" s="1358"/>
      <c r="AP43" s="1358"/>
      <c r="AQ43" s="1358"/>
      <c r="AR43" s="1358"/>
      <c r="AS43" s="60"/>
      <c r="AT43" s="1358"/>
      <c r="AU43" s="1358"/>
      <c r="AV43" s="1358"/>
      <c r="AW43" s="1358"/>
      <c r="AX43" s="1358"/>
      <c r="AY43" s="1358"/>
      <c r="AZ43" s="1358"/>
      <c r="BA43" s="1358"/>
      <c r="BB43" s="1358"/>
      <c r="BC43" s="1365"/>
      <c r="BF43" s="939" t="s">
        <v>884</v>
      </c>
      <c r="BG43" s="939" t="s">
        <v>875</v>
      </c>
      <c r="BH43" s="939" cm="1">
        <f t="array" ref="BH43">BH42</f>
        <v>0</v>
      </c>
      <c r="BI43" s="185"/>
      <c r="BJ43" s="185"/>
    </row>
    <row r="44" spans="1:62" s="1332" customFormat="1" ht="10.9" hidden="1" customHeight="1" x14ac:dyDescent="0.15">
      <c r="B44" s="351"/>
      <c r="C44" s="406"/>
      <c r="E44" s="185">
        <v>11.25</v>
      </c>
      <c r="F44" s="3" cm="1">
        <f t="array" aca="1" ref="F44" ca="1">OFFSET(E44,-1,1)</f>
        <v>0</v>
      </c>
      <c r="G44" s="45" t="s">
        <v>885</v>
      </c>
      <c r="H44" s="45" cm="1">
        <f t="array" ref="H44">H43</f>
        <v>0</v>
      </c>
      <c r="T44" s="388" t="b" cm="1">
        <f t="array" aca="1" ref="T44" ca="1">T43</f>
        <v>0</v>
      </c>
      <c r="X44" s="2009"/>
      <c r="Y44" s="2009"/>
      <c r="Z44" s="2034"/>
      <c r="AA44" s="1958"/>
      <c r="AB44" s="8" t="str">
        <f>AB39&amp;".2.1"</f>
        <v>7.0.2.1</v>
      </c>
      <c r="AC44" s="248" t="s">
        <v>886</v>
      </c>
      <c r="AD44" s="11" t="s">
        <v>887</v>
      </c>
      <c r="AE44" s="110">
        <f t="shared" ref="AE44:BB44" si="8">IF(OR(AND(AE43&lt;&gt;0,AE45=0),AND(AE43=0,AE45&lt;&gt;0)),"Ошибка",IF(AE45=0,0,AE43/AE45*1000/12))</f>
        <v>0</v>
      </c>
      <c r="AF44" s="110">
        <f t="shared" si="8"/>
        <v>0</v>
      </c>
      <c r="AG44" s="110">
        <f t="shared" si="8"/>
        <v>0</v>
      </c>
      <c r="AH44" s="110">
        <f t="shared" si="8"/>
        <v>0</v>
      </c>
      <c r="AI44" s="110">
        <f t="shared" si="8"/>
        <v>0</v>
      </c>
      <c r="AJ44" s="110">
        <f t="shared" si="8"/>
        <v>0</v>
      </c>
      <c r="AK44" s="110">
        <f t="shared" si="8"/>
        <v>0</v>
      </c>
      <c r="AL44" s="110">
        <f t="shared" si="8"/>
        <v>0</v>
      </c>
      <c r="AM44" s="110">
        <f t="shared" si="8"/>
        <v>0</v>
      </c>
      <c r="AN44" s="110">
        <f t="shared" si="8"/>
        <v>0</v>
      </c>
      <c r="AO44" s="110">
        <f t="shared" si="8"/>
        <v>0</v>
      </c>
      <c r="AP44" s="110">
        <f t="shared" si="8"/>
        <v>0</v>
      </c>
      <c r="AQ44" s="110">
        <f t="shared" si="8"/>
        <v>0</v>
      </c>
      <c r="AR44" s="110">
        <f t="shared" si="8"/>
        <v>0</v>
      </c>
      <c r="AS44" s="110">
        <f t="shared" si="8"/>
        <v>0</v>
      </c>
      <c r="AT44" s="110">
        <f t="shared" si="8"/>
        <v>0</v>
      </c>
      <c r="AU44" s="110">
        <f t="shared" si="8"/>
        <v>0</v>
      </c>
      <c r="AV44" s="110">
        <f t="shared" si="8"/>
        <v>0</v>
      </c>
      <c r="AW44" s="110">
        <f t="shared" si="8"/>
        <v>0</v>
      </c>
      <c r="AX44" s="110">
        <f t="shared" si="8"/>
        <v>0</v>
      </c>
      <c r="AY44" s="110">
        <f t="shared" si="8"/>
        <v>0</v>
      </c>
      <c r="AZ44" s="110">
        <f t="shared" si="8"/>
        <v>0</v>
      </c>
      <c r="BA44" s="110">
        <f t="shared" si="8"/>
        <v>0</v>
      </c>
      <c r="BB44" s="110">
        <f t="shared" si="8"/>
        <v>0</v>
      </c>
      <c r="BC44" s="1365"/>
      <c r="BF44" s="939" t="s">
        <v>888</v>
      </c>
      <c r="BG44" s="939" t="s">
        <v>875</v>
      </c>
      <c r="BH44" s="939" cm="1">
        <f t="array" ref="BH44">BH43</f>
        <v>0</v>
      </c>
      <c r="BI44" s="185"/>
      <c r="BJ44" s="185"/>
    </row>
    <row r="45" spans="1:62" s="1332" customFormat="1" ht="10.9" hidden="1" customHeight="1" x14ac:dyDescent="0.15">
      <c r="B45" s="351"/>
      <c r="C45" s="406"/>
      <c r="E45" s="185">
        <v>11.25</v>
      </c>
      <c r="F45" s="3" cm="1">
        <f t="array" aca="1" ref="F45" ca="1">OFFSET(E45,-1,1)</f>
        <v>0</v>
      </c>
      <c r="G45" s="45" t="s">
        <v>889</v>
      </c>
      <c r="H45" s="45" cm="1">
        <f t="array" ref="H45">H44</f>
        <v>0</v>
      </c>
      <c r="T45" s="388" t="b" cm="1">
        <f t="array" aca="1" ref="T45" ca="1">T44</f>
        <v>0</v>
      </c>
      <c r="X45" s="2009"/>
      <c r="Y45" s="2009"/>
      <c r="Z45" s="2034"/>
      <c r="AA45" s="1958"/>
      <c r="AB45" s="8" t="str">
        <f>AB39&amp;".2.2"</f>
        <v>7.0.2.2</v>
      </c>
      <c r="AC45" s="248" t="s">
        <v>890</v>
      </c>
      <c r="AD45" s="11" t="s">
        <v>891</v>
      </c>
      <c r="AE45" s="1358"/>
      <c r="AF45" s="1358"/>
      <c r="AG45" s="1358"/>
      <c r="AH45" s="1358"/>
      <c r="AI45" s="60"/>
      <c r="AJ45" s="1358"/>
      <c r="AK45" s="1358"/>
      <c r="AL45" s="1358"/>
      <c r="AM45" s="1358"/>
      <c r="AN45" s="1358"/>
      <c r="AO45" s="1358"/>
      <c r="AP45" s="1358"/>
      <c r="AQ45" s="1358"/>
      <c r="AR45" s="1358"/>
      <c r="AS45" s="60"/>
      <c r="AT45" s="1358"/>
      <c r="AU45" s="1358"/>
      <c r="AV45" s="1358"/>
      <c r="AW45" s="1358"/>
      <c r="AX45" s="1358"/>
      <c r="AY45" s="1358"/>
      <c r="AZ45" s="1358"/>
      <c r="BA45" s="1358"/>
      <c r="BB45" s="1358"/>
      <c r="BC45" s="1365"/>
      <c r="BF45" s="939" t="s">
        <v>892</v>
      </c>
      <c r="BG45" s="939" t="s">
        <v>875</v>
      </c>
      <c r="BH45" s="939" cm="1">
        <f t="array" ref="BH45">BH44</f>
        <v>0</v>
      </c>
      <c r="BI45" s="185"/>
      <c r="BJ45" s="185"/>
    </row>
    <row r="46" spans="1:62" s="1249" customFormat="1" ht="14.65" hidden="1" customHeight="1" x14ac:dyDescent="0.15">
      <c r="B46" s="349"/>
      <c r="C46" s="406"/>
      <c r="E46" s="557">
        <v>15</v>
      </c>
      <c r="F46" s="3" cm="1">
        <f t="array" aca="1" ref="F46" ca="1">OFFSET(E46,-1,1)</f>
        <v>0</v>
      </c>
      <c r="H46" s="868" t="s">
        <v>893</v>
      </c>
      <c r="T46" s="388" t="b">
        <f ca="1">F46&gt;0</f>
        <v>0</v>
      </c>
      <c r="W46" s="677" t="s">
        <v>894</v>
      </c>
      <c r="X46" s="2009"/>
      <c r="Z46" s="2034"/>
      <c r="AB46" s="94"/>
      <c r="AC46" s="97" t="s">
        <v>895</v>
      </c>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106"/>
      <c r="BF46" s="927"/>
      <c r="BG46" s="927"/>
      <c r="BH46" s="927"/>
      <c r="BI46" s="557" t="s">
        <v>875</v>
      </c>
      <c r="BJ46" s="557"/>
    </row>
    <row r="47" spans="1:62" s="1400" customFormat="1" ht="14.25" customHeight="1" x14ac:dyDescent="0.15">
      <c r="A47" s="1086"/>
      <c r="B47" s="351"/>
      <c r="C47" s="408"/>
      <c r="D47" s="1086"/>
      <c r="E47" s="556">
        <v>15</v>
      </c>
      <c r="F47" s="17" t="str" cm="1">
        <f t="array" ref="F47">X47</f>
        <v>1</v>
      </c>
      <c r="G47" s="17"/>
      <c r="H47" s="17"/>
      <c r="I47" s="1086"/>
      <c r="J47" s="1086"/>
      <c r="K47" s="1086"/>
      <c r="L47" s="1086"/>
      <c r="M47" s="1086"/>
      <c r="N47" s="1086"/>
      <c r="O47" s="1086"/>
      <c r="P47" s="1086"/>
      <c r="Q47" s="1086"/>
      <c r="R47" s="1086"/>
      <c r="S47" s="1086"/>
      <c r="T47" s="388" t="b">
        <f>X47&gt;0</f>
        <v>1</v>
      </c>
      <c r="U47" s="1086"/>
      <c r="V47" s="63" t="str" cm="1">
        <f t="array" ref="V47">'Сырье и материалы'!$AB$31</f>
        <v>Тариф 1 (Водоснабжение) - тариф на питьевую воду</v>
      </c>
      <c r="W47" s="1086"/>
      <c r="X47" s="2009" t="s">
        <v>282</v>
      </c>
      <c r="Y47" s="1086"/>
      <c r="Z47" s="2034"/>
      <c r="AA47" s="1086"/>
      <c r="AB47" s="102" t="str" cm="1">
        <f t="array" ref="AB47">'Сырье и материалы'!$AB$31</f>
        <v>Тариф 1 (Водоснабжение) - тариф на питьевую воду</v>
      </c>
      <c r="AC47" s="99"/>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1086"/>
      <c r="BE47" s="1086"/>
      <c r="BF47" s="922"/>
      <c r="BG47" s="922"/>
      <c r="BH47" s="922"/>
      <c r="BI47" s="554"/>
      <c r="BJ47" s="554"/>
    </row>
    <row r="48" spans="1:62" s="1088" customFormat="1" ht="10.5" customHeight="1" x14ac:dyDescent="0.15">
      <c r="A48" s="1332"/>
      <c r="B48" s="351"/>
      <c r="C48" s="406"/>
      <c r="D48" s="867"/>
      <c r="E48" s="185">
        <v>11.25</v>
      </c>
      <c r="F48" s="3" t="str" cm="1">
        <f t="array" aca="1" ref="F48" ca="1">OFFSET(E48,-1,1)</f>
        <v>1</v>
      </c>
      <c r="G48" s="45" t="s">
        <v>331</v>
      </c>
      <c r="H48" s="45"/>
      <c r="I48" s="1332"/>
      <c r="J48" s="1332"/>
      <c r="K48" s="406" t="str">
        <f ca="1">F48&amp;"komm"</f>
        <v>1komm</v>
      </c>
      <c r="L48" s="830" t="str" cm="1">
        <f t="array" ref="L48">BC48</f>
        <v>Скорректированная величина расходов на приобретение энергетических ресурсов, холодной воды на год i долгосрочного периода регулирования, определялась  в соответствии с формулой (39.1) Методических указаний № 1746-э.</v>
      </c>
      <c r="M48" s="1332"/>
      <c r="N48" s="1332"/>
      <c r="O48" s="1332"/>
      <c r="P48" s="1332"/>
      <c r="Q48" s="1332"/>
      <c r="R48" s="1332"/>
      <c r="S48" s="1332"/>
      <c r="T48" s="388" t="b" cm="1">
        <f t="array" ref="T48">T47</f>
        <v>1</v>
      </c>
      <c r="U48" s="1332"/>
      <c r="V48" s="1332"/>
      <c r="W48" s="1332"/>
      <c r="X48" s="2009"/>
      <c r="Y48" s="1332"/>
      <c r="Z48" s="2034"/>
      <c r="AA48" s="1332"/>
      <c r="AB48" s="8" t="s">
        <v>282</v>
      </c>
      <c r="AC48" s="57" t="s">
        <v>830</v>
      </c>
      <c r="AD48" s="8" t="s">
        <v>831</v>
      </c>
      <c r="AE48" s="110">
        <f t="shared" ref="AE48:BB48" si="9">IF(COUNTIF(AE53:AE79,"Ошибка")&gt;0,"Ошибка",SUMIF($AD53:$AD79,$AD48,AE53:AE79))</f>
        <v>64441.363047370498</v>
      </c>
      <c r="AF48" s="110">
        <f t="shared" si="9"/>
        <v>73107.17</v>
      </c>
      <c r="AG48" s="110">
        <f t="shared" si="9"/>
        <v>73107.17</v>
      </c>
      <c r="AH48" s="110">
        <f t="shared" si="9"/>
        <v>67598.989836691704</v>
      </c>
      <c r="AI48" s="110">
        <f t="shared" si="9"/>
        <v>79757.03</v>
      </c>
      <c r="AJ48" s="110">
        <f t="shared" si="9"/>
        <v>76555.25</v>
      </c>
      <c r="AK48" s="110">
        <f t="shared" si="9"/>
        <v>79617.47</v>
      </c>
      <c r="AL48" s="110">
        <f t="shared" si="9"/>
        <v>82802.16</v>
      </c>
      <c r="AM48" s="110">
        <f t="shared" si="9"/>
        <v>86114.240000000005</v>
      </c>
      <c r="AN48" s="110">
        <f t="shared" si="9"/>
        <v>89558.819999999992</v>
      </c>
      <c r="AO48" s="110">
        <f t="shared" si="9"/>
        <v>93141.17</v>
      </c>
      <c r="AP48" s="110">
        <f t="shared" si="9"/>
        <v>0</v>
      </c>
      <c r="AQ48" s="110">
        <f t="shared" si="9"/>
        <v>0</v>
      </c>
      <c r="AR48" s="110">
        <f t="shared" si="9"/>
        <v>0</v>
      </c>
      <c r="AS48" s="110">
        <f t="shared" si="9"/>
        <v>85914.21</v>
      </c>
      <c r="AT48" s="110">
        <f t="shared" si="9"/>
        <v>71715.768317746188</v>
      </c>
      <c r="AU48" s="110">
        <f t="shared" si="9"/>
        <v>73867.241367278606</v>
      </c>
      <c r="AV48" s="110">
        <f t="shared" si="9"/>
        <v>76083.258608296892</v>
      </c>
      <c r="AW48" s="110">
        <f t="shared" si="9"/>
        <v>78365.7563665458</v>
      </c>
      <c r="AX48" s="110">
        <f t="shared" si="9"/>
        <v>80716.72905754231</v>
      </c>
      <c r="AY48" s="110">
        <f t="shared" si="9"/>
        <v>83138.230929268509</v>
      </c>
      <c r="AZ48" s="110">
        <f t="shared" si="9"/>
        <v>0</v>
      </c>
      <c r="BA48" s="110">
        <f t="shared" si="9"/>
        <v>0</v>
      </c>
      <c r="BB48" s="110">
        <f t="shared" si="9"/>
        <v>0</v>
      </c>
      <c r="BC48" s="119" t="s">
        <v>896</v>
      </c>
      <c r="BD48" s="1332"/>
      <c r="BE48" s="1332"/>
      <c r="BF48" s="939" t="s">
        <v>852</v>
      </c>
      <c r="BG48" s="939"/>
      <c r="BH48" s="939"/>
      <c r="BI48" s="185"/>
      <c r="BJ48" s="185"/>
    </row>
    <row r="49" spans="1:62" s="1088" customFormat="1" ht="10.5" customHeight="1" x14ac:dyDescent="0.15">
      <c r="A49" s="1332"/>
      <c r="B49" s="351"/>
      <c r="C49" s="406"/>
      <c r="D49" s="1332"/>
      <c r="E49" s="185">
        <v>11.25</v>
      </c>
      <c r="F49" s="3" t="str" cm="1">
        <f t="array" aca="1" ref="F49" ca="1">OFFSET(E49,-1,1)</f>
        <v>1</v>
      </c>
      <c r="G49" s="45" t="s">
        <v>332</v>
      </c>
      <c r="H49" s="45"/>
      <c r="I49" s="1332"/>
      <c r="J49" s="1332"/>
      <c r="K49" s="1332"/>
      <c r="L49" s="1332"/>
      <c r="M49" s="1332"/>
      <c r="N49" s="1332"/>
      <c r="O49" s="1332"/>
      <c r="P49" s="1332"/>
      <c r="Q49" s="1332"/>
      <c r="R49" s="1332"/>
      <c r="S49" s="1332"/>
      <c r="T49" s="388" t="b" cm="1">
        <f t="array" ref="T49">T48</f>
        <v>1</v>
      </c>
      <c r="U49" s="1332"/>
      <c r="V49" s="1332"/>
      <c r="W49" s="1332"/>
      <c r="X49" s="2009"/>
      <c r="Y49" s="1332"/>
      <c r="Z49" s="2034"/>
      <c r="AA49" s="1332"/>
      <c r="AB49" s="8" t="s">
        <v>289</v>
      </c>
      <c r="AC49" s="57" t="s">
        <v>853</v>
      </c>
      <c r="AD49" s="11" t="s">
        <v>854</v>
      </c>
      <c r="AE49" s="110">
        <f>SUMIF(AD53:AD79,AD49,AE53:AE79)</f>
        <v>12275.7263966997</v>
      </c>
      <c r="AF49" s="110">
        <f>SUMIF(AD53:AD79,AD49,AF53:AF79)</f>
        <v>15497.65</v>
      </c>
      <c r="AG49" s="110">
        <f>SUMIF(AD53:AD79,AD49,AG53:AG79)</f>
        <v>15497.65</v>
      </c>
      <c r="AH49" s="110">
        <f>SUMIF(AD53:AD79,AD49,AH53:AH79)</f>
        <v>12275.7263966997</v>
      </c>
      <c r="AI49" s="110">
        <f>SUMIF(AD53:AD79,AD49,AI53:AI79)</f>
        <v>15497.65</v>
      </c>
      <c r="AJ49" s="110">
        <f>SUMIF(AD53:AD79,AD49,AJ53:AJ79)</f>
        <v>14416.34</v>
      </c>
      <c r="AK49" s="110">
        <f>SUMIF(AD53:AD79,AD49,AK53:AK79)</f>
        <v>14416.34</v>
      </c>
      <c r="AL49" s="110">
        <f>SUMIF(AD53:AD79,AD49,AL53:AL79)</f>
        <v>14416.34</v>
      </c>
      <c r="AM49" s="110">
        <f>SUMIF(AD53:AD79,AD49,AM53:AM79)</f>
        <v>14416.34</v>
      </c>
      <c r="AN49" s="110">
        <f>SUMIF(AD53:AD79,AD49,AN53:AN79)</f>
        <v>14416.34</v>
      </c>
      <c r="AO49" s="110">
        <f>SUMIF(AD53:AD79,AD49,AO53:AO79)</f>
        <v>14416.34</v>
      </c>
      <c r="AP49" s="110">
        <f>SUMIF(AD53:AD79,AD49,AP53:AP79)</f>
        <v>0</v>
      </c>
      <c r="AQ49" s="110">
        <f>SUMIF(AD53:AD79,AD49,AQ53:AQ79)</f>
        <v>0</v>
      </c>
      <c r="AR49" s="110">
        <f>SUMIF(AD53:AD79,AD49,AR53:AR79)</f>
        <v>0</v>
      </c>
      <c r="AS49" s="110">
        <f>SUMIF(AD53:AD79,AD49,AS53:AS79)</f>
        <v>12301.51</v>
      </c>
      <c r="AT49" s="110">
        <f>SUMIF(AD53:AD79,AD49,AT53:AT79)</f>
        <v>12275.7263966997</v>
      </c>
      <c r="AU49" s="110">
        <f>SUMIF(AD53:AD79,AD49,AU53:AU79)</f>
        <v>12275.7263966997</v>
      </c>
      <c r="AV49" s="110">
        <f>SUMIF(AD53:AD79,AD49,AV53:AV79)</f>
        <v>12275.7263966997</v>
      </c>
      <c r="AW49" s="110">
        <f>SUMIF(AD53:AD79,AD49,AW53:AW79)</f>
        <v>12275.7263966997</v>
      </c>
      <c r="AX49" s="110">
        <f>SUMIF(AD53:AD79,AD49,AX53:AX79)</f>
        <v>12275.7263966997</v>
      </c>
      <c r="AY49" s="110">
        <f>SUMIF(AD53:AD79,AD49,AY53:AY79)</f>
        <v>12275.7263966997</v>
      </c>
      <c r="AZ49" s="110">
        <f>SUMIF(AD53:AD79,AD49,AZ53:AZ79)</f>
        <v>0</v>
      </c>
      <c r="BA49" s="110">
        <f>SUMIF(AD53:AD79,AD49,BA53:BA79)</f>
        <v>0</v>
      </c>
      <c r="BB49" s="110">
        <f>SUMIF(AD53:AD79,AD49,BB53:BB79)</f>
        <v>0</v>
      </c>
      <c r="BC49" s="119"/>
      <c r="BD49" s="1332"/>
      <c r="BE49" s="1332"/>
      <c r="BF49" s="939" t="s">
        <v>855</v>
      </c>
      <c r="BG49" s="939"/>
      <c r="BH49" s="939"/>
      <c r="BI49" s="185"/>
      <c r="BJ49" s="185"/>
    </row>
    <row r="50" spans="1:62" s="1088" customFormat="1" ht="12.75" customHeight="1" x14ac:dyDescent="0.15">
      <c r="A50" s="1332"/>
      <c r="B50" s="351"/>
      <c r="C50" s="406"/>
      <c r="D50" s="1332"/>
      <c r="E50" s="185">
        <v>11.25</v>
      </c>
      <c r="F50" s="3" t="str" cm="1">
        <f t="array" aca="1" ref="F50" ca="1">OFFSET(E50,-1,1)</f>
        <v>1</v>
      </c>
      <c r="G50" s="45" t="s">
        <v>333</v>
      </c>
      <c r="H50" s="45"/>
      <c r="I50" s="1332"/>
      <c r="J50" s="1332"/>
      <c r="K50" s="1332"/>
      <c r="L50" s="1332"/>
      <c r="M50" s="1332"/>
      <c r="N50" s="1332"/>
      <c r="O50" s="1332"/>
      <c r="P50" s="1332"/>
      <c r="Q50" s="1332"/>
      <c r="R50" s="1332"/>
      <c r="S50" s="1332"/>
      <c r="T50" s="388" t="b" cm="1">
        <f t="array" ref="T50">T49</f>
        <v>1</v>
      </c>
      <c r="U50" s="1332"/>
      <c r="V50" s="1332"/>
      <c r="W50" s="1332"/>
      <c r="X50" s="2009"/>
      <c r="Y50" s="1332"/>
      <c r="Z50" s="2034"/>
      <c r="AA50" s="1332"/>
      <c r="AB50" s="8" t="s">
        <v>329</v>
      </c>
      <c r="AC50" s="57" t="s">
        <v>856</v>
      </c>
      <c r="AD50" s="11" t="s">
        <v>857</v>
      </c>
      <c r="AE50" s="158">
        <v>10254.444794286501</v>
      </c>
      <c r="AF50" s="158">
        <v>13067.687</v>
      </c>
      <c r="AG50" s="158">
        <v>13067.687</v>
      </c>
      <c r="AH50" s="158">
        <v>10254.444794286501</v>
      </c>
      <c r="AI50" s="158">
        <v>13067.687</v>
      </c>
      <c r="AJ50" s="1399">
        <v>12044.258</v>
      </c>
      <c r="AK50" s="1399">
        <v>12044.258</v>
      </c>
      <c r="AL50" s="1399">
        <v>12044.258</v>
      </c>
      <c r="AM50" s="1399">
        <v>12044.258</v>
      </c>
      <c r="AN50" s="1399">
        <v>12044.258</v>
      </c>
      <c r="AO50" s="1399">
        <v>12044.258</v>
      </c>
      <c r="AP50" s="158"/>
      <c r="AQ50" s="158"/>
      <c r="AR50" s="158"/>
      <c r="AS50" s="158">
        <v>10275.983130000001</v>
      </c>
      <c r="AT50" s="1399">
        <v>10254.444794286501</v>
      </c>
      <c r="AU50" s="1399">
        <v>10254.444794286501</v>
      </c>
      <c r="AV50" s="1399">
        <v>10254.444794286501</v>
      </c>
      <c r="AW50" s="1399">
        <v>10254.444794286501</v>
      </c>
      <c r="AX50" s="1399">
        <v>10254.444794286501</v>
      </c>
      <c r="AY50" s="1399">
        <v>10254.444794286501</v>
      </c>
      <c r="AZ50" s="158"/>
      <c r="BA50" s="158"/>
      <c r="BB50" s="158"/>
      <c r="BC50" s="119"/>
      <c r="BD50" s="1332"/>
      <c r="BE50" s="1332"/>
      <c r="BF50" s="939" t="s">
        <v>858</v>
      </c>
      <c r="BG50" s="939"/>
      <c r="BH50" s="939"/>
      <c r="BI50" s="185"/>
      <c r="BJ50" s="185"/>
    </row>
    <row r="51" spans="1:62" s="1088" customFormat="1" ht="10.5" customHeight="1" x14ac:dyDescent="0.15">
      <c r="A51" s="1332"/>
      <c r="B51" s="351"/>
      <c r="C51" s="406"/>
      <c r="D51" s="1332"/>
      <c r="E51" s="185">
        <v>11.25</v>
      </c>
      <c r="F51" s="3" t="str" cm="1">
        <f t="array" aca="1" ref="F51" ca="1">OFFSET(E51,-1,1)</f>
        <v>1</v>
      </c>
      <c r="G51" s="45" t="s">
        <v>335</v>
      </c>
      <c r="H51" s="45"/>
      <c r="I51" s="1332"/>
      <c r="J51" s="1332"/>
      <c r="K51" s="1332"/>
      <c r="L51" s="1332"/>
      <c r="M51" s="1332"/>
      <c r="N51" s="1332"/>
      <c r="O51" s="1332"/>
      <c r="P51" s="1332"/>
      <c r="Q51" s="1332"/>
      <c r="R51" s="1332"/>
      <c r="S51" s="1332"/>
      <c r="T51" s="388" t="b" cm="1">
        <f t="array" ref="T51">T50</f>
        <v>1</v>
      </c>
      <c r="U51" s="1332"/>
      <c r="V51" s="1332"/>
      <c r="W51" s="1332"/>
      <c r="X51" s="2009"/>
      <c r="Y51" s="1332"/>
      <c r="Z51" s="2034"/>
      <c r="AA51" s="1332"/>
      <c r="AB51" s="8" t="s">
        <v>441</v>
      </c>
      <c r="AC51" s="57" t="s">
        <v>859</v>
      </c>
      <c r="AD51" s="11" t="s">
        <v>860</v>
      </c>
      <c r="AE51" s="110">
        <f t="shared" ref="AE51:BB51" si="10">IF(AE49=0,0,AE48/AE49)</f>
        <v>5.2494948946316864</v>
      </c>
      <c r="AF51" s="110">
        <f t="shared" si="10"/>
        <v>4.7173068174852313</v>
      </c>
      <c r="AG51" s="110">
        <f t="shared" si="10"/>
        <v>4.7173068174852313</v>
      </c>
      <c r="AH51" s="110">
        <f t="shared" si="10"/>
        <v>5.5067201444686429</v>
      </c>
      <c r="AI51" s="110">
        <f t="shared" si="10"/>
        <v>5.1463950986117251</v>
      </c>
      <c r="AJ51" s="110">
        <f t="shared" si="10"/>
        <v>5.3103110775689251</v>
      </c>
      <c r="AK51" s="110">
        <f t="shared" si="10"/>
        <v>5.5227242143290187</v>
      </c>
      <c r="AL51" s="110">
        <f t="shared" si="10"/>
        <v>5.7436325724837234</v>
      </c>
      <c r="AM51" s="110">
        <f t="shared" si="10"/>
        <v>5.9733774314423771</v>
      </c>
      <c r="AN51" s="110">
        <f t="shared" si="10"/>
        <v>6.2123132501037013</v>
      </c>
      <c r="AO51" s="110">
        <f t="shared" si="10"/>
        <v>6.4608055858837954</v>
      </c>
      <c r="AP51" s="110">
        <f t="shared" si="10"/>
        <v>0</v>
      </c>
      <c r="AQ51" s="110">
        <f t="shared" si="10"/>
        <v>0</v>
      </c>
      <c r="AR51" s="110">
        <f t="shared" si="10"/>
        <v>0</v>
      </c>
      <c r="AS51" s="110">
        <f t="shared" si="10"/>
        <v>6.9840377319532321</v>
      </c>
      <c r="AT51" s="110">
        <f t="shared" si="10"/>
        <v>5.8420794012667798</v>
      </c>
      <c r="AU51" s="110">
        <f t="shared" si="10"/>
        <v>6.0173417833047864</v>
      </c>
      <c r="AV51" s="110">
        <f t="shared" si="10"/>
        <v>6.1978620368039241</v>
      </c>
      <c r="AW51" s="110">
        <f t="shared" si="10"/>
        <v>6.3837978979080416</v>
      </c>
      <c r="AX51" s="110">
        <f t="shared" si="10"/>
        <v>6.5753118348452935</v>
      </c>
      <c r="AY51" s="110">
        <f t="shared" si="10"/>
        <v>6.7725711898906473</v>
      </c>
      <c r="AZ51" s="110">
        <f t="shared" si="10"/>
        <v>0</v>
      </c>
      <c r="BA51" s="110">
        <f t="shared" si="10"/>
        <v>0</v>
      </c>
      <c r="BB51" s="110">
        <f t="shared" si="10"/>
        <v>0</v>
      </c>
      <c r="BC51" s="119"/>
      <c r="BD51" s="1332"/>
      <c r="BE51" s="1332"/>
      <c r="BF51" s="939" t="s">
        <v>861</v>
      </c>
      <c r="BG51" s="939"/>
      <c r="BH51" s="939"/>
      <c r="BI51" s="185"/>
      <c r="BJ51" s="185"/>
    </row>
    <row r="52" spans="1:62" s="1088" customFormat="1" ht="10.5" customHeight="1" x14ac:dyDescent="0.15">
      <c r="A52" s="1332"/>
      <c r="B52" s="351"/>
      <c r="C52" s="406"/>
      <c r="D52" s="1332"/>
      <c r="E52" s="185">
        <v>11.25</v>
      </c>
      <c r="F52" s="3" t="str" cm="1">
        <f t="array" aca="1" ref="F52" ca="1">OFFSET(E52,-1,1)</f>
        <v>1</v>
      </c>
      <c r="G52" s="45" t="s">
        <v>334</v>
      </c>
      <c r="H52" s="45"/>
      <c r="I52" s="1332"/>
      <c r="J52" s="1332"/>
      <c r="K52" s="1332"/>
      <c r="L52" s="1332"/>
      <c r="M52" s="1332"/>
      <c r="N52" s="1332"/>
      <c r="O52" s="1332"/>
      <c r="P52" s="1332"/>
      <c r="Q52" s="1332"/>
      <c r="R52" s="1332"/>
      <c r="S52" s="1332"/>
      <c r="T52" s="388" t="b" cm="1">
        <f t="array" ref="T52">T51</f>
        <v>1</v>
      </c>
      <c r="U52" s="1332"/>
      <c r="V52" s="1332"/>
      <c r="W52" s="1332"/>
      <c r="X52" s="2009"/>
      <c r="Y52" s="1332"/>
      <c r="Z52" s="2034"/>
      <c r="AA52" s="1332"/>
      <c r="AB52" s="8" t="s">
        <v>444</v>
      </c>
      <c r="AC52" s="57" t="s">
        <v>862</v>
      </c>
      <c r="AD52" s="11" t="s">
        <v>863</v>
      </c>
      <c r="AE52" s="232">
        <f t="shared" ref="AE52:BB52" si="11">IF(AE50=0,0,AE49/AE50)</f>
        <v>1.1971127294516619</v>
      </c>
      <c r="AF52" s="232">
        <f t="shared" si="11"/>
        <v>1.1859520357351687</v>
      </c>
      <c r="AG52" s="232">
        <f t="shared" si="11"/>
        <v>1.1859520357351687</v>
      </c>
      <c r="AH52" s="232">
        <f t="shared" si="11"/>
        <v>1.1971127294516619</v>
      </c>
      <c r="AI52" s="232">
        <f t="shared" si="11"/>
        <v>1.1859520357351687</v>
      </c>
      <c r="AJ52" s="232">
        <f t="shared" si="11"/>
        <v>1.1969471261741487</v>
      </c>
      <c r="AK52" s="232">
        <f t="shared" si="11"/>
        <v>1.1969471261741487</v>
      </c>
      <c r="AL52" s="232">
        <f t="shared" si="11"/>
        <v>1.1969471261741487</v>
      </c>
      <c r="AM52" s="232">
        <f t="shared" si="11"/>
        <v>1.1969471261741487</v>
      </c>
      <c r="AN52" s="232">
        <f t="shared" si="11"/>
        <v>1.1969471261741487</v>
      </c>
      <c r="AO52" s="232">
        <f t="shared" si="11"/>
        <v>1.1969471261741487</v>
      </c>
      <c r="AP52" s="232">
        <f t="shared" si="11"/>
        <v>0</v>
      </c>
      <c r="AQ52" s="232">
        <f t="shared" si="11"/>
        <v>0</v>
      </c>
      <c r="AR52" s="232">
        <f t="shared" si="11"/>
        <v>0</v>
      </c>
      <c r="AS52" s="232">
        <f t="shared" si="11"/>
        <v>1.1971127087671658</v>
      </c>
      <c r="AT52" s="232">
        <f t="shared" si="11"/>
        <v>1.1971127294516619</v>
      </c>
      <c r="AU52" s="232">
        <f t="shared" si="11"/>
        <v>1.1971127294516619</v>
      </c>
      <c r="AV52" s="232">
        <f t="shared" si="11"/>
        <v>1.1971127294516619</v>
      </c>
      <c r="AW52" s="232">
        <f t="shared" si="11"/>
        <v>1.1971127294516619</v>
      </c>
      <c r="AX52" s="232">
        <f t="shared" si="11"/>
        <v>1.1971127294516619</v>
      </c>
      <c r="AY52" s="232">
        <f t="shared" si="11"/>
        <v>1.1971127294516619</v>
      </c>
      <c r="AZ52" s="232">
        <f t="shared" si="11"/>
        <v>0</v>
      </c>
      <c r="BA52" s="232">
        <f t="shared" si="11"/>
        <v>0</v>
      </c>
      <c r="BB52" s="232">
        <f t="shared" si="11"/>
        <v>0</v>
      </c>
      <c r="BC52" s="119" t="s">
        <v>897</v>
      </c>
      <c r="BD52" s="1332"/>
      <c r="BE52" s="1332"/>
      <c r="BF52" s="939" t="s">
        <v>864</v>
      </c>
      <c r="BG52" s="939"/>
      <c r="BH52" s="939"/>
      <c r="BI52" s="185"/>
      <c r="BJ52" s="185"/>
    </row>
    <row r="53" spans="1:62" s="1088" customFormat="1" ht="12" customHeight="1" x14ac:dyDescent="0.15">
      <c r="A53" s="1332"/>
      <c r="B53" s="351"/>
      <c r="C53" s="406"/>
      <c r="D53" s="1332"/>
      <c r="E53" s="185">
        <v>13</v>
      </c>
      <c r="F53" s="3" t="str" cm="1">
        <f t="array" aca="1" ref="F53" ca="1">OFFSET(E53,-1,1)</f>
        <v>1</v>
      </c>
      <c r="G53" s="45"/>
      <c r="H53" s="45"/>
      <c r="I53" s="1332"/>
      <c r="J53" s="1332"/>
      <c r="K53" s="1332"/>
      <c r="L53" s="1332"/>
      <c r="M53" s="1332"/>
      <c r="N53" s="1332"/>
      <c r="O53" s="1332"/>
      <c r="P53" s="1332"/>
      <c r="Q53" s="1332"/>
      <c r="R53" s="1332"/>
      <c r="S53" s="1332"/>
      <c r="T53" s="388" t="b" cm="1">
        <f t="array" ref="T53">T52</f>
        <v>1</v>
      </c>
      <c r="U53" s="1332"/>
      <c r="V53" s="1332"/>
      <c r="W53" s="1332"/>
      <c r="X53" s="2009"/>
      <c r="Y53" s="1332"/>
      <c r="Z53" s="2034"/>
      <c r="AA53" s="1332"/>
      <c r="AB53" s="576"/>
      <c r="AC53" s="184" t="s">
        <v>865</v>
      </c>
      <c r="AD53" s="185"/>
      <c r="AE53" s="186"/>
      <c r="AF53" s="186"/>
      <c r="AG53" s="186"/>
      <c r="AH53" s="186"/>
      <c r="AI53" s="186"/>
      <c r="AJ53" s="186"/>
      <c r="AK53" s="186"/>
      <c r="AL53" s="186"/>
      <c r="AM53" s="186"/>
      <c r="AN53" s="186"/>
      <c r="AO53" s="186"/>
      <c r="AP53" s="186"/>
      <c r="AQ53" s="186"/>
      <c r="AR53" s="186"/>
      <c r="AS53" s="186"/>
      <c r="AT53" s="186"/>
      <c r="AU53" s="186"/>
      <c r="AV53" s="186"/>
      <c r="AW53" s="186"/>
      <c r="AX53" s="186"/>
      <c r="AY53" s="186"/>
      <c r="AZ53" s="186"/>
      <c r="BA53" s="186"/>
      <c r="BB53" s="186"/>
      <c r="BC53" s="187"/>
      <c r="BD53" s="1332"/>
      <c r="BE53" s="1332"/>
      <c r="BF53" s="939"/>
      <c r="BG53" s="939"/>
      <c r="BH53" s="939"/>
      <c r="BI53" s="185"/>
      <c r="BJ53" s="185"/>
    </row>
    <row r="54" spans="1:62" s="1088" customFormat="1" ht="10.5" hidden="1" customHeight="1" x14ac:dyDescent="0.15">
      <c r="A54" s="1332"/>
      <c r="B54" s="351"/>
      <c r="C54" s="406"/>
      <c r="D54" s="1332"/>
      <c r="E54" s="185">
        <v>11.25</v>
      </c>
      <c r="F54" s="3" t="str" cm="1">
        <f t="array" aca="1" ref="F54" ca="1">OFFSET(E54,-1,1)</f>
        <v>1</v>
      </c>
      <c r="G54" s="45" t="s">
        <v>544</v>
      </c>
      <c r="H54" s="45" cm="1">
        <f t="array" ref="H54">AC54</f>
        <v>0</v>
      </c>
      <c r="I54" s="1332"/>
      <c r="J54" s="1332"/>
      <c r="K54" s="1332"/>
      <c r="L54" s="1332"/>
      <c r="M54" s="1332"/>
      <c r="N54" s="1332"/>
      <c r="O54" s="1332"/>
      <c r="P54" s="1332"/>
      <c r="Q54" s="1332"/>
      <c r="R54" s="1332"/>
      <c r="S54" s="1332"/>
      <c r="T54" s="388" t="b">
        <f ca="1">AND(F54&gt;0,Y54&gt;0)</f>
        <v>0</v>
      </c>
      <c r="U54" s="1332"/>
      <c r="V54" s="1332"/>
      <c r="W54" s="677" t="s">
        <v>172</v>
      </c>
      <c r="X54" s="2009"/>
      <c r="Y54" s="2009">
        <v>0</v>
      </c>
      <c r="Z54" s="2034"/>
      <c r="AA54" s="1958" t="s">
        <v>173</v>
      </c>
      <c r="AB54" s="8" t="str">
        <f>"6."&amp;Y54</f>
        <v>6.0</v>
      </c>
      <c r="AC54" s="1396"/>
      <c r="AD54" s="8" t="s">
        <v>831</v>
      </c>
      <c r="AE54" s="1358"/>
      <c r="AF54" s="1358"/>
      <c r="AG54" s="1358"/>
      <c r="AH54" s="1358"/>
      <c r="AI54" s="60"/>
      <c r="AJ54" s="1358"/>
      <c r="AK54" s="1358"/>
      <c r="AL54" s="1358"/>
      <c r="AM54" s="1358"/>
      <c r="AN54" s="1358"/>
      <c r="AO54" s="1358"/>
      <c r="AP54" s="1358"/>
      <c r="AQ54" s="1358"/>
      <c r="AR54" s="1358"/>
      <c r="AS54" s="60"/>
      <c r="AT54" s="1358"/>
      <c r="AU54" s="1358"/>
      <c r="AV54" s="1358"/>
      <c r="AW54" s="1358"/>
      <c r="AX54" s="1358"/>
      <c r="AY54" s="1358"/>
      <c r="AZ54" s="1358"/>
      <c r="BA54" s="1358"/>
      <c r="BB54" s="1358"/>
      <c r="BC54" s="1365"/>
      <c r="BD54" s="1332"/>
      <c r="BE54" s="1332"/>
      <c r="BF54" s="939" t="s">
        <v>866</v>
      </c>
      <c r="BG54" s="939" t="s">
        <v>867</v>
      </c>
      <c r="BH54" s="939" cm="1">
        <f t="array" ref="BH54">AC54</f>
        <v>0</v>
      </c>
      <c r="BI54" s="185"/>
      <c r="BJ54" s="185" t="b">
        <v>1</v>
      </c>
    </row>
    <row r="55" spans="1:62" s="1088" customFormat="1" ht="10.5" hidden="1" customHeight="1" x14ac:dyDescent="0.15">
      <c r="A55" s="1332"/>
      <c r="B55" s="351"/>
      <c r="C55" s="406"/>
      <c r="D55" s="1332"/>
      <c r="E55" s="185">
        <v>11.25</v>
      </c>
      <c r="F55" s="3" t="str" cm="1">
        <f t="array" aca="1" ref="F55" ca="1">OFFSET(E55,-1,1)</f>
        <v>1</v>
      </c>
      <c r="G55" s="45" t="s">
        <v>699</v>
      </c>
      <c r="H55" s="45" cm="1">
        <f t="array" ref="H55">H54</f>
        <v>0</v>
      </c>
      <c r="I55" s="1332"/>
      <c r="J55" s="1332"/>
      <c r="K55" s="1332"/>
      <c r="L55" s="1332"/>
      <c r="M55" s="1332"/>
      <c r="N55" s="1332"/>
      <c r="O55" s="1332"/>
      <c r="P55" s="1332"/>
      <c r="Q55" s="1332"/>
      <c r="R55" s="1332"/>
      <c r="S55" s="1332"/>
      <c r="T55" s="388" t="b" cm="1">
        <f t="array" aca="1" ref="T55" ca="1">T54</f>
        <v>0</v>
      </c>
      <c r="U55" s="1332"/>
      <c r="V55" s="1332"/>
      <c r="W55" s="1332"/>
      <c r="X55" s="2009"/>
      <c r="Y55" s="2009"/>
      <c r="Z55" s="2034"/>
      <c r="AA55" s="1958"/>
      <c r="AB55" s="8" t="str">
        <f>AB54&amp;".1"</f>
        <v>6.0.1</v>
      </c>
      <c r="AC55" s="111" t="s">
        <v>868</v>
      </c>
      <c r="AD55" s="11" t="s">
        <v>860</v>
      </c>
      <c r="AE55" s="110">
        <f t="shared" ref="AE55:BB55" si="12">IF(OR(AND(AE54&lt;&gt;0,AE56=0),AND(AE54=0,AE56&lt;&gt;0)),"Ошибка",IF(AE56=0,0,AE54/AE56))</f>
        <v>0</v>
      </c>
      <c r="AF55" s="110">
        <f t="shared" si="12"/>
        <v>0</v>
      </c>
      <c r="AG55" s="110">
        <f t="shared" si="12"/>
        <v>0</v>
      </c>
      <c r="AH55" s="110">
        <f t="shared" si="12"/>
        <v>0</v>
      </c>
      <c r="AI55" s="110">
        <f t="shared" si="12"/>
        <v>0</v>
      </c>
      <c r="AJ55" s="110">
        <f t="shared" si="12"/>
        <v>0</v>
      </c>
      <c r="AK55" s="110">
        <f t="shared" si="12"/>
        <v>0</v>
      </c>
      <c r="AL55" s="110">
        <f t="shared" si="12"/>
        <v>0</v>
      </c>
      <c r="AM55" s="110">
        <f t="shared" si="12"/>
        <v>0</v>
      </c>
      <c r="AN55" s="110">
        <f t="shared" si="12"/>
        <v>0</v>
      </c>
      <c r="AO55" s="110">
        <f t="shared" si="12"/>
        <v>0</v>
      </c>
      <c r="AP55" s="110">
        <f t="shared" si="12"/>
        <v>0</v>
      </c>
      <c r="AQ55" s="110">
        <f t="shared" si="12"/>
        <v>0</v>
      </c>
      <c r="AR55" s="110">
        <f t="shared" si="12"/>
        <v>0</v>
      </c>
      <c r="AS55" s="110">
        <f t="shared" si="12"/>
        <v>0</v>
      </c>
      <c r="AT55" s="110">
        <f t="shared" si="12"/>
        <v>0</v>
      </c>
      <c r="AU55" s="110">
        <f t="shared" si="12"/>
        <v>0</v>
      </c>
      <c r="AV55" s="110">
        <f t="shared" si="12"/>
        <v>0</v>
      </c>
      <c r="AW55" s="110">
        <f t="shared" si="12"/>
        <v>0</v>
      </c>
      <c r="AX55" s="110">
        <f t="shared" si="12"/>
        <v>0</v>
      </c>
      <c r="AY55" s="110">
        <f t="shared" si="12"/>
        <v>0</v>
      </c>
      <c r="AZ55" s="110">
        <f t="shared" si="12"/>
        <v>0</v>
      </c>
      <c r="BA55" s="110">
        <f t="shared" si="12"/>
        <v>0</v>
      </c>
      <c r="BB55" s="110">
        <f t="shared" si="12"/>
        <v>0</v>
      </c>
      <c r="BC55" s="1365"/>
      <c r="BD55" s="1332"/>
      <c r="BE55" s="1332"/>
      <c r="BF55" s="939" t="s">
        <v>869</v>
      </c>
      <c r="BG55" s="939" t="s">
        <v>867</v>
      </c>
      <c r="BH55" s="939" cm="1">
        <f t="array" ref="BH55">BH54</f>
        <v>0</v>
      </c>
      <c r="BI55" s="185"/>
      <c r="BJ55" s="185"/>
    </row>
    <row r="56" spans="1:62" s="1088" customFormat="1" ht="10.5" hidden="1" customHeight="1" x14ac:dyDescent="0.15">
      <c r="A56" s="1332"/>
      <c r="B56" s="351"/>
      <c r="C56" s="406"/>
      <c r="D56" s="1332"/>
      <c r="E56" s="185">
        <v>11.25</v>
      </c>
      <c r="F56" s="3" t="str" cm="1">
        <f t="array" aca="1" ref="F56" ca="1">OFFSET(E56,-1,1)</f>
        <v>1</v>
      </c>
      <c r="G56" s="45" t="s">
        <v>702</v>
      </c>
      <c r="H56" s="45" cm="1">
        <f t="array" ref="H56">H55</f>
        <v>0</v>
      </c>
      <c r="I56" s="1332"/>
      <c r="J56" s="1332"/>
      <c r="K56" s="1332"/>
      <c r="L56" s="1332"/>
      <c r="M56" s="1332"/>
      <c r="N56" s="1332"/>
      <c r="O56" s="1332"/>
      <c r="P56" s="1332"/>
      <c r="Q56" s="1332"/>
      <c r="R56" s="1332"/>
      <c r="S56" s="1332"/>
      <c r="T56" s="388" t="b" cm="1">
        <f t="array" aca="1" ref="T56" ca="1">T55</f>
        <v>0</v>
      </c>
      <c r="U56" s="1332"/>
      <c r="V56" s="1332"/>
      <c r="W56" s="1332"/>
      <c r="X56" s="2009"/>
      <c r="Y56" s="2009"/>
      <c r="Z56" s="2034"/>
      <c r="AA56" s="1958"/>
      <c r="AB56" s="8" t="str">
        <f>AB54&amp;".2"</f>
        <v>6.0.2</v>
      </c>
      <c r="AC56" s="111" t="s">
        <v>870</v>
      </c>
      <c r="AD56" s="11" t="s">
        <v>854</v>
      </c>
      <c r="AE56" s="1358"/>
      <c r="AF56" s="1358"/>
      <c r="AG56" s="1358"/>
      <c r="AH56" s="1358"/>
      <c r="AI56" s="60"/>
      <c r="AJ56" s="1358"/>
      <c r="AK56" s="1358"/>
      <c r="AL56" s="1358"/>
      <c r="AM56" s="1358"/>
      <c r="AN56" s="1358"/>
      <c r="AO56" s="1358"/>
      <c r="AP56" s="1358"/>
      <c r="AQ56" s="1358"/>
      <c r="AR56" s="1358"/>
      <c r="AS56" s="60"/>
      <c r="AT56" s="1358"/>
      <c r="AU56" s="1358"/>
      <c r="AV56" s="1358"/>
      <c r="AW56" s="1358"/>
      <c r="AX56" s="1358"/>
      <c r="AY56" s="1358"/>
      <c r="AZ56" s="1358"/>
      <c r="BA56" s="1358"/>
      <c r="BB56" s="1358"/>
      <c r="BC56" s="1365"/>
      <c r="BD56" s="1332"/>
      <c r="BE56" s="1332"/>
      <c r="BF56" s="939" t="s">
        <v>871</v>
      </c>
      <c r="BG56" s="939" t="s">
        <v>867</v>
      </c>
      <c r="BH56" s="939" cm="1">
        <f t="array" ref="BH56">BH55</f>
        <v>0</v>
      </c>
      <c r="BI56" s="185"/>
      <c r="BJ56" s="185"/>
    </row>
    <row r="57" spans="1:62" s="1088" customFormat="1" ht="33.75" customHeight="1" x14ac:dyDescent="0.15">
      <c r="A57" s="1332"/>
      <c r="B57" s="351"/>
      <c r="C57" s="406"/>
      <c r="D57" s="1332"/>
      <c r="E57" s="185">
        <v>11.25</v>
      </c>
      <c r="F57" s="3" t="str" cm="1">
        <f t="array" aca="1" ref="F57" ca="1">OFFSET(E57,-1,1)</f>
        <v>1</v>
      </c>
      <c r="G57" s="45" t="s">
        <v>544</v>
      </c>
      <c r="H57" s="45" t="str" cm="1">
        <f t="array" ref="H57">AC57</f>
        <v>СН2</v>
      </c>
      <c r="I57" s="1332"/>
      <c r="J57" s="1332"/>
      <c r="K57" s="1332"/>
      <c r="L57" s="1332"/>
      <c r="M57" s="1332"/>
      <c r="N57" s="1332"/>
      <c r="O57" s="1332"/>
      <c r="P57" s="1332"/>
      <c r="Q57" s="1332"/>
      <c r="R57" s="1332"/>
      <c r="S57" s="1332"/>
      <c r="T57" s="388" t="b">
        <f ca="1">AND(F57&gt;0,Y57&gt;0)</f>
        <v>1</v>
      </c>
      <c r="U57" s="1332"/>
      <c r="V57" s="1332"/>
      <c r="W57" s="677"/>
      <c r="X57" s="2009"/>
      <c r="Y57" s="2009" t="s">
        <v>282</v>
      </c>
      <c r="Z57" s="2034"/>
      <c r="AA57" s="1958" t="s">
        <v>173</v>
      </c>
      <c r="AB57" s="8" t="str">
        <f>"6."&amp;Y57</f>
        <v>6.1</v>
      </c>
      <c r="AC57" s="118" t="s">
        <v>898</v>
      </c>
      <c r="AD57" s="8" t="s">
        <v>831</v>
      </c>
      <c r="AE57" s="60">
        <v>4594.2774836374001</v>
      </c>
      <c r="AF57" s="60">
        <v>5672.18</v>
      </c>
      <c r="AG57" s="60">
        <v>5672.18</v>
      </c>
      <c r="AH57" s="60">
        <v>4819.3970803355996</v>
      </c>
      <c r="AI57" s="60">
        <v>6188.12</v>
      </c>
      <c r="AJ57" s="1358">
        <v>6162.83</v>
      </c>
      <c r="AK57" s="1358">
        <v>6409.34</v>
      </c>
      <c r="AL57" s="1358">
        <v>6665.71</v>
      </c>
      <c r="AM57" s="1358">
        <v>6932.34</v>
      </c>
      <c r="AN57" s="1358">
        <v>7209.64</v>
      </c>
      <c r="AO57" s="1358">
        <v>7498.02</v>
      </c>
      <c r="AP57" s="60"/>
      <c r="AQ57" s="60"/>
      <c r="AR57" s="60"/>
      <c r="AS57" s="60">
        <v>6123.74</v>
      </c>
      <c r="AT57" s="1358">
        <v>5112.8983625280998</v>
      </c>
      <c r="AU57" s="1358">
        <v>5266.2853134038996</v>
      </c>
      <c r="AV57" s="1358">
        <v>5424.2738728060003</v>
      </c>
      <c r="AW57" s="1358">
        <v>5587.0020889901998</v>
      </c>
      <c r="AX57" s="1358">
        <v>5754.6121516598996</v>
      </c>
      <c r="AY57" s="1358">
        <v>5927.2505162097004</v>
      </c>
      <c r="AZ57" s="60"/>
      <c r="BA57" s="60"/>
      <c r="BB57" s="60"/>
      <c r="BC57" s="119"/>
      <c r="BD57" s="1332"/>
      <c r="BE57" s="1332"/>
      <c r="BF57" s="939" t="s">
        <v>866</v>
      </c>
      <c r="BG57" s="939" t="s">
        <v>867</v>
      </c>
      <c r="BH57" s="939" t="str" cm="1">
        <f t="array" ref="BH57">AC57</f>
        <v>СН2</v>
      </c>
      <c r="BI57" s="185"/>
      <c r="BJ57" s="185" t="b">
        <v>1</v>
      </c>
    </row>
    <row r="58" spans="1:62" s="1088" customFormat="1" ht="117.75" customHeight="1" x14ac:dyDescent="0.15">
      <c r="A58" s="1332"/>
      <c r="B58" s="351"/>
      <c r="C58" s="406"/>
      <c r="D58" s="1332"/>
      <c r="E58" s="185">
        <v>11.25</v>
      </c>
      <c r="F58" s="3" t="str" cm="1">
        <f t="array" aca="1" ref="F58" ca="1">OFFSET(E58,-1,1)</f>
        <v>1</v>
      </c>
      <c r="G58" s="45" t="s">
        <v>699</v>
      </c>
      <c r="H58" s="45" t="str" cm="1">
        <f t="array" ref="H58">H57</f>
        <v>СН2</v>
      </c>
      <c r="I58" s="1332"/>
      <c r="J58" s="1332"/>
      <c r="K58" s="1332"/>
      <c r="L58" s="1332"/>
      <c r="M58" s="1332"/>
      <c r="N58" s="1332"/>
      <c r="O58" s="1332"/>
      <c r="P58" s="1332"/>
      <c r="Q58" s="1332"/>
      <c r="R58" s="1332"/>
      <c r="S58" s="1332"/>
      <c r="T58" s="388" t="b" cm="1">
        <f t="array" aca="1" ref="T58" ca="1">T57</f>
        <v>1</v>
      </c>
      <c r="U58" s="1332"/>
      <c r="V58" s="1332"/>
      <c r="W58" s="1332"/>
      <c r="X58" s="2009"/>
      <c r="Y58" s="2009"/>
      <c r="Z58" s="2034"/>
      <c r="AA58" s="1958"/>
      <c r="AB58" s="8" t="str">
        <f>AB57&amp;".1"</f>
        <v>6.1.1</v>
      </c>
      <c r="AC58" s="111" t="s">
        <v>868</v>
      </c>
      <c r="AD58" s="11" t="s">
        <v>860</v>
      </c>
      <c r="AE58" s="110">
        <f t="shared" ref="AE58:BB58" si="13">IF(OR(AND(AE57&lt;&gt;0,AE59=0),AND(AE57=0,AE59&lt;&gt;0)),"Ошибка",IF(AE59=0,0,AE57/AE59))</f>
        <v>5.930759000000009</v>
      </c>
      <c r="AF58" s="110">
        <f t="shared" si="13"/>
        <v>6.0915202543064568</v>
      </c>
      <c r="AG58" s="110">
        <f t="shared" si="13"/>
        <v>6.0915202543064568</v>
      </c>
      <c r="AH58" s="110">
        <f t="shared" si="13"/>
        <v>6.2213661909999667</v>
      </c>
      <c r="AI58" s="110">
        <f t="shared" si="13"/>
        <v>6.6456033334765241</v>
      </c>
      <c r="AJ58" s="110">
        <f t="shared" si="13"/>
        <v>6.7733827182203852</v>
      </c>
      <c r="AK58" s="110">
        <f t="shared" si="13"/>
        <v>7.0443145099246038</v>
      </c>
      <c r="AL58" s="110">
        <f t="shared" si="13"/>
        <v>7.3260831336689156</v>
      </c>
      <c r="AM58" s="110">
        <f t="shared" si="13"/>
        <v>7.6191282175279715</v>
      </c>
      <c r="AN58" s="110">
        <f t="shared" si="13"/>
        <v>7.923900380278285</v>
      </c>
      <c r="AO58" s="110">
        <f t="shared" si="13"/>
        <v>8.2408502406963713</v>
      </c>
      <c r="AP58" s="110">
        <f t="shared" si="13"/>
        <v>0</v>
      </c>
      <c r="AQ58" s="110">
        <f t="shared" si="13"/>
        <v>0</v>
      </c>
      <c r="AR58" s="110">
        <f t="shared" si="13"/>
        <v>0</v>
      </c>
      <c r="AS58" s="110">
        <f t="shared" si="13"/>
        <v>7.8885711341268614</v>
      </c>
      <c r="AT58" s="110">
        <f t="shared" si="13"/>
        <v>6.6002473920319451</v>
      </c>
      <c r="AU58" s="110">
        <f t="shared" si="13"/>
        <v>6.7982548137928474</v>
      </c>
      <c r="AV58" s="110">
        <f t="shared" si="13"/>
        <v>7.0022024582066118</v>
      </c>
      <c r="AW58" s="110">
        <f t="shared" si="13"/>
        <v>7.2122685319528355</v>
      </c>
      <c r="AX58" s="110">
        <f t="shared" si="13"/>
        <v>7.428636587911412</v>
      </c>
      <c r="AY58" s="110">
        <f t="shared" si="13"/>
        <v>7.6514956855487597</v>
      </c>
      <c r="AZ58" s="110">
        <f t="shared" si="13"/>
        <v>0</v>
      </c>
      <c r="BA58" s="110">
        <f t="shared" si="13"/>
        <v>0</v>
      </c>
      <c r="BB58" s="110">
        <f t="shared" si="13"/>
        <v>0</v>
      </c>
      <c r="BC58" s="119" t="s">
        <v>899</v>
      </c>
      <c r="BD58" s="1332"/>
      <c r="BE58" s="1332"/>
      <c r="BF58" s="939" t="s">
        <v>869</v>
      </c>
      <c r="BG58" s="939" t="s">
        <v>867</v>
      </c>
      <c r="BH58" s="939" t="str" cm="1">
        <f t="array" ref="BH58">BH57</f>
        <v>СН2</v>
      </c>
      <c r="BI58" s="185"/>
      <c r="BJ58" s="185"/>
    </row>
    <row r="59" spans="1:62" s="1088" customFormat="1" ht="33.75" customHeight="1" x14ac:dyDescent="0.15">
      <c r="A59" s="1332"/>
      <c r="B59" s="351"/>
      <c r="C59" s="406"/>
      <c r="D59" s="1332"/>
      <c r="E59" s="185">
        <v>11.25</v>
      </c>
      <c r="F59" s="3" t="str" cm="1">
        <f t="array" aca="1" ref="F59" ca="1">OFFSET(E59,-1,1)</f>
        <v>1</v>
      </c>
      <c r="G59" s="45" t="s">
        <v>702</v>
      </c>
      <c r="H59" s="45" t="str" cm="1">
        <f t="array" ref="H59">H58</f>
        <v>СН2</v>
      </c>
      <c r="I59" s="1332"/>
      <c r="J59" s="1332"/>
      <c r="K59" s="1332"/>
      <c r="L59" s="1332"/>
      <c r="M59" s="1332"/>
      <c r="N59" s="1332"/>
      <c r="O59" s="1332"/>
      <c r="P59" s="1332"/>
      <c r="Q59" s="1332"/>
      <c r="R59" s="1332"/>
      <c r="S59" s="1332"/>
      <c r="T59" s="388" t="b" cm="1">
        <f t="array" aca="1" ref="T59" ca="1">T58</f>
        <v>1</v>
      </c>
      <c r="U59" s="1332"/>
      <c r="V59" s="1332"/>
      <c r="W59" s="1332"/>
      <c r="X59" s="2009"/>
      <c r="Y59" s="2009"/>
      <c r="Z59" s="2034"/>
      <c r="AA59" s="1958"/>
      <c r="AB59" s="8" t="str">
        <f>AB57&amp;".2"</f>
        <v>6.1.2</v>
      </c>
      <c r="AC59" s="111" t="s">
        <v>870</v>
      </c>
      <c r="AD59" s="11" t="s">
        <v>854</v>
      </c>
      <c r="AE59" s="60">
        <v>774.65253328239999</v>
      </c>
      <c r="AF59" s="60">
        <v>931.16</v>
      </c>
      <c r="AG59" s="60">
        <v>931.16</v>
      </c>
      <c r="AH59" s="60">
        <v>774.65253328239999</v>
      </c>
      <c r="AI59" s="60">
        <v>931.16</v>
      </c>
      <c r="AJ59" s="1358">
        <v>909.86</v>
      </c>
      <c r="AK59" s="1358">
        <v>909.86</v>
      </c>
      <c r="AL59" s="1358">
        <v>909.86</v>
      </c>
      <c r="AM59" s="1358">
        <v>909.86</v>
      </c>
      <c r="AN59" s="1358">
        <v>909.86</v>
      </c>
      <c r="AO59" s="1358">
        <v>909.86</v>
      </c>
      <c r="AP59" s="60"/>
      <c r="AQ59" s="60"/>
      <c r="AR59" s="60"/>
      <c r="AS59" s="60">
        <v>776.28</v>
      </c>
      <c r="AT59" s="1358">
        <v>774.65253328239999</v>
      </c>
      <c r="AU59" s="1358">
        <v>774.65253328239999</v>
      </c>
      <c r="AV59" s="1358">
        <v>774.65253328239999</v>
      </c>
      <c r="AW59" s="1358">
        <v>774.65253328239999</v>
      </c>
      <c r="AX59" s="1358">
        <v>774.65253328239999</v>
      </c>
      <c r="AY59" s="1358">
        <v>774.65253328239999</v>
      </c>
      <c r="AZ59" s="60"/>
      <c r="BA59" s="60"/>
      <c r="BB59" s="60"/>
      <c r="BC59" s="119" t="s">
        <v>900</v>
      </c>
      <c r="BD59" s="1332"/>
      <c r="BE59" s="1332"/>
      <c r="BF59" s="939" t="s">
        <v>871</v>
      </c>
      <c r="BG59" s="939" t="s">
        <v>867</v>
      </c>
      <c r="BH59" s="939" t="str" cm="1">
        <f t="array" ref="BH59">BH58</f>
        <v>СН2</v>
      </c>
      <c r="BI59" s="185"/>
      <c r="BJ59" s="185"/>
    </row>
    <row r="60" spans="1:62" s="1088" customFormat="1" ht="33.75" customHeight="1" x14ac:dyDescent="0.15">
      <c r="A60" s="1332"/>
      <c r="B60" s="351"/>
      <c r="C60" s="406"/>
      <c r="D60" s="1332"/>
      <c r="E60" s="185">
        <v>11.25</v>
      </c>
      <c r="F60" s="3" t="str" cm="1">
        <f t="array" aca="1" ref="F60" ca="1">OFFSET(E60,-1,1)</f>
        <v>1</v>
      </c>
      <c r="G60" s="45" t="s">
        <v>544</v>
      </c>
      <c r="H60" s="45" t="str" cm="1">
        <f t="array" ref="H60">AC60</f>
        <v>НН</v>
      </c>
      <c r="I60" s="1332"/>
      <c r="J60" s="1332"/>
      <c r="K60" s="1332"/>
      <c r="L60" s="1332"/>
      <c r="M60" s="1332"/>
      <c r="N60" s="1332"/>
      <c r="O60" s="1332"/>
      <c r="P60" s="1332"/>
      <c r="Q60" s="1332"/>
      <c r="R60" s="1332"/>
      <c r="S60" s="1332"/>
      <c r="T60" s="388" t="b">
        <f ca="1">AND(F60&gt;0,Y60&gt;0)</f>
        <v>1</v>
      </c>
      <c r="U60" s="1332"/>
      <c r="V60" s="1332"/>
      <c r="W60" s="677"/>
      <c r="X60" s="2009"/>
      <c r="Y60" s="2009" t="s">
        <v>289</v>
      </c>
      <c r="Z60" s="2034"/>
      <c r="AA60" s="1958" t="s">
        <v>173</v>
      </c>
      <c r="AB60" s="8" t="str">
        <f>"6."&amp;Y60</f>
        <v>6.2</v>
      </c>
      <c r="AC60" s="118" t="s">
        <v>901</v>
      </c>
      <c r="AD60" s="8" t="s">
        <v>831</v>
      </c>
      <c r="AE60" s="60">
        <v>286.1308854673</v>
      </c>
      <c r="AF60" s="60">
        <v>313.74</v>
      </c>
      <c r="AG60" s="60">
        <v>313.74</v>
      </c>
      <c r="AH60" s="60">
        <v>300.15129885520003</v>
      </c>
      <c r="AI60" s="60">
        <v>342.28</v>
      </c>
      <c r="AJ60" s="1358">
        <v>386.93</v>
      </c>
      <c r="AK60" s="1358">
        <v>402.41</v>
      </c>
      <c r="AL60" s="1358">
        <v>418.5</v>
      </c>
      <c r="AM60" s="1358">
        <v>435.24</v>
      </c>
      <c r="AN60" s="1358">
        <v>452.65</v>
      </c>
      <c r="AO60" s="1358">
        <v>470.76</v>
      </c>
      <c r="AP60" s="60"/>
      <c r="AQ60" s="60"/>
      <c r="AR60" s="60"/>
      <c r="AS60" s="60">
        <v>381.11</v>
      </c>
      <c r="AT60" s="1358">
        <v>318.43051295539999</v>
      </c>
      <c r="AU60" s="1358">
        <v>327.98342834409999</v>
      </c>
      <c r="AV60" s="1358">
        <v>337.82293119439998</v>
      </c>
      <c r="AW60" s="1358">
        <v>347.95761913019999</v>
      </c>
      <c r="AX60" s="1358">
        <v>358.39634770420002</v>
      </c>
      <c r="AY60" s="1358">
        <v>369.14823813530001</v>
      </c>
      <c r="AZ60" s="60"/>
      <c r="BA60" s="60"/>
      <c r="BB60" s="60"/>
      <c r="BC60" s="119"/>
      <c r="BD60" s="1332"/>
      <c r="BE60" s="1332"/>
      <c r="BF60" s="939" t="s">
        <v>866</v>
      </c>
      <c r="BG60" s="939" t="s">
        <v>867</v>
      </c>
      <c r="BH60" s="939" t="str" cm="1">
        <f t="array" ref="BH60">AC60</f>
        <v>НН</v>
      </c>
      <c r="BI60" s="185"/>
      <c r="BJ60" s="185" t="b">
        <v>1</v>
      </c>
    </row>
    <row r="61" spans="1:62" s="1088" customFormat="1" ht="117.75" customHeight="1" x14ac:dyDescent="0.15">
      <c r="A61" s="1332"/>
      <c r="B61" s="351"/>
      <c r="C61" s="406"/>
      <c r="D61" s="1332"/>
      <c r="E61" s="185">
        <v>11.25</v>
      </c>
      <c r="F61" s="3" t="str" cm="1">
        <f t="array" aca="1" ref="F61" ca="1">OFFSET(E61,-1,1)</f>
        <v>1</v>
      </c>
      <c r="G61" s="45" t="s">
        <v>699</v>
      </c>
      <c r="H61" s="45" t="str" cm="1">
        <f t="array" ref="H61">H60</f>
        <v>НН</v>
      </c>
      <c r="I61" s="1332"/>
      <c r="J61" s="1332"/>
      <c r="K61" s="1332"/>
      <c r="L61" s="1332"/>
      <c r="M61" s="1332"/>
      <c r="N61" s="1332"/>
      <c r="O61" s="1332"/>
      <c r="P61" s="1332"/>
      <c r="Q61" s="1332"/>
      <c r="R61" s="1332"/>
      <c r="S61" s="1332"/>
      <c r="T61" s="388" t="b" cm="1">
        <f t="array" aca="1" ref="T61" ca="1">T60</f>
        <v>1</v>
      </c>
      <c r="U61" s="1332"/>
      <c r="V61" s="1332"/>
      <c r="W61" s="1332"/>
      <c r="X61" s="2009"/>
      <c r="Y61" s="2009"/>
      <c r="Z61" s="2034"/>
      <c r="AA61" s="1958"/>
      <c r="AB61" s="8" t="str">
        <f>AB60&amp;".1"</f>
        <v>6.2.1</v>
      </c>
      <c r="AC61" s="111" t="s">
        <v>868</v>
      </c>
      <c r="AD61" s="11" t="s">
        <v>860</v>
      </c>
      <c r="AE61" s="110">
        <f t="shared" ref="AE61:BB61" si="14">IF(OR(AND(AE60&lt;&gt;0,AE62=0),AND(AE60=0,AE62&lt;&gt;0)),"Ошибка",IF(AE62=0,0,AE60/AE62))</f>
        <v>7.4574999999968457</v>
      </c>
      <c r="AF61" s="110">
        <f t="shared" si="14"/>
        <v>7.6540619663332521</v>
      </c>
      <c r="AG61" s="110">
        <f t="shared" si="14"/>
        <v>7.6540619663332521</v>
      </c>
      <c r="AH61" s="110">
        <f t="shared" si="14"/>
        <v>7.8229174999967519</v>
      </c>
      <c r="AI61" s="110">
        <f t="shared" si="14"/>
        <v>8.3503293486216137</v>
      </c>
      <c r="AJ61" s="110">
        <f t="shared" si="14"/>
        <v>8.5850898602174404</v>
      </c>
      <c r="AK61" s="110">
        <f t="shared" si="14"/>
        <v>8.928555580208565</v>
      </c>
      <c r="AL61" s="110">
        <f t="shared" si="14"/>
        <v>9.2855558020856446</v>
      </c>
      <c r="AM61" s="110">
        <f t="shared" si="14"/>
        <v>9.6569780341690699</v>
      </c>
      <c r="AN61" s="110">
        <f t="shared" si="14"/>
        <v>10.043266030619037</v>
      </c>
      <c r="AO61" s="110">
        <f t="shared" si="14"/>
        <v>10.445085422675838</v>
      </c>
      <c r="AP61" s="110">
        <f t="shared" si="14"/>
        <v>0</v>
      </c>
      <c r="AQ61" s="110">
        <f t="shared" si="14"/>
        <v>0</v>
      </c>
      <c r="AR61" s="110">
        <f t="shared" si="14"/>
        <v>0</v>
      </c>
      <c r="AS61" s="110">
        <f t="shared" si="14"/>
        <v>9.911833550065019</v>
      </c>
      <c r="AT61" s="110">
        <f t="shared" si="14"/>
        <v>8.2993331757444242</v>
      </c>
      <c r="AU61" s="110">
        <f t="shared" si="14"/>
        <v>8.5483131710177478</v>
      </c>
      <c r="AV61" s="110">
        <f t="shared" si="14"/>
        <v>8.80476256614768</v>
      </c>
      <c r="AW61" s="110">
        <f t="shared" si="14"/>
        <v>9.0689054431312766</v>
      </c>
      <c r="AX61" s="110">
        <f t="shared" si="14"/>
        <v>9.3409726064276661</v>
      </c>
      <c r="AY61" s="110">
        <f t="shared" si="14"/>
        <v>9.6212017846198172</v>
      </c>
      <c r="AZ61" s="110">
        <f t="shared" si="14"/>
        <v>0</v>
      </c>
      <c r="BA61" s="110">
        <f t="shared" si="14"/>
        <v>0</v>
      </c>
      <c r="BB61" s="110">
        <f t="shared" si="14"/>
        <v>0</v>
      </c>
      <c r="BC61" s="119" t="s">
        <v>899</v>
      </c>
      <c r="BD61" s="1332"/>
      <c r="BE61" s="1332"/>
      <c r="BF61" s="939" t="s">
        <v>869</v>
      </c>
      <c r="BG61" s="939" t="s">
        <v>867</v>
      </c>
      <c r="BH61" s="939" t="str" cm="1">
        <f t="array" ref="BH61">BH60</f>
        <v>НН</v>
      </c>
      <c r="BI61" s="185"/>
      <c r="BJ61" s="185"/>
    </row>
    <row r="62" spans="1:62" s="1088" customFormat="1" ht="33.75" customHeight="1" x14ac:dyDescent="0.15">
      <c r="A62" s="1332"/>
      <c r="B62" s="351"/>
      <c r="C62" s="406"/>
      <c r="D62" s="1332"/>
      <c r="E62" s="185">
        <v>11.25</v>
      </c>
      <c r="F62" s="3" t="str" cm="1">
        <f t="array" aca="1" ref="F62" ca="1">OFFSET(E62,-1,1)</f>
        <v>1</v>
      </c>
      <c r="G62" s="45" t="s">
        <v>702</v>
      </c>
      <c r="H62" s="45" t="str" cm="1">
        <f t="array" ref="H62">H61</f>
        <v>НН</v>
      </c>
      <c r="I62" s="1332"/>
      <c r="J62" s="1332"/>
      <c r="K62" s="1332"/>
      <c r="L62" s="1332"/>
      <c r="M62" s="1332"/>
      <c r="N62" s="1332"/>
      <c r="O62" s="1332"/>
      <c r="P62" s="1332"/>
      <c r="Q62" s="1332"/>
      <c r="R62" s="1332"/>
      <c r="S62" s="1332"/>
      <c r="T62" s="388" t="b" cm="1">
        <f t="array" aca="1" ref="T62" ca="1">T61</f>
        <v>1</v>
      </c>
      <c r="U62" s="1332"/>
      <c r="V62" s="1332"/>
      <c r="W62" s="1332"/>
      <c r="X62" s="2009"/>
      <c r="Y62" s="2009"/>
      <c r="Z62" s="2034"/>
      <c r="AA62" s="1958"/>
      <c r="AB62" s="8" t="str">
        <f>AB60&amp;".2"</f>
        <v>6.2.2</v>
      </c>
      <c r="AC62" s="111" t="s">
        <v>870</v>
      </c>
      <c r="AD62" s="11" t="s">
        <v>854</v>
      </c>
      <c r="AE62" s="60">
        <v>38.368204554800002</v>
      </c>
      <c r="AF62" s="60">
        <v>40.99</v>
      </c>
      <c r="AG62" s="60">
        <v>40.99</v>
      </c>
      <c r="AH62" s="60">
        <v>38.368204554800002</v>
      </c>
      <c r="AI62" s="60">
        <v>40.99</v>
      </c>
      <c r="AJ62" s="1358">
        <v>45.07</v>
      </c>
      <c r="AK62" s="1358">
        <v>45.07</v>
      </c>
      <c r="AL62" s="1358">
        <v>45.07</v>
      </c>
      <c r="AM62" s="1358">
        <v>45.07</v>
      </c>
      <c r="AN62" s="1358">
        <v>45.07</v>
      </c>
      <c r="AO62" s="1358">
        <v>45.07</v>
      </c>
      <c r="AP62" s="60"/>
      <c r="AQ62" s="60"/>
      <c r="AR62" s="60"/>
      <c r="AS62" s="60">
        <v>38.450000000000003</v>
      </c>
      <c r="AT62" s="1358">
        <v>38.368204554800002</v>
      </c>
      <c r="AU62" s="1358">
        <v>38.368204554800002</v>
      </c>
      <c r="AV62" s="1358">
        <v>38.368204554800002</v>
      </c>
      <c r="AW62" s="1358">
        <v>38.368204554800002</v>
      </c>
      <c r="AX62" s="1358">
        <v>38.368204554800002</v>
      </c>
      <c r="AY62" s="1358">
        <v>38.368204554800002</v>
      </c>
      <c r="AZ62" s="60"/>
      <c r="BA62" s="60"/>
      <c r="BB62" s="60"/>
      <c r="BC62" s="119" t="s">
        <v>900</v>
      </c>
      <c r="BD62" s="1332"/>
      <c r="BE62" s="1332"/>
      <c r="BF62" s="939" t="s">
        <v>871</v>
      </c>
      <c r="BG62" s="939" t="s">
        <v>867</v>
      </c>
      <c r="BH62" s="939" t="str" cm="1">
        <f t="array" ref="BH62">BH61</f>
        <v>НН</v>
      </c>
      <c r="BI62" s="185"/>
      <c r="BJ62" s="185"/>
    </row>
    <row r="63" spans="1:62" s="1249" customFormat="1" ht="14.25" customHeight="1" x14ac:dyDescent="0.15">
      <c r="B63" s="349"/>
      <c r="C63" s="406"/>
      <c r="E63" s="557">
        <v>15</v>
      </c>
      <c r="F63" s="3" t="str" cm="1">
        <f t="array" aca="1" ref="F63" ca="1">OFFSET(E63,-1,1)</f>
        <v>1</v>
      </c>
      <c r="H63" s="868" t="s">
        <v>872</v>
      </c>
      <c r="T63" s="388" t="b">
        <f ca="1">F63&gt;0</f>
        <v>1</v>
      </c>
      <c r="W63" s="677" t="s">
        <v>396</v>
      </c>
      <c r="X63" s="2009"/>
      <c r="Z63" s="2034"/>
      <c r="AB63" s="577"/>
      <c r="AC63" s="97" t="s">
        <v>176</v>
      </c>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106"/>
      <c r="BF63" s="927"/>
      <c r="BG63" s="927"/>
      <c r="BH63" s="927"/>
      <c r="BI63" s="557" t="s">
        <v>867</v>
      </c>
      <c r="BJ63" s="557"/>
    </row>
    <row r="64" spans="1:62" s="1088" customFormat="1" ht="12" customHeight="1" x14ac:dyDescent="0.15">
      <c r="A64" s="1332"/>
      <c r="B64" s="351"/>
      <c r="C64" s="406"/>
      <c r="D64" s="1332"/>
      <c r="E64" s="185">
        <v>13</v>
      </c>
      <c r="F64" s="3" t="str" cm="1">
        <f t="array" aca="1" ref="F64" ca="1">OFFSET(E64,-1,1)</f>
        <v>1</v>
      </c>
      <c r="G64" s="45"/>
      <c r="H64" s="45"/>
      <c r="I64" s="1332"/>
      <c r="J64" s="1332"/>
      <c r="K64" s="1332"/>
      <c r="L64" s="1332"/>
      <c r="M64" s="1332"/>
      <c r="N64" s="1332"/>
      <c r="O64" s="1332"/>
      <c r="P64" s="1332"/>
      <c r="Q64" s="1332"/>
      <c r="R64" s="1332"/>
      <c r="S64" s="1332"/>
      <c r="T64" s="388" t="b" cm="1">
        <f t="array" aca="1" ref="T64" ca="1">T63</f>
        <v>1</v>
      </c>
      <c r="U64" s="1332"/>
      <c r="V64" s="1332"/>
      <c r="W64" s="1332"/>
      <c r="X64" s="2009"/>
      <c r="Y64" s="1332"/>
      <c r="Z64" s="2034"/>
      <c r="AA64" s="1332"/>
      <c r="AB64" s="576"/>
      <c r="AC64" s="184" t="s">
        <v>873</v>
      </c>
      <c r="AD64" s="185"/>
      <c r="AE64" s="186"/>
      <c r="AF64" s="186"/>
      <c r="AG64" s="186"/>
      <c r="AH64" s="186"/>
      <c r="AI64" s="186"/>
      <c r="AJ64" s="186"/>
      <c r="AK64" s="186"/>
      <c r="AL64" s="186"/>
      <c r="AM64" s="186"/>
      <c r="AN64" s="186"/>
      <c r="AO64" s="186"/>
      <c r="AP64" s="186"/>
      <c r="AQ64" s="186"/>
      <c r="AR64" s="186"/>
      <c r="AS64" s="186"/>
      <c r="AT64" s="186"/>
      <c r="AU64" s="186"/>
      <c r="AV64" s="186"/>
      <c r="AW64" s="186"/>
      <c r="AX64" s="186"/>
      <c r="AY64" s="186"/>
      <c r="AZ64" s="186"/>
      <c r="BA64" s="186"/>
      <c r="BB64" s="186"/>
      <c r="BC64" s="187"/>
      <c r="BD64" s="1332"/>
      <c r="BE64" s="1332"/>
      <c r="BF64" s="939"/>
      <c r="BG64" s="939"/>
      <c r="BH64" s="939"/>
      <c r="BI64" s="185"/>
      <c r="BJ64" s="185"/>
    </row>
    <row r="65" spans="1:62" s="1088" customFormat="1" ht="10.5" hidden="1" customHeight="1" x14ac:dyDescent="0.15">
      <c r="A65" s="1332"/>
      <c r="B65" s="351"/>
      <c r="C65" s="406"/>
      <c r="D65" s="1332"/>
      <c r="E65" s="185">
        <v>11.25</v>
      </c>
      <c r="F65" s="3" t="str" cm="1">
        <f t="array" aca="1" ref="F65" ca="1">OFFSET(E65,-1,1)</f>
        <v>1</v>
      </c>
      <c r="G65" s="45" t="s">
        <v>544</v>
      </c>
      <c r="H65" s="45" cm="1">
        <f t="array" ref="H65">AC65</f>
        <v>0</v>
      </c>
      <c r="I65" s="1332"/>
      <c r="J65" s="1332"/>
      <c r="K65" s="1332"/>
      <c r="L65" s="1332"/>
      <c r="M65" s="1332"/>
      <c r="N65" s="1332"/>
      <c r="O65" s="1332"/>
      <c r="P65" s="1332"/>
      <c r="Q65" s="1332"/>
      <c r="R65" s="1332"/>
      <c r="S65" s="1332"/>
      <c r="T65" s="388" t="b">
        <f ca="1">AND(F65&gt;0,Y65&gt;0)</f>
        <v>0</v>
      </c>
      <c r="U65" s="1332"/>
      <c r="V65" s="1332"/>
      <c r="W65" s="677" t="s">
        <v>172</v>
      </c>
      <c r="X65" s="2009"/>
      <c r="Y65" s="2009">
        <v>0</v>
      </c>
      <c r="Z65" s="2034"/>
      <c r="AA65" s="1958" t="s">
        <v>173</v>
      </c>
      <c r="AB65" s="8" t="str">
        <f>"7."&amp;Y65</f>
        <v>7.0</v>
      </c>
      <c r="AC65" s="1396"/>
      <c r="AD65" s="8" t="s">
        <v>831</v>
      </c>
      <c r="AE65" s="110">
        <f t="shared" ref="AE65:BB65" si="15">AE66+AE69</f>
        <v>0</v>
      </c>
      <c r="AF65" s="110">
        <f t="shared" si="15"/>
        <v>0</v>
      </c>
      <c r="AG65" s="110">
        <f t="shared" si="15"/>
        <v>0</v>
      </c>
      <c r="AH65" s="110">
        <f t="shared" si="15"/>
        <v>0</v>
      </c>
      <c r="AI65" s="110">
        <f t="shared" si="15"/>
        <v>0</v>
      </c>
      <c r="AJ65" s="110">
        <f t="shared" si="15"/>
        <v>0</v>
      </c>
      <c r="AK65" s="110">
        <f t="shared" si="15"/>
        <v>0</v>
      </c>
      <c r="AL65" s="110">
        <f t="shared" si="15"/>
        <v>0</v>
      </c>
      <c r="AM65" s="110">
        <f t="shared" si="15"/>
        <v>0</v>
      </c>
      <c r="AN65" s="110">
        <f t="shared" si="15"/>
        <v>0</v>
      </c>
      <c r="AO65" s="110">
        <f t="shared" si="15"/>
        <v>0</v>
      </c>
      <c r="AP65" s="110">
        <f t="shared" si="15"/>
        <v>0</v>
      </c>
      <c r="AQ65" s="110">
        <f t="shared" si="15"/>
        <v>0</v>
      </c>
      <c r="AR65" s="110">
        <f t="shared" si="15"/>
        <v>0</v>
      </c>
      <c r="AS65" s="110">
        <f t="shared" si="15"/>
        <v>0</v>
      </c>
      <c r="AT65" s="110">
        <f t="shared" si="15"/>
        <v>0</v>
      </c>
      <c r="AU65" s="110">
        <f t="shared" si="15"/>
        <v>0</v>
      </c>
      <c r="AV65" s="110">
        <f t="shared" si="15"/>
        <v>0</v>
      </c>
      <c r="AW65" s="110">
        <f t="shared" si="15"/>
        <v>0</v>
      </c>
      <c r="AX65" s="110">
        <f t="shared" si="15"/>
        <v>0</v>
      </c>
      <c r="AY65" s="110">
        <f t="shared" si="15"/>
        <v>0</v>
      </c>
      <c r="AZ65" s="110">
        <f t="shared" si="15"/>
        <v>0</v>
      </c>
      <c r="BA65" s="110">
        <f t="shared" si="15"/>
        <v>0</v>
      </c>
      <c r="BB65" s="110">
        <f t="shared" si="15"/>
        <v>0</v>
      </c>
      <c r="BC65" s="1365"/>
      <c r="BD65" s="1332"/>
      <c r="BE65" s="1332"/>
      <c r="BF65" s="939" t="s">
        <v>874</v>
      </c>
      <c r="BG65" s="939" t="s">
        <v>875</v>
      </c>
      <c r="BH65" s="939" cm="1">
        <f t="array" ref="BH65">AC65</f>
        <v>0</v>
      </c>
      <c r="BI65" s="185"/>
      <c r="BJ65" s="185"/>
    </row>
    <row r="66" spans="1:62" s="1088" customFormat="1" ht="10.5" hidden="1" customHeight="1" x14ac:dyDescent="0.15">
      <c r="A66" s="1332"/>
      <c r="B66" s="351"/>
      <c r="C66" s="406"/>
      <c r="D66" s="1332"/>
      <c r="E66" s="185">
        <v>11.25</v>
      </c>
      <c r="F66" s="3" t="str" cm="1">
        <f t="array" aca="1" ref="F66" ca="1">OFFSET(E66,-1,1)</f>
        <v>1</v>
      </c>
      <c r="G66" s="45" t="s">
        <v>706</v>
      </c>
      <c r="H66" s="45" cm="1">
        <f t="array" ref="H66">H65</f>
        <v>0</v>
      </c>
      <c r="I66" s="1332"/>
      <c r="J66" s="1332"/>
      <c r="K66" s="1332"/>
      <c r="L66" s="1332"/>
      <c r="M66" s="1332"/>
      <c r="N66" s="1332"/>
      <c r="O66" s="1332"/>
      <c r="P66" s="1332"/>
      <c r="Q66" s="1332"/>
      <c r="R66" s="1332"/>
      <c r="S66" s="1332"/>
      <c r="T66" s="388" t="b" cm="1">
        <f t="array" aca="1" ref="T66" ca="1">T65</f>
        <v>0</v>
      </c>
      <c r="U66" s="1332"/>
      <c r="V66" s="1332"/>
      <c r="W66" s="1332"/>
      <c r="X66" s="2009"/>
      <c r="Y66" s="2009"/>
      <c r="Z66" s="2034"/>
      <c r="AA66" s="1958"/>
      <c r="AB66" s="8" t="str">
        <f>AB65&amp;".1"</f>
        <v>7.0.1</v>
      </c>
      <c r="AC66" s="111" t="s">
        <v>876</v>
      </c>
      <c r="AD66" s="8" t="s">
        <v>877</v>
      </c>
      <c r="AE66" s="1358"/>
      <c r="AF66" s="1358"/>
      <c r="AG66" s="1358"/>
      <c r="AH66" s="1358"/>
      <c r="AI66" s="60"/>
      <c r="AJ66" s="1358"/>
      <c r="AK66" s="1358"/>
      <c r="AL66" s="1358"/>
      <c r="AM66" s="1358"/>
      <c r="AN66" s="1358"/>
      <c r="AO66" s="1358"/>
      <c r="AP66" s="1358"/>
      <c r="AQ66" s="1358"/>
      <c r="AR66" s="1358"/>
      <c r="AS66" s="60"/>
      <c r="AT66" s="1358"/>
      <c r="AU66" s="1358"/>
      <c r="AV66" s="1358"/>
      <c r="AW66" s="1358"/>
      <c r="AX66" s="1358"/>
      <c r="AY66" s="1358"/>
      <c r="AZ66" s="1358"/>
      <c r="BA66" s="1358"/>
      <c r="BB66" s="1358"/>
      <c r="BC66" s="1365"/>
      <c r="BD66" s="1332"/>
      <c r="BE66" s="1332"/>
      <c r="BF66" s="939" t="s">
        <v>878</v>
      </c>
      <c r="BG66" s="939" t="s">
        <v>875</v>
      </c>
      <c r="BH66" s="939" cm="1">
        <f t="array" ref="BH66">BH65</f>
        <v>0</v>
      </c>
      <c r="BI66" s="185"/>
      <c r="BJ66" s="185"/>
    </row>
    <row r="67" spans="1:62" s="1088" customFormat="1" ht="10.5" hidden="1" customHeight="1" x14ac:dyDescent="0.15">
      <c r="A67" s="1332"/>
      <c r="B67" s="351"/>
      <c r="C67" s="406"/>
      <c r="D67" s="1332"/>
      <c r="E67" s="185">
        <v>11.25</v>
      </c>
      <c r="F67" s="3" t="str" cm="1">
        <f t="array" aca="1" ref="F67" ca="1">OFFSET(E67,-1,1)</f>
        <v>1</v>
      </c>
      <c r="G67" s="45" t="s">
        <v>879</v>
      </c>
      <c r="H67" s="45" cm="1">
        <f t="array" ref="H67">H66</f>
        <v>0</v>
      </c>
      <c r="I67" s="1332"/>
      <c r="J67" s="1332"/>
      <c r="K67" s="1332"/>
      <c r="L67" s="1332"/>
      <c r="M67" s="1332"/>
      <c r="N67" s="1332"/>
      <c r="O67" s="1332"/>
      <c r="P67" s="1332"/>
      <c r="Q67" s="1332"/>
      <c r="R67" s="1332"/>
      <c r="S67" s="1332"/>
      <c r="T67" s="388" t="b" cm="1">
        <f t="array" aca="1" ref="T67" ca="1">T66</f>
        <v>0</v>
      </c>
      <c r="U67" s="1332"/>
      <c r="V67" s="1332"/>
      <c r="W67" s="1332"/>
      <c r="X67" s="2009"/>
      <c r="Y67" s="2009"/>
      <c r="Z67" s="2034"/>
      <c r="AA67" s="1958"/>
      <c r="AB67" s="8" t="str">
        <f>AB65&amp;".1.1"</f>
        <v>7.0.1.1</v>
      </c>
      <c r="AC67" s="248" t="s">
        <v>868</v>
      </c>
      <c r="AD67" s="11" t="s">
        <v>860</v>
      </c>
      <c r="AE67" s="110">
        <f t="shared" ref="AE67:BB67" si="16">IF(OR(AND(AE66&lt;&gt;0,AE68=0),AND(AE66=0,AE68&lt;&gt;0)),"Ошибка",IF(AE68=0,0,AE66/AE68))</f>
        <v>0</v>
      </c>
      <c r="AF67" s="110">
        <f t="shared" si="16"/>
        <v>0</v>
      </c>
      <c r="AG67" s="110">
        <f t="shared" si="16"/>
        <v>0</v>
      </c>
      <c r="AH67" s="110">
        <f t="shared" si="16"/>
        <v>0</v>
      </c>
      <c r="AI67" s="110">
        <f t="shared" si="16"/>
        <v>0</v>
      </c>
      <c r="AJ67" s="110">
        <f t="shared" si="16"/>
        <v>0</v>
      </c>
      <c r="AK67" s="110">
        <f t="shared" si="16"/>
        <v>0</v>
      </c>
      <c r="AL67" s="110">
        <f t="shared" si="16"/>
        <v>0</v>
      </c>
      <c r="AM67" s="110">
        <f t="shared" si="16"/>
        <v>0</v>
      </c>
      <c r="AN67" s="110">
        <f t="shared" si="16"/>
        <v>0</v>
      </c>
      <c r="AO67" s="110">
        <f t="shared" si="16"/>
        <v>0</v>
      </c>
      <c r="AP67" s="110">
        <f t="shared" si="16"/>
        <v>0</v>
      </c>
      <c r="AQ67" s="110">
        <f t="shared" si="16"/>
        <v>0</v>
      </c>
      <c r="AR67" s="110">
        <f t="shared" si="16"/>
        <v>0</v>
      </c>
      <c r="AS67" s="110">
        <f t="shared" si="16"/>
        <v>0</v>
      </c>
      <c r="AT67" s="110">
        <f t="shared" si="16"/>
        <v>0</v>
      </c>
      <c r="AU67" s="110">
        <f t="shared" si="16"/>
        <v>0</v>
      </c>
      <c r="AV67" s="110">
        <f t="shared" si="16"/>
        <v>0</v>
      </c>
      <c r="AW67" s="110">
        <f t="shared" si="16"/>
        <v>0</v>
      </c>
      <c r="AX67" s="110">
        <f t="shared" si="16"/>
        <v>0</v>
      </c>
      <c r="AY67" s="110">
        <f t="shared" si="16"/>
        <v>0</v>
      </c>
      <c r="AZ67" s="110">
        <f t="shared" si="16"/>
        <v>0</v>
      </c>
      <c r="BA67" s="110">
        <f t="shared" si="16"/>
        <v>0</v>
      </c>
      <c r="BB67" s="110">
        <f t="shared" si="16"/>
        <v>0</v>
      </c>
      <c r="BC67" s="1365"/>
      <c r="BD67" s="1332"/>
      <c r="BE67" s="1332"/>
      <c r="BF67" s="939" t="s">
        <v>880</v>
      </c>
      <c r="BG67" s="939" t="s">
        <v>875</v>
      </c>
      <c r="BH67" s="939" cm="1">
        <f t="array" ref="BH67">BH66</f>
        <v>0</v>
      </c>
      <c r="BI67" s="185"/>
      <c r="BJ67" s="185"/>
    </row>
    <row r="68" spans="1:62" s="1088" customFormat="1" ht="10.5" hidden="1" customHeight="1" x14ac:dyDescent="0.15">
      <c r="A68" s="1332"/>
      <c r="B68" s="351"/>
      <c r="C68" s="406"/>
      <c r="D68" s="1332"/>
      <c r="E68" s="185">
        <v>11.25</v>
      </c>
      <c r="F68" s="3" t="str" cm="1">
        <f t="array" aca="1" ref="F68" ca="1">OFFSET(E68,-1,1)</f>
        <v>1</v>
      </c>
      <c r="G68" s="45" t="s">
        <v>881</v>
      </c>
      <c r="H68" s="45" cm="1">
        <f t="array" ref="H68">H67</f>
        <v>0</v>
      </c>
      <c r="I68" s="1332"/>
      <c r="J68" s="1332"/>
      <c r="K68" s="1332"/>
      <c r="L68" s="1332"/>
      <c r="M68" s="1332"/>
      <c r="N68" s="1332"/>
      <c r="O68" s="1332"/>
      <c r="P68" s="1332"/>
      <c r="Q68" s="1332"/>
      <c r="R68" s="1332"/>
      <c r="S68" s="1332"/>
      <c r="T68" s="388" t="b" cm="1">
        <f t="array" aca="1" ref="T68" ca="1">T67</f>
        <v>0</v>
      </c>
      <c r="U68" s="1332"/>
      <c r="V68" s="1332"/>
      <c r="W68" s="1332"/>
      <c r="X68" s="2009"/>
      <c r="Y68" s="2009"/>
      <c r="Z68" s="2034"/>
      <c r="AA68" s="1958"/>
      <c r="AB68" s="8" t="str">
        <f>AB65&amp;".1.2"</f>
        <v>7.0.1.2</v>
      </c>
      <c r="AC68" s="248" t="s">
        <v>870</v>
      </c>
      <c r="AD68" s="11" t="s">
        <v>854</v>
      </c>
      <c r="AE68" s="1358"/>
      <c r="AF68" s="1358"/>
      <c r="AG68" s="1358"/>
      <c r="AH68" s="1358"/>
      <c r="AI68" s="60"/>
      <c r="AJ68" s="1358"/>
      <c r="AK68" s="1358"/>
      <c r="AL68" s="1358"/>
      <c r="AM68" s="1358"/>
      <c r="AN68" s="1358"/>
      <c r="AO68" s="1358"/>
      <c r="AP68" s="1358"/>
      <c r="AQ68" s="1358"/>
      <c r="AR68" s="1358"/>
      <c r="AS68" s="60"/>
      <c r="AT68" s="1358"/>
      <c r="AU68" s="1358"/>
      <c r="AV68" s="1358"/>
      <c r="AW68" s="1358"/>
      <c r="AX68" s="1358"/>
      <c r="AY68" s="1358"/>
      <c r="AZ68" s="1358"/>
      <c r="BA68" s="1358"/>
      <c r="BB68" s="1358"/>
      <c r="BC68" s="1365"/>
      <c r="BD68" s="1332"/>
      <c r="BE68" s="1332"/>
      <c r="BF68" s="939" t="s">
        <v>882</v>
      </c>
      <c r="BG68" s="939" t="s">
        <v>875</v>
      </c>
      <c r="BH68" s="939" cm="1">
        <f t="array" ref="BH68">BH67</f>
        <v>0</v>
      </c>
      <c r="BI68" s="185"/>
      <c r="BJ68" s="185"/>
    </row>
    <row r="69" spans="1:62" s="1088" customFormat="1" ht="10.5" hidden="1" customHeight="1" x14ac:dyDescent="0.15">
      <c r="A69" s="1332"/>
      <c r="B69" s="351"/>
      <c r="C69" s="406"/>
      <c r="D69" s="1332"/>
      <c r="E69" s="185">
        <v>11.25</v>
      </c>
      <c r="F69" s="3" t="str" cm="1">
        <f t="array" aca="1" ref="F69" ca="1">OFFSET(E69,-1,1)</f>
        <v>1</v>
      </c>
      <c r="G69" s="45" t="s">
        <v>709</v>
      </c>
      <c r="H69" s="45" cm="1">
        <f t="array" ref="H69">H68</f>
        <v>0</v>
      </c>
      <c r="I69" s="1332"/>
      <c r="J69" s="1332"/>
      <c r="K69" s="1332"/>
      <c r="L69" s="1332"/>
      <c r="M69" s="1332"/>
      <c r="N69" s="1332"/>
      <c r="O69" s="1332"/>
      <c r="P69" s="1332"/>
      <c r="Q69" s="1332"/>
      <c r="R69" s="1332"/>
      <c r="S69" s="1332"/>
      <c r="T69" s="388" t="b" cm="1">
        <f t="array" aca="1" ref="T69" ca="1">T68</f>
        <v>0</v>
      </c>
      <c r="U69" s="1332"/>
      <c r="V69" s="1332"/>
      <c r="W69" s="1332"/>
      <c r="X69" s="2009"/>
      <c r="Y69" s="2009"/>
      <c r="Z69" s="2034"/>
      <c r="AA69" s="1958"/>
      <c r="AB69" s="8" t="str">
        <f>AB65&amp;".2"</f>
        <v>7.0.2</v>
      </c>
      <c r="AC69" s="111" t="s">
        <v>883</v>
      </c>
      <c r="AD69" s="8" t="s">
        <v>877</v>
      </c>
      <c r="AE69" s="1358"/>
      <c r="AF69" s="1358"/>
      <c r="AG69" s="1358"/>
      <c r="AH69" s="1358"/>
      <c r="AI69" s="60"/>
      <c r="AJ69" s="1358"/>
      <c r="AK69" s="1358"/>
      <c r="AL69" s="1358"/>
      <c r="AM69" s="1358"/>
      <c r="AN69" s="1358"/>
      <c r="AO69" s="1358"/>
      <c r="AP69" s="1358"/>
      <c r="AQ69" s="1358"/>
      <c r="AR69" s="1358"/>
      <c r="AS69" s="60"/>
      <c r="AT69" s="1358"/>
      <c r="AU69" s="1358"/>
      <c r="AV69" s="1358"/>
      <c r="AW69" s="1358"/>
      <c r="AX69" s="1358"/>
      <c r="AY69" s="1358"/>
      <c r="AZ69" s="1358"/>
      <c r="BA69" s="1358"/>
      <c r="BB69" s="1358"/>
      <c r="BC69" s="1365"/>
      <c r="BD69" s="1332"/>
      <c r="BE69" s="1332"/>
      <c r="BF69" s="939" t="s">
        <v>884</v>
      </c>
      <c r="BG69" s="939" t="s">
        <v>875</v>
      </c>
      <c r="BH69" s="939" cm="1">
        <f t="array" ref="BH69">BH68</f>
        <v>0</v>
      </c>
      <c r="BI69" s="185"/>
      <c r="BJ69" s="185"/>
    </row>
    <row r="70" spans="1:62" s="1088" customFormat="1" ht="10.5" hidden="1" customHeight="1" x14ac:dyDescent="0.15">
      <c r="A70" s="1332"/>
      <c r="B70" s="351"/>
      <c r="C70" s="406"/>
      <c r="D70" s="1332"/>
      <c r="E70" s="185">
        <v>11.25</v>
      </c>
      <c r="F70" s="3" t="str" cm="1">
        <f t="array" aca="1" ref="F70" ca="1">OFFSET(E70,-1,1)</f>
        <v>1</v>
      </c>
      <c r="G70" s="45" t="s">
        <v>885</v>
      </c>
      <c r="H70" s="45" cm="1">
        <f t="array" ref="H70">H69</f>
        <v>0</v>
      </c>
      <c r="I70" s="1332"/>
      <c r="J70" s="1332"/>
      <c r="K70" s="1332"/>
      <c r="L70" s="1332"/>
      <c r="M70" s="1332"/>
      <c r="N70" s="1332"/>
      <c r="O70" s="1332"/>
      <c r="P70" s="1332"/>
      <c r="Q70" s="1332"/>
      <c r="R70" s="1332"/>
      <c r="S70" s="1332"/>
      <c r="T70" s="388" t="b" cm="1">
        <f t="array" aca="1" ref="T70" ca="1">T69</f>
        <v>0</v>
      </c>
      <c r="U70" s="1332"/>
      <c r="V70" s="1332"/>
      <c r="W70" s="1332"/>
      <c r="X70" s="2009"/>
      <c r="Y70" s="2009"/>
      <c r="Z70" s="2034"/>
      <c r="AA70" s="1958"/>
      <c r="AB70" s="8" t="str">
        <f>AB65&amp;".2.1"</f>
        <v>7.0.2.1</v>
      </c>
      <c r="AC70" s="248" t="s">
        <v>886</v>
      </c>
      <c r="AD70" s="11" t="s">
        <v>887</v>
      </c>
      <c r="AE70" s="110">
        <f t="shared" ref="AE70:BB70" si="17">IF(OR(AND(AE69&lt;&gt;0,AE71=0),AND(AE69=0,AE71&lt;&gt;0)),"Ошибка",IF(AE71=0,0,AE69/AE71*1000/12))</f>
        <v>0</v>
      </c>
      <c r="AF70" s="110">
        <f t="shared" si="17"/>
        <v>0</v>
      </c>
      <c r="AG70" s="110">
        <f t="shared" si="17"/>
        <v>0</v>
      </c>
      <c r="AH70" s="110">
        <f t="shared" si="17"/>
        <v>0</v>
      </c>
      <c r="AI70" s="110">
        <f t="shared" si="17"/>
        <v>0</v>
      </c>
      <c r="AJ70" s="110">
        <f t="shared" si="17"/>
        <v>0</v>
      </c>
      <c r="AK70" s="110">
        <f t="shared" si="17"/>
        <v>0</v>
      </c>
      <c r="AL70" s="110">
        <f t="shared" si="17"/>
        <v>0</v>
      </c>
      <c r="AM70" s="110">
        <f t="shared" si="17"/>
        <v>0</v>
      </c>
      <c r="AN70" s="110">
        <f t="shared" si="17"/>
        <v>0</v>
      </c>
      <c r="AO70" s="110">
        <f t="shared" si="17"/>
        <v>0</v>
      </c>
      <c r="AP70" s="110">
        <f t="shared" si="17"/>
        <v>0</v>
      </c>
      <c r="AQ70" s="110">
        <f t="shared" si="17"/>
        <v>0</v>
      </c>
      <c r="AR70" s="110">
        <f t="shared" si="17"/>
        <v>0</v>
      </c>
      <c r="AS70" s="110">
        <f t="shared" si="17"/>
        <v>0</v>
      </c>
      <c r="AT70" s="110">
        <f t="shared" si="17"/>
        <v>0</v>
      </c>
      <c r="AU70" s="110">
        <f t="shared" si="17"/>
        <v>0</v>
      </c>
      <c r="AV70" s="110">
        <f t="shared" si="17"/>
        <v>0</v>
      </c>
      <c r="AW70" s="110">
        <f t="shared" si="17"/>
        <v>0</v>
      </c>
      <c r="AX70" s="110">
        <f t="shared" si="17"/>
        <v>0</v>
      </c>
      <c r="AY70" s="110">
        <f t="shared" si="17"/>
        <v>0</v>
      </c>
      <c r="AZ70" s="110">
        <f t="shared" si="17"/>
        <v>0</v>
      </c>
      <c r="BA70" s="110">
        <f t="shared" si="17"/>
        <v>0</v>
      </c>
      <c r="BB70" s="110">
        <f t="shared" si="17"/>
        <v>0</v>
      </c>
      <c r="BC70" s="1365"/>
      <c r="BD70" s="1332"/>
      <c r="BE70" s="1332"/>
      <c r="BF70" s="939" t="s">
        <v>888</v>
      </c>
      <c r="BG70" s="939" t="s">
        <v>875</v>
      </c>
      <c r="BH70" s="939" cm="1">
        <f t="array" ref="BH70">BH69</f>
        <v>0</v>
      </c>
      <c r="BI70" s="185"/>
      <c r="BJ70" s="185"/>
    </row>
    <row r="71" spans="1:62" s="1088" customFormat="1" ht="10.5" hidden="1" customHeight="1" x14ac:dyDescent="0.15">
      <c r="A71" s="1332"/>
      <c r="B71" s="351"/>
      <c r="C71" s="406"/>
      <c r="D71" s="1332"/>
      <c r="E71" s="185">
        <v>11.25</v>
      </c>
      <c r="F71" s="3" t="str" cm="1">
        <f t="array" aca="1" ref="F71" ca="1">OFFSET(E71,-1,1)</f>
        <v>1</v>
      </c>
      <c r="G71" s="45" t="s">
        <v>889</v>
      </c>
      <c r="H71" s="45" cm="1">
        <f t="array" ref="H71">H70</f>
        <v>0</v>
      </c>
      <c r="I71" s="1332"/>
      <c r="J71" s="1332"/>
      <c r="K71" s="1332"/>
      <c r="L71" s="1332"/>
      <c r="M71" s="1332"/>
      <c r="N71" s="1332"/>
      <c r="O71" s="1332"/>
      <c r="P71" s="1332"/>
      <c r="Q71" s="1332"/>
      <c r="R71" s="1332"/>
      <c r="S71" s="1332"/>
      <c r="T71" s="388" t="b" cm="1">
        <f t="array" aca="1" ref="T71" ca="1">T70</f>
        <v>0</v>
      </c>
      <c r="U71" s="1332"/>
      <c r="V71" s="1332"/>
      <c r="W71" s="1332"/>
      <c r="X71" s="2009"/>
      <c r="Y71" s="2009"/>
      <c r="Z71" s="2034"/>
      <c r="AA71" s="1958"/>
      <c r="AB71" s="8" t="str">
        <f>AB65&amp;".2.2"</f>
        <v>7.0.2.2</v>
      </c>
      <c r="AC71" s="248" t="s">
        <v>890</v>
      </c>
      <c r="AD71" s="11" t="s">
        <v>891</v>
      </c>
      <c r="AE71" s="1358"/>
      <c r="AF71" s="1358"/>
      <c r="AG71" s="1358"/>
      <c r="AH71" s="1358"/>
      <c r="AI71" s="60"/>
      <c r="AJ71" s="1358"/>
      <c r="AK71" s="1358"/>
      <c r="AL71" s="1358"/>
      <c r="AM71" s="1358"/>
      <c r="AN71" s="1358"/>
      <c r="AO71" s="1358"/>
      <c r="AP71" s="1358"/>
      <c r="AQ71" s="1358"/>
      <c r="AR71" s="1358"/>
      <c r="AS71" s="60"/>
      <c r="AT71" s="1358"/>
      <c r="AU71" s="1358"/>
      <c r="AV71" s="1358"/>
      <c r="AW71" s="1358"/>
      <c r="AX71" s="1358"/>
      <c r="AY71" s="1358"/>
      <c r="AZ71" s="1358"/>
      <c r="BA71" s="1358"/>
      <c r="BB71" s="1358"/>
      <c r="BC71" s="1365"/>
      <c r="BD71" s="1332"/>
      <c r="BE71" s="1332"/>
      <c r="BF71" s="939" t="s">
        <v>892</v>
      </c>
      <c r="BG71" s="939" t="s">
        <v>875</v>
      </c>
      <c r="BH71" s="939" cm="1">
        <f t="array" ref="BH71">BH70</f>
        <v>0</v>
      </c>
      <c r="BI71" s="185"/>
      <c r="BJ71" s="185"/>
    </row>
    <row r="72" spans="1:62" s="1088" customFormat="1" ht="10.5" customHeight="1" x14ac:dyDescent="0.15">
      <c r="A72" s="1332"/>
      <c r="B72" s="351"/>
      <c r="C72" s="406"/>
      <c r="D72" s="1332"/>
      <c r="E72" s="185">
        <v>11.25</v>
      </c>
      <c r="F72" s="3" t="str" cm="1">
        <f t="array" aca="1" ref="F72" ca="1">OFFSET(E72,-1,1)</f>
        <v>1</v>
      </c>
      <c r="G72" s="45" t="s">
        <v>544</v>
      </c>
      <c r="H72" s="45" t="str" cm="1">
        <f t="array" ref="H72">AC72</f>
        <v>СН1</v>
      </c>
      <c r="I72" s="1332"/>
      <c r="J72" s="1332"/>
      <c r="K72" s="1332"/>
      <c r="L72" s="1332"/>
      <c r="M72" s="1332"/>
      <c r="N72" s="1332"/>
      <c r="O72" s="1332"/>
      <c r="P72" s="1332"/>
      <c r="Q72" s="1332"/>
      <c r="R72" s="1332"/>
      <c r="S72" s="1332"/>
      <c r="T72" s="388" t="b">
        <f ca="1">AND(F72&gt;0,Y72&gt;0)</f>
        <v>1</v>
      </c>
      <c r="U72" s="1332"/>
      <c r="V72" s="1332"/>
      <c r="W72" s="677"/>
      <c r="X72" s="2009"/>
      <c r="Y72" s="2009" t="s">
        <v>282</v>
      </c>
      <c r="Z72" s="2034"/>
      <c r="AA72" s="1958" t="s">
        <v>173</v>
      </c>
      <c r="AB72" s="8" t="str">
        <f>"7."&amp;Y72</f>
        <v>7.1</v>
      </c>
      <c r="AC72" s="118" t="s">
        <v>902</v>
      </c>
      <c r="AD72" s="8" t="s">
        <v>831</v>
      </c>
      <c r="AE72" s="110">
        <f t="shared" ref="AE72:BB72" si="18">AE73+AE76</f>
        <v>59560.9546782658</v>
      </c>
      <c r="AF72" s="110">
        <f t="shared" si="18"/>
        <v>67121.25</v>
      </c>
      <c r="AG72" s="110">
        <f t="shared" si="18"/>
        <v>67121.25</v>
      </c>
      <c r="AH72" s="110">
        <f t="shared" si="18"/>
        <v>62479.4414575009</v>
      </c>
      <c r="AI72" s="110">
        <f t="shared" si="18"/>
        <v>73226.63</v>
      </c>
      <c r="AJ72" s="110">
        <f t="shared" si="18"/>
        <v>70005.490000000005</v>
      </c>
      <c r="AK72" s="110">
        <f t="shared" si="18"/>
        <v>72805.72</v>
      </c>
      <c r="AL72" s="110">
        <f t="shared" si="18"/>
        <v>75717.95</v>
      </c>
      <c r="AM72" s="110">
        <f t="shared" si="18"/>
        <v>78746.66</v>
      </c>
      <c r="AN72" s="110">
        <f t="shared" si="18"/>
        <v>81896.53</v>
      </c>
      <c r="AO72" s="110">
        <f t="shared" si="18"/>
        <v>85172.39</v>
      </c>
      <c r="AP72" s="110">
        <f t="shared" si="18"/>
        <v>0</v>
      </c>
      <c r="AQ72" s="110">
        <f t="shared" si="18"/>
        <v>0</v>
      </c>
      <c r="AR72" s="110">
        <f t="shared" si="18"/>
        <v>0</v>
      </c>
      <c r="AS72" s="110">
        <f t="shared" si="18"/>
        <v>79409.36</v>
      </c>
      <c r="AT72" s="110">
        <f t="shared" si="18"/>
        <v>66284.439442262694</v>
      </c>
      <c r="AU72" s="110">
        <f t="shared" si="18"/>
        <v>68272.972625530601</v>
      </c>
      <c r="AV72" s="110">
        <f t="shared" si="18"/>
        <v>70321.161804296498</v>
      </c>
      <c r="AW72" s="110">
        <f t="shared" si="18"/>
        <v>72430.796658425403</v>
      </c>
      <c r="AX72" s="110">
        <f t="shared" si="18"/>
        <v>74603.720558178204</v>
      </c>
      <c r="AY72" s="110">
        <f t="shared" si="18"/>
        <v>76841.832174923504</v>
      </c>
      <c r="AZ72" s="110">
        <f t="shared" si="18"/>
        <v>0</v>
      </c>
      <c r="BA72" s="110">
        <f t="shared" si="18"/>
        <v>0</v>
      </c>
      <c r="BB72" s="110">
        <f t="shared" si="18"/>
        <v>0</v>
      </c>
      <c r="BC72" s="119"/>
      <c r="BD72" s="1332"/>
      <c r="BE72" s="1332"/>
      <c r="BF72" s="939" t="s">
        <v>874</v>
      </c>
      <c r="BG72" s="939" t="s">
        <v>875</v>
      </c>
      <c r="BH72" s="939" t="str" cm="1">
        <f t="array" ref="BH72">AC72</f>
        <v>СН1</v>
      </c>
      <c r="BI72" s="185"/>
      <c r="BJ72" s="185"/>
    </row>
    <row r="73" spans="1:62" s="1088" customFormat="1" ht="12.75" customHeight="1" x14ac:dyDescent="0.15">
      <c r="A73" s="1332"/>
      <c r="B73" s="351"/>
      <c r="C73" s="406"/>
      <c r="D73" s="1332"/>
      <c r="E73" s="185">
        <v>11.25</v>
      </c>
      <c r="F73" s="3" t="str" cm="1">
        <f t="array" aca="1" ref="F73" ca="1">OFFSET(E73,-1,1)</f>
        <v>1</v>
      </c>
      <c r="G73" s="45" t="s">
        <v>706</v>
      </c>
      <c r="H73" s="45" t="str" cm="1">
        <f t="array" ref="H73">H72</f>
        <v>СН1</v>
      </c>
      <c r="I73" s="1332"/>
      <c r="J73" s="1332"/>
      <c r="K73" s="1332"/>
      <c r="L73" s="1332"/>
      <c r="M73" s="1332"/>
      <c r="N73" s="1332"/>
      <c r="O73" s="1332"/>
      <c r="P73" s="1332"/>
      <c r="Q73" s="1332"/>
      <c r="R73" s="1332"/>
      <c r="S73" s="1332"/>
      <c r="T73" s="388" t="b" cm="1">
        <f t="array" aca="1" ref="T73" ca="1">T72</f>
        <v>1</v>
      </c>
      <c r="U73" s="1332"/>
      <c r="V73" s="1332"/>
      <c r="W73" s="1332"/>
      <c r="X73" s="2009"/>
      <c r="Y73" s="2009"/>
      <c r="Z73" s="2034"/>
      <c r="AA73" s="1958"/>
      <c r="AB73" s="8" t="str">
        <f>AB72&amp;".1"</f>
        <v>7.1.1</v>
      </c>
      <c r="AC73" s="111" t="s">
        <v>876</v>
      </c>
      <c r="AD73" s="8" t="s">
        <v>877</v>
      </c>
      <c r="AE73" s="60">
        <v>20472.392306728299</v>
      </c>
      <c r="AF73" s="60">
        <v>27732.75</v>
      </c>
      <c r="AG73" s="60">
        <v>27732.75</v>
      </c>
      <c r="AH73" s="60">
        <v>21475.539529758</v>
      </c>
      <c r="AI73" s="60">
        <v>30255.32</v>
      </c>
      <c r="AJ73" s="1358">
        <v>26702.38</v>
      </c>
      <c r="AK73" s="1358">
        <v>27770.48</v>
      </c>
      <c r="AL73" s="1358">
        <v>28881.3</v>
      </c>
      <c r="AM73" s="1358">
        <v>30036.55</v>
      </c>
      <c r="AN73" s="1358">
        <v>31238.01</v>
      </c>
      <c r="AO73" s="1358">
        <v>32487.53</v>
      </c>
      <c r="AP73" s="60"/>
      <c r="AQ73" s="60"/>
      <c r="AR73" s="60"/>
      <c r="AS73" s="60">
        <v>28400.93</v>
      </c>
      <c r="AT73" s="1358">
        <v>22783.3998871203</v>
      </c>
      <c r="AU73" s="1358">
        <v>23466.901883733899</v>
      </c>
      <c r="AV73" s="1358">
        <v>24170.908940245899</v>
      </c>
      <c r="AW73" s="1358">
        <v>24896.036208453301</v>
      </c>
      <c r="AX73" s="1358">
        <v>25642.917294706898</v>
      </c>
      <c r="AY73" s="1358">
        <v>26412.204813548102</v>
      </c>
      <c r="AZ73" s="60"/>
      <c r="BA73" s="60"/>
      <c r="BB73" s="60"/>
      <c r="BC73" s="119"/>
      <c r="BD73" s="1332"/>
      <c r="BE73" s="1332"/>
      <c r="BF73" s="939" t="s">
        <v>878</v>
      </c>
      <c r="BG73" s="939" t="s">
        <v>875</v>
      </c>
      <c r="BH73" s="939" t="str" cm="1">
        <f t="array" ref="BH73">BH72</f>
        <v>СН1</v>
      </c>
      <c r="BI73" s="185"/>
      <c r="BJ73" s="185"/>
    </row>
    <row r="74" spans="1:62" s="1088" customFormat="1" ht="117.75" customHeight="1" x14ac:dyDescent="0.15">
      <c r="A74" s="1332"/>
      <c r="B74" s="351"/>
      <c r="C74" s="406"/>
      <c r="D74" s="1332"/>
      <c r="E74" s="185">
        <v>11.25</v>
      </c>
      <c r="F74" s="3" t="str" cm="1">
        <f t="array" aca="1" ref="F74" ca="1">OFFSET(E74,-1,1)</f>
        <v>1</v>
      </c>
      <c r="G74" s="45" t="s">
        <v>879</v>
      </c>
      <c r="H74" s="45" t="str" cm="1">
        <f t="array" ref="H74">H73</f>
        <v>СН1</v>
      </c>
      <c r="I74" s="1332"/>
      <c r="J74" s="1332"/>
      <c r="K74" s="1332"/>
      <c r="L74" s="1332"/>
      <c r="M74" s="1332"/>
      <c r="N74" s="1332"/>
      <c r="O74" s="1332"/>
      <c r="P74" s="1332"/>
      <c r="Q74" s="1332"/>
      <c r="R74" s="1332"/>
      <c r="S74" s="1332"/>
      <c r="T74" s="388" t="b" cm="1">
        <f t="array" aca="1" ref="T74" ca="1">T73</f>
        <v>1</v>
      </c>
      <c r="U74" s="1332"/>
      <c r="V74" s="1332"/>
      <c r="W74" s="1332"/>
      <c r="X74" s="2009"/>
      <c r="Y74" s="2009"/>
      <c r="Z74" s="2034"/>
      <c r="AA74" s="1958"/>
      <c r="AB74" s="8" t="str">
        <f>AB72&amp;".1.1"</f>
        <v>7.1.1.1</v>
      </c>
      <c r="AC74" s="248" t="s">
        <v>868</v>
      </c>
      <c r="AD74" s="11" t="s">
        <v>860</v>
      </c>
      <c r="AE74" s="110">
        <f t="shared" ref="AE74:BB74" si="19">IF(OR(AND(AE73&lt;&gt;0,AE75=0),AND(AE73=0,AE75&lt;&gt;0)),"Ошибка",IF(AE75=0,0,AE73/AE75))</f>
        <v>1.7859999999999889</v>
      </c>
      <c r="AF74" s="110">
        <f t="shared" si="19"/>
        <v>1.9092458090943514</v>
      </c>
      <c r="AG74" s="110">
        <f t="shared" si="19"/>
        <v>1.9092458090943514</v>
      </c>
      <c r="AH74" s="110">
        <f t="shared" si="19"/>
        <v>1.8735139999999897</v>
      </c>
      <c r="AI74" s="110">
        <f t="shared" si="19"/>
        <v>2.0829107431757943</v>
      </c>
      <c r="AJ74" s="110">
        <f t="shared" si="19"/>
        <v>1.9836243008718999</v>
      </c>
      <c r="AK74" s="110">
        <f t="shared" si="19"/>
        <v>2.0629696294816071</v>
      </c>
      <c r="AL74" s="110">
        <f t="shared" si="19"/>
        <v>2.1454884740900098</v>
      </c>
      <c r="AM74" s="110">
        <f t="shared" si="19"/>
        <v>2.231307864480764</v>
      </c>
      <c r="AN74" s="110">
        <f t="shared" si="19"/>
        <v>2.3205600304871479</v>
      </c>
      <c r="AO74" s="110">
        <f t="shared" si="19"/>
        <v>2.4133824019920649</v>
      </c>
      <c r="AP74" s="110">
        <f t="shared" si="19"/>
        <v>0</v>
      </c>
      <c r="AQ74" s="110">
        <f t="shared" si="19"/>
        <v>0</v>
      </c>
      <c r="AR74" s="110">
        <f t="shared" si="19"/>
        <v>0</v>
      </c>
      <c r="AS74" s="110">
        <f t="shared" si="19"/>
        <v>2.4724883735912067</v>
      </c>
      <c r="AT74" s="110">
        <f t="shared" si="19"/>
        <v>1.9876110025999925</v>
      </c>
      <c r="AU74" s="110">
        <f t="shared" si="19"/>
        <v>2.0472393326779912</v>
      </c>
      <c r="AV74" s="110">
        <f t="shared" si="19"/>
        <v>2.1086565126583294</v>
      </c>
      <c r="AW74" s="110">
        <f t="shared" si="19"/>
        <v>2.1719162080380814</v>
      </c>
      <c r="AX74" s="110">
        <f t="shared" si="19"/>
        <v>2.237073694279224</v>
      </c>
      <c r="AY74" s="110">
        <f t="shared" si="19"/>
        <v>2.3041859051076004</v>
      </c>
      <c r="AZ74" s="110">
        <f t="shared" si="19"/>
        <v>0</v>
      </c>
      <c r="BA74" s="110">
        <f t="shared" si="19"/>
        <v>0</v>
      </c>
      <c r="BB74" s="110">
        <f t="shared" si="19"/>
        <v>0</v>
      </c>
      <c r="BC74" s="119" t="s">
        <v>899</v>
      </c>
      <c r="BD74" s="1332"/>
      <c r="BE74" s="1332"/>
      <c r="BF74" s="939" t="s">
        <v>880</v>
      </c>
      <c r="BG74" s="939" t="s">
        <v>875</v>
      </c>
      <c r="BH74" s="939" t="str" cm="1">
        <f t="array" ref="BH74">BH73</f>
        <v>СН1</v>
      </c>
      <c r="BI74" s="185"/>
      <c r="BJ74" s="185"/>
    </row>
    <row r="75" spans="1:62" s="1088" customFormat="1" ht="33.75" customHeight="1" x14ac:dyDescent="0.15">
      <c r="A75" s="1332"/>
      <c r="B75" s="351"/>
      <c r="C75" s="406"/>
      <c r="D75" s="1332"/>
      <c r="E75" s="185">
        <v>11.25</v>
      </c>
      <c r="F75" s="3" t="str" cm="1">
        <f t="array" aca="1" ref="F75" ca="1">OFFSET(E75,-1,1)</f>
        <v>1</v>
      </c>
      <c r="G75" s="45" t="s">
        <v>881</v>
      </c>
      <c r="H75" s="45" t="str" cm="1">
        <f t="array" ref="H75">H74</f>
        <v>СН1</v>
      </c>
      <c r="I75" s="1332"/>
      <c r="J75" s="1332"/>
      <c r="K75" s="1332"/>
      <c r="L75" s="1332"/>
      <c r="M75" s="1332"/>
      <c r="N75" s="1332"/>
      <c r="O75" s="1332"/>
      <c r="P75" s="1332"/>
      <c r="Q75" s="1332"/>
      <c r="R75" s="1332"/>
      <c r="S75" s="1332"/>
      <c r="T75" s="388" t="b" cm="1">
        <f t="array" aca="1" ref="T75" ca="1">T74</f>
        <v>1</v>
      </c>
      <c r="U75" s="1332"/>
      <c r="V75" s="1332"/>
      <c r="W75" s="1332"/>
      <c r="X75" s="2009"/>
      <c r="Y75" s="2009"/>
      <c r="Z75" s="2034"/>
      <c r="AA75" s="1958"/>
      <c r="AB75" s="8" t="str">
        <f>AB72&amp;".1.2"</f>
        <v>7.1.1.2</v>
      </c>
      <c r="AC75" s="248" t="s">
        <v>870</v>
      </c>
      <c r="AD75" s="11" t="s">
        <v>854</v>
      </c>
      <c r="AE75" s="60">
        <v>11462.7056588625</v>
      </c>
      <c r="AF75" s="60">
        <v>14525.5</v>
      </c>
      <c r="AG75" s="60">
        <v>14525.5</v>
      </c>
      <c r="AH75" s="60">
        <v>11462.7056588625</v>
      </c>
      <c r="AI75" s="60">
        <v>14525.5</v>
      </c>
      <c r="AJ75" s="1358">
        <v>13461.41</v>
      </c>
      <c r="AK75" s="1358">
        <v>13461.41</v>
      </c>
      <c r="AL75" s="1358">
        <v>13461.41</v>
      </c>
      <c r="AM75" s="1358">
        <v>13461.41</v>
      </c>
      <c r="AN75" s="1358">
        <v>13461.41</v>
      </c>
      <c r="AO75" s="1358">
        <v>13461.41</v>
      </c>
      <c r="AP75" s="60"/>
      <c r="AQ75" s="60"/>
      <c r="AR75" s="60"/>
      <c r="AS75" s="60">
        <v>11486.78</v>
      </c>
      <c r="AT75" s="1358">
        <v>11462.7056588625</v>
      </c>
      <c r="AU75" s="1358">
        <v>11462.7056588625</v>
      </c>
      <c r="AV75" s="1358">
        <v>11462.7056588625</v>
      </c>
      <c r="AW75" s="1358">
        <v>11462.7056588625</v>
      </c>
      <c r="AX75" s="1358">
        <v>11462.7056588625</v>
      </c>
      <c r="AY75" s="1358">
        <v>11462.7056588625</v>
      </c>
      <c r="AZ75" s="60"/>
      <c r="BA75" s="60"/>
      <c r="BB75" s="60"/>
      <c r="BC75" s="119" t="s">
        <v>900</v>
      </c>
      <c r="BD75" s="1332"/>
      <c r="BE75" s="1332"/>
      <c r="BF75" s="939" t="s">
        <v>882</v>
      </c>
      <c r="BG75" s="939" t="s">
        <v>875</v>
      </c>
      <c r="BH75" s="939" t="str" cm="1">
        <f t="array" ref="BH75">BH74</f>
        <v>СН1</v>
      </c>
      <c r="BI75" s="185"/>
      <c r="BJ75" s="185"/>
    </row>
    <row r="76" spans="1:62" s="1088" customFormat="1" ht="12.75" customHeight="1" x14ac:dyDescent="0.15">
      <c r="A76" s="1332"/>
      <c r="B76" s="351"/>
      <c r="C76" s="406"/>
      <c r="D76" s="1332"/>
      <c r="E76" s="185">
        <v>11.25</v>
      </c>
      <c r="F76" s="3" t="str" cm="1">
        <f t="array" aca="1" ref="F76" ca="1">OFFSET(E76,-1,1)</f>
        <v>1</v>
      </c>
      <c r="G76" s="45" t="s">
        <v>709</v>
      </c>
      <c r="H76" s="45" t="str" cm="1">
        <f t="array" ref="H76">H75</f>
        <v>СН1</v>
      </c>
      <c r="I76" s="1332"/>
      <c r="J76" s="1332"/>
      <c r="K76" s="1332"/>
      <c r="L76" s="1332"/>
      <c r="M76" s="1332"/>
      <c r="N76" s="1332"/>
      <c r="O76" s="1332"/>
      <c r="P76" s="1332"/>
      <c r="Q76" s="1332"/>
      <c r="R76" s="1332"/>
      <c r="S76" s="1332"/>
      <c r="T76" s="388" t="b" cm="1">
        <f t="array" aca="1" ref="T76" ca="1">T75</f>
        <v>1</v>
      </c>
      <c r="U76" s="1332"/>
      <c r="V76" s="1332"/>
      <c r="W76" s="1332"/>
      <c r="X76" s="2009"/>
      <c r="Y76" s="2009"/>
      <c r="Z76" s="2034"/>
      <c r="AA76" s="1958"/>
      <c r="AB76" s="8" t="str">
        <f>AB72&amp;".2"</f>
        <v>7.1.2</v>
      </c>
      <c r="AC76" s="111" t="s">
        <v>883</v>
      </c>
      <c r="AD76" s="8" t="s">
        <v>877</v>
      </c>
      <c r="AE76" s="60">
        <v>39088.562371537497</v>
      </c>
      <c r="AF76" s="60">
        <v>39388.5</v>
      </c>
      <c r="AG76" s="60">
        <v>39388.5</v>
      </c>
      <c r="AH76" s="60">
        <v>41003.901927742903</v>
      </c>
      <c r="AI76" s="60">
        <v>42971.31</v>
      </c>
      <c r="AJ76" s="1358">
        <v>43303.11</v>
      </c>
      <c r="AK76" s="1358">
        <v>45035.24</v>
      </c>
      <c r="AL76" s="1358">
        <v>46836.65</v>
      </c>
      <c r="AM76" s="1358">
        <v>48710.11</v>
      </c>
      <c r="AN76" s="1358">
        <v>50658.52</v>
      </c>
      <c r="AO76" s="1358">
        <v>52684.86</v>
      </c>
      <c r="AP76" s="60"/>
      <c r="AQ76" s="60"/>
      <c r="AR76" s="60"/>
      <c r="AS76" s="60">
        <v>51008.43</v>
      </c>
      <c r="AT76" s="1358">
        <v>43501.039555142401</v>
      </c>
      <c r="AU76" s="1358">
        <v>44806.070741796699</v>
      </c>
      <c r="AV76" s="1358">
        <v>46150.252864050599</v>
      </c>
      <c r="AW76" s="1358">
        <v>47534.760449972098</v>
      </c>
      <c r="AX76" s="1358">
        <v>48960.803263471302</v>
      </c>
      <c r="AY76" s="1358">
        <v>50429.627361375402</v>
      </c>
      <c r="AZ76" s="60"/>
      <c r="BA76" s="60"/>
      <c r="BB76" s="60"/>
      <c r="BC76" s="119"/>
      <c r="BD76" s="1332"/>
      <c r="BE76" s="1332"/>
      <c r="BF76" s="939" t="s">
        <v>884</v>
      </c>
      <c r="BG76" s="939" t="s">
        <v>875</v>
      </c>
      <c r="BH76" s="939" t="str" cm="1">
        <f t="array" ref="BH76">BH75</f>
        <v>СН1</v>
      </c>
      <c r="BI76" s="185"/>
      <c r="BJ76" s="185"/>
    </row>
    <row r="77" spans="1:62" s="1088" customFormat="1" ht="117.75" customHeight="1" x14ac:dyDescent="0.15">
      <c r="A77" s="1332"/>
      <c r="B77" s="351"/>
      <c r="C77" s="406"/>
      <c r="D77" s="1332"/>
      <c r="E77" s="185">
        <v>11.25</v>
      </c>
      <c r="F77" s="3" t="str" cm="1">
        <f t="array" aca="1" ref="F77" ca="1">OFFSET(E77,-1,1)</f>
        <v>1</v>
      </c>
      <c r="G77" s="45" t="s">
        <v>885</v>
      </c>
      <c r="H77" s="45" t="str" cm="1">
        <f t="array" ref="H77">H76</f>
        <v>СН1</v>
      </c>
      <c r="I77" s="1332"/>
      <c r="J77" s="1332"/>
      <c r="K77" s="1332"/>
      <c r="L77" s="1332"/>
      <c r="M77" s="1332"/>
      <c r="N77" s="1332"/>
      <c r="O77" s="1332"/>
      <c r="P77" s="1332"/>
      <c r="Q77" s="1332"/>
      <c r="R77" s="1332"/>
      <c r="S77" s="1332"/>
      <c r="T77" s="388" t="b" cm="1">
        <f t="array" aca="1" ref="T77" ca="1">T76</f>
        <v>1</v>
      </c>
      <c r="U77" s="1332"/>
      <c r="V77" s="1332"/>
      <c r="W77" s="1332"/>
      <c r="X77" s="2009"/>
      <c r="Y77" s="2009"/>
      <c r="Z77" s="2034"/>
      <c r="AA77" s="1958"/>
      <c r="AB77" s="8" t="str">
        <f>AB72&amp;".2.1"</f>
        <v>7.1.2.1</v>
      </c>
      <c r="AC77" s="248" t="s">
        <v>886</v>
      </c>
      <c r="AD77" s="11" t="s">
        <v>887</v>
      </c>
      <c r="AE77" s="110">
        <f t="shared" ref="AE77:BB77" si="20">IF(OR(AND(AE76&lt;&gt;0,AE78=0),AND(AE76=0,AE78&lt;&gt;0)),"Ошибка",IF(AE78=0,0,AE76/AE78*1000/12))</f>
        <v>175.60947747199984</v>
      </c>
      <c r="AF77" s="110">
        <f t="shared" si="20"/>
        <v>165.97770024271844</v>
      </c>
      <c r="AG77" s="110">
        <f t="shared" si="20"/>
        <v>165.97770024271844</v>
      </c>
      <c r="AH77" s="110">
        <f t="shared" si="20"/>
        <v>184.21434186812814</v>
      </c>
      <c r="AI77" s="110">
        <f t="shared" si="20"/>
        <v>181.07516686893203</v>
      </c>
      <c r="AJ77" s="110">
        <f t="shared" si="20"/>
        <v>194.53302833320205</v>
      </c>
      <c r="AK77" s="110">
        <f t="shared" si="20"/>
        <v>202.31437462372921</v>
      </c>
      <c r="AL77" s="110">
        <f t="shared" si="20"/>
        <v>210.40695140562113</v>
      </c>
      <c r="AM77" s="110">
        <f t="shared" si="20"/>
        <v>218.82320250770411</v>
      </c>
      <c r="AN77" s="110">
        <f t="shared" si="20"/>
        <v>227.57615576521133</v>
      </c>
      <c r="AO77" s="110">
        <f t="shared" si="20"/>
        <v>236.6791984019342</v>
      </c>
      <c r="AP77" s="110">
        <f t="shared" si="20"/>
        <v>0</v>
      </c>
      <c r="AQ77" s="110">
        <f t="shared" si="20"/>
        <v>0</v>
      </c>
      <c r="AR77" s="110">
        <f t="shared" si="20"/>
        <v>0</v>
      </c>
      <c r="AS77" s="110">
        <f t="shared" si="20"/>
        <v>214.94248078478964</v>
      </c>
      <c r="AT77" s="110">
        <f t="shared" si="20"/>
        <v>195.43299528789692</v>
      </c>
      <c r="AU77" s="110">
        <f t="shared" si="20"/>
        <v>201.29598514653392</v>
      </c>
      <c r="AV77" s="110">
        <f t="shared" si="20"/>
        <v>207.33486470092996</v>
      </c>
      <c r="AW77" s="110">
        <f t="shared" si="20"/>
        <v>213.5549106419578</v>
      </c>
      <c r="AX77" s="110">
        <f t="shared" si="20"/>
        <v>219.96155796121673</v>
      </c>
      <c r="AY77" s="110">
        <f t="shared" si="20"/>
        <v>226.56040470005303</v>
      </c>
      <c r="AZ77" s="110">
        <f t="shared" si="20"/>
        <v>0</v>
      </c>
      <c r="BA77" s="110">
        <f t="shared" si="20"/>
        <v>0</v>
      </c>
      <c r="BB77" s="110">
        <f t="shared" si="20"/>
        <v>0</v>
      </c>
      <c r="BC77" s="119" t="s">
        <v>899</v>
      </c>
      <c r="BD77" s="1332"/>
      <c r="BE77" s="1332"/>
      <c r="BF77" s="939" t="s">
        <v>888</v>
      </c>
      <c r="BG77" s="939" t="s">
        <v>875</v>
      </c>
      <c r="BH77" s="939" t="str" cm="1">
        <f t="array" ref="BH77">BH76</f>
        <v>СН1</v>
      </c>
      <c r="BI77" s="185"/>
      <c r="BJ77" s="185"/>
    </row>
    <row r="78" spans="1:62" s="1088" customFormat="1" ht="33.75" customHeight="1" x14ac:dyDescent="0.15">
      <c r="A78" s="1332"/>
      <c r="B78" s="351"/>
      <c r="C78" s="406"/>
      <c r="D78" s="1332"/>
      <c r="E78" s="185">
        <v>11.25</v>
      </c>
      <c r="F78" s="3" t="str" cm="1">
        <f t="array" aca="1" ref="F78" ca="1">OFFSET(E78,-1,1)</f>
        <v>1</v>
      </c>
      <c r="G78" s="45" t="s">
        <v>889</v>
      </c>
      <c r="H78" s="45" t="str" cm="1">
        <f t="array" ref="H78">H77</f>
        <v>СН1</v>
      </c>
      <c r="I78" s="1332"/>
      <c r="J78" s="1332"/>
      <c r="K78" s="1332"/>
      <c r="L78" s="1332"/>
      <c r="M78" s="1332"/>
      <c r="N78" s="1332"/>
      <c r="O78" s="1332"/>
      <c r="P78" s="1332"/>
      <c r="Q78" s="1332"/>
      <c r="R78" s="1332"/>
      <c r="S78" s="1332"/>
      <c r="T78" s="388" t="b" cm="1">
        <f t="array" aca="1" ref="T78" ca="1">T77</f>
        <v>1</v>
      </c>
      <c r="U78" s="1332"/>
      <c r="V78" s="1332"/>
      <c r="W78" s="1332"/>
      <c r="X78" s="2009"/>
      <c r="Y78" s="2009"/>
      <c r="Z78" s="2034"/>
      <c r="AA78" s="1958"/>
      <c r="AB78" s="8" t="str">
        <f>AB72&amp;".2.2"</f>
        <v>7.1.2.2</v>
      </c>
      <c r="AC78" s="248" t="s">
        <v>890</v>
      </c>
      <c r="AD78" s="11" t="s">
        <v>891</v>
      </c>
      <c r="AE78" s="60">
        <v>18549</v>
      </c>
      <c r="AF78" s="60">
        <v>19776</v>
      </c>
      <c r="AG78" s="60">
        <v>19776</v>
      </c>
      <c r="AH78" s="60">
        <v>18549</v>
      </c>
      <c r="AI78" s="60">
        <v>19776</v>
      </c>
      <c r="AJ78" s="1358">
        <v>18550.024799999999</v>
      </c>
      <c r="AK78" s="1358">
        <v>18550.024799999999</v>
      </c>
      <c r="AL78" s="1358">
        <v>18550.024799999999</v>
      </c>
      <c r="AM78" s="1358">
        <v>18550.024799999999</v>
      </c>
      <c r="AN78" s="1358">
        <v>18550.024799999999</v>
      </c>
      <c r="AO78" s="1358">
        <v>18550.024799999999</v>
      </c>
      <c r="AP78" s="60"/>
      <c r="AQ78" s="60"/>
      <c r="AR78" s="60"/>
      <c r="AS78" s="60">
        <v>19776</v>
      </c>
      <c r="AT78" s="1358">
        <v>18549</v>
      </c>
      <c r="AU78" s="1358">
        <v>18549</v>
      </c>
      <c r="AV78" s="1358">
        <v>18549</v>
      </c>
      <c r="AW78" s="1358">
        <v>18549</v>
      </c>
      <c r="AX78" s="1358">
        <v>18549</v>
      </c>
      <c r="AY78" s="1358">
        <v>18549</v>
      </c>
      <c r="AZ78" s="60"/>
      <c r="BA78" s="60"/>
      <c r="BB78" s="60"/>
      <c r="BC78" s="119" t="s">
        <v>903</v>
      </c>
      <c r="BD78" s="1332"/>
      <c r="BE78" s="1332"/>
      <c r="BF78" s="939" t="s">
        <v>892</v>
      </c>
      <c r="BG78" s="939" t="s">
        <v>875</v>
      </c>
      <c r="BH78" s="939" t="str" cm="1">
        <f t="array" ref="BH78">BH77</f>
        <v>СН1</v>
      </c>
      <c r="BI78" s="185"/>
      <c r="BJ78" s="185"/>
    </row>
    <row r="79" spans="1:62" s="1249" customFormat="1" ht="14.25" customHeight="1" x14ac:dyDescent="0.15">
      <c r="B79" s="349"/>
      <c r="C79" s="406"/>
      <c r="E79" s="557">
        <v>15</v>
      </c>
      <c r="F79" s="3" t="str" cm="1">
        <f t="array" aca="1" ref="F79" ca="1">OFFSET(E79,-1,1)</f>
        <v>1</v>
      </c>
      <c r="H79" s="868" t="s">
        <v>893</v>
      </c>
      <c r="T79" s="388" t="b">
        <f ca="1">F79&gt;0</f>
        <v>1</v>
      </c>
      <c r="W79" s="677" t="s">
        <v>894</v>
      </c>
      <c r="X79" s="2009"/>
      <c r="Z79" s="2034"/>
      <c r="AB79" s="94"/>
      <c r="AC79" s="97" t="s">
        <v>895</v>
      </c>
      <c r="AD79" s="95"/>
      <c r="AE79" s="95"/>
      <c r="AF79" s="95"/>
      <c r="AG79" s="95"/>
      <c r="AH79" s="95"/>
      <c r="AI79" s="95"/>
      <c r="AJ79" s="95"/>
      <c r="AK79" s="95"/>
      <c r="AL79" s="95"/>
      <c r="AM79" s="95"/>
      <c r="AN79" s="95"/>
      <c r="AO79" s="95"/>
      <c r="AP79" s="95"/>
      <c r="AQ79" s="95"/>
      <c r="AR79" s="95"/>
      <c r="AS79" s="95"/>
      <c r="AT79" s="95"/>
      <c r="AU79" s="95"/>
      <c r="AV79" s="95"/>
      <c r="AW79" s="95"/>
      <c r="AX79" s="95"/>
      <c r="AY79" s="95"/>
      <c r="AZ79" s="95"/>
      <c r="BA79" s="95"/>
      <c r="BB79" s="95"/>
      <c r="BC79" s="106"/>
      <c r="BF79" s="927"/>
      <c r="BG79" s="927"/>
      <c r="BH79" s="927"/>
      <c r="BI79" s="557" t="s">
        <v>875</v>
      </c>
      <c r="BJ79" s="557"/>
    </row>
    <row r="80" spans="1:62" s="1401" customFormat="1" ht="14.25" customHeight="1" x14ac:dyDescent="0.15">
      <c r="A80" s="1086"/>
      <c r="B80" s="351"/>
      <c r="C80" s="408"/>
      <c r="D80" s="1086"/>
      <c r="E80" s="556">
        <v>15</v>
      </c>
      <c r="F80" s="17" t="str" cm="1">
        <f t="array" ref="F80">X80</f>
        <v>2</v>
      </c>
      <c r="G80" s="17"/>
      <c r="H80" s="17"/>
      <c r="I80" s="1086"/>
      <c r="J80" s="1086"/>
      <c r="K80" s="1086"/>
      <c r="L80" s="1086"/>
      <c r="M80" s="1086"/>
      <c r="N80" s="1086"/>
      <c r="O80" s="1086"/>
      <c r="P80" s="1086"/>
      <c r="Q80" s="1086"/>
      <c r="R80" s="1086"/>
      <c r="S80" s="1086"/>
      <c r="T80" s="388" t="b">
        <f>X80&gt;0</f>
        <v>1</v>
      </c>
      <c r="U80" s="1086"/>
      <c r="V80" s="63" t="str" cm="1">
        <f t="array" ref="V80">'Сырье и материалы'!$AB$40</f>
        <v>Тариф 2 (Водоотведение) - тариф на водоотведение</v>
      </c>
      <c r="W80" s="1086"/>
      <c r="X80" s="2009" t="s">
        <v>289</v>
      </c>
      <c r="Y80" s="1086"/>
      <c r="Z80" s="2034"/>
      <c r="AA80" s="1086"/>
      <c r="AB80" s="102" t="str" cm="1">
        <f t="array" ref="AB80">'Сырье и материалы'!$AB$40</f>
        <v>Тариф 2 (Водоотведение) - тариф на водоотведение</v>
      </c>
      <c r="AC80" s="99"/>
      <c r="AD80" s="93"/>
      <c r="AE80" s="93"/>
      <c r="AF80" s="93"/>
      <c r="AG80" s="93"/>
      <c r="AH80" s="93"/>
      <c r="AI80" s="93"/>
      <c r="AJ80" s="93"/>
      <c r="AK80" s="93"/>
      <c r="AL80" s="93"/>
      <c r="AM80" s="93"/>
      <c r="AN80" s="93"/>
      <c r="AO80" s="93"/>
      <c r="AP80" s="93"/>
      <c r="AQ80" s="93"/>
      <c r="AR80" s="93"/>
      <c r="AS80" s="93"/>
      <c r="AT80" s="93"/>
      <c r="AU80" s="93"/>
      <c r="AV80" s="93"/>
      <c r="AW80" s="93"/>
      <c r="AX80" s="93"/>
      <c r="AY80" s="93"/>
      <c r="AZ80" s="93"/>
      <c r="BA80" s="93"/>
      <c r="BB80" s="93"/>
      <c r="BC80" s="93"/>
      <c r="BD80" s="1086"/>
      <c r="BE80" s="1086"/>
      <c r="BF80" s="922"/>
      <c r="BG80" s="922"/>
      <c r="BH80" s="922"/>
      <c r="BI80" s="554"/>
      <c r="BJ80" s="554"/>
    </row>
    <row r="81" spans="1:62" s="1088" customFormat="1" ht="10.5" customHeight="1" x14ac:dyDescent="0.15">
      <c r="A81" s="1332"/>
      <c r="B81" s="351"/>
      <c r="C81" s="406"/>
      <c r="D81" s="867"/>
      <c r="E81" s="185">
        <v>11.25</v>
      </c>
      <c r="F81" s="3" t="str" cm="1">
        <f t="array" aca="1" ref="F81" ca="1">OFFSET(E81,-1,1)</f>
        <v>2</v>
      </c>
      <c r="G81" s="45" t="s">
        <v>331</v>
      </c>
      <c r="H81" s="45"/>
      <c r="I81" s="1332"/>
      <c r="J81" s="1332"/>
      <c r="K81" s="406" t="str">
        <f ca="1">F81&amp;"komm"</f>
        <v>2komm</v>
      </c>
      <c r="L81" s="830" t="str" cm="1">
        <f t="array" ref="L81">BC81</f>
        <v>Скорректированная величина расходов на приобретение энергетических ресурсов, холодной воды на год i долгосрочного периода регулирования, определялась  в соответствии с формулой (39.1) Методических указаний № 1746-э.</v>
      </c>
      <c r="M81" s="1332"/>
      <c r="N81" s="1332"/>
      <c r="O81" s="1332"/>
      <c r="P81" s="1332"/>
      <c r="Q81" s="1332"/>
      <c r="R81" s="1332"/>
      <c r="S81" s="1332"/>
      <c r="T81" s="388" t="b" cm="1">
        <f t="array" ref="T81">T80</f>
        <v>1</v>
      </c>
      <c r="U81" s="1332"/>
      <c r="V81" s="1332"/>
      <c r="W81" s="1332"/>
      <c r="X81" s="2009"/>
      <c r="Y81" s="1332"/>
      <c r="Z81" s="2034"/>
      <c r="AA81" s="1332"/>
      <c r="AB81" s="8" t="s">
        <v>282</v>
      </c>
      <c r="AC81" s="57" t="s">
        <v>830</v>
      </c>
      <c r="AD81" s="8" t="s">
        <v>831</v>
      </c>
      <c r="AE81" s="110">
        <f t="shared" ref="AE81:BB81" si="21">IF(COUNTIF(AE86:AE116,"Ошибка")&gt;0,"Ошибка",SUMIF($AD86:$AD116,$AD81,AE86:AE116))</f>
        <v>24354.220940921998</v>
      </c>
      <c r="AF81" s="110">
        <f t="shared" si="21"/>
        <v>25759.190000000002</v>
      </c>
      <c r="AG81" s="110">
        <f t="shared" si="21"/>
        <v>24612.294613923892</v>
      </c>
      <c r="AH81" s="110">
        <f t="shared" si="21"/>
        <v>25547.577767027004</v>
      </c>
      <c r="AI81" s="110">
        <f t="shared" si="21"/>
        <v>28102.23</v>
      </c>
      <c r="AJ81" s="110">
        <f t="shared" si="21"/>
        <v>27716.99</v>
      </c>
      <c r="AK81" s="110">
        <f t="shared" si="21"/>
        <v>28825.659999999996</v>
      </c>
      <c r="AL81" s="110">
        <f t="shared" si="21"/>
        <v>29978.7</v>
      </c>
      <c r="AM81" s="110">
        <f t="shared" si="21"/>
        <v>31177.840000000004</v>
      </c>
      <c r="AN81" s="110">
        <f t="shared" si="21"/>
        <v>32424.959999999999</v>
      </c>
      <c r="AO81" s="110">
        <f t="shared" si="21"/>
        <v>33721.96</v>
      </c>
      <c r="AP81" s="110">
        <f t="shared" si="21"/>
        <v>0</v>
      </c>
      <c r="AQ81" s="110">
        <f t="shared" si="21"/>
        <v>0</v>
      </c>
      <c r="AR81" s="110">
        <f t="shared" si="21"/>
        <v>0</v>
      </c>
      <c r="AS81" s="110">
        <f t="shared" si="21"/>
        <v>31057.649999999998</v>
      </c>
      <c r="AT81" s="110">
        <f t="shared" si="21"/>
        <v>27103.42</v>
      </c>
      <c r="AU81" s="110">
        <f t="shared" si="21"/>
        <v>27916.53</v>
      </c>
      <c r="AV81" s="110">
        <f t="shared" si="21"/>
        <v>28754.020000000004</v>
      </c>
      <c r="AW81" s="110">
        <f t="shared" si="21"/>
        <v>29616.649999999998</v>
      </c>
      <c r="AX81" s="110">
        <f t="shared" si="21"/>
        <v>30505.149999999998</v>
      </c>
      <c r="AY81" s="110">
        <f t="shared" si="21"/>
        <v>31420.309999999998</v>
      </c>
      <c r="AZ81" s="110">
        <f t="shared" si="21"/>
        <v>0</v>
      </c>
      <c r="BA81" s="110">
        <f t="shared" si="21"/>
        <v>0</v>
      </c>
      <c r="BB81" s="110">
        <f t="shared" si="21"/>
        <v>0</v>
      </c>
      <c r="BC81" s="119" t="s">
        <v>896</v>
      </c>
      <c r="BD81" s="1332"/>
      <c r="BE81" s="1332"/>
      <c r="BF81" s="939" t="s">
        <v>852</v>
      </c>
      <c r="BG81" s="939"/>
      <c r="BH81" s="939"/>
      <c r="BI81" s="185"/>
      <c r="BJ81" s="185"/>
    </row>
    <row r="82" spans="1:62" s="1088" customFormat="1" ht="10.5" customHeight="1" x14ac:dyDescent="0.15">
      <c r="A82" s="1332"/>
      <c r="B82" s="351"/>
      <c r="C82" s="406"/>
      <c r="D82" s="1332"/>
      <c r="E82" s="185">
        <v>11.25</v>
      </c>
      <c r="F82" s="3" t="str" cm="1">
        <f t="array" aca="1" ref="F82" ca="1">OFFSET(E82,-1,1)</f>
        <v>2</v>
      </c>
      <c r="G82" s="45" t="s">
        <v>332</v>
      </c>
      <c r="H82" s="45"/>
      <c r="I82" s="1332"/>
      <c r="J82" s="1332"/>
      <c r="K82" s="1332"/>
      <c r="L82" s="1332"/>
      <c r="M82" s="1332"/>
      <c r="N82" s="1332"/>
      <c r="O82" s="1332"/>
      <c r="P82" s="1332"/>
      <c r="Q82" s="1332"/>
      <c r="R82" s="1332"/>
      <c r="S82" s="1332"/>
      <c r="T82" s="388" t="b" cm="1">
        <f t="array" ref="T82">T81</f>
        <v>1</v>
      </c>
      <c r="U82" s="1332"/>
      <c r="V82" s="1332"/>
      <c r="W82" s="1332"/>
      <c r="X82" s="2009"/>
      <c r="Y82" s="1332"/>
      <c r="Z82" s="2034"/>
      <c r="AA82" s="1332"/>
      <c r="AB82" s="8" t="s">
        <v>289</v>
      </c>
      <c r="AC82" s="57" t="s">
        <v>853</v>
      </c>
      <c r="AD82" s="11" t="s">
        <v>854</v>
      </c>
      <c r="AE82" s="110">
        <f>SUMIF(AD86:AD116,AD82,AE86:AE116)</f>
        <v>4549.6346753159996</v>
      </c>
      <c r="AF82" s="110">
        <f>SUMIF(AD86:AD116,AD82,AF86:AF116)</f>
        <v>4855.0700000000006</v>
      </c>
      <c r="AG82" s="110">
        <f>SUMIF(AD86:AD116,AD82,AG86:AG116)</f>
        <v>4528.6045195727365</v>
      </c>
      <c r="AH82" s="110">
        <f>SUMIF(AD86:AD116,AD82,AH86:AH116)</f>
        <v>4549.6346753159996</v>
      </c>
      <c r="AI82" s="110">
        <f>SUMIF(AD86:AD116,AD82,AI86:AI116)</f>
        <v>4855.0700000000006</v>
      </c>
      <c r="AJ82" s="110">
        <f>SUMIF(AD86:AD116,AD82,AJ86:AJ116)</f>
        <v>4710.2</v>
      </c>
      <c r="AK82" s="110">
        <f>SUMIF(AD86:AD116,AD82,AK86:AK116)</f>
        <v>4710.2</v>
      </c>
      <c r="AL82" s="110">
        <f>SUMIF(AD86:AD116,AD82,AL86:AL116)</f>
        <v>4710.2</v>
      </c>
      <c r="AM82" s="110">
        <f>SUMIF(AD86:AD116,AD82,AM86:AM116)</f>
        <v>4710.2</v>
      </c>
      <c r="AN82" s="110">
        <f>SUMIF(AD86:AD116,AD82,AN86:AN116)</f>
        <v>4710.2</v>
      </c>
      <c r="AO82" s="110">
        <f>SUMIF(AD86:AD116,AD82,AO86:AO116)</f>
        <v>4710.2</v>
      </c>
      <c r="AP82" s="110">
        <f>SUMIF(AD86:AD116,AD82,AP86:AP116)</f>
        <v>0</v>
      </c>
      <c r="AQ82" s="110">
        <f>SUMIF(AD86:AD116,AD82,AQ86:AQ116)</f>
        <v>0</v>
      </c>
      <c r="AR82" s="110">
        <f>SUMIF(AD86:AD116,AD82,AR86:AR116)</f>
        <v>0</v>
      </c>
      <c r="AS82" s="110">
        <f>SUMIF(AD86:AD116,AD82,AS86:AS116)</f>
        <v>4274.1454526406342</v>
      </c>
      <c r="AT82" s="110">
        <f>SUMIF(AD86:AD116,AD82,AT86:AT116)</f>
        <v>4549.6400000000003</v>
      </c>
      <c r="AU82" s="110">
        <f>SUMIF(AD86:AD116,AD82,AU86:AU116)</f>
        <v>4549.6400000000003</v>
      </c>
      <c r="AV82" s="110">
        <f>SUMIF(AD86:AD116,AD82,AV86:AV116)</f>
        <v>4549.6400000000003</v>
      </c>
      <c r="AW82" s="110">
        <f>SUMIF(AD86:AD116,AD82,AW86:AW116)</f>
        <v>4549.6400000000003</v>
      </c>
      <c r="AX82" s="110">
        <f>SUMIF(AD86:AD116,AD82,AX86:AX116)</f>
        <v>4549.6400000000003</v>
      </c>
      <c r="AY82" s="110">
        <f>SUMIF(AD86:AD116,AD82,AY86:AY116)</f>
        <v>4549.6400000000003</v>
      </c>
      <c r="AZ82" s="110">
        <f>SUMIF(AD86:AD116,AD82,AZ86:AZ116)</f>
        <v>0</v>
      </c>
      <c r="BA82" s="110">
        <f>SUMIF(AD86:AD116,AD82,BA86:BA116)</f>
        <v>0</v>
      </c>
      <c r="BB82" s="110">
        <f>SUMIF(AD86:AD116,AD82,BB86:BB116)</f>
        <v>0</v>
      </c>
      <c r="BC82" s="119"/>
      <c r="BD82" s="1332"/>
      <c r="BE82" s="1332"/>
      <c r="BF82" s="939" t="s">
        <v>855</v>
      </c>
      <c r="BG82" s="939"/>
      <c r="BH82" s="939"/>
      <c r="BI82" s="185"/>
      <c r="BJ82" s="185"/>
    </row>
    <row r="83" spans="1:62" s="1088" customFormat="1" ht="12.75" customHeight="1" x14ac:dyDescent="0.15">
      <c r="A83" s="1332"/>
      <c r="B83" s="351"/>
      <c r="C83" s="406"/>
      <c r="D83" s="1332"/>
      <c r="E83" s="185">
        <v>11.25</v>
      </c>
      <c r="F83" s="3" t="str" cm="1">
        <f t="array" aca="1" ref="F83" ca="1">OFFSET(E83,-1,1)</f>
        <v>2</v>
      </c>
      <c r="G83" s="45" t="s">
        <v>333</v>
      </c>
      <c r="H83" s="45"/>
      <c r="I83" s="1332"/>
      <c r="J83" s="1332"/>
      <c r="K83" s="1332"/>
      <c r="L83" s="1332"/>
      <c r="M83" s="1332"/>
      <c r="N83" s="1332"/>
      <c r="O83" s="1332"/>
      <c r="P83" s="1332"/>
      <c r="Q83" s="1332"/>
      <c r="R83" s="1332"/>
      <c r="S83" s="1332"/>
      <c r="T83" s="388" t="b" cm="1">
        <f t="array" ref="T83">T82</f>
        <v>1</v>
      </c>
      <c r="U83" s="1332"/>
      <c r="V83" s="1332"/>
      <c r="W83" s="1332"/>
      <c r="X83" s="2009"/>
      <c r="Y83" s="1332"/>
      <c r="Z83" s="2034"/>
      <c r="AA83" s="1332"/>
      <c r="AB83" s="8" t="s">
        <v>329</v>
      </c>
      <c r="AC83" s="57" t="s">
        <v>856</v>
      </c>
      <c r="AD83" s="11" t="s">
        <v>857</v>
      </c>
      <c r="AE83" s="158">
        <v>3322.1562800000002</v>
      </c>
      <c r="AF83" s="158">
        <v>3306.5</v>
      </c>
      <c r="AG83" s="158">
        <v>3306.8</v>
      </c>
      <c r="AH83" s="158">
        <v>3322.1562800000002</v>
      </c>
      <c r="AI83" s="158">
        <v>3306.5</v>
      </c>
      <c r="AJ83" s="1399">
        <v>3401.33</v>
      </c>
      <c r="AK83" s="1399">
        <v>3401.33</v>
      </c>
      <c r="AL83" s="1399">
        <v>3401.33</v>
      </c>
      <c r="AM83" s="1399">
        <v>3401.33</v>
      </c>
      <c r="AN83" s="1399">
        <v>3401.33</v>
      </c>
      <c r="AO83" s="1399">
        <v>3401.33</v>
      </c>
      <c r="AP83" s="158"/>
      <c r="AQ83" s="158"/>
      <c r="AR83" s="158"/>
      <c r="AS83" s="158">
        <v>3120.9932600000002</v>
      </c>
      <c r="AT83" s="1399">
        <v>3322.16</v>
      </c>
      <c r="AU83" s="1399">
        <v>3322.16</v>
      </c>
      <c r="AV83" s="1399">
        <v>3322.16</v>
      </c>
      <c r="AW83" s="1399">
        <v>3322.16</v>
      </c>
      <c r="AX83" s="1399">
        <v>3322.16</v>
      </c>
      <c r="AY83" s="1399">
        <v>3322.16</v>
      </c>
      <c r="AZ83" s="158"/>
      <c r="BA83" s="158"/>
      <c r="BB83" s="158"/>
      <c r="BC83" s="119"/>
      <c r="BD83" s="1332"/>
      <c r="BE83" s="1332"/>
      <c r="BF83" s="939" t="s">
        <v>858</v>
      </c>
      <c r="BG83" s="939"/>
      <c r="BH83" s="939"/>
      <c r="BI83" s="185"/>
      <c r="BJ83" s="185"/>
    </row>
    <row r="84" spans="1:62" s="1088" customFormat="1" ht="10.5" customHeight="1" x14ac:dyDescent="0.15">
      <c r="A84" s="1332"/>
      <c r="B84" s="351"/>
      <c r="C84" s="406"/>
      <c r="D84" s="1332"/>
      <c r="E84" s="185">
        <v>11.25</v>
      </c>
      <c r="F84" s="3" t="str" cm="1">
        <f t="array" aca="1" ref="F84" ca="1">OFFSET(E84,-1,1)</f>
        <v>2</v>
      </c>
      <c r="G84" s="45" t="s">
        <v>335</v>
      </c>
      <c r="H84" s="45"/>
      <c r="I84" s="1332"/>
      <c r="J84" s="1332"/>
      <c r="K84" s="1332"/>
      <c r="L84" s="1332"/>
      <c r="M84" s="1332"/>
      <c r="N84" s="1332"/>
      <c r="O84" s="1332"/>
      <c r="P84" s="1332"/>
      <c r="Q84" s="1332"/>
      <c r="R84" s="1332"/>
      <c r="S84" s="1332"/>
      <c r="T84" s="388" t="b" cm="1">
        <f t="array" ref="T84">T83</f>
        <v>1</v>
      </c>
      <c r="U84" s="1332"/>
      <c r="V84" s="1332"/>
      <c r="W84" s="1332"/>
      <c r="X84" s="2009"/>
      <c r="Y84" s="1332"/>
      <c r="Z84" s="2034"/>
      <c r="AA84" s="1332"/>
      <c r="AB84" s="8" t="s">
        <v>441</v>
      </c>
      <c r="AC84" s="57" t="s">
        <v>859</v>
      </c>
      <c r="AD84" s="11" t="s">
        <v>860</v>
      </c>
      <c r="AE84" s="110">
        <f t="shared" ref="AE84:BB84" si="22">IF(AE82=0,0,AE81/AE82)</f>
        <v>5.3530058299088488</v>
      </c>
      <c r="AF84" s="110">
        <f t="shared" si="22"/>
        <v>5.3056269013629054</v>
      </c>
      <c r="AG84" s="110">
        <f t="shared" si="22"/>
        <v>5.434851841786795</v>
      </c>
      <c r="AH84" s="110">
        <f t="shared" si="22"/>
        <v>5.6153031155743447</v>
      </c>
      <c r="AI84" s="110">
        <f t="shared" si="22"/>
        <v>5.7882234447701055</v>
      </c>
      <c r="AJ84" s="110">
        <f t="shared" si="22"/>
        <v>5.884461381682307</v>
      </c>
      <c r="AK84" s="110">
        <f t="shared" si="22"/>
        <v>6.1198377988195825</v>
      </c>
      <c r="AL84" s="110">
        <f t="shared" si="22"/>
        <v>6.3646341981232224</v>
      </c>
      <c r="AM84" s="110">
        <f t="shared" si="22"/>
        <v>6.6192178676064719</v>
      </c>
      <c r="AN84" s="110">
        <f t="shared" si="22"/>
        <v>6.8839879410640741</v>
      </c>
      <c r="AO84" s="110">
        <f t="shared" si="22"/>
        <v>7.1593477983949727</v>
      </c>
      <c r="AP84" s="110">
        <f t="shared" si="22"/>
        <v>0</v>
      </c>
      <c r="AQ84" s="110">
        <f t="shared" si="22"/>
        <v>0</v>
      </c>
      <c r="AR84" s="110">
        <f t="shared" si="22"/>
        <v>0</v>
      </c>
      <c r="AS84" s="110">
        <f t="shared" si="22"/>
        <v>7.2663998790242603</v>
      </c>
      <c r="AT84" s="110">
        <f t="shared" si="22"/>
        <v>5.957266948593734</v>
      </c>
      <c r="AU84" s="110">
        <f t="shared" si="22"/>
        <v>6.1359865835538629</v>
      </c>
      <c r="AV84" s="110">
        <f t="shared" si="22"/>
        <v>6.3200648842545792</v>
      </c>
      <c r="AW84" s="110">
        <f t="shared" si="22"/>
        <v>6.5096688968797523</v>
      </c>
      <c r="AX84" s="110">
        <f t="shared" si="22"/>
        <v>6.7049590736849503</v>
      </c>
      <c r="AY84" s="110">
        <f t="shared" si="22"/>
        <v>6.9061090547823554</v>
      </c>
      <c r="AZ84" s="110">
        <f t="shared" si="22"/>
        <v>0</v>
      </c>
      <c r="BA84" s="110">
        <f t="shared" si="22"/>
        <v>0</v>
      </c>
      <c r="BB84" s="110">
        <f t="shared" si="22"/>
        <v>0</v>
      </c>
      <c r="BC84" s="119"/>
      <c r="BD84" s="1332"/>
      <c r="BE84" s="1332"/>
      <c r="BF84" s="939" t="s">
        <v>861</v>
      </c>
      <c r="BG84" s="939"/>
      <c r="BH84" s="939"/>
      <c r="BI84" s="185"/>
      <c r="BJ84" s="185"/>
    </row>
    <row r="85" spans="1:62" s="1088" customFormat="1" ht="10.5" customHeight="1" x14ac:dyDescent="0.15">
      <c r="A85" s="1332"/>
      <c r="B85" s="351"/>
      <c r="C85" s="406"/>
      <c r="D85" s="1332"/>
      <c r="E85" s="185">
        <v>11.25</v>
      </c>
      <c r="F85" s="3" t="str" cm="1">
        <f t="array" aca="1" ref="F85" ca="1">OFFSET(E85,-1,1)</f>
        <v>2</v>
      </c>
      <c r="G85" s="45" t="s">
        <v>334</v>
      </c>
      <c r="H85" s="45"/>
      <c r="I85" s="1332"/>
      <c r="J85" s="1332"/>
      <c r="K85" s="1332"/>
      <c r="L85" s="1332"/>
      <c r="M85" s="1332"/>
      <c r="N85" s="1332"/>
      <c r="O85" s="1332"/>
      <c r="P85" s="1332"/>
      <c r="Q85" s="1332"/>
      <c r="R85" s="1332"/>
      <c r="S85" s="1332"/>
      <c r="T85" s="388" t="b" cm="1">
        <f t="array" ref="T85">T84</f>
        <v>1</v>
      </c>
      <c r="U85" s="1332"/>
      <c r="V85" s="1332"/>
      <c r="W85" s="1332"/>
      <c r="X85" s="2009"/>
      <c r="Y85" s="1332"/>
      <c r="Z85" s="2034"/>
      <c r="AA85" s="1332"/>
      <c r="AB85" s="8" t="s">
        <v>444</v>
      </c>
      <c r="AC85" s="57" t="s">
        <v>862</v>
      </c>
      <c r="AD85" s="11" t="s">
        <v>863</v>
      </c>
      <c r="AE85" s="232">
        <f t="shared" ref="AE85:BB85" si="23">IF(AE83=0,0,AE82/AE83)</f>
        <v>1.3694824360628812</v>
      </c>
      <c r="AF85" s="232">
        <f t="shared" si="23"/>
        <v>1.4683411462271285</v>
      </c>
      <c r="AG85" s="232">
        <f t="shared" si="23"/>
        <v>1.3694824360628814</v>
      </c>
      <c r="AH85" s="232">
        <f t="shared" si="23"/>
        <v>1.3694824360628812</v>
      </c>
      <c r="AI85" s="232">
        <f t="shared" si="23"/>
        <v>1.4683411462271285</v>
      </c>
      <c r="AJ85" s="232">
        <f t="shared" si="23"/>
        <v>1.3848112356048956</v>
      </c>
      <c r="AK85" s="232">
        <f t="shared" si="23"/>
        <v>1.3848112356048956</v>
      </c>
      <c r="AL85" s="232">
        <f t="shared" si="23"/>
        <v>1.3848112356048956</v>
      </c>
      <c r="AM85" s="232">
        <f t="shared" si="23"/>
        <v>1.3848112356048956</v>
      </c>
      <c r="AN85" s="232">
        <f t="shared" si="23"/>
        <v>1.3848112356048956</v>
      </c>
      <c r="AO85" s="232">
        <f t="shared" si="23"/>
        <v>1.3848112356048956</v>
      </c>
      <c r="AP85" s="232">
        <f t="shared" si="23"/>
        <v>0</v>
      </c>
      <c r="AQ85" s="232">
        <f t="shared" si="23"/>
        <v>0</v>
      </c>
      <c r="AR85" s="232">
        <f t="shared" si="23"/>
        <v>0</v>
      </c>
      <c r="AS85" s="232">
        <f t="shared" si="23"/>
        <v>1.3694824360628814</v>
      </c>
      <c r="AT85" s="232">
        <f t="shared" si="23"/>
        <v>1.36948250535796</v>
      </c>
      <c r="AU85" s="232">
        <f t="shared" si="23"/>
        <v>1.36948250535796</v>
      </c>
      <c r="AV85" s="232">
        <f t="shared" si="23"/>
        <v>1.36948250535796</v>
      </c>
      <c r="AW85" s="232">
        <f t="shared" si="23"/>
        <v>1.36948250535796</v>
      </c>
      <c r="AX85" s="232">
        <f t="shared" si="23"/>
        <v>1.36948250535796</v>
      </c>
      <c r="AY85" s="232">
        <f t="shared" si="23"/>
        <v>1.36948250535796</v>
      </c>
      <c r="AZ85" s="232">
        <f t="shared" si="23"/>
        <v>0</v>
      </c>
      <c r="BA85" s="232">
        <f t="shared" si="23"/>
        <v>0</v>
      </c>
      <c r="BB85" s="232">
        <f t="shared" si="23"/>
        <v>0</v>
      </c>
      <c r="BC85" s="119" t="s">
        <v>897</v>
      </c>
      <c r="BD85" s="1332"/>
      <c r="BE85" s="1332"/>
      <c r="BF85" s="939" t="s">
        <v>864</v>
      </c>
      <c r="BG85" s="939"/>
      <c r="BH85" s="939"/>
      <c r="BI85" s="185"/>
      <c r="BJ85" s="185"/>
    </row>
    <row r="86" spans="1:62" s="1088" customFormat="1" ht="12" customHeight="1" x14ac:dyDescent="0.15">
      <c r="A86" s="1332"/>
      <c r="B86" s="351"/>
      <c r="C86" s="406"/>
      <c r="D86" s="1332"/>
      <c r="E86" s="185">
        <v>13</v>
      </c>
      <c r="F86" s="3" t="str" cm="1">
        <f t="array" aca="1" ref="F86" ca="1">OFFSET(E86,-1,1)</f>
        <v>2</v>
      </c>
      <c r="G86" s="45"/>
      <c r="H86" s="45"/>
      <c r="I86" s="1332"/>
      <c r="J86" s="1332"/>
      <c r="K86" s="1332"/>
      <c r="L86" s="1332"/>
      <c r="M86" s="1332"/>
      <c r="N86" s="1332"/>
      <c r="O86" s="1332"/>
      <c r="P86" s="1332"/>
      <c r="Q86" s="1332"/>
      <c r="R86" s="1332"/>
      <c r="S86" s="1332"/>
      <c r="T86" s="388" t="b" cm="1">
        <f t="array" ref="T86">T85</f>
        <v>1</v>
      </c>
      <c r="U86" s="1332"/>
      <c r="V86" s="1332"/>
      <c r="W86" s="1332"/>
      <c r="X86" s="2009"/>
      <c r="Y86" s="1332"/>
      <c r="Z86" s="2034"/>
      <c r="AA86" s="1332"/>
      <c r="AB86" s="576"/>
      <c r="AC86" s="184" t="s">
        <v>865</v>
      </c>
      <c r="AD86" s="185"/>
      <c r="AE86" s="186"/>
      <c r="AF86" s="186"/>
      <c r="AG86" s="186"/>
      <c r="AH86" s="186"/>
      <c r="AI86" s="186"/>
      <c r="AJ86" s="186"/>
      <c r="AK86" s="186"/>
      <c r="AL86" s="186"/>
      <c r="AM86" s="186"/>
      <c r="AN86" s="186"/>
      <c r="AO86" s="186"/>
      <c r="AP86" s="186"/>
      <c r="AQ86" s="186"/>
      <c r="AR86" s="186"/>
      <c r="AS86" s="186"/>
      <c r="AT86" s="186"/>
      <c r="AU86" s="186"/>
      <c r="AV86" s="186"/>
      <c r="AW86" s="186"/>
      <c r="AX86" s="186"/>
      <c r="AY86" s="186"/>
      <c r="AZ86" s="186"/>
      <c r="BA86" s="186"/>
      <c r="BB86" s="186"/>
      <c r="BC86" s="187"/>
      <c r="BD86" s="1332"/>
      <c r="BE86" s="1332"/>
      <c r="BF86" s="939"/>
      <c r="BG86" s="939"/>
      <c r="BH86" s="939"/>
      <c r="BI86" s="185"/>
      <c r="BJ86" s="185"/>
    </row>
    <row r="87" spans="1:62" s="1088" customFormat="1" ht="10.5" hidden="1" customHeight="1" x14ac:dyDescent="0.15">
      <c r="A87" s="1332"/>
      <c r="B87" s="351"/>
      <c r="C87" s="406"/>
      <c r="D87" s="1332"/>
      <c r="E87" s="185">
        <v>11.25</v>
      </c>
      <c r="F87" s="3" t="str" cm="1">
        <f t="array" aca="1" ref="F87" ca="1">OFFSET(E87,-1,1)</f>
        <v>2</v>
      </c>
      <c r="G87" s="45" t="s">
        <v>544</v>
      </c>
      <c r="H87" s="45" cm="1">
        <f t="array" ref="H87">AC87</f>
        <v>0</v>
      </c>
      <c r="I87" s="1332"/>
      <c r="J87" s="1332"/>
      <c r="K87" s="1332"/>
      <c r="L87" s="1332"/>
      <c r="M87" s="1332"/>
      <c r="N87" s="1332"/>
      <c r="O87" s="1332"/>
      <c r="P87" s="1332"/>
      <c r="Q87" s="1332"/>
      <c r="R87" s="1332"/>
      <c r="S87" s="1332"/>
      <c r="T87" s="388" t="b">
        <f ca="1">AND(F87&gt;0,Y87&gt;0)</f>
        <v>0</v>
      </c>
      <c r="U87" s="1332"/>
      <c r="V87" s="1332"/>
      <c r="W87" s="677" t="s">
        <v>172</v>
      </c>
      <c r="X87" s="2009"/>
      <c r="Y87" s="2009">
        <v>0</v>
      </c>
      <c r="Z87" s="2034"/>
      <c r="AA87" s="1958" t="s">
        <v>173</v>
      </c>
      <c r="AB87" s="8" t="str">
        <f>"6."&amp;Y87</f>
        <v>6.0</v>
      </c>
      <c r="AC87" s="1396"/>
      <c r="AD87" s="8" t="s">
        <v>831</v>
      </c>
      <c r="AE87" s="1358"/>
      <c r="AF87" s="1358"/>
      <c r="AG87" s="1358"/>
      <c r="AH87" s="1358"/>
      <c r="AI87" s="60"/>
      <c r="AJ87" s="1358"/>
      <c r="AK87" s="1358"/>
      <c r="AL87" s="1358"/>
      <c r="AM87" s="1358"/>
      <c r="AN87" s="1358"/>
      <c r="AO87" s="1358"/>
      <c r="AP87" s="1358"/>
      <c r="AQ87" s="1358"/>
      <c r="AR87" s="1358"/>
      <c r="AS87" s="60"/>
      <c r="AT87" s="1358"/>
      <c r="AU87" s="1358"/>
      <c r="AV87" s="1358"/>
      <c r="AW87" s="1358"/>
      <c r="AX87" s="1358"/>
      <c r="AY87" s="1358"/>
      <c r="AZ87" s="1358"/>
      <c r="BA87" s="1358"/>
      <c r="BB87" s="1358"/>
      <c r="BC87" s="1365"/>
      <c r="BD87" s="1332"/>
      <c r="BE87" s="1332"/>
      <c r="BF87" s="939" t="s">
        <v>866</v>
      </c>
      <c r="BG87" s="939" t="s">
        <v>867</v>
      </c>
      <c r="BH87" s="939" cm="1">
        <f t="array" ref="BH87">AC87</f>
        <v>0</v>
      </c>
      <c r="BI87" s="185"/>
      <c r="BJ87" s="185" t="b">
        <v>1</v>
      </c>
    </row>
    <row r="88" spans="1:62" s="1088" customFormat="1" ht="10.5" hidden="1" customHeight="1" x14ac:dyDescent="0.15">
      <c r="A88" s="1332"/>
      <c r="B88" s="351"/>
      <c r="C88" s="406"/>
      <c r="D88" s="1332"/>
      <c r="E88" s="185">
        <v>11.25</v>
      </c>
      <c r="F88" s="3" t="str" cm="1">
        <f t="array" aca="1" ref="F88" ca="1">OFFSET(E88,-1,1)</f>
        <v>2</v>
      </c>
      <c r="G88" s="45" t="s">
        <v>699</v>
      </c>
      <c r="H88" s="45" cm="1">
        <f t="array" ref="H88">H87</f>
        <v>0</v>
      </c>
      <c r="I88" s="1332"/>
      <c r="J88" s="1332"/>
      <c r="K88" s="1332"/>
      <c r="L88" s="1332"/>
      <c r="M88" s="1332"/>
      <c r="N88" s="1332"/>
      <c r="O88" s="1332"/>
      <c r="P88" s="1332"/>
      <c r="Q88" s="1332"/>
      <c r="R88" s="1332"/>
      <c r="S88" s="1332"/>
      <c r="T88" s="388" t="b" cm="1">
        <f t="array" aca="1" ref="T88" ca="1">T87</f>
        <v>0</v>
      </c>
      <c r="U88" s="1332"/>
      <c r="V88" s="1332"/>
      <c r="W88" s="1332"/>
      <c r="X88" s="2009"/>
      <c r="Y88" s="2009"/>
      <c r="Z88" s="2034"/>
      <c r="AA88" s="1958"/>
      <c r="AB88" s="8" t="str">
        <f>AB87&amp;".1"</f>
        <v>6.0.1</v>
      </c>
      <c r="AC88" s="111" t="s">
        <v>868</v>
      </c>
      <c r="AD88" s="11" t="s">
        <v>860</v>
      </c>
      <c r="AE88" s="110">
        <f t="shared" ref="AE88:BB88" si="24">IF(OR(AND(AE87&lt;&gt;0,AE89=0),AND(AE87=0,AE89&lt;&gt;0)),"Ошибка",IF(AE89=0,0,AE87/AE89))</f>
        <v>0</v>
      </c>
      <c r="AF88" s="110">
        <f t="shared" si="24"/>
        <v>0</v>
      </c>
      <c r="AG88" s="110">
        <f t="shared" si="24"/>
        <v>0</v>
      </c>
      <c r="AH88" s="110">
        <f t="shared" si="24"/>
        <v>0</v>
      </c>
      <c r="AI88" s="110">
        <f t="shared" si="24"/>
        <v>0</v>
      </c>
      <c r="AJ88" s="110">
        <f t="shared" si="24"/>
        <v>0</v>
      </c>
      <c r="AK88" s="110">
        <f t="shared" si="24"/>
        <v>0</v>
      </c>
      <c r="AL88" s="110">
        <f t="shared" si="24"/>
        <v>0</v>
      </c>
      <c r="AM88" s="110">
        <f t="shared" si="24"/>
        <v>0</v>
      </c>
      <c r="AN88" s="110">
        <f t="shared" si="24"/>
        <v>0</v>
      </c>
      <c r="AO88" s="110">
        <f t="shared" si="24"/>
        <v>0</v>
      </c>
      <c r="AP88" s="110">
        <f t="shared" si="24"/>
        <v>0</v>
      </c>
      <c r="AQ88" s="110">
        <f t="shared" si="24"/>
        <v>0</v>
      </c>
      <c r="AR88" s="110">
        <f t="shared" si="24"/>
        <v>0</v>
      </c>
      <c r="AS88" s="110">
        <f t="shared" si="24"/>
        <v>0</v>
      </c>
      <c r="AT88" s="110">
        <f t="shared" si="24"/>
        <v>0</v>
      </c>
      <c r="AU88" s="110">
        <f t="shared" si="24"/>
        <v>0</v>
      </c>
      <c r="AV88" s="110">
        <f t="shared" si="24"/>
        <v>0</v>
      </c>
      <c r="AW88" s="110">
        <f t="shared" si="24"/>
        <v>0</v>
      </c>
      <c r="AX88" s="110">
        <f t="shared" si="24"/>
        <v>0</v>
      </c>
      <c r="AY88" s="110">
        <f t="shared" si="24"/>
        <v>0</v>
      </c>
      <c r="AZ88" s="110">
        <f t="shared" si="24"/>
        <v>0</v>
      </c>
      <c r="BA88" s="110">
        <f t="shared" si="24"/>
        <v>0</v>
      </c>
      <c r="BB88" s="110">
        <f t="shared" si="24"/>
        <v>0</v>
      </c>
      <c r="BC88" s="1365"/>
      <c r="BD88" s="1332"/>
      <c r="BE88" s="1332"/>
      <c r="BF88" s="939" t="s">
        <v>869</v>
      </c>
      <c r="BG88" s="939" t="s">
        <v>867</v>
      </c>
      <c r="BH88" s="939" cm="1">
        <f t="array" ref="BH88">BH87</f>
        <v>0</v>
      </c>
      <c r="BI88" s="185"/>
      <c r="BJ88" s="185"/>
    </row>
    <row r="89" spans="1:62" s="1088" customFormat="1" ht="10.5" hidden="1" customHeight="1" x14ac:dyDescent="0.15">
      <c r="A89" s="1332"/>
      <c r="B89" s="351"/>
      <c r="C89" s="406"/>
      <c r="D89" s="1332"/>
      <c r="E89" s="185">
        <v>11.25</v>
      </c>
      <c r="F89" s="3" t="str" cm="1">
        <f t="array" aca="1" ref="F89" ca="1">OFFSET(E89,-1,1)</f>
        <v>2</v>
      </c>
      <c r="G89" s="45" t="s">
        <v>702</v>
      </c>
      <c r="H89" s="45" cm="1">
        <f t="array" ref="H89">H88</f>
        <v>0</v>
      </c>
      <c r="I89" s="1332"/>
      <c r="J89" s="1332"/>
      <c r="K89" s="1332"/>
      <c r="L89" s="1332"/>
      <c r="M89" s="1332"/>
      <c r="N89" s="1332"/>
      <c r="O89" s="1332"/>
      <c r="P89" s="1332"/>
      <c r="Q89" s="1332"/>
      <c r="R89" s="1332"/>
      <c r="S89" s="1332"/>
      <c r="T89" s="388" t="b" cm="1">
        <f t="array" aca="1" ref="T89" ca="1">T88</f>
        <v>0</v>
      </c>
      <c r="U89" s="1332"/>
      <c r="V89" s="1332"/>
      <c r="W89" s="1332"/>
      <c r="X89" s="2009"/>
      <c r="Y89" s="2009"/>
      <c r="Z89" s="2034"/>
      <c r="AA89" s="1958"/>
      <c r="AB89" s="8" t="str">
        <f>AB87&amp;".2"</f>
        <v>6.0.2</v>
      </c>
      <c r="AC89" s="111" t="s">
        <v>870</v>
      </c>
      <c r="AD89" s="11" t="s">
        <v>854</v>
      </c>
      <c r="AE89" s="1358"/>
      <c r="AF89" s="1358"/>
      <c r="AG89" s="1358"/>
      <c r="AH89" s="1358"/>
      <c r="AI89" s="60"/>
      <c r="AJ89" s="1358"/>
      <c r="AK89" s="1358"/>
      <c r="AL89" s="1358"/>
      <c r="AM89" s="1358"/>
      <c r="AN89" s="1358"/>
      <c r="AO89" s="1358"/>
      <c r="AP89" s="1358"/>
      <c r="AQ89" s="1358"/>
      <c r="AR89" s="1358"/>
      <c r="AS89" s="60"/>
      <c r="AT89" s="1358"/>
      <c r="AU89" s="1358"/>
      <c r="AV89" s="1358"/>
      <c r="AW89" s="1358"/>
      <c r="AX89" s="1358"/>
      <c r="AY89" s="1358"/>
      <c r="AZ89" s="1358"/>
      <c r="BA89" s="1358"/>
      <c r="BB89" s="1358"/>
      <c r="BC89" s="1365"/>
      <c r="BD89" s="1332"/>
      <c r="BE89" s="1332"/>
      <c r="BF89" s="939" t="s">
        <v>871</v>
      </c>
      <c r="BG89" s="939" t="s">
        <v>867</v>
      </c>
      <c r="BH89" s="939" cm="1">
        <f t="array" ref="BH89">BH88</f>
        <v>0</v>
      </c>
      <c r="BI89" s="185"/>
      <c r="BJ89" s="185"/>
    </row>
    <row r="90" spans="1:62" s="1088" customFormat="1" ht="33.75" customHeight="1" x14ac:dyDescent="0.15">
      <c r="A90" s="1332"/>
      <c r="B90" s="351"/>
      <c r="C90" s="406"/>
      <c r="D90" s="1332"/>
      <c r="E90" s="185">
        <v>11.25</v>
      </c>
      <c r="F90" s="3" t="str" cm="1">
        <f t="array" aca="1" ref="F90" ca="1">OFFSET(E90,-1,1)</f>
        <v>2</v>
      </c>
      <c r="G90" s="45" t="s">
        <v>544</v>
      </c>
      <c r="H90" s="45" t="str" cm="1">
        <f t="array" ref="H90">AC90</f>
        <v>НН</v>
      </c>
      <c r="I90" s="1332"/>
      <c r="J90" s="1332"/>
      <c r="K90" s="1332"/>
      <c r="L90" s="1332"/>
      <c r="M90" s="1332"/>
      <c r="N90" s="1332"/>
      <c r="O90" s="1332"/>
      <c r="P90" s="1332"/>
      <c r="Q90" s="1332"/>
      <c r="R90" s="1332"/>
      <c r="S90" s="1332"/>
      <c r="T90" s="388" t="b">
        <f ca="1">AND(F90&gt;0,Y90&gt;0)</f>
        <v>1</v>
      </c>
      <c r="U90" s="1332"/>
      <c r="V90" s="1332"/>
      <c r="W90" s="677"/>
      <c r="X90" s="2009"/>
      <c r="Y90" s="2009" t="s">
        <v>282</v>
      </c>
      <c r="Z90" s="2034"/>
      <c r="AA90" s="1958" t="s">
        <v>173</v>
      </c>
      <c r="AB90" s="8" t="str">
        <f>"6."&amp;Y90</f>
        <v>6.1</v>
      </c>
      <c r="AC90" s="118" t="s">
        <v>901</v>
      </c>
      <c r="AD90" s="8" t="s">
        <v>831</v>
      </c>
      <c r="AE90" s="60">
        <v>593.59269104179998</v>
      </c>
      <c r="AF90" s="60">
        <v>1108.47</v>
      </c>
      <c r="AG90" s="60">
        <f>AG92*AF91</f>
        <v>580.51632279552905</v>
      </c>
      <c r="AH90" s="60">
        <v>622.67873290279999</v>
      </c>
      <c r="AI90" s="60">
        <v>1209.29</v>
      </c>
      <c r="AJ90" s="1358">
        <v>1123.9000000000001</v>
      </c>
      <c r="AK90" s="1358">
        <v>1168.8499999999999</v>
      </c>
      <c r="AL90" s="1358">
        <v>1215.6099999999999</v>
      </c>
      <c r="AM90" s="1358">
        <v>1264.23</v>
      </c>
      <c r="AN90" s="1358">
        <v>1314.8</v>
      </c>
      <c r="AO90" s="1358">
        <v>1367.39</v>
      </c>
      <c r="AP90" s="60"/>
      <c r="AQ90" s="60"/>
      <c r="AR90" s="60"/>
      <c r="AS90" s="60">
        <v>709.53</v>
      </c>
      <c r="AT90" s="1358">
        <v>660.6</v>
      </c>
      <c r="AU90" s="1358">
        <v>680.42</v>
      </c>
      <c r="AV90" s="1358">
        <v>700.83</v>
      </c>
      <c r="AW90" s="1358">
        <v>721.86</v>
      </c>
      <c r="AX90" s="1358">
        <v>743.51</v>
      </c>
      <c r="AY90" s="1358">
        <v>765.82</v>
      </c>
      <c r="AZ90" s="60"/>
      <c r="BA90" s="60"/>
      <c r="BB90" s="60"/>
      <c r="BC90" s="119"/>
      <c r="BD90" s="1332"/>
      <c r="BE90" s="1332"/>
      <c r="BF90" s="939" t="s">
        <v>866</v>
      </c>
      <c r="BG90" s="939" t="s">
        <v>867</v>
      </c>
      <c r="BH90" s="939" t="str" cm="1">
        <f t="array" ref="BH90">AC90</f>
        <v>НН</v>
      </c>
      <c r="BI90" s="185"/>
      <c r="BJ90" s="185" t="b">
        <v>1</v>
      </c>
    </row>
    <row r="91" spans="1:62" s="1088" customFormat="1" ht="128.25" customHeight="1" x14ac:dyDescent="0.15">
      <c r="A91" s="1332"/>
      <c r="B91" s="351"/>
      <c r="C91" s="406"/>
      <c r="D91" s="1332"/>
      <c r="E91" s="185">
        <v>11.25</v>
      </c>
      <c r="F91" s="3" t="str" cm="1">
        <f t="array" aca="1" ref="F91" ca="1">OFFSET(E91,-1,1)</f>
        <v>2</v>
      </c>
      <c r="G91" s="45" t="s">
        <v>699</v>
      </c>
      <c r="H91" s="45" t="str" cm="1">
        <f t="array" ref="H91">H90</f>
        <v>НН</v>
      </c>
      <c r="I91" s="1332"/>
      <c r="J91" s="1332"/>
      <c r="K91" s="1332"/>
      <c r="L91" s="1332"/>
      <c r="M91" s="1332"/>
      <c r="N91" s="1332"/>
      <c r="O91" s="1332"/>
      <c r="P91" s="1332"/>
      <c r="Q91" s="1332"/>
      <c r="R91" s="1332"/>
      <c r="S91" s="1332"/>
      <c r="T91" s="388" t="b" cm="1">
        <f t="array" aca="1" ref="T91" ca="1">T90</f>
        <v>1</v>
      </c>
      <c r="U91" s="1332"/>
      <c r="V91" s="1332"/>
      <c r="W91" s="1332"/>
      <c r="X91" s="2009"/>
      <c r="Y91" s="2009"/>
      <c r="Z91" s="2034"/>
      <c r="AA91" s="1958"/>
      <c r="AB91" s="8" t="str">
        <f>AB90&amp;".1"</f>
        <v>6.1.1</v>
      </c>
      <c r="AC91" s="111" t="s">
        <v>868</v>
      </c>
      <c r="AD91" s="11" t="s">
        <v>860</v>
      </c>
      <c r="AE91" s="110">
        <f t="shared" ref="AE91:BB91" si="25">IF(OR(AND(AE90&lt;&gt;0,AE92=0),AND(AE90=0,AE92&lt;&gt;0)),"Ошибка",IF(AE92=0,0,AE90/AE92))</f>
        <v>7.8016703750445995</v>
      </c>
      <c r="AF91" s="110">
        <f t="shared" si="25"/>
        <v>7.6652375354401485</v>
      </c>
      <c r="AG91" s="110">
        <f t="shared" si="25"/>
        <v>7.6652375354401494</v>
      </c>
      <c r="AH91" s="110">
        <f t="shared" si="25"/>
        <v>8.1839522234211515</v>
      </c>
      <c r="AI91" s="110">
        <f t="shared" si="25"/>
        <v>8.3624230689440555</v>
      </c>
      <c r="AJ91" s="110">
        <f t="shared" si="25"/>
        <v>8.6427253152876045</v>
      </c>
      <c r="AK91" s="110">
        <f t="shared" si="25"/>
        <v>8.98838818824977</v>
      </c>
      <c r="AL91" s="110">
        <f t="shared" si="25"/>
        <v>9.3479698554290991</v>
      </c>
      <c r="AM91" s="110">
        <f t="shared" si="25"/>
        <v>9.7218548139034144</v>
      </c>
      <c r="AN91" s="110">
        <f t="shared" si="25"/>
        <v>10.110735158412796</v>
      </c>
      <c r="AO91" s="110">
        <f t="shared" si="25"/>
        <v>10.515149184866196</v>
      </c>
      <c r="AP91" s="110">
        <f t="shared" si="25"/>
        <v>0</v>
      </c>
      <c r="AQ91" s="110">
        <f t="shared" si="25"/>
        <v>0</v>
      </c>
      <c r="AR91" s="110">
        <f t="shared" si="25"/>
        <v>0</v>
      </c>
      <c r="AS91" s="110">
        <f t="shared" si="25"/>
        <v>9.9265204807147764</v>
      </c>
      <c r="AT91" s="110">
        <f t="shared" si="25"/>
        <v>8.681824155605204</v>
      </c>
      <c r="AU91" s="110">
        <f t="shared" si="25"/>
        <v>8.9423051649362595</v>
      </c>
      <c r="AV91" s="110">
        <f t="shared" si="25"/>
        <v>9.2105401498225792</v>
      </c>
      <c r="AW91" s="110">
        <f t="shared" si="25"/>
        <v>9.4869233802076494</v>
      </c>
      <c r="AX91" s="110">
        <f t="shared" si="25"/>
        <v>9.77145485609147</v>
      </c>
      <c r="AY91" s="110">
        <f t="shared" si="25"/>
        <v>10.064660270732029</v>
      </c>
      <c r="AZ91" s="110">
        <f t="shared" si="25"/>
        <v>0</v>
      </c>
      <c r="BA91" s="110">
        <f t="shared" si="25"/>
        <v>0</v>
      </c>
      <c r="BB91" s="110">
        <f t="shared" si="25"/>
        <v>0</v>
      </c>
      <c r="BC91" s="119" t="s">
        <v>899</v>
      </c>
      <c r="BD91" s="1332"/>
      <c r="BE91" s="1332"/>
      <c r="BF91" s="939" t="s">
        <v>869</v>
      </c>
      <c r="BG91" s="939" t="s">
        <v>867</v>
      </c>
      <c r="BH91" s="939" t="str" cm="1">
        <f t="array" ref="BH91">BH90</f>
        <v>НН</v>
      </c>
      <c r="BI91" s="185"/>
      <c r="BJ91" s="185"/>
    </row>
    <row r="92" spans="1:62" s="1088" customFormat="1" ht="23.25" customHeight="1" x14ac:dyDescent="0.15">
      <c r="A92" s="1332"/>
      <c r="B92" s="351"/>
      <c r="C92" s="406"/>
      <c r="D92" s="1332"/>
      <c r="E92" s="185">
        <v>11.25</v>
      </c>
      <c r="F92" s="3" t="str" cm="1">
        <f t="array" aca="1" ref="F92" ca="1">OFFSET(E92,-1,1)</f>
        <v>2</v>
      </c>
      <c r="G92" s="45" t="s">
        <v>702</v>
      </c>
      <c r="H92" s="45" t="str" cm="1">
        <f t="array" ref="H92">H91</f>
        <v>НН</v>
      </c>
      <c r="I92" s="1332"/>
      <c r="J92" s="1332"/>
      <c r="K92" s="1332"/>
      <c r="L92" s="1332"/>
      <c r="M92" s="1332"/>
      <c r="N92" s="1332"/>
      <c r="O92" s="1332"/>
      <c r="P92" s="1332"/>
      <c r="Q92" s="1332"/>
      <c r="R92" s="1332"/>
      <c r="S92" s="1332"/>
      <c r="T92" s="388" t="b" cm="1">
        <f t="array" aca="1" ref="T92" ca="1">T91</f>
        <v>1</v>
      </c>
      <c r="U92" s="1332"/>
      <c r="V92" s="1332"/>
      <c r="W92" s="1332"/>
      <c r="X92" s="2009"/>
      <c r="Y92" s="2009"/>
      <c r="Z92" s="2034"/>
      <c r="AA92" s="1958"/>
      <c r="AB92" s="8" t="str">
        <f>AB90&amp;".2"</f>
        <v>6.1.2</v>
      </c>
      <c r="AC92" s="111" t="s">
        <v>870</v>
      </c>
      <c r="AD92" s="11" t="s">
        <v>854</v>
      </c>
      <c r="AE92" s="60">
        <v>76.085333333299999</v>
      </c>
      <c r="AF92" s="60">
        <v>144.61000000000001</v>
      </c>
      <c r="AG92" s="60">
        <f>AE92/AE83*AG83</f>
        <v>75.733637752452893</v>
      </c>
      <c r="AH92" s="60">
        <v>76.085333333299999</v>
      </c>
      <c r="AI92" s="60">
        <v>144.61000000000001</v>
      </c>
      <c r="AJ92" s="1358">
        <v>130.04</v>
      </c>
      <c r="AK92" s="1358">
        <v>130.04</v>
      </c>
      <c r="AL92" s="1358">
        <v>130.04</v>
      </c>
      <c r="AM92" s="1358">
        <v>130.04</v>
      </c>
      <c r="AN92" s="1358">
        <v>130.04</v>
      </c>
      <c r="AO92" s="1358">
        <v>130.04</v>
      </c>
      <c r="AP92" s="60"/>
      <c r="AQ92" s="60"/>
      <c r="AR92" s="60"/>
      <c r="AS92" s="60">
        <f>AH92/AH83*AS83</f>
        <v>71.478218513574163</v>
      </c>
      <c r="AT92" s="1358">
        <v>76.09</v>
      </c>
      <c r="AU92" s="1358">
        <v>76.09</v>
      </c>
      <c r="AV92" s="1358">
        <v>76.09</v>
      </c>
      <c r="AW92" s="1358">
        <v>76.09</v>
      </c>
      <c r="AX92" s="1358">
        <v>76.09</v>
      </c>
      <c r="AY92" s="1358">
        <v>76.09</v>
      </c>
      <c r="AZ92" s="60"/>
      <c r="BA92" s="60"/>
      <c r="BB92" s="60"/>
      <c r="BC92" s="119" t="s">
        <v>900</v>
      </c>
      <c r="BD92" s="1332"/>
      <c r="BE92" s="1332"/>
      <c r="BF92" s="939" t="s">
        <v>871</v>
      </c>
      <c r="BG92" s="939" t="s">
        <v>867</v>
      </c>
      <c r="BH92" s="939" t="str" cm="1">
        <f t="array" ref="BH92">BH91</f>
        <v>НН</v>
      </c>
      <c r="BI92" s="185"/>
      <c r="BJ92" s="185"/>
    </row>
    <row r="93" spans="1:62" s="1249" customFormat="1" ht="14.25" customHeight="1" x14ac:dyDescent="0.15">
      <c r="B93" s="349"/>
      <c r="C93" s="406"/>
      <c r="E93" s="557">
        <v>15</v>
      </c>
      <c r="F93" s="3" t="str" cm="1">
        <f t="array" aca="1" ref="F93" ca="1">OFFSET(E93,-1,1)</f>
        <v>2</v>
      </c>
      <c r="H93" s="868" t="s">
        <v>872</v>
      </c>
      <c r="T93" s="388" t="b">
        <f ca="1">F93&gt;0</f>
        <v>1</v>
      </c>
      <c r="W93" s="677" t="s">
        <v>396</v>
      </c>
      <c r="X93" s="2009"/>
      <c r="Z93" s="2034"/>
      <c r="AB93" s="577"/>
      <c r="AC93" s="97" t="s">
        <v>176</v>
      </c>
      <c r="AD93" s="95"/>
      <c r="AE93" s="95"/>
      <c r="AF93" s="95"/>
      <c r="AG93" s="95"/>
      <c r="AH93" s="95"/>
      <c r="AI93" s="95"/>
      <c r="AJ93" s="95"/>
      <c r="AK93" s="95"/>
      <c r="AL93" s="95"/>
      <c r="AM93" s="95"/>
      <c r="AN93" s="95"/>
      <c r="AO93" s="95"/>
      <c r="AP93" s="95"/>
      <c r="AQ93" s="95"/>
      <c r="AR93" s="95"/>
      <c r="AS93" s="95"/>
      <c r="AT93" s="95"/>
      <c r="AU93" s="95"/>
      <c r="AV93" s="95"/>
      <c r="AW93" s="95"/>
      <c r="AX93" s="95"/>
      <c r="AY93" s="95"/>
      <c r="AZ93" s="95"/>
      <c r="BA93" s="95"/>
      <c r="BB93" s="95"/>
      <c r="BC93" s="106"/>
      <c r="BF93" s="927"/>
      <c r="BG93" s="927"/>
      <c r="BH93" s="927"/>
      <c r="BI93" s="557" t="s">
        <v>867</v>
      </c>
      <c r="BJ93" s="557"/>
    </row>
    <row r="94" spans="1:62" s="1088" customFormat="1" ht="12" customHeight="1" x14ac:dyDescent="0.15">
      <c r="A94" s="1332"/>
      <c r="B94" s="351"/>
      <c r="C94" s="406"/>
      <c r="D94" s="1332"/>
      <c r="E94" s="185">
        <v>13</v>
      </c>
      <c r="F94" s="3" t="str" cm="1">
        <f t="array" aca="1" ref="F94" ca="1">OFFSET(E94,-1,1)</f>
        <v>2</v>
      </c>
      <c r="G94" s="45"/>
      <c r="H94" s="45"/>
      <c r="I94" s="1332"/>
      <c r="J94" s="1332"/>
      <c r="K94" s="1332"/>
      <c r="L94" s="1332"/>
      <c r="M94" s="1332"/>
      <c r="N94" s="1332"/>
      <c r="O94" s="1332"/>
      <c r="P94" s="1332"/>
      <c r="Q94" s="1332"/>
      <c r="R94" s="1332"/>
      <c r="S94" s="1332"/>
      <c r="T94" s="388" t="b" cm="1">
        <f t="array" aca="1" ref="T94" ca="1">T93</f>
        <v>1</v>
      </c>
      <c r="U94" s="1332"/>
      <c r="V94" s="1332"/>
      <c r="W94" s="1332"/>
      <c r="X94" s="2009"/>
      <c r="Y94" s="1332"/>
      <c r="Z94" s="2034"/>
      <c r="AA94" s="1332"/>
      <c r="AB94" s="576"/>
      <c r="AC94" s="184" t="s">
        <v>873</v>
      </c>
      <c r="AD94" s="185"/>
      <c r="AE94" s="186"/>
      <c r="AF94" s="186"/>
      <c r="AG94" s="186"/>
      <c r="AH94" s="186"/>
      <c r="AI94" s="186"/>
      <c r="AJ94" s="186"/>
      <c r="AK94" s="186"/>
      <c r="AL94" s="186"/>
      <c r="AM94" s="186"/>
      <c r="AN94" s="186"/>
      <c r="AO94" s="186"/>
      <c r="AP94" s="186"/>
      <c r="AQ94" s="186"/>
      <c r="AR94" s="186"/>
      <c r="AS94" s="186"/>
      <c r="AT94" s="186"/>
      <c r="AU94" s="186"/>
      <c r="AV94" s="186"/>
      <c r="AW94" s="186"/>
      <c r="AX94" s="186"/>
      <c r="AY94" s="186"/>
      <c r="AZ94" s="186"/>
      <c r="BA94" s="186"/>
      <c r="BB94" s="186"/>
      <c r="BC94" s="187"/>
      <c r="BD94" s="1332"/>
      <c r="BE94" s="1332"/>
      <c r="BF94" s="939"/>
      <c r="BG94" s="939"/>
      <c r="BH94" s="939"/>
      <c r="BI94" s="185"/>
      <c r="BJ94" s="185"/>
    </row>
    <row r="95" spans="1:62" s="1088" customFormat="1" ht="10.5" hidden="1" customHeight="1" x14ac:dyDescent="0.15">
      <c r="A95" s="1332"/>
      <c r="B95" s="351"/>
      <c r="C95" s="406"/>
      <c r="D95" s="1332"/>
      <c r="E95" s="185">
        <v>11.25</v>
      </c>
      <c r="F95" s="3" t="str" cm="1">
        <f t="array" aca="1" ref="F95" ca="1">OFFSET(E95,-1,1)</f>
        <v>2</v>
      </c>
      <c r="G95" s="45" t="s">
        <v>544</v>
      </c>
      <c r="H95" s="45" cm="1">
        <f t="array" ref="H95">AC95</f>
        <v>0</v>
      </c>
      <c r="I95" s="1332"/>
      <c r="J95" s="1332"/>
      <c r="K95" s="1332"/>
      <c r="L95" s="1332"/>
      <c r="M95" s="1332"/>
      <c r="N95" s="1332"/>
      <c r="O95" s="1332"/>
      <c r="P95" s="1332"/>
      <c r="Q95" s="1332"/>
      <c r="R95" s="1332"/>
      <c r="S95" s="1332"/>
      <c r="T95" s="388" t="b">
        <f ca="1">AND(F95&gt;0,Y95&gt;0)</f>
        <v>0</v>
      </c>
      <c r="U95" s="1332"/>
      <c r="V95" s="1332"/>
      <c r="W95" s="677" t="s">
        <v>172</v>
      </c>
      <c r="X95" s="2009"/>
      <c r="Y95" s="2009">
        <v>0</v>
      </c>
      <c r="Z95" s="2034"/>
      <c r="AA95" s="1958" t="s">
        <v>173</v>
      </c>
      <c r="AB95" s="8" t="str">
        <f>"7."&amp;Y95</f>
        <v>7.0</v>
      </c>
      <c r="AC95" s="1396"/>
      <c r="AD95" s="8" t="s">
        <v>831</v>
      </c>
      <c r="AE95" s="110">
        <f t="shared" ref="AE95:BB95" si="26">AE96+AE99</f>
        <v>0</v>
      </c>
      <c r="AF95" s="110">
        <f t="shared" si="26"/>
        <v>0</v>
      </c>
      <c r="AG95" s="110">
        <f t="shared" si="26"/>
        <v>0</v>
      </c>
      <c r="AH95" s="110">
        <f t="shared" si="26"/>
        <v>0</v>
      </c>
      <c r="AI95" s="110">
        <f t="shared" si="26"/>
        <v>0</v>
      </c>
      <c r="AJ95" s="110">
        <f t="shared" si="26"/>
        <v>0</v>
      </c>
      <c r="AK95" s="110">
        <f t="shared" si="26"/>
        <v>0</v>
      </c>
      <c r="AL95" s="110">
        <f t="shared" si="26"/>
        <v>0</v>
      </c>
      <c r="AM95" s="110">
        <f t="shared" si="26"/>
        <v>0</v>
      </c>
      <c r="AN95" s="110">
        <f t="shared" si="26"/>
        <v>0</v>
      </c>
      <c r="AO95" s="110">
        <f t="shared" si="26"/>
        <v>0</v>
      </c>
      <c r="AP95" s="110">
        <f t="shared" si="26"/>
        <v>0</v>
      </c>
      <c r="AQ95" s="110">
        <f t="shared" si="26"/>
        <v>0</v>
      </c>
      <c r="AR95" s="110">
        <f t="shared" si="26"/>
        <v>0</v>
      </c>
      <c r="AS95" s="110">
        <f t="shared" si="26"/>
        <v>0</v>
      </c>
      <c r="AT95" s="110">
        <f t="shared" si="26"/>
        <v>0</v>
      </c>
      <c r="AU95" s="110">
        <f t="shared" si="26"/>
        <v>0</v>
      </c>
      <c r="AV95" s="110">
        <f t="shared" si="26"/>
        <v>0</v>
      </c>
      <c r="AW95" s="110">
        <f t="shared" si="26"/>
        <v>0</v>
      </c>
      <c r="AX95" s="110">
        <f t="shared" si="26"/>
        <v>0</v>
      </c>
      <c r="AY95" s="110">
        <f t="shared" si="26"/>
        <v>0</v>
      </c>
      <c r="AZ95" s="110">
        <f t="shared" si="26"/>
        <v>0</v>
      </c>
      <c r="BA95" s="110">
        <f t="shared" si="26"/>
        <v>0</v>
      </c>
      <c r="BB95" s="110">
        <f t="shared" si="26"/>
        <v>0</v>
      </c>
      <c r="BC95" s="1365"/>
      <c r="BD95" s="1332"/>
      <c r="BE95" s="1332"/>
      <c r="BF95" s="939" t="s">
        <v>874</v>
      </c>
      <c r="BG95" s="939" t="s">
        <v>875</v>
      </c>
      <c r="BH95" s="939" cm="1">
        <f t="array" ref="BH95">AC95</f>
        <v>0</v>
      </c>
      <c r="BI95" s="185"/>
      <c r="BJ95" s="185"/>
    </row>
    <row r="96" spans="1:62" s="1088" customFormat="1" ht="10.5" hidden="1" customHeight="1" x14ac:dyDescent="0.15">
      <c r="A96" s="1332"/>
      <c r="B96" s="351"/>
      <c r="C96" s="406"/>
      <c r="D96" s="1332"/>
      <c r="E96" s="185">
        <v>11.25</v>
      </c>
      <c r="F96" s="3" t="str" cm="1">
        <f t="array" aca="1" ref="F96" ca="1">OFFSET(E96,-1,1)</f>
        <v>2</v>
      </c>
      <c r="G96" s="45" t="s">
        <v>706</v>
      </c>
      <c r="H96" s="45" cm="1">
        <f t="array" ref="H96">H95</f>
        <v>0</v>
      </c>
      <c r="I96" s="1332"/>
      <c r="J96" s="1332"/>
      <c r="K96" s="1332"/>
      <c r="L96" s="1332"/>
      <c r="M96" s="1332"/>
      <c r="N96" s="1332"/>
      <c r="O96" s="1332"/>
      <c r="P96" s="1332"/>
      <c r="Q96" s="1332"/>
      <c r="R96" s="1332"/>
      <c r="S96" s="1332"/>
      <c r="T96" s="388" t="b" cm="1">
        <f t="array" aca="1" ref="T96" ca="1">T95</f>
        <v>0</v>
      </c>
      <c r="U96" s="1332"/>
      <c r="V96" s="1332"/>
      <c r="W96" s="1332"/>
      <c r="X96" s="2009"/>
      <c r="Y96" s="2009"/>
      <c r="Z96" s="2034"/>
      <c r="AA96" s="1958"/>
      <c r="AB96" s="8" t="str">
        <f>AB95&amp;".1"</f>
        <v>7.0.1</v>
      </c>
      <c r="AC96" s="111" t="s">
        <v>876</v>
      </c>
      <c r="AD96" s="8" t="s">
        <v>877</v>
      </c>
      <c r="AE96" s="1358"/>
      <c r="AF96" s="1358"/>
      <c r="AG96" s="1358"/>
      <c r="AH96" s="1358"/>
      <c r="AI96" s="60"/>
      <c r="AJ96" s="1358"/>
      <c r="AK96" s="1358"/>
      <c r="AL96" s="1358"/>
      <c r="AM96" s="1358"/>
      <c r="AN96" s="1358"/>
      <c r="AO96" s="1358"/>
      <c r="AP96" s="1358"/>
      <c r="AQ96" s="1358"/>
      <c r="AR96" s="1358"/>
      <c r="AS96" s="60"/>
      <c r="AT96" s="1358"/>
      <c r="AU96" s="1358"/>
      <c r="AV96" s="1358"/>
      <c r="AW96" s="1358"/>
      <c r="AX96" s="1358"/>
      <c r="AY96" s="1358"/>
      <c r="AZ96" s="1358"/>
      <c r="BA96" s="1358"/>
      <c r="BB96" s="1358"/>
      <c r="BC96" s="1365"/>
      <c r="BD96" s="1332"/>
      <c r="BE96" s="1332"/>
      <c r="BF96" s="939" t="s">
        <v>878</v>
      </c>
      <c r="BG96" s="939" t="s">
        <v>875</v>
      </c>
      <c r="BH96" s="939" cm="1">
        <f t="array" ref="BH96">BH95</f>
        <v>0</v>
      </c>
      <c r="BI96" s="185"/>
      <c r="BJ96" s="185"/>
    </row>
    <row r="97" spans="1:62" s="1088" customFormat="1" ht="10.5" hidden="1" customHeight="1" x14ac:dyDescent="0.15">
      <c r="A97" s="1332"/>
      <c r="B97" s="351"/>
      <c r="C97" s="406"/>
      <c r="D97" s="1332"/>
      <c r="E97" s="185">
        <v>11.25</v>
      </c>
      <c r="F97" s="3" t="str" cm="1">
        <f t="array" aca="1" ref="F97" ca="1">OFFSET(E97,-1,1)</f>
        <v>2</v>
      </c>
      <c r="G97" s="45" t="s">
        <v>879</v>
      </c>
      <c r="H97" s="45" cm="1">
        <f t="array" ref="H97">H96</f>
        <v>0</v>
      </c>
      <c r="I97" s="1332"/>
      <c r="J97" s="1332"/>
      <c r="K97" s="1332"/>
      <c r="L97" s="1332"/>
      <c r="M97" s="1332"/>
      <c r="N97" s="1332"/>
      <c r="O97" s="1332"/>
      <c r="P97" s="1332"/>
      <c r="Q97" s="1332"/>
      <c r="R97" s="1332"/>
      <c r="S97" s="1332"/>
      <c r="T97" s="388" t="b" cm="1">
        <f t="array" aca="1" ref="T97" ca="1">T96</f>
        <v>0</v>
      </c>
      <c r="U97" s="1332"/>
      <c r="V97" s="1332"/>
      <c r="W97" s="1332"/>
      <c r="X97" s="2009"/>
      <c r="Y97" s="2009"/>
      <c r="Z97" s="2034"/>
      <c r="AA97" s="1958"/>
      <c r="AB97" s="8" t="str">
        <f>AB95&amp;".1.1"</f>
        <v>7.0.1.1</v>
      </c>
      <c r="AC97" s="248" t="s">
        <v>868</v>
      </c>
      <c r="AD97" s="11" t="s">
        <v>860</v>
      </c>
      <c r="AE97" s="110">
        <f t="shared" ref="AE97:BB97" si="27">IF(OR(AND(AE96&lt;&gt;0,AE98=0),AND(AE96=0,AE98&lt;&gt;0)),"Ошибка",IF(AE98=0,0,AE96/AE98))</f>
        <v>0</v>
      </c>
      <c r="AF97" s="110">
        <f t="shared" si="27"/>
        <v>0</v>
      </c>
      <c r="AG97" s="110">
        <f t="shared" si="27"/>
        <v>0</v>
      </c>
      <c r="AH97" s="110">
        <f t="shared" si="27"/>
        <v>0</v>
      </c>
      <c r="AI97" s="110">
        <f t="shared" si="27"/>
        <v>0</v>
      </c>
      <c r="AJ97" s="110">
        <f t="shared" si="27"/>
        <v>0</v>
      </c>
      <c r="AK97" s="110">
        <f t="shared" si="27"/>
        <v>0</v>
      </c>
      <c r="AL97" s="110">
        <f t="shared" si="27"/>
        <v>0</v>
      </c>
      <c r="AM97" s="110">
        <f t="shared" si="27"/>
        <v>0</v>
      </c>
      <c r="AN97" s="110">
        <f t="shared" si="27"/>
        <v>0</v>
      </c>
      <c r="AO97" s="110">
        <f t="shared" si="27"/>
        <v>0</v>
      </c>
      <c r="AP97" s="110">
        <f t="shared" si="27"/>
        <v>0</v>
      </c>
      <c r="AQ97" s="110">
        <f t="shared" si="27"/>
        <v>0</v>
      </c>
      <c r="AR97" s="110">
        <f t="shared" si="27"/>
        <v>0</v>
      </c>
      <c r="AS97" s="110">
        <f t="shared" si="27"/>
        <v>0</v>
      </c>
      <c r="AT97" s="110">
        <f t="shared" si="27"/>
        <v>0</v>
      </c>
      <c r="AU97" s="110">
        <f t="shared" si="27"/>
        <v>0</v>
      </c>
      <c r="AV97" s="110">
        <f t="shared" si="27"/>
        <v>0</v>
      </c>
      <c r="AW97" s="110">
        <f t="shared" si="27"/>
        <v>0</v>
      </c>
      <c r="AX97" s="110">
        <f t="shared" si="27"/>
        <v>0</v>
      </c>
      <c r="AY97" s="110">
        <f t="shared" si="27"/>
        <v>0</v>
      </c>
      <c r="AZ97" s="110">
        <f t="shared" si="27"/>
        <v>0</v>
      </c>
      <c r="BA97" s="110">
        <f t="shared" si="27"/>
        <v>0</v>
      </c>
      <c r="BB97" s="110">
        <f t="shared" si="27"/>
        <v>0</v>
      </c>
      <c r="BC97" s="1365"/>
      <c r="BD97" s="1332"/>
      <c r="BE97" s="1332"/>
      <c r="BF97" s="939" t="s">
        <v>880</v>
      </c>
      <c r="BG97" s="939" t="s">
        <v>875</v>
      </c>
      <c r="BH97" s="939" cm="1">
        <f t="array" ref="BH97">BH96</f>
        <v>0</v>
      </c>
      <c r="BI97" s="185"/>
      <c r="BJ97" s="185"/>
    </row>
    <row r="98" spans="1:62" s="1088" customFormat="1" ht="10.5" hidden="1" customHeight="1" x14ac:dyDescent="0.15">
      <c r="A98" s="1332"/>
      <c r="B98" s="351"/>
      <c r="C98" s="406"/>
      <c r="D98" s="1332"/>
      <c r="E98" s="185">
        <v>11.25</v>
      </c>
      <c r="F98" s="3" t="str" cm="1">
        <f t="array" aca="1" ref="F98" ca="1">OFFSET(E98,-1,1)</f>
        <v>2</v>
      </c>
      <c r="G98" s="45" t="s">
        <v>881</v>
      </c>
      <c r="H98" s="45" cm="1">
        <f t="array" ref="H98">H97</f>
        <v>0</v>
      </c>
      <c r="I98" s="1332"/>
      <c r="J98" s="1332"/>
      <c r="K98" s="1332"/>
      <c r="L98" s="1332"/>
      <c r="M98" s="1332"/>
      <c r="N98" s="1332"/>
      <c r="O98" s="1332"/>
      <c r="P98" s="1332"/>
      <c r="Q98" s="1332"/>
      <c r="R98" s="1332"/>
      <c r="S98" s="1332"/>
      <c r="T98" s="388" t="b" cm="1">
        <f t="array" aca="1" ref="T98" ca="1">T97</f>
        <v>0</v>
      </c>
      <c r="U98" s="1332"/>
      <c r="V98" s="1332"/>
      <c r="W98" s="1332"/>
      <c r="X98" s="2009"/>
      <c r="Y98" s="2009"/>
      <c r="Z98" s="2034"/>
      <c r="AA98" s="1958"/>
      <c r="AB98" s="8" t="str">
        <f>AB95&amp;".1.2"</f>
        <v>7.0.1.2</v>
      </c>
      <c r="AC98" s="248" t="s">
        <v>870</v>
      </c>
      <c r="AD98" s="11" t="s">
        <v>854</v>
      </c>
      <c r="AE98" s="1358"/>
      <c r="AF98" s="1358"/>
      <c r="AG98" s="1358"/>
      <c r="AH98" s="1358"/>
      <c r="AI98" s="60"/>
      <c r="AJ98" s="1358"/>
      <c r="AK98" s="1358"/>
      <c r="AL98" s="1358"/>
      <c r="AM98" s="1358"/>
      <c r="AN98" s="1358"/>
      <c r="AO98" s="1358"/>
      <c r="AP98" s="1358"/>
      <c r="AQ98" s="1358"/>
      <c r="AR98" s="1358"/>
      <c r="AS98" s="60"/>
      <c r="AT98" s="1358"/>
      <c r="AU98" s="1358"/>
      <c r="AV98" s="1358"/>
      <c r="AW98" s="1358"/>
      <c r="AX98" s="1358"/>
      <c r="AY98" s="1358"/>
      <c r="AZ98" s="1358"/>
      <c r="BA98" s="1358"/>
      <c r="BB98" s="1358"/>
      <c r="BC98" s="1365"/>
      <c r="BD98" s="1332"/>
      <c r="BE98" s="1332"/>
      <c r="BF98" s="939" t="s">
        <v>882</v>
      </c>
      <c r="BG98" s="939" t="s">
        <v>875</v>
      </c>
      <c r="BH98" s="939" cm="1">
        <f t="array" ref="BH98">BH97</f>
        <v>0</v>
      </c>
      <c r="BI98" s="185"/>
      <c r="BJ98" s="185"/>
    </row>
    <row r="99" spans="1:62" s="1088" customFormat="1" ht="10.5" hidden="1" customHeight="1" x14ac:dyDescent="0.15">
      <c r="A99" s="1332"/>
      <c r="B99" s="351"/>
      <c r="C99" s="406"/>
      <c r="D99" s="1332"/>
      <c r="E99" s="185">
        <v>11.25</v>
      </c>
      <c r="F99" s="3" t="str" cm="1">
        <f t="array" aca="1" ref="F99" ca="1">OFFSET(E99,-1,1)</f>
        <v>2</v>
      </c>
      <c r="G99" s="45" t="s">
        <v>709</v>
      </c>
      <c r="H99" s="45" cm="1">
        <f t="array" ref="H99">H98</f>
        <v>0</v>
      </c>
      <c r="I99" s="1332"/>
      <c r="J99" s="1332"/>
      <c r="K99" s="1332"/>
      <c r="L99" s="1332"/>
      <c r="M99" s="1332"/>
      <c r="N99" s="1332"/>
      <c r="O99" s="1332"/>
      <c r="P99" s="1332"/>
      <c r="Q99" s="1332"/>
      <c r="R99" s="1332"/>
      <c r="S99" s="1332"/>
      <c r="T99" s="388" t="b" cm="1">
        <f t="array" aca="1" ref="T99" ca="1">T98</f>
        <v>0</v>
      </c>
      <c r="U99" s="1332"/>
      <c r="V99" s="1332"/>
      <c r="W99" s="1332"/>
      <c r="X99" s="2009"/>
      <c r="Y99" s="2009"/>
      <c r="Z99" s="2034"/>
      <c r="AA99" s="1958"/>
      <c r="AB99" s="8" t="str">
        <f>AB95&amp;".2"</f>
        <v>7.0.2</v>
      </c>
      <c r="AC99" s="111" t="s">
        <v>883</v>
      </c>
      <c r="AD99" s="8" t="s">
        <v>877</v>
      </c>
      <c r="AE99" s="1358"/>
      <c r="AF99" s="1358"/>
      <c r="AG99" s="1358"/>
      <c r="AH99" s="1358"/>
      <c r="AI99" s="60"/>
      <c r="AJ99" s="1358"/>
      <c r="AK99" s="1358"/>
      <c r="AL99" s="1358"/>
      <c r="AM99" s="1358"/>
      <c r="AN99" s="1358"/>
      <c r="AO99" s="1358"/>
      <c r="AP99" s="1358"/>
      <c r="AQ99" s="1358"/>
      <c r="AR99" s="1358"/>
      <c r="AS99" s="60"/>
      <c r="AT99" s="1358"/>
      <c r="AU99" s="1358"/>
      <c r="AV99" s="1358"/>
      <c r="AW99" s="1358"/>
      <c r="AX99" s="1358"/>
      <c r="AY99" s="1358"/>
      <c r="AZ99" s="1358"/>
      <c r="BA99" s="1358"/>
      <c r="BB99" s="1358"/>
      <c r="BC99" s="1365"/>
      <c r="BD99" s="1332"/>
      <c r="BE99" s="1332"/>
      <c r="BF99" s="939" t="s">
        <v>884</v>
      </c>
      <c r="BG99" s="939" t="s">
        <v>875</v>
      </c>
      <c r="BH99" s="939" cm="1">
        <f t="array" ref="BH99">BH98</f>
        <v>0</v>
      </c>
      <c r="BI99" s="185"/>
      <c r="BJ99" s="185"/>
    </row>
    <row r="100" spans="1:62" s="1088" customFormat="1" ht="10.5" hidden="1" customHeight="1" x14ac:dyDescent="0.15">
      <c r="A100" s="1332"/>
      <c r="B100" s="351"/>
      <c r="C100" s="406"/>
      <c r="D100" s="1332"/>
      <c r="E100" s="185">
        <v>11.25</v>
      </c>
      <c r="F100" s="3" t="str" cm="1">
        <f t="array" aca="1" ref="F100" ca="1">OFFSET(E100,-1,1)</f>
        <v>2</v>
      </c>
      <c r="G100" s="45" t="s">
        <v>885</v>
      </c>
      <c r="H100" s="45" cm="1">
        <f t="array" ref="H100">H99</f>
        <v>0</v>
      </c>
      <c r="I100" s="1332"/>
      <c r="J100" s="1332"/>
      <c r="K100" s="1332"/>
      <c r="L100" s="1332"/>
      <c r="M100" s="1332"/>
      <c r="N100" s="1332"/>
      <c r="O100" s="1332"/>
      <c r="P100" s="1332"/>
      <c r="Q100" s="1332"/>
      <c r="R100" s="1332"/>
      <c r="S100" s="1332"/>
      <c r="T100" s="388" t="b" cm="1">
        <f t="array" aca="1" ref="T100" ca="1">T99</f>
        <v>0</v>
      </c>
      <c r="U100" s="1332"/>
      <c r="V100" s="1332"/>
      <c r="W100" s="1332"/>
      <c r="X100" s="2009"/>
      <c r="Y100" s="2009"/>
      <c r="Z100" s="2034"/>
      <c r="AA100" s="1958"/>
      <c r="AB100" s="8" t="str">
        <f>AB95&amp;".2.1"</f>
        <v>7.0.2.1</v>
      </c>
      <c r="AC100" s="248" t="s">
        <v>886</v>
      </c>
      <c r="AD100" s="11" t="s">
        <v>887</v>
      </c>
      <c r="AE100" s="110">
        <f t="shared" ref="AE100:BB100" si="28">IF(OR(AND(AE99&lt;&gt;0,AE101=0),AND(AE99=0,AE101&lt;&gt;0)),"Ошибка",IF(AE101=0,0,AE99/AE101*1000/12))</f>
        <v>0</v>
      </c>
      <c r="AF100" s="110">
        <f t="shared" si="28"/>
        <v>0</v>
      </c>
      <c r="AG100" s="110">
        <f t="shared" si="28"/>
        <v>0</v>
      </c>
      <c r="AH100" s="110">
        <f t="shared" si="28"/>
        <v>0</v>
      </c>
      <c r="AI100" s="110">
        <f t="shared" si="28"/>
        <v>0</v>
      </c>
      <c r="AJ100" s="110">
        <f t="shared" si="28"/>
        <v>0</v>
      </c>
      <c r="AK100" s="110">
        <f t="shared" si="28"/>
        <v>0</v>
      </c>
      <c r="AL100" s="110">
        <f t="shared" si="28"/>
        <v>0</v>
      </c>
      <c r="AM100" s="110">
        <f t="shared" si="28"/>
        <v>0</v>
      </c>
      <c r="AN100" s="110">
        <f t="shared" si="28"/>
        <v>0</v>
      </c>
      <c r="AO100" s="110">
        <f t="shared" si="28"/>
        <v>0</v>
      </c>
      <c r="AP100" s="110">
        <f t="shared" si="28"/>
        <v>0</v>
      </c>
      <c r="AQ100" s="110">
        <f t="shared" si="28"/>
        <v>0</v>
      </c>
      <c r="AR100" s="110">
        <f t="shared" si="28"/>
        <v>0</v>
      </c>
      <c r="AS100" s="110">
        <f t="shared" si="28"/>
        <v>0</v>
      </c>
      <c r="AT100" s="110">
        <f t="shared" si="28"/>
        <v>0</v>
      </c>
      <c r="AU100" s="110">
        <f t="shared" si="28"/>
        <v>0</v>
      </c>
      <c r="AV100" s="110">
        <f t="shared" si="28"/>
        <v>0</v>
      </c>
      <c r="AW100" s="110">
        <f t="shared" si="28"/>
        <v>0</v>
      </c>
      <c r="AX100" s="110">
        <f t="shared" si="28"/>
        <v>0</v>
      </c>
      <c r="AY100" s="110">
        <f t="shared" si="28"/>
        <v>0</v>
      </c>
      <c r="AZ100" s="110">
        <f t="shared" si="28"/>
        <v>0</v>
      </c>
      <c r="BA100" s="110">
        <f t="shared" si="28"/>
        <v>0</v>
      </c>
      <c r="BB100" s="110">
        <f t="shared" si="28"/>
        <v>0</v>
      </c>
      <c r="BC100" s="1365"/>
      <c r="BD100" s="1332"/>
      <c r="BE100" s="1332"/>
      <c r="BF100" s="939" t="s">
        <v>888</v>
      </c>
      <c r="BG100" s="939" t="s">
        <v>875</v>
      </c>
      <c r="BH100" s="939" cm="1">
        <f t="array" ref="BH100">BH99</f>
        <v>0</v>
      </c>
      <c r="BI100" s="185"/>
      <c r="BJ100" s="185"/>
    </row>
    <row r="101" spans="1:62" s="1088" customFormat="1" ht="10.5" hidden="1" customHeight="1" x14ac:dyDescent="0.15">
      <c r="A101" s="1332"/>
      <c r="B101" s="351"/>
      <c r="C101" s="406"/>
      <c r="D101" s="1332"/>
      <c r="E101" s="185">
        <v>11.25</v>
      </c>
      <c r="F101" s="3" t="str" cm="1">
        <f t="array" aca="1" ref="F101" ca="1">OFFSET(E101,-1,1)</f>
        <v>2</v>
      </c>
      <c r="G101" s="45" t="s">
        <v>889</v>
      </c>
      <c r="H101" s="45" cm="1">
        <f t="array" ref="H101">H100</f>
        <v>0</v>
      </c>
      <c r="I101" s="1332"/>
      <c r="J101" s="1332"/>
      <c r="K101" s="1332"/>
      <c r="L101" s="1332"/>
      <c r="M101" s="1332"/>
      <c r="N101" s="1332"/>
      <c r="O101" s="1332"/>
      <c r="P101" s="1332"/>
      <c r="Q101" s="1332"/>
      <c r="R101" s="1332"/>
      <c r="S101" s="1332"/>
      <c r="T101" s="388" t="b" cm="1">
        <f t="array" aca="1" ref="T101" ca="1">T100</f>
        <v>0</v>
      </c>
      <c r="U101" s="1332"/>
      <c r="V101" s="1332"/>
      <c r="W101" s="1332"/>
      <c r="X101" s="2009"/>
      <c r="Y101" s="2009"/>
      <c r="Z101" s="2034"/>
      <c r="AA101" s="1958"/>
      <c r="AB101" s="8" t="str">
        <f>AB95&amp;".2.2"</f>
        <v>7.0.2.2</v>
      </c>
      <c r="AC101" s="248" t="s">
        <v>890</v>
      </c>
      <c r="AD101" s="11" t="s">
        <v>891</v>
      </c>
      <c r="AE101" s="1358"/>
      <c r="AF101" s="1358"/>
      <c r="AG101" s="1358"/>
      <c r="AH101" s="1358"/>
      <c r="AI101" s="60"/>
      <c r="AJ101" s="1358"/>
      <c r="AK101" s="1358"/>
      <c r="AL101" s="1358"/>
      <c r="AM101" s="1358"/>
      <c r="AN101" s="1358"/>
      <c r="AO101" s="1358"/>
      <c r="AP101" s="1358"/>
      <c r="AQ101" s="1358"/>
      <c r="AR101" s="1358"/>
      <c r="AS101" s="60"/>
      <c r="AT101" s="1358"/>
      <c r="AU101" s="1358"/>
      <c r="AV101" s="1358"/>
      <c r="AW101" s="1358"/>
      <c r="AX101" s="1358"/>
      <c r="AY101" s="1358"/>
      <c r="AZ101" s="1358"/>
      <c r="BA101" s="1358"/>
      <c r="BB101" s="1358"/>
      <c r="BC101" s="1365"/>
      <c r="BD101" s="1332"/>
      <c r="BE101" s="1332"/>
      <c r="BF101" s="939" t="s">
        <v>892</v>
      </c>
      <c r="BG101" s="939" t="s">
        <v>875</v>
      </c>
      <c r="BH101" s="939" cm="1">
        <f t="array" ref="BH101">BH100</f>
        <v>0</v>
      </c>
      <c r="BI101" s="185"/>
      <c r="BJ101" s="185"/>
    </row>
    <row r="102" spans="1:62" s="1088" customFormat="1" ht="10.5" customHeight="1" x14ac:dyDescent="0.15">
      <c r="A102" s="1332"/>
      <c r="B102" s="351"/>
      <c r="C102" s="406"/>
      <c r="D102" s="1332"/>
      <c r="E102" s="185">
        <v>11.25</v>
      </c>
      <c r="F102" s="3" t="str" cm="1">
        <f t="array" aca="1" ref="F102" ca="1">OFFSET(E102,-1,1)</f>
        <v>2</v>
      </c>
      <c r="G102" s="45" t="s">
        <v>544</v>
      </c>
      <c r="H102" s="45" t="str" cm="1">
        <f t="array" ref="H102">AC102</f>
        <v>СН2</v>
      </c>
      <c r="I102" s="1332"/>
      <c r="J102" s="1332"/>
      <c r="K102" s="1332"/>
      <c r="L102" s="1332"/>
      <c r="M102" s="1332"/>
      <c r="N102" s="1332"/>
      <c r="O102" s="1332"/>
      <c r="P102" s="1332"/>
      <c r="Q102" s="1332"/>
      <c r="R102" s="1332"/>
      <c r="S102" s="1332"/>
      <c r="T102" s="388" t="b">
        <f ca="1">AND(F102&gt;0,Y102&gt;0)</f>
        <v>1</v>
      </c>
      <c r="U102" s="1332"/>
      <c r="V102" s="1332"/>
      <c r="W102" s="677"/>
      <c r="X102" s="2009"/>
      <c r="Y102" s="2009" t="s">
        <v>282</v>
      </c>
      <c r="Z102" s="2034"/>
      <c r="AA102" s="1958" t="s">
        <v>173</v>
      </c>
      <c r="AB102" s="8" t="str">
        <f>"7."&amp;Y102</f>
        <v>7.1</v>
      </c>
      <c r="AC102" s="118" t="s">
        <v>898</v>
      </c>
      <c r="AD102" s="8" t="s">
        <v>831</v>
      </c>
      <c r="AE102" s="110">
        <f t="shared" ref="AE102:BB102" si="29">AE103+AE106</f>
        <v>18017.683801639199</v>
      </c>
      <c r="AF102" s="110">
        <f t="shared" si="29"/>
        <v>18720.830000000002</v>
      </c>
      <c r="AG102" s="110">
        <f t="shared" si="29"/>
        <v>18149.005580268109</v>
      </c>
      <c r="AH102" s="110">
        <f t="shared" si="29"/>
        <v>18900.5503079195</v>
      </c>
      <c r="AI102" s="110">
        <f t="shared" si="29"/>
        <v>20423.669999999998</v>
      </c>
      <c r="AJ102" s="110">
        <f t="shared" si="29"/>
        <v>20175.75</v>
      </c>
      <c r="AK102" s="110">
        <f t="shared" si="29"/>
        <v>20982.78</v>
      </c>
      <c r="AL102" s="110">
        <f t="shared" si="29"/>
        <v>21822.09</v>
      </c>
      <c r="AM102" s="110">
        <f t="shared" si="29"/>
        <v>22694.980000000003</v>
      </c>
      <c r="AN102" s="110">
        <f t="shared" si="29"/>
        <v>23602.78</v>
      </c>
      <c r="AO102" s="110">
        <f t="shared" si="29"/>
        <v>24546.89</v>
      </c>
      <c r="AP102" s="110">
        <f t="shared" si="29"/>
        <v>0</v>
      </c>
      <c r="AQ102" s="110">
        <f t="shared" si="29"/>
        <v>0</v>
      </c>
      <c r="AR102" s="110">
        <f t="shared" si="29"/>
        <v>0</v>
      </c>
      <c r="AS102" s="110">
        <f t="shared" si="29"/>
        <v>22889.739999999998</v>
      </c>
      <c r="AT102" s="110">
        <f t="shared" si="29"/>
        <v>20051.59</v>
      </c>
      <c r="AU102" s="110">
        <f t="shared" si="29"/>
        <v>20653.14</v>
      </c>
      <c r="AV102" s="110">
        <f t="shared" si="29"/>
        <v>21272.730000000003</v>
      </c>
      <c r="AW102" s="110">
        <f t="shared" si="29"/>
        <v>21910.92</v>
      </c>
      <c r="AX102" s="110">
        <f t="shared" si="29"/>
        <v>22568.25</v>
      </c>
      <c r="AY102" s="110">
        <f t="shared" si="29"/>
        <v>23245.3</v>
      </c>
      <c r="AZ102" s="110">
        <f t="shared" si="29"/>
        <v>0</v>
      </c>
      <c r="BA102" s="110">
        <f t="shared" si="29"/>
        <v>0</v>
      </c>
      <c r="BB102" s="110">
        <f t="shared" si="29"/>
        <v>0</v>
      </c>
      <c r="BC102" s="119"/>
      <c r="BD102" s="1332"/>
      <c r="BE102" s="1332"/>
      <c r="BF102" s="939" t="s">
        <v>874</v>
      </c>
      <c r="BG102" s="939" t="s">
        <v>875</v>
      </c>
      <c r="BH102" s="939" t="str" cm="1">
        <f t="array" ref="BH102">AC102</f>
        <v>СН2</v>
      </c>
      <c r="BI102" s="185"/>
      <c r="BJ102" s="185"/>
    </row>
    <row r="103" spans="1:62" s="1088" customFormat="1" ht="12.75" customHeight="1" x14ac:dyDescent="0.15">
      <c r="A103" s="1332"/>
      <c r="B103" s="351"/>
      <c r="C103" s="406"/>
      <c r="D103" s="1332"/>
      <c r="E103" s="185">
        <v>11.25</v>
      </c>
      <c r="F103" s="3" t="str" cm="1">
        <f t="array" aca="1" ref="F103" ca="1">OFFSET(E103,-1,1)</f>
        <v>2</v>
      </c>
      <c r="G103" s="45" t="s">
        <v>706</v>
      </c>
      <c r="H103" s="45" t="str" cm="1">
        <f t="array" ref="H103">H102</f>
        <v>СН2</v>
      </c>
      <c r="I103" s="1332"/>
      <c r="J103" s="1332"/>
      <c r="K103" s="1332"/>
      <c r="L103" s="1332"/>
      <c r="M103" s="1332"/>
      <c r="N103" s="1332"/>
      <c r="O103" s="1332"/>
      <c r="P103" s="1332"/>
      <c r="Q103" s="1332"/>
      <c r="R103" s="1332"/>
      <c r="S103" s="1332"/>
      <c r="T103" s="388" t="b" cm="1">
        <f t="array" aca="1" ref="T103" ca="1">T102</f>
        <v>1</v>
      </c>
      <c r="U103" s="1332"/>
      <c r="V103" s="1332"/>
      <c r="W103" s="1332"/>
      <c r="X103" s="2009"/>
      <c r="Y103" s="2009"/>
      <c r="Z103" s="2034"/>
      <c r="AA103" s="1958"/>
      <c r="AB103" s="8" t="str">
        <f>AB102&amp;".1"</f>
        <v>7.1.1</v>
      </c>
      <c r="AC103" s="111" t="s">
        <v>876</v>
      </c>
      <c r="AD103" s="8" t="s">
        <v>877</v>
      </c>
      <c r="AE103" s="60">
        <v>8158.6768029617997</v>
      </c>
      <c r="AF103" s="60">
        <v>9014.49</v>
      </c>
      <c r="AG103" s="60">
        <f>AF104*AG105</f>
        <v>8442.6655802681071</v>
      </c>
      <c r="AH103" s="60">
        <v>8558.4519663069004</v>
      </c>
      <c r="AI103" s="60">
        <v>9834.4500000000007</v>
      </c>
      <c r="AJ103" s="1358">
        <v>9253.74</v>
      </c>
      <c r="AK103" s="1358">
        <v>9623.89</v>
      </c>
      <c r="AL103" s="1358">
        <v>10008.84</v>
      </c>
      <c r="AM103" s="1358">
        <v>10409.200000000001</v>
      </c>
      <c r="AN103" s="1358">
        <v>10825.57</v>
      </c>
      <c r="AO103" s="1358">
        <v>11258.59</v>
      </c>
      <c r="AP103" s="60"/>
      <c r="AQ103" s="60"/>
      <c r="AR103" s="60"/>
      <c r="AS103" s="60">
        <v>10319.959999999999</v>
      </c>
      <c r="AT103" s="1358">
        <v>9079.66</v>
      </c>
      <c r="AU103" s="1358">
        <v>9352.0499999999993</v>
      </c>
      <c r="AV103" s="1358">
        <v>9632.61</v>
      </c>
      <c r="AW103" s="1358">
        <v>9921.59</v>
      </c>
      <c r="AX103" s="1358">
        <v>10219.24</v>
      </c>
      <c r="AY103" s="1358">
        <v>10525.82</v>
      </c>
      <c r="AZ103" s="60"/>
      <c r="BA103" s="60"/>
      <c r="BB103" s="60"/>
      <c r="BC103" s="119"/>
      <c r="BD103" s="1332"/>
      <c r="BE103" s="1332"/>
      <c r="BF103" s="939" t="s">
        <v>878</v>
      </c>
      <c r="BG103" s="939" t="s">
        <v>875</v>
      </c>
      <c r="BH103" s="939" t="str" cm="1">
        <f t="array" ref="BH103">BH102</f>
        <v>СН2</v>
      </c>
      <c r="BI103" s="185"/>
      <c r="BJ103" s="185"/>
    </row>
    <row r="104" spans="1:62" s="1088" customFormat="1" ht="128.25" customHeight="1" x14ac:dyDescent="0.15">
      <c r="A104" s="1332"/>
      <c r="B104" s="351"/>
      <c r="C104" s="406"/>
      <c r="D104" s="1332"/>
      <c r="E104" s="185">
        <v>11.25</v>
      </c>
      <c r="F104" s="3" t="str" cm="1">
        <f t="array" aca="1" ref="F104" ca="1">OFFSET(E104,-1,1)</f>
        <v>2</v>
      </c>
      <c r="G104" s="45" t="s">
        <v>879</v>
      </c>
      <c r="H104" s="45" t="str" cm="1">
        <f t="array" ref="H104">H103</f>
        <v>СН2</v>
      </c>
      <c r="I104" s="1332"/>
      <c r="J104" s="1332"/>
      <c r="K104" s="1332"/>
      <c r="L104" s="1332"/>
      <c r="M104" s="1332"/>
      <c r="N104" s="1332"/>
      <c r="O104" s="1332"/>
      <c r="P104" s="1332"/>
      <c r="Q104" s="1332"/>
      <c r="R104" s="1332"/>
      <c r="S104" s="1332"/>
      <c r="T104" s="388" t="b" cm="1">
        <f t="array" aca="1" ref="T104" ca="1">T103</f>
        <v>1</v>
      </c>
      <c r="U104" s="1332"/>
      <c r="V104" s="1332"/>
      <c r="W104" s="1332"/>
      <c r="X104" s="2009"/>
      <c r="Y104" s="2009"/>
      <c r="Z104" s="2034"/>
      <c r="AA104" s="1958"/>
      <c r="AB104" s="8" t="str">
        <f>AB102&amp;".1.1"</f>
        <v>7.1.1.1</v>
      </c>
      <c r="AC104" s="248" t="s">
        <v>868</v>
      </c>
      <c r="AD104" s="11" t="s">
        <v>860</v>
      </c>
      <c r="AE104" s="110">
        <f t="shared" ref="AE104:BB104" si="30">IF(OR(AND(AE103&lt;&gt;0,AE105=0),AND(AE103=0,AE105&lt;&gt;0)),"Ошибка",IF(AE105=0,0,AE103/AE105))</f>
        <v>2.3184429343151729</v>
      </c>
      <c r="AF104" s="110">
        <f t="shared" si="30"/>
        <v>2.4102849992379696</v>
      </c>
      <c r="AG104" s="110">
        <f t="shared" si="30"/>
        <v>2.4102849992379696</v>
      </c>
      <c r="AH104" s="110">
        <f t="shared" si="30"/>
        <v>2.4320466380966086</v>
      </c>
      <c r="AI104" s="110">
        <f t="shared" si="30"/>
        <v>2.6295250547458431</v>
      </c>
      <c r="AJ104" s="110">
        <f t="shared" si="30"/>
        <v>2.5684143328984983</v>
      </c>
      <c r="AK104" s="110">
        <f t="shared" si="30"/>
        <v>2.6711510172361153</v>
      </c>
      <c r="AL104" s="110">
        <f t="shared" si="30"/>
        <v>2.777995503622082</v>
      </c>
      <c r="AM104" s="110">
        <f t="shared" si="30"/>
        <v>2.8891171001137974</v>
      </c>
      <c r="AN104" s="110">
        <f t="shared" si="30"/>
        <v>3.0046823392267337</v>
      </c>
      <c r="AO104" s="110">
        <f t="shared" si="30"/>
        <v>3.1248688556440642</v>
      </c>
      <c r="AP104" s="110">
        <f t="shared" si="30"/>
        <v>0</v>
      </c>
      <c r="AQ104" s="110">
        <f t="shared" si="30"/>
        <v>0</v>
      </c>
      <c r="AR104" s="110">
        <f t="shared" si="30"/>
        <v>0</v>
      </c>
      <c r="AS104" s="110">
        <f t="shared" si="30"/>
        <v>3.1216335746414723</v>
      </c>
      <c r="AT104" s="110">
        <f t="shared" si="30"/>
        <v>2.5801598736015321</v>
      </c>
      <c r="AU104" s="110">
        <f t="shared" si="30"/>
        <v>2.6575647266434212</v>
      </c>
      <c r="AV104" s="110">
        <f t="shared" si="30"/>
        <v>2.7372912421888986</v>
      </c>
      <c r="AW104" s="110">
        <f t="shared" si="30"/>
        <v>2.8194104625422347</v>
      </c>
      <c r="AX104" s="110">
        <f t="shared" si="30"/>
        <v>2.9039934300077008</v>
      </c>
      <c r="AY104" s="110">
        <f t="shared" si="30"/>
        <v>2.9911140285817397</v>
      </c>
      <c r="AZ104" s="110">
        <f t="shared" si="30"/>
        <v>0</v>
      </c>
      <c r="BA104" s="110">
        <f t="shared" si="30"/>
        <v>0</v>
      </c>
      <c r="BB104" s="110">
        <f t="shared" si="30"/>
        <v>0</v>
      </c>
      <c r="BC104" s="119" t="s">
        <v>899</v>
      </c>
      <c r="BD104" s="1332"/>
      <c r="BE104" s="1332"/>
      <c r="BF104" s="939" t="s">
        <v>880</v>
      </c>
      <c r="BG104" s="939" t="s">
        <v>875</v>
      </c>
      <c r="BH104" s="939" t="str" cm="1">
        <f t="array" ref="BH104">BH103</f>
        <v>СН2</v>
      </c>
      <c r="BI104" s="185"/>
      <c r="BJ104" s="185"/>
    </row>
    <row r="105" spans="1:62" s="1088" customFormat="1" ht="23.25" customHeight="1" x14ac:dyDescent="0.15">
      <c r="A105" s="1332"/>
      <c r="B105" s="351"/>
      <c r="C105" s="406"/>
      <c r="D105" s="1332"/>
      <c r="E105" s="185">
        <v>11.25</v>
      </c>
      <c r="F105" s="3" t="str" cm="1">
        <f t="array" aca="1" ref="F105" ca="1">OFFSET(E105,-1,1)</f>
        <v>2</v>
      </c>
      <c r="G105" s="45" t="s">
        <v>881</v>
      </c>
      <c r="H105" s="45" t="str" cm="1">
        <f t="array" ref="H105">H104</f>
        <v>СН2</v>
      </c>
      <c r="I105" s="1332"/>
      <c r="J105" s="1332"/>
      <c r="K105" s="1332"/>
      <c r="L105" s="1332"/>
      <c r="M105" s="1332"/>
      <c r="N105" s="1332"/>
      <c r="O105" s="1332"/>
      <c r="P105" s="1332"/>
      <c r="Q105" s="1332"/>
      <c r="R105" s="1332"/>
      <c r="S105" s="1332"/>
      <c r="T105" s="388" t="b" cm="1">
        <f t="array" aca="1" ref="T105" ca="1">T104</f>
        <v>1</v>
      </c>
      <c r="U105" s="1332"/>
      <c r="V105" s="1332"/>
      <c r="W105" s="1332"/>
      <c r="X105" s="2009"/>
      <c r="Y105" s="2009"/>
      <c r="Z105" s="2034"/>
      <c r="AA105" s="1958"/>
      <c r="AB105" s="8" t="str">
        <f>AB102&amp;".1.2"</f>
        <v>7.1.1.2</v>
      </c>
      <c r="AC105" s="248" t="s">
        <v>870</v>
      </c>
      <c r="AD105" s="11" t="s">
        <v>854</v>
      </c>
      <c r="AE105" s="60">
        <v>3519.0328311323001</v>
      </c>
      <c r="AF105" s="60">
        <v>3740.01</v>
      </c>
      <c r="AG105" s="60">
        <f>AE105/AE83*AG83</f>
        <v>3502.7665122329195</v>
      </c>
      <c r="AH105" s="60">
        <v>3519.0328311323001</v>
      </c>
      <c r="AI105" s="60">
        <v>3740.01</v>
      </c>
      <c r="AJ105" s="1358">
        <v>3602.9</v>
      </c>
      <c r="AK105" s="1358">
        <v>3602.9</v>
      </c>
      <c r="AL105" s="1358">
        <v>3602.9</v>
      </c>
      <c r="AM105" s="1358">
        <v>3602.9</v>
      </c>
      <c r="AN105" s="1358">
        <v>3602.9</v>
      </c>
      <c r="AO105" s="1358">
        <v>3602.9</v>
      </c>
      <c r="AP105" s="60"/>
      <c r="AQ105" s="60"/>
      <c r="AR105" s="60"/>
      <c r="AS105" s="60">
        <f>AH105/AH83*AS83</f>
        <v>3305.9485532940148</v>
      </c>
      <c r="AT105" s="1358">
        <v>3519.03</v>
      </c>
      <c r="AU105" s="1358">
        <v>3519.03</v>
      </c>
      <c r="AV105" s="1358">
        <v>3519.03</v>
      </c>
      <c r="AW105" s="1358">
        <v>3519.03</v>
      </c>
      <c r="AX105" s="1358">
        <v>3519.03</v>
      </c>
      <c r="AY105" s="1358">
        <v>3519.03</v>
      </c>
      <c r="AZ105" s="60"/>
      <c r="BA105" s="60"/>
      <c r="BB105" s="60"/>
      <c r="BC105" s="119" t="s">
        <v>900</v>
      </c>
      <c r="BD105" s="1332"/>
      <c r="BE105" s="1332"/>
      <c r="BF105" s="939" t="s">
        <v>882</v>
      </c>
      <c r="BG105" s="939" t="s">
        <v>875</v>
      </c>
      <c r="BH105" s="939" t="str" cm="1">
        <f t="array" ref="BH105">BH104</f>
        <v>СН2</v>
      </c>
      <c r="BI105" s="185"/>
      <c r="BJ105" s="185"/>
    </row>
    <row r="106" spans="1:62" s="1088" customFormat="1" ht="12.75" customHeight="1" x14ac:dyDescent="0.15">
      <c r="A106" s="1332"/>
      <c r="B106" s="351"/>
      <c r="C106" s="406"/>
      <c r="D106" s="1332"/>
      <c r="E106" s="185">
        <v>11.25</v>
      </c>
      <c r="F106" s="3" t="str" cm="1">
        <f t="array" aca="1" ref="F106" ca="1">OFFSET(E106,-1,1)</f>
        <v>2</v>
      </c>
      <c r="G106" s="45" t="s">
        <v>709</v>
      </c>
      <c r="H106" s="45" t="str" cm="1">
        <f t="array" ref="H106">H105</f>
        <v>СН2</v>
      </c>
      <c r="I106" s="1332"/>
      <c r="J106" s="1332"/>
      <c r="K106" s="1332"/>
      <c r="L106" s="1332"/>
      <c r="M106" s="1332"/>
      <c r="N106" s="1332"/>
      <c r="O106" s="1332"/>
      <c r="P106" s="1332"/>
      <c r="Q106" s="1332"/>
      <c r="R106" s="1332"/>
      <c r="S106" s="1332"/>
      <c r="T106" s="388" t="b" cm="1">
        <f t="array" aca="1" ref="T106" ca="1">T105</f>
        <v>1</v>
      </c>
      <c r="U106" s="1332"/>
      <c r="V106" s="1332"/>
      <c r="W106" s="1332"/>
      <c r="X106" s="2009"/>
      <c r="Y106" s="2009"/>
      <c r="Z106" s="2034"/>
      <c r="AA106" s="1958"/>
      <c r="AB106" s="8" t="str">
        <f>AB102&amp;".2"</f>
        <v>7.1.2</v>
      </c>
      <c r="AC106" s="111" t="s">
        <v>883</v>
      </c>
      <c r="AD106" s="8" t="s">
        <v>877</v>
      </c>
      <c r="AE106" s="60">
        <v>9859.0069986773997</v>
      </c>
      <c r="AF106" s="60">
        <v>9706.34</v>
      </c>
      <c r="AG106" s="60">
        <v>9706.34</v>
      </c>
      <c r="AH106" s="60">
        <v>10342.0983416126</v>
      </c>
      <c r="AI106" s="60">
        <v>10589.22</v>
      </c>
      <c r="AJ106" s="1358">
        <v>10922.01</v>
      </c>
      <c r="AK106" s="1358">
        <v>11358.89</v>
      </c>
      <c r="AL106" s="1358">
        <v>11813.25</v>
      </c>
      <c r="AM106" s="1358">
        <v>12285.78</v>
      </c>
      <c r="AN106" s="1358">
        <v>12777.21</v>
      </c>
      <c r="AO106" s="1358">
        <v>13288.3</v>
      </c>
      <c r="AP106" s="60"/>
      <c r="AQ106" s="60"/>
      <c r="AR106" s="60"/>
      <c r="AS106" s="60">
        <v>12569.78</v>
      </c>
      <c r="AT106" s="1358">
        <v>10971.93</v>
      </c>
      <c r="AU106" s="1358">
        <v>11301.09</v>
      </c>
      <c r="AV106" s="1358">
        <v>11640.12</v>
      </c>
      <c r="AW106" s="1358">
        <v>11989.33</v>
      </c>
      <c r="AX106" s="1358">
        <v>12349.01</v>
      </c>
      <c r="AY106" s="1358">
        <v>12719.48</v>
      </c>
      <c r="AZ106" s="60"/>
      <c r="BA106" s="60"/>
      <c r="BB106" s="60"/>
      <c r="BC106" s="119"/>
      <c r="BD106" s="1332"/>
      <c r="BE106" s="1332"/>
      <c r="BF106" s="939" t="s">
        <v>884</v>
      </c>
      <c r="BG106" s="939" t="s">
        <v>875</v>
      </c>
      <c r="BH106" s="939" t="str" cm="1">
        <f t="array" ref="BH106">BH105</f>
        <v>СН2</v>
      </c>
      <c r="BI106" s="185"/>
      <c r="BJ106" s="185"/>
    </row>
    <row r="107" spans="1:62" s="1088" customFormat="1" ht="128.25" customHeight="1" x14ac:dyDescent="0.15">
      <c r="A107" s="1332"/>
      <c r="B107" s="351"/>
      <c r="C107" s="406"/>
      <c r="D107" s="1332"/>
      <c r="E107" s="185">
        <v>11.25</v>
      </c>
      <c r="F107" s="3" t="str" cm="1">
        <f t="array" aca="1" ref="F107" ca="1">OFFSET(E107,-1,1)</f>
        <v>2</v>
      </c>
      <c r="G107" s="45" t="s">
        <v>885</v>
      </c>
      <c r="H107" s="45" t="str" cm="1">
        <f t="array" ref="H107">H106</f>
        <v>СН2</v>
      </c>
      <c r="I107" s="1332"/>
      <c r="J107" s="1332"/>
      <c r="K107" s="1332"/>
      <c r="L107" s="1332"/>
      <c r="M107" s="1332"/>
      <c r="N107" s="1332"/>
      <c r="O107" s="1332"/>
      <c r="P107" s="1332"/>
      <c r="Q107" s="1332"/>
      <c r="R107" s="1332"/>
      <c r="S107" s="1332"/>
      <c r="T107" s="388" t="b" cm="1">
        <f t="array" aca="1" ref="T107" ca="1">T106</f>
        <v>1</v>
      </c>
      <c r="U107" s="1332"/>
      <c r="V107" s="1332"/>
      <c r="W107" s="1332"/>
      <c r="X107" s="2009"/>
      <c r="Y107" s="2009"/>
      <c r="Z107" s="2034"/>
      <c r="AA107" s="1958"/>
      <c r="AB107" s="8" t="str">
        <f>AB102&amp;".2.1"</f>
        <v>7.1.2.1</v>
      </c>
      <c r="AC107" s="248" t="s">
        <v>886</v>
      </c>
      <c r="AD107" s="11" t="s">
        <v>887</v>
      </c>
      <c r="AE107" s="110">
        <f t="shared" ref="AE107:BB107" si="31">IF(OR(AND(AE106&lt;&gt;0,AE108=0),AND(AE106=0,AE108&lt;&gt;0)),"Ошибка",IF(AE108=0,0,AE106/AE108*1000/12))</f>
        <v>178.29512078047961</v>
      </c>
      <c r="AF107" s="110">
        <f t="shared" si="31"/>
        <v>170.75399338540569</v>
      </c>
      <c r="AG107" s="110">
        <f t="shared" si="31"/>
        <v>170.75399338540569</v>
      </c>
      <c r="AH107" s="110">
        <f t="shared" si="31"/>
        <v>187.03158169872324</v>
      </c>
      <c r="AI107" s="110">
        <f t="shared" si="31"/>
        <v>186.2856238125396</v>
      </c>
      <c r="AJ107" s="110">
        <f t="shared" si="31"/>
        <v>197.43329718004338</v>
      </c>
      <c r="AK107" s="110">
        <f t="shared" si="31"/>
        <v>205.33062183658714</v>
      </c>
      <c r="AL107" s="110">
        <f t="shared" si="31"/>
        <v>213.54392624728848</v>
      </c>
      <c r="AM107" s="110">
        <f t="shared" si="31"/>
        <v>222.08568329718005</v>
      </c>
      <c r="AN107" s="110">
        <f t="shared" si="31"/>
        <v>230.96908893709326</v>
      </c>
      <c r="AO107" s="110">
        <f t="shared" si="31"/>
        <v>240.20788141720894</v>
      </c>
      <c r="AP107" s="110">
        <f t="shared" si="31"/>
        <v>0</v>
      </c>
      <c r="AQ107" s="110">
        <f t="shared" si="31"/>
        <v>0</v>
      </c>
      <c r="AR107" s="110">
        <f t="shared" si="31"/>
        <v>0</v>
      </c>
      <c r="AS107" s="110">
        <f t="shared" si="31"/>
        <v>241.96981248363261</v>
      </c>
      <c r="AT107" s="110">
        <f t="shared" si="31"/>
        <v>198.42176649305557</v>
      </c>
      <c r="AU107" s="110">
        <f t="shared" si="31"/>
        <v>204.3744574652778</v>
      </c>
      <c r="AV107" s="110">
        <f t="shared" si="31"/>
        <v>210.50564236111111</v>
      </c>
      <c r="AW107" s="110">
        <f t="shared" si="31"/>
        <v>216.82092737268519</v>
      </c>
      <c r="AX107" s="110">
        <f t="shared" si="31"/>
        <v>223.32555700231481</v>
      </c>
      <c r="AY107" s="110">
        <f t="shared" si="31"/>
        <v>230.02531828703704</v>
      </c>
      <c r="AZ107" s="110">
        <f t="shared" si="31"/>
        <v>0</v>
      </c>
      <c r="BA107" s="110">
        <f t="shared" si="31"/>
        <v>0</v>
      </c>
      <c r="BB107" s="110">
        <f t="shared" si="31"/>
        <v>0</v>
      </c>
      <c r="BC107" s="119" t="s">
        <v>899</v>
      </c>
      <c r="BD107" s="1332"/>
      <c r="BE107" s="1332"/>
      <c r="BF107" s="939" t="s">
        <v>888</v>
      </c>
      <c r="BG107" s="939" t="s">
        <v>875</v>
      </c>
      <c r="BH107" s="939" t="str" cm="1">
        <f t="array" ref="BH107">BH106</f>
        <v>СН2</v>
      </c>
      <c r="BI107" s="185"/>
      <c r="BJ107" s="185"/>
    </row>
    <row r="108" spans="1:62" s="1088" customFormat="1" ht="23.25" customHeight="1" x14ac:dyDescent="0.15">
      <c r="A108" s="1332"/>
      <c r="B108" s="351"/>
      <c r="C108" s="406"/>
      <c r="D108" s="1332"/>
      <c r="E108" s="185">
        <v>11.25</v>
      </c>
      <c r="F108" s="3" t="str" cm="1">
        <f t="array" aca="1" ref="F108" ca="1">OFFSET(E108,-1,1)</f>
        <v>2</v>
      </c>
      <c r="G108" s="45" t="s">
        <v>889</v>
      </c>
      <c r="H108" s="45" t="str" cm="1">
        <f t="array" ref="H108">H107</f>
        <v>СН2</v>
      </c>
      <c r="I108" s="1332"/>
      <c r="J108" s="1332"/>
      <c r="K108" s="1332"/>
      <c r="L108" s="1332"/>
      <c r="M108" s="1332"/>
      <c r="N108" s="1332"/>
      <c r="O108" s="1332"/>
      <c r="P108" s="1332"/>
      <c r="Q108" s="1332"/>
      <c r="R108" s="1332"/>
      <c r="S108" s="1332"/>
      <c r="T108" s="388" t="b" cm="1">
        <f t="array" aca="1" ref="T108" ca="1">T107</f>
        <v>1</v>
      </c>
      <c r="U108" s="1332"/>
      <c r="V108" s="1332"/>
      <c r="W108" s="1332"/>
      <c r="X108" s="2009"/>
      <c r="Y108" s="2009"/>
      <c r="Z108" s="2034"/>
      <c r="AA108" s="1958"/>
      <c r="AB108" s="8" t="str">
        <f>AB102&amp;".2.2"</f>
        <v>7.1.2.2</v>
      </c>
      <c r="AC108" s="248" t="s">
        <v>890</v>
      </c>
      <c r="AD108" s="11" t="s">
        <v>891</v>
      </c>
      <c r="AE108" s="60">
        <v>4608</v>
      </c>
      <c r="AF108" s="60">
        <v>4737</v>
      </c>
      <c r="AG108" s="60">
        <v>4737</v>
      </c>
      <c r="AH108" s="60">
        <v>4608</v>
      </c>
      <c r="AI108" s="60">
        <v>4737</v>
      </c>
      <c r="AJ108" s="1358">
        <v>4610</v>
      </c>
      <c r="AK108" s="1358">
        <v>4610</v>
      </c>
      <c r="AL108" s="1358">
        <v>4610</v>
      </c>
      <c r="AM108" s="1358">
        <v>4610</v>
      </c>
      <c r="AN108" s="1358">
        <v>4610</v>
      </c>
      <c r="AO108" s="1358">
        <v>4610</v>
      </c>
      <c r="AP108" s="60"/>
      <c r="AQ108" s="60"/>
      <c r="AR108" s="60"/>
      <c r="AS108" s="60">
        <f>AH108/AH83*AS83</f>
        <v>4328.976643470849</v>
      </c>
      <c r="AT108" s="1358">
        <v>4608</v>
      </c>
      <c r="AU108" s="1358">
        <v>4608</v>
      </c>
      <c r="AV108" s="1358">
        <v>4608</v>
      </c>
      <c r="AW108" s="1358">
        <v>4608</v>
      </c>
      <c r="AX108" s="1358">
        <v>4608</v>
      </c>
      <c r="AY108" s="1358">
        <v>4608</v>
      </c>
      <c r="AZ108" s="60"/>
      <c r="BA108" s="60"/>
      <c r="BB108" s="60"/>
      <c r="BC108" s="119" t="s">
        <v>903</v>
      </c>
      <c r="BD108" s="1332"/>
      <c r="BE108" s="1332"/>
      <c r="BF108" s="939" t="s">
        <v>892</v>
      </c>
      <c r="BG108" s="939" t="s">
        <v>875</v>
      </c>
      <c r="BH108" s="939" t="str" cm="1">
        <f t="array" ref="BH108">BH107</f>
        <v>СН2</v>
      </c>
      <c r="BI108" s="185"/>
      <c r="BJ108" s="185"/>
    </row>
    <row r="109" spans="1:62" s="1088" customFormat="1" ht="10.5" customHeight="1" x14ac:dyDescent="0.15">
      <c r="A109" s="1332"/>
      <c r="B109" s="351"/>
      <c r="C109" s="406"/>
      <c r="D109" s="1332"/>
      <c r="E109" s="185">
        <v>11.25</v>
      </c>
      <c r="F109" s="3" t="str" cm="1">
        <f t="array" aca="1" ref="F109" ca="1">OFFSET(E109,-1,1)</f>
        <v>2</v>
      </c>
      <c r="G109" s="45" t="s">
        <v>544</v>
      </c>
      <c r="H109" s="45" t="str" cm="1">
        <f t="array" ref="H109">AC109</f>
        <v>СН1</v>
      </c>
      <c r="I109" s="1332"/>
      <c r="J109" s="1332"/>
      <c r="K109" s="1332"/>
      <c r="L109" s="1332"/>
      <c r="M109" s="1332"/>
      <c r="N109" s="1332"/>
      <c r="O109" s="1332"/>
      <c r="P109" s="1332"/>
      <c r="Q109" s="1332"/>
      <c r="R109" s="1332"/>
      <c r="S109" s="1332"/>
      <c r="T109" s="388" t="b">
        <f ca="1">AND(F109&gt;0,Y109&gt;0)</f>
        <v>1</v>
      </c>
      <c r="U109" s="1332"/>
      <c r="V109" s="1332"/>
      <c r="W109" s="677"/>
      <c r="X109" s="2009"/>
      <c r="Y109" s="2009" t="s">
        <v>289</v>
      </c>
      <c r="Z109" s="2034"/>
      <c r="AA109" s="1958" t="s">
        <v>173</v>
      </c>
      <c r="AB109" s="8" t="str">
        <f>"7."&amp;Y109</f>
        <v>7.2</v>
      </c>
      <c r="AC109" s="118" t="s">
        <v>902</v>
      </c>
      <c r="AD109" s="8" t="s">
        <v>831</v>
      </c>
      <c r="AE109" s="110">
        <f t="shared" ref="AE109:BB109" si="32">AE110+AE113</f>
        <v>5742.9444482409999</v>
      </c>
      <c r="AF109" s="110">
        <f t="shared" si="32"/>
        <v>5929.8899999999994</v>
      </c>
      <c r="AG109" s="110">
        <f t="shared" si="32"/>
        <v>5882.7727108602576</v>
      </c>
      <c r="AH109" s="110">
        <f t="shared" si="32"/>
        <v>6024.3487262047001</v>
      </c>
      <c r="AI109" s="110">
        <f t="shared" si="32"/>
        <v>6469.27</v>
      </c>
      <c r="AJ109" s="110">
        <f t="shared" si="32"/>
        <v>6417.34</v>
      </c>
      <c r="AK109" s="110">
        <f t="shared" si="32"/>
        <v>6674.0300000000007</v>
      </c>
      <c r="AL109" s="110">
        <f t="shared" si="32"/>
        <v>6941</v>
      </c>
      <c r="AM109" s="110">
        <f t="shared" si="32"/>
        <v>7218.6299999999992</v>
      </c>
      <c r="AN109" s="110">
        <f t="shared" si="32"/>
        <v>7507.3799999999992</v>
      </c>
      <c r="AO109" s="110">
        <f t="shared" si="32"/>
        <v>7807.68</v>
      </c>
      <c r="AP109" s="110">
        <f t="shared" si="32"/>
        <v>0</v>
      </c>
      <c r="AQ109" s="110">
        <f t="shared" si="32"/>
        <v>0</v>
      </c>
      <c r="AR109" s="110">
        <f t="shared" si="32"/>
        <v>0</v>
      </c>
      <c r="AS109" s="110">
        <f t="shared" si="32"/>
        <v>7458.38</v>
      </c>
      <c r="AT109" s="110">
        <f t="shared" si="32"/>
        <v>6391.23</v>
      </c>
      <c r="AU109" s="110">
        <f t="shared" si="32"/>
        <v>6582.97</v>
      </c>
      <c r="AV109" s="110">
        <f t="shared" si="32"/>
        <v>6780.46</v>
      </c>
      <c r="AW109" s="110">
        <f t="shared" si="32"/>
        <v>6983.87</v>
      </c>
      <c r="AX109" s="110">
        <f t="shared" si="32"/>
        <v>7193.39</v>
      </c>
      <c r="AY109" s="110">
        <f t="shared" si="32"/>
        <v>7409.19</v>
      </c>
      <c r="AZ109" s="110">
        <f t="shared" si="32"/>
        <v>0</v>
      </c>
      <c r="BA109" s="110">
        <f t="shared" si="32"/>
        <v>0</v>
      </c>
      <c r="BB109" s="110">
        <f t="shared" si="32"/>
        <v>0</v>
      </c>
      <c r="BC109" s="119"/>
      <c r="BD109" s="1332"/>
      <c r="BE109" s="1332"/>
      <c r="BF109" s="939" t="s">
        <v>874</v>
      </c>
      <c r="BG109" s="939" t="s">
        <v>875</v>
      </c>
      <c r="BH109" s="939" t="str" cm="1">
        <f t="array" ref="BH109">AC109</f>
        <v>СН1</v>
      </c>
      <c r="BI109" s="185"/>
      <c r="BJ109" s="185"/>
    </row>
    <row r="110" spans="1:62" s="1088" customFormat="1" ht="12.75" customHeight="1" x14ac:dyDescent="0.15">
      <c r="A110" s="1332"/>
      <c r="B110" s="351"/>
      <c r="C110" s="406"/>
      <c r="D110" s="1332"/>
      <c r="E110" s="185">
        <v>11.25</v>
      </c>
      <c r="F110" s="3" t="str" cm="1">
        <f t="array" aca="1" ref="F110" ca="1">OFFSET(E110,-1,1)</f>
        <v>2</v>
      </c>
      <c r="G110" s="45" t="s">
        <v>706</v>
      </c>
      <c r="H110" s="45" t="str" cm="1">
        <f t="array" ref="H110">H109</f>
        <v>СН1</v>
      </c>
      <c r="I110" s="1332"/>
      <c r="J110" s="1332"/>
      <c r="K110" s="1332"/>
      <c r="L110" s="1332"/>
      <c r="M110" s="1332"/>
      <c r="N110" s="1332"/>
      <c r="O110" s="1332"/>
      <c r="P110" s="1332"/>
      <c r="Q110" s="1332"/>
      <c r="R110" s="1332"/>
      <c r="S110" s="1332"/>
      <c r="T110" s="388" t="b" cm="1">
        <f t="array" aca="1" ref="T110" ca="1">T109</f>
        <v>1</v>
      </c>
      <c r="U110" s="1332"/>
      <c r="V110" s="1332"/>
      <c r="W110" s="1332"/>
      <c r="X110" s="2009"/>
      <c r="Y110" s="2009"/>
      <c r="Z110" s="2034"/>
      <c r="AA110" s="1958"/>
      <c r="AB110" s="8" t="str">
        <f>AB109&amp;".1"</f>
        <v>7.2.1</v>
      </c>
      <c r="AC110" s="111" t="s">
        <v>876</v>
      </c>
      <c r="AD110" s="8" t="s">
        <v>877</v>
      </c>
      <c r="AE110" s="60">
        <v>2090.1516808848</v>
      </c>
      <c r="AF110" s="60">
        <v>2247.41</v>
      </c>
      <c r="AG110" s="60">
        <f>AF111*AG112</f>
        <v>2200.292710860258</v>
      </c>
      <c r="AH110" s="60">
        <v>2192.5691132481002</v>
      </c>
      <c r="AI110" s="60">
        <v>2451.83</v>
      </c>
      <c r="AJ110" s="1358">
        <v>2370.71</v>
      </c>
      <c r="AK110" s="1358">
        <v>2465.5300000000002</v>
      </c>
      <c r="AL110" s="1358">
        <v>2564.16</v>
      </c>
      <c r="AM110" s="1358">
        <v>2666.72</v>
      </c>
      <c r="AN110" s="1358">
        <v>2773.39</v>
      </c>
      <c r="AO110" s="1358">
        <v>2884.33</v>
      </c>
      <c r="AP110" s="60"/>
      <c r="AQ110" s="60"/>
      <c r="AR110" s="60"/>
      <c r="AS110" s="60">
        <v>2689.54</v>
      </c>
      <c r="AT110" s="1358">
        <v>2326.1</v>
      </c>
      <c r="AU110" s="1358">
        <v>2395.88</v>
      </c>
      <c r="AV110" s="1358">
        <v>2467.7600000000002</v>
      </c>
      <c r="AW110" s="1358">
        <v>2541.79</v>
      </c>
      <c r="AX110" s="1358">
        <v>2618.04</v>
      </c>
      <c r="AY110" s="1358">
        <v>2696.58</v>
      </c>
      <c r="AZ110" s="60"/>
      <c r="BA110" s="60"/>
      <c r="BB110" s="60"/>
      <c r="BC110" s="119"/>
      <c r="BD110" s="1332"/>
      <c r="BE110" s="1332"/>
      <c r="BF110" s="939" t="s">
        <v>878</v>
      </c>
      <c r="BG110" s="939" t="s">
        <v>875</v>
      </c>
      <c r="BH110" s="939" t="str" cm="1">
        <f t="array" ref="BH110">BH109</f>
        <v>СН1</v>
      </c>
      <c r="BI110" s="185"/>
      <c r="BJ110" s="185"/>
    </row>
    <row r="111" spans="1:62" s="1088" customFormat="1" ht="128.25" customHeight="1" x14ac:dyDescent="0.15">
      <c r="A111" s="1332"/>
      <c r="B111" s="351"/>
      <c r="C111" s="406"/>
      <c r="D111" s="1332"/>
      <c r="E111" s="185">
        <v>11.25</v>
      </c>
      <c r="F111" s="3" t="str" cm="1">
        <f t="array" aca="1" ref="F111" ca="1">OFFSET(E111,-1,1)</f>
        <v>2</v>
      </c>
      <c r="G111" s="45" t="s">
        <v>879</v>
      </c>
      <c r="H111" s="45" t="str" cm="1">
        <f t="array" ref="H111">H110</f>
        <v>СН1</v>
      </c>
      <c r="I111" s="1332"/>
      <c r="J111" s="1332"/>
      <c r="K111" s="1332"/>
      <c r="L111" s="1332"/>
      <c r="M111" s="1332"/>
      <c r="N111" s="1332"/>
      <c r="O111" s="1332"/>
      <c r="P111" s="1332"/>
      <c r="Q111" s="1332"/>
      <c r="R111" s="1332"/>
      <c r="S111" s="1332"/>
      <c r="T111" s="388" t="b" cm="1">
        <f t="array" aca="1" ref="T111" ca="1">T110</f>
        <v>1</v>
      </c>
      <c r="U111" s="1332"/>
      <c r="V111" s="1332"/>
      <c r="W111" s="1332"/>
      <c r="X111" s="2009"/>
      <c r="Y111" s="2009"/>
      <c r="Z111" s="2034"/>
      <c r="AA111" s="1958"/>
      <c r="AB111" s="8" t="str">
        <f>AB109&amp;".1.1"</f>
        <v>7.2.1.1</v>
      </c>
      <c r="AC111" s="248" t="s">
        <v>868</v>
      </c>
      <c r="AD111" s="11" t="s">
        <v>860</v>
      </c>
      <c r="AE111" s="110">
        <f t="shared" ref="AE111:BB111" si="33">IF(OR(AND(AE110&lt;&gt;0,AE112=0),AND(AE110=0,AE112&lt;&gt;0)),"Ошибка",IF(AE112=0,0,AE110/AE112))</f>
        <v>2.1897491108065146</v>
      </c>
      <c r="AF111" s="110">
        <f t="shared" si="33"/>
        <v>2.3158431655417586</v>
      </c>
      <c r="AG111" s="110">
        <f t="shared" si="33"/>
        <v>2.3158431655417582</v>
      </c>
      <c r="AH111" s="110">
        <f t="shared" si="33"/>
        <v>2.2970468172359761</v>
      </c>
      <c r="AI111" s="110">
        <f t="shared" si="33"/>
        <v>2.5264877118862383</v>
      </c>
      <c r="AJ111" s="110">
        <f t="shared" si="33"/>
        <v>2.4258743834803429</v>
      </c>
      <c r="AK111" s="110">
        <f t="shared" si="33"/>
        <v>2.5229007633587788</v>
      </c>
      <c r="AL111" s="110">
        <f t="shared" si="33"/>
        <v>2.6238257986615636</v>
      </c>
      <c r="AM111" s="110">
        <f t="shared" si="33"/>
        <v>2.7287722816855289</v>
      </c>
      <c r="AN111" s="110">
        <f t="shared" si="33"/>
        <v>2.8379244008759184</v>
      </c>
      <c r="AO111" s="110">
        <f t="shared" si="33"/>
        <v>2.9514458792951723</v>
      </c>
      <c r="AP111" s="110">
        <f t="shared" si="33"/>
        <v>0</v>
      </c>
      <c r="AQ111" s="110">
        <f t="shared" si="33"/>
        <v>0</v>
      </c>
      <c r="AR111" s="110">
        <f t="shared" si="33"/>
        <v>0</v>
      </c>
      <c r="AS111" s="110">
        <f t="shared" si="33"/>
        <v>2.9993130036071491</v>
      </c>
      <c r="AT111" s="110">
        <f t="shared" si="33"/>
        <v>2.4369316515107071</v>
      </c>
      <c r="AU111" s="110">
        <f t="shared" si="33"/>
        <v>2.5100364581150738</v>
      </c>
      <c r="AV111" s="110">
        <f t="shared" si="33"/>
        <v>2.5853413233876714</v>
      </c>
      <c r="AW111" s="110">
        <f t="shared" si="33"/>
        <v>2.6628986296777439</v>
      </c>
      <c r="AX111" s="110">
        <f t="shared" si="33"/>
        <v>2.742781712274232</v>
      </c>
      <c r="AY111" s="110">
        <f t="shared" si="33"/>
        <v>2.825063906466077</v>
      </c>
      <c r="AZ111" s="110">
        <f t="shared" si="33"/>
        <v>0</v>
      </c>
      <c r="BA111" s="110">
        <f t="shared" si="33"/>
        <v>0</v>
      </c>
      <c r="BB111" s="110">
        <f t="shared" si="33"/>
        <v>0</v>
      </c>
      <c r="BC111" s="119" t="s">
        <v>899</v>
      </c>
      <c r="BD111" s="1332"/>
      <c r="BE111" s="1332"/>
      <c r="BF111" s="939" t="s">
        <v>880</v>
      </c>
      <c r="BG111" s="939" t="s">
        <v>875</v>
      </c>
      <c r="BH111" s="939" t="str" cm="1">
        <f t="array" ref="BH111">BH110</f>
        <v>СН1</v>
      </c>
      <c r="BI111" s="185"/>
      <c r="BJ111" s="185"/>
    </row>
    <row r="112" spans="1:62" s="1088" customFormat="1" ht="23.25" customHeight="1" x14ac:dyDescent="0.15">
      <c r="A112" s="1332"/>
      <c r="B112" s="351"/>
      <c r="C112" s="406"/>
      <c r="D112" s="1332"/>
      <c r="E112" s="185">
        <v>11.25</v>
      </c>
      <c r="F112" s="3" t="str" cm="1">
        <f t="array" aca="1" ref="F112" ca="1">OFFSET(E112,-1,1)</f>
        <v>2</v>
      </c>
      <c r="G112" s="45" t="s">
        <v>881</v>
      </c>
      <c r="H112" s="45" t="str" cm="1">
        <f t="array" ref="H112">H111</f>
        <v>СН1</v>
      </c>
      <c r="I112" s="1332"/>
      <c r="J112" s="1332"/>
      <c r="K112" s="1332"/>
      <c r="L112" s="1332"/>
      <c r="M112" s="1332"/>
      <c r="N112" s="1332"/>
      <c r="O112" s="1332"/>
      <c r="P112" s="1332"/>
      <c r="Q112" s="1332"/>
      <c r="R112" s="1332"/>
      <c r="S112" s="1332"/>
      <c r="T112" s="388" t="b" cm="1">
        <f t="array" aca="1" ref="T112" ca="1">T111</f>
        <v>1</v>
      </c>
      <c r="U112" s="1332"/>
      <c r="V112" s="1332"/>
      <c r="W112" s="1332"/>
      <c r="X112" s="2009"/>
      <c r="Y112" s="2009"/>
      <c r="Z112" s="2034"/>
      <c r="AA112" s="1958"/>
      <c r="AB112" s="8" t="str">
        <f>AB109&amp;".1.2"</f>
        <v>7.2.1.2</v>
      </c>
      <c r="AC112" s="248" t="s">
        <v>870</v>
      </c>
      <c r="AD112" s="11" t="s">
        <v>854</v>
      </c>
      <c r="AE112" s="60">
        <v>954.51651085039998</v>
      </c>
      <c r="AF112" s="60">
        <v>970.45</v>
      </c>
      <c r="AG112" s="60">
        <f>AE112/AE83*AG83</f>
        <v>950.10436958736409</v>
      </c>
      <c r="AH112" s="60">
        <v>954.51651085039998</v>
      </c>
      <c r="AI112" s="60">
        <v>970.45</v>
      </c>
      <c r="AJ112" s="1358">
        <v>977.26</v>
      </c>
      <c r="AK112" s="1358">
        <v>977.26</v>
      </c>
      <c r="AL112" s="1358">
        <v>977.26</v>
      </c>
      <c r="AM112" s="1358">
        <v>977.26</v>
      </c>
      <c r="AN112" s="1358">
        <v>977.26</v>
      </c>
      <c r="AO112" s="1358">
        <v>977.26</v>
      </c>
      <c r="AP112" s="60"/>
      <c r="AQ112" s="60"/>
      <c r="AR112" s="60"/>
      <c r="AS112" s="60">
        <f>AH112/AH83*AS83</f>
        <v>896.7186808330448</v>
      </c>
      <c r="AT112" s="1358">
        <v>954.52</v>
      </c>
      <c r="AU112" s="1358">
        <v>954.52</v>
      </c>
      <c r="AV112" s="1358">
        <v>954.52</v>
      </c>
      <c r="AW112" s="1358">
        <v>954.52</v>
      </c>
      <c r="AX112" s="1358">
        <v>954.52</v>
      </c>
      <c r="AY112" s="1358">
        <v>954.52</v>
      </c>
      <c r="AZ112" s="60"/>
      <c r="BA112" s="60"/>
      <c r="BB112" s="60"/>
      <c r="BC112" s="119" t="s">
        <v>900</v>
      </c>
      <c r="BD112" s="1332"/>
      <c r="BE112" s="1332"/>
      <c r="BF112" s="939" t="s">
        <v>882</v>
      </c>
      <c r="BG112" s="939" t="s">
        <v>875</v>
      </c>
      <c r="BH112" s="939" t="str" cm="1">
        <f t="array" ref="BH112">BH111</f>
        <v>СН1</v>
      </c>
      <c r="BI112" s="185"/>
      <c r="BJ112" s="185"/>
    </row>
    <row r="113" spans="1:62" s="1088" customFormat="1" ht="12.75" customHeight="1" x14ac:dyDescent="0.15">
      <c r="A113" s="1332"/>
      <c r="B113" s="351"/>
      <c r="C113" s="406"/>
      <c r="D113" s="1332"/>
      <c r="E113" s="185">
        <v>11.25</v>
      </c>
      <c r="F113" s="3" t="str" cm="1">
        <f t="array" aca="1" ref="F113" ca="1">OFFSET(E113,-1,1)</f>
        <v>2</v>
      </c>
      <c r="G113" s="45" t="s">
        <v>709</v>
      </c>
      <c r="H113" s="45" t="str" cm="1">
        <f t="array" ref="H113">H112</f>
        <v>СН1</v>
      </c>
      <c r="I113" s="1332"/>
      <c r="J113" s="1332"/>
      <c r="K113" s="1332"/>
      <c r="L113" s="1332"/>
      <c r="M113" s="1332"/>
      <c r="N113" s="1332"/>
      <c r="O113" s="1332"/>
      <c r="P113" s="1332"/>
      <c r="Q113" s="1332"/>
      <c r="R113" s="1332"/>
      <c r="S113" s="1332"/>
      <c r="T113" s="388" t="b" cm="1">
        <f t="array" aca="1" ref="T113" ca="1">T112</f>
        <v>1</v>
      </c>
      <c r="U113" s="1332"/>
      <c r="V113" s="1332"/>
      <c r="W113" s="1332"/>
      <c r="X113" s="2009"/>
      <c r="Y113" s="2009"/>
      <c r="Z113" s="2034"/>
      <c r="AA113" s="1958"/>
      <c r="AB113" s="8" t="str">
        <f>AB109&amp;".2"</f>
        <v>7.2.2</v>
      </c>
      <c r="AC113" s="111" t="s">
        <v>883</v>
      </c>
      <c r="AD113" s="8" t="s">
        <v>877</v>
      </c>
      <c r="AE113" s="60">
        <v>3652.7927673561999</v>
      </c>
      <c r="AF113" s="60">
        <v>3682.48</v>
      </c>
      <c r="AG113" s="60">
        <v>3682.48</v>
      </c>
      <c r="AH113" s="60">
        <v>3831.7796129566</v>
      </c>
      <c r="AI113" s="60">
        <v>4017.44</v>
      </c>
      <c r="AJ113" s="1358">
        <v>4046.63</v>
      </c>
      <c r="AK113" s="1358">
        <v>4208.5</v>
      </c>
      <c r="AL113" s="1358">
        <v>4376.84</v>
      </c>
      <c r="AM113" s="1358">
        <v>4551.91</v>
      </c>
      <c r="AN113" s="1358">
        <v>4733.99</v>
      </c>
      <c r="AO113" s="1358">
        <v>4923.3500000000004</v>
      </c>
      <c r="AP113" s="60"/>
      <c r="AQ113" s="60"/>
      <c r="AR113" s="60"/>
      <c r="AS113" s="60">
        <v>4768.84</v>
      </c>
      <c r="AT113" s="1358">
        <v>4065.13</v>
      </c>
      <c r="AU113" s="1358">
        <v>4187.09</v>
      </c>
      <c r="AV113" s="1358">
        <v>4312.7</v>
      </c>
      <c r="AW113" s="1358">
        <v>4442.08</v>
      </c>
      <c r="AX113" s="1358">
        <v>4575.3500000000004</v>
      </c>
      <c r="AY113" s="1358">
        <v>4712.6099999999997</v>
      </c>
      <c r="AZ113" s="60"/>
      <c r="BA113" s="60"/>
      <c r="BB113" s="60"/>
      <c r="BC113" s="119"/>
      <c r="BD113" s="1332"/>
      <c r="BE113" s="1332"/>
      <c r="BF113" s="939" t="s">
        <v>884</v>
      </c>
      <c r="BG113" s="939" t="s">
        <v>875</v>
      </c>
      <c r="BH113" s="939" t="str" cm="1">
        <f t="array" ref="BH113">BH112</f>
        <v>СН1</v>
      </c>
      <c r="BI113" s="185"/>
      <c r="BJ113" s="185"/>
    </row>
    <row r="114" spans="1:62" s="1088" customFormat="1" ht="128.25" customHeight="1" x14ac:dyDescent="0.15">
      <c r="A114" s="1332"/>
      <c r="B114" s="351"/>
      <c r="C114" s="406"/>
      <c r="D114" s="1332"/>
      <c r="E114" s="185">
        <v>11.25</v>
      </c>
      <c r="F114" s="3" t="str" cm="1">
        <f t="array" aca="1" ref="F114" ca="1">OFFSET(E114,-1,1)</f>
        <v>2</v>
      </c>
      <c r="G114" s="45" t="s">
        <v>885</v>
      </c>
      <c r="H114" s="45" t="str" cm="1">
        <f t="array" ref="H114">H113</f>
        <v>СН1</v>
      </c>
      <c r="I114" s="1332"/>
      <c r="J114" s="1332"/>
      <c r="K114" s="1332"/>
      <c r="L114" s="1332"/>
      <c r="M114" s="1332"/>
      <c r="N114" s="1332"/>
      <c r="O114" s="1332"/>
      <c r="P114" s="1332"/>
      <c r="Q114" s="1332"/>
      <c r="R114" s="1332"/>
      <c r="S114" s="1332"/>
      <c r="T114" s="388" t="b" cm="1">
        <f t="array" aca="1" ref="T114" ca="1">T113</f>
        <v>1</v>
      </c>
      <c r="U114" s="1332"/>
      <c r="V114" s="1332"/>
      <c r="W114" s="1332"/>
      <c r="X114" s="2009"/>
      <c r="Y114" s="2009"/>
      <c r="Z114" s="2034"/>
      <c r="AA114" s="1958"/>
      <c r="AB114" s="8" t="str">
        <f>AB109&amp;".2.1"</f>
        <v>7.2.2.1</v>
      </c>
      <c r="AC114" s="248" t="s">
        <v>886</v>
      </c>
      <c r="AD114" s="11" t="s">
        <v>887</v>
      </c>
      <c r="AE114" s="110">
        <f t="shared" ref="AE114:BB114" si="34">IF(OR(AND(AE113&lt;&gt;0,AE115=0),AND(AE113=0,AE115&lt;&gt;0)),"Ошибка",IF(AE115=0,0,AE113/AE115*1000/12))</f>
        <v>176.36118034744106</v>
      </c>
      <c r="AF114" s="110">
        <f t="shared" si="34"/>
        <v>166.77898550724638</v>
      </c>
      <c r="AG114" s="110">
        <f t="shared" si="34"/>
        <v>166.77898550724638</v>
      </c>
      <c r="AH114" s="110">
        <f t="shared" si="34"/>
        <v>185.00287818446313</v>
      </c>
      <c r="AI114" s="110">
        <f t="shared" si="34"/>
        <v>181.94927536231884</v>
      </c>
      <c r="AJ114" s="110">
        <f t="shared" si="34"/>
        <v>195.37611046736194</v>
      </c>
      <c r="AK114" s="110">
        <f t="shared" si="34"/>
        <v>203.19138663576669</v>
      </c>
      <c r="AL114" s="110">
        <f t="shared" si="34"/>
        <v>211.31904210119737</v>
      </c>
      <c r="AM114" s="110">
        <f t="shared" si="34"/>
        <v>219.7716299729625</v>
      </c>
      <c r="AN114" s="110">
        <f t="shared" si="34"/>
        <v>228.56266898416379</v>
      </c>
      <c r="AO114" s="110">
        <f t="shared" si="34"/>
        <v>237.7051950560062</v>
      </c>
      <c r="AP114" s="110">
        <f t="shared" si="34"/>
        <v>0</v>
      </c>
      <c r="AQ114" s="110">
        <f t="shared" si="34"/>
        <v>0</v>
      </c>
      <c r="AR114" s="110">
        <f t="shared" si="34"/>
        <v>0</v>
      </c>
      <c r="AS114" s="110">
        <f t="shared" si="34"/>
        <v>215.98007246376812</v>
      </c>
      <c r="AT114" s="110">
        <f t="shared" si="34"/>
        <v>196.26931247585938</v>
      </c>
      <c r="AU114" s="110">
        <f t="shared" si="34"/>
        <v>202.15768636539204</v>
      </c>
      <c r="AV114" s="110">
        <f t="shared" si="34"/>
        <v>208.22228659714173</v>
      </c>
      <c r="AW114" s="110">
        <f t="shared" si="34"/>
        <v>214.46890691386636</v>
      </c>
      <c r="AX114" s="110">
        <f t="shared" si="34"/>
        <v>220.90334105832369</v>
      </c>
      <c r="AY114" s="110">
        <f t="shared" si="34"/>
        <v>227.53041714947858</v>
      </c>
      <c r="AZ114" s="110">
        <f t="shared" si="34"/>
        <v>0</v>
      </c>
      <c r="BA114" s="110">
        <f t="shared" si="34"/>
        <v>0</v>
      </c>
      <c r="BB114" s="110">
        <f t="shared" si="34"/>
        <v>0</v>
      </c>
      <c r="BC114" s="119" t="s">
        <v>899</v>
      </c>
      <c r="BD114" s="1332"/>
      <c r="BE114" s="1332"/>
      <c r="BF114" s="939" t="s">
        <v>888</v>
      </c>
      <c r="BG114" s="939" t="s">
        <v>875</v>
      </c>
      <c r="BH114" s="939" t="str" cm="1">
        <f t="array" ref="BH114">BH113</f>
        <v>СН1</v>
      </c>
      <c r="BI114" s="185"/>
      <c r="BJ114" s="185"/>
    </row>
    <row r="115" spans="1:62" s="1088" customFormat="1" ht="23.25" customHeight="1" x14ac:dyDescent="0.15">
      <c r="A115" s="1332"/>
      <c r="B115" s="351"/>
      <c r="C115" s="406"/>
      <c r="D115" s="1332"/>
      <c r="E115" s="185">
        <v>11.25</v>
      </c>
      <c r="F115" s="3" t="str" cm="1">
        <f t="array" aca="1" ref="F115" ca="1">OFFSET(E115,-1,1)</f>
        <v>2</v>
      </c>
      <c r="G115" s="45" t="s">
        <v>889</v>
      </c>
      <c r="H115" s="45" t="str" cm="1">
        <f t="array" ref="H115">H114</f>
        <v>СН1</v>
      </c>
      <c r="I115" s="1332"/>
      <c r="J115" s="1332"/>
      <c r="K115" s="1332"/>
      <c r="L115" s="1332"/>
      <c r="M115" s="1332"/>
      <c r="N115" s="1332"/>
      <c r="O115" s="1332"/>
      <c r="P115" s="1332"/>
      <c r="Q115" s="1332"/>
      <c r="R115" s="1332"/>
      <c r="S115" s="1332"/>
      <c r="T115" s="388" t="b" cm="1">
        <f t="array" aca="1" ref="T115" ca="1">T114</f>
        <v>1</v>
      </c>
      <c r="U115" s="1332"/>
      <c r="V115" s="1332"/>
      <c r="W115" s="1332"/>
      <c r="X115" s="2009"/>
      <c r="Y115" s="2009"/>
      <c r="Z115" s="2034"/>
      <c r="AA115" s="1958"/>
      <c r="AB115" s="8" t="str">
        <f>AB109&amp;".2.2"</f>
        <v>7.2.2.2</v>
      </c>
      <c r="AC115" s="248" t="s">
        <v>890</v>
      </c>
      <c r="AD115" s="11" t="s">
        <v>891</v>
      </c>
      <c r="AE115" s="60">
        <v>1726</v>
      </c>
      <c r="AF115" s="60">
        <v>1840</v>
      </c>
      <c r="AG115" s="60">
        <v>1840</v>
      </c>
      <c r="AH115" s="60">
        <v>1726</v>
      </c>
      <c r="AI115" s="60">
        <v>1840</v>
      </c>
      <c r="AJ115" s="1358">
        <v>1726</v>
      </c>
      <c r="AK115" s="1358">
        <v>1726</v>
      </c>
      <c r="AL115" s="1358">
        <v>1726</v>
      </c>
      <c r="AM115" s="1358">
        <v>1726</v>
      </c>
      <c r="AN115" s="1358">
        <v>1726</v>
      </c>
      <c r="AO115" s="1358">
        <v>1726</v>
      </c>
      <c r="AP115" s="60"/>
      <c r="AQ115" s="60"/>
      <c r="AR115" s="60"/>
      <c r="AS115" s="60">
        <v>1840</v>
      </c>
      <c r="AT115" s="1358">
        <v>1726</v>
      </c>
      <c r="AU115" s="1358">
        <v>1726</v>
      </c>
      <c r="AV115" s="1358">
        <v>1726</v>
      </c>
      <c r="AW115" s="1358">
        <v>1726</v>
      </c>
      <c r="AX115" s="1358">
        <v>1726</v>
      </c>
      <c r="AY115" s="1358">
        <v>1726</v>
      </c>
      <c r="AZ115" s="60"/>
      <c r="BA115" s="60"/>
      <c r="BB115" s="60"/>
      <c r="BC115" s="119" t="s">
        <v>903</v>
      </c>
      <c r="BD115" s="1332"/>
      <c r="BE115" s="1332"/>
      <c r="BF115" s="939" t="s">
        <v>892</v>
      </c>
      <c r="BG115" s="939" t="s">
        <v>875</v>
      </c>
      <c r="BH115" s="939" t="str" cm="1">
        <f t="array" ref="BH115">BH114</f>
        <v>СН1</v>
      </c>
      <c r="BI115" s="185"/>
      <c r="BJ115" s="185"/>
    </row>
    <row r="116" spans="1:62" s="1249" customFormat="1" ht="14.25" customHeight="1" x14ac:dyDescent="0.15">
      <c r="B116" s="349"/>
      <c r="C116" s="406"/>
      <c r="E116" s="557">
        <v>15</v>
      </c>
      <c r="F116" s="3" t="str" cm="1">
        <f t="array" aca="1" ref="F116" ca="1">OFFSET(E116,-1,1)</f>
        <v>2</v>
      </c>
      <c r="H116" s="868" t="s">
        <v>893</v>
      </c>
      <c r="T116" s="388" t="b">
        <f ca="1">F116&gt;0</f>
        <v>1</v>
      </c>
      <c r="W116" s="677" t="s">
        <v>894</v>
      </c>
      <c r="X116" s="2009"/>
      <c r="Z116" s="2034"/>
      <c r="AB116" s="94"/>
      <c r="AC116" s="97" t="s">
        <v>895</v>
      </c>
      <c r="AD116" s="95"/>
      <c r="AE116" s="95"/>
      <c r="AF116" s="95"/>
      <c r="AG116" s="95"/>
      <c r="AH116" s="95"/>
      <c r="AI116" s="95"/>
      <c r="AJ116" s="95"/>
      <c r="AK116" s="95"/>
      <c r="AL116" s="95"/>
      <c r="AM116" s="95"/>
      <c r="AN116" s="95"/>
      <c r="AO116" s="95"/>
      <c r="AP116" s="95"/>
      <c r="AQ116" s="95"/>
      <c r="AR116" s="95"/>
      <c r="AS116" s="95"/>
      <c r="AT116" s="95"/>
      <c r="AU116" s="95"/>
      <c r="AV116" s="95"/>
      <c r="AW116" s="95"/>
      <c r="AX116" s="95"/>
      <c r="AY116" s="95"/>
      <c r="AZ116" s="95"/>
      <c r="BA116" s="95"/>
      <c r="BB116" s="95"/>
      <c r="BC116" s="106"/>
      <c r="BF116" s="927"/>
      <c r="BG116" s="927"/>
      <c r="BH116" s="927"/>
      <c r="BI116" s="557" t="s">
        <v>875</v>
      </c>
      <c r="BJ116" s="557"/>
    </row>
    <row r="117" spans="1:62" ht="10.9" customHeight="1" x14ac:dyDescent="0.15">
      <c r="E117" s="583">
        <v>11.25</v>
      </c>
      <c r="U117" s="17" t="s">
        <v>176</v>
      </c>
      <c r="V117" s="59" t="s">
        <v>904</v>
      </c>
    </row>
    <row r="118" spans="1:62" ht="14.65" customHeight="1" x14ac:dyDescent="0.15">
      <c r="E118" s="556">
        <v>15</v>
      </c>
      <c r="AB118" s="2078" t="s">
        <v>402</v>
      </c>
      <c r="AC118" s="2079"/>
      <c r="AD118" s="2079"/>
      <c r="AE118" s="2079"/>
      <c r="AF118" s="2079"/>
      <c r="AG118" s="2079"/>
      <c r="AH118" s="2079"/>
      <c r="AI118" s="2079"/>
      <c r="AJ118" s="2079"/>
      <c r="AK118" s="2079"/>
      <c r="AL118" s="2079"/>
      <c r="AM118" s="2079"/>
      <c r="AN118" s="2079"/>
      <c r="AO118" s="2079"/>
      <c r="AP118" s="2079"/>
      <c r="AQ118" s="2079"/>
      <c r="AR118" s="2079"/>
      <c r="AS118" s="2079"/>
      <c r="AT118" s="2079"/>
      <c r="AU118" s="2079"/>
      <c r="AV118" s="2079"/>
      <c r="AW118" s="2079"/>
      <c r="AX118" s="2079"/>
      <c r="AY118" s="2079"/>
      <c r="AZ118" s="2079"/>
      <c r="BA118" s="2079"/>
      <c r="BB118" s="2079"/>
      <c r="BC118" s="2080"/>
    </row>
    <row r="119" spans="1:62" ht="45.4" customHeight="1" x14ac:dyDescent="0.15">
      <c r="E119" s="556">
        <v>15</v>
      </c>
      <c r="AA119" s="585"/>
      <c r="AB119" s="2076" t="s">
        <v>905</v>
      </c>
      <c r="AC119" s="2074"/>
      <c r="AD119" s="2074"/>
      <c r="AE119" s="2074"/>
      <c r="AF119" s="2074"/>
      <c r="AG119" s="2074"/>
      <c r="AH119" s="2074"/>
      <c r="AI119" s="2074"/>
      <c r="AJ119" s="2073"/>
      <c r="AK119" s="2073"/>
      <c r="AL119" s="2073"/>
      <c r="AM119" s="2073"/>
      <c r="AN119" s="2073"/>
      <c r="AO119" s="2073"/>
      <c r="AP119" s="2073"/>
      <c r="AQ119" s="2073"/>
      <c r="AR119" s="2073"/>
      <c r="AS119" s="2074"/>
      <c r="AT119" s="2073"/>
      <c r="AU119" s="2073"/>
      <c r="AV119" s="2073"/>
      <c r="AW119" s="2073"/>
      <c r="AX119" s="2073"/>
      <c r="AY119" s="2073"/>
      <c r="AZ119" s="2073"/>
      <c r="BA119" s="2073"/>
      <c r="BB119" s="2073"/>
      <c r="BC119" s="2077"/>
    </row>
    <row r="120" spans="1:62" ht="14.65" hidden="1" customHeight="1" x14ac:dyDescent="0.15">
      <c r="E120" s="556">
        <v>15</v>
      </c>
      <c r="T120" s="388" t="b">
        <f>ROW(W120)&gt;ROW(W$120)</f>
        <v>0</v>
      </c>
      <c r="W120" s="677" t="s">
        <v>172</v>
      </c>
      <c r="AA120" s="596" t="s">
        <v>173</v>
      </c>
      <c r="AB120" s="2072" t="s">
        <v>147</v>
      </c>
      <c r="AC120" s="2073"/>
      <c r="AD120" s="2073"/>
      <c r="AE120" s="2073"/>
      <c r="AF120" s="2073"/>
      <c r="AG120" s="2073"/>
      <c r="AH120" s="2073"/>
      <c r="AI120" s="2074"/>
      <c r="AJ120" s="2073"/>
      <c r="AK120" s="2073"/>
      <c r="AL120" s="2073"/>
      <c r="AM120" s="2073"/>
      <c r="AN120" s="2073"/>
      <c r="AO120" s="2073"/>
      <c r="AP120" s="2073"/>
      <c r="AQ120" s="2073"/>
      <c r="AR120" s="2073"/>
      <c r="AS120" s="2074"/>
      <c r="AT120" s="2073"/>
      <c r="AU120" s="2073"/>
      <c r="AV120" s="2073"/>
      <c r="AW120" s="2073"/>
      <c r="AX120" s="2073"/>
      <c r="AY120" s="2073"/>
      <c r="AZ120" s="2073"/>
      <c r="BA120" s="2073"/>
      <c r="BB120" s="2073"/>
      <c r="BC120" s="2075"/>
    </row>
    <row r="121" spans="1:62" ht="14.65" customHeight="1" x14ac:dyDescent="0.15">
      <c r="E121" s="556">
        <v>15</v>
      </c>
      <c r="W121" s="677" t="s">
        <v>403</v>
      </c>
      <c r="AA121" s="597"/>
      <c r="AB121" s="571"/>
      <c r="AC121" s="437" t="s">
        <v>404</v>
      </c>
      <c r="AD121" s="227"/>
      <c r="AE121" s="227"/>
      <c r="AF121" s="228"/>
      <c r="AG121" s="228"/>
      <c r="AH121" s="228"/>
      <c r="AI121" s="228"/>
      <c r="AJ121" s="228"/>
      <c r="AK121" s="228"/>
      <c r="AL121" s="228"/>
      <c r="AM121" s="228"/>
      <c r="AN121" s="228"/>
      <c r="AO121" s="228"/>
      <c r="AP121" s="228"/>
      <c r="AQ121" s="228"/>
      <c r="AR121" s="228"/>
      <c r="AS121" s="228"/>
      <c r="AT121" s="228"/>
      <c r="AU121" s="228"/>
      <c r="AV121" s="228"/>
      <c r="AW121" s="228"/>
      <c r="AX121" s="228"/>
      <c r="AY121" s="228"/>
      <c r="AZ121" s="228"/>
      <c r="BA121" s="228"/>
      <c r="BB121" s="228"/>
      <c r="BC121" s="229"/>
    </row>
    <row r="122" spans="1:62" ht="10.9" customHeight="1" x14ac:dyDescent="0.15">
      <c r="E122" s="556">
        <v>11.25</v>
      </c>
      <c r="AA122" s="653"/>
      <c r="AB122" s="654"/>
      <c r="BD122" s="348"/>
    </row>
  </sheetData>
  <sheetProtection formatColumns="0" formatRows="0" insertRows="0" deleteColumns="0" deleteRows="0" sort="0" autoFilter="0"/>
  <mergeCells count="37">
    <mergeCell ref="AA57:AA59"/>
    <mergeCell ref="Y57:Y59"/>
    <mergeCell ref="AA60:AA62"/>
    <mergeCell ref="Y60:Y62"/>
    <mergeCell ref="X80:X116"/>
    <mergeCell ref="Z80:Z116"/>
    <mergeCell ref="AA87:AA89"/>
    <mergeCell ref="AA95:AA101"/>
    <mergeCell ref="Y87:Y89"/>
    <mergeCell ref="Y95:Y101"/>
    <mergeCell ref="AA102:AA108"/>
    <mergeCell ref="Y102:Y108"/>
    <mergeCell ref="AA109:AA115"/>
    <mergeCell ref="Y109:Y115"/>
    <mergeCell ref="AA90:AA92"/>
    <mergeCell ref="Y90:Y92"/>
    <mergeCell ref="AB120:BC120"/>
    <mergeCell ref="AB24:AB25"/>
    <mergeCell ref="AC24:AC25"/>
    <mergeCell ref="AD24:AD25"/>
    <mergeCell ref="BC24:BC25"/>
    <mergeCell ref="X27:X46"/>
    <mergeCell ref="Z27:Z46"/>
    <mergeCell ref="AB118:BC118"/>
    <mergeCell ref="AB119:BC119"/>
    <mergeCell ref="AA34:AA36"/>
    <mergeCell ref="AA39:AA45"/>
    <mergeCell ref="Y34:Y36"/>
    <mergeCell ref="Y39:Y45"/>
    <mergeCell ref="X47:X79"/>
    <mergeCell ref="Z47:Z79"/>
    <mergeCell ref="AA54:AA56"/>
    <mergeCell ref="AA65:AA71"/>
    <mergeCell ref="Y54:Y56"/>
    <mergeCell ref="Y65:Y71"/>
    <mergeCell ref="AA72:AA78"/>
    <mergeCell ref="Y72:Y78"/>
  </mergeCells>
  <dataValidations count="3">
    <dataValidation type="decimal" allowBlank="1" showErrorMessage="1" errorTitle="Ошибка" error="Допускается ввод только неотрицательных чисел!" sqref="AE34:BB34 AE42:BB43 AE36:BB36 AE45:BB45 AE40:BB40 AE54 AF54 AG54 AH54 AI54 AJ54 AK54 AL54 AM54 AN54 AO54 AP54 AQ54 AR54 AS54 AT54 AU54 AV54 AW54 AX54 AY54 AZ54 BA54 BB54 AE56:AE57 AE59:AE60 AE62 AF56:AF57 AF59:AF60 AF62 AG56:AG57 AG59:AG60 AG62 AH56:AH57 AH59:AH60 AH62 AI56:AI57 AI59:AI60 AI62 AJ56:AJ57 AJ59:AJ60 AJ62 AK56:AK57 AK59:AK60 AK62 AL56:AL57 AL59:AL60 AL62 AM56:AM57 AM59:AM60 AM62 AN56:AN57 AN59:AN60 AN62 AO56:AO57 AO59:AO60 AO62 AP56:AP57 AP59:AP60 AP62 AQ56:AQ57 AQ59:AQ60 AQ62 AR56:AR57 AR59:AR60 AR62 AS56:AS57 AS59:AS60 AS62 AT56:AT57 AT59:AT60 AT62 AU56:AU57 AU59:AU60 AU62 AV56:AV57 AV59:AV60 AV62 AW56:AW57 AW59:AW60 AW62 AX56:AX57 AX59:AX60 AX62 AY56:AY57 AY59:AY60 AY62 AZ56:AZ57 AZ59:AZ60 AZ62 BA56:BA57 BA59:BA60 BA62 BB56:BB57 BB59:BB60 BB62 AE66 AF66 AG66 AH66 AI66 AJ66 AK66 AL66 AM66 AN66 AO66 AP66 AQ66 AR66 AS66 AT66 AU66 AV66 AW66 AX66 AY66 AZ66 BA66 BB66 AE68 AF68 AG68 AH68 AI68 AJ68 AK68 AL68 AM68 AN68 AO68 AP68 AQ68 AR68 AS68 AT68 AU68 AV68 AW68 AX68 AY68 AZ68 BA68 BB68 AE69 AF69 AG69 AH69 AI69 AJ69 AK69 AL69 AM69 AN69 AO69 AP69 AQ69 AR69 AS69 AT69 AU69 AV69 AW69 AX69 AY69 AZ69 BA69 BB69 AE71 AE73 AE75:AE76 AE78 AF71 AF73 AF75:AF76 AF78 AG71 AG73 AG75:AG76 AG78 AH71 AH73 AH75:AH76 AH78 AI71 AI73 AI75:AI76 AI78 AJ71 AJ73 AJ75:AJ76 AJ78 AK71 AK73 AK75:AK76 AK78 AL71 AL73 AL75:AL76 AL78 AM71 AM73 AM75:AM76 AM78 AN71 AN73 AN75:AN76 AN78 AO71 AO73 AO75:AO76 AO78 AP71 AP73 AP75:AP76 AP78 AQ71 AQ73 AQ75:AQ76 AQ78 AR71 AR73 AR75:AR76 AR78 AS71 AS73 AS75:AS76 AS78 AT71 AT73 AT75:AT76 AT78 AU71 AU73 AU75:AU76 AU78 AV71 AV73 AV75:AV76 AV78 AW71 AW73 AW75:AW76 AW78 AX71 AX73 AX75:AX76 AX78 AY71 AY73 AY75:AY76 AY78 AZ71 AZ73 AZ75:AZ76 AZ78 BA71 BA73 BA75:BA76 BA78 BB71 BB73 BB75:BB76 BB78 AE87 AF87 AG87 AH87 AI87 AJ87 AK87 AL87 AM87 AN87 AO87 AP87 AQ87 AR87 AS87 AT87 AU87 AV87 AW87 AX87 AY87 AZ87 BA87 BB87 AE89:AE90 AE92 AF89:AF90 AF92 AG89:AG90 AG92 AH89:AH90 AH92 AI89:AI90 AI92 AJ89:AJ90 AJ92 AK89:AK90 AK92 AL89:AL90 AL92 AM89:AM90 AM92 AN89:AN90 AN92 AO89:AO90 AO92 AP89:AP90 AP92 AQ89:AQ90 AQ92 AR89:AR90 AR92 AS89:AS90 AS92 AT89:AT90 AT92 AU89:AU90 AU92 AV89:AV90 AV92 AW89:AW90 AW92 AX89:AX90 AX92 AY89:AY90 AY92 AZ89:AZ90 AZ92 BA89:BA90 BA92 BB89:BB90 BB92 AE96 AF96 AG96 AH96 AI96 AJ96 AK96 AL96 AM96 AN96 AO96 AP96 AQ96 AR96 AS96 AT96 AU96 AV96 AW96 AX96 AY96 AZ96 BA96 BB96 AE98 AF98 AG98 AH98 AI98 AJ98 AK98 AL98 AM98 AN98 AO98 AP98 AQ98 AR98 AS98 AT98 AU98 AV98 AW98 AX98 AY98 AZ98 BA98 BB98 AE99 AF99 AG99 AH99 AI99 AJ99 AK99 AL99 AM99 AN99 AO99 AP99 AQ99 AR99 AS99 AT99 AU99 AV99 AW99 AX99 AY99 AZ99 BA99 BB99 AE101 AE103 AE105:AE106 AE108 AE110 AE112:AE113 AE115 AF101 AF103 AF105:AF106 AF108 AF110 AF112:AF113 AF115 AG101 AG103 AG105:AG106 AG108 AG110 AG112:AG113 AG115 AH101 AH103 AH105:AH106 AH108 AH110 AH112:AH113 AH115 AI101 AI103 AI105:AI106 AI108 AI110 AI112:AI113 AI115 AJ101 AJ103 AJ105:AJ106 AJ108 AJ110 AJ112:AJ113 AJ115 AK101 AK103 AK105:AK106 AK108 AK110 AK112:AK113 AK115 AL101 AL103 AL105:AL106 AL108 AL110 AL112:AL113 AL115 AM101 AM103 AM105:AM106 AM108 AM110 AM112:AM113 AM115 AN101 AN103 AN105:AN106 AN108 AN110 AN112:AN113 AN115 AO101 AO103 AO105:AO106 AO108 AO110 AO112:AO113 AO115 AP101 AP103 AP105:AP106 AP108 AP110 AP112:AP113 AP115 AQ101 AQ103 AQ105:AQ106 AQ108 AQ110 AQ112:AQ113 AQ115 AR101 AR103 AR105:AR106 AR108 AR110 AR112:AR113 AR115 AS101 AS103 AS105:AS106 AS108 AS110 AS112:AS113 AS115 AT101 AT103 AT105:AT106 AT108 AT110 AT112:AT113 AT115 AU101 AU103 AU105:AU106 AU108 AU110 AU112:AU113 AU115 AV101 AV103 AV105:AV106 AV108 AV110 AV112:AV113 AV115 AW101 AW103 AW105:AW106 AW108 AW110 AW112:AW113 AW115 AX101 AX103 AX105:AX106 AX108 AX110 AX112:AX113 AX115 AY101 AY103 AY105:AY106 AY108 AY110 AY112:AY113 AY115 AZ101 AZ103 AZ105:AZ106 AZ108 AZ110 AZ112:AZ113 AZ115 BA101 BA103 BA105:BA106 BA108 BA110 BA112:BA113 BA115 BB101 BB103 BB105:BB106 BB108 BB110 BB112:BB113 BB115" xr:uid="{00000000-0002-0000-0D00-000000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54 AC57 AC60 AC87 AC90" xr:uid="{00000000-0002-0000-0D00-000001000000}">
      <formula1>VOLTAGE_LEVEL_list</formula1>
    </dataValidation>
    <dataValidation type="list" allowBlank="1" showInputMessage="1" showErrorMessage="1" errorTitle="Ошибка" error="Выберите значение из списка" prompt="Выберите значение из списка" sqref="AC39 AC65 AC72 AC95 AC102 AC109" xr:uid="{00000000-0002-0000-0D00-000002000000}">
      <formula1>VOLTAGE_LEVEL2_list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1DD78-4598-B692-5264-B647EC6C3D21}">
  <sheetPr>
    <tabColor rgb="FF002060"/>
    <outlinePr summaryBelow="0" summaryRight="0"/>
    <pageSetUpPr fitToPage="1"/>
  </sheetPr>
  <dimension ref="A1:BF179"/>
  <sheetViews>
    <sheetView showGridLines="0" workbookViewId="0">
      <pane xSplit="30" ySplit="25" topLeftCell="AE112" activePane="bottomRight" state="frozen"/>
      <selection pane="topRight" activeCell="AE1" sqref="AE1"/>
      <selection pane="bottomLeft" activeCell="A26" sqref="A26"/>
      <selection pane="bottomRight" activeCell="AI117" sqref="AI117"/>
    </sheetView>
  </sheetViews>
  <sheetFormatPr defaultColWidth="8.7109375" defaultRowHeight="11.25" customHeight="1" x14ac:dyDescent="0.15"/>
  <cols>
    <col min="1" max="1" width="3.5703125" style="1128" hidden="1" customWidth="1"/>
    <col min="2" max="2" width="6.7109375" style="1111" hidden="1" customWidth="1"/>
    <col min="3" max="4" width="3.5703125" style="1128" hidden="1" customWidth="1"/>
    <col min="5" max="5" width="7.85546875" style="1081" hidden="1" customWidth="1"/>
    <col min="6" max="19" width="3.5703125" style="1128" hidden="1" customWidth="1"/>
    <col min="20" max="20" width="11.140625" style="1128" hidden="1" customWidth="1"/>
    <col min="21" max="21" width="5.85546875" style="1128" hidden="1" customWidth="1"/>
    <col min="22" max="23" width="6.140625" style="1128" hidden="1" customWidth="1"/>
    <col min="24" max="25" width="5.5703125" style="1128" hidden="1" customWidth="1"/>
    <col min="26" max="26" width="5.28515625" style="1128" hidden="1" customWidth="1"/>
    <col min="27" max="27" width="3" style="1128" customWidth="1"/>
    <col min="28" max="28" width="11" style="1128" customWidth="1"/>
    <col min="29" max="29" width="41.7109375" style="1128" customWidth="1"/>
    <col min="30" max="30" width="11" style="1333" customWidth="1"/>
    <col min="31" max="35" width="12.5703125" style="1333" customWidth="1"/>
    <col min="36" max="44" width="12.5703125" style="1333" hidden="1" customWidth="1"/>
    <col min="45" max="45" width="12.5703125" style="1333" customWidth="1"/>
    <col min="46" max="54" width="12.5703125" style="1333" hidden="1" customWidth="1"/>
    <col min="55" max="55" width="20" style="1128" customWidth="1"/>
    <col min="56" max="56" width="3" style="1128" customWidth="1"/>
    <col min="57" max="57" width="8.7109375" style="1128" hidden="1"/>
    <col min="58" max="58" width="8.7109375" style="1082" hidden="1"/>
  </cols>
  <sheetData>
    <row r="1" spans="1:58" ht="11.25" hidden="1" customHeight="1" x14ac:dyDescent="0.15">
      <c r="E1" s="23"/>
      <c r="F1" s="23" t="s">
        <v>319</v>
      </c>
      <c r="G1" s="23" t="s">
        <v>330</v>
      </c>
      <c r="T1" s="388" t="s">
        <v>92</v>
      </c>
      <c r="U1" s="388" t="s">
        <v>97</v>
      </c>
      <c r="V1" s="388" t="s">
        <v>93</v>
      </c>
      <c r="W1" s="388" t="s">
        <v>94</v>
      </c>
      <c r="X1" s="388" t="s">
        <v>95</v>
      </c>
      <c r="Y1" s="390" t="s">
        <v>321</v>
      </c>
      <c r="Z1" s="388" t="s">
        <v>99</v>
      </c>
      <c r="AA1" s="389" t="s">
        <v>96</v>
      </c>
      <c r="AB1" s="4"/>
      <c r="AC1" s="389" t="s">
        <v>98</v>
      </c>
      <c r="BF1" s="909" t="s">
        <v>322</v>
      </c>
    </row>
    <row r="2" spans="1:58" s="1111" customFormat="1" ht="11.25" hidden="1" customHeight="1" x14ac:dyDescent="0.15">
      <c r="B2" s="368" t="s">
        <v>18</v>
      </c>
      <c r="AI2" s="368" t="b">
        <f t="shared" ref="AI2:BB2" si="0">AI6&lt;=last_year_vis</f>
        <v>1</v>
      </c>
      <c r="AJ2" s="368" t="b">
        <f t="shared" si="0"/>
        <v>0</v>
      </c>
      <c r="AK2" s="368" t="b">
        <f t="shared" si="0"/>
        <v>0</v>
      </c>
      <c r="AL2" s="368" t="b">
        <f t="shared" si="0"/>
        <v>0</v>
      </c>
      <c r="AM2" s="368" t="b">
        <f t="shared" si="0"/>
        <v>0</v>
      </c>
      <c r="AN2" s="368" t="b">
        <f t="shared" si="0"/>
        <v>0</v>
      </c>
      <c r="AO2" s="368" t="b">
        <f t="shared" si="0"/>
        <v>0</v>
      </c>
      <c r="AP2" s="368" t="b">
        <f t="shared" si="0"/>
        <v>0</v>
      </c>
      <c r="AQ2" s="368" t="b">
        <f t="shared" si="0"/>
        <v>0</v>
      </c>
      <c r="AR2" s="368" t="b">
        <f t="shared" si="0"/>
        <v>0</v>
      </c>
      <c r="AS2" s="368" t="b">
        <f t="shared" si="0"/>
        <v>1</v>
      </c>
      <c r="AT2" s="368" t="b">
        <f t="shared" si="0"/>
        <v>0</v>
      </c>
      <c r="AU2" s="368" t="b">
        <f t="shared" si="0"/>
        <v>0</v>
      </c>
      <c r="AV2" s="368" t="b">
        <f t="shared" si="0"/>
        <v>0</v>
      </c>
      <c r="AW2" s="368" t="b">
        <f t="shared" si="0"/>
        <v>0</v>
      </c>
      <c r="AX2" s="368" t="b">
        <f t="shared" si="0"/>
        <v>0</v>
      </c>
      <c r="AY2" s="368" t="b">
        <f t="shared" si="0"/>
        <v>0</v>
      </c>
      <c r="AZ2" s="368" t="b">
        <f t="shared" si="0"/>
        <v>0</v>
      </c>
      <c r="BA2" s="368" t="b">
        <f t="shared" si="0"/>
        <v>0</v>
      </c>
      <c r="BB2" s="368" t="b">
        <f t="shared" si="0"/>
        <v>0</v>
      </c>
      <c r="BF2" s="918"/>
    </row>
    <row r="3" spans="1:58" ht="11.25" hidden="1" customHeight="1" x14ac:dyDescent="0.15">
      <c r="E3" s="23"/>
    </row>
    <row r="4" spans="1:58" ht="11.25" hidden="1" customHeight="1" x14ac:dyDescent="0.15">
      <c r="E4" s="23"/>
    </row>
    <row r="5" spans="1:58" s="1081" customFormat="1" ht="11.25" hidden="1" customHeight="1" x14ac:dyDescent="0.15">
      <c r="A5" s="23"/>
      <c r="B5" s="350"/>
      <c r="C5" s="23"/>
      <c r="D5" s="23"/>
      <c r="E5" s="552" t="s">
        <v>19</v>
      </c>
      <c r="T5" s="543"/>
      <c r="AA5" s="552">
        <v>3</v>
      </c>
      <c r="AB5" s="552">
        <v>11</v>
      </c>
      <c r="AC5" s="552">
        <v>41.71</v>
      </c>
      <c r="AD5" s="594">
        <v>11</v>
      </c>
      <c r="AE5" s="594">
        <v>12.57</v>
      </c>
      <c r="AF5" s="594">
        <v>12.57</v>
      </c>
      <c r="AG5" s="594">
        <v>12.57</v>
      </c>
      <c r="AH5" s="594">
        <v>12.57</v>
      </c>
      <c r="AI5" s="594">
        <v>12.57</v>
      </c>
      <c r="AJ5" s="594">
        <v>12.57</v>
      </c>
      <c r="AK5" s="594">
        <v>12.57</v>
      </c>
      <c r="AL5" s="594">
        <v>12.57</v>
      </c>
      <c r="AM5" s="594">
        <v>12.57</v>
      </c>
      <c r="AN5" s="594">
        <v>12.57</v>
      </c>
      <c r="AO5" s="594">
        <v>12.57</v>
      </c>
      <c r="AP5" s="594">
        <v>12.57</v>
      </c>
      <c r="AQ5" s="594">
        <v>12.57</v>
      </c>
      <c r="AR5" s="594">
        <v>12.57</v>
      </c>
      <c r="AS5" s="594">
        <v>12.57</v>
      </c>
      <c r="AT5" s="594">
        <v>12.57</v>
      </c>
      <c r="AU5" s="594">
        <v>12.57</v>
      </c>
      <c r="AV5" s="594">
        <v>12.57</v>
      </c>
      <c r="AW5" s="594">
        <v>12.57</v>
      </c>
      <c r="AX5" s="594">
        <v>12.57</v>
      </c>
      <c r="AY5" s="594">
        <v>12.57</v>
      </c>
      <c r="AZ5" s="594">
        <v>12.57</v>
      </c>
      <c r="BA5" s="594">
        <v>12.57</v>
      </c>
      <c r="BB5" s="594">
        <v>12.57</v>
      </c>
      <c r="BC5" s="552">
        <v>20</v>
      </c>
      <c r="BD5" s="552">
        <v>3</v>
      </c>
      <c r="BF5" s="909"/>
    </row>
    <row r="6" spans="1:58" ht="11.25" hidden="1" customHeight="1" x14ac:dyDescent="0.15">
      <c r="A6" s="23" t="s">
        <v>357</v>
      </c>
      <c r="AE6" s="47">
        <f>god-2</f>
        <v>2024</v>
      </c>
      <c r="AF6" s="47">
        <f>god-2</f>
        <v>2024</v>
      </c>
      <c r="AG6" s="47">
        <f>god-2</f>
        <v>2024</v>
      </c>
      <c r="AH6" s="4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x14ac:dyDescent="0.15">
      <c r="A7" s="23" t="s">
        <v>358</v>
      </c>
      <c r="AE7" s="291" t="str" cm="1">
        <f t="array" ref="AE7">AE25</f>
        <v>Принято органом регулирования</v>
      </c>
      <c r="AF7" s="291" t="str" cm="1">
        <f t="array" ref="AF7">AF25</f>
        <v>Факт по данным организации</v>
      </c>
      <c r="AG7" s="291" t="str" cm="1">
        <f t="array" ref="AG7">AG25</f>
        <v>Факт, принятый органом регулирования</v>
      </c>
      <c r="AH7" s="291" t="str" cm="1">
        <f t="array" ref="AH7">AH25</f>
        <v>Принято органом регулирования</v>
      </c>
      <c r="AI7" s="291" t="str" cm="1">
        <f t="array" ref="AI7">AI25</f>
        <v>Предложение организации</v>
      </c>
      <c r="AJ7" s="291" t="str" cm="1">
        <f t="array" ref="AJ7">AJ25</f>
        <v>Предложение организации</v>
      </c>
      <c r="AK7" s="291" t="str" cm="1">
        <f t="array" ref="AK7">AK25</f>
        <v>Предложение организации</v>
      </c>
      <c r="AL7" s="291" t="str" cm="1">
        <f t="array" ref="AL7">AL25</f>
        <v>Предложение организации</v>
      </c>
      <c r="AM7" s="291" t="str" cm="1">
        <f t="array" ref="AM7">AM25</f>
        <v>Предложение организации</v>
      </c>
      <c r="AN7" s="291" t="str" cm="1">
        <f t="array" ref="AN7">AN25</f>
        <v>Предложение организации</v>
      </c>
      <c r="AO7" s="291" t="str" cm="1">
        <f t="array" ref="AO7">AO25</f>
        <v>Предложение организации</v>
      </c>
      <c r="AP7" s="291" t="str" cm="1">
        <f t="array" ref="AP7">AP25</f>
        <v>Предложение организации</v>
      </c>
      <c r="AQ7" s="291" t="str" cm="1">
        <f t="array" ref="AQ7">AQ25</f>
        <v>Предложение организации</v>
      </c>
      <c r="AR7" s="291" t="str" cm="1">
        <f t="array" ref="AR7">AR25</f>
        <v>Предложение организации</v>
      </c>
      <c r="AS7" s="291" t="str" cm="1">
        <f t="array" ref="AS7">AS25</f>
        <v>Принято органом регулирования</v>
      </c>
      <c r="AT7" s="291" t="str" cm="1">
        <f t="array" ref="AT7">AT25</f>
        <v>Принято органом регулирования</v>
      </c>
      <c r="AU7" s="291" t="str" cm="1">
        <f t="array" ref="AU7">AU25</f>
        <v>Принято органом регулирования</v>
      </c>
      <c r="AV7" s="291" t="str" cm="1">
        <f t="array" ref="AV7">AV25</f>
        <v>Принято органом регулирования</v>
      </c>
      <c r="AW7" s="291" t="str" cm="1">
        <f t="array" ref="AW7">AW25</f>
        <v>Принято органом регулирования</v>
      </c>
      <c r="AX7" s="291" t="str" cm="1">
        <f t="array" ref="AX7">AX25</f>
        <v>Принято органом регулирования</v>
      </c>
      <c r="AY7" s="291" t="str" cm="1">
        <f t="array" ref="AY7">AY25</f>
        <v>Принято органом регулирования</v>
      </c>
      <c r="AZ7" s="291" t="str" cm="1">
        <f t="array" ref="AZ7">AZ25</f>
        <v>Принято органом регулирования</v>
      </c>
      <c r="BA7" s="291" t="str" cm="1">
        <f t="array" ref="BA7">BA25</f>
        <v>Принято органом регулирования</v>
      </c>
      <c r="BB7" s="291" t="str" cm="1">
        <f t="array" ref="BB7">BB25</f>
        <v>Принято органом регулирования</v>
      </c>
    </row>
    <row r="8" spans="1:58" ht="11.25" hidden="1" customHeight="1" x14ac:dyDescent="0.15"/>
    <row r="9" spans="1:58" s="1082" customFormat="1" ht="11.25" hidden="1" customHeight="1" x14ac:dyDescent="0.15">
      <c r="A9" s="924" t="s">
        <v>362</v>
      </c>
      <c r="B9" s="918"/>
      <c r="AD9" s="942"/>
      <c r="AE9" s="942" cm="1">
        <f t="array" ref="AE9">AE6</f>
        <v>2024</v>
      </c>
      <c r="AF9" s="942" cm="1">
        <f t="array" ref="AF9">AF6</f>
        <v>2024</v>
      </c>
      <c r="AG9" s="942" cm="1">
        <f t="array" ref="AG9">AG6</f>
        <v>2024</v>
      </c>
      <c r="AH9" s="942" cm="1">
        <f t="array" ref="AH9">AH6</f>
        <v>2025</v>
      </c>
      <c r="AI9" s="942" cm="1">
        <f t="array" ref="AI9">AI6</f>
        <v>2026</v>
      </c>
      <c r="AJ9" s="942" cm="1">
        <f t="array" ref="AJ9">AJ6</f>
        <v>2027</v>
      </c>
      <c r="AK9" s="942" cm="1">
        <f t="array" ref="AK9">AK6</f>
        <v>2028</v>
      </c>
      <c r="AL9" s="942" cm="1">
        <f t="array" ref="AL9">AL6</f>
        <v>2029</v>
      </c>
      <c r="AM9" s="942" cm="1">
        <f t="array" ref="AM9">AM6</f>
        <v>2030</v>
      </c>
      <c r="AN9" s="942" cm="1">
        <f t="array" ref="AN9">AN6</f>
        <v>2031</v>
      </c>
      <c r="AO9" s="942" cm="1">
        <f t="array" ref="AO9">AO6</f>
        <v>2032</v>
      </c>
      <c r="AP9" s="942" cm="1">
        <f t="array" ref="AP9">AP6</f>
        <v>2033</v>
      </c>
      <c r="AQ9" s="942" cm="1">
        <f t="array" ref="AQ9">AQ6</f>
        <v>2034</v>
      </c>
      <c r="AR9" s="942" cm="1">
        <f t="array" ref="AR9">AR6</f>
        <v>2035</v>
      </c>
      <c r="AS9" s="942" cm="1">
        <f t="array" ref="AS9">AS6</f>
        <v>2026</v>
      </c>
      <c r="AT9" s="942" cm="1">
        <f t="array" ref="AT9">AT6</f>
        <v>2027</v>
      </c>
      <c r="AU9" s="942" cm="1">
        <f t="array" ref="AU9">AU6</f>
        <v>2028</v>
      </c>
      <c r="AV9" s="942" cm="1">
        <f t="array" ref="AV9">AV6</f>
        <v>2029</v>
      </c>
      <c r="AW9" s="942" cm="1">
        <f t="array" ref="AW9">AW6</f>
        <v>2030</v>
      </c>
      <c r="AX9" s="942" cm="1">
        <f t="array" ref="AX9">AX6</f>
        <v>2031</v>
      </c>
      <c r="AY9" s="942" cm="1">
        <f t="array" ref="AY9">AY6</f>
        <v>2032</v>
      </c>
      <c r="AZ9" s="942" cm="1">
        <f t="array" ref="AZ9">AZ6</f>
        <v>2033</v>
      </c>
      <c r="BA9" s="942" cm="1">
        <f t="array" ref="BA9">BA6</f>
        <v>2034</v>
      </c>
      <c r="BB9" s="942" cm="1">
        <f t="array" ref="BB9">BB6</f>
        <v>2035</v>
      </c>
    </row>
    <row r="10" spans="1:58" s="1082" customFormat="1" ht="11.25" hidden="1" customHeight="1" x14ac:dyDescent="0.15">
      <c r="A10" s="924" t="s">
        <v>363</v>
      </c>
      <c r="B10" s="918"/>
      <c r="AD10" s="942"/>
      <c r="AE10" s="942" t="str" cm="1">
        <f t="array" ref="AE10">AE25</f>
        <v>Принято органом регулирования</v>
      </c>
      <c r="AF10" s="942" t="str" cm="1">
        <f t="array" ref="AF10">AF25</f>
        <v>Факт по данным организации</v>
      </c>
      <c r="AG10" s="942" t="str" cm="1">
        <f t="array" ref="AG10">AG25</f>
        <v>Факт, принятый органом регулирования</v>
      </c>
      <c r="AH10" s="942" t="str" cm="1">
        <f t="array" ref="AH10">AH25</f>
        <v>Принято органом регулирования</v>
      </c>
      <c r="AI10" s="942" t="str" cm="1">
        <f t="array" ref="AI10">AI25</f>
        <v>Предложение организации</v>
      </c>
      <c r="AJ10" s="942" t="str" cm="1">
        <f t="array" ref="AJ10">AJ25</f>
        <v>Предложение организации</v>
      </c>
      <c r="AK10" s="942" t="str" cm="1">
        <f t="array" ref="AK10">AK25</f>
        <v>Предложение организации</v>
      </c>
      <c r="AL10" s="942" t="str" cm="1">
        <f t="array" ref="AL10">AL25</f>
        <v>Предложение организации</v>
      </c>
      <c r="AM10" s="942" t="str" cm="1">
        <f t="array" ref="AM10">AM25</f>
        <v>Предложение организации</v>
      </c>
      <c r="AN10" s="942" t="str" cm="1">
        <f t="array" ref="AN10">AN25</f>
        <v>Предложение организации</v>
      </c>
      <c r="AO10" s="942" t="str" cm="1">
        <f t="array" ref="AO10">AO25</f>
        <v>Предложение организации</v>
      </c>
      <c r="AP10" s="942" t="str" cm="1">
        <f t="array" ref="AP10">AP25</f>
        <v>Предложение организации</v>
      </c>
      <c r="AQ10" s="942" t="str" cm="1">
        <f t="array" ref="AQ10">AQ25</f>
        <v>Предложение организации</v>
      </c>
      <c r="AR10" s="942" t="str" cm="1">
        <f t="array" ref="AR10">AR25</f>
        <v>Предложение организации</v>
      </c>
      <c r="AS10" s="942" t="str" cm="1">
        <f t="array" ref="AS10">AS25</f>
        <v>Принято органом регулирования</v>
      </c>
      <c r="AT10" s="942" t="str" cm="1">
        <f t="array" ref="AT10">AT25</f>
        <v>Принято органом регулирования</v>
      </c>
      <c r="AU10" s="942" t="str" cm="1">
        <f t="array" ref="AU10">AU25</f>
        <v>Принято органом регулирования</v>
      </c>
      <c r="AV10" s="942" t="str" cm="1">
        <f t="array" ref="AV10">AV25</f>
        <v>Принято органом регулирования</v>
      </c>
      <c r="AW10" s="942" t="str" cm="1">
        <f t="array" ref="AW10">AW25</f>
        <v>Принято органом регулирования</v>
      </c>
      <c r="AX10" s="942" t="str" cm="1">
        <f t="array" ref="AX10">AX25</f>
        <v>Принято органом регулирования</v>
      </c>
      <c r="AY10" s="942" t="str" cm="1">
        <f t="array" ref="AY10">AY25</f>
        <v>Принято органом регулирования</v>
      </c>
      <c r="AZ10" s="942" t="str" cm="1">
        <f t="array" ref="AZ10">AZ25</f>
        <v>Принято органом регулирования</v>
      </c>
      <c r="BA10" s="942" t="str" cm="1">
        <f t="array" ref="BA10">BA25</f>
        <v>Принято органом регулирования</v>
      </c>
      <c r="BB10" s="942" t="str" cm="1">
        <f t="array" ref="BB10">BB25</f>
        <v>Принято органом регулирования</v>
      </c>
    </row>
    <row r="11" spans="1:58" s="1082" customFormat="1" ht="11.25" hidden="1" customHeight="1" x14ac:dyDescent="0.15">
      <c r="A11" s="924" t="s">
        <v>364</v>
      </c>
      <c r="B11" s="918"/>
      <c r="AD11" s="942"/>
      <c r="AE11" s="942"/>
      <c r="AF11" s="942"/>
      <c r="AG11" s="942"/>
      <c r="AH11" s="942"/>
      <c r="AI11" s="942"/>
      <c r="AJ11" s="942"/>
      <c r="AK11" s="942"/>
      <c r="AL11" s="942"/>
      <c r="AM11" s="942"/>
      <c r="AN11" s="942"/>
      <c r="AO11" s="942"/>
      <c r="AP11" s="942"/>
      <c r="AQ11" s="942"/>
      <c r="AR11" s="942"/>
      <c r="AS11" s="942"/>
      <c r="AT11" s="942"/>
      <c r="AU11" s="942"/>
      <c r="AV11" s="942"/>
      <c r="AW11" s="942"/>
      <c r="AX11" s="942"/>
      <c r="AY11" s="942"/>
      <c r="AZ11" s="942"/>
      <c r="BA11" s="942"/>
      <c r="BB11" s="942"/>
      <c r="BC11" s="909" t="str" cm="1">
        <f t="array" ref="BC11">BC24</f>
        <v>Ссылка на правовую норму (основание для принятия показателя в расчет тарифа)</v>
      </c>
    </row>
    <row r="12" spans="1:58" ht="11.25" hidden="1" customHeight="1" x14ac:dyDescent="0.15"/>
    <row r="13" spans="1:58"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2:58" ht="11.25" hidden="1" customHeight="1" x14ac:dyDescent="0.15"/>
    <row r="18" spans="2:58" ht="11.25" hidden="1" customHeight="1" x14ac:dyDescent="0.15"/>
    <row r="19" spans="2:58" ht="11.25" hidden="1" customHeight="1" x14ac:dyDescent="0.15"/>
    <row r="20" spans="2:58" ht="11.25" hidden="1" customHeight="1" x14ac:dyDescent="0.15"/>
    <row r="21" spans="2:58" ht="14.65" customHeight="1" x14ac:dyDescent="0.15">
      <c r="E21" s="552">
        <v>15</v>
      </c>
      <c r="AA21" s="347"/>
      <c r="AC21" s="3" t="str" cm="1">
        <f t="array" ref="AC21">tpl_title</f>
        <v>Кемеровская область / 2026 / ООО "Чистая вода" (ИНН:4246023100, КПП:424601001) / ДПР: 2024-2032</v>
      </c>
    </row>
    <row r="22" spans="2:58" ht="19.5" customHeight="1" x14ac:dyDescent="0.25">
      <c r="E22" s="552">
        <v>20</v>
      </c>
      <c r="AB22" s="236" t="s">
        <v>906</v>
      </c>
      <c r="AC22" s="125"/>
      <c r="AD22" s="128"/>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7"/>
    </row>
    <row r="23" spans="2:58" ht="10.7" customHeight="1" x14ac:dyDescent="0.15">
      <c r="E23" s="552">
        <v>11</v>
      </c>
      <c r="AB23" s="2051"/>
      <c r="AC23" s="2051"/>
      <c r="AD23" s="2051"/>
      <c r="AE23" s="2051"/>
      <c r="AF23" s="2051"/>
      <c r="AG23" s="2051"/>
      <c r="AH23" s="2051"/>
      <c r="AI23" s="2051"/>
      <c r="AJ23" s="2051"/>
      <c r="AK23" s="2051"/>
      <c r="AL23" s="2051"/>
      <c r="AM23" s="2051"/>
      <c r="AN23" s="2051"/>
      <c r="AO23" s="2051"/>
      <c r="AP23" s="2051"/>
      <c r="AQ23" s="2051"/>
      <c r="AR23" s="2051"/>
      <c r="AS23" s="2051"/>
      <c r="AT23" s="2051"/>
      <c r="AU23" s="2051"/>
      <c r="AV23" s="2051"/>
      <c r="AW23" s="2051"/>
      <c r="AX23" s="2051"/>
      <c r="AY23" s="2051"/>
      <c r="AZ23" s="2051"/>
      <c r="BA23" s="2051"/>
      <c r="BB23" s="2051"/>
    </row>
    <row r="24" spans="2:58" ht="14.65" customHeight="1" x14ac:dyDescent="0.15">
      <c r="E24" s="552">
        <v>15</v>
      </c>
      <c r="AB24" s="2035" t="s">
        <v>813</v>
      </c>
      <c r="AC24" s="2083" t="s">
        <v>194</v>
      </c>
      <c r="AD24" s="2035" t="s">
        <v>367</v>
      </c>
      <c r="AE24" s="275" t="str">
        <f>god-2&amp;" год"</f>
        <v>2024 год</v>
      </c>
      <c r="AF24" s="1029" t="str">
        <f>god-2&amp;" год"</f>
        <v>2024 год</v>
      </c>
      <c r="AG24" s="275" t="str">
        <f>god-2&amp;" год"</f>
        <v>2024 год</v>
      </c>
      <c r="AH24" s="13" t="str">
        <f>god-1&amp;" год"</f>
        <v>2025 год</v>
      </c>
      <c r="AI24" s="1026" t="str">
        <f>god&amp;" год"</f>
        <v>2026 год</v>
      </c>
      <c r="AJ24" s="1026" t="str">
        <f>god+1&amp;" год"</f>
        <v>2027 год</v>
      </c>
      <c r="AK24" s="1026" t="str">
        <f>god+2&amp;" год"</f>
        <v>2028 год</v>
      </c>
      <c r="AL24" s="1026" t="str">
        <f>god+3&amp;" год"</f>
        <v>2029 год</v>
      </c>
      <c r="AM24" s="1026" t="str">
        <f>god+4&amp;" год"</f>
        <v>2030 год</v>
      </c>
      <c r="AN24" s="1026" t="str">
        <f>god+5&amp;" год"</f>
        <v>2031 год</v>
      </c>
      <c r="AO24" s="1026" t="str">
        <f>god+6&amp;" год"</f>
        <v>2032 год</v>
      </c>
      <c r="AP24" s="1026" t="str">
        <f>god+7&amp;" год"</f>
        <v>2033 год</v>
      </c>
      <c r="AQ24" s="1026" t="str">
        <f>god+8&amp;" год"</f>
        <v>2034 год</v>
      </c>
      <c r="AR24" s="1026"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084" t="s">
        <v>558</v>
      </c>
    </row>
    <row r="25" spans="2:58" ht="48.75" customHeight="1" x14ac:dyDescent="0.15">
      <c r="E25" s="552">
        <v>50</v>
      </c>
      <c r="AB25" s="2035"/>
      <c r="AC25" s="2083"/>
      <c r="AD25" s="2035"/>
      <c r="AE25" s="11" t="s">
        <v>359</v>
      </c>
      <c r="AF25" s="1026" t="s">
        <v>484</v>
      </c>
      <c r="AG25" s="11" t="s">
        <v>485</v>
      </c>
      <c r="AH25" s="11" t="s">
        <v>359</v>
      </c>
      <c r="AI25" s="1030" t="s">
        <v>360</v>
      </c>
      <c r="AJ25" s="1030" t="s">
        <v>360</v>
      </c>
      <c r="AK25" s="1030" t="s">
        <v>360</v>
      </c>
      <c r="AL25" s="1030" t="s">
        <v>360</v>
      </c>
      <c r="AM25" s="1030" t="s">
        <v>360</v>
      </c>
      <c r="AN25" s="1030" t="s">
        <v>360</v>
      </c>
      <c r="AO25" s="1030" t="s">
        <v>360</v>
      </c>
      <c r="AP25" s="1030" t="s">
        <v>360</v>
      </c>
      <c r="AQ25" s="1030" t="s">
        <v>360</v>
      </c>
      <c r="AR25" s="1030" t="s">
        <v>360</v>
      </c>
      <c r="AS25" s="276" t="s">
        <v>359</v>
      </c>
      <c r="AT25" s="276" t="s">
        <v>359</v>
      </c>
      <c r="AU25" s="276" t="s">
        <v>359</v>
      </c>
      <c r="AV25" s="276" t="s">
        <v>359</v>
      </c>
      <c r="AW25" s="276" t="s">
        <v>359</v>
      </c>
      <c r="AX25" s="276" t="s">
        <v>359</v>
      </c>
      <c r="AY25" s="276" t="s">
        <v>359</v>
      </c>
      <c r="AZ25" s="276" t="s">
        <v>359</v>
      </c>
      <c r="BA25" s="276" t="s">
        <v>359</v>
      </c>
      <c r="BB25" s="276" t="s">
        <v>359</v>
      </c>
      <c r="BC25" s="2085"/>
    </row>
    <row r="26" spans="2:58" s="1334" customFormat="1" ht="11.25" customHeight="1" x14ac:dyDescent="0.15">
      <c r="B26" s="352"/>
      <c r="E26" s="595" t="s">
        <v>370</v>
      </c>
      <c r="F26" s="91" t="s">
        <v>907</v>
      </c>
      <c r="T26"/>
      <c r="AC26" s="19"/>
      <c r="AD26" s="19"/>
      <c r="AE26" s="19"/>
      <c r="AF26" s="19"/>
      <c r="AQ26" s="20"/>
      <c r="BF26" s="913"/>
    </row>
    <row r="27" spans="2:58" ht="14.65" hidden="1" customHeight="1" x14ac:dyDescent="0.15">
      <c r="E27" s="552">
        <v>15</v>
      </c>
      <c r="F27" s="641" cm="1">
        <f t="array" ref="F27">X27</f>
        <v>0</v>
      </c>
      <c r="T27" s="388" t="b">
        <f>X27&gt;0</f>
        <v>0</v>
      </c>
      <c r="V27" s="23" t="s">
        <v>271</v>
      </c>
      <c r="X27" s="2066">
        <v>0</v>
      </c>
      <c r="Z27" s="2067"/>
      <c r="AB27" s="102" t="str" cm="1">
        <f t="array" ref="AB27">INDEX('Общие сведения'!$AG$185:$AG$228,MATCH($X27,'Общие сведения'!$Z$185:$Z$228,0))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129"/>
    </row>
    <row r="28" spans="2:58" s="448" customFormat="1" ht="21.95" hidden="1" customHeight="1" x14ac:dyDescent="0.15">
      <c r="B28" s="353"/>
      <c r="E28" s="593">
        <v>22.5</v>
      </c>
      <c r="F28" s="3" cm="1">
        <f t="array" aca="1" ref="F28" ca="1">OFFSET(E28,-1,1)</f>
        <v>0</v>
      </c>
      <c r="G28" s="23" t="s">
        <v>331</v>
      </c>
      <c r="T28" s="388" t="b" cm="1">
        <f t="array" ref="T28">T27</f>
        <v>0</v>
      </c>
      <c r="X28" s="2066"/>
      <c r="Z28" s="2067"/>
      <c r="AB28" s="130">
        <v>1</v>
      </c>
      <c r="AC28" s="131" t="s">
        <v>908</v>
      </c>
      <c r="AD28" s="8" t="s">
        <v>831</v>
      </c>
      <c r="AE28" s="1402">
        <f t="shared" ref="AE28:BB28" si="1">SUM(AE29:AE33)</f>
        <v>0</v>
      </c>
      <c r="AF28" s="1402">
        <f t="shared" si="1"/>
        <v>0</v>
      </c>
      <c r="AG28" s="1402">
        <f t="shared" si="1"/>
        <v>0</v>
      </c>
      <c r="AH28" s="1402">
        <f t="shared" si="1"/>
        <v>0</v>
      </c>
      <c r="AI28" s="1105">
        <f t="shared" si="1"/>
        <v>0</v>
      </c>
      <c r="AJ28" s="1402">
        <f t="shared" si="1"/>
        <v>0</v>
      </c>
      <c r="AK28" s="1402">
        <f t="shared" si="1"/>
        <v>0</v>
      </c>
      <c r="AL28" s="1402">
        <f t="shared" si="1"/>
        <v>0</v>
      </c>
      <c r="AM28" s="1402">
        <f t="shared" si="1"/>
        <v>0</v>
      </c>
      <c r="AN28" s="1402">
        <f t="shared" si="1"/>
        <v>0</v>
      </c>
      <c r="AO28" s="1402">
        <f t="shared" si="1"/>
        <v>0</v>
      </c>
      <c r="AP28" s="1402">
        <f t="shared" si="1"/>
        <v>0</v>
      </c>
      <c r="AQ28" s="1402">
        <f t="shared" si="1"/>
        <v>0</v>
      </c>
      <c r="AR28" s="1402">
        <f t="shared" si="1"/>
        <v>0</v>
      </c>
      <c r="AS28" s="1105">
        <f t="shared" si="1"/>
        <v>0</v>
      </c>
      <c r="AT28" s="1402">
        <f t="shared" si="1"/>
        <v>0</v>
      </c>
      <c r="AU28" s="1402">
        <f t="shared" si="1"/>
        <v>0</v>
      </c>
      <c r="AV28" s="1402">
        <f t="shared" si="1"/>
        <v>0</v>
      </c>
      <c r="AW28" s="1402">
        <f t="shared" si="1"/>
        <v>0</v>
      </c>
      <c r="AX28" s="1402">
        <f t="shared" si="1"/>
        <v>0</v>
      </c>
      <c r="AY28" s="1402">
        <f t="shared" si="1"/>
        <v>0</v>
      </c>
      <c r="AZ28" s="1402">
        <f t="shared" si="1"/>
        <v>0</v>
      </c>
      <c r="BA28" s="1402">
        <f t="shared" si="1"/>
        <v>0</v>
      </c>
      <c r="BB28" s="1402">
        <f t="shared" si="1"/>
        <v>0</v>
      </c>
      <c r="BC28" s="1365"/>
      <c r="BF28" s="943" t="s">
        <v>909</v>
      </c>
    </row>
    <row r="29" spans="2:58" ht="14.65" hidden="1" customHeight="1" x14ac:dyDescent="0.15">
      <c r="E29" s="552">
        <v>15</v>
      </c>
      <c r="F29" s="3" cm="1">
        <f t="array" aca="1" ref="F29" ca="1">OFFSET(E29,-1,1)</f>
        <v>0</v>
      </c>
      <c r="G29" s="23" t="s">
        <v>494</v>
      </c>
      <c r="T29" s="388" t="b" cm="1">
        <f t="array" ref="T29">T28</f>
        <v>0</v>
      </c>
      <c r="X29" s="2066"/>
      <c r="Z29" s="2067"/>
      <c r="AB29" s="7" t="s">
        <v>910</v>
      </c>
      <c r="AC29" s="133" t="s">
        <v>911</v>
      </c>
      <c r="AD29" s="8" t="s">
        <v>831</v>
      </c>
      <c r="AE29" s="1403"/>
      <c r="AF29" s="1403"/>
      <c r="AG29" s="1403"/>
      <c r="AH29" s="1403"/>
      <c r="AI29" s="134"/>
      <c r="AJ29" s="1403"/>
      <c r="AK29" s="1403"/>
      <c r="AL29" s="1403"/>
      <c r="AM29" s="1403"/>
      <c r="AN29" s="1403"/>
      <c r="AO29" s="1403"/>
      <c r="AP29" s="1403"/>
      <c r="AQ29" s="1403"/>
      <c r="AR29" s="1403"/>
      <c r="AS29" s="134"/>
      <c r="AT29" s="1403"/>
      <c r="AU29" s="1403"/>
      <c r="AV29" s="1403"/>
      <c r="AW29" s="1403"/>
      <c r="AX29" s="1403"/>
      <c r="AY29" s="1403"/>
      <c r="AZ29" s="1403"/>
      <c r="BA29" s="1403"/>
      <c r="BB29" s="1403"/>
      <c r="BC29" s="1365"/>
      <c r="BF29" s="943" t="s">
        <v>912</v>
      </c>
    </row>
    <row r="30" spans="2:58" ht="14.65" hidden="1" customHeight="1" x14ac:dyDescent="0.15">
      <c r="E30" s="552">
        <v>15</v>
      </c>
      <c r="F30" s="3" cm="1">
        <f t="array" aca="1" ref="F30" ca="1">OFFSET(E30,-1,1)</f>
        <v>0</v>
      </c>
      <c r="G30" s="23" t="s">
        <v>498</v>
      </c>
      <c r="T30" s="388" t="b" cm="1">
        <f t="array" ref="T30">T29</f>
        <v>0</v>
      </c>
      <c r="X30" s="2066"/>
      <c r="Z30" s="2067"/>
      <c r="AB30" s="7" t="s">
        <v>913</v>
      </c>
      <c r="AC30" s="133" t="s">
        <v>914</v>
      </c>
      <c r="AD30" s="8" t="s">
        <v>831</v>
      </c>
      <c r="AE30" s="1403"/>
      <c r="AF30" s="1403"/>
      <c r="AG30" s="1403"/>
      <c r="AH30" s="1403"/>
      <c r="AI30" s="134"/>
      <c r="AJ30" s="1403"/>
      <c r="AK30" s="1403"/>
      <c r="AL30" s="1403"/>
      <c r="AM30" s="1403"/>
      <c r="AN30" s="1403"/>
      <c r="AO30" s="1403"/>
      <c r="AP30" s="1403"/>
      <c r="AQ30" s="1403"/>
      <c r="AR30" s="1403"/>
      <c r="AS30" s="134"/>
      <c r="AT30" s="1403"/>
      <c r="AU30" s="1403"/>
      <c r="AV30" s="1403"/>
      <c r="AW30" s="1403"/>
      <c r="AX30" s="1403"/>
      <c r="AY30" s="1403"/>
      <c r="AZ30" s="1403"/>
      <c r="BA30" s="1403"/>
      <c r="BB30" s="1403"/>
      <c r="BC30" s="1365"/>
      <c r="BF30" s="943" t="s">
        <v>915</v>
      </c>
    </row>
    <row r="31" spans="2:58" ht="14.65" hidden="1" customHeight="1" x14ac:dyDescent="0.15">
      <c r="E31" s="552">
        <v>15</v>
      </c>
      <c r="F31" s="3" cm="1">
        <f t="array" aca="1" ref="F31" ca="1">OFFSET(E31,-1,1)</f>
        <v>0</v>
      </c>
      <c r="G31" s="23" t="s">
        <v>501</v>
      </c>
      <c r="T31" s="388" t="b" cm="1">
        <f t="array" ref="T31">T30</f>
        <v>0</v>
      </c>
      <c r="X31" s="2066"/>
      <c r="Z31" s="2067"/>
      <c r="AB31" s="7" t="s">
        <v>916</v>
      </c>
      <c r="AC31" s="133" t="s">
        <v>917</v>
      </c>
      <c r="AD31" s="8" t="s">
        <v>831</v>
      </c>
      <c r="AE31" s="1403"/>
      <c r="AF31" s="1403"/>
      <c r="AG31" s="1403"/>
      <c r="AH31" s="1403"/>
      <c r="AI31" s="134"/>
      <c r="AJ31" s="1403"/>
      <c r="AK31" s="1403"/>
      <c r="AL31" s="1403"/>
      <c r="AM31" s="1403"/>
      <c r="AN31" s="1403"/>
      <c r="AO31" s="1403"/>
      <c r="AP31" s="1403"/>
      <c r="AQ31" s="1403"/>
      <c r="AR31" s="1403"/>
      <c r="AS31" s="134"/>
      <c r="AT31" s="1403"/>
      <c r="AU31" s="1403"/>
      <c r="AV31" s="1403"/>
      <c r="AW31" s="1403"/>
      <c r="AX31" s="1403"/>
      <c r="AY31" s="1403"/>
      <c r="AZ31" s="1403"/>
      <c r="BA31" s="1403"/>
      <c r="BB31" s="1403"/>
      <c r="BC31" s="1365"/>
      <c r="BF31" s="943" t="s">
        <v>918</v>
      </c>
    </row>
    <row r="32" spans="2:58" ht="14.65" hidden="1" customHeight="1" x14ac:dyDescent="0.15">
      <c r="E32" s="552">
        <v>15</v>
      </c>
      <c r="F32" s="3" cm="1">
        <f t="array" aca="1" ref="F32" ca="1">OFFSET(E32,-1,1)</f>
        <v>0</v>
      </c>
      <c r="G32" s="23" t="s">
        <v>505</v>
      </c>
      <c r="T32" s="388" t="b" cm="1">
        <f t="array" ref="T32">T31</f>
        <v>0</v>
      </c>
      <c r="X32" s="2066"/>
      <c r="Z32" s="2067"/>
      <c r="AB32" s="7" t="s">
        <v>919</v>
      </c>
      <c r="AC32" s="133" t="s">
        <v>920</v>
      </c>
      <c r="AD32" s="8" t="s">
        <v>831</v>
      </c>
      <c r="AE32" s="1403"/>
      <c r="AF32" s="1403"/>
      <c r="AG32" s="1403"/>
      <c r="AH32" s="1403"/>
      <c r="AI32" s="134"/>
      <c r="AJ32" s="1403"/>
      <c r="AK32" s="1403"/>
      <c r="AL32" s="1403"/>
      <c r="AM32" s="1403"/>
      <c r="AN32" s="1403"/>
      <c r="AO32" s="1403"/>
      <c r="AP32" s="1403"/>
      <c r="AQ32" s="1403"/>
      <c r="AR32" s="1403"/>
      <c r="AS32" s="134"/>
      <c r="AT32" s="1403"/>
      <c r="AU32" s="1403"/>
      <c r="AV32" s="1403"/>
      <c r="AW32" s="1403"/>
      <c r="AX32" s="1403"/>
      <c r="AY32" s="1403"/>
      <c r="AZ32" s="1403"/>
      <c r="BA32" s="1403"/>
      <c r="BB32" s="1403"/>
      <c r="BC32" s="1365"/>
      <c r="BF32" s="943" t="s">
        <v>921</v>
      </c>
    </row>
    <row r="33" spans="2:58" ht="14.65" hidden="1" customHeight="1" x14ac:dyDescent="0.15">
      <c r="E33" s="552">
        <v>15</v>
      </c>
      <c r="F33" s="3" cm="1">
        <f t="array" aca="1" ref="F33" ca="1">OFFSET(E33,-1,1)</f>
        <v>0</v>
      </c>
      <c r="G33" s="23" t="s">
        <v>922</v>
      </c>
      <c r="T33" s="388" t="b" cm="1">
        <f t="array" ref="T33">T32</f>
        <v>0</v>
      </c>
      <c r="X33" s="2066"/>
      <c r="Z33" s="2067"/>
      <c r="AB33" s="7" t="s">
        <v>923</v>
      </c>
      <c r="AC33" s="133" t="s">
        <v>924</v>
      </c>
      <c r="AD33" s="8" t="s">
        <v>831</v>
      </c>
      <c r="AE33" s="1403"/>
      <c r="AF33" s="1403"/>
      <c r="AG33" s="1403"/>
      <c r="AH33" s="1403"/>
      <c r="AI33" s="134"/>
      <c r="AJ33" s="1403"/>
      <c r="AK33" s="1403"/>
      <c r="AL33" s="1403"/>
      <c r="AM33" s="1403"/>
      <c r="AN33" s="1403"/>
      <c r="AO33" s="1403"/>
      <c r="AP33" s="1403"/>
      <c r="AQ33" s="1403"/>
      <c r="AR33" s="1403"/>
      <c r="AS33" s="134"/>
      <c r="AT33" s="1403"/>
      <c r="AU33" s="1403"/>
      <c r="AV33" s="1403"/>
      <c r="AW33" s="1403"/>
      <c r="AX33" s="1403"/>
      <c r="AY33" s="1403"/>
      <c r="AZ33" s="1403"/>
      <c r="BA33" s="1403"/>
      <c r="BB33" s="1403"/>
      <c r="BC33" s="1365"/>
      <c r="BF33" s="943" t="s">
        <v>925</v>
      </c>
    </row>
    <row r="34" spans="2:58" s="448" customFormat="1" ht="14.65" hidden="1" customHeight="1" x14ac:dyDescent="0.15">
      <c r="B34" s="353"/>
      <c r="E34" s="552">
        <v>15</v>
      </c>
      <c r="F34" s="3" cm="1">
        <f t="array" aca="1" ref="F34" ca="1">OFFSET(E34,-1,1)</f>
        <v>0</v>
      </c>
      <c r="G34" s="23" t="s">
        <v>332</v>
      </c>
      <c r="T34" s="388" t="b" cm="1">
        <f t="array" ref="T34">T33</f>
        <v>0</v>
      </c>
      <c r="X34" s="2066"/>
      <c r="Z34" s="2067"/>
      <c r="AB34" s="130">
        <v>2</v>
      </c>
      <c r="AC34" s="131" t="s">
        <v>926</v>
      </c>
      <c r="AD34" s="8" t="s">
        <v>831</v>
      </c>
      <c r="AE34" s="1402">
        <f t="shared" ref="AE34:BB34" si="2">SUM(AE35:AE39)</f>
        <v>0</v>
      </c>
      <c r="AF34" s="1402">
        <f t="shared" si="2"/>
        <v>0</v>
      </c>
      <c r="AG34" s="1402">
        <f t="shared" si="2"/>
        <v>0</v>
      </c>
      <c r="AH34" s="1402">
        <f t="shared" si="2"/>
        <v>0</v>
      </c>
      <c r="AI34" s="1105">
        <f t="shared" si="2"/>
        <v>0</v>
      </c>
      <c r="AJ34" s="1402">
        <f t="shared" si="2"/>
        <v>0</v>
      </c>
      <c r="AK34" s="1402">
        <f t="shared" si="2"/>
        <v>0</v>
      </c>
      <c r="AL34" s="1402">
        <f t="shared" si="2"/>
        <v>0</v>
      </c>
      <c r="AM34" s="1402">
        <f t="shared" si="2"/>
        <v>0</v>
      </c>
      <c r="AN34" s="1402">
        <f t="shared" si="2"/>
        <v>0</v>
      </c>
      <c r="AO34" s="1402">
        <f t="shared" si="2"/>
        <v>0</v>
      </c>
      <c r="AP34" s="1402">
        <f t="shared" si="2"/>
        <v>0</v>
      </c>
      <c r="AQ34" s="1402">
        <f t="shared" si="2"/>
        <v>0</v>
      </c>
      <c r="AR34" s="1402">
        <f t="shared" si="2"/>
        <v>0</v>
      </c>
      <c r="AS34" s="1105">
        <f t="shared" si="2"/>
        <v>0</v>
      </c>
      <c r="AT34" s="1402">
        <f t="shared" si="2"/>
        <v>0</v>
      </c>
      <c r="AU34" s="1402">
        <f t="shared" si="2"/>
        <v>0</v>
      </c>
      <c r="AV34" s="1402">
        <f t="shared" si="2"/>
        <v>0</v>
      </c>
      <c r="AW34" s="1402">
        <f t="shared" si="2"/>
        <v>0</v>
      </c>
      <c r="AX34" s="1402">
        <f t="shared" si="2"/>
        <v>0</v>
      </c>
      <c r="AY34" s="1402">
        <f t="shared" si="2"/>
        <v>0</v>
      </c>
      <c r="AZ34" s="1402">
        <f t="shared" si="2"/>
        <v>0</v>
      </c>
      <c r="BA34" s="1402">
        <f t="shared" si="2"/>
        <v>0</v>
      </c>
      <c r="BB34" s="1402">
        <f t="shared" si="2"/>
        <v>0</v>
      </c>
      <c r="BC34" s="1365"/>
      <c r="BF34" s="943" t="s">
        <v>927</v>
      </c>
    </row>
    <row r="35" spans="2:58" ht="14.65" hidden="1" customHeight="1" x14ac:dyDescent="0.15">
      <c r="E35" s="552">
        <v>15</v>
      </c>
      <c r="F35" s="3" cm="1">
        <f t="array" aca="1" ref="F35" ca="1">OFFSET(E35,-1,1)</f>
        <v>0</v>
      </c>
      <c r="G35" s="23" t="s">
        <v>512</v>
      </c>
      <c r="T35" s="388" t="b" cm="1">
        <f t="array" ref="T35">T34</f>
        <v>0</v>
      </c>
      <c r="X35" s="2066"/>
      <c r="Z35" s="2067"/>
      <c r="AB35" s="7" t="s">
        <v>566</v>
      </c>
      <c r="AC35" s="133" t="s">
        <v>911</v>
      </c>
      <c r="AD35" s="8" t="s">
        <v>831</v>
      </c>
      <c r="AE35" s="1403"/>
      <c r="AF35" s="1403"/>
      <c r="AG35" s="1403"/>
      <c r="AH35" s="1403"/>
      <c r="AI35" s="134"/>
      <c r="AJ35" s="1403"/>
      <c r="AK35" s="1403"/>
      <c r="AL35" s="1403"/>
      <c r="AM35" s="1403"/>
      <c r="AN35" s="1403"/>
      <c r="AO35" s="1403"/>
      <c r="AP35" s="1403"/>
      <c r="AQ35" s="1403"/>
      <c r="AR35" s="1403"/>
      <c r="AS35" s="134"/>
      <c r="AT35" s="1403"/>
      <c r="AU35" s="1403"/>
      <c r="AV35" s="1403"/>
      <c r="AW35" s="1403"/>
      <c r="AX35" s="1403"/>
      <c r="AY35" s="1403"/>
      <c r="AZ35" s="1403"/>
      <c r="BA35" s="1403"/>
      <c r="BB35" s="1403"/>
      <c r="BC35" s="1365"/>
      <c r="BF35" s="943" t="s">
        <v>928</v>
      </c>
    </row>
    <row r="36" spans="2:58" ht="14.65" hidden="1" customHeight="1" x14ac:dyDescent="0.15">
      <c r="E36" s="552">
        <v>15</v>
      </c>
      <c r="F36" s="3" cm="1">
        <f t="array" aca="1" ref="F36" ca="1">OFFSET(E36,-1,1)</f>
        <v>0</v>
      </c>
      <c r="G36" s="23" t="s">
        <v>515</v>
      </c>
      <c r="T36" s="388" t="b" cm="1">
        <f t="array" ref="T36">T35</f>
        <v>0</v>
      </c>
      <c r="X36" s="2066"/>
      <c r="Z36" s="2067"/>
      <c r="AB36" s="7" t="s">
        <v>570</v>
      </c>
      <c r="AC36" s="133" t="s">
        <v>914</v>
      </c>
      <c r="AD36" s="8" t="s">
        <v>831</v>
      </c>
      <c r="AE36" s="1403"/>
      <c r="AF36" s="1403"/>
      <c r="AG36" s="1403"/>
      <c r="AH36" s="1403"/>
      <c r="AI36" s="134"/>
      <c r="AJ36" s="1403"/>
      <c r="AK36" s="1403"/>
      <c r="AL36" s="1403"/>
      <c r="AM36" s="1403"/>
      <c r="AN36" s="1403"/>
      <c r="AO36" s="1403"/>
      <c r="AP36" s="1403"/>
      <c r="AQ36" s="1403"/>
      <c r="AR36" s="1403"/>
      <c r="AS36" s="134"/>
      <c r="AT36" s="1403"/>
      <c r="AU36" s="1403"/>
      <c r="AV36" s="1403"/>
      <c r="AW36" s="1403"/>
      <c r="AX36" s="1403"/>
      <c r="AY36" s="1403"/>
      <c r="AZ36" s="1403"/>
      <c r="BA36" s="1403"/>
      <c r="BB36" s="1403"/>
      <c r="BC36" s="1365"/>
      <c r="BF36" s="943" t="s">
        <v>929</v>
      </c>
    </row>
    <row r="37" spans="2:58" ht="14.65" hidden="1" customHeight="1" x14ac:dyDescent="0.15">
      <c r="E37" s="552">
        <v>15</v>
      </c>
      <c r="F37" s="3" cm="1">
        <f t="array" aca="1" ref="F37" ca="1">OFFSET(E37,-1,1)</f>
        <v>0</v>
      </c>
      <c r="G37" s="23" t="s">
        <v>930</v>
      </c>
      <c r="T37" s="388" t="b" cm="1">
        <f t="array" ref="T37">T36</f>
        <v>0</v>
      </c>
      <c r="X37" s="2066"/>
      <c r="Z37" s="2067"/>
      <c r="AB37" s="7" t="s">
        <v>574</v>
      </c>
      <c r="AC37" s="133" t="s">
        <v>917</v>
      </c>
      <c r="AD37" s="8" t="s">
        <v>831</v>
      </c>
      <c r="AE37" s="1403"/>
      <c r="AF37" s="1403"/>
      <c r="AG37" s="1403"/>
      <c r="AH37" s="1403"/>
      <c r="AI37" s="134"/>
      <c r="AJ37" s="1403"/>
      <c r="AK37" s="1403"/>
      <c r="AL37" s="1403"/>
      <c r="AM37" s="1403"/>
      <c r="AN37" s="1403"/>
      <c r="AO37" s="1403"/>
      <c r="AP37" s="1403"/>
      <c r="AQ37" s="1403"/>
      <c r="AR37" s="1403"/>
      <c r="AS37" s="134"/>
      <c r="AT37" s="1403"/>
      <c r="AU37" s="1403"/>
      <c r="AV37" s="1403"/>
      <c r="AW37" s="1403"/>
      <c r="AX37" s="1403"/>
      <c r="AY37" s="1403"/>
      <c r="AZ37" s="1403"/>
      <c r="BA37" s="1403"/>
      <c r="BB37" s="1403"/>
      <c r="BC37" s="1365"/>
      <c r="BF37" s="943" t="s">
        <v>931</v>
      </c>
    </row>
    <row r="38" spans="2:58" ht="14.65" hidden="1" customHeight="1" x14ac:dyDescent="0.15">
      <c r="E38" s="552">
        <v>15</v>
      </c>
      <c r="F38" s="3" cm="1">
        <f t="array" aca="1" ref="F38" ca="1">OFFSET(E38,-1,1)</f>
        <v>0</v>
      </c>
      <c r="G38" s="23" t="s">
        <v>932</v>
      </c>
      <c r="T38" s="388" t="b" cm="1">
        <f t="array" ref="T38">T37</f>
        <v>0</v>
      </c>
      <c r="X38" s="2066"/>
      <c r="Z38" s="2067"/>
      <c r="AB38" s="7" t="s">
        <v>933</v>
      </c>
      <c r="AC38" s="133" t="s">
        <v>920</v>
      </c>
      <c r="AD38" s="8" t="s">
        <v>831</v>
      </c>
      <c r="AE38" s="1403"/>
      <c r="AF38" s="1403"/>
      <c r="AG38" s="1403"/>
      <c r="AH38" s="1403"/>
      <c r="AI38" s="134"/>
      <c r="AJ38" s="1403"/>
      <c r="AK38" s="1403"/>
      <c r="AL38" s="1403"/>
      <c r="AM38" s="1403"/>
      <c r="AN38" s="1403"/>
      <c r="AO38" s="1403"/>
      <c r="AP38" s="1403"/>
      <c r="AQ38" s="1403"/>
      <c r="AR38" s="1403"/>
      <c r="AS38" s="134"/>
      <c r="AT38" s="1403"/>
      <c r="AU38" s="1403"/>
      <c r="AV38" s="1403"/>
      <c r="AW38" s="1403"/>
      <c r="AX38" s="1403"/>
      <c r="AY38" s="1403"/>
      <c r="AZ38" s="1403"/>
      <c r="BA38" s="1403"/>
      <c r="BB38" s="1403"/>
      <c r="BC38" s="1365"/>
      <c r="BF38" s="943" t="s">
        <v>934</v>
      </c>
    </row>
    <row r="39" spans="2:58" ht="14.65" hidden="1" customHeight="1" x14ac:dyDescent="0.15">
      <c r="E39" s="552">
        <v>15</v>
      </c>
      <c r="F39" s="3" cm="1">
        <f t="array" aca="1" ref="F39" ca="1">OFFSET(E39,-1,1)</f>
        <v>0</v>
      </c>
      <c r="G39" s="23" t="s">
        <v>935</v>
      </c>
      <c r="T39" s="388" t="b" cm="1">
        <f t="array" ref="T39">T38</f>
        <v>0</v>
      </c>
      <c r="X39" s="2066"/>
      <c r="Z39" s="2067"/>
      <c r="AB39" s="7" t="s">
        <v>936</v>
      </c>
      <c r="AC39" s="133" t="s">
        <v>924</v>
      </c>
      <c r="AD39" s="8" t="s">
        <v>831</v>
      </c>
      <c r="AE39" s="1403"/>
      <c r="AF39" s="1403"/>
      <c r="AG39" s="1403"/>
      <c r="AH39" s="1403"/>
      <c r="AI39" s="134"/>
      <c r="AJ39" s="1403"/>
      <c r="AK39" s="1403"/>
      <c r="AL39" s="1403"/>
      <c r="AM39" s="1403"/>
      <c r="AN39" s="1403"/>
      <c r="AO39" s="1403"/>
      <c r="AP39" s="1403"/>
      <c r="AQ39" s="1403"/>
      <c r="AR39" s="1403"/>
      <c r="AS39" s="134"/>
      <c r="AT39" s="1403"/>
      <c r="AU39" s="1403"/>
      <c r="AV39" s="1403"/>
      <c r="AW39" s="1403"/>
      <c r="AX39" s="1403"/>
      <c r="AY39" s="1403"/>
      <c r="AZ39" s="1403"/>
      <c r="BA39" s="1403"/>
      <c r="BB39" s="1403"/>
      <c r="BC39" s="1365"/>
      <c r="BF39" s="943" t="s">
        <v>937</v>
      </c>
    </row>
    <row r="40" spans="2:58" s="448" customFormat="1" ht="14.65" hidden="1" customHeight="1" x14ac:dyDescent="0.15">
      <c r="B40" s="353"/>
      <c r="E40" s="552">
        <v>15</v>
      </c>
      <c r="F40" s="3" cm="1">
        <f t="array" aca="1" ref="F40" ca="1">OFFSET(E40,-1,1)</f>
        <v>0</v>
      </c>
      <c r="G40" s="23" t="s">
        <v>333</v>
      </c>
      <c r="T40" s="388" t="b" cm="1">
        <f t="array" ref="T40">T39</f>
        <v>0</v>
      </c>
      <c r="X40" s="2066"/>
      <c r="Z40" s="2067"/>
      <c r="AB40" s="130">
        <v>3</v>
      </c>
      <c r="AC40" s="131" t="s">
        <v>938</v>
      </c>
      <c r="AD40" s="8" t="s">
        <v>831</v>
      </c>
      <c r="AE40" s="1402">
        <f t="shared" ref="AE40:BB40" si="3">SUM(AE41:AE45)</f>
        <v>0</v>
      </c>
      <c r="AF40" s="1402">
        <f t="shared" si="3"/>
        <v>0</v>
      </c>
      <c r="AG40" s="1402">
        <f t="shared" si="3"/>
        <v>0</v>
      </c>
      <c r="AH40" s="1402">
        <f t="shared" si="3"/>
        <v>0</v>
      </c>
      <c r="AI40" s="1105">
        <f t="shared" si="3"/>
        <v>0</v>
      </c>
      <c r="AJ40" s="1402">
        <f t="shared" si="3"/>
        <v>0</v>
      </c>
      <c r="AK40" s="1402">
        <f t="shared" si="3"/>
        <v>0</v>
      </c>
      <c r="AL40" s="1402">
        <f t="shared" si="3"/>
        <v>0</v>
      </c>
      <c r="AM40" s="1402">
        <f t="shared" si="3"/>
        <v>0</v>
      </c>
      <c r="AN40" s="1402">
        <f t="shared" si="3"/>
        <v>0</v>
      </c>
      <c r="AO40" s="1402">
        <f t="shared" si="3"/>
        <v>0</v>
      </c>
      <c r="AP40" s="1402">
        <f t="shared" si="3"/>
        <v>0</v>
      </c>
      <c r="AQ40" s="1402">
        <f t="shared" si="3"/>
        <v>0</v>
      </c>
      <c r="AR40" s="1402">
        <f t="shared" si="3"/>
        <v>0</v>
      </c>
      <c r="AS40" s="1105">
        <f t="shared" si="3"/>
        <v>0</v>
      </c>
      <c r="AT40" s="1402">
        <f t="shared" si="3"/>
        <v>0</v>
      </c>
      <c r="AU40" s="1402">
        <f t="shared" si="3"/>
        <v>0</v>
      </c>
      <c r="AV40" s="1402">
        <f t="shared" si="3"/>
        <v>0</v>
      </c>
      <c r="AW40" s="1402">
        <f t="shared" si="3"/>
        <v>0</v>
      </c>
      <c r="AX40" s="1402">
        <f t="shared" si="3"/>
        <v>0</v>
      </c>
      <c r="AY40" s="1402">
        <f t="shared" si="3"/>
        <v>0</v>
      </c>
      <c r="AZ40" s="1402">
        <f t="shared" si="3"/>
        <v>0</v>
      </c>
      <c r="BA40" s="1402">
        <f t="shared" si="3"/>
        <v>0</v>
      </c>
      <c r="BB40" s="1402">
        <f t="shared" si="3"/>
        <v>0</v>
      </c>
      <c r="BC40" s="1365"/>
      <c r="BF40" s="943" t="s">
        <v>939</v>
      </c>
    </row>
    <row r="41" spans="2:58" ht="14.65" hidden="1" customHeight="1" x14ac:dyDescent="0.15">
      <c r="E41" s="552">
        <v>15</v>
      </c>
      <c r="F41" s="3" cm="1">
        <f t="array" aca="1" ref="F41" ca="1">OFFSET(E41,-1,1)</f>
        <v>0</v>
      </c>
      <c r="G41" s="23" t="s">
        <v>940</v>
      </c>
      <c r="T41" s="388" t="b" cm="1">
        <f t="array" ref="T41">T40</f>
        <v>0</v>
      </c>
      <c r="X41" s="2066"/>
      <c r="Z41" s="2067"/>
      <c r="AB41" s="7" t="s">
        <v>580</v>
      </c>
      <c r="AC41" s="133" t="s">
        <v>911</v>
      </c>
      <c r="AD41" s="8" t="s">
        <v>831</v>
      </c>
      <c r="AE41" s="1403"/>
      <c r="AF41" s="1403"/>
      <c r="AG41" s="1403"/>
      <c r="AH41" s="1403"/>
      <c r="AI41" s="134"/>
      <c r="AJ41" s="1403"/>
      <c r="AK41" s="1403"/>
      <c r="AL41" s="1403"/>
      <c r="AM41" s="1403"/>
      <c r="AN41" s="1403"/>
      <c r="AO41" s="1403"/>
      <c r="AP41" s="1403"/>
      <c r="AQ41" s="1403"/>
      <c r="AR41" s="1403"/>
      <c r="AS41" s="134"/>
      <c r="AT41" s="1403"/>
      <c r="AU41" s="1403"/>
      <c r="AV41" s="1403"/>
      <c r="AW41" s="1403"/>
      <c r="AX41" s="1403"/>
      <c r="AY41" s="1403"/>
      <c r="AZ41" s="1403"/>
      <c r="BA41" s="1403"/>
      <c r="BB41" s="1403"/>
      <c r="BC41" s="1365"/>
      <c r="BF41" s="943" t="s">
        <v>941</v>
      </c>
    </row>
    <row r="42" spans="2:58" ht="14.65" hidden="1" customHeight="1" x14ac:dyDescent="0.15">
      <c r="E42" s="552">
        <v>15</v>
      </c>
      <c r="F42" s="3" cm="1">
        <f t="array" aca="1" ref="F42" ca="1">OFFSET(E42,-1,1)</f>
        <v>0</v>
      </c>
      <c r="G42" s="23" t="s">
        <v>942</v>
      </c>
      <c r="T42" s="388" t="b" cm="1">
        <f t="array" ref="T42">T41</f>
        <v>0</v>
      </c>
      <c r="X42" s="2066"/>
      <c r="Z42" s="2067"/>
      <c r="AB42" s="7" t="s">
        <v>584</v>
      </c>
      <c r="AC42" s="133" t="s">
        <v>914</v>
      </c>
      <c r="AD42" s="8" t="s">
        <v>831</v>
      </c>
      <c r="AE42" s="1403"/>
      <c r="AF42" s="1403"/>
      <c r="AG42" s="1403"/>
      <c r="AH42" s="1403"/>
      <c r="AI42" s="134"/>
      <c r="AJ42" s="1403"/>
      <c r="AK42" s="1403"/>
      <c r="AL42" s="1403"/>
      <c r="AM42" s="1403"/>
      <c r="AN42" s="1403"/>
      <c r="AO42" s="1403"/>
      <c r="AP42" s="1403"/>
      <c r="AQ42" s="1403"/>
      <c r="AR42" s="1403"/>
      <c r="AS42" s="134"/>
      <c r="AT42" s="1403"/>
      <c r="AU42" s="1403"/>
      <c r="AV42" s="1403"/>
      <c r="AW42" s="1403"/>
      <c r="AX42" s="1403"/>
      <c r="AY42" s="1403"/>
      <c r="AZ42" s="1403"/>
      <c r="BA42" s="1403"/>
      <c r="BB42" s="1403"/>
      <c r="BC42" s="1365"/>
      <c r="BF42" s="943" t="s">
        <v>943</v>
      </c>
    </row>
    <row r="43" spans="2:58" ht="14.65" hidden="1" customHeight="1" x14ac:dyDescent="0.15">
      <c r="E43" s="552">
        <v>15</v>
      </c>
      <c r="F43" s="3" cm="1">
        <f t="array" aca="1" ref="F43" ca="1">OFFSET(E43,-1,1)</f>
        <v>0</v>
      </c>
      <c r="G43" s="23" t="s">
        <v>944</v>
      </c>
      <c r="T43" s="388" t="b" cm="1">
        <f t="array" ref="T43">T42</f>
        <v>0</v>
      </c>
      <c r="X43" s="2066"/>
      <c r="Z43" s="2067"/>
      <c r="AB43" s="7" t="s">
        <v>796</v>
      </c>
      <c r="AC43" s="133" t="s">
        <v>917</v>
      </c>
      <c r="AD43" s="8" t="s">
        <v>831</v>
      </c>
      <c r="AE43" s="1403"/>
      <c r="AF43" s="1403"/>
      <c r="AG43" s="1403"/>
      <c r="AH43" s="1403"/>
      <c r="AI43" s="134"/>
      <c r="AJ43" s="1403"/>
      <c r="AK43" s="1403"/>
      <c r="AL43" s="1403"/>
      <c r="AM43" s="1403"/>
      <c r="AN43" s="1403"/>
      <c r="AO43" s="1403"/>
      <c r="AP43" s="1403"/>
      <c r="AQ43" s="1403"/>
      <c r="AR43" s="1403"/>
      <c r="AS43" s="134"/>
      <c r="AT43" s="1403"/>
      <c r="AU43" s="1403"/>
      <c r="AV43" s="1403"/>
      <c r="AW43" s="1403"/>
      <c r="AX43" s="1403"/>
      <c r="AY43" s="1403"/>
      <c r="AZ43" s="1403"/>
      <c r="BA43" s="1403"/>
      <c r="BB43" s="1403"/>
      <c r="BC43" s="1365"/>
      <c r="BF43" s="943" t="s">
        <v>945</v>
      </c>
    </row>
    <row r="44" spans="2:58" ht="14.65" hidden="1" customHeight="1" x14ac:dyDescent="0.15">
      <c r="E44" s="552">
        <v>15</v>
      </c>
      <c r="F44" s="3" cm="1">
        <f t="array" aca="1" ref="F44" ca="1">OFFSET(E44,-1,1)</f>
        <v>0</v>
      </c>
      <c r="G44" s="23" t="s">
        <v>946</v>
      </c>
      <c r="T44" s="388" t="b" cm="1">
        <f t="array" ref="T44">T43</f>
        <v>0</v>
      </c>
      <c r="X44" s="2066"/>
      <c r="Z44" s="2067"/>
      <c r="AB44" s="7" t="s">
        <v>947</v>
      </c>
      <c r="AC44" s="133" t="s">
        <v>920</v>
      </c>
      <c r="AD44" s="8" t="s">
        <v>831</v>
      </c>
      <c r="AE44" s="1403"/>
      <c r="AF44" s="1403"/>
      <c r="AG44" s="1403"/>
      <c r="AH44" s="1403"/>
      <c r="AI44" s="134"/>
      <c r="AJ44" s="1403"/>
      <c r="AK44" s="1403"/>
      <c r="AL44" s="1403"/>
      <c r="AM44" s="1403"/>
      <c r="AN44" s="1403"/>
      <c r="AO44" s="1403"/>
      <c r="AP44" s="1403"/>
      <c r="AQ44" s="1403"/>
      <c r="AR44" s="1403"/>
      <c r="AS44" s="134"/>
      <c r="AT44" s="1403"/>
      <c r="AU44" s="1403"/>
      <c r="AV44" s="1403"/>
      <c r="AW44" s="1403"/>
      <c r="AX44" s="1403"/>
      <c r="AY44" s="1403"/>
      <c r="AZ44" s="1403"/>
      <c r="BA44" s="1403"/>
      <c r="BB44" s="1403"/>
      <c r="BC44" s="1365"/>
      <c r="BF44" s="943" t="s">
        <v>948</v>
      </c>
    </row>
    <row r="45" spans="2:58" ht="14.65" hidden="1" customHeight="1" x14ac:dyDescent="0.15">
      <c r="E45" s="552">
        <v>15</v>
      </c>
      <c r="F45" s="3" cm="1">
        <f t="array" aca="1" ref="F45" ca="1">OFFSET(E45,-1,1)</f>
        <v>0</v>
      </c>
      <c r="G45" s="23" t="s">
        <v>949</v>
      </c>
      <c r="T45" s="388" t="b" cm="1">
        <f t="array" ref="T45">T44</f>
        <v>0</v>
      </c>
      <c r="X45" s="2066"/>
      <c r="Z45" s="2067"/>
      <c r="AB45" s="7" t="s">
        <v>950</v>
      </c>
      <c r="AC45" s="133" t="s">
        <v>924</v>
      </c>
      <c r="AD45" s="8" t="s">
        <v>831</v>
      </c>
      <c r="AE45" s="1403"/>
      <c r="AF45" s="1403"/>
      <c r="AG45" s="1403"/>
      <c r="AH45" s="1403"/>
      <c r="AI45" s="134"/>
      <c r="AJ45" s="1403"/>
      <c r="AK45" s="1403"/>
      <c r="AL45" s="1403"/>
      <c r="AM45" s="1403"/>
      <c r="AN45" s="1403"/>
      <c r="AO45" s="1403"/>
      <c r="AP45" s="1403"/>
      <c r="AQ45" s="1403"/>
      <c r="AR45" s="1403"/>
      <c r="AS45" s="134"/>
      <c r="AT45" s="1403"/>
      <c r="AU45" s="1403"/>
      <c r="AV45" s="1403"/>
      <c r="AW45" s="1403"/>
      <c r="AX45" s="1403"/>
      <c r="AY45" s="1403"/>
      <c r="AZ45" s="1403"/>
      <c r="BA45" s="1403"/>
      <c r="BB45" s="1403"/>
      <c r="BC45" s="1365"/>
      <c r="BF45" s="943" t="s">
        <v>951</v>
      </c>
    </row>
    <row r="46" spans="2:58" s="448" customFormat="1" ht="21.95" hidden="1" customHeight="1" x14ac:dyDescent="0.15">
      <c r="B46" s="353"/>
      <c r="E46" s="593">
        <v>22.5</v>
      </c>
      <c r="F46" s="3" cm="1">
        <f t="array" aca="1" ref="F46" ca="1">OFFSET(E46,-1,1)</f>
        <v>0</v>
      </c>
      <c r="G46" s="23" t="s">
        <v>335</v>
      </c>
      <c r="T46" s="388" t="b" cm="1">
        <f t="array" ref="T46">T45</f>
        <v>0</v>
      </c>
      <c r="X46" s="2066"/>
      <c r="Z46" s="2067"/>
      <c r="AB46" s="130">
        <v>4</v>
      </c>
      <c r="AC46" s="131" t="s">
        <v>952</v>
      </c>
      <c r="AD46" s="8" t="s">
        <v>831</v>
      </c>
      <c r="AE46" s="1402">
        <f t="shared" ref="AE46:BB46" si="4">SUM(AE47:AE51)</f>
        <v>0</v>
      </c>
      <c r="AF46" s="1402">
        <f t="shared" si="4"/>
        <v>0</v>
      </c>
      <c r="AG46" s="1402">
        <f t="shared" si="4"/>
        <v>0</v>
      </c>
      <c r="AH46" s="1402">
        <f t="shared" si="4"/>
        <v>0</v>
      </c>
      <c r="AI46" s="1105">
        <f t="shared" si="4"/>
        <v>0</v>
      </c>
      <c r="AJ46" s="1402">
        <f t="shared" si="4"/>
        <v>0</v>
      </c>
      <c r="AK46" s="1402">
        <f t="shared" si="4"/>
        <v>0</v>
      </c>
      <c r="AL46" s="1402">
        <f t="shared" si="4"/>
        <v>0</v>
      </c>
      <c r="AM46" s="1402">
        <f t="shared" si="4"/>
        <v>0</v>
      </c>
      <c r="AN46" s="1402">
        <f t="shared" si="4"/>
        <v>0</v>
      </c>
      <c r="AO46" s="1402">
        <f t="shared" si="4"/>
        <v>0</v>
      </c>
      <c r="AP46" s="1402">
        <f t="shared" si="4"/>
        <v>0</v>
      </c>
      <c r="AQ46" s="1402">
        <f t="shared" si="4"/>
        <v>0</v>
      </c>
      <c r="AR46" s="1402">
        <f t="shared" si="4"/>
        <v>0</v>
      </c>
      <c r="AS46" s="1105">
        <f t="shared" si="4"/>
        <v>0</v>
      </c>
      <c r="AT46" s="1402">
        <f t="shared" si="4"/>
        <v>0</v>
      </c>
      <c r="AU46" s="1402">
        <f t="shared" si="4"/>
        <v>0</v>
      </c>
      <c r="AV46" s="1402">
        <f t="shared" si="4"/>
        <v>0</v>
      </c>
      <c r="AW46" s="1402">
        <f t="shared" si="4"/>
        <v>0</v>
      </c>
      <c r="AX46" s="1402">
        <f t="shared" si="4"/>
        <v>0</v>
      </c>
      <c r="AY46" s="1402">
        <f t="shared" si="4"/>
        <v>0</v>
      </c>
      <c r="AZ46" s="1402">
        <f t="shared" si="4"/>
        <v>0</v>
      </c>
      <c r="BA46" s="1402">
        <f t="shared" si="4"/>
        <v>0</v>
      </c>
      <c r="BB46" s="1402">
        <f t="shared" si="4"/>
        <v>0</v>
      </c>
      <c r="BC46" s="1365"/>
      <c r="BF46" s="943" t="s">
        <v>953</v>
      </c>
    </row>
    <row r="47" spans="2:58" ht="14.65" hidden="1" customHeight="1" x14ac:dyDescent="0.15">
      <c r="E47" s="552">
        <v>15</v>
      </c>
      <c r="F47" s="3" cm="1">
        <f t="array" aca="1" ref="F47" ca="1">OFFSET(E47,-1,1)</f>
        <v>0</v>
      </c>
      <c r="G47" s="23" t="s">
        <v>565</v>
      </c>
      <c r="T47" s="388" t="b" cm="1">
        <f t="array" ref="T47">T46</f>
        <v>0</v>
      </c>
      <c r="X47" s="2066"/>
      <c r="Z47" s="2067"/>
      <c r="AB47" s="7" t="s">
        <v>700</v>
      </c>
      <c r="AC47" s="133" t="s">
        <v>911</v>
      </c>
      <c r="AD47" s="8" t="s">
        <v>831</v>
      </c>
      <c r="AE47" s="1403">
        <f t="shared" ref="AE47:BB47" si="5">AE29+AE35-AE41</f>
        <v>0</v>
      </c>
      <c r="AF47" s="1403">
        <f t="shared" si="5"/>
        <v>0</v>
      </c>
      <c r="AG47" s="1403">
        <f t="shared" si="5"/>
        <v>0</v>
      </c>
      <c r="AH47" s="1403">
        <f t="shared" si="5"/>
        <v>0</v>
      </c>
      <c r="AI47" s="134">
        <f t="shared" si="5"/>
        <v>0</v>
      </c>
      <c r="AJ47" s="1403">
        <f t="shared" si="5"/>
        <v>0</v>
      </c>
      <c r="AK47" s="1403">
        <f t="shared" si="5"/>
        <v>0</v>
      </c>
      <c r="AL47" s="1403">
        <f t="shared" si="5"/>
        <v>0</v>
      </c>
      <c r="AM47" s="1403">
        <f t="shared" si="5"/>
        <v>0</v>
      </c>
      <c r="AN47" s="1403">
        <f t="shared" si="5"/>
        <v>0</v>
      </c>
      <c r="AO47" s="1403">
        <f t="shared" si="5"/>
        <v>0</v>
      </c>
      <c r="AP47" s="1403">
        <f t="shared" si="5"/>
        <v>0</v>
      </c>
      <c r="AQ47" s="1403">
        <f t="shared" si="5"/>
        <v>0</v>
      </c>
      <c r="AR47" s="1403">
        <f t="shared" si="5"/>
        <v>0</v>
      </c>
      <c r="AS47" s="134">
        <f t="shared" si="5"/>
        <v>0</v>
      </c>
      <c r="AT47" s="1403">
        <f t="shared" si="5"/>
        <v>0</v>
      </c>
      <c r="AU47" s="1403">
        <f t="shared" si="5"/>
        <v>0</v>
      </c>
      <c r="AV47" s="1403">
        <f t="shared" si="5"/>
        <v>0</v>
      </c>
      <c r="AW47" s="1403">
        <f t="shared" si="5"/>
        <v>0</v>
      </c>
      <c r="AX47" s="1403">
        <f t="shared" si="5"/>
        <v>0</v>
      </c>
      <c r="AY47" s="1403">
        <f t="shared" si="5"/>
        <v>0</v>
      </c>
      <c r="AZ47" s="1403">
        <f t="shared" si="5"/>
        <v>0</v>
      </c>
      <c r="BA47" s="1403">
        <f t="shared" si="5"/>
        <v>0</v>
      </c>
      <c r="BB47" s="1403">
        <f t="shared" si="5"/>
        <v>0</v>
      </c>
      <c r="BC47" s="1365"/>
      <c r="BF47" s="943" t="s">
        <v>954</v>
      </c>
    </row>
    <row r="48" spans="2:58" ht="14.65" hidden="1" customHeight="1" x14ac:dyDescent="0.15">
      <c r="E48" s="552">
        <v>15</v>
      </c>
      <c r="F48" s="3" cm="1">
        <f t="array" aca="1" ref="F48" ca="1">OFFSET(E48,-1,1)</f>
        <v>0</v>
      </c>
      <c r="G48" s="23" t="s">
        <v>569</v>
      </c>
      <c r="T48" s="388" t="b" cm="1">
        <f t="array" ref="T48">T47</f>
        <v>0</v>
      </c>
      <c r="X48" s="2066"/>
      <c r="Z48" s="2067"/>
      <c r="AB48" s="7" t="s">
        <v>703</v>
      </c>
      <c r="AC48" s="133" t="s">
        <v>914</v>
      </c>
      <c r="AD48" s="8" t="s">
        <v>831</v>
      </c>
      <c r="AE48" s="1403">
        <f t="shared" ref="AE48:BB48" si="6">AE30+AE36-AE42</f>
        <v>0</v>
      </c>
      <c r="AF48" s="1403">
        <f t="shared" si="6"/>
        <v>0</v>
      </c>
      <c r="AG48" s="1403">
        <f t="shared" si="6"/>
        <v>0</v>
      </c>
      <c r="AH48" s="1403">
        <f t="shared" si="6"/>
        <v>0</v>
      </c>
      <c r="AI48" s="134">
        <f t="shared" si="6"/>
        <v>0</v>
      </c>
      <c r="AJ48" s="1403">
        <f t="shared" si="6"/>
        <v>0</v>
      </c>
      <c r="AK48" s="1403">
        <f t="shared" si="6"/>
        <v>0</v>
      </c>
      <c r="AL48" s="1403">
        <f t="shared" si="6"/>
        <v>0</v>
      </c>
      <c r="AM48" s="1403">
        <f t="shared" si="6"/>
        <v>0</v>
      </c>
      <c r="AN48" s="1403">
        <f t="shared" si="6"/>
        <v>0</v>
      </c>
      <c r="AO48" s="1403">
        <f t="shared" si="6"/>
        <v>0</v>
      </c>
      <c r="AP48" s="1403">
        <f t="shared" si="6"/>
        <v>0</v>
      </c>
      <c r="AQ48" s="1403">
        <f t="shared" si="6"/>
        <v>0</v>
      </c>
      <c r="AR48" s="1403">
        <f t="shared" si="6"/>
        <v>0</v>
      </c>
      <c r="AS48" s="134">
        <f t="shared" si="6"/>
        <v>0</v>
      </c>
      <c r="AT48" s="1403">
        <f t="shared" si="6"/>
        <v>0</v>
      </c>
      <c r="AU48" s="1403">
        <f t="shared" si="6"/>
        <v>0</v>
      </c>
      <c r="AV48" s="1403">
        <f t="shared" si="6"/>
        <v>0</v>
      </c>
      <c r="AW48" s="1403">
        <f t="shared" si="6"/>
        <v>0</v>
      </c>
      <c r="AX48" s="1403">
        <f t="shared" si="6"/>
        <v>0</v>
      </c>
      <c r="AY48" s="1403">
        <f t="shared" si="6"/>
        <v>0</v>
      </c>
      <c r="AZ48" s="1403">
        <f t="shared" si="6"/>
        <v>0</v>
      </c>
      <c r="BA48" s="1403">
        <f t="shared" si="6"/>
        <v>0</v>
      </c>
      <c r="BB48" s="1403">
        <f t="shared" si="6"/>
        <v>0</v>
      </c>
      <c r="BC48" s="1365"/>
      <c r="BF48" s="943" t="s">
        <v>955</v>
      </c>
    </row>
    <row r="49" spans="2:58" ht="14.65" hidden="1" customHeight="1" x14ac:dyDescent="0.15">
      <c r="E49" s="552">
        <v>15</v>
      </c>
      <c r="F49" s="3" cm="1">
        <f t="array" aca="1" ref="F49" ca="1">OFFSET(E49,-1,1)</f>
        <v>0</v>
      </c>
      <c r="G49" s="23" t="s">
        <v>573</v>
      </c>
      <c r="T49" s="388" t="b" cm="1">
        <f t="array" ref="T49">T48</f>
        <v>0</v>
      </c>
      <c r="X49" s="2066"/>
      <c r="Z49" s="2067"/>
      <c r="AB49" s="7" t="s">
        <v>737</v>
      </c>
      <c r="AC49" s="133" t="s">
        <v>917</v>
      </c>
      <c r="AD49" s="8" t="s">
        <v>831</v>
      </c>
      <c r="AE49" s="1403">
        <f t="shared" ref="AE49:BB49" si="7">AE31+AE37-AE43</f>
        <v>0</v>
      </c>
      <c r="AF49" s="1403">
        <f t="shared" si="7"/>
        <v>0</v>
      </c>
      <c r="AG49" s="1403">
        <f t="shared" si="7"/>
        <v>0</v>
      </c>
      <c r="AH49" s="1403">
        <f t="shared" si="7"/>
        <v>0</v>
      </c>
      <c r="AI49" s="134">
        <f t="shared" si="7"/>
        <v>0</v>
      </c>
      <c r="AJ49" s="1403">
        <f t="shared" si="7"/>
        <v>0</v>
      </c>
      <c r="AK49" s="1403">
        <f t="shared" si="7"/>
        <v>0</v>
      </c>
      <c r="AL49" s="1403">
        <f t="shared" si="7"/>
        <v>0</v>
      </c>
      <c r="AM49" s="1403">
        <f t="shared" si="7"/>
        <v>0</v>
      </c>
      <c r="AN49" s="1403">
        <f t="shared" si="7"/>
        <v>0</v>
      </c>
      <c r="AO49" s="1403">
        <f t="shared" si="7"/>
        <v>0</v>
      </c>
      <c r="AP49" s="1403">
        <f t="shared" si="7"/>
        <v>0</v>
      </c>
      <c r="AQ49" s="1403">
        <f t="shared" si="7"/>
        <v>0</v>
      </c>
      <c r="AR49" s="1403">
        <f t="shared" si="7"/>
        <v>0</v>
      </c>
      <c r="AS49" s="134">
        <f t="shared" si="7"/>
        <v>0</v>
      </c>
      <c r="AT49" s="1403">
        <f t="shared" si="7"/>
        <v>0</v>
      </c>
      <c r="AU49" s="1403">
        <f t="shared" si="7"/>
        <v>0</v>
      </c>
      <c r="AV49" s="1403">
        <f t="shared" si="7"/>
        <v>0</v>
      </c>
      <c r="AW49" s="1403">
        <f t="shared" si="7"/>
        <v>0</v>
      </c>
      <c r="AX49" s="1403">
        <f t="shared" si="7"/>
        <v>0</v>
      </c>
      <c r="AY49" s="1403">
        <f t="shared" si="7"/>
        <v>0</v>
      </c>
      <c r="AZ49" s="1403">
        <f t="shared" si="7"/>
        <v>0</v>
      </c>
      <c r="BA49" s="1403">
        <f t="shared" si="7"/>
        <v>0</v>
      </c>
      <c r="BB49" s="1403">
        <f t="shared" si="7"/>
        <v>0</v>
      </c>
      <c r="BC49" s="1365"/>
      <c r="BF49" s="943" t="s">
        <v>956</v>
      </c>
    </row>
    <row r="50" spans="2:58" ht="14.65" hidden="1" customHeight="1" x14ac:dyDescent="0.15">
      <c r="E50" s="552">
        <v>15</v>
      </c>
      <c r="F50" s="3" cm="1">
        <f t="array" aca="1" ref="F50" ca="1">OFFSET(E50,-1,1)</f>
        <v>0</v>
      </c>
      <c r="G50" s="23" t="s">
        <v>957</v>
      </c>
      <c r="T50" s="388" t="b" cm="1">
        <f t="array" ref="T50">T49</f>
        <v>0</v>
      </c>
      <c r="X50" s="2066"/>
      <c r="Z50" s="2067"/>
      <c r="AB50" s="7" t="s">
        <v>746</v>
      </c>
      <c r="AC50" s="133" t="s">
        <v>920</v>
      </c>
      <c r="AD50" s="8" t="s">
        <v>831</v>
      </c>
      <c r="AE50" s="1403">
        <f t="shared" ref="AE50:BB50" si="8">AE32+AE38-AE44</f>
        <v>0</v>
      </c>
      <c r="AF50" s="1403">
        <f t="shared" si="8"/>
        <v>0</v>
      </c>
      <c r="AG50" s="1403">
        <f t="shared" si="8"/>
        <v>0</v>
      </c>
      <c r="AH50" s="1403">
        <f t="shared" si="8"/>
        <v>0</v>
      </c>
      <c r="AI50" s="134">
        <f t="shared" si="8"/>
        <v>0</v>
      </c>
      <c r="AJ50" s="1403">
        <f t="shared" si="8"/>
        <v>0</v>
      </c>
      <c r="AK50" s="1403">
        <f t="shared" si="8"/>
        <v>0</v>
      </c>
      <c r="AL50" s="1403">
        <f t="shared" si="8"/>
        <v>0</v>
      </c>
      <c r="AM50" s="1403">
        <f t="shared" si="8"/>
        <v>0</v>
      </c>
      <c r="AN50" s="1403">
        <f t="shared" si="8"/>
        <v>0</v>
      </c>
      <c r="AO50" s="1403">
        <f t="shared" si="8"/>
        <v>0</v>
      </c>
      <c r="AP50" s="1403">
        <f t="shared" si="8"/>
        <v>0</v>
      </c>
      <c r="AQ50" s="1403">
        <f t="shared" si="8"/>
        <v>0</v>
      </c>
      <c r="AR50" s="1403">
        <f t="shared" si="8"/>
        <v>0</v>
      </c>
      <c r="AS50" s="134">
        <f t="shared" si="8"/>
        <v>0</v>
      </c>
      <c r="AT50" s="1403">
        <f t="shared" si="8"/>
        <v>0</v>
      </c>
      <c r="AU50" s="1403">
        <f t="shared" si="8"/>
        <v>0</v>
      </c>
      <c r="AV50" s="1403">
        <f t="shared" si="8"/>
        <v>0</v>
      </c>
      <c r="AW50" s="1403">
        <f t="shared" si="8"/>
        <v>0</v>
      </c>
      <c r="AX50" s="1403">
        <f t="shared" si="8"/>
        <v>0</v>
      </c>
      <c r="AY50" s="1403">
        <f t="shared" si="8"/>
        <v>0</v>
      </c>
      <c r="AZ50" s="1403">
        <f t="shared" si="8"/>
        <v>0</v>
      </c>
      <c r="BA50" s="1403">
        <f t="shared" si="8"/>
        <v>0</v>
      </c>
      <c r="BB50" s="1403">
        <f t="shared" si="8"/>
        <v>0</v>
      </c>
      <c r="BC50" s="1365"/>
      <c r="BF50" s="943" t="s">
        <v>958</v>
      </c>
    </row>
    <row r="51" spans="2:58" ht="14.65" hidden="1" customHeight="1" x14ac:dyDescent="0.15">
      <c r="E51" s="552">
        <v>15</v>
      </c>
      <c r="F51" s="3" cm="1">
        <f t="array" aca="1" ref="F51" ca="1">OFFSET(E51,-1,1)</f>
        <v>0</v>
      </c>
      <c r="G51" s="23" t="s">
        <v>959</v>
      </c>
      <c r="T51" s="388" t="b" cm="1">
        <f t="array" ref="T51">T50</f>
        <v>0</v>
      </c>
      <c r="X51" s="2066"/>
      <c r="Z51" s="2067"/>
      <c r="AB51" s="7" t="s">
        <v>756</v>
      </c>
      <c r="AC51" s="133" t="s">
        <v>924</v>
      </c>
      <c r="AD51" s="8" t="s">
        <v>831</v>
      </c>
      <c r="AE51" s="1403">
        <f t="shared" ref="AE51:BB51" si="9">AE33+AE39-AE45</f>
        <v>0</v>
      </c>
      <c r="AF51" s="1403">
        <f t="shared" si="9"/>
        <v>0</v>
      </c>
      <c r="AG51" s="1403">
        <f t="shared" si="9"/>
        <v>0</v>
      </c>
      <c r="AH51" s="1403">
        <f t="shared" si="9"/>
        <v>0</v>
      </c>
      <c r="AI51" s="134">
        <f t="shared" si="9"/>
        <v>0</v>
      </c>
      <c r="AJ51" s="1403">
        <f t="shared" si="9"/>
        <v>0</v>
      </c>
      <c r="AK51" s="1403">
        <f t="shared" si="9"/>
        <v>0</v>
      </c>
      <c r="AL51" s="1403">
        <f t="shared" si="9"/>
        <v>0</v>
      </c>
      <c r="AM51" s="1403">
        <f t="shared" si="9"/>
        <v>0</v>
      </c>
      <c r="AN51" s="1403">
        <f t="shared" si="9"/>
        <v>0</v>
      </c>
      <c r="AO51" s="1403">
        <f t="shared" si="9"/>
        <v>0</v>
      </c>
      <c r="AP51" s="1403">
        <f t="shared" si="9"/>
        <v>0</v>
      </c>
      <c r="AQ51" s="1403">
        <f t="shared" si="9"/>
        <v>0</v>
      </c>
      <c r="AR51" s="1403">
        <f t="shared" si="9"/>
        <v>0</v>
      </c>
      <c r="AS51" s="134">
        <f t="shared" si="9"/>
        <v>0</v>
      </c>
      <c r="AT51" s="1403">
        <f t="shared" si="9"/>
        <v>0</v>
      </c>
      <c r="AU51" s="1403">
        <f t="shared" si="9"/>
        <v>0</v>
      </c>
      <c r="AV51" s="1403">
        <f t="shared" si="9"/>
        <v>0</v>
      </c>
      <c r="AW51" s="1403">
        <f t="shared" si="9"/>
        <v>0</v>
      </c>
      <c r="AX51" s="1403">
        <f t="shared" si="9"/>
        <v>0</v>
      </c>
      <c r="AY51" s="1403">
        <f t="shared" si="9"/>
        <v>0</v>
      </c>
      <c r="AZ51" s="1403">
        <f t="shared" si="9"/>
        <v>0</v>
      </c>
      <c r="BA51" s="1403">
        <f t="shared" si="9"/>
        <v>0</v>
      </c>
      <c r="BB51" s="1403">
        <f t="shared" si="9"/>
        <v>0</v>
      </c>
      <c r="BC51" s="1365"/>
      <c r="BF51" s="943" t="s">
        <v>960</v>
      </c>
    </row>
    <row r="52" spans="2:58" s="448" customFormat="1" ht="14.65" hidden="1" customHeight="1" x14ac:dyDescent="0.15">
      <c r="B52" s="353"/>
      <c r="E52" s="552">
        <v>15</v>
      </c>
      <c r="F52" s="3" cm="1">
        <f t="array" aca="1" ref="F52" ca="1">OFFSET(E52,-1,1)</f>
        <v>0</v>
      </c>
      <c r="G52" s="23" t="s">
        <v>334</v>
      </c>
      <c r="T52" s="388" t="b" cm="1">
        <f t="array" ref="T52">T51</f>
        <v>0</v>
      </c>
      <c r="X52" s="2066"/>
      <c r="Z52" s="2067"/>
      <c r="AB52" s="130">
        <v>5</v>
      </c>
      <c r="AC52" s="131" t="s">
        <v>961</v>
      </c>
      <c r="AD52" s="8" t="s">
        <v>831</v>
      </c>
      <c r="AE52" s="1402">
        <f t="shared" ref="AE52:BB52" si="10">SUM(AE53:AE57)</f>
        <v>0</v>
      </c>
      <c r="AF52" s="1402">
        <f t="shared" si="10"/>
        <v>0</v>
      </c>
      <c r="AG52" s="1402">
        <f t="shared" si="10"/>
        <v>0</v>
      </c>
      <c r="AH52" s="1402">
        <f t="shared" si="10"/>
        <v>0</v>
      </c>
      <c r="AI52" s="1105">
        <f t="shared" si="10"/>
        <v>0</v>
      </c>
      <c r="AJ52" s="1402">
        <f t="shared" si="10"/>
        <v>0</v>
      </c>
      <c r="AK52" s="1402">
        <f t="shared" si="10"/>
        <v>0</v>
      </c>
      <c r="AL52" s="1402">
        <f t="shared" si="10"/>
        <v>0</v>
      </c>
      <c r="AM52" s="1402">
        <f t="shared" si="10"/>
        <v>0</v>
      </c>
      <c r="AN52" s="1402">
        <f t="shared" si="10"/>
        <v>0</v>
      </c>
      <c r="AO52" s="1402">
        <f t="shared" si="10"/>
        <v>0</v>
      </c>
      <c r="AP52" s="1402">
        <f t="shared" si="10"/>
        <v>0</v>
      </c>
      <c r="AQ52" s="1402">
        <f t="shared" si="10"/>
        <v>0</v>
      </c>
      <c r="AR52" s="1402">
        <f t="shared" si="10"/>
        <v>0</v>
      </c>
      <c r="AS52" s="1105">
        <f t="shared" si="10"/>
        <v>0</v>
      </c>
      <c r="AT52" s="1402">
        <f t="shared" si="10"/>
        <v>0</v>
      </c>
      <c r="AU52" s="1402">
        <f t="shared" si="10"/>
        <v>0</v>
      </c>
      <c r="AV52" s="1402">
        <f t="shared" si="10"/>
        <v>0</v>
      </c>
      <c r="AW52" s="1402">
        <f t="shared" si="10"/>
        <v>0</v>
      </c>
      <c r="AX52" s="1402">
        <f t="shared" si="10"/>
        <v>0</v>
      </c>
      <c r="AY52" s="1402">
        <f t="shared" si="10"/>
        <v>0</v>
      </c>
      <c r="AZ52" s="1402">
        <f t="shared" si="10"/>
        <v>0</v>
      </c>
      <c r="BA52" s="1402">
        <f t="shared" si="10"/>
        <v>0</v>
      </c>
      <c r="BB52" s="1402">
        <f t="shared" si="10"/>
        <v>0</v>
      </c>
      <c r="BC52" s="1365"/>
      <c r="BF52" s="943" t="s">
        <v>962</v>
      </c>
    </row>
    <row r="53" spans="2:58" ht="14.65" hidden="1" customHeight="1" x14ac:dyDescent="0.15">
      <c r="E53" s="552">
        <v>15</v>
      </c>
      <c r="F53" s="3" cm="1">
        <f t="array" aca="1" ref="F53" ca="1">OFFSET(E53,-1,1)</f>
        <v>0</v>
      </c>
      <c r="G53" s="23" t="s">
        <v>579</v>
      </c>
      <c r="T53" s="388" t="b" cm="1">
        <f t="array" ref="T53">T52</f>
        <v>0</v>
      </c>
      <c r="X53" s="2066"/>
      <c r="Z53" s="2067"/>
      <c r="AB53" s="7" t="s">
        <v>707</v>
      </c>
      <c r="AC53" s="133" t="s">
        <v>911</v>
      </c>
      <c r="AD53" s="8" t="s">
        <v>831</v>
      </c>
      <c r="AE53" s="1403">
        <f t="shared" ref="AE53:BB53" si="11">(AE47+AE29)/2</f>
        <v>0</v>
      </c>
      <c r="AF53" s="1403">
        <f t="shared" si="11"/>
        <v>0</v>
      </c>
      <c r="AG53" s="1403">
        <f t="shared" si="11"/>
        <v>0</v>
      </c>
      <c r="AH53" s="1403">
        <f t="shared" si="11"/>
        <v>0</v>
      </c>
      <c r="AI53" s="134">
        <f t="shared" si="11"/>
        <v>0</v>
      </c>
      <c r="AJ53" s="1403">
        <f t="shared" si="11"/>
        <v>0</v>
      </c>
      <c r="AK53" s="1403">
        <f t="shared" si="11"/>
        <v>0</v>
      </c>
      <c r="AL53" s="1403">
        <f t="shared" si="11"/>
        <v>0</v>
      </c>
      <c r="AM53" s="1403">
        <f t="shared" si="11"/>
        <v>0</v>
      </c>
      <c r="AN53" s="1403">
        <f t="shared" si="11"/>
        <v>0</v>
      </c>
      <c r="AO53" s="1403">
        <f t="shared" si="11"/>
        <v>0</v>
      </c>
      <c r="AP53" s="1403">
        <f t="shared" si="11"/>
        <v>0</v>
      </c>
      <c r="AQ53" s="1403">
        <f t="shared" si="11"/>
        <v>0</v>
      </c>
      <c r="AR53" s="1403">
        <f t="shared" si="11"/>
        <v>0</v>
      </c>
      <c r="AS53" s="134">
        <f t="shared" si="11"/>
        <v>0</v>
      </c>
      <c r="AT53" s="1403">
        <f t="shared" si="11"/>
        <v>0</v>
      </c>
      <c r="AU53" s="1403">
        <f t="shared" si="11"/>
        <v>0</v>
      </c>
      <c r="AV53" s="1403">
        <f t="shared" si="11"/>
        <v>0</v>
      </c>
      <c r="AW53" s="1403">
        <f t="shared" si="11"/>
        <v>0</v>
      </c>
      <c r="AX53" s="1403">
        <f t="shared" si="11"/>
        <v>0</v>
      </c>
      <c r="AY53" s="1403">
        <f t="shared" si="11"/>
        <v>0</v>
      </c>
      <c r="AZ53" s="1403">
        <f t="shared" si="11"/>
        <v>0</v>
      </c>
      <c r="BA53" s="1403">
        <f t="shared" si="11"/>
        <v>0</v>
      </c>
      <c r="BB53" s="1403">
        <f t="shared" si="11"/>
        <v>0</v>
      </c>
      <c r="BC53" s="1365"/>
      <c r="BF53" s="943" t="s">
        <v>963</v>
      </c>
    </row>
    <row r="54" spans="2:58" ht="14.65" hidden="1" customHeight="1" x14ac:dyDescent="0.15">
      <c r="E54" s="552">
        <v>15</v>
      </c>
      <c r="F54" s="3" cm="1">
        <f t="array" aca="1" ref="F54" ca="1">OFFSET(E54,-1,1)</f>
        <v>0</v>
      </c>
      <c r="G54" s="23" t="s">
        <v>583</v>
      </c>
      <c r="T54" s="388" t="b" cm="1">
        <f t="array" ref="T54">T53</f>
        <v>0</v>
      </c>
      <c r="X54" s="2066"/>
      <c r="Z54" s="2067"/>
      <c r="AB54" s="7" t="s">
        <v>710</v>
      </c>
      <c r="AC54" s="133" t="s">
        <v>914</v>
      </c>
      <c r="AD54" s="8" t="s">
        <v>831</v>
      </c>
      <c r="AE54" s="1403">
        <f t="shared" ref="AE54:BB54" si="12">(AE48+AE30)/2</f>
        <v>0</v>
      </c>
      <c r="AF54" s="1403">
        <f t="shared" si="12"/>
        <v>0</v>
      </c>
      <c r="AG54" s="1403">
        <f t="shared" si="12"/>
        <v>0</v>
      </c>
      <c r="AH54" s="1403">
        <f t="shared" si="12"/>
        <v>0</v>
      </c>
      <c r="AI54" s="134">
        <f t="shared" si="12"/>
        <v>0</v>
      </c>
      <c r="AJ54" s="1403">
        <f t="shared" si="12"/>
        <v>0</v>
      </c>
      <c r="AK54" s="1403">
        <f t="shared" si="12"/>
        <v>0</v>
      </c>
      <c r="AL54" s="1403">
        <f t="shared" si="12"/>
        <v>0</v>
      </c>
      <c r="AM54" s="1403">
        <f t="shared" si="12"/>
        <v>0</v>
      </c>
      <c r="AN54" s="1403">
        <f t="shared" si="12"/>
        <v>0</v>
      </c>
      <c r="AO54" s="1403">
        <f t="shared" si="12"/>
        <v>0</v>
      </c>
      <c r="AP54" s="1403">
        <f t="shared" si="12"/>
        <v>0</v>
      </c>
      <c r="AQ54" s="1403">
        <f t="shared" si="12"/>
        <v>0</v>
      </c>
      <c r="AR54" s="1403">
        <f t="shared" si="12"/>
        <v>0</v>
      </c>
      <c r="AS54" s="134">
        <f t="shared" si="12"/>
        <v>0</v>
      </c>
      <c r="AT54" s="1403">
        <f t="shared" si="12"/>
        <v>0</v>
      </c>
      <c r="AU54" s="1403">
        <f t="shared" si="12"/>
        <v>0</v>
      </c>
      <c r="AV54" s="1403">
        <f t="shared" si="12"/>
        <v>0</v>
      </c>
      <c r="AW54" s="1403">
        <f t="shared" si="12"/>
        <v>0</v>
      </c>
      <c r="AX54" s="1403">
        <f t="shared" si="12"/>
        <v>0</v>
      </c>
      <c r="AY54" s="1403">
        <f t="shared" si="12"/>
        <v>0</v>
      </c>
      <c r="AZ54" s="1403">
        <f t="shared" si="12"/>
        <v>0</v>
      </c>
      <c r="BA54" s="1403">
        <f t="shared" si="12"/>
        <v>0</v>
      </c>
      <c r="BB54" s="1403">
        <f t="shared" si="12"/>
        <v>0</v>
      </c>
      <c r="BC54" s="1365"/>
      <c r="BF54" s="943" t="s">
        <v>964</v>
      </c>
    </row>
    <row r="55" spans="2:58" ht="14.65" hidden="1" customHeight="1" x14ac:dyDescent="0.15">
      <c r="E55" s="552">
        <v>15</v>
      </c>
      <c r="F55" s="3" cm="1">
        <f t="array" aca="1" ref="F55" ca="1">OFFSET(E55,-1,1)</f>
        <v>0</v>
      </c>
      <c r="G55" s="23" t="s">
        <v>795</v>
      </c>
      <c r="T55" s="388" t="b" cm="1">
        <f t="array" ref="T55">T54</f>
        <v>0</v>
      </c>
      <c r="X55" s="2066"/>
      <c r="Z55" s="2067"/>
      <c r="AB55" s="7" t="s">
        <v>965</v>
      </c>
      <c r="AC55" s="133" t="s">
        <v>917</v>
      </c>
      <c r="AD55" s="8" t="s">
        <v>831</v>
      </c>
      <c r="AE55" s="1403">
        <f t="shared" ref="AE55:BB55" si="13">(AE49+AE31)/2</f>
        <v>0</v>
      </c>
      <c r="AF55" s="1403">
        <f t="shared" si="13"/>
        <v>0</v>
      </c>
      <c r="AG55" s="1403">
        <f t="shared" si="13"/>
        <v>0</v>
      </c>
      <c r="AH55" s="1403">
        <f t="shared" si="13"/>
        <v>0</v>
      </c>
      <c r="AI55" s="134">
        <f t="shared" si="13"/>
        <v>0</v>
      </c>
      <c r="AJ55" s="1403">
        <f t="shared" si="13"/>
        <v>0</v>
      </c>
      <c r="AK55" s="1403">
        <f t="shared" si="13"/>
        <v>0</v>
      </c>
      <c r="AL55" s="1403">
        <f t="shared" si="13"/>
        <v>0</v>
      </c>
      <c r="AM55" s="1403">
        <f t="shared" si="13"/>
        <v>0</v>
      </c>
      <c r="AN55" s="1403">
        <f t="shared" si="13"/>
        <v>0</v>
      </c>
      <c r="AO55" s="1403">
        <f t="shared" si="13"/>
        <v>0</v>
      </c>
      <c r="AP55" s="1403">
        <f t="shared" si="13"/>
        <v>0</v>
      </c>
      <c r="AQ55" s="1403">
        <f t="shared" si="13"/>
        <v>0</v>
      </c>
      <c r="AR55" s="1403">
        <f t="shared" si="13"/>
        <v>0</v>
      </c>
      <c r="AS55" s="134">
        <f t="shared" si="13"/>
        <v>0</v>
      </c>
      <c r="AT55" s="1403">
        <f t="shared" si="13"/>
        <v>0</v>
      </c>
      <c r="AU55" s="1403">
        <f t="shared" si="13"/>
        <v>0</v>
      </c>
      <c r="AV55" s="1403">
        <f t="shared" si="13"/>
        <v>0</v>
      </c>
      <c r="AW55" s="1403">
        <f t="shared" si="13"/>
        <v>0</v>
      </c>
      <c r="AX55" s="1403">
        <f t="shared" si="13"/>
        <v>0</v>
      </c>
      <c r="AY55" s="1403">
        <f t="shared" si="13"/>
        <v>0</v>
      </c>
      <c r="AZ55" s="1403">
        <f t="shared" si="13"/>
        <v>0</v>
      </c>
      <c r="BA55" s="1403">
        <f t="shared" si="13"/>
        <v>0</v>
      </c>
      <c r="BB55" s="1403">
        <f t="shared" si="13"/>
        <v>0</v>
      </c>
      <c r="BC55" s="1365"/>
      <c r="BF55" s="943" t="s">
        <v>966</v>
      </c>
    </row>
    <row r="56" spans="2:58" ht="14.65" hidden="1" customHeight="1" x14ac:dyDescent="0.15">
      <c r="E56" s="552">
        <v>15</v>
      </c>
      <c r="F56" s="3" cm="1">
        <f t="array" aca="1" ref="F56" ca="1">OFFSET(E56,-1,1)</f>
        <v>0</v>
      </c>
      <c r="G56" s="23" t="s">
        <v>967</v>
      </c>
      <c r="T56" s="388" t="b" cm="1">
        <f t="array" ref="T56">T55</f>
        <v>0</v>
      </c>
      <c r="X56" s="2066"/>
      <c r="Z56" s="2067"/>
      <c r="AB56" s="7" t="s">
        <v>968</v>
      </c>
      <c r="AC56" s="133" t="s">
        <v>920</v>
      </c>
      <c r="AD56" s="8" t="s">
        <v>831</v>
      </c>
      <c r="AE56" s="1403">
        <f t="shared" ref="AE56:BB56" si="14">(AE50+AE32)/2</f>
        <v>0</v>
      </c>
      <c r="AF56" s="1403">
        <f t="shared" si="14"/>
        <v>0</v>
      </c>
      <c r="AG56" s="1403">
        <f t="shared" si="14"/>
        <v>0</v>
      </c>
      <c r="AH56" s="1403">
        <f t="shared" si="14"/>
        <v>0</v>
      </c>
      <c r="AI56" s="134">
        <f t="shared" si="14"/>
        <v>0</v>
      </c>
      <c r="AJ56" s="1403">
        <f t="shared" si="14"/>
        <v>0</v>
      </c>
      <c r="AK56" s="1403">
        <f t="shared" si="14"/>
        <v>0</v>
      </c>
      <c r="AL56" s="1403">
        <f t="shared" si="14"/>
        <v>0</v>
      </c>
      <c r="AM56" s="1403">
        <f t="shared" si="14"/>
        <v>0</v>
      </c>
      <c r="AN56" s="1403">
        <f t="shared" si="14"/>
        <v>0</v>
      </c>
      <c r="AO56" s="1403">
        <f t="shared" si="14"/>
        <v>0</v>
      </c>
      <c r="AP56" s="1403">
        <f t="shared" si="14"/>
        <v>0</v>
      </c>
      <c r="AQ56" s="1403">
        <f t="shared" si="14"/>
        <v>0</v>
      </c>
      <c r="AR56" s="1403">
        <f t="shared" si="14"/>
        <v>0</v>
      </c>
      <c r="AS56" s="134">
        <f t="shared" si="14"/>
        <v>0</v>
      </c>
      <c r="AT56" s="1403">
        <f t="shared" si="14"/>
        <v>0</v>
      </c>
      <c r="AU56" s="1403">
        <f t="shared" si="14"/>
        <v>0</v>
      </c>
      <c r="AV56" s="1403">
        <f t="shared" si="14"/>
        <v>0</v>
      </c>
      <c r="AW56" s="1403">
        <f t="shared" si="14"/>
        <v>0</v>
      </c>
      <c r="AX56" s="1403">
        <f t="shared" si="14"/>
        <v>0</v>
      </c>
      <c r="AY56" s="1403">
        <f t="shared" si="14"/>
        <v>0</v>
      </c>
      <c r="AZ56" s="1403">
        <f t="shared" si="14"/>
        <v>0</v>
      </c>
      <c r="BA56" s="1403">
        <f t="shared" si="14"/>
        <v>0</v>
      </c>
      <c r="BB56" s="1403">
        <f t="shared" si="14"/>
        <v>0</v>
      </c>
      <c r="BC56" s="1365"/>
      <c r="BF56" s="943" t="s">
        <v>969</v>
      </c>
    </row>
    <row r="57" spans="2:58" ht="14.65" hidden="1" customHeight="1" x14ac:dyDescent="0.15">
      <c r="E57" s="552">
        <v>15</v>
      </c>
      <c r="F57" s="3" cm="1">
        <f t="array" aca="1" ref="F57" ca="1">OFFSET(E57,-1,1)</f>
        <v>0</v>
      </c>
      <c r="G57" s="23" t="s">
        <v>970</v>
      </c>
      <c r="T57" s="388" t="b" cm="1">
        <f t="array" ref="T57">T56</f>
        <v>0</v>
      </c>
      <c r="X57" s="2066"/>
      <c r="Z57" s="2067"/>
      <c r="AB57" s="7" t="s">
        <v>971</v>
      </c>
      <c r="AC57" s="133" t="s">
        <v>924</v>
      </c>
      <c r="AD57" s="8" t="s">
        <v>831</v>
      </c>
      <c r="AE57" s="1403">
        <f t="shared" ref="AE57:BB57" si="15">(AE51+AE33)/2</f>
        <v>0</v>
      </c>
      <c r="AF57" s="1403">
        <f t="shared" si="15"/>
        <v>0</v>
      </c>
      <c r="AG57" s="1403">
        <f t="shared" si="15"/>
        <v>0</v>
      </c>
      <c r="AH57" s="1403">
        <f t="shared" si="15"/>
        <v>0</v>
      </c>
      <c r="AI57" s="134">
        <f t="shared" si="15"/>
        <v>0</v>
      </c>
      <c r="AJ57" s="1403">
        <f t="shared" si="15"/>
        <v>0</v>
      </c>
      <c r="AK57" s="1403">
        <f t="shared" si="15"/>
        <v>0</v>
      </c>
      <c r="AL57" s="1403">
        <f t="shared" si="15"/>
        <v>0</v>
      </c>
      <c r="AM57" s="1403">
        <f t="shared" si="15"/>
        <v>0</v>
      </c>
      <c r="AN57" s="1403">
        <f t="shared" si="15"/>
        <v>0</v>
      </c>
      <c r="AO57" s="1403">
        <f t="shared" si="15"/>
        <v>0</v>
      </c>
      <c r="AP57" s="1403">
        <f t="shared" si="15"/>
        <v>0</v>
      </c>
      <c r="AQ57" s="1403">
        <f t="shared" si="15"/>
        <v>0</v>
      </c>
      <c r="AR57" s="1403">
        <f t="shared" si="15"/>
        <v>0</v>
      </c>
      <c r="AS57" s="134">
        <f t="shared" si="15"/>
        <v>0</v>
      </c>
      <c r="AT57" s="1403">
        <f t="shared" si="15"/>
        <v>0</v>
      </c>
      <c r="AU57" s="1403">
        <f t="shared" si="15"/>
        <v>0</v>
      </c>
      <c r="AV57" s="1403">
        <f t="shared" si="15"/>
        <v>0</v>
      </c>
      <c r="AW57" s="1403">
        <f t="shared" si="15"/>
        <v>0</v>
      </c>
      <c r="AX57" s="1403">
        <f t="shared" si="15"/>
        <v>0</v>
      </c>
      <c r="AY57" s="1403">
        <f t="shared" si="15"/>
        <v>0</v>
      </c>
      <c r="AZ57" s="1403">
        <f t="shared" si="15"/>
        <v>0</v>
      </c>
      <c r="BA57" s="1403">
        <f t="shared" si="15"/>
        <v>0</v>
      </c>
      <c r="BB57" s="1403">
        <f t="shared" si="15"/>
        <v>0</v>
      </c>
      <c r="BC57" s="1365"/>
      <c r="BF57" s="943" t="s">
        <v>972</v>
      </c>
    </row>
    <row r="58" spans="2:58" s="448" customFormat="1" ht="21.95" hidden="1" customHeight="1" x14ac:dyDescent="0.15">
      <c r="B58" s="353"/>
      <c r="E58" s="593">
        <v>22.5</v>
      </c>
      <c r="F58" s="3" cm="1">
        <f t="array" aca="1" ref="F58" ca="1">OFFSET(E58,-1,1)</f>
        <v>0</v>
      </c>
      <c r="G58" s="23" t="s">
        <v>544</v>
      </c>
      <c r="T58" s="388" t="b" cm="1">
        <f t="array" ref="T58">T57</f>
        <v>0</v>
      </c>
      <c r="X58" s="2066"/>
      <c r="Z58" s="2067"/>
      <c r="AB58" s="130">
        <v>6</v>
      </c>
      <c r="AC58" s="131" t="s">
        <v>973</v>
      </c>
      <c r="AD58" s="130"/>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65"/>
      <c r="BF58" s="943" t="s">
        <v>974</v>
      </c>
    </row>
    <row r="59" spans="2:58" ht="14.65" hidden="1" customHeight="1" x14ac:dyDescent="0.15">
      <c r="E59" s="552">
        <v>15</v>
      </c>
      <c r="F59" s="3" cm="1">
        <f t="array" aca="1" ref="F59" ca="1">OFFSET(E59,-1,1)</f>
        <v>0</v>
      </c>
      <c r="G59" s="23" t="s">
        <v>699</v>
      </c>
      <c r="T59" s="388" t="b" cm="1">
        <f t="array" ref="T59">T58</f>
        <v>0</v>
      </c>
      <c r="X59" s="2066"/>
      <c r="Z59" s="2067"/>
      <c r="AB59" s="7" t="s">
        <v>595</v>
      </c>
      <c r="AC59" s="133" t="s">
        <v>911</v>
      </c>
      <c r="AD59" s="7" t="s">
        <v>490</v>
      </c>
      <c r="AE59" s="1403">
        <f t="shared" ref="AE59:BB59" si="16">IF(AE53=0,0,AE65/AE53*100)</f>
        <v>0</v>
      </c>
      <c r="AF59" s="1403">
        <f t="shared" si="16"/>
        <v>0</v>
      </c>
      <c r="AG59" s="1403">
        <f t="shared" si="16"/>
        <v>0</v>
      </c>
      <c r="AH59" s="1403">
        <f t="shared" si="16"/>
        <v>0</v>
      </c>
      <c r="AI59" s="134">
        <f t="shared" si="16"/>
        <v>0</v>
      </c>
      <c r="AJ59" s="1403">
        <f t="shared" si="16"/>
        <v>0</v>
      </c>
      <c r="AK59" s="1403">
        <f t="shared" si="16"/>
        <v>0</v>
      </c>
      <c r="AL59" s="1403">
        <f t="shared" si="16"/>
        <v>0</v>
      </c>
      <c r="AM59" s="1403">
        <f t="shared" si="16"/>
        <v>0</v>
      </c>
      <c r="AN59" s="1403">
        <f t="shared" si="16"/>
        <v>0</v>
      </c>
      <c r="AO59" s="1403">
        <f t="shared" si="16"/>
        <v>0</v>
      </c>
      <c r="AP59" s="1403">
        <f t="shared" si="16"/>
        <v>0</v>
      </c>
      <c r="AQ59" s="1403">
        <f t="shared" si="16"/>
        <v>0</v>
      </c>
      <c r="AR59" s="1403">
        <f t="shared" si="16"/>
        <v>0</v>
      </c>
      <c r="AS59" s="134">
        <f t="shared" si="16"/>
        <v>0</v>
      </c>
      <c r="AT59" s="1403">
        <f t="shared" si="16"/>
        <v>0</v>
      </c>
      <c r="AU59" s="1403">
        <f t="shared" si="16"/>
        <v>0</v>
      </c>
      <c r="AV59" s="1403">
        <f t="shared" si="16"/>
        <v>0</v>
      </c>
      <c r="AW59" s="1403">
        <f t="shared" si="16"/>
        <v>0</v>
      </c>
      <c r="AX59" s="1403">
        <f t="shared" si="16"/>
        <v>0</v>
      </c>
      <c r="AY59" s="1403">
        <f t="shared" si="16"/>
        <v>0</v>
      </c>
      <c r="AZ59" s="1403">
        <f t="shared" si="16"/>
        <v>0</v>
      </c>
      <c r="BA59" s="1403">
        <f t="shared" si="16"/>
        <v>0</v>
      </c>
      <c r="BB59" s="1403">
        <f t="shared" si="16"/>
        <v>0</v>
      </c>
      <c r="BC59" s="1365"/>
      <c r="BF59" s="943" t="s">
        <v>975</v>
      </c>
    </row>
    <row r="60" spans="2:58" ht="14.65" hidden="1" customHeight="1" x14ac:dyDescent="0.15">
      <c r="E60" s="552">
        <v>15</v>
      </c>
      <c r="F60" s="3" cm="1">
        <f t="array" aca="1" ref="F60" ca="1">OFFSET(E60,-1,1)</f>
        <v>0</v>
      </c>
      <c r="G60" s="23" t="s">
        <v>702</v>
      </c>
      <c r="T60" s="388" t="b" cm="1">
        <f t="array" ref="T60">T59</f>
        <v>0</v>
      </c>
      <c r="X60" s="2066"/>
      <c r="Z60" s="2067"/>
      <c r="AB60" s="7" t="s">
        <v>599</v>
      </c>
      <c r="AC60" s="133" t="s">
        <v>914</v>
      </c>
      <c r="AD60" s="7" t="s">
        <v>490</v>
      </c>
      <c r="AE60" s="1403">
        <f t="shared" ref="AE60:BB60" si="17">IF(AE54=0,0,AE66/AE54*100)</f>
        <v>0</v>
      </c>
      <c r="AF60" s="1403">
        <f t="shared" si="17"/>
        <v>0</v>
      </c>
      <c r="AG60" s="1403">
        <f t="shared" si="17"/>
        <v>0</v>
      </c>
      <c r="AH60" s="1403">
        <f t="shared" si="17"/>
        <v>0</v>
      </c>
      <c r="AI60" s="134">
        <f t="shared" si="17"/>
        <v>0</v>
      </c>
      <c r="AJ60" s="1403">
        <f t="shared" si="17"/>
        <v>0</v>
      </c>
      <c r="AK60" s="1403">
        <f t="shared" si="17"/>
        <v>0</v>
      </c>
      <c r="AL60" s="1403">
        <f t="shared" si="17"/>
        <v>0</v>
      </c>
      <c r="AM60" s="1403">
        <f t="shared" si="17"/>
        <v>0</v>
      </c>
      <c r="AN60" s="1403">
        <f t="shared" si="17"/>
        <v>0</v>
      </c>
      <c r="AO60" s="1403">
        <f t="shared" si="17"/>
        <v>0</v>
      </c>
      <c r="AP60" s="1403">
        <f t="shared" si="17"/>
        <v>0</v>
      </c>
      <c r="AQ60" s="1403">
        <f t="shared" si="17"/>
        <v>0</v>
      </c>
      <c r="AR60" s="1403">
        <f t="shared" si="17"/>
        <v>0</v>
      </c>
      <c r="AS60" s="134">
        <f t="shared" si="17"/>
        <v>0</v>
      </c>
      <c r="AT60" s="1403">
        <f t="shared" si="17"/>
        <v>0</v>
      </c>
      <c r="AU60" s="1403">
        <f t="shared" si="17"/>
        <v>0</v>
      </c>
      <c r="AV60" s="1403">
        <f t="shared" si="17"/>
        <v>0</v>
      </c>
      <c r="AW60" s="1403">
        <f t="shared" si="17"/>
        <v>0</v>
      </c>
      <c r="AX60" s="1403">
        <f t="shared" si="17"/>
        <v>0</v>
      </c>
      <c r="AY60" s="1403">
        <f t="shared" si="17"/>
        <v>0</v>
      </c>
      <c r="AZ60" s="1403">
        <f t="shared" si="17"/>
        <v>0</v>
      </c>
      <c r="BA60" s="1403">
        <f t="shared" si="17"/>
        <v>0</v>
      </c>
      <c r="BB60" s="1403">
        <f t="shared" si="17"/>
        <v>0</v>
      </c>
      <c r="BC60" s="1365"/>
      <c r="BF60" s="943" t="s">
        <v>976</v>
      </c>
    </row>
    <row r="61" spans="2:58" ht="14.65" hidden="1" customHeight="1" x14ac:dyDescent="0.15">
      <c r="E61" s="552">
        <v>15</v>
      </c>
      <c r="F61" s="3" cm="1">
        <f t="array" aca="1" ref="F61" ca="1">OFFSET(E61,-1,1)</f>
        <v>0</v>
      </c>
      <c r="G61" s="23" t="s">
        <v>736</v>
      </c>
      <c r="T61" s="388" t="b" cm="1">
        <f t="array" ref="T61">T60</f>
        <v>0</v>
      </c>
      <c r="X61" s="2066"/>
      <c r="Z61" s="2067"/>
      <c r="AB61" s="7" t="s">
        <v>603</v>
      </c>
      <c r="AC61" s="133" t="s">
        <v>917</v>
      </c>
      <c r="AD61" s="7" t="s">
        <v>490</v>
      </c>
      <c r="AE61" s="1403">
        <f t="shared" ref="AE61:BB61" si="18">IF(AE55=0,0,AE67/AE55*100)</f>
        <v>0</v>
      </c>
      <c r="AF61" s="1403">
        <f t="shared" si="18"/>
        <v>0</v>
      </c>
      <c r="AG61" s="1403">
        <f t="shared" si="18"/>
        <v>0</v>
      </c>
      <c r="AH61" s="1403">
        <f t="shared" si="18"/>
        <v>0</v>
      </c>
      <c r="AI61" s="134">
        <f t="shared" si="18"/>
        <v>0</v>
      </c>
      <c r="AJ61" s="1403">
        <f t="shared" si="18"/>
        <v>0</v>
      </c>
      <c r="AK61" s="1403">
        <f t="shared" si="18"/>
        <v>0</v>
      </c>
      <c r="AL61" s="1403">
        <f t="shared" si="18"/>
        <v>0</v>
      </c>
      <c r="AM61" s="1403">
        <f t="shared" si="18"/>
        <v>0</v>
      </c>
      <c r="AN61" s="1403">
        <f t="shared" si="18"/>
        <v>0</v>
      </c>
      <c r="AO61" s="1403">
        <f t="shared" si="18"/>
        <v>0</v>
      </c>
      <c r="AP61" s="1403">
        <f t="shared" si="18"/>
        <v>0</v>
      </c>
      <c r="AQ61" s="1403">
        <f t="shared" si="18"/>
        <v>0</v>
      </c>
      <c r="AR61" s="1403">
        <f t="shared" si="18"/>
        <v>0</v>
      </c>
      <c r="AS61" s="134">
        <f t="shared" si="18"/>
        <v>0</v>
      </c>
      <c r="AT61" s="1403">
        <f t="shared" si="18"/>
        <v>0</v>
      </c>
      <c r="AU61" s="1403">
        <f t="shared" si="18"/>
        <v>0</v>
      </c>
      <c r="AV61" s="1403">
        <f t="shared" si="18"/>
        <v>0</v>
      </c>
      <c r="AW61" s="1403">
        <f t="shared" si="18"/>
        <v>0</v>
      </c>
      <c r="AX61" s="1403">
        <f t="shared" si="18"/>
        <v>0</v>
      </c>
      <c r="AY61" s="1403">
        <f t="shared" si="18"/>
        <v>0</v>
      </c>
      <c r="AZ61" s="1403">
        <f t="shared" si="18"/>
        <v>0</v>
      </c>
      <c r="BA61" s="1403">
        <f t="shared" si="18"/>
        <v>0</v>
      </c>
      <c r="BB61" s="1403">
        <f t="shared" si="18"/>
        <v>0</v>
      </c>
      <c r="BC61" s="1365"/>
      <c r="BF61" s="943" t="s">
        <v>977</v>
      </c>
    </row>
    <row r="62" spans="2:58" ht="14.65" hidden="1" customHeight="1" x14ac:dyDescent="0.15">
      <c r="E62" s="552">
        <v>15</v>
      </c>
      <c r="F62" s="3" cm="1">
        <f t="array" aca="1" ref="F62" ca="1">OFFSET(E62,-1,1)</f>
        <v>0</v>
      </c>
      <c r="G62" s="23" t="s">
        <v>745</v>
      </c>
      <c r="T62" s="388" t="b" cm="1">
        <f t="array" ref="T62">T61</f>
        <v>0</v>
      </c>
      <c r="X62" s="2066"/>
      <c r="Z62" s="2067"/>
      <c r="AB62" s="7" t="s">
        <v>978</v>
      </c>
      <c r="AC62" s="133" t="s">
        <v>920</v>
      </c>
      <c r="AD62" s="7" t="s">
        <v>490</v>
      </c>
      <c r="AE62" s="1403">
        <f t="shared" ref="AE62:BB62" si="19">IF(AE56=0,0,AE68/AE56*100)</f>
        <v>0</v>
      </c>
      <c r="AF62" s="1403">
        <f t="shared" si="19"/>
        <v>0</v>
      </c>
      <c r="AG62" s="1403">
        <f t="shared" si="19"/>
        <v>0</v>
      </c>
      <c r="AH62" s="1403">
        <f t="shared" si="19"/>
        <v>0</v>
      </c>
      <c r="AI62" s="134">
        <f t="shared" si="19"/>
        <v>0</v>
      </c>
      <c r="AJ62" s="1403">
        <f t="shared" si="19"/>
        <v>0</v>
      </c>
      <c r="AK62" s="1403">
        <f t="shared" si="19"/>
        <v>0</v>
      </c>
      <c r="AL62" s="1403">
        <f t="shared" si="19"/>
        <v>0</v>
      </c>
      <c r="AM62" s="1403">
        <f t="shared" si="19"/>
        <v>0</v>
      </c>
      <c r="AN62" s="1403">
        <f t="shared" si="19"/>
        <v>0</v>
      </c>
      <c r="AO62" s="1403">
        <f t="shared" si="19"/>
        <v>0</v>
      </c>
      <c r="AP62" s="1403">
        <f t="shared" si="19"/>
        <v>0</v>
      </c>
      <c r="AQ62" s="1403">
        <f t="shared" si="19"/>
        <v>0</v>
      </c>
      <c r="AR62" s="1403">
        <f t="shared" si="19"/>
        <v>0</v>
      </c>
      <c r="AS62" s="134">
        <f t="shared" si="19"/>
        <v>0</v>
      </c>
      <c r="AT62" s="1403">
        <f t="shared" si="19"/>
        <v>0</v>
      </c>
      <c r="AU62" s="1403">
        <f t="shared" si="19"/>
        <v>0</v>
      </c>
      <c r="AV62" s="1403">
        <f t="shared" si="19"/>
        <v>0</v>
      </c>
      <c r="AW62" s="1403">
        <f t="shared" si="19"/>
        <v>0</v>
      </c>
      <c r="AX62" s="1403">
        <f t="shared" si="19"/>
        <v>0</v>
      </c>
      <c r="AY62" s="1403">
        <f t="shared" si="19"/>
        <v>0</v>
      </c>
      <c r="AZ62" s="1403">
        <f t="shared" si="19"/>
        <v>0</v>
      </c>
      <c r="BA62" s="1403">
        <f t="shared" si="19"/>
        <v>0</v>
      </c>
      <c r="BB62" s="1403">
        <f t="shared" si="19"/>
        <v>0</v>
      </c>
      <c r="BC62" s="1365"/>
      <c r="BF62" s="943" t="s">
        <v>979</v>
      </c>
    </row>
    <row r="63" spans="2:58" ht="14.65" hidden="1" customHeight="1" x14ac:dyDescent="0.15">
      <c r="E63" s="552">
        <v>15</v>
      </c>
      <c r="F63" s="3" cm="1">
        <f t="array" aca="1" ref="F63" ca="1">OFFSET(E63,-1,1)</f>
        <v>0</v>
      </c>
      <c r="G63" s="23" t="s">
        <v>755</v>
      </c>
      <c r="T63" s="388" t="b" cm="1">
        <f t="array" ref="T63">T62</f>
        <v>0</v>
      </c>
      <c r="X63" s="2066"/>
      <c r="Z63" s="2067"/>
      <c r="AB63" s="7" t="s">
        <v>980</v>
      </c>
      <c r="AC63" s="133" t="s">
        <v>924</v>
      </c>
      <c r="AD63" s="7" t="s">
        <v>490</v>
      </c>
      <c r="AE63" s="1403">
        <f t="shared" ref="AE63:BB63" si="20">IF(AE57=0,0,AE69/AE57*100)</f>
        <v>0</v>
      </c>
      <c r="AF63" s="1403">
        <f t="shared" si="20"/>
        <v>0</v>
      </c>
      <c r="AG63" s="1403">
        <f t="shared" si="20"/>
        <v>0</v>
      </c>
      <c r="AH63" s="1403">
        <f t="shared" si="20"/>
        <v>0</v>
      </c>
      <c r="AI63" s="134">
        <f t="shared" si="20"/>
        <v>0</v>
      </c>
      <c r="AJ63" s="1403">
        <f t="shared" si="20"/>
        <v>0</v>
      </c>
      <c r="AK63" s="1403">
        <f t="shared" si="20"/>
        <v>0</v>
      </c>
      <c r="AL63" s="1403">
        <f t="shared" si="20"/>
        <v>0</v>
      </c>
      <c r="AM63" s="1403">
        <f t="shared" si="20"/>
        <v>0</v>
      </c>
      <c r="AN63" s="1403">
        <f t="shared" si="20"/>
        <v>0</v>
      </c>
      <c r="AO63" s="1403">
        <f t="shared" si="20"/>
        <v>0</v>
      </c>
      <c r="AP63" s="1403">
        <f t="shared" si="20"/>
        <v>0</v>
      </c>
      <c r="AQ63" s="1403">
        <f t="shared" si="20"/>
        <v>0</v>
      </c>
      <c r="AR63" s="1403">
        <f t="shared" si="20"/>
        <v>0</v>
      </c>
      <c r="AS63" s="134">
        <f t="shared" si="20"/>
        <v>0</v>
      </c>
      <c r="AT63" s="1403">
        <f t="shared" si="20"/>
        <v>0</v>
      </c>
      <c r="AU63" s="1403">
        <f t="shared" si="20"/>
        <v>0</v>
      </c>
      <c r="AV63" s="1403">
        <f t="shared" si="20"/>
        <v>0</v>
      </c>
      <c r="AW63" s="1403">
        <f t="shared" si="20"/>
        <v>0</v>
      </c>
      <c r="AX63" s="1403">
        <f t="shared" si="20"/>
        <v>0</v>
      </c>
      <c r="AY63" s="1403">
        <f t="shared" si="20"/>
        <v>0</v>
      </c>
      <c r="AZ63" s="1403">
        <f t="shared" si="20"/>
        <v>0</v>
      </c>
      <c r="BA63" s="1403">
        <f t="shared" si="20"/>
        <v>0</v>
      </c>
      <c r="BB63" s="1403">
        <f t="shared" si="20"/>
        <v>0</v>
      </c>
      <c r="BC63" s="1365"/>
      <c r="BF63" s="943" t="s">
        <v>981</v>
      </c>
    </row>
    <row r="64" spans="2:58" s="448" customFormat="1" ht="14.65" hidden="1" customHeight="1" x14ac:dyDescent="0.15">
      <c r="B64" s="353"/>
      <c r="E64" s="552">
        <v>15</v>
      </c>
      <c r="F64" s="3" cm="1">
        <f t="array" aca="1" ref="F64" ca="1">OFFSET(E64,-1,1)</f>
        <v>0</v>
      </c>
      <c r="G64" s="23" t="s">
        <v>547</v>
      </c>
      <c r="K64" s="43" t="str">
        <f ca="1">F64&amp;"komm"</f>
        <v>0komm</v>
      </c>
      <c r="L64" s="832" cm="1">
        <f t="array" ref="L64">BC64</f>
        <v>0</v>
      </c>
      <c r="T64" s="388" t="b" cm="1">
        <f t="array" ref="T64">T63</f>
        <v>0</v>
      </c>
      <c r="X64" s="2066"/>
      <c r="Z64" s="2067"/>
      <c r="AB64" s="130">
        <v>7</v>
      </c>
      <c r="AC64" s="131" t="s">
        <v>982</v>
      </c>
      <c r="AD64" s="8" t="s">
        <v>831</v>
      </c>
      <c r="AE64" s="1402">
        <f t="shared" ref="AE64:BB64" si="21">SUM(AE65:AE69)</f>
        <v>0</v>
      </c>
      <c r="AF64" s="1402">
        <f t="shared" si="21"/>
        <v>0</v>
      </c>
      <c r="AG64" s="1402">
        <f t="shared" si="21"/>
        <v>0</v>
      </c>
      <c r="AH64" s="1402">
        <f t="shared" si="21"/>
        <v>0</v>
      </c>
      <c r="AI64" s="1105">
        <f t="shared" si="21"/>
        <v>0</v>
      </c>
      <c r="AJ64" s="1402">
        <f t="shared" si="21"/>
        <v>0</v>
      </c>
      <c r="AK64" s="1402">
        <f t="shared" si="21"/>
        <v>0</v>
      </c>
      <c r="AL64" s="1402">
        <f t="shared" si="21"/>
        <v>0</v>
      </c>
      <c r="AM64" s="1402">
        <f t="shared" si="21"/>
        <v>0</v>
      </c>
      <c r="AN64" s="1402">
        <f t="shared" si="21"/>
        <v>0</v>
      </c>
      <c r="AO64" s="1402">
        <f t="shared" si="21"/>
        <v>0</v>
      </c>
      <c r="AP64" s="1402">
        <f t="shared" si="21"/>
        <v>0</v>
      </c>
      <c r="AQ64" s="1402">
        <f t="shared" si="21"/>
        <v>0</v>
      </c>
      <c r="AR64" s="1402">
        <f t="shared" si="21"/>
        <v>0</v>
      </c>
      <c r="AS64" s="1105">
        <f t="shared" si="21"/>
        <v>0</v>
      </c>
      <c r="AT64" s="1402">
        <f t="shared" si="21"/>
        <v>0</v>
      </c>
      <c r="AU64" s="1402">
        <f t="shared" si="21"/>
        <v>0</v>
      </c>
      <c r="AV64" s="1402">
        <f t="shared" si="21"/>
        <v>0</v>
      </c>
      <c r="AW64" s="1402">
        <f t="shared" si="21"/>
        <v>0</v>
      </c>
      <c r="AX64" s="1402">
        <f t="shared" si="21"/>
        <v>0</v>
      </c>
      <c r="AY64" s="1402">
        <f t="shared" si="21"/>
        <v>0</v>
      </c>
      <c r="AZ64" s="1402">
        <f t="shared" si="21"/>
        <v>0</v>
      </c>
      <c r="BA64" s="1402">
        <f t="shared" si="21"/>
        <v>0</v>
      </c>
      <c r="BB64" s="1402">
        <f t="shared" si="21"/>
        <v>0</v>
      </c>
      <c r="BC64" s="1365"/>
      <c r="BF64" s="943" t="s">
        <v>983</v>
      </c>
    </row>
    <row r="65" spans="1:58" ht="14.65" hidden="1" customHeight="1" x14ac:dyDescent="0.15">
      <c r="E65" s="552">
        <v>15</v>
      </c>
      <c r="F65" s="3" cm="1">
        <f t="array" aca="1" ref="F65" ca="1">OFFSET(E65,-1,1)</f>
        <v>0</v>
      </c>
      <c r="G65" s="23" t="s">
        <v>706</v>
      </c>
      <c r="T65" s="388" t="b" cm="1">
        <f t="array" ref="T65">T64</f>
        <v>0</v>
      </c>
      <c r="X65" s="2066"/>
      <c r="Z65" s="2067"/>
      <c r="AB65" s="7" t="s">
        <v>610</v>
      </c>
      <c r="AC65" s="133" t="s">
        <v>911</v>
      </c>
      <c r="AD65" s="8" t="s">
        <v>831</v>
      </c>
      <c r="AE65" s="1403"/>
      <c r="AF65" s="1403"/>
      <c r="AG65" s="1403"/>
      <c r="AH65" s="1403"/>
      <c r="AI65" s="134"/>
      <c r="AJ65" s="1403"/>
      <c r="AK65" s="1403"/>
      <c r="AL65" s="1403"/>
      <c r="AM65" s="1403"/>
      <c r="AN65" s="1403"/>
      <c r="AO65" s="1403"/>
      <c r="AP65" s="1403"/>
      <c r="AQ65" s="1403"/>
      <c r="AR65" s="1403"/>
      <c r="AS65" s="134"/>
      <c r="AT65" s="1403"/>
      <c r="AU65" s="1403"/>
      <c r="AV65" s="1403"/>
      <c r="AW65" s="1403"/>
      <c r="AX65" s="1403"/>
      <c r="AY65" s="1403"/>
      <c r="AZ65" s="1403"/>
      <c r="BA65" s="1403"/>
      <c r="BB65" s="1403"/>
      <c r="BC65" s="1365"/>
      <c r="BF65" s="943" t="s">
        <v>984</v>
      </c>
    </row>
    <row r="66" spans="1:58" ht="14.65" hidden="1" customHeight="1" x14ac:dyDescent="0.15">
      <c r="E66" s="552">
        <v>15</v>
      </c>
      <c r="F66" s="3" cm="1">
        <f t="array" aca="1" ref="F66" ca="1">OFFSET(E66,-1,1)</f>
        <v>0</v>
      </c>
      <c r="G66" s="23" t="s">
        <v>709</v>
      </c>
      <c r="T66" s="388" t="b" cm="1">
        <f t="array" ref="T66">T65</f>
        <v>0</v>
      </c>
      <c r="X66" s="2066"/>
      <c r="Z66" s="2067"/>
      <c r="AB66" s="7" t="s">
        <v>985</v>
      </c>
      <c r="AC66" s="133" t="s">
        <v>914</v>
      </c>
      <c r="AD66" s="8" t="s">
        <v>831</v>
      </c>
      <c r="AE66" s="1403"/>
      <c r="AF66" s="1403"/>
      <c r="AG66" s="1403"/>
      <c r="AH66" s="1403"/>
      <c r="AI66" s="134"/>
      <c r="AJ66" s="1403"/>
      <c r="AK66" s="1403"/>
      <c r="AL66" s="1403"/>
      <c r="AM66" s="1403"/>
      <c r="AN66" s="1403"/>
      <c r="AO66" s="1403"/>
      <c r="AP66" s="1403"/>
      <c r="AQ66" s="1403"/>
      <c r="AR66" s="1403"/>
      <c r="AS66" s="134"/>
      <c r="AT66" s="1403"/>
      <c r="AU66" s="1403"/>
      <c r="AV66" s="1403"/>
      <c r="AW66" s="1403"/>
      <c r="AX66" s="1403"/>
      <c r="AY66" s="1403"/>
      <c r="AZ66" s="1403"/>
      <c r="BA66" s="1403"/>
      <c r="BB66" s="1403"/>
      <c r="BC66" s="1365"/>
      <c r="BF66" s="943" t="s">
        <v>986</v>
      </c>
    </row>
    <row r="67" spans="1:58" ht="14.65" hidden="1" customHeight="1" x14ac:dyDescent="0.15">
      <c r="E67" s="552">
        <v>15</v>
      </c>
      <c r="F67" s="3" cm="1">
        <f t="array" aca="1" ref="F67" ca="1">OFFSET(E67,-1,1)</f>
        <v>0</v>
      </c>
      <c r="G67" s="23" t="s">
        <v>987</v>
      </c>
      <c r="T67" s="388" t="b" cm="1">
        <f t="array" ref="T67">T66</f>
        <v>0</v>
      </c>
      <c r="X67" s="2066"/>
      <c r="Z67" s="2067"/>
      <c r="AB67" s="7" t="s">
        <v>988</v>
      </c>
      <c r="AC67" s="133" t="s">
        <v>917</v>
      </c>
      <c r="AD67" s="8" t="s">
        <v>831</v>
      </c>
      <c r="AE67" s="1403"/>
      <c r="AF67" s="1403"/>
      <c r="AG67" s="1403"/>
      <c r="AH67" s="1403"/>
      <c r="AI67" s="134"/>
      <c r="AJ67" s="1403"/>
      <c r="AK67" s="1403"/>
      <c r="AL67" s="1403"/>
      <c r="AM67" s="1403"/>
      <c r="AN67" s="1403"/>
      <c r="AO67" s="1403"/>
      <c r="AP67" s="1403"/>
      <c r="AQ67" s="1403"/>
      <c r="AR67" s="1403"/>
      <c r="AS67" s="134"/>
      <c r="AT67" s="1403"/>
      <c r="AU67" s="1403"/>
      <c r="AV67" s="1403"/>
      <c r="AW67" s="1403"/>
      <c r="AX67" s="1403"/>
      <c r="AY67" s="1403"/>
      <c r="AZ67" s="1403"/>
      <c r="BA67" s="1403"/>
      <c r="BB67" s="1403"/>
      <c r="BC67" s="1365"/>
      <c r="BF67" s="943" t="s">
        <v>989</v>
      </c>
    </row>
    <row r="68" spans="1:58" ht="14.65" hidden="1" customHeight="1" x14ac:dyDescent="0.15">
      <c r="E68" s="552">
        <v>15</v>
      </c>
      <c r="F68" s="3" cm="1">
        <f t="array" aca="1" ref="F68" ca="1">OFFSET(E68,-1,1)</f>
        <v>0</v>
      </c>
      <c r="G68" s="23" t="s">
        <v>990</v>
      </c>
      <c r="T68" s="388" t="b" cm="1">
        <f t="array" ref="T68">T67</f>
        <v>0</v>
      </c>
      <c r="X68" s="2066"/>
      <c r="Z68" s="2067"/>
      <c r="AB68" s="7" t="s">
        <v>991</v>
      </c>
      <c r="AC68" s="133" t="s">
        <v>920</v>
      </c>
      <c r="AD68" s="8" t="s">
        <v>831</v>
      </c>
      <c r="AE68" s="1403"/>
      <c r="AF68" s="1403"/>
      <c r="AG68" s="1403"/>
      <c r="AH68" s="1403"/>
      <c r="AI68" s="134"/>
      <c r="AJ68" s="1403"/>
      <c r="AK68" s="1403"/>
      <c r="AL68" s="1403"/>
      <c r="AM68" s="1403"/>
      <c r="AN68" s="1403"/>
      <c r="AO68" s="1403"/>
      <c r="AP68" s="1403"/>
      <c r="AQ68" s="1403"/>
      <c r="AR68" s="1403"/>
      <c r="AS68" s="134"/>
      <c r="AT68" s="1403"/>
      <c r="AU68" s="1403"/>
      <c r="AV68" s="1403"/>
      <c r="AW68" s="1403"/>
      <c r="AX68" s="1403"/>
      <c r="AY68" s="1403"/>
      <c r="AZ68" s="1403"/>
      <c r="BA68" s="1403"/>
      <c r="BB68" s="1403"/>
      <c r="BC68" s="1365"/>
      <c r="BF68" s="943" t="s">
        <v>992</v>
      </c>
    </row>
    <row r="69" spans="1:58" ht="14.65" hidden="1" customHeight="1" x14ac:dyDescent="0.15">
      <c r="E69" s="552">
        <v>15</v>
      </c>
      <c r="F69" s="3" cm="1">
        <f t="array" aca="1" ref="F69" ca="1">OFFSET(E69,-1,1)</f>
        <v>0</v>
      </c>
      <c r="G69" s="23" t="s">
        <v>993</v>
      </c>
      <c r="T69" s="388" t="b" cm="1">
        <f t="array" ref="T69">T68</f>
        <v>0</v>
      </c>
      <c r="X69" s="2066"/>
      <c r="Z69" s="2067"/>
      <c r="AB69" s="7" t="s">
        <v>994</v>
      </c>
      <c r="AC69" s="133" t="s">
        <v>924</v>
      </c>
      <c r="AD69" s="8" t="s">
        <v>831</v>
      </c>
      <c r="AE69" s="1403"/>
      <c r="AF69" s="1403"/>
      <c r="AG69" s="1403"/>
      <c r="AH69" s="1403"/>
      <c r="AI69" s="134"/>
      <c r="AJ69" s="1403"/>
      <c r="AK69" s="1403"/>
      <c r="AL69" s="1403"/>
      <c r="AM69" s="1403"/>
      <c r="AN69" s="1403"/>
      <c r="AO69" s="1403"/>
      <c r="AP69" s="1403"/>
      <c r="AQ69" s="1403"/>
      <c r="AR69" s="1403"/>
      <c r="AS69" s="134"/>
      <c r="AT69" s="1403"/>
      <c r="AU69" s="1403"/>
      <c r="AV69" s="1403"/>
      <c r="AW69" s="1403"/>
      <c r="AX69" s="1403"/>
      <c r="AY69" s="1403"/>
      <c r="AZ69" s="1403"/>
      <c r="BA69" s="1403"/>
      <c r="BB69" s="1403"/>
      <c r="BC69" s="1365"/>
      <c r="BF69" s="943" t="s">
        <v>995</v>
      </c>
    </row>
    <row r="70" spans="1:58" s="448" customFormat="1" ht="14.65" hidden="1" customHeight="1" x14ac:dyDescent="0.15">
      <c r="B70" s="353"/>
      <c r="E70" s="552">
        <v>15</v>
      </c>
      <c r="F70" s="3" cm="1">
        <f t="array" aca="1" ref="F70" ca="1">OFFSET(E70,-1,1)</f>
        <v>0</v>
      </c>
      <c r="G70" s="23" t="s">
        <v>591</v>
      </c>
      <c r="T70" s="388" t="b" cm="1">
        <f t="array" ref="T70">T69</f>
        <v>0</v>
      </c>
      <c r="X70" s="2066"/>
      <c r="Z70" s="2067"/>
      <c r="AB70" s="130">
        <v>8</v>
      </c>
      <c r="AC70" s="131" t="s">
        <v>996</v>
      </c>
      <c r="AD70" s="8" t="s">
        <v>831</v>
      </c>
      <c r="AE70" s="1402">
        <f t="shared" ref="AE70:BB70" si="22">SUM(AE71:AE75)</f>
        <v>0</v>
      </c>
      <c r="AF70" s="1402">
        <f t="shared" si="22"/>
        <v>0</v>
      </c>
      <c r="AG70" s="1402">
        <f t="shared" si="22"/>
        <v>0</v>
      </c>
      <c r="AH70" s="1402">
        <f t="shared" si="22"/>
        <v>0</v>
      </c>
      <c r="AI70" s="1105">
        <f t="shared" si="22"/>
        <v>0</v>
      </c>
      <c r="AJ70" s="1402">
        <f t="shared" si="22"/>
        <v>0</v>
      </c>
      <c r="AK70" s="1402">
        <f t="shared" si="22"/>
        <v>0</v>
      </c>
      <c r="AL70" s="1402">
        <f t="shared" si="22"/>
        <v>0</v>
      </c>
      <c r="AM70" s="1402">
        <f t="shared" si="22"/>
        <v>0</v>
      </c>
      <c r="AN70" s="1402">
        <f t="shared" si="22"/>
        <v>0</v>
      </c>
      <c r="AO70" s="1402">
        <f t="shared" si="22"/>
        <v>0</v>
      </c>
      <c r="AP70" s="1402">
        <f t="shared" si="22"/>
        <v>0</v>
      </c>
      <c r="AQ70" s="1402">
        <f t="shared" si="22"/>
        <v>0</v>
      </c>
      <c r="AR70" s="1402">
        <f t="shared" si="22"/>
        <v>0</v>
      </c>
      <c r="AS70" s="1105">
        <f t="shared" si="22"/>
        <v>0</v>
      </c>
      <c r="AT70" s="1402">
        <f t="shared" si="22"/>
        <v>0</v>
      </c>
      <c r="AU70" s="1402">
        <f t="shared" si="22"/>
        <v>0</v>
      </c>
      <c r="AV70" s="1402">
        <f t="shared" si="22"/>
        <v>0</v>
      </c>
      <c r="AW70" s="1402">
        <f t="shared" si="22"/>
        <v>0</v>
      </c>
      <c r="AX70" s="1402">
        <f t="shared" si="22"/>
        <v>0</v>
      </c>
      <c r="AY70" s="1402">
        <f t="shared" si="22"/>
        <v>0</v>
      </c>
      <c r="AZ70" s="1402">
        <f t="shared" si="22"/>
        <v>0</v>
      </c>
      <c r="BA70" s="1402">
        <f t="shared" si="22"/>
        <v>0</v>
      </c>
      <c r="BB70" s="1402">
        <f t="shared" si="22"/>
        <v>0</v>
      </c>
      <c r="BC70" s="1365"/>
      <c r="BF70" s="943" t="s">
        <v>997</v>
      </c>
    </row>
    <row r="71" spans="1:58" ht="14.65" hidden="1" customHeight="1" x14ac:dyDescent="0.15">
      <c r="E71" s="552">
        <v>15</v>
      </c>
      <c r="F71" s="3" cm="1">
        <f t="array" aca="1" ref="F71" ca="1">OFFSET(E71,-1,1)</f>
        <v>0</v>
      </c>
      <c r="G71" s="23" t="s">
        <v>594</v>
      </c>
      <c r="T71" s="388" t="b" cm="1">
        <f t="array" ref="T71">T70</f>
        <v>0</v>
      </c>
      <c r="X71" s="2066"/>
      <c r="Z71" s="2067"/>
      <c r="AB71" s="7" t="s">
        <v>617</v>
      </c>
      <c r="AC71" s="133" t="s">
        <v>911</v>
      </c>
      <c r="AD71" s="8" t="s">
        <v>831</v>
      </c>
      <c r="AE71" s="1403"/>
      <c r="AF71" s="1403"/>
      <c r="AG71" s="1403"/>
      <c r="AH71" s="1403"/>
      <c r="AI71" s="134"/>
      <c r="AJ71" s="1403"/>
      <c r="AK71" s="1403"/>
      <c r="AL71" s="1403"/>
      <c r="AM71" s="1403"/>
      <c r="AN71" s="1403"/>
      <c r="AO71" s="1403"/>
      <c r="AP71" s="1403"/>
      <c r="AQ71" s="1403"/>
      <c r="AR71" s="1403"/>
      <c r="AS71" s="134"/>
      <c r="AT71" s="1403"/>
      <c r="AU71" s="1403"/>
      <c r="AV71" s="1403"/>
      <c r="AW71" s="1403"/>
      <c r="AX71" s="1403"/>
      <c r="AY71" s="1403"/>
      <c r="AZ71" s="1403"/>
      <c r="BA71" s="1403"/>
      <c r="BB71" s="1403"/>
      <c r="BC71" s="1365"/>
      <c r="BF71" s="943" t="s">
        <v>998</v>
      </c>
    </row>
    <row r="72" spans="1:58" ht="14.65" hidden="1" customHeight="1" x14ac:dyDescent="0.15">
      <c r="E72" s="552">
        <v>15</v>
      </c>
      <c r="F72" s="3" cm="1">
        <f t="array" aca="1" ref="F72" ca="1">OFFSET(E72,-1,1)</f>
        <v>0</v>
      </c>
      <c r="G72" s="23" t="s">
        <v>598</v>
      </c>
      <c r="T72" s="388" t="b" cm="1">
        <f t="array" ref="T72">T71</f>
        <v>0</v>
      </c>
      <c r="X72" s="2066"/>
      <c r="Z72" s="2067"/>
      <c r="AB72" s="7" t="s">
        <v>634</v>
      </c>
      <c r="AC72" s="133" t="s">
        <v>914</v>
      </c>
      <c r="AD72" s="8" t="s">
        <v>831</v>
      </c>
      <c r="AE72" s="1403"/>
      <c r="AF72" s="1403"/>
      <c r="AG72" s="1403"/>
      <c r="AH72" s="1403"/>
      <c r="AI72" s="134"/>
      <c r="AJ72" s="1403"/>
      <c r="AK72" s="1403"/>
      <c r="AL72" s="1403"/>
      <c r="AM72" s="1403"/>
      <c r="AN72" s="1403"/>
      <c r="AO72" s="1403"/>
      <c r="AP72" s="1403"/>
      <c r="AQ72" s="1403"/>
      <c r="AR72" s="1403"/>
      <c r="AS72" s="134"/>
      <c r="AT72" s="1403"/>
      <c r="AU72" s="1403"/>
      <c r="AV72" s="1403"/>
      <c r="AW72" s="1403"/>
      <c r="AX72" s="1403"/>
      <c r="AY72" s="1403"/>
      <c r="AZ72" s="1403"/>
      <c r="BA72" s="1403"/>
      <c r="BB72" s="1403"/>
      <c r="BC72" s="1365"/>
      <c r="BF72" s="943" t="s">
        <v>999</v>
      </c>
    </row>
    <row r="73" spans="1:58" ht="14.65" hidden="1" customHeight="1" x14ac:dyDescent="0.15">
      <c r="E73" s="552">
        <v>15</v>
      </c>
      <c r="F73" s="3" cm="1">
        <f t="array" aca="1" ref="F73" ca="1">OFFSET(E73,-1,1)</f>
        <v>0</v>
      </c>
      <c r="G73" s="23" t="s">
        <v>602</v>
      </c>
      <c r="T73" s="388" t="b" cm="1">
        <f t="array" ref="T73">T72</f>
        <v>0</v>
      </c>
      <c r="X73" s="2066"/>
      <c r="Z73" s="2067"/>
      <c r="AB73" s="7" t="s">
        <v>646</v>
      </c>
      <c r="AC73" s="133" t="s">
        <v>917</v>
      </c>
      <c r="AD73" s="8" t="s">
        <v>831</v>
      </c>
      <c r="AE73" s="1403"/>
      <c r="AF73" s="1403"/>
      <c r="AG73" s="1403"/>
      <c r="AH73" s="1403"/>
      <c r="AI73" s="134"/>
      <c r="AJ73" s="1403"/>
      <c r="AK73" s="1403"/>
      <c r="AL73" s="1403"/>
      <c r="AM73" s="1403"/>
      <c r="AN73" s="1403"/>
      <c r="AO73" s="1403"/>
      <c r="AP73" s="1403"/>
      <c r="AQ73" s="1403"/>
      <c r="AR73" s="1403"/>
      <c r="AS73" s="134"/>
      <c r="AT73" s="1403"/>
      <c r="AU73" s="1403"/>
      <c r="AV73" s="1403"/>
      <c r="AW73" s="1403"/>
      <c r="AX73" s="1403"/>
      <c r="AY73" s="1403"/>
      <c r="AZ73" s="1403"/>
      <c r="BA73" s="1403"/>
      <c r="BB73" s="1403"/>
      <c r="BC73" s="1365"/>
      <c r="BF73" s="943" t="s">
        <v>1000</v>
      </c>
    </row>
    <row r="74" spans="1:58" ht="14.65" hidden="1" customHeight="1" x14ac:dyDescent="0.15">
      <c r="E74" s="552">
        <v>15</v>
      </c>
      <c r="F74" s="3" cm="1">
        <f t="array" aca="1" ref="F74" ca="1">OFFSET(E74,-1,1)</f>
        <v>0</v>
      </c>
      <c r="G74" s="23" t="s">
        <v>1001</v>
      </c>
      <c r="T74" s="388" t="b" cm="1">
        <f t="array" ref="T74">T73</f>
        <v>0</v>
      </c>
      <c r="X74" s="2066"/>
      <c r="Z74" s="2067"/>
      <c r="AB74" s="7" t="s">
        <v>681</v>
      </c>
      <c r="AC74" s="133" t="s">
        <v>920</v>
      </c>
      <c r="AD74" s="8" t="s">
        <v>831</v>
      </c>
      <c r="AE74" s="1403"/>
      <c r="AF74" s="1403"/>
      <c r="AG74" s="1403"/>
      <c r="AH74" s="1403"/>
      <c r="AI74" s="134"/>
      <c r="AJ74" s="1403"/>
      <c r="AK74" s="1403"/>
      <c r="AL74" s="1403"/>
      <c r="AM74" s="1403"/>
      <c r="AN74" s="1403"/>
      <c r="AO74" s="1403"/>
      <c r="AP74" s="1403"/>
      <c r="AQ74" s="1403"/>
      <c r="AR74" s="1403"/>
      <c r="AS74" s="134"/>
      <c r="AT74" s="1403"/>
      <c r="AU74" s="1403"/>
      <c r="AV74" s="1403"/>
      <c r="AW74" s="1403"/>
      <c r="AX74" s="1403"/>
      <c r="AY74" s="1403"/>
      <c r="AZ74" s="1403"/>
      <c r="BA74" s="1403"/>
      <c r="BB74" s="1403"/>
      <c r="BC74" s="1365"/>
      <c r="BF74" s="943" t="s">
        <v>1002</v>
      </c>
    </row>
    <row r="75" spans="1:58" ht="14.65" hidden="1" customHeight="1" x14ac:dyDescent="0.15">
      <c r="E75" s="552">
        <v>15</v>
      </c>
      <c r="F75" s="3" cm="1">
        <f t="array" aca="1" ref="F75" ca="1">OFFSET(E75,-1,1)</f>
        <v>0</v>
      </c>
      <c r="G75" s="23" t="s">
        <v>1003</v>
      </c>
      <c r="T75" s="388" t="b" cm="1">
        <f t="array" ref="T75">T74</f>
        <v>0</v>
      </c>
      <c r="X75" s="2066"/>
      <c r="Z75" s="2067"/>
      <c r="AB75" s="7" t="s">
        <v>684</v>
      </c>
      <c r="AC75" s="133" t="s">
        <v>924</v>
      </c>
      <c r="AD75" s="8" t="s">
        <v>831</v>
      </c>
      <c r="AE75" s="1403"/>
      <c r="AF75" s="1403"/>
      <c r="AG75" s="1403"/>
      <c r="AH75" s="1403"/>
      <c r="AI75" s="134"/>
      <c r="AJ75" s="1403"/>
      <c r="AK75" s="1403"/>
      <c r="AL75" s="1403"/>
      <c r="AM75" s="1403"/>
      <c r="AN75" s="1403"/>
      <c r="AO75" s="1403"/>
      <c r="AP75" s="1403"/>
      <c r="AQ75" s="1403"/>
      <c r="AR75" s="1403"/>
      <c r="AS75" s="134"/>
      <c r="AT75" s="1403"/>
      <c r="AU75" s="1403"/>
      <c r="AV75" s="1403"/>
      <c r="AW75" s="1403"/>
      <c r="AX75" s="1403"/>
      <c r="AY75" s="1403"/>
      <c r="AZ75" s="1403"/>
      <c r="BA75" s="1403"/>
      <c r="BB75" s="1403"/>
      <c r="BC75" s="1365"/>
      <c r="BF75" s="943" t="s">
        <v>1004</v>
      </c>
    </row>
    <row r="76" spans="1:58" s="1334" customFormat="1" ht="14.25" customHeight="1" x14ac:dyDescent="0.15">
      <c r="A76" s="1128"/>
      <c r="B76" s="1111"/>
      <c r="C76" s="1128"/>
      <c r="D76" s="1128"/>
      <c r="E76" s="552">
        <v>15</v>
      </c>
      <c r="F76" s="641" t="str" cm="1">
        <f t="array" ref="F76">X76</f>
        <v>1</v>
      </c>
      <c r="G76" s="1128"/>
      <c r="H76" s="1128"/>
      <c r="I76" s="1128"/>
      <c r="J76" s="1128"/>
      <c r="K76" s="1128"/>
      <c r="L76" s="1128"/>
      <c r="M76" s="1128"/>
      <c r="N76" s="1128"/>
      <c r="O76" s="1128"/>
      <c r="P76" s="1128"/>
      <c r="Q76" s="1128"/>
      <c r="R76" s="1128"/>
      <c r="S76" s="1128"/>
      <c r="T76" s="388" t="b">
        <f>X76&gt;0</f>
        <v>1</v>
      </c>
      <c r="U76" s="1128"/>
      <c r="V76" s="23" t="str" cm="1">
        <f t="array" ref="V76">ЭЭ!$AB$47</f>
        <v>Тариф 1 (Водоснабжение) - тариф на питьевую воду</v>
      </c>
      <c r="W76" s="1128"/>
      <c r="X76" s="2066" t="s">
        <v>282</v>
      </c>
      <c r="Y76" s="1128"/>
      <c r="Z76" s="2067"/>
      <c r="AA76" s="1128"/>
      <c r="AB76" s="102" t="str" cm="1">
        <f t="array" ref="AB76">ЭЭ!$AB$47</f>
        <v>Тариф 1 (Водоснабжение) - тариф на питьевую воду</v>
      </c>
      <c r="AC76" s="99"/>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129"/>
      <c r="BD76" s="1128"/>
      <c r="BE76" s="1128"/>
      <c r="BF76" s="1082"/>
    </row>
    <row r="77" spans="1:58" s="448" customFormat="1" ht="33.75" customHeight="1" x14ac:dyDescent="0.15">
      <c r="B77" s="353"/>
      <c r="E77" s="593">
        <v>22.5</v>
      </c>
      <c r="F77" s="3" t="str" cm="1">
        <f t="array" aca="1" ref="F77" ca="1">OFFSET(E77,-1,1)</f>
        <v>1</v>
      </c>
      <c r="G77" s="23" t="s">
        <v>331</v>
      </c>
      <c r="T77" s="388" t="b" cm="1">
        <f t="array" ref="T77">T76</f>
        <v>1</v>
      </c>
      <c r="X77" s="2066"/>
      <c r="Z77" s="2067"/>
      <c r="AB77" s="130">
        <v>1</v>
      </c>
      <c r="AC77" s="131" t="s">
        <v>908</v>
      </c>
      <c r="AD77" s="8" t="s">
        <v>831</v>
      </c>
      <c r="AE77" s="1105">
        <f t="shared" ref="AE77:BB77" si="23">SUM(AE78:AE82)</f>
        <v>0</v>
      </c>
      <c r="AF77" s="1105">
        <f t="shared" si="23"/>
        <v>0</v>
      </c>
      <c r="AG77" s="1105">
        <f t="shared" si="23"/>
        <v>0</v>
      </c>
      <c r="AH77" s="1105">
        <f t="shared" si="23"/>
        <v>0</v>
      </c>
      <c r="AI77" s="1105">
        <f t="shared" si="23"/>
        <v>0</v>
      </c>
      <c r="AJ77" s="1402">
        <f t="shared" si="23"/>
        <v>0</v>
      </c>
      <c r="AK77" s="1402">
        <f t="shared" si="23"/>
        <v>0</v>
      </c>
      <c r="AL77" s="1402">
        <f t="shared" si="23"/>
        <v>0</v>
      </c>
      <c r="AM77" s="1402">
        <f t="shared" si="23"/>
        <v>0</v>
      </c>
      <c r="AN77" s="1402">
        <f t="shared" si="23"/>
        <v>0</v>
      </c>
      <c r="AO77" s="1402">
        <f t="shared" si="23"/>
        <v>0</v>
      </c>
      <c r="AP77" s="1105">
        <f t="shared" si="23"/>
        <v>0</v>
      </c>
      <c r="AQ77" s="1105">
        <f t="shared" si="23"/>
        <v>0</v>
      </c>
      <c r="AR77" s="1105">
        <f t="shared" si="23"/>
        <v>0</v>
      </c>
      <c r="AS77" s="1105">
        <f t="shared" si="23"/>
        <v>0</v>
      </c>
      <c r="AT77" s="1402">
        <f t="shared" si="23"/>
        <v>0</v>
      </c>
      <c r="AU77" s="1402">
        <f t="shared" si="23"/>
        <v>0</v>
      </c>
      <c r="AV77" s="1402">
        <f t="shared" si="23"/>
        <v>0</v>
      </c>
      <c r="AW77" s="1402">
        <f t="shared" si="23"/>
        <v>0</v>
      </c>
      <c r="AX77" s="1402">
        <f t="shared" si="23"/>
        <v>0</v>
      </c>
      <c r="AY77" s="1402">
        <f t="shared" si="23"/>
        <v>0</v>
      </c>
      <c r="AZ77" s="1105">
        <f t="shared" si="23"/>
        <v>0</v>
      </c>
      <c r="BA77" s="1105">
        <f t="shared" si="23"/>
        <v>0</v>
      </c>
      <c r="BB77" s="1105">
        <f t="shared" si="23"/>
        <v>0</v>
      </c>
      <c r="BC77" s="119" t="s">
        <v>1005</v>
      </c>
      <c r="BF77" s="943" t="s">
        <v>909</v>
      </c>
    </row>
    <row r="78" spans="1:58" s="1334" customFormat="1" ht="14.25" customHeight="1" x14ac:dyDescent="0.15">
      <c r="A78" s="1128"/>
      <c r="B78" s="1111"/>
      <c r="C78" s="1128"/>
      <c r="D78" s="1128"/>
      <c r="E78" s="552">
        <v>15</v>
      </c>
      <c r="F78" s="3" t="str" cm="1">
        <f t="array" aca="1" ref="F78" ca="1">OFFSET(E78,-1,1)</f>
        <v>1</v>
      </c>
      <c r="G78" s="23" t="s">
        <v>494</v>
      </c>
      <c r="H78" s="1128"/>
      <c r="I78" s="1128"/>
      <c r="J78" s="1128"/>
      <c r="K78" s="1128"/>
      <c r="L78" s="1128"/>
      <c r="M78" s="1128"/>
      <c r="N78" s="1128"/>
      <c r="O78" s="1128"/>
      <c r="P78" s="1128"/>
      <c r="Q78" s="1128"/>
      <c r="R78" s="1128"/>
      <c r="S78" s="1128"/>
      <c r="T78" s="388" t="b" cm="1">
        <f t="array" ref="T78">T77</f>
        <v>1</v>
      </c>
      <c r="U78" s="1128"/>
      <c r="V78" s="1128"/>
      <c r="W78" s="1128"/>
      <c r="X78" s="2066"/>
      <c r="Y78" s="1128"/>
      <c r="Z78" s="2067"/>
      <c r="AA78" s="1128"/>
      <c r="AB78" s="7" t="s">
        <v>910</v>
      </c>
      <c r="AC78" s="133" t="s">
        <v>911</v>
      </c>
      <c r="AD78" s="8" t="s">
        <v>831</v>
      </c>
      <c r="AE78" s="134"/>
      <c r="AF78" s="134"/>
      <c r="AG78" s="134"/>
      <c r="AH78" s="134"/>
      <c r="AI78" s="134"/>
      <c r="AJ78" s="1403"/>
      <c r="AK78" s="1403"/>
      <c r="AL78" s="1403"/>
      <c r="AM78" s="1403"/>
      <c r="AN78" s="1403"/>
      <c r="AO78" s="1403"/>
      <c r="AP78" s="134"/>
      <c r="AQ78" s="134"/>
      <c r="AR78" s="134"/>
      <c r="AS78" s="134"/>
      <c r="AT78" s="1403"/>
      <c r="AU78" s="1403"/>
      <c r="AV78" s="1403"/>
      <c r="AW78" s="1403"/>
      <c r="AX78" s="1403"/>
      <c r="AY78" s="1403"/>
      <c r="AZ78" s="134"/>
      <c r="BA78" s="134"/>
      <c r="BB78" s="134"/>
      <c r="BC78" s="119"/>
      <c r="BD78" s="1128"/>
      <c r="BE78" s="1128"/>
      <c r="BF78" s="943" t="s">
        <v>912</v>
      </c>
    </row>
    <row r="79" spans="1:58" s="1334" customFormat="1" ht="14.25" customHeight="1" x14ac:dyDescent="0.15">
      <c r="A79" s="1128"/>
      <c r="B79" s="1111"/>
      <c r="C79" s="1128"/>
      <c r="D79" s="1128"/>
      <c r="E79" s="552">
        <v>15</v>
      </c>
      <c r="F79" s="3" t="str" cm="1">
        <f t="array" aca="1" ref="F79" ca="1">OFFSET(E79,-1,1)</f>
        <v>1</v>
      </c>
      <c r="G79" s="23" t="s">
        <v>498</v>
      </c>
      <c r="H79" s="1128"/>
      <c r="I79" s="1128"/>
      <c r="J79" s="1128"/>
      <c r="K79" s="1128"/>
      <c r="L79" s="1128"/>
      <c r="M79" s="1128"/>
      <c r="N79" s="1128"/>
      <c r="O79" s="1128"/>
      <c r="P79" s="1128"/>
      <c r="Q79" s="1128"/>
      <c r="R79" s="1128"/>
      <c r="S79" s="1128"/>
      <c r="T79" s="388" t="b" cm="1">
        <f t="array" ref="T79">T78</f>
        <v>1</v>
      </c>
      <c r="U79" s="1128"/>
      <c r="V79" s="1128"/>
      <c r="W79" s="1128"/>
      <c r="X79" s="2066"/>
      <c r="Y79" s="1128"/>
      <c r="Z79" s="2067"/>
      <c r="AA79" s="1128"/>
      <c r="AB79" s="7" t="s">
        <v>913</v>
      </c>
      <c r="AC79" s="133" t="s">
        <v>914</v>
      </c>
      <c r="AD79" s="8" t="s">
        <v>831</v>
      </c>
      <c r="AE79" s="134"/>
      <c r="AF79" s="134"/>
      <c r="AG79" s="134"/>
      <c r="AH79" s="134"/>
      <c r="AI79" s="134"/>
      <c r="AJ79" s="1403"/>
      <c r="AK79" s="1403"/>
      <c r="AL79" s="1403"/>
      <c r="AM79" s="1403"/>
      <c r="AN79" s="1403"/>
      <c r="AO79" s="1403"/>
      <c r="AP79" s="134"/>
      <c r="AQ79" s="134"/>
      <c r="AR79" s="134"/>
      <c r="AS79" s="134"/>
      <c r="AT79" s="1403"/>
      <c r="AU79" s="1403"/>
      <c r="AV79" s="1403"/>
      <c r="AW79" s="1403"/>
      <c r="AX79" s="1403"/>
      <c r="AY79" s="1403"/>
      <c r="AZ79" s="134"/>
      <c r="BA79" s="134"/>
      <c r="BB79" s="134"/>
      <c r="BC79" s="119"/>
      <c r="BD79" s="1128"/>
      <c r="BE79" s="1128"/>
      <c r="BF79" s="943" t="s">
        <v>915</v>
      </c>
    </row>
    <row r="80" spans="1:58" s="1334" customFormat="1" ht="14.25" customHeight="1" x14ac:dyDescent="0.15">
      <c r="A80" s="1128"/>
      <c r="B80" s="1111"/>
      <c r="C80" s="1128"/>
      <c r="D80" s="1128"/>
      <c r="E80" s="552">
        <v>15</v>
      </c>
      <c r="F80" s="3" t="str" cm="1">
        <f t="array" aca="1" ref="F80" ca="1">OFFSET(E80,-1,1)</f>
        <v>1</v>
      </c>
      <c r="G80" s="23" t="s">
        <v>501</v>
      </c>
      <c r="H80" s="1128"/>
      <c r="I80" s="1128"/>
      <c r="J80" s="1128"/>
      <c r="K80" s="1128"/>
      <c r="L80" s="1128"/>
      <c r="M80" s="1128"/>
      <c r="N80" s="1128"/>
      <c r="O80" s="1128"/>
      <c r="P80" s="1128"/>
      <c r="Q80" s="1128"/>
      <c r="R80" s="1128"/>
      <c r="S80" s="1128"/>
      <c r="T80" s="388" t="b" cm="1">
        <f t="array" ref="T80">T79</f>
        <v>1</v>
      </c>
      <c r="U80" s="1128"/>
      <c r="V80" s="1128"/>
      <c r="W80" s="1128"/>
      <c r="X80" s="2066"/>
      <c r="Y80" s="1128"/>
      <c r="Z80" s="2067"/>
      <c r="AA80" s="1128"/>
      <c r="AB80" s="7" t="s">
        <v>916</v>
      </c>
      <c r="AC80" s="133" t="s">
        <v>917</v>
      </c>
      <c r="AD80" s="8" t="s">
        <v>831</v>
      </c>
      <c r="AE80" s="134"/>
      <c r="AF80" s="134"/>
      <c r="AG80" s="134"/>
      <c r="AH80" s="134"/>
      <c r="AI80" s="134"/>
      <c r="AJ80" s="1403"/>
      <c r="AK80" s="1403"/>
      <c r="AL80" s="1403"/>
      <c r="AM80" s="1403"/>
      <c r="AN80" s="1403"/>
      <c r="AO80" s="1403"/>
      <c r="AP80" s="134"/>
      <c r="AQ80" s="134"/>
      <c r="AR80" s="134"/>
      <c r="AS80" s="134"/>
      <c r="AT80" s="1403"/>
      <c r="AU80" s="1403"/>
      <c r="AV80" s="1403"/>
      <c r="AW80" s="1403"/>
      <c r="AX80" s="1403"/>
      <c r="AY80" s="1403"/>
      <c r="AZ80" s="134"/>
      <c r="BA80" s="134"/>
      <c r="BB80" s="134"/>
      <c r="BC80" s="119"/>
      <c r="BD80" s="1128"/>
      <c r="BE80" s="1128"/>
      <c r="BF80" s="943" t="s">
        <v>918</v>
      </c>
    </row>
    <row r="81" spans="1:58" s="1334" customFormat="1" ht="14.25" customHeight="1" x14ac:dyDescent="0.15">
      <c r="A81" s="1128"/>
      <c r="B81" s="1111"/>
      <c r="C81" s="1128"/>
      <c r="D81" s="1128"/>
      <c r="E81" s="552">
        <v>15</v>
      </c>
      <c r="F81" s="3" t="str" cm="1">
        <f t="array" aca="1" ref="F81" ca="1">OFFSET(E81,-1,1)</f>
        <v>1</v>
      </c>
      <c r="G81" s="23" t="s">
        <v>505</v>
      </c>
      <c r="H81" s="1128"/>
      <c r="I81" s="1128"/>
      <c r="J81" s="1128"/>
      <c r="K81" s="1128"/>
      <c r="L81" s="1128"/>
      <c r="M81" s="1128"/>
      <c r="N81" s="1128"/>
      <c r="O81" s="1128"/>
      <c r="P81" s="1128"/>
      <c r="Q81" s="1128"/>
      <c r="R81" s="1128"/>
      <c r="S81" s="1128"/>
      <c r="T81" s="388" t="b" cm="1">
        <f t="array" ref="T81">T80</f>
        <v>1</v>
      </c>
      <c r="U81" s="1128"/>
      <c r="V81" s="1128"/>
      <c r="W81" s="1128"/>
      <c r="X81" s="2066"/>
      <c r="Y81" s="1128"/>
      <c r="Z81" s="2067"/>
      <c r="AA81" s="1128"/>
      <c r="AB81" s="7" t="s">
        <v>919</v>
      </c>
      <c r="AC81" s="133" t="s">
        <v>920</v>
      </c>
      <c r="AD81" s="8" t="s">
        <v>831</v>
      </c>
      <c r="AE81" s="134"/>
      <c r="AF81" s="134"/>
      <c r="AG81" s="134"/>
      <c r="AH81" s="134"/>
      <c r="AI81" s="134"/>
      <c r="AJ81" s="1403"/>
      <c r="AK81" s="1403"/>
      <c r="AL81" s="1403"/>
      <c r="AM81" s="1403"/>
      <c r="AN81" s="1403"/>
      <c r="AO81" s="1403"/>
      <c r="AP81" s="134"/>
      <c r="AQ81" s="134"/>
      <c r="AR81" s="134"/>
      <c r="AS81" s="134"/>
      <c r="AT81" s="1403"/>
      <c r="AU81" s="1403"/>
      <c r="AV81" s="1403"/>
      <c r="AW81" s="1403"/>
      <c r="AX81" s="1403"/>
      <c r="AY81" s="1403"/>
      <c r="AZ81" s="134"/>
      <c r="BA81" s="134"/>
      <c r="BB81" s="134"/>
      <c r="BC81" s="119"/>
      <c r="BD81" s="1128"/>
      <c r="BE81" s="1128"/>
      <c r="BF81" s="943" t="s">
        <v>921</v>
      </c>
    </row>
    <row r="82" spans="1:58" s="1334" customFormat="1" ht="14.25" customHeight="1" x14ac:dyDescent="0.15">
      <c r="A82" s="1128"/>
      <c r="B82" s="1111"/>
      <c r="C82" s="1128"/>
      <c r="D82" s="1128"/>
      <c r="E82" s="552">
        <v>15</v>
      </c>
      <c r="F82" s="3" t="str" cm="1">
        <f t="array" aca="1" ref="F82" ca="1">OFFSET(E82,-1,1)</f>
        <v>1</v>
      </c>
      <c r="G82" s="23" t="s">
        <v>922</v>
      </c>
      <c r="H82" s="1128"/>
      <c r="I82" s="1128"/>
      <c r="J82" s="1128"/>
      <c r="K82" s="1128"/>
      <c r="L82" s="1128"/>
      <c r="M82" s="1128"/>
      <c r="N82" s="1128"/>
      <c r="O82" s="1128"/>
      <c r="P82" s="1128"/>
      <c r="Q82" s="1128"/>
      <c r="R82" s="1128"/>
      <c r="S82" s="1128"/>
      <c r="T82" s="388" t="b" cm="1">
        <f t="array" ref="T82">T81</f>
        <v>1</v>
      </c>
      <c r="U82" s="1128"/>
      <c r="V82" s="1128"/>
      <c r="W82" s="1128"/>
      <c r="X82" s="2066"/>
      <c r="Y82" s="1128"/>
      <c r="Z82" s="2067"/>
      <c r="AA82" s="1128"/>
      <c r="AB82" s="7" t="s">
        <v>923</v>
      </c>
      <c r="AC82" s="133" t="s">
        <v>924</v>
      </c>
      <c r="AD82" s="8" t="s">
        <v>831</v>
      </c>
      <c r="AE82" s="134"/>
      <c r="AF82" s="134"/>
      <c r="AG82" s="134"/>
      <c r="AH82" s="134"/>
      <c r="AI82" s="134"/>
      <c r="AJ82" s="1403"/>
      <c r="AK82" s="1403"/>
      <c r="AL82" s="1403"/>
      <c r="AM82" s="1403"/>
      <c r="AN82" s="1403"/>
      <c r="AO82" s="1403"/>
      <c r="AP82" s="134"/>
      <c r="AQ82" s="134"/>
      <c r="AR82" s="134"/>
      <c r="AS82" s="134"/>
      <c r="AT82" s="1403"/>
      <c r="AU82" s="1403"/>
      <c r="AV82" s="1403"/>
      <c r="AW82" s="1403"/>
      <c r="AX82" s="1403"/>
      <c r="AY82" s="1403"/>
      <c r="AZ82" s="134"/>
      <c r="BA82" s="134"/>
      <c r="BB82" s="134"/>
      <c r="BC82" s="119"/>
      <c r="BD82" s="1128"/>
      <c r="BE82" s="1128"/>
      <c r="BF82" s="943" t="s">
        <v>925</v>
      </c>
    </row>
    <row r="83" spans="1:58" s="448" customFormat="1" ht="14.25" customHeight="1" x14ac:dyDescent="0.15">
      <c r="B83" s="353"/>
      <c r="E83" s="552">
        <v>15</v>
      </c>
      <c r="F83" s="3" t="str" cm="1">
        <f t="array" aca="1" ref="F83" ca="1">OFFSET(E83,-1,1)</f>
        <v>1</v>
      </c>
      <c r="G83" s="23" t="s">
        <v>332</v>
      </c>
      <c r="T83" s="388" t="b" cm="1">
        <f t="array" ref="T83">T82</f>
        <v>1</v>
      </c>
      <c r="X83" s="2066"/>
      <c r="Z83" s="2067"/>
      <c r="AB83" s="130">
        <v>2</v>
      </c>
      <c r="AC83" s="131" t="s">
        <v>926</v>
      </c>
      <c r="AD83" s="8" t="s">
        <v>831</v>
      </c>
      <c r="AE83" s="1105">
        <f t="shared" ref="AE83:BB83" si="24">SUM(AE84:AE88)</f>
        <v>0</v>
      </c>
      <c r="AF83" s="1105">
        <f t="shared" si="24"/>
        <v>0</v>
      </c>
      <c r="AG83" s="1105">
        <f t="shared" si="24"/>
        <v>0</v>
      </c>
      <c r="AH83" s="1105">
        <f t="shared" si="24"/>
        <v>0</v>
      </c>
      <c r="AI83" s="1105">
        <f t="shared" si="24"/>
        <v>0</v>
      </c>
      <c r="AJ83" s="1402">
        <f t="shared" si="24"/>
        <v>0</v>
      </c>
      <c r="AK83" s="1402">
        <f t="shared" si="24"/>
        <v>0</v>
      </c>
      <c r="AL83" s="1402">
        <f t="shared" si="24"/>
        <v>0</v>
      </c>
      <c r="AM83" s="1402">
        <f t="shared" si="24"/>
        <v>0</v>
      </c>
      <c r="AN83" s="1402">
        <f t="shared" si="24"/>
        <v>0</v>
      </c>
      <c r="AO83" s="1402">
        <f t="shared" si="24"/>
        <v>0</v>
      </c>
      <c r="AP83" s="1105">
        <f t="shared" si="24"/>
        <v>0</v>
      </c>
      <c r="AQ83" s="1105">
        <f t="shared" si="24"/>
        <v>0</v>
      </c>
      <c r="AR83" s="1105">
        <f t="shared" si="24"/>
        <v>0</v>
      </c>
      <c r="AS83" s="1105">
        <f t="shared" si="24"/>
        <v>0</v>
      </c>
      <c r="AT83" s="1402">
        <f t="shared" si="24"/>
        <v>0</v>
      </c>
      <c r="AU83" s="1402">
        <f t="shared" si="24"/>
        <v>0</v>
      </c>
      <c r="AV83" s="1402">
        <f t="shared" si="24"/>
        <v>0</v>
      </c>
      <c r="AW83" s="1402">
        <f t="shared" si="24"/>
        <v>0</v>
      </c>
      <c r="AX83" s="1402">
        <f t="shared" si="24"/>
        <v>0</v>
      </c>
      <c r="AY83" s="1402">
        <f t="shared" si="24"/>
        <v>0</v>
      </c>
      <c r="AZ83" s="1105">
        <f t="shared" si="24"/>
        <v>0</v>
      </c>
      <c r="BA83" s="1105">
        <f t="shared" si="24"/>
        <v>0</v>
      </c>
      <c r="BB83" s="1105">
        <f t="shared" si="24"/>
        <v>0</v>
      </c>
      <c r="BC83" s="119"/>
      <c r="BF83" s="943" t="s">
        <v>927</v>
      </c>
    </row>
    <row r="84" spans="1:58" s="1334" customFormat="1" ht="14.25" customHeight="1" x14ac:dyDescent="0.15">
      <c r="A84" s="1128"/>
      <c r="B84" s="1111"/>
      <c r="C84" s="1128"/>
      <c r="D84" s="1128"/>
      <c r="E84" s="552">
        <v>15</v>
      </c>
      <c r="F84" s="3" t="str" cm="1">
        <f t="array" aca="1" ref="F84" ca="1">OFFSET(E84,-1,1)</f>
        <v>1</v>
      </c>
      <c r="G84" s="23" t="s">
        <v>512</v>
      </c>
      <c r="H84" s="1128"/>
      <c r="I84" s="1128"/>
      <c r="J84" s="1128"/>
      <c r="K84" s="1128"/>
      <c r="L84" s="1128"/>
      <c r="M84" s="1128"/>
      <c r="N84" s="1128"/>
      <c r="O84" s="1128"/>
      <c r="P84" s="1128"/>
      <c r="Q84" s="1128"/>
      <c r="R84" s="1128"/>
      <c r="S84" s="1128"/>
      <c r="T84" s="388" t="b" cm="1">
        <f t="array" ref="T84">T83</f>
        <v>1</v>
      </c>
      <c r="U84" s="1128"/>
      <c r="V84" s="1128"/>
      <c r="W84" s="1128"/>
      <c r="X84" s="2066"/>
      <c r="Y84" s="1128"/>
      <c r="Z84" s="2067"/>
      <c r="AA84" s="1128"/>
      <c r="AB84" s="7" t="s">
        <v>566</v>
      </c>
      <c r="AC84" s="133" t="s">
        <v>911</v>
      </c>
      <c r="AD84" s="8" t="s">
        <v>831</v>
      </c>
      <c r="AE84" s="134"/>
      <c r="AF84" s="134"/>
      <c r="AG84" s="134"/>
      <c r="AH84" s="134"/>
      <c r="AI84" s="134"/>
      <c r="AJ84" s="1403"/>
      <c r="AK84" s="1403"/>
      <c r="AL84" s="1403"/>
      <c r="AM84" s="1403"/>
      <c r="AN84" s="1403"/>
      <c r="AO84" s="1403"/>
      <c r="AP84" s="134"/>
      <c r="AQ84" s="134"/>
      <c r="AR84" s="134"/>
      <c r="AS84" s="134"/>
      <c r="AT84" s="1403"/>
      <c r="AU84" s="1403"/>
      <c r="AV84" s="1403"/>
      <c r="AW84" s="1403"/>
      <c r="AX84" s="1403"/>
      <c r="AY84" s="1403"/>
      <c r="AZ84" s="134"/>
      <c r="BA84" s="134"/>
      <c r="BB84" s="134"/>
      <c r="BC84" s="119"/>
      <c r="BD84" s="1128"/>
      <c r="BE84" s="1128"/>
      <c r="BF84" s="943" t="s">
        <v>928</v>
      </c>
    </row>
    <row r="85" spans="1:58" s="1334" customFormat="1" ht="14.25" customHeight="1" x14ac:dyDescent="0.15">
      <c r="A85" s="1128"/>
      <c r="B85" s="1111"/>
      <c r="C85" s="1128"/>
      <c r="D85" s="1128"/>
      <c r="E85" s="552">
        <v>15</v>
      </c>
      <c r="F85" s="3" t="str" cm="1">
        <f t="array" aca="1" ref="F85" ca="1">OFFSET(E85,-1,1)</f>
        <v>1</v>
      </c>
      <c r="G85" s="23" t="s">
        <v>515</v>
      </c>
      <c r="H85" s="1128"/>
      <c r="I85" s="1128"/>
      <c r="J85" s="1128"/>
      <c r="K85" s="1128"/>
      <c r="L85" s="1128"/>
      <c r="M85" s="1128"/>
      <c r="N85" s="1128"/>
      <c r="O85" s="1128"/>
      <c r="P85" s="1128"/>
      <c r="Q85" s="1128"/>
      <c r="R85" s="1128"/>
      <c r="S85" s="1128"/>
      <c r="T85" s="388" t="b" cm="1">
        <f t="array" ref="T85">T84</f>
        <v>1</v>
      </c>
      <c r="U85" s="1128"/>
      <c r="V85" s="1128"/>
      <c r="W85" s="1128"/>
      <c r="X85" s="2066"/>
      <c r="Y85" s="1128"/>
      <c r="Z85" s="2067"/>
      <c r="AA85" s="1128"/>
      <c r="AB85" s="7" t="s">
        <v>570</v>
      </c>
      <c r="AC85" s="133" t="s">
        <v>914</v>
      </c>
      <c r="AD85" s="8" t="s">
        <v>831</v>
      </c>
      <c r="AE85" s="134"/>
      <c r="AF85" s="134"/>
      <c r="AG85" s="134"/>
      <c r="AH85" s="134"/>
      <c r="AI85" s="134"/>
      <c r="AJ85" s="1403"/>
      <c r="AK85" s="1403"/>
      <c r="AL85" s="1403"/>
      <c r="AM85" s="1403"/>
      <c r="AN85" s="1403"/>
      <c r="AO85" s="1403"/>
      <c r="AP85" s="134"/>
      <c r="AQ85" s="134"/>
      <c r="AR85" s="134"/>
      <c r="AS85" s="134"/>
      <c r="AT85" s="1403"/>
      <c r="AU85" s="1403"/>
      <c r="AV85" s="1403"/>
      <c r="AW85" s="1403"/>
      <c r="AX85" s="1403"/>
      <c r="AY85" s="1403"/>
      <c r="AZ85" s="134"/>
      <c r="BA85" s="134"/>
      <c r="BB85" s="134"/>
      <c r="BC85" s="119"/>
      <c r="BD85" s="1128"/>
      <c r="BE85" s="1128"/>
      <c r="BF85" s="943" t="s">
        <v>929</v>
      </c>
    </row>
    <row r="86" spans="1:58" s="1334" customFormat="1" ht="14.25" customHeight="1" x14ac:dyDescent="0.15">
      <c r="A86" s="1128"/>
      <c r="B86" s="1111"/>
      <c r="C86" s="1128"/>
      <c r="D86" s="1128"/>
      <c r="E86" s="552">
        <v>15</v>
      </c>
      <c r="F86" s="3" t="str" cm="1">
        <f t="array" aca="1" ref="F86" ca="1">OFFSET(E86,-1,1)</f>
        <v>1</v>
      </c>
      <c r="G86" s="23" t="s">
        <v>930</v>
      </c>
      <c r="H86" s="1128"/>
      <c r="I86" s="1128"/>
      <c r="J86" s="1128"/>
      <c r="K86" s="1128"/>
      <c r="L86" s="1128"/>
      <c r="M86" s="1128"/>
      <c r="N86" s="1128"/>
      <c r="O86" s="1128"/>
      <c r="P86" s="1128"/>
      <c r="Q86" s="1128"/>
      <c r="R86" s="1128"/>
      <c r="S86" s="1128"/>
      <c r="T86" s="388" t="b" cm="1">
        <f t="array" ref="T86">T85</f>
        <v>1</v>
      </c>
      <c r="U86" s="1128"/>
      <c r="V86" s="1128"/>
      <c r="W86" s="1128"/>
      <c r="X86" s="2066"/>
      <c r="Y86" s="1128"/>
      <c r="Z86" s="2067"/>
      <c r="AA86" s="1128"/>
      <c r="AB86" s="7" t="s">
        <v>574</v>
      </c>
      <c r="AC86" s="133" t="s">
        <v>917</v>
      </c>
      <c r="AD86" s="8" t="s">
        <v>831</v>
      </c>
      <c r="AE86" s="134"/>
      <c r="AF86" s="134"/>
      <c r="AG86" s="134"/>
      <c r="AH86" s="134"/>
      <c r="AI86" s="134"/>
      <c r="AJ86" s="1403"/>
      <c r="AK86" s="1403"/>
      <c r="AL86" s="1403"/>
      <c r="AM86" s="1403"/>
      <c r="AN86" s="1403"/>
      <c r="AO86" s="1403"/>
      <c r="AP86" s="134"/>
      <c r="AQ86" s="134"/>
      <c r="AR86" s="134"/>
      <c r="AS86" s="134"/>
      <c r="AT86" s="1403"/>
      <c r="AU86" s="1403"/>
      <c r="AV86" s="1403"/>
      <c r="AW86" s="1403"/>
      <c r="AX86" s="1403"/>
      <c r="AY86" s="1403"/>
      <c r="AZ86" s="134"/>
      <c r="BA86" s="134"/>
      <c r="BB86" s="134"/>
      <c r="BC86" s="119"/>
      <c r="BD86" s="1128"/>
      <c r="BE86" s="1128"/>
      <c r="BF86" s="943" t="s">
        <v>931</v>
      </c>
    </row>
    <row r="87" spans="1:58" s="1334" customFormat="1" ht="14.25" customHeight="1" x14ac:dyDescent="0.15">
      <c r="A87" s="1128"/>
      <c r="B87" s="1111"/>
      <c r="C87" s="1128"/>
      <c r="D87" s="1128"/>
      <c r="E87" s="552">
        <v>15</v>
      </c>
      <c r="F87" s="3" t="str" cm="1">
        <f t="array" aca="1" ref="F87" ca="1">OFFSET(E87,-1,1)</f>
        <v>1</v>
      </c>
      <c r="G87" s="23" t="s">
        <v>932</v>
      </c>
      <c r="H87" s="1128"/>
      <c r="I87" s="1128"/>
      <c r="J87" s="1128"/>
      <c r="K87" s="1128"/>
      <c r="L87" s="1128"/>
      <c r="M87" s="1128"/>
      <c r="N87" s="1128"/>
      <c r="O87" s="1128"/>
      <c r="P87" s="1128"/>
      <c r="Q87" s="1128"/>
      <c r="R87" s="1128"/>
      <c r="S87" s="1128"/>
      <c r="T87" s="388" t="b" cm="1">
        <f t="array" ref="T87">T86</f>
        <v>1</v>
      </c>
      <c r="U87" s="1128"/>
      <c r="V87" s="1128"/>
      <c r="W87" s="1128"/>
      <c r="X87" s="2066"/>
      <c r="Y87" s="1128"/>
      <c r="Z87" s="2067"/>
      <c r="AA87" s="1128"/>
      <c r="AB87" s="7" t="s">
        <v>933</v>
      </c>
      <c r="AC87" s="133" t="s">
        <v>920</v>
      </c>
      <c r="AD87" s="8" t="s">
        <v>831</v>
      </c>
      <c r="AE87" s="134"/>
      <c r="AF87" s="134"/>
      <c r="AG87" s="134"/>
      <c r="AH87" s="134"/>
      <c r="AI87" s="134"/>
      <c r="AJ87" s="1403"/>
      <c r="AK87" s="1403"/>
      <c r="AL87" s="1403"/>
      <c r="AM87" s="1403"/>
      <c r="AN87" s="1403"/>
      <c r="AO87" s="1403"/>
      <c r="AP87" s="134"/>
      <c r="AQ87" s="134"/>
      <c r="AR87" s="134"/>
      <c r="AS87" s="134"/>
      <c r="AT87" s="1403"/>
      <c r="AU87" s="1403"/>
      <c r="AV87" s="1403"/>
      <c r="AW87" s="1403"/>
      <c r="AX87" s="1403"/>
      <c r="AY87" s="1403"/>
      <c r="AZ87" s="134"/>
      <c r="BA87" s="134"/>
      <c r="BB87" s="134"/>
      <c r="BC87" s="119"/>
      <c r="BD87" s="1128"/>
      <c r="BE87" s="1128"/>
      <c r="BF87" s="943" t="s">
        <v>934</v>
      </c>
    </row>
    <row r="88" spans="1:58" s="1334" customFormat="1" ht="14.25" customHeight="1" x14ac:dyDescent="0.15">
      <c r="A88" s="1128"/>
      <c r="B88" s="1111"/>
      <c r="C88" s="1128"/>
      <c r="D88" s="1128"/>
      <c r="E88" s="552">
        <v>15</v>
      </c>
      <c r="F88" s="3" t="str" cm="1">
        <f t="array" aca="1" ref="F88" ca="1">OFFSET(E88,-1,1)</f>
        <v>1</v>
      </c>
      <c r="G88" s="23" t="s">
        <v>935</v>
      </c>
      <c r="H88" s="1128"/>
      <c r="I88" s="1128"/>
      <c r="J88" s="1128"/>
      <c r="K88" s="1128"/>
      <c r="L88" s="1128"/>
      <c r="M88" s="1128"/>
      <c r="N88" s="1128"/>
      <c r="O88" s="1128"/>
      <c r="P88" s="1128"/>
      <c r="Q88" s="1128"/>
      <c r="R88" s="1128"/>
      <c r="S88" s="1128"/>
      <c r="T88" s="388" t="b" cm="1">
        <f t="array" ref="T88">T87</f>
        <v>1</v>
      </c>
      <c r="U88" s="1128"/>
      <c r="V88" s="1128"/>
      <c r="W88" s="1128"/>
      <c r="X88" s="2066"/>
      <c r="Y88" s="1128"/>
      <c r="Z88" s="2067"/>
      <c r="AA88" s="1128"/>
      <c r="AB88" s="7" t="s">
        <v>936</v>
      </c>
      <c r="AC88" s="133" t="s">
        <v>924</v>
      </c>
      <c r="AD88" s="8" t="s">
        <v>831</v>
      </c>
      <c r="AE88" s="134"/>
      <c r="AF88" s="134"/>
      <c r="AG88" s="134"/>
      <c r="AH88" s="134"/>
      <c r="AI88" s="134"/>
      <c r="AJ88" s="1403"/>
      <c r="AK88" s="1403"/>
      <c r="AL88" s="1403"/>
      <c r="AM88" s="1403"/>
      <c r="AN88" s="1403"/>
      <c r="AO88" s="1403"/>
      <c r="AP88" s="134"/>
      <c r="AQ88" s="134"/>
      <c r="AR88" s="134"/>
      <c r="AS88" s="134"/>
      <c r="AT88" s="1403"/>
      <c r="AU88" s="1403"/>
      <c r="AV88" s="1403"/>
      <c r="AW88" s="1403"/>
      <c r="AX88" s="1403"/>
      <c r="AY88" s="1403"/>
      <c r="AZ88" s="134"/>
      <c r="BA88" s="134"/>
      <c r="BB88" s="134"/>
      <c r="BC88" s="119"/>
      <c r="BD88" s="1128"/>
      <c r="BE88" s="1128"/>
      <c r="BF88" s="943" t="s">
        <v>937</v>
      </c>
    </row>
    <row r="89" spans="1:58" s="448" customFormat="1" ht="14.25" customHeight="1" x14ac:dyDescent="0.15">
      <c r="B89" s="353"/>
      <c r="E89" s="552">
        <v>15</v>
      </c>
      <c r="F89" s="3" t="str" cm="1">
        <f t="array" aca="1" ref="F89" ca="1">OFFSET(E89,-1,1)</f>
        <v>1</v>
      </c>
      <c r="G89" s="23" t="s">
        <v>333</v>
      </c>
      <c r="T89" s="388" t="b" cm="1">
        <f t="array" ref="T89">T88</f>
        <v>1</v>
      </c>
      <c r="X89" s="2066"/>
      <c r="Z89" s="2067"/>
      <c r="AB89" s="130">
        <v>3</v>
      </c>
      <c r="AC89" s="131" t="s">
        <v>938</v>
      </c>
      <c r="AD89" s="8" t="s">
        <v>831</v>
      </c>
      <c r="AE89" s="1105">
        <f t="shared" ref="AE89:BB89" si="25">SUM(AE90:AE94)</f>
        <v>0</v>
      </c>
      <c r="AF89" s="1105">
        <f t="shared" si="25"/>
        <v>0</v>
      </c>
      <c r="AG89" s="1105">
        <f t="shared" si="25"/>
        <v>0</v>
      </c>
      <c r="AH89" s="1105">
        <f t="shared" si="25"/>
        <v>0</v>
      </c>
      <c r="AI89" s="1105">
        <f t="shared" si="25"/>
        <v>0</v>
      </c>
      <c r="AJ89" s="1402">
        <f t="shared" si="25"/>
        <v>0</v>
      </c>
      <c r="AK89" s="1402">
        <f t="shared" si="25"/>
        <v>0</v>
      </c>
      <c r="AL89" s="1402">
        <f t="shared" si="25"/>
        <v>0</v>
      </c>
      <c r="AM89" s="1402">
        <f t="shared" si="25"/>
        <v>0</v>
      </c>
      <c r="AN89" s="1402">
        <f t="shared" si="25"/>
        <v>0</v>
      </c>
      <c r="AO89" s="1402">
        <f t="shared" si="25"/>
        <v>0</v>
      </c>
      <c r="AP89" s="1105">
        <f t="shared" si="25"/>
        <v>0</v>
      </c>
      <c r="AQ89" s="1105">
        <f t="shared" si="25"/>
        <v>0</v>
      </c>
      <c r="AR89" s="1105">
        <f t="shared" si="25"/>
        <v>0</v>
      </c>
      <c r="AS89" s="1105">
        <f t="shared" si="25"/>
        <v>0</v>
      </c>
      <c r="AT89" s="1402">
        <f t="shared" si="25"/>
        <v>0</v>
      </c>
      <c r="AU89" s="1402">
        <f t="shared" si="25"/>
        <v>0</v>
      </c>
      <c r="AV89" s="1402">
        <f t="shared" si="25"/>
        <v>0</v>
      </c>
      <c r="AW89" s="1402">
        <f t="shared" si="25"/>
        <v>0</v>
      </c>
      <c r="AX89" s="1402">
        <f t="shared" si="25"/>
        <v>0</v>
      </c>
      <c r="AY89" s="1402">
        <f t="shared" si="25"/>
        <v>0</v>
      </c>
      <c r="AZ89" s="1105">
        <f t="shared" si="25"/>
        <v>0</v>
      </c>
      <c r="BA89" s="1105">
        <f t="shared" si="25"/>
        <v>0</v>
      </c>
      <c r="BB89" s="1105">
        <f t="shared" si="25"/>
        <v>0</v>
      </c>
      <c r="BC89" s="119"/>
      <c r="BF89" s="943" t="s">
        <v>939</v>
      </c>
    </row>
    <row r="90" spans="1:58" s="1334" customFormat="1" ht="14.25" customHeight="1" x14ac:dyDescent="0.15">
      <c r="A90" s="1128"/>
      <c r="B90" s="1111"/>
      <c r="C90" s="1128"/>
      <c r="D90" s="1128"/>
      <c r="E90" s="552">
        <v>15</v>
      </c>
      <c r="F90" s="3" t="str" cm="1">
        <f t="array" aca="1" ref="F90" ca="1">OFFSET(E90,-1,1)</f>
        <v>1</v>
      </c>
      <c r="G90" s="23" t="s">
        <v>940</v>
      </c>
      <c r="H90" s="1128"/>
      <c r="I90" s="1128"/>
      <c r="J90" s="1128"/>
      <c r="K90" s="1128"/>
      <c r="L90" s="1128"/>
      <c r="M90" s="1128"/>
      <c r="N90" s="1128"/>
      <c r="O90" s="1128"/>
      <c r="P90" s="1128"/>
      <c r="Q90" s="1128"/>
      <c r="R90" s="1128"/>
      <c r="S90" s="1128"/>
      <c r="T90" s="388" t="b" cm="1">
        <f t="array" ref="T90">T89</f>
        <v>1</v>
      </c>
      <c r="U90" s="1128"/>
      <c r="V90" s="1128"/>
      <c r="W90" s="1128"/>
      <c r="X90" s="2066"/>
      <c r="Y90" s="1128"/>
      <c r="Z90" s="2067"/>
      <c r="AA90" s="1128"/>
      <c r="AB90" s="7" t="s">
        <v>580</v>
      </c>
      <c r="AC90" s="133" t="s">
        <v>911</v>
      </c>
      <c r="AD90" s="8" t="s">
        <v>831</v>
      </c>
      <c r="AE90" s="134"/>
      <c r="AF90" s="134"/>
      <c r="AG90" s="134"/>
      <c r="AH90" s="134"/>
      <c r="AI90" s="134"/>
      <c r="AJ90" s="1403"/>
      <c r="AK90" s="1403"/>
      <c r="AL90" s="1403"/>
      <c r="AM90" s="1403"/>
      <c r="AN90" s="1403"/>
      <c r="AO90" s="1403"/>
      <c r="AP90" s="134"/>
      <c r="AQ90" s="134"/>
      <c r="AR90" s="134"/>
      <c r="AS90" s="134"/>
      <c r="AT90" s="1403"/>
      <c r="AU90" s="1403"/>
      <c r="AV90" s="1403"/>
      <c r="AW90" s="1403"/>
      <c r="AX90" s="1403"/>
      <c r="AY90" s="1403"/>
      <c r="AZ90" s="134"/>
      <c r="BA90" s="134"/>
      <c r="BB90" s="134"/>
      <c r="BC90" s="119"/>
      <c r="BD90" s="1128"/>
      <c r="BE90" s="1128"/>
      <c r="BF90" s="943" t="s">
        <v>941</v>
      </c>
    </row>
    <row r="91" spans="1:58" s="1334" customFormat="1" ht="14.25" customHeight="1" x14ac:dyDescent="0.15">
      <c r="A91" s="1128"/>
      <c r="B91" s="1111"/>
      <c r="C91" s="1128"/>
      <c r="D91" s="1128"/>
      <c r="E91" s="552">
        <v>15</v>
      </c>
      <c r="F91" s="3" t="str" cm="1">
        <f t="array" aca="1" ref="F91" ca="1">OFFSET(E91,-1,1)</f>
        <v>1</v>
      </c>
      <c r="G91" s="23" t="s">
        <v>942</v>
      </c>
      <c r="H91" s="1128"/>
      <c r="I91" s="1128"/>
      <c r="J91" s="1128"/>
      <c r="K91" s="1128"/>
      <c r="L91" s="1128"/>
      <c r="M91" s="1128"/>
      <c r="N91" s="1128"/>
      <c r="O91" s="1128"/>
      <c r="P91" s="1128"/>
      <c r="Q91" s="1128"/>
      <c r="R91" s="1128"/>
      <c r="S91" s="1128"/>
      <c r="T91" s="388" t="b" cm="1">
        <f t="array" ref="T91">T90</f>
        <v>1</v>
      </c>
      <c r="U91" s="1128"/>
      <c r="V91" s="1128"/>
      <c r="W91" s="1128"/>
      <c r="X91" s="2066"/>
      <c r="Y91" s="1128"/>
      <c r="Z91" s="2067"/>
      <c r="AA91" s="1128"/>
      <c r="AB91" s="7" t="s">
        <v>584</v>
      </c>
      <c r="AC91" s="133" t="s">
        <v>914</v>
      </c>
      <c r="AD91" s="8" t="s">
        <v>831</v>
      </c>
      <c r="AE91" s="134"/>
      <c r="AF91" s="134"/>
      <c r="AG91" s="134"/>
      <c r="AH91" s="134"/>
      <c r="AI91" s="134"/>
      <c r="AJ91" s="1403"/>
      <c r="AK91" s="1403"/>
      <c r="AL91" s="1403"/>
      <c r="AM91" s="1403"/>
      <c r="AN91" s="1403"/>
      <c r="AO91" s="1403"/>
      <c r="AP91" s="134"/>
      <c r="AQ91" s="134"/>
      <c r="AR91" s="134"/>
      <c r="AS91" s="134"/>
      <c r="AT91" s="1403"/>
      <c r="AU91" s="1403"/>
      <c r="AV91" s="1403"/>
      <c r="AW91" s="1403"/>
      <c r="AX91" s="1403"/>
      <c r="AY91" s="1403"/>
      <c r="AZ91" s="134"/>
      <c r="BA91" s="134"/>
      <c r="BB91" s="134"/>
      <c r="BC91" s="119"/>
      <c r="BD91" s="1128"/>
      <c r="BE91" s="1128"/>
      <c r="BF91" s="943" t="s">
        <v>943</v>
      </c>
    </row>
    <row r="92" spans="1:58" s="1334" customFormat="1" ht="14.25" customHeight="1" x14ac:dyDescent="0.15">
      <c r="A92" s="1128"/>
      <c r="B92" s="1111"/>
      <c r="C92" s="1128"/>
      <c r="D92" s="1128"/>
      <c r="E92" s="552">
        <v>15</v>
      </c>
      <c r="F92" s="3" t="str" cm="1">
        <f t="array" aca="1" ref="F92" ca="1">OFFSET(E92,-1,1)</f>
        <v>1</v>
      </c>
      <c r="G92" s="23" t="s">
        <v>944</v>
      </c>
      <c r="H92" s="1128"/>
      <c r="I92" s="1128"/>
      <c r="J92" s="1128"/>
      <c r="K92" s="1128"/>
      <c r="L92" s="1128"/>
      <c r="M92" s="1128"/>
      <c r="N92" s="1128"/>
      <c r="O92" s="1128"/>
      <c r="P92" s="1128"/>
      <c r="Q92" s="1128"/>
      <c r="R92" s="1128"/>
      <c r="S92" s="1128"/>
      <c r="T92" s="388" t="b" cm="1">
        <f t="array" ref="T92">T91</f>
        <v>1</v>
      </c>
      <c r="U92" s="1128"/>
      <c r="V92" s="1128"/>
      <c r="W92" s="1128"/>
      <c r="X92" s="2066"/>
      <c r="Y92" s="1128"/>
      <c r="Z92" s="2067"/>
      <c r="AA92" s="1128"/>
      <c r="AB92" s="7" t="s">
        <v>796</v>
      </c>
      <c r="AC92" s="133" t="s">
        <v>917</v>
      </c>
      <c r="AD92" s="8" t="s">
        <v>831</v>
      </c>
      <c r="AE92" s="134"/>
      <c r="AF92" s="134"/>
      <c r="AG92" s="134"/>
      <c r="AH92" s="134"/>
      <c r="AI92" s="134"/>
      <c r="AJ92" s="1403"/>
      <c r="AK92" s="1403"/>
      <c r="AL92" s="1403"/>
      <c r="AM92" s="1403"/>
      <c r="AN92" s="1403"/>
      <c r="AO92" s="1403"/>
      <c r="AP92" s="134"/>
      <c r="AQ92" s="134"/>
      <c r="AR92" s="134"/>
      <c r="AS92" s="134"/>
      <c r="AT92" s="1403"/>
      <c r="AU92" s="1403"/>
      <c r="AV92" s="1403"/>
      <c r="AW92" s="1403"/>
      <c r="AX92" s="1403"/>
      <c r="AY92" s="1403"/>
      <c r="AZ92" s="134"/>
      <c r="BA92" s="134"/>
      <c r="BB92" s="134"/>
      <c r="BC92" s="119"/>
      <c r="BD92" s="1128"/>
      <c r="BE92" s="1128"/>
      <c r="BF92" s="943" t="s">
        <v>945</v>
      </c>
    </row>
    <row r="93" spans="1:58" s="1334" customFormat="1" ht="14.25" customHeight="1" x14ac:dyDescent="0.15">
      <c r="A93" s="1128"/>
      <c r="B93" s="1111"/>
      <c r="C93" s="1128"/>
      <c r="D93" s="1128"/>
      <c r="E93" s="552">
        <v>15</v>
      </c>
      <c r="F93" s="3" t="str" cm="1">
        <f t="array" aca="1" ref="F93" ca="1">OFFSET(E93,-1,1)</f>
        <v>1</v>
      </c>
      <c r="G93" s="23" t="s">
        <v>946</v>
      </c>
      <c r="H93" s="1128"/>
      <c r="I93" s="1128"/>
      <c r="J93" s="1128"/>
      <c r="K93" s="1128"/>
      <c r="L93" s="1128"/>
      <c r="M93" s="1128"/>
      <c r="N93" s="1128"/>
      <c r="O93" s="1128"/>
      <c r="P93" s="1128"/>
      <c r="Q93" s="1128"/>
      <c r="R93" s="1128"/>
      <c r="S93" s="1128"/>
      <c r="T93" s="388" t="b" cm="1">
        <f t="array" ref="T93">T92</f>
        <v>1</v>
      </c>
      <c r="U93" s="1128"/>
      <c r="V93" s="1128"/>
      <c r="W93" s="1128"/>
      <c r="X93" s="2066"/>
      <c r="Y93" s="1128"/>
      <c r="Z93" s="2067"/>
      <c r="AA93" s="1128"/>
      <c r="AB93" s="7" t="s">
        <v>947</v>
      </c>
      <c r="AC93" s="133" t="s">
        <v>920</v>
      </c>
      <c r="AD93" s="8" t="s">
        <v>831</v>
      </c>
      <c r="AE93" s="134"/>
      <c r="AF93" s="134"/>
      <c r="AG93" s="134"/>
      <c r="AH93" s="134"/>
      <c r="AI93" s="134"/>
      <c r="AJ93" s="1403"/>
      <c r="AK93" s="1403"/>
      <c r="AL93" s="1403"/>
      <c r="AM93" s="1403"/>
      <c r="AN93" s="1403"/>
      <c r="AO93" s="1403"/>
      <c r="AP93" s="134"/>
      <c r="AQ93" s="134"/>
      <c r="AR93" s="134"/>
      <c r="AS93" s="134"/>
      <c r="AT93" s="1403"/>
      <c r="AU93" s="1403"/>
      <c r="AV93" s="1403"/>
      <c r="AW93" s="1403"/>
      <c r="AX93" s="1403"/>
      <c r="AY93" s="1403"/>
      <c r="AZ93" s="134"/>
      <c r="BA93" s="134"/>
      <c r="BB93" s="134"/>
      <c r="BC93" s="119"/>
      <c r="BD93" s="1128"/>
      <c r="BE93" s="1128"/>
      <c r="BF93" s="943" t="s">
        <v>948</v>
      </c>
    </row>
    <row r="94" spans="1:58" s="1334" customFormat="1" ht="14.25" customHeight="1" x14ac:dyDescent="0.15">
      <c r="A94" s="1128"/>
      <c r="B94" s="1111"/>
      <c r="C94" s="1128"/>
      <c r="D94" s="1128"/>
      <c r="E94" s="552">
        <v>15</v>
      </c>
      <c r="F94" s="3" t="str" cm="1">
        <f t="array" aca="1" ref="F94" ca="1">OFFSET(E94,-1,1)</f>
        <v>1</v>
      </c>
      <c r="G94" s="23" t="s">
        <v>949</v>
      </c>
      <c r="H94" s="1128"/>
      <c r="I94" s="1128"/>
      <c r="J94" s="1128"/>
      <c r="K94" s="1128"/>
      <c r="L94" s="1128"/>
      <c r="M94" s="1128"/>
      <c r="N94" s="1128"/>
      <c r="O94" s="1128"/>
      <c r="P94" s="1128"/>
      <c r="Q94" s="1128"/>
      <c r="R94" s="1128"/>
      <c r="S94" s="1128"/>
      <c r="T94" s="388" t="b" cm="1">
        <f t="array" ref="T94">T93</f>
        <v>1</v>
      </c>
      <c r="U94" s="1128"/>
      <c r="V94" s="1128"/>
      <c r="W94" s="1128"/>
      <c r="X94" s="2066"/>
      <c r="Y94" s="1128"/>
      <c r="Z94" s="2067"/>
      <c r="AA94" s="1128"/>
      <c r="AB94" s="7" t="s">
        <v>950</v>
      </c>
      <c r="AC94" s="133" t="s">
        <v>924</v>
      </c>
      <c r="AD94" s="8" t="s">
        <v>831</v>
      </c>
      <c r="AE94" s="134"/>
      <c r="AF94" s="134"/>
      <c r="AG94" s="134"/>
      <c r="AH94" s="134"/>
      <c r="AI94" s="134"/>
      <c r="AJ94" s="1403"/>
      <c r="AK94" s="1403"/>
      <c r="AL94" s="1403"/>
      <c r="AM94" s="1403"/>
      <c r="AN94" s="1403"/>
      <c r="AO94" s="1403"/>
      <c r="AP94" s="134"/>
      <c r="AQ94" s="134"/>
      <c r="AR94" s="134"/>
      <c r="AS94" s="134"/>
      <c r="AT94" s="1403"/>
      <c r="AU94" s="1403"/>
      <c r="AV94" s="1403"/>
      <c r="AW94" s="1403"/>
      <c r="AX94" s="1403"/>
      <c r="AY94" s="1403"/>
      <c r="AZ94" s="134"/>
      <c r="BA94" s="134"/>
      <c r="BB94" s="134"/>
      <c r="BC94" s="119"/>
      <c r="BD94" s="1128"/>
      <c r="BE94" s="1128"/>
      <c r="BF94" s="943" t="s">
        <v>951</v>
      </c>
    </row>
    <row r="95" spans="1:58" s="448" customFormat="1" ht="21.75" customHeight="1" x14ac:dyDescent="0.15">
      <c r="B95" s="353"/>
      <c r="E95" s="593">
        <v>22.5</v>
      </c>
      <c r="F95" s="3" t="str" cm="1">
        <f t="array" aca="1" ref="F95" ca="1">OFFSET(E95,-1,1)</f>
        <v>1</v>
      </c>
      <c r="G95" s="23" t="s">
        <v>335</v>
      </c>
      <c r="T95" s="388" t="b" cm="1">
        <f t="array" ref="T95">T94</f>
        <v>1</v>
      </c>
      <c r="X95" s="2066"/>
      <c r="Z95" s="2067"/>
      <c r="AB95" s="130">
        <v>4</v>
      </c>
      <c r="AC95" s="131" t="s">
        <v>952</v>
      </c>
      <c r="AD95" s="8" t="s">
        <v>831</v>
      </c>
      <c r="AE95" s="1105">
        <f t="shared" ref="AE95:BB95" si="26">SUM(AE96:AE100)</f>
        <v>0</v>
      </c>
      <c r="AF95" s="1105">
        <f t="shared" si="26"/>
        <v>0</v>
      </c>
      <c r="AG95" s="1105">
        <f t="shared" si="26"/>
        <v>0</v>
      </c>
      <c r="AH95" s="1105">
        <f t="shared" si="26"/>
        <v>0</v>
      </c>
      <c r="AI95" s="1105">
        <f t="shared" si="26"/>
        <v>0</v>
      </c>
      <c r="AJ95" s="1402">
        <f t="shared" si="26"/>
        <v>0</v>
      </c>
      <c r="AK95" s="1402">
        <f t="shared" si="26"/>
        <v>0</v>
      </c>
      <c r="AL95" s="1402">
        <f t="shared" si="26"/>
        <v>0</v>
      </c>
      <c r="AM95" s="1402">
        <f t="shared" si="26"/>
        <v>0</v>
      </c>
      <c r="AN95" s="1402">
        <f t="shared" si="26"/>
        <v>0</v>
      </c>
      <c r="AO95" s="1402">
        <f t="shared" si="26"/>
        <v>0</v>
      </c>
      <c r="AP95" s="1105">
        <f t="shared" si="26"/>
        <v>0</v>
      </c>
      <c r="AQ95" s="1105">
        <f t="shared" si="26"/>
        <v>0</v>
      </c>
      <c r="AR95" s="1105">
        <f t="shared" si="26"/>
        <v>0</v>
      </c>
      <c r="AS95" s="1105">
        <f t="shared" si="26"/>
        <v>0</v>
      </c>
      <c r="AT95" s="1402">
        <f t="shared" si="26"/>
        <v>0</v>
      </c>
      <c r="AU95" s="1402">
        <f t="shared" si="26"/>
        <v>0</v>
      </c>
      <c r="AV95" s="1402">
        <f t="shared" si="26"/>
        <v>0</v>
      </c>
      <c r="AW95" s="1402">
        <f t="shared" si="26"/>
        <v>0</v>
      </c>
      <c r="AX95" s="1402">
        <f t="shared" si="26"/>
        <v>0</v>
      </c>
      <c r="AY95" s="1402">
        <f t="shared" si="26"/>
        <v>0</v>
      </c>
      <c r="AZ95" s="1105">
        <f t="shared" si="26"/>
        <v>0</v>
      </c>
      <c r="BA95" s="1105">
        <f t="shared" si="26"/>
        <v>0</v>
      </c>
      <c r="BB95" s="1105">
        <f t="shared" si="26"/>
        <v>0</v>
      </c>
      <c r="BC95" s="119"/>
      <c r="BF95" s="943" t="s">
        <v>953</v>
      </c>
    </row>
    <row r="96" spans="1:58" s="1334" customFormat="1" ht="14.25" customHeight="1" x14ac:dyDescent="0.15">
      <c r="A96" s="1128"/>
      <c r="B96" s="1111"/>
      <c r="C96" s="1128"/>
      <c r="D96" s="1128"/>
      <c r="E96" s="552">
        <v>15</v>
      </c>
      <c r="F96" s="3" t="str" cm="1">
        <f t="array" aca="1" ref="F96" ca="1">OFFSET(E96,-1,1)</f>
        <v>1</v>
      </c>
      <c r="G96" s="23" t="s">
        <v>565</v>
      </c>
      <c r="H96" s="1128"/>
      <c r="I96" s="1128"/>
      <c r="J96" s="1128"/>
      <c r="K96" s="1128"/>
      <c r="L96" s="1128"/>
      <c r="M96" s="1128"/>
      <c r="N96" s="1128"/>
      <c r="O96" s="1128"/>
      <c r="P96" s="1128"/>
      <c r="Q96" s="1128"/>
      <c r="R96" s="1128"/>
      <c r="S96" s="1128"/>
      <c r="T96" s="388" t="b" cm="1">
        <f t="array" ref="T96">T95</f>
        <v>1</v>
      </c>
      <c r="U96" s="1128"/>
      <c r="V96" s="1128"/>
      <c r="W96" s="1128"/>
      <c r="X96" s="2066"/>
      <c r="Y96" s="1128"/>
      <c r="Z96" s="2067"/>
      <c r="AA96" s="1128"/>
      <c r="AB96" s="7" t="s">
        <v>700</v>
      </c>
      <c r="AC96" s="133" t="s">
        <v>911</v>
      </c>
      <c r="AD96" s="8" t="s">
        <v>831</v>
      </c>
      <c r="AE96" s="134">
        <f t="shared" ref="AE96:BB96" si="27">AE78+AE84-AE90</f>
        <v>0</v>
      </c>
      <c r="AF96" s="134">
        <f t="shared" si="27"/>
        <v>0</v>
      </c>
      <c r="AG96" s="134">
        <f t="shared" si="27"/>
        <v>0</v>
      </c>
      <c r="AH96" s="134">
        <f t="shared" si="27"/>
        <v>0</v>
      </c>
      <c r="AI96" s="134">
        <f t="shared" si="27"/>
        <v>0</v>
      </c>
      <c r="AJ96" s="1403">
        <f t="shared" si="27"/>
        <v>0</v>
      </c>
      <c r="AK96" s="1403">
        <f t="shared" si="27"/>
        <v>0</v>
      </c>
      <c r="AL96" s="1403">
        <f t="shared" si="27"/>
        <v>0</v>
      </c>
      <c r="AM96" s="1403">
        <f t="shared" si="27"/>
        <v>0</v>
      </c>
      <c r="AN96" s="1403">
        <f t="shared" si="27"/>
        <v>0</v>
      </c>
      <c r="AO96" s="1403">
        <f t="shared" si="27"/>
        <v>0</v>
      </c>
      <c r="AP96" s="134">
        <f t="shared" si="27"/>
        <v>0</v>
      </c>
      <c r="AQ96" s="134">
        <f t="shared" si="27"/>
        <v>0</v>
      </c>
      <c r="AR96" s="134">
        <f t="shared" si="27"/>
        <v>0</v>
      </c>
      <c r="AS96" s="134">
        <f t="shared" si="27"/>
        <v>0</v>
      </c>
      <c r="AT96" s="1403">
        <f t="shared" si="27"/>
        <v>0</v>
      </c>
      <c r="AU96" s="1403">
        <f t="shared" si="27"/>
        <v>0</v>
      </c>
      <c r="AV96" s="1403">
        <f t="shared" si="27"/>
        <v>0</v>
      </c>
      <c r="AW96" s="1403">
        <f t="shared" si="27"/>
        <v>0</v>
      </c>
      <c r="AX96" s="1403">
        <f t="shared" si="27"/>
        <v>0</v>
      </c>
      <c r="AY96" s="1403">
        <f t="shared" si="27"/>
        <v>0</v>
      </c>
      <c r="AZ96" s="134">
        <f t="shared" si="27"/>
        <v>0</v>
      </c>
      <c r="BA96" s="134">
        <f t="shared" si="27"/>
        <v>0</v>
      </c>
      <c r="BB96" s="134">
        <f t="shared" si="27"/>
        <v>0</v>
      </c>
      <c r="BC96" s="119"/>
      <c r="BD96" s="1128"/>
      <c r="BE96" s="1128"/>
      <c r="BF96" s="943" t="s">
        <v>954</v>
      </c>
    </row>
    <row r="97" spans="1:58" s="1334" customFormat="1" ht="14.25" customHeight="1" x14ac:dyDescent="0.15">
      <c r="A97" s="1128"/>
      <c r="B97" s="1111"/>
      <c r="C97" s="1128"/>
      <c r="D97" s="1128"/>
      <c r="E97" s="552">
        <v>15</v>
      </c>
      <c r="F97" s="3" t="str" cm="1">
        <f t="array" aca="1" ref="F97" ca="1">OFFSET(E97,-1,1)</f>
        <v>1</v>
      </c>
      <c r="G97" s="23" t="s">
        <v>569</v>
      </c>
      <c r="H97" s="1128"/>
      <c r="I97" s="1128"/>
      <c r="J97" s="1128"/>
      <c r="K97" s="1128"/>
      <c r="L97" s="1128"/>
      <c r="M97" s="1128"/>
      <c r="N97" s="1128"/>
      <c r="O97" s="1128"/>
      <c r="P97" s="1128"/>
      <c r="Q97" s="1128"/>
      <c r="R97" s="1128"/>
      <c r="S97" s="1128"/>
      <c r="T97" s="388" t="b" cm="1">
        <f t="array" ref="T97">T96</f>
        <v>1</v>
      </c>
      <c r="U97" s="1128"/>
      <c r="V97" s="1128"/>
      <c r="W97" s="1128"/>
      <c r="X97" s="2066"/>
      <c r="Y97" s="1128"/>
      <c r="Z97" s="2067"/>
      <c r="AA97" s="1128"/>
      <c r="AB97" s="7" t="s">
        <v>703</v>
      </c>
      <c r="AC97" s="133" t="s">
        <v>914</v>
      </c>
      <c r="AD97" s="8" t="s">
        <v>831</v>
      </c>
      <c r="AE97" s="134">
        <f t="shared" ref="AE97:BB97" si="28">AE79+AE85-AE91</f>
        <v>0</v>
      </c>
      <c r="AF97" s="134">
        <f t="shared" si="28"/>
        <v>0</v>
      </c>
      <c r="AG97" s="134">
        <f t="shared" si="28"/>
        <v>0</v>
      </c>
      <c r="AH97" s="134">
        <f t="shared" si="28"/>
        <v>0</v>
      </c>
      <c r="AI97" s="134">
        <f t="shared" si="28"/>
        <v>0</v>
      </c>
      <c r="AJ97" s="1403">
        <f t="shared" si="28"/>
        <v>0</v>
      </c>
      <c r="AK97" s="1403">
        <f t="shared" si="28"/>
        <v>0</v>
      </c>
      <c r="AL97" s="1403">
        <f t="shared" si="28"/>
        <v>0</v>
      </c>
      <c r="AM97" s="1403">
        <f t="shared" si="28"/>
        <v>0</v>
      </c>
      <c r="AN97" s="1403">
        <f t="shared" si="28"/>
        <v>0</v>
      </c>
      <c r="AO97" s="1403">
        <f t="shared" si="28"/>
        <v>0</v>
      </c>
      <c r="AP97" s="134">
        <f t="shared" si="28"/>
        <v>0</v>
      </c>
      <c r="AQ97" s="134">
        <f t="shared" si="28"/>
        <v>0</v>
      </c>
      <c r="AR97" s="134">
        <f t="shared" si="28"/>
        <v>0</v>
      </c>
      <c r="AS97" s="134">
        <f t="shared" si="28"/>
        <v>0</v>
      </c>
      <c r="AT97" s="1403">
        <f t="shared" si="28"/>
        <v>0</v>
      </c>
      <c r="AU97" s="1403">
        <f t="shared" si="28"/>
        <v>0</v>
      </c>
      <c r="AV97" s="1403">
        <f t="shared" si="28"/>
        <v>0</v>
      </c>
      <c r="AW97" s="1403">
        <f t="shared" si="28"/>
        <v>0</v>
      </c>
      <c r="AX97" s="1403">
        <f t="shared" si="28"/>
        <v>0</v>
      </c>
      <c r="AY97" s="1403">
        <f t="shared" si="28"/>
        <v>0</v>
      </c>
      <c r="AZ97" s="134">
        <f t="shared" si="28"/>
        <v>0</v>
      </c>
      <c r="BA97" s="134">
        <f t="shared" si="28"/>
        <v>0</v>
      </c>
      <c r="BB97" s="134">
        <f t="shared" si="28"/>
        <v>0</v>
      </c>
      <c r="BC97" s="119"/>
      <c r="BD97" s="1128"/>
      <c r="BE97" s="1128"/>
      <c r="BF97" s="943" t="s">
        <v>955</v>
      </c>
    </row>
    <row r="98" spans="1:58" s="1334" customFormat="1" ht="14.25" customHeight="1" x14ac:dyDescent="0.15">
      <c r="A98" s="1128"/>
      <c r="B98" s="1111"/>
      <c r="C98" s="1128"/>
      <c r="D98" s="1128"/>
      <c r="E98" s="552">
        <v>15</v>
      </c>
      <c r="F98" s="3" t="str" cm="1">
        <f t="array" aca="1" ref="F98" ca="1">OFFSET(E98,-1,1)</f>
        <v>1</v>
      </c>
      <c r="G98" s="23" t="s">
        <v>573</v>
      </c>
      <c r="H98" s="1128"/>
      <c r="I98" s="1128"/>
      <c r="J98" s="1128"/>
      <c r="K98" s="1128"/>
      <c r="L98" s="1128"/>
      <c r="M98" s="1128"/>
      <c r="N98" s="1128"/>
      <c r="O98" s="1128"/>
      <c r="P98" s="1128"/>
      <c r="Q98" s="1128"/>
      <c r="R98" s="1128"/>
      <c r="S98" s="1128"/>
      <c r="T98" s="388" t="b" cm="1">
        <f t="array" ref="T98">T97</f>
        <v>1</v>
      </c>
      <c r="U98" s="1128"/>
      <c r="V98" s="1128"/>
      <c r="W98" s="1128"/>
      <c r="X98" s="2066"/>
      <c r="Y98" s="1128"/>
      <c r="Z98" s="2067"/>
      <c r="AA98" s="1128"/>
      <c r="AB98" s="7" t="s">
        <v>737</v>
      </c>
      <c r="AC98" s="133" t="s">
        <v>917</v>
      </c>
      <c r="AD98" s="8" t="s">
        <v>831</v>
      </c>
      <c r="AE98" s="134">
        <f t="shared" ref="AE98:BB98" si="29">AE80+AE86-AE92</f>
        <v>0</v>
      </c>
      <c r="AF98" s="134">
        <f t="shared" si="29"/>
        <v>0</v>
      </c>
      <c r="AG98" s="134">
        <f t="shared" si="29"/>
        <v>0</v>
      </c>
      <c r="AH98" s="134">
        <f t="shared" si="29"/>
        <v>0</v>
      </c>
      <c r="AI98" s="134">
        <f t="shared" si="29"/>
        <v>0</v>
      </c>
      <c r="AJ98" s="1403">
        <f t="shared" si="29"/>
        <v>0</v>
      </c>
      <c r="AK98" s="1403">
        <f t="shared" si="29"/>
        <v>0</v>
      </c>
      <c r="AL98" s="1403">
        <f t="shared" si="29"/>
        <v>0</v>
      </c>
      <c r="AM98" s="1403">
        <f t="shared" si="29"/>
        <v>0</v>
      </c>
      <c r="AN98" s="1403">
        <f t="shared" si="29"/>
        <v>0</v>
      </c>
      <c r="AO98" s="1403">
        <f t="shared" si="29"/>
        <v>0</v>
      </c>
      <c r="AP98" s="134">
        <f t="shared" si="29"/>
        <v>0</v>
      </c>
      <c r="AQ98" s="134">
        <f t="shared" si="29"/>
        <v>0</v>
      </c>
      <c r="AR98" s="134">
        <f t="shared" si="29"/>
        <v>0</v>
      </c>
      <c r="AS98" s="134">
        <f t="shared" si="29"/>
        <v>0</v>
      </c>
      <c r="AT98" s="1403">
        <f t="shared" si="29"/>
        <v>0</v>
      </c>
      <c r="AU98" s="1403">
        <f t="shared" si="29"/>
        <v>0</v>
      </c>
      <c r="AV98" s="1403">
        <f t="shared" si="29"/>
        <v>0</v>
      </c>
      <c r="AW98" s="1403">
        <f t="shared" si="29"/>
        <v>0</v>
      </c>
      <c r="AX98" s="1403">
        <f t="shared" si="29"/>
        <v>0</v>
      </c>
      <c r="AY98" s="1403">
        <f t="shared" si="29"/>
        <v>0</v>
      </c>
      <c r="AZ98" s="134">
        <f t="shared" si="29"/>
        <v>0</v>
      </c>
      <c r="BA98" s="134">
        <f t="shared" si="29"/>
        <v>0</v>
      </c>
      <c r="BB98" s="134">
        <f t="shared" si="29"/>
        <v>0</v>
      </c>
      <c r="BC98" s="119"/>
      <c r="BD98" s="1128"/>
      <c r="BE98" s="1128"/>
      <c r="BF98" s="943" t="s">
        <v>956</v>
      </c>
    </row>
    <row r="99" spans="1:58" s="1334" customFormat="1" ht="14.25" customHeight="1" x14ac:dyDescent="0.15">
      <c r="A99" s="1128"/>
      <c r="B99" s="1111"/>
      <c r="C99" s="1128"/>
      <c r="D99" s="1128"/>
      <c r="E99" s="552">
        <v>15</v>
      </c>
      <c r="F99" s="3" t="str" cm="1">
        <f t="array" aca="1" ref="F99" ca="1">OFFSET(E99,-1,1)</f>
        <v>1</v>
      </c>
      <c r="G99" s="23" t="s">
        <v>957</v>
      </c>
      <c r="H99" s="1128"/>
      <c r="I99" s="1128"/>
      <c r="J99" s="1128"/>
      <c r="K99" s="1128"/>
      <c r="L99" s="1128"/>
      <c r="M99" s="1128"/>
      <c r="N99" s="1128"/>
      <c r="O99" s="1128"/>
      <c r="P99" s="1128"/>
      <c r="Q99" s="1128"/>
      <c r="R99" s="1128"/>
      <c r="S99" s="1128"/>
      <c r="T99" s="388" t="b" cm="1">
        <f t="array" ref="T99">T98</f>
        <v>1</v>
      </c>
      <c r="U99" s="1128"/>
      <c r="V99" s="1128"/>
      <c r="W99" s="1128"/>
      <c r="X99" s="2066"/>
      <c r="Y99" s="1128"/>
      <c r="Z99" s="2067"/>
      <c r="AA99" s="1128"/>
      <c r="AB99" s="7" t="s">
        <v>746</v>
      </c>
      <c r="AC99" s="133" t="s">
        <v>920</v>
      </c>
      <c r="AD99" s="8" t="s">
        <v>831</v>
      </c>
      <c r="AE99" s="134">
        <f t="shared" ref="AE99:BB99" si="30">AE81+AE87-AE93</f>
        <v>0</v>
      </c>
      <c r="AF99" s="134">
        <f t="shared" si="30"/>
        <v>0</v>
      </c>
      <c r="AG99" s="134">
        <f t="shared" si="30"/>
        <v>0</v>
      </c>
      <c r="AH99" s="134">
        <f t="shared" si="30"/>
        <v>0</v>
      </c>
      <c r="AI99" s="134">
        <f t="shared" si="30"/>
        <v>0</v>
      </c>
      <c r="AJ99" s="1403">
        <f t="shared" si="30"/>
        <v>0</v>
      </c>
      <c r="AK99" s="1403">
        <f t="shared" si="30"/>
        <v>0</v>
      </c>
      <c r="AL99" s="1403">
        <f t="shared" si="30"/>
        <v>0</v>
      </c>
      <c r="AM99" s="1403">
        <f t="shared" si="30"/>
        <v>0</v>
      </c>
      <c r="AN99" s="1403">
        <f t="shared" si="30"/>
        <v>0</v>
      </c>
      <c r="AO99" s="1403">
        <f t="shared" si="30"/>
        <v>0</v>
      </c>
      <c r="AP99" s="134">
        <f t="shared" si="30"/>
        <v>0</v>
      </c>
      <c r="AQ99" s="134">
        <f t="shared" si="30"/>
        <v>0</v>
      </c>
      <c r="AR99" s="134">
        <f t="shared" si="30"/>
        <v>0</v>
      </c>
      <c r="AS99" s="134">
        <f t="shared" si="30"/>
        <v>0</v>
      </c>
      <c r="AT99" s="1403">
        <f t="shared" si="30"/>
        <v>0</v>
      </c>
      <c r="AU99" s="1403">
        <f t="shared" si="30"/>
        <v>0</v>
      </c>
      <c r="AV99" s="1403">
        <f t="shared" si="30"/>
        <v>0</v>
      </c>
      <c r="AW99" s="1403">
        <f t="shared" si="30"/>
        <v>0</v>
      </c>
      <c r="AX99" s="1403">
        <f t="shared" si="30"/>
        <v>0</v>
      </c>
      <c r="AY99" s="1403">
        <f t="shared" si="30"/>
        <v>0</v>
      </c>
      <c r="AZ99" s="134">
        <f t="shared" si="30"/>
        <v>0</v>
      </c>
      <c r="BA99" s="134">
        <f t="shared" si="30"/>
        <v>0</v>
      </c>
      <c r="BB99" s="134">
        <f t="shared" si="30"/>
        <v>0</v>
      </c>
      <c r="BC99" s="119"/>
      <c r="BD99" s="1128"/>
      <c r="BE99" s="1128"/>
      <c r="BF99" s="943" t="s">
        <v>958</v>
      </c>
    </row>
    <row r="100" spans="1:58" s="1334" customFormat="1" ht="14.25" customHeight="1" x14ac:dyDescent="0.15">
      <c r="A100" s="1128"/>
      <c r="B100" s="1111"/>
      <c r="C100" s="1128"/>
      <c r="D100" s="1128"/>
      <c r="E100" s="552">
        <v>15</v>
      </c>
      <c r="F100" s="3" t="str" cm="1">
        <f t="array" aca="1" ref="F100" ca="1">OFFSET(E100,-1,1)</f>
        <v>1</v>
      </c>
      <c r="G100" s="23" t="s">
        <v>959</v>
      </c>
      <c r="H100" s="1128"/>
      <c r="I100" s="1128"/>
      <c r="J100" s="1128"/>
      <c r="K100" s="1128"/>
      <c r="L100" s="1128"/>
      <c r="M100" s="1128"/>
      <c r="N100" s="1128"/>
      <c r="O100" s="1128"/>
      <c r="P100" s="1128"/>
      <c r="Q100" s="1128"/>
      <c r="R100" s="1128"/>
      <c r="S100" s="1128"/>
      <c r="T100" s="388" t="b" cm="1">
        <f t="array" ref="T100">T99</f>
        <v>1</v>
      </c>
      <c r="U100" s="1128"/>
      <c r="V100" s="1128"/>
      <c r="W100" s="1128"/>
      <c r="X100" s="2066"/>
      <c r="Y100" s="1128"/>
      <c r="Z100" s="2067"/>
      <c r="AA100" s="1128"/>
      <c r="AB100" s="7" t="s">
        <v>756</v>
      </c>
      <c r="AC100" s="133" t="s">
        <v>924</v>
      </c>
      <c r="AD100" s="8" t="s">
        <v>831</v>
      </c>
      <c r="AE100" s="134">
        <f t="shared" ref="AE100:BB100" si="31">AE82+AE88-AE94</f>
        <v>0</v>
      </c>
      <c r="AF100" s="134">
        <f t="shared" si="31"/>
        <v>0</v>
      </c>
      <c r="AG100" s="134">
        <f t="shared" si="31"/>
        <v>0</v>
      </c>
      <c r="AH100" s="134">
        <f t="shared" si="31"/>
        <v>0</v>
      </c>
      <c r="AI100" s="134">
        <f t="shared" si="31"/>
        <v>0</v>
      </c>
      <c r="AJ100" s="1403">
        <f t="shared" si="31"/>
        <v>0</v>
      </c>
      <c r="AK100" s="1403">
        <f t="shared" si="31"/>
        <v>0</v>
      </c>
      <c r="AL100" s="1403">
        <f t="shared" si="31"/>
        <v>0</v>
      </c>
      <c r="AM100" s="1403">
        <f t="shared" si="31"/>
        <v>0</v>
      </c>
      <c r="AN100" s="1403">
        <f t="shared" si="31"/>
        <v>0</v>
      </c>
      <c r="AO100" s="1403">
        <f t="shared" si="31"/>
        <v>0</v>
      </c>
      <c r="AP100" s="134">
        <f t="shared" si="31"/>
        <v>0</v>
      </c>
      <c r="AQ100" s="134">
        <f t="shared" si="31"/>
        <v>0</v>
      </c>
      <c r="AR100" s="134">
        <f t="shared" si="31"/>
        <v>0</v>
      </c>
      <c r="AS100" s="134">
        <f t="shared" si="31"/>
        <v>0</v>
      </c>
      <c r="AT100" s="1403">
        <f t="shared" si="31"/>
        <v>0</v>
      </c>
      <c r="AU100" s="1403">
        <f t="shared" si="31"/>
        <v>0</v>
      </c>
      <c r="AV100" s="1403">
        <f t="shared" si="31"/>
        <v>0</v>
      </c>
      <c r="AW100" s="1403">
        <f t="shared" si="31"/>
        <v>0</v>
      </c>
      <c r="AX100" s="1403">
        <f t="shared" si="31"/>
        <v>0</v>
      </c>
      <c r="AY100" s="1403">
        <f t="shared" si="31"/>
        <v>0</v>
      </c>
      <c r="AZ100" s="134">
        <f t="shared" si="31"/>
        <v>0</v>
      </c>
      <c r="BA100" s="134">
        <f t="shared" si="31"/>
        <v>0</v>
      </c>
      <c r="BB100" s="134">
        <f t="shared" si="31"/>
        <v>0</v>
      </c>
      <c r="BC100" s="119"/>
      <c r="BD100" s="1128"/>
      <c r="BE100" s="1128"/>
      <c r="BF100" s="943" t="s">
        <v>960</v>
      </c>
    </row>
    <row r="101" spans="1:58" s="448" customFormat="1" ht="14.25" customHeight="1" x14ac:dyDescent="0.15">
      <c r="B101" s="353"/>
      <c r="E101" s="552">
        <v>15</v>
      </c>
      <c r="F101" s="3" t="str" cm="1">
        <f t="array" aca="1" ref="F101" ca="1">OFFSET(E101,-1,1)</f>
        <v>1</v>
      </c>
      <c r="G101" s="23" t="s">
        <v>334</v>
      </c>
      <c r="T101" s="388" t="b" cm="1">
        <f t="array" ref="T101">T100</f>
        <v>1</v>
      </c>
      <c r="X101" s="2066"/>
      <c r="Z101" s="2067"/>
      <c r="AB101" s="130">
        <v>5</v>
      </c>
      <c r="AC101" s="131" t="s">
        <v>961</v>
      </c>
      <c r="AD101" s="8" t="s">
        <v>831</v>
      </c>
      <c r="AE101" s="1105">
        <f t="shared" ref="AE101:BB101" si="32">SUM(AE102:AE106)</f>
        <v>0</v>
      </c>
      <c r="AF101" s="1105">
        <f t="shared" si="32"/>
        <v>0</v>
      </c>
      <c r="AG101" s="1105">
        <f t="shared" si="32"/>
        <v>0</v>
      </c>
      <c r="AH101" s="1105">
        <f t="shared" si="32"/>
        <v>0</v>
      </c>
      <c r="AI101" s="1105">
        <f t="shared" si="32"/>
        <v>0</v>
      </c>
      <c r="AJ101" s="1402">
        <f t="shared" si="32"/>
        <v>0</v>
      </c>
      <c r="AK101" s="1402">
        <f t="shared" si="32"/>
        <v>0</v>
      </c>
      <c r="AL101" s="1402">
        <f t="shared" si="32"/>
        <v>0</v>
      </c>
      <c r="AM101" s="1402">
        <f t="shared" si="32"/>
        <v>0</v>
      </c>
      <c r="AN101" s="1402">
        <f t="shared" si="32"/>
        <v>0</v>
      </c>
      <c r="AO101" s="1402">
        <f t="shared" si="32"/>
        <v>0</v>
      </c>
      <c r="AP101" s="1105">
        <f t="shared" si="32"/>
        <v>0</v>
      </c>
      <c r="AQ101" s="1105">
        <f t="shared" si="32"/>
        <v>0</v>
      </c>
      <c r="AR101" s="1105">
        <f t="shared" si="32"/>
        <v>0</v>
      </c>
      <c r="AS101" s="1105">
        <f t="shared" si="32"/>
        <v>0</v>
      </c>
      <c r="AT101" s="1402">
        <f t="shared" si="32"/>
        <v>0</v>
      </c>
      <c r="AU101" s="1402">
        <f t="shared" si="32"/>
        <v>0</v>
      </c>
      <c r="AV101" s="1402">
        <f t="shared" si="32"/>
        <v>0</v>
      </c>
      <c r="AW101" s="1402">
        <f t="shared" si="32"/>
        <v>0</v>
      </c>
      <c r="AX101" s="1402">
        <f t="shared" si="32"/>
        <v>0</v>
      </c>
      <c r="AY101" s="1402">
        <f t="shared" si="32"/>
        <v>0</v>
      </c>
      <c r="AZ101" s="1105">
        <f t="shared" si="32"/>
        <v>0</v>
      </c>
      <c r="BA101" s="1105">
        <f t="shared" si="32"/>
        <v>0</v>
      </c>
      <c r="BB101" s="1105">
        <f t="shared" si="32"/>
        <v>0</v>
      </c>
      <c r="BC101" s="119"/>
      <c r="BF101" s="943" t="s">
        <v>962</v>
      </c>
    </row>
    <row r="102" spans="1:58" s="1334" customFormat="1" ht="14.25" customHeight="1" x14ac:dyDescent="0.15">
      <c r="A102" s="1128"/>
      <c r="B102" s="1111"/>
      <c r="C102" s="1128"/>
      <c r="D102" s="1128"/>
      <c r="E102" s="552">
        <v>15</v>
      </c>
      <c r="F102" s="3" t="str" cm="1">
        <f t="array" aca="1" ref="F102" ca="1">OFFSET(E102,-1,1)</f>
        <v>1</v>
      </c>
      <c r="G102" s="23" t="s">
        <v>579</v>
      </c>
      <c r="H102" s="1128"/>
      <c r="I102" s="1128"/>
      <c r="J102" s="1128"/>
      <c r="K102" s="1128"/>
      <c r="L102" s="1128"/>
      <c r="M102" s="1128"/>
      <c r="N102" s="1128"/>
      <c r="O102" s="1128"/>
      <c r="P102" s="1128"/>
      <c r="Q102" s="1128"/>
      <c r="R102" s="1128"/>
      <c r="S102" s="1128"/>
      <c r="T102" s="388" t="b" cm="1">
        <f t="array" ref="T102">T101</f>
        <v>1</v>
      </c>
      <c r="U102" s="1128"/>
      <c r="V102" s="1128"/>
      <c r="W102" s="1128"/>
      <c r="X102" s="2066"/>
      <c r="Y102" s="1128"/>
      <c r="Z102" s="2067"/>
      <c r="AA102" s="1128"/>
      <c r="AB102" s="7" t="s">
        <v>707</v>
      </c>
      <c r="AC102" s="133" t="s">
        <v>911</v>
      </c>
      <c r="AD102" s="8" t="s">
        <v>831</v>
      </c>
      <c r="AE102" s="134">
        <f t="shared" ref="AE102:BB102" si="33">(AE96+AE78)/2</f>
        <v>0</v>
      </c>
      <c r="AF102" s="134">
        <f t="shared" si="33"/>
        <v>0</v>
      </c>
      <c r="AG102" s="134">
        <f t="shared" si="33"/>
        <v>0</v>
      </c>
      <c r="AH102" s="134">
        <f t="shared" si="33"/>
        <v>0</v>
      </c>
      <c r="AI102" s="134">
        <f t="shared" si="33"/>
        <v>0</v>
      </c>
      <c r="AJ102" s="1403">
        <f t="shared" si="33"/>
        <v>0</v>
      </c>
      <c r="AK102" s="1403">
        <f t="shared" si="33"/>
        <v>0</v>
      </c>
      <c r="AL102" s="1403">
        <f t="shared" si="33"/>
        <v>0</v>
      </c>
      <c r="AM102" s="1403">
        <f t="shared" si="33"/>
        <v>0</v>
      </c>
      <c r="AN102" s="1403">
        <f t="shared" si="33"/>
        <v>0</v>
      </c>
      <c r="AO102" s="1403">
        <f t="shared" si="33"/>
        <v>0</v>
      </c>
      <c r="AP102" s="134">
        <f t="shared" si="33"/>
        <v>0</v>
      </c>
      <c r="AQ102" s="134">
        <f t="shared" si="33"/>
        <v>0</v>
      </c>
      <c r="AR102" s="134">
        <f t="shared" si="33"/>
        <v>0</v>
      </c>
      <c r="AS102" s="134">
        <f t="shared" si="33"/>
        <v>0</v>
      </c>
      <c r="AT102" s="1403">
        <f t="shared" si="33"/>
        <v>0</v>
      </c>
      <c r="AU102" s="1403">
        <f t="shared" si="33"/>
        <v>0</v>
      </c>
      <c r="AV102" s="1403">
        <f t="shared" si="33"/>
        <v>0</v>
      </c>
      <c r="AW102" s="1403">
        <f t="shared" si="33"/>
        <v>0</v>
      </c>
      <c r="AX102" s="1403">
        <f t="shared" si="33"/>
        <v>0</v>
      </c>
      <c r="AY102" s="1403">
        <f t="shared" si="33"/>
        <v>0</v>
      </c>
      <c r="AZ102" s="134">
        <f t="shared" si="33"/>
        <v>0</v>
      </c>
      <c r="BA102" s="134">
        <f t="shared" si="33"/>
        <v>0</v>
      </c>
      <c r="BB102" s="134">
        <f t="shared" si="33"/>
        <v>0</v>
      </c>
      <c r="BC102" s="119"/>
      <c r="BD102" s="1128"/>
      <c r="BE102" s="1128"/>
      <c r="BF102" s="943" t="s">
        <v>963</v>
      </c>
    </row>
    <row r="103" spans="1:58" s="1334" customFormat="1" ht="14.25" customHeight="1" x14ac:dyDescent="0.15">
      <c r="A103" s="1128"/>
      <c r="B103" s="1111"/>
      <c r="C103" s="1128"/>
      <c r="D103" s="1128"/>
      <c r="E103" s="552">
        <v>15</v>
      </c>
      <c r="F103" s="3" t="str" cm="1">
        <f t="array" aca="1" ref="F103" ca="1">OFFSET(E103,-1,1)</f>
        <v>1</v>
      </c>
      <c r="G103" s="23" t="s">
        <v>583</v>
      </c>
      <c r="H103" s="1128"/>
      <c r="I103" s="1128"/>
      <c r="J103" s="1128"/>
      <c r="K103" s="1128"/>
      <c r="L103" s="1128"/>
      <c r="M103" s="1128"/>
      <c r="N103" s="1128"/>
      <c r="O103" s="1128"/>
      <c r="P103" s="1128"/>
      <c r="Q103" s="1128"/>
      <c r="R103" s="1128"/>
      <c r="S103" s="1128"/>
      <c r="T103" s="388" t="b" cm="1">
        <f t="array" ref="T103">T102</f>
        <v>1</v>
      </c>
      <c r="U103" s="1128"/>
      <c r="V103" s="1128"/>
      <c r="W103" s="1128"/>
      <c r="X103" s="2066"/>
      <c r="Y103" s="1128"/>
      <c r="Z103" s="2067"/>
      <c r="AA103" s="1128"/>
      <c r="AB103" s="7" t="s">
        <v>710</v>
      </c>
      <c r="AC103" s="133" t="s">
        <v>914</v>
      </c>
      <c r="AD103" s="8" t="s">
        <v>831</v>
      </c>
      <c r="AE103" s="134">
        <f t="shared" ref="AE103:BB103" si="34">(AE97+AE79)/2</f>
        <v>0</v>
      </c>
      <c r="AF103" s="134">
        <f t="shared" si="34"/>
        <v>0</v>
      </c>
      <c r="AG103" s="134">
        <f t="shared" si="34"/>
        <v>0</v>
      </c>
      <c r="AH103" s="134">
        <f t="shared" si="34"/>
        <v>0</v>
      </c>
      <c r="AI103" s="134">
        <f t="shared" si="34"/>
        <v>0</v>
      </c>
      <c r="AJ103" s="1403">
        <f t="shared" si="34"/>
        <v>0</v>
      </c>
      <c r="AK103" s="1403">
        <f t="shared" si="34"/>
        <v>0</v>
      </c>
      <c r="AL103" s="1403">
        <f t="shared" si="34"/>
        <v>0</v>
      </c>
      <c r="AM103" s="1403">
        <f t="shared" si="34"/>
        <v>0</v>
      </c>
      <c r="AN103" s="1403">
        <f t="shared" si="34"/>
        <v>0</v>
      </c>
      <c r="AO103" s="1403">
        <f t="shared" si="34"/>
        <v>0</v>
      </c>
      <c r="AP103" s="134">
        <f t="shared" si="34"/>
        <v>0</v>
      </c>
      <c r="AQ103" s="134">
        <f t="shared" si="34"/>
        <v>0</v>
      </c>
      <c r="AR103" s="134">
        <f t="shared" si="34"/>
        <v>0</v>
      </c>
      <c r="AS103" s="134">
        <f t="shared" si="34"/>
        <v>0</v>
      </c>
      <c r="AT103" s="1403">
        <f t="shared" si="34"/>
        <v>0</v>
      </c>
      <c r="AU103" s="1403">
        <f t="shared" si="34"/>
        <v>0</v>
      </c>
      <c r="AV103" s="1403">
        <f t="shared" si="34"/>
        <v>0</v>
      </c>
      <c r="AW103" s="1403">
        <f t="shared" si="34"/>
        <v>0</v>
      </c>
      <c r="AX103" s="1403">
        <f t="shared" si="34"/>
        <v>0</v>
      </c>
      <c r="AY103" s="1403">
        <f t="shared" si="34"/>
        <v>0</v>
      </c>
      <c r="AZ103" s="134">
        <f t="shared" si="34"/>
        <v>0</v>
      </c>
      <c r="BA103" s="134">
        <f t="shared" si="34"/>
        <v>0</v>
      </c>
      <c r="BB103" s="134">
        <f t="shared" si="34"/>
        <v>0</v>
      </c>
      <c r="BC103" s="119"/>
      <c r="BD103" s="1128"/>
      <c r="BE103" s="1128"/>
      <c r="BF103" s="943" t="s">
        <v>964</v>
      </c>
    </row>
    <row r="104" spans="1:58" s="1334" customFormat="1" ht="14.25" customHeight="1" x14ac:dyDescent="0.15">
      <c r="A104" s="1128"/>
      <c r="B104" s="1111"/>
      <c r="C104" s="1128"/>
      <c r="D104" s="1128"/>
      <c r="E104" s="552">
        <v>15</v>
      </c>
      <c r="F104" s="3" t="str" cm="1">
        <f t="array" aca="1" ref="F104" ca="1">OFFSET(E104,-1,1)</f>
        <v>1</v>
      </c>
      <c r="G104" s="23" t="s">
        <v>795</v>
      </c>
      <c r="H104" s="1128"/>
      <c r="I104" s="1128"/>
      <c r="J104" s="1128"/>
      <c r="K104" s="1128"/>
      <c r="L104" s="1128"/>
      <c r="M104" s="1128"/>
      <c r="N104" s="1128"/>
      <c r="O104" s="1128"/>
      <c r="P104" s="1128"/>
      <c r="Q104" s="1128"/>
      <c r="R104" s="1128"/>
      <c r="S104" s="1128"/>
      <c r="T104" s="388" t="b" cm="1">
        <f t="array" ref="T104">T103</f>
        <v>1</v>
      </c>
      <c r="U104" s="1128"/>
      <c r="V104" s="1128"/>
      <c r="W104" s="1128"/>
      <c r="X104" s="2066"/>
      <c r="Y104" s="1128"/>
      <c r="Z104" s="2067"/>
      <c r="AA104" s="1128"/>
      <c r="AB104" s="7" t="s">
        <v>965</v>
      </c>
      <c r="AC104" s="133" t="s">
        <v>917</v>
      </c>
      <c r="AD104" s="8" t="s">
        <v>831</v>
      </c>
      <c r="AE104" s="134">
        <f t="shared" ref="AE104:BB104" si="35">(AE98+AE80)/2</f>
        <v>0</v>
      </c>
      <c r="AF104" s="134">
        <f t="shared" si="35"/>
        <v>0</v>
      </c>
      <c r="AG104" s="134">
        <f t="shared" si="35"/>
        <v>0</v>
      </c>
      <c r="AH104" s="134">
        <f t="shared" si="35"/>
        <v>0</v>
      </c>
      <c r="AI104" s="134">
        <f t="shared" si="35"/>
        <v>0</v>
      </c>
      <c r="AJ104" s="1403">
        <f t="shared" si="35"/>
        <v>0</v>
      </c>
      <c r="AK104" s="1403">
        <f t="shared" si="35"/>
        <v>0</v>
      </c>
      <c r="AL104" s="1403">
        <f t="shared" si="35"/>
        <v>0</v>
      </c>
      <c r="AM104" s="1403">
        <f t="shared" si="35"/>
        <v>0</v>
      </c>
      <c r="AN104" s="1403">
        <f t="shared" si="35"/>
        <v>0</v>
      </c>
      <c r="AO104" s="1403">
        <f t="shared" si="35"/>
        <v>0</v>
      </c>
      <c r="AP104" s="134">
        <f t="shared" si="35"/>
        <v>0</v>
      </c>
      <c r="AQ104" s="134">
        <f t="shared" si="35"/>
        <v>0</v>
      </c>
      <c r="AR104" s="134">
        <f t="shared" si="35"/>
        <v>0</v>
      </c>
      <c r="AS104" s="134">
        <f t="shared" si="35"/>
        <v>0</v>
      </c>
      <c r="AT104" s="1403">
        <f t="shared" si="35"/>
        <v>0</v>
      </c>
      <c r="AU104" s="1403">
        <f t="shared" si="35"/>
        <v>0</v>
      </c>
      <c r="AV104" s="1403">
        <f t="shared" si="35"/>
        <v>0</v>
      </c>
      <c r="AW104" s="1403">
        <f t="shared" si="35"/>
        <v>0</v>
      </c>
      <c r="AX104" s="1403">
        <f t="shared" si="35"/>
        <v>0</v>
      </c>
      <c r="AY104" s="1403">
        <f t="shared" si="35"/>
        <v>0</v>
      </c>
      <c r="AZ104" s="134">
        <f t="shared" si="35"/>
        <v>0</v>
      </c>
      <c r="BA104" s="134">
        <f t="shared" si="35"/>
        <v>0</v>
      </c>
      <c r="BB104" s="134">
        <f t="shared" si="35"/>
        <v>0</v>
      </c>
      <c r="BC104" s="119"/>
      <c r="BD104" s="1128"/>
      <c r="BE104" s="1128"/>
      <c r="BF104" s="943" t="s">
        <v>966</v>
      </c>
    </row>
    <row r="105" spans="1:58" s="1334" customFormat="1" ht="14.25" customHeight="1" x14ac:dyDescent="0.15">
      <c r="A105" s="1128"/>
      <c r="B105" s="1111"/>
      <c r="C105" s="1128"/>
      <c r="D105" s="1128"/>
      <c r="E105" s="552">
        <v>15</v>
      </c>
      <c r="F105" s="3" t="str" cm="1">
        <f t="array" aca="1" ref="F105" ca="1">OFFSET(E105,-1,1)</f>
        <v>1</v>
      </c>
      <c r="G105" s="23" t="s">
        <v>967</v>
      </c>
      <c r="H105" s="1128"/>
      <c r="I105" s="1128"/>
      <c r="J105" s="1128"/>
      <c r="K105" s="1128"/>
      <c r="L105" s="1128"/>
      <c r="M105" s="1128"/>
      <c r="N105" s="1128"/>
      <c r="O105" s="1128"/>
      <c r="P105" s="1128"/>
      <c r="Q105" s="1128"/>
      <c r="R105" s="1128"/>
      <c r="S105" s="1128"/>
      <c r="T105" s="388" t="b" cm="1">
        <f t="array" ref="T105">T104</f>
        <v>1</v>
      </c>
      <c r="U105" s="1128"/>
      <c r="V105" s="1128"/>
      <c r="W105" s="1128"/>
      <c r="X105" s="2066"/>
      <c r="Y105" s="1128"/>
      <c r="Z105" s="2067"/>
      <c r="AA105" s="1128"/>
      <c r="AB105" s="7" t="s">
        <v>968</v>
      </c>
      <c r="AC105" s="133" t="s">
        <v>920</v>
      </c>
      <c r="AD105" s="8" t="s">
        <v>831</v>
      </c>
      <c r="AE105" s="134">
        <f t="shared" ref="AE105:BB105" si="36">(AE99+AE81)/2</f>
        <v>0</v>
      </c>
      <c r="AF105" s="134">
        <f t="shared" si="36"/>
        <v>0</v>
      </c>
      <c r="AG105" s="134">
        <f t="shared" si="36"/>
        <v>0</v>
      </c>
      <c r="AH105" s="134">
        <f t="shared" si="36"/>
        <v>0</v>
      </c>
      <c r="AI105" s="134">
        <f t="shared" si="36"/>
        <v>0</v>
      </c>
      <c r="AJ105" s="1403">
        <f t="shared" si="36"/>
        <v>0</v>
      </c>
      <c r="AK105" s="1403">
        <f t="shared" si="36"/>
        <v>0</v>
      </c>
      <c r="AL105" s="1403">
        <f t="shared" si="36"/>
        <v>0</v>
      </c>
      <c r="AM105" s="1403">
        <f t="shared" si="36"/>
        <v>0</v>
      </c>
      <c r="AN105" s="1403">
        <f t="shared" si="36"/>
        <v>0</v>
      </c>
      <c r="AO105" s="1403">
        <f t="shared" si="36"/>
        <v>0</v>
      </c>
      <c r="AP105" s="134">
        <f t="shared" si="36"/>
        <v>0</v>
      </c>
      <c r="AQ105" s="134">
        <f t="shared" si="36"/>
        <v>0</v>
      </c>
      <c r="AR105" s="134">
        <f t="shared" si="36"/>
        <v>0</v>
      </c>
      <c r="AS105" s="134">
        <f t="shared" si="36"/>
        <v>0</v>
      </c>
      <c r="AT105" s="1403">
        <f t="shared" si="36"/>
        <v>0</v>
      </c>
      <c r="AU105" s="1403">
        <f t="shared" si="36"/>
        <v>0</v>
      </c>
      <c r="AV105" s="1403">
        <f t="shared" si="36"/>
        <v>0</v>
      </c>
      <c r="AW105" s="1403">
        <f t="shared" si="36"/>
        <v>0</v>
      </c>
      <c r="AX105" s="1403">
        <f t="shared" si="36"/>
        <v>0</v>
      </c>
      <c r="AY105" s="1403">
        <f t="shared" si="36"/>
        <v>0</v>
      </c>
      <c r="AZ105" s="134">
        <f t="shared" si="36"/>
        <v>0</v>
      </c>
      <c r="BA105" s="134">
        <f t="shared" si="36"/>
        <v>0</v>
      </c>
      <c r="BB105" s="134">
        <f t="shared" si="36"/>
        <v>0</v>
      </c>
      <c r="BC105" s="119"/>
      <c r="BD105" s="1128"/>
      <c r="BE105" s="1128"/>
      <c r="BF105" s="943" t="s">
        <v>969</v>
      </c>
    </row>
    <row r="106" spans="1:58" s="1334" customFormat="1" ht="14.25" customHeight="1" x14ac:dyDescent="0.15">
      <c r="A106" s="1128"/>
      <c r="B106" s="1111"/>
      <c r="C106" s="1128"/>
      <c r="D106" s="1128"/>
      <c r="E106" s="552">
        <v>15</v>
      </c>
      <c r="F106" s="3" t="str" cm="1">
        <f t="array" aca="1" ref="F106" ca="1">OFFSET(E106,-1,1)</f>
        <v>1</v>
      </c>
      <c r="G106" s="23" t="s">
        <v>970</v>
      </c>
      <c r="H106" s="1128"/>
      <c r="I106" s="1128"/>
      <c r="J106" s="1128"/>
      <c r="K106" s="1128"/>
      <c r="L106" s="1128"/>
      <c r="M106" s="1128"/>
      <c r="N106" s="1128"/>
      <c r="O106" s="1128"/>
      <c r="P106" s="1128"/>
      <c r="Q106" s="1128"/>
      <c r="R106" s="1128"/>
      <c r="S106" s="1128"/>
      <c r="T106" s="388" t="b" cm="1">
        <f t="array" ref="T106">T105</f>
        <v>1</v>
      </c>
      <c r="U106" s="1128"/>
      <c r="V106" s="1128"/>
      <c r="W106" s="1128"/>
      <c r="X106" s="2066"/>
      <c r="Y106" s="1128"/>
      <c r="Z106" s="2067"/>
      <c r="AA106" s="1128"/>
      <c r="AB106" s="7" t="s">
        <v>971</v>
      </c>
      <c r="AC106" s="133" t="s">
        <v>924</v>
      </c>
      <c r="AD106" s="8" t="s">
        <v>831</v>
      </c>
      <c r="AE106" s="134">
        <f t="shared" ref="AE106:BB106" si="37">(AE100+AE82)/2</f>
        <v>0</v>
      </c>
      <c r="AF106" s="134">
        <f t="shared" si="37"/>
        <v>0</v>
      </c>
      <c r="AG106" s="134">
        <f t="shared" si="37"/>
        <v>0</v>
      </c>
      <c r="AH106" s="134">
        <f t="shared" si="37"/>
        <v>0</v>
      </c>
      <c r="AI106" s="134">
        <f t="shared" si="37"/>
        <v>0</v>
      </c>
      <c r="AJ106" s="1403">
        <f t="shared" si="37"/>
        <v>0</v>
      </c>
      <c r="AK106" s="1403">
        <f t="shared" si="37"/>
        <v>0</v>
      </c>
      <c r="AL106" s="1403">
        <f t="shared" si="37"/>
        <v>0</v>
      </c>
      <c r="AM106" s="1403">
        <f t="shared" si="37"/>
        <v>0</v>
      </c>
      <c r="AN106" s="1403">
        <f t="shared" si="37"/>
        <v>0</v>
      </c>
      <c r="AO106" s="1403">
        <f t="shared" si="37"/>
        <v>0</v>
      </c>
      <c r="AP106" s="134">
        <f t="shared" si="37"/>
        <v>0</v>
      </c>
      <c r="AQ106" s="134">
        <f t="shared" si="37"/>
        <v>0</v>
      </c>
      <c r="AR106" s="134">
        <f t="shared" si="37"/>
        <v>0</v>
      </c>
      <c r="AS106" s="134">
        <f t="shared" si="37"/>
        <v>0</v>
      </c>
      <c r="AT106" s="1403">
        <f t="shared" si="37"/>
        <v>0</v>
      </c>
      <c r="AU106" s="1403">
        <f t="shared" si="37"/>
        <v>0</v>
      </c>
      <c r="AV106" s="1403">
        <f t="shared" si="37"/>
        <v>0</v>
      </c>
      <c r="AW106" s="1403">
        <f t="shared" si="37"/>
        <v>0</v>
      </c>
      <c r="AX106" s="1403">
        <f t="shared" si="37"/>
        <v>0</v>
      </c>
      <c r="AY106" s="1403">
        <f t="shared" si="37"/>
        <v>0</v>
      </c>
      <c r="AZ106" s="134">
        <f t="shared" si="37"/>
        <v>0</v>
      </c>
      <c r="BA106" s="134">
        <f t="shared" si="37"/>
        <v>0</v>
      </c>
      <c r="BB106" s="134">
        <f t="shared" si="37"/>
        <v>0</v>
      </c>
      <c r="BC106" s="119"/>
      <c r="BD106" s="1128"/>
      <c r="BE106" s="1128"/>
      <c r="BF106" s="943" t="s">
        <v>972</v>
      </c>
    </row>
    <row r="107" spans="1:58" s="448" customFormat="1" ht="21.75" customHeight="1" x14ac:dyDescent="0.15">
      <c r="B107" s="353"/>
      <c r="E107" s="593">
        <v>22.5</v>
      </c>
      <c r="F107" s="3" t="str" cm="1">
        <f t="array" aca="1" ref="F107" ca="1">OFFSET(E107,-1,1)</f>
        <v>1</v>
      </c>
      <c r="G107" s="23" t="s">
        <v>544</v>
      </c>
      <c r="T107" s="388" t="b" cm="1">
        <f t="array" ref="T107">T106</f>
        <v>1</v>
      </c>
      <c r="X107" s="2066"/>
      <c r="Z107" s="2067"/>
      <c r="AB107" s="130">
        <v>6</v>
      </c>
      <c r="AC107" s="131" t="s">
        <v>973</v>
      </c>
      <c r="AD107" s="130"/>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19"/>
      <c r="BF107" s="943" t="s">
        <v>974</v>
      </c>
    </row>
    <row r="108" spans="1:58" s="1334" customFormat="1" ht="14.25" customHeight="1" x14ac:dyDescent="0.15">
      <c r="A108" s="1128"/>
      <c r="B108" s="1111"/>
      <c r="C108" s="1128"/>
      <c r="D108" s="1128"/>
      <c r="E108" s="552">
        <v>15</v>
      </c>
      <c r="F108" s="3" t="str" cm="1">
        <f t="array" aca="1" ref="F108" ca="1">OFFSET(E108,-1,1)</f>
        <v>1</v>
      </c>
      <c r="G108" s="23" t="s">
        <v>699</v>
      </c>
      <c r="H108" s="1128"/>
      <c r="I108" s="1128"/>
      <c r="J108" s="1128"/>
      <c r="K108" s="1128"/>
      <c r="L108" s="1128"/>
      <c r="M108" s="1128"/>
      <c r="N108" s="1128"/>
      <c r="O108" s="1128"/>
      <c r="P108" s="1128"/>
      <c r="Q108" s="1128"/>
      <c r="R108" s="1128"/>
      <c r="S108" s="1128"/>
      <c r="T108" s="388" t="b" cm="1">
        <f t="array" ref="T108">T107</f>
        <v>1</v>
      </c>
      <c r="U108" s="1128"/>
      <c r="V108" s="1128"/>
      <c r="W108" s="1128"/>
      <c r="X108" s="2066"/>
      <c r="Y108" s="1128"/>
      <c r="Z108" s="2067"/>
      <c r="AA108" s="1128"/>
      <c r="AB108" s="7" t="s">
        <v>595</v>
      </c>
      <c r="AC108" s="133" t="s">
        <v>911</v>
      </c>
      <c r="AD108" s="7" t="s">
        <v>490</v>
      </c>
      <c r="AE108" s="134">
        <f t="shared" ref="AE108:BB108" si="38">IF(AE102=0,0,AE114/AE102*100)</f>
        <v>0</v>
      </c>
      <c r="AF108" s="134">
        <f t="shared" si="38"/>
        <v>0</v>
      </c>
      <c r="AG108" s="134">
        <f t="shared" si="38"/>
        <v>0</v>
      </c>
      <c r="AH108" s="134">
        <f t="shared" si="38"/>
        <v>0</v>
      </c>
      <c r="AI108" s="134">
        <f t="shared" si="38"/>
        <v>0</v>
      </c>
      <c r="AJ108" s="1403">
        <f t="shared" si="38"/>
        <v>0</v>
      </c>
      <c r="AK108" s="1403">
        <f t="shared" si="38"/>
        <v>0</v>
      </c>
      <c r="AL108" s="1403">
        <f t="shared" si="38"/>
        <v>0</v>
      </c>
      <c r="AM108" s="1403">
        <f t="shared" si="38"/>
        <v>0</v>
      </c>
      <c r="AN108" s="1403">
        <f t="shared" si="38"/>
        <v>0</v>
      </c>
      <c r="AO108" s="1403">
        <f t="shared" si="38"/>
        <v>0</v>
      </c>
      <c r="AP108" s="134">
        <f t="shared" si="38"/>
        <v>0</v>
      </c>
      <c r="AQ108" s="134">
        <f t="shared" si="38"/>
        <v>0</v>
      </c>
      <c r="AR108" s="134">
        <f t="shared" si="38"/>
        <v>0</v>
      </c>
      <c r="AS108" s="134">
        <f t="shared" si="38"/>
        <v>0</v>
      </c>
      <c r="AT108" s="1403">
        <f t="shared" si="38"/>
        <v>0</v>
      </c>
      <c r="AU108" s="1403">
        <f t="shared" si="38"/>
        <v>0</v>
      </c>
      <c r="AV108" s="1403">
        <f t="shared" si="38"/>
        <v>0</v>
      </c>
      <c r="AW108" s="1403">
        <f t="shared" si="38"/>
        <v>0</v>
      </c>
      <c r="AX108" s="1403">
        <f t="shared" si="38"/>
        <v>0</v>
      </c>
      <c r="AY108" s="1403">
        <f t="shared" si="38"/>
        <v>0</v>
      </c>
      <c r="AZ108" s="134">
        <f t="shared" si="38"/>
        <v>0</v>
      </c>
      <c r="BA108" s="134">
        <f t="shared" si="38"/>
        <v>0</v>
      </c>
      <c r="BB108" s="134">
        <f t="shared" si="38"/>
        <v>0</v>
      </c>
      <c r="BC108" s="119"/>
      <c r="BD108" s="1128"/>
      <c r="BE108" s="1128"/>
      <c r="BF108" s="943" t="s">
        <v>975</v>
      </c>
    </row>
    <row r="109" spans="1:58" s="1334" customFormat="1" ht="14.25" customHeight="1" x14ac:dyDescent="0.15">
      <c r="A109" s="1128"/>
      <c r="B109" s="1111"/>
      <c r="C109" s="1128"/>
      <c r="D109" s="1128"/>
      <c r="E109" s="552">
        <v>15</v>
      </c>
      <c r="F109" s="3" t="str" cm="1">
        <f t="array" aca="1" ref="F109" ca="1">OFFSET(E109,-1,1)</f>
        <v>1</v>
      </c>
      <c r="G109" s="23" t="s">
        <v>702</v>
      </c>
      <c r="H109" s="1128"/>
      <c r="I109" s="1128"/>
      <c r="J109" s="1128"/>
      <c r="K109" s="1128"/>
      <c r="L109" s="1128"/>
      <c r="M109" s="1128"/>
      <c r="N109" s="1128"/>
      <c r="O109" s="1128"/>
      <c r="P109" s="1128"/>
      <c r="Q109" s="1128"/>
      <c r="R109" s="1128"/>
      <c r="S109" s="1128"/>
      <c r="T109" s="388" t="b" cm="1">
        <f t="array" ref="T109">T108</f>
        <v>1</v>
      </c>
      <c r="U109" s="1128"/>
      <c r="V109" s="1128"/>
      <c r="W109" s="1128"/>
      <c r="X109" s="2066"/>
      <c r="Y109" s="1128"/>
      <c r="Z109" s="2067"/>
      <c r="AA109" s="1128"/>
      <c r="AB109" s="7" t="s">
        <v>599</v>
      </c>
      <c r="AC109" s="133" t="s">
        <v>914</v>
      </c>
      <c r="AD109" s="7" t="s">
        <v>490</v>
      </c>
      <c r="AE109" s="134">
        <f t="shared" ref="AE109:BB109" si="39">IF(AE103=0,0,AE115/AE103*100)</f>
        <v>0</v>
      </c>
      <c r="AF109" s="134">
        <f t="shared" si="39"/>
        <v>0</v>
      </c>
      <c r="AG109" s="134">
        <f t="shared" si="39"/>
        <v>0</v>
      </c>
      <c r="AH109" s="134">
        <f t="shared" si="39"/>
        <v>0</v>
      </c>
      <c r="AI109" s="134">
        <f t="shared" si="39"/>
        <v>0</v>
      </c>
      <c r="AJ109" s="1403">
        <f t="shared" si="39"/>
        <v>0</v>
      </c>
      <c r="AK109" s="1403">
        <f t="shared" si="39"/>
        <v>0</v>
      </c>
      <c r="AL109" s="1403">
        <f t="shared" si="39"/>
        <v>0</v>
      </c>
      <c r="AM109" s="1403">
        <f t="shared" si="39"/>
        <v>0</v>
      </c>
      <c r="AN109" s="1403">
        <f t="shared" si="39"/>
        <v>0</v>
      </c>
      <c r="AO109" s="1403">
        <f t="shared" si="39"/>
        <v>0</v>
      </c>
      <c r="AP109" s="134">
        <f t="shared" si="39"/>
        <v>0</v>
      </c>
      <c r="AQ109" s="134">
        <f t="shared" si="39"/>
        <v>0</v>
      </c>
      <c r="AR109" s="134">
        <f t="shared" si="39"/>
        <v>0</v>
      </c>
      <c r="AS109" s="134">
        <f t="shared" si="39"/>
        <v>0</v>
      </c>
      <c r="AT109" s="1403">
        <f t="shared" si="39"/>
        <v>0</v>
      </c>
      <c r="AU109" s="1403">
        <f t="shared" si="39"/>
        <v>0</v>
      </c>
      <c r="AV109" s="1403">
        <f t="shared" si="39"/>
        <v>0</v>
      </c>
      <c r="AW109" s="1403">
        <f t="shared" si="39"/>
        <v>0</v>
      </c>
      <c r="AX109" s="1403">
        <f t="shared" si="39"/>
        <v>0</v>
      </c>
      <c r="AY109" s="1403">
        <f t="shared" si="39"/>
        <v>0</v>
      </c>
      <c r="AZ109" s="134">
        <f t="shared" si="39"/>
        <v>0</v>
      </c>
      <c r="BA109" s="134">
        <f t="shared" si="39"/>
        <v>0</v>
      </c>
      <c r="BB109" s="134">
        <f t="shared" si="39"/>
        <v>0</v>
      </c>
      <c r="BC109" s="119"/>
      <c r="BD109" s="1128"/>
      <c r="BE109" s="1128"/>
      <c r="BF109" s="943" t="s">
        <v>976</v>
      </c>
    </row>
    <row r="110" spans="1:58" s="1334" customFormat="1" ht="14.25" customHeight="1" x14ac:dyDescent="0.15">
      <c r="A110" s="1128"/>
      <c r="B110" s="1111"/>
      <c r="C110" s="1128"/>
      <c r="D110" s="1128"/>
      <c r="E110" s="552">
        <v>15</v>
      </c>
      <c r="F110" s="3" t="str" cm="1">
        <f t="array" aca="1" ref="F110" ca="1">OFFSET(E110,-1,1)</f>
        <v>1</v>
      </c>
      <c r="G110" s="23" t="s">
        <v>736</v>
      </c>
      <c r="H110" s="1128"/>
      <c r="I110" s="1128"/>
      <c r="J110" s="1128"/>
      <c r="K110" s="1128"/>
      <c r="L110" s="1128"/>
      <c r="M110" s="1128"/>
      <c r="N110" s="1128"/>
      <c r="O110" s="1128"/>
      <c r="P110" s="1128"/>
      <c r="Q110" s="1128"/>
      <c r="R110" s="1128"/>
      <c r="S110" s="1128"/>
      <c r="T110" s="388" t="b" cm="1">
        <f t="array" ref="T110">T109</f>
        <v>1</v>
      </c>
      <c r="U110" s="1128"/>
      <c r="V110" s="1128"/>
      <c r="W110" s="1128"/>
      <c r="X110" s="2066"/>
      <c r="Y110" s="1128"/>
      <c r="Z110" s="2067"/>
      <c r="AA110" s="1128"/>
      <c r="AB110" s="7" t="s">
        <v>603</v>
      </c>
      <c r="AC110" s="133" t="s">
        <v>917</v>
      </c>
      <c r="AD110" s="7" t="s">
        <v>490</v>
      </c>
      <c r="AE110" s="134">
        <f t="shared" ref="AE110:BB110" si="40">IF(AE104=0,0,AE116/AE104*100)</f>
        <v>0</v>
      </c>
      <c r="AF110" s="134">
        <f t="shared" si="40"/>
        <v>0</v>
      </c>
      <c r="AG110" s="134">
        <f t="shared" si="40"/>
        <v>0</v>
      </c>
      <c r="AH110" s="134">
        <f t="shared" si="40"/>
        <v>0</v>
      </c>
      <c r="AI110" s="134">
        <f t="shared" si="40"/>
        <v>0</v>
      </c>
      <c r="AJ110" s="1403">
        <f t="shared" si="40"/>
        <v>0</v>
      </c>
      <c r="AK110" s="1403">
        <f t="shared" si="40"/>
        <v>0</v>
      </c>
      <c r="AL110" s="1403">
        <f t="shared" si="40"/>
        <v>0</v>
      </c>
      <c r="AM110" s="1403">
        <f t="shared" si="40"/>
        <v>0</v>
      </c>
      <c r="AN110" s="1403">
        <f t="shared" si="40"/>
        <v>0</v>
      </c>
      <c r="AO110" s="1403">
        <f t="shared" si="40"/>
        <v>0</v>
      </c>
      <c r="AP110" s="134">
        <f t="shared" si="40"/>
        <v>0</v>
      </c>
      <c r="AQ110" s="134">
        <f t="shared" si="40"/>
        <v>0</v>
      </c>
      <c r="AR110" s="134">
        <f t="shared" si="40"/>
        <v>0</v>
      </c>
      <c r="AS110" s="134">
        <f t="shared" si="40"/>
        <v>0</v>
      </c>
      <c r="AT110" s="1403">
        <f t="shared" si="40"/>
        <v>0</v>
      </c>
      <c r="AU110" s="1403">
        <f t="shared" si="40"/>
        <v>0</v>
      </c>
      <c r="AV110" s="1403">
        <f t="shared" si="40"/>
        <v>0</v>
      </c>
      <c r="AW110" s="1403">
        <f t="shared" si="40"/>
        <v>0</v>
      </c>
      <c r="AX110" s="1403">
        <f t="shared" si="40"/>
        <v>0</v>
      </c>
      <c r="AY110" s="1403">
        <f t="shared" si="40"/>
        <v>0</v>
      </c>
      <c r="AZ110" s="134">
        <f t="shared" si="40"/>
        <v>0</v>
      </c>
      <c r="BA110" s="134">
        <f t="shared" si="40"/>
        <v>0</v>
      </c>
      <c r="BB110" s="134">
        <f t="shared" si="40"/>
        <v>0</v>
      </c>
      <c r="BC110" s="119"/>
      <c r="BD110" s="1128"/>
      <c r="BE110" s="1128"/>
      <c r="BF110" s="943" t="s">
        <v>977</v>
      </c>
    </row>
    <row r="111" spans="1:58" s="1334" customFormat="1" ht="14.25" customHeight="1" x14ac:dyDescent="0.15">
      <c r="A111" s="1128"/>
      <c r="B111" s="1111"/>
      <c r="C111" s="1128"/>
      <c r="D111" s="1128"/>
      <c r="E111" s="552">
        <v>15</v>
      </c>
      <c r="F111" s="3" t="str" cm="1">
        <f t="array" aca="1" ref="F111" ca="1">OFFSET(E111,-1,1)</f>
        <v>1</v>
      </c>
      <c r="G111" s="23" t="s">
        <v>745</v>
      </c>
      <c r="H111" s="1128"/>
      <c r="I111" s="1128"/>
      <c r="J111" s="1128"/>
      <c r="K111" s="1128"/>
      <c r="L111" s="1128"/>
      <c r="M111" s="1128"/>
      <c r="N111" s="1128"/>
      <c r="O111" s="1128"/>
      <c r="P111" s="1128"/>
      <c r="Q111" s="1128"/>
      <c r="R111" s="1128"/>
      <c r="S111" s="1128"/>
      <c r="T111" s="388" t="b" cm="1">
        <f t="array" ref="T111">T110</f>
        <v>1</v>
      </c>
      <c r="U111" s="1128"/>
      <c r="V111" s="1128"/>
      <c r="W111" s="1128"/>
      <c r="X111" s="2066"/>
      <c r="Y111" s="1128"/>
      <c r="Z111" s="2067"/>
      <c r="AA111" s="1128"/>
      <c r="AB111" s="7" t="s">
        <v>978</v>
      </c>
      <c r="AC111" s="133" t="s">
        <v>920</v>
      </c>
      <c r="AD111" s="7" t="s">
        <v>490</v>
      </c>
      <c r="AE111" s="134">
        <f t="shared" ref="AE111:BB111" si="41">IF(AE105=0,0,AE117/AE105*100)</f>
        <v>0</v>
      </c>
      <c r="AF111" s="134">
        <f t="shared" si="41"/>
        <v>0</v>
      </c>
      <c r="AG111" s="134">
        <f t="shared" si="41"/>
        <v>0</v>
      </c>
      <c r="AH111" s="134">
        <f t="shared" si="41"/>
        <v>0</v>
      </c>
      <c r="AI111" s="134">
        <f t="shared" si="41"/>
        <v>0</v>
      </c>
      <c r="AJ111" s="1403">
        <f t="shared" si="41"/>
        <v>0</v>
      </c>
      <c r="AK111" s="1403">
        <f t="shared" si="41"/>
        <v>0</v>
      </c>
      <c r="AL111" s="1403">
        <f t="shared" si="41"/>
        <v>0</v>
      </c>
      <c r="AM111" s="1403">
        <f t="shared" si="41"/>
        <v>0</v>
      </c>
      <c r="AN111" s="1403">
        <f t="shared" si="41"/>
        <v>0</v>
      </c>
      <c r="AO111" s="1403">
        <f t="shared" si="41"/>
        <v>0</v>
      </c>
      <c r="AP111" s="134">
        <f t="shared" si="41"/>
        <v>0</v>
      </c>
      <c r="AQ111" s="134">
        <f t="shared" si="41"/>
        <v>0</v>
      </c>
      <c r="AR111" s="134">
        <f t="shared" si="41"/>
        <v>0</v>
      </c>
      <c r="AS111" s="134">
        <f t="shared" si="41"/>
        <v>0</v>
      </c>
      <c r="AT111" s="1403">
        <f t="shared" si="41"/>
        <v>0</v>
      </c>
      <c r="AU111" s="1403">
        <f t="shared" si="41"/>
        <v>0</v>
      </c>
      <c r="AV111" s="1403">
        <f t="shared" si="41"/>
        <v>0</v>
      </c>
      <c r="AW111" s="1403">
        <f t="shared" si="41"/>
        <v>0</v>
      </c>
      <c r="AX111" s="1403">
        <f t="shared" si="41"/>
        <v>0</v>
      </c>
      <c r="AY111" s="1403">
        <f t="shared" si="41"/>
        <v>0</v>
      </c>
      <c r="AZ111" s="134">
        <f t="shared" si="41"/>
        <v>0</v>
      </c>
      <c r="BA111" s="134">
        <f t="shared" si="41"/>
        <v>0</v>
      </c>
      <c r="BB111" s="134">
        <f t="shared" si="41"/>
        <v>0</v>
      </c>
      <c r="BC111" s="119"/>
      <c r="BD111" s="1128"/>
      <c r="BE111" s="1128"/>
      <c r="BF111" s="943" t="s">
        <v>979</v>
      </c>
    </row>
    <row r="112" spans="1:58" s="1334" customFormat="1" ht="14.25" customHeight="1" x14ac:dyDescent="0.15">
      <c r="A112" s="1128"/>
      <c r="B112" s="1111"/>
      <c r="C112" s="1128"/>
      <c r="D112" s="1128"/>
      <c r="E112" s="552">
        <v>15</v>
      </c>
      <c r="F112" s="3" t="str" cm="1">
        <f t="array" aca="1" ref="F112" ca="1">OFFSET(E112,-1,1)</f>
        <v>1</v>
      </c>
      <c r="G112" s="23" t="s">
        <v>755</v>
      </c>
      <c r="H112" s="1128"/>
      <c r="I112" s="1128"/>
      <c r="J112" s="1128"/>
      <c r="K112" s="1128"/>
      <c r="L112" s="1128"/>
      <c r="M112" s="1128"/>
      <c r="N112" s="1128"/>
      <c r="O112" s="1128"/>
      <c r="P112" s="1128"/>
      <c r="Q112" s="1128"/>
      <c r="R112" s="1128"/>
      <c r="S112" s="1128"/>
      <c r="T112" s="388" t="b" cm="1">
        <f t="array" ref="T112">T111</f>
        <v>1</v>
      </c>
      <c r="U112" s="1128"/>
      <c r="V112" s="1128"/>
      <c r="W112" s="1128"/>
      <c r="X112" s="2066"/>
      <c r="Y112" s="1128"/>
      <c r="Z112" s="2067"/>
      <c r="AA112" s="1128"/>
      <c r="AB112" s="7" t="s">
        <v>980</v>
      </c>
      <c r="AC112" s="133" t="s">
        <v>924</v>
      </c>
      <c r="AD112" s="7" t="s">
        <v>490</v>
      </c>
      <c r="AE112" s="134">
        <f t="shared" ref="AE112:BB112" si="42">IF(AE106=0,0,AE118/AE106*100)</f>
        <v>0</v>
      </c>
      <c r="AF112" s="134">
        <f t="shared" si="42"/>
        <v>0</v>
      </c>
      <c r="AG112" s="134">
        <f t="shared" si="42"/>
        <v>0</v>
      </c>
      <c r="AH112" s="134">
        <f t="shared" si="42"/>
        <v>0</v>
      </c>
      <c r="AI112" s="134">
        <f t="shared" si="42"/>
        <v>0</v>
      </c>
      <c r="AJ112" s="1403">
        <f t="shared" si="42"/>
        <v>0</v>
      </c>
      <c r="AK112" s="1403">
        <f t="shared" si="42"/>
        <v>0</v>
      </c>
      <c r="AL112" s="1403">
        <f t="shared" si="42"/>
        <v>0</v>
      </c>
      <c r="AM112" s="1403">
        <f t="shared" si="42"/>
        <v>0</v>
      </c>
      <c r="AN112" s="1403">
        <f t="shared" si="42"/>
        <v>0</v>
      </c>
      <c r="AO112" s="1403">
        <f t="shared" si="42"/>
        <v>0</v>
      </c>
      <c r="AP112" s="134">
        <f t="shared" si="42"/>
        <v>0</v>
      </c>
      <c r="AQ112" s="134">
        <f t="shared" si="42"/>
        <v>0</v>
      </c>
      <c r="AR112" s="134">
        <f t="shared" si="42"/>
        <v>0</v>
      </c>
      <c r="AS112" s="134">
        <f t="shared" si="42"/>
        <v>0</v>
      </c>
      <c r="AT112" s="1403">
        <f t="shared" si="42"/>
        <v>0</v>
      </c>
      <c r="AU112" s="1403">
        <f t="shared" si="42"/>
        <v>0</v>
      </c>
      <c r="AV112" s="1403">
        <f t="shared" si="42"/>
        <v>0</v>
      </c>
      <c r="AW112" s="1403">
        <f t="shared" si="42"/>
        <v>0</v>
      </c>
      <c r="AX112" s="1403">
        <f t="shared" si="42"/>
        <v>0</v>
      </c>
      <c r="AY112" s="1403">
        <f t="shared" si="42"/>
        <v>0</v>
      </c>
      <c r="AZ112" s="134">
        <f t="shared" si="42"/>
        <v>0</v>
      </c>
      <c r="BA112" s="134">
        <f t="shared" si="42"/>
        <v>0</v>
      </c>
      <c r="BB112" s="134">
        <f t="shared" si="42"/>
        <v>0</v>
      </c>
      <c r="BC112" s="119"/>
      <c r="BD112" s="1128"/>
      <c r="BE112" s="1128"/>
      <c r="BF112" s="943" t="s">
        <v>981</v>
      </c>
    </row>
    <row r="113" spans="1:58" s="448" customFormat="1" ht="14.65" customHeight="1" x14ac:dyDescent="0.15">
      <c r="B113" s="353"/>
      <c r="E113" s="552">
        <v>15</v>
      </c>
      <c r="F113" s="3" t="str" cm="1">
        <f t="array" aca="1" ref="F113" ca="1">OFFSET(E113,-1,1)</f>
        <v>1</v>
      </c>
      <c r="G113" s="23" t="s">
        <v>547</v>
      </c>
      <c r="K113" s="43" t="str">
        <f ca="1">F113&amp;"komm"</f>
        <v>1komm</v>
      </c>
      <c r="L113" s="832" cm="1">
        <f t="array" ref="L113">BC113</f>
        <v>0</v>
      </c>
      <c r="T113" s="388" t="b" cm="1">
        <f t="array" ref="T113">T112</f>
        <v>1</v>
      </c>
      <c r="X113" s="2066"/>
      <c r="Z113" s="2067"/>
      <c r="AB113" s="130">
        <v>7</v>
      </c>
      <c r="AC113" s="131" t="s">
        <v>982</v>
      </c>
      <c r="AD113" s="8" t="s">
        <v>831</v>
      </c>
      <c r="AE113" s="1105">
        <v>157.69999999999999</v>
      </c>
      <c r="AF113" s="1105">
        <f>SUM(AF114:AF118)</f>
        <v>29649.01</v>
      </c>
      <c r="AG113" s="1105">
        <f>SUM(AG114:AG118)</f>
        <v>0</v>
      </c>
      <c r="AH113" s="1105">
        <v>419.6</v>
      </c>
      <c r="AI113" s="1105">
        <v>29636.22</v>
      </c>
      <c r="AJ113" s="1402">
        <v>1436.27</v>
      </c>
      <c r="AK113" s="1402">
        <v>1436.27</v>
      </c>
      <c r="AL113" s="1402">
        <v>1436.27</v>
      </c>
      <c r="AM113" s="1402">
        <v>1436.27</v>
      </c>
      <c r="AN113" s="1402">
        <v>1436.27</v>
      </c>
      <c r="AO113" s="1402">
        <v>1436.27</v>
      </c>
      <c r="AP113" s="1105">
        <f>SUM(AP114:AP118)</f>
        <v>0</v>
      </c>
      <c r="AQ113" s="1105">
        <f>SUM(AQ114:AQ118)</f>
        <v>0</v>
      </c>
      <c r="AR113" s="1105">
        <f>SUM(AR114:AR118)</f>
        <v>0</v>
      </c>
      <c r="AS113" s="1105">
        <v>1463.0234844966001</v>
      </c>
      <c r="AT113" s="1402">
        <v>3126.3767730043</v>
      </c>
      <c r="AU113" s="1402">
        <v>5469.7323543415996</v>
      </c>
      <c r="AV113" s="1402">
        <v>7042.3475404938999</v>
      </c>
      <c r="AW113" s="1402">
        <v>8592.3542911205004</v>
      </c>
      <c r="AX113" s="1402">
        <v>11139.1147978194</v>
      </c>
      <c r="AY113" s="1402">
        <v>22716.390725279001</v>
      </c>
      <c r="AZ113" s="1105">
        <f>SUM(AZ114:AZ118)</f>
        <v>0</v>
      </c>
      <c r="BA113" s="1105">
        <f>SUM(BA114:BA118)</f>
        <v>0</v>
      </c>
      <c r="BB113" s="1105">
        <f>SUM(BB114:BB118)</f>
        <v>0</v>
      </c>
      <c r="BC113" s="119"/>
      <c r="BF113" s="943" t="s">
        <v>983</v>
      </c>
    </row>
    <row r="114" spans="1:58" s="1334" customFormat="1" ht="14.25" customHeight="1" x14ac:dyDescent="0.15">
      <c r="A114" s="1128"/>
      <c r="B114" s="1111"/>
      <c r="C114" s="1128"/>
      <c r="D114" s="1128"/>
      <c r="E114" s="552">
        <v>15</v>
      </c>
      <c r="F114" s="3" t="str" cm="1">
        <f t="array" aca="1" ref="F114" ca="1">OFFSET(E114,-1,1)</f>
        <v>1</v>
      </c>
      <c r="G114" s="23" t="s">
        <v>706</v>
      </c>
      <c r="H114" s="1128"/>
      <c r="I114" s="1128"/>
      <c r="J114" s="1128"/>
      <c r="K114" s="1128"/>
      <c r="L114" s="1128"/>
      <c r="M114" s="1128"/>
      <c r="N114" s="1128"/>
      <c r="O114" s="1128"/>
      <c r="P114" s="1128"/>
      <c r="Q114" s="1128"/>
      <c r="R114" s="1128"/>
      <c r="S114" s="1128"/>
      <c r="T114" s="388" t="b" cm="1">
        <f t="array" ref="T114">T113</f>
        <v>1</v>
      </c>
      <c r="U114" s="1128"/>
      <c r="V114" s="1128"/>
      <c r="W114" s="1128"/>
      <c r="X114" s="2066"/>
      <c r="Y114" s="1128"/>
      <c r="Z114" s="2067"/>
      <c r="AA114" s="1128"/>
      <c r="AB114" s="7" t="s">
        <v>610</v>
      </c>
      <c r="AC114" s="133" t="s">
        <v>911</v>
      </c>
      <c r="AD114" s="8" t="s">
        <v>831</v>
      </c>
      <c r="AE114" s="134"/>
      <c r="AF114" s="134"/>
      <c r="AG114" s="134"/>
      <c r="AH114" s="134"/>
      <c r="AI114" s="134"/>
      <c r="AJ114" s="1403"/>
      <c r="AK114" s="1403"/>
      <c r="AL114" s="1403"/>
      <c r="AM114" s="1403"/>
      <c r="AN114" s="1403"/>
      <c r="AO114" s="1403"/>
      <c r="AP114" s="134"/>
      <c r="AQ114" s="134"/>
      <c r="AR114" s="134"/>
      <c r="AS114" s="134"/>
      <c r="AT114" s="1403"/>
      <c r="AU114" s="1403"/>
      <c r="AV114" s="1403"/>
      <c r="AW114" s="1403"/>
      <c r="AX114" s="1403"/>
      <c r="AY114" s="1403"/>
      <c r="AZ114" s="134"/>
      <c r="BA114" s="134"/>
      <c r="BB114" s="134"/>
      <c r="BC114" s="119"/>
      <c r="BD114" s="1128"/>
      <c r="BE114" s="1128"/>
      <c r="BF114" s="943" t="s">
        <v>984</v>
      </c>
    </row>
    <row r="115" spans="1:58" s="1334" customFormat="1" ht="14.25" customHeight="1" x14ac:dyDescent="0.15">
      <c r="A115" s="1128"/>
      <c r="B115" s="1111"/>
      <c r="C115" s="1128"/>
      <c r="D115" s="1128"/>
      <c r="E115" s="552">
        <v>15</v>
      </c>
      <c r="F115" s="3" t="str" cm="1">
        <f t="array" aca="1" ref="F115" ca="1">OFFSET(E115,-1,1)</f>
        <v>1</v>
      </c>
      <c r="G115" s="23" t="s">
        <v>709</v>
      </c>
      <c r="H115" s="1128"/>
      <c r="I115" s="1128"/>
      <c r="J115" s="1128"/>
      <c r="K115" s="1128"/>
      <c r="L115" s="1128"/>
      <c r="M115" s="1128"/>
      <c r="N115" s="1128"/>
      <c r="O115" s="1128"/>
      <c r="P115" s="1128"/>
      <c r="Q115" s="1128"/>
      <c r="R115" s="1128"/>
      <c r="S115" s="1128"/>
      <c r="T115" s="388" t="b" cm="1">
        <f t="array" ref="T115">T114</f>
        <v>1</v>
      </c>
      <c r="U115" s="1128"/>
      <c r="V115" s="1128"/>
      <c r="W115" s="1128"/>
      <c r="X115" s="2066"/>
      <c r="Y115" s="1128"/>
      <c r="Z115" s="2067"/>
      <c r="AA115" s="1128"/>
      <c r="AB115" s="7" t="s">
        <v>985</v>
      </c>
      <c r="AC115" s="133" t="s">
        <v>914</v>
      </c>
      <c r="AD115" s="8" t="s">
        <v>831</v>
      </c>
      <c r="AE115" s="134"/>
      <c r="AF115" s="134"/>
      <c r="AG115" s="134"/>
      <c r="AH115" s="134"/>
      <c r="AI115" s="134"/>
      <c r="AJ115" s="1403"/>
      <c r="AK115" s="1403"/>
      <c r="AL115" s="1403"/>
      <c r="AM115" s="1403"/>
      <c r="AN115" s="1403"/>
      <c r="AO115" s="1403"/>
      <c r="AP115" s="134"/>
      <c r="AQ115" s="134"/>
      <c r="AR115" s="134"/>
      <c r="AS115" s="134"/>
      <c r="AT115" s="1403"/>
      <c r="AU115" s="1403"/>
      <c r="AV115" s="1403"/>
      <c r="AW115" s="1403"/>
      <c r="AX115" s="1403"/>
      <c r="AY115" s="1403"/>
      <c r="AZ115" s="134"/>
      <c r="BA115" s="134"/>
      <c r="BB115" s="134"/>
      <c r="BC115" s="119"/>
      <c r="BD115" s="1128"/>
      <c r="BE115" s="1128"/>
      <c r="BF115" s="943" t="s">
        <v>986</v>
      </c>
    </row>
    <row r="116" spans="1:58" s="1334" customFormat="1" ht="54.75" customHeight="1" x14ac:dyDescent="0.15">
      <c r="A116" s="1128"/>
      <c r="B116" s="1111"/>
      <c r="C116" s="1128"/>
      <c r="D116" s="1128"/>
      <c r="E116" s="552">
        <v>15</v>
      </c>
      <c r="F116" s="3" t="str" cm="1">
        <f t="array" aca="1" ref="F116" ca="1">OFFSET(E116,-1,1)</f>
        <v>1</v>
      </c>
      <c r="G116" s="23" t="s">
        <v>987</v>
      </c>
      <c r="H116" s="1128"/>
      <c r="I116" s="1128"/>
      <c r="J116" s="1128"/>
      <c r="K116" s="1128"/>
      <c r="L116" s="1128"/>
      <c r="M116" s="1128"/>
      <c r="N116" s="1128"/>
      <c r="O116" s="1128"/>
      <c r="P116" s="1128"/>
      <c r="Q116" s="1128"/>
      <c r="R116" s="1128"/>
      <c r="S116" s="1128"/>
      <c r="T116" s="388" t="b" cm="1">
        <f t="array" ref="T116">T115</f>
        <v>1</v>
      </c>
      <c r="U116" s="1128"/>
      <c r="V116" s="1128"/>
      <c r="W116" s="1128"/>
      <c r="X116" s="2066"/>
      <c r="Y116" s="1128"/>
      <c r="Z116" s="2067"/>
      <c r="AA116" s="1128"/>
      <c r="AB116" s="7" t="s">
        <v>988</v>
      </c>
      <c r="AC116" s="133" t="s">
        <v>917</v>
      </c>
      <c r="AD116" s="8" t="s">
        <v>831</v>
      </c>
      <c r="AE116" s="134">
        <v>157.69999999999999</v>
      </c>
      <c r="AF116" s="134"/>
      <c r="AG116" s="134"/>
      <c r="AH116" s="134">
        <v>157.69999999999999</v>
      </c>
      <c r="AI116" s="134"/>
      <c r="AJ116" s="1403"/>
      <c r="AK116" s="1403"/>
      <c r="AL116" s="1403"/>
      <c r="AM116" s="1403"/>
      <c r="AN116" s="1403"/>
      <c r="AO116" s="1403"/>
      <c r="AP116" s="134"/>
      <c r="AQ116" s="134"/>
      <c r="AR116" s="134"/>
      <c r="AS116" s="134">
        <v>157.69999999999999</v>
      </c>
      <c r="AT116" s="1403">
        <v>157.69999999999999</v>
      </c>
      <c r="AU116" s="1403">
        <v>157.69999999999999</v>
      </c>
      <c r="AV116" s="1403">
        <v>157.69999999999999</v>
      </c>
      <c r="AW116" s="1403">
        <v>157.69999999999999</v>
      </c>
      <c r="AX116" s="1403">
        <v>157.69999999999999</v>
      </c>
      <c r="AY116" s="1403">
        <v>157.69999999999999</v>
      </c>
      <c r="AZ116" s="134"/>
      <c r="BA116" s="134"/>
      <c r="BB116" s="134"/>
      <c r="BC116" s="119" t="s">
        <v>1006</v>
      </c>
      <c r="BD116" s="1128"/>
      <c r="BE116" s="1128"/>
      <c r="BF116" s="943" t="s">
        <v>989</v>
      </c>
    </row>
    <row r="117" spans="1:58" s="1334" customFormat="1" ht="14.25" customHeight="1" x14ac:dyDescent="0.15">
      <c r="A117" s="1128"/>
      <c r="B117" s="1111"/>
      <c r="C117" s="1128"/>
      <c r="D117" s="1128"/>
      <c r="E117" s="552">
        <v>15</v>
      </c>
      <c r="F117" s="3" t="str" cm="1">
        <f t="array" aca="1" ref="F117" ca="1">OFFSET(E117,-1,1)</f>
        <v>1</v>
      </c>
      <c r="G117" s="23" t="s">
        <v>990</v>
      </c>
      <c r="H117" s="1128"/>
      <c r="I117" s="1128"/>
      <c r="J117" s="1128"/>
      <c r="K117" s="1128"/>
      <c r="L117" s="1128"/>
      <c r="M117" s="1128"/>
      <c r="N117" s="1128"/>
      <c r="O117" s="1128"/>
      <c r="P117" s="1128"/>
      <c r="Q117" s="1128"/>
      <c r="R117" s="1128"/>
      <c r="S117" s="1128"/>
      <c r="T117" s="388" t="b" cm="1">
        <f t="array" ref="T117">T116</f>
        <v>1</v>
      </c>
      <c r="U117" s="1128"/>
      <c r="V117" s="1128"/>
      <c r="W117" s="1128"/>
      <c r="X117" s="2066"/>
      <c r="Y117" s="1128"/>
      <c r="Z117" s="2067"/>
      <c r="AA117" s="1128"/>
      <c r="AB117" s="7" t="s">
        <v>991</v>
      </c>
      <c r="AC117" s="133" t="s">
        <v>920</v>
      </c>
      <c r="AD117" s="8" t="s">
        <v>831</v>
      </c>
      <c r="AE117" s="134"/>
      <c r="AF117" s="134"/>
      <c r="AG117" s="134"/>
      <c r="AH117" s="134"/>
      <c r="AI117" s="134"/>
      <c r="AJ117" s="1403"/>
      <c r="AK117" s="1403"/>
      <c r="AL117" s="1403"/>
      <c r="AM117" s="1403"/>
      <c r="AN117" s="1403"/>
      <c r="AO117" s="1403"/>
      <c r="AP117" s="134"/>
      <c r="AQ117" s="134"/>
      <c r="AR117" s="134"/>
      <c r="AS117" s="134"/>
      <c r="AT117" s="1403"/>
      <c r="AU117" s="1403"/>
      <c r="AV117" s="1403"/>
      <c r="AW117" s="1403"/>
      <c r="AX117" s="1403"/>
      <c r="AY117" s="1403"/>
      <c r="AZ117" s="134"/>
      <c r="BA117" s="134"/>
      <c r="BB117" s="134"/>
      <c r="BC117" s="119"/>
      <c r="BD117" s="1128"/>
      <c r="BE117" s="1128"/>
      <c r="BF117" s="943" t="s">
        <v>992</v>
      </c>
    </row>
    <row r="118" spans="1:58" s="1334" customFormat="1" ht="65.25" customHeight="1" x14ac:dyDescent="0.15">
      <c r="A118" s="1128"/>
      <c r="B118" s="1111"/>
      <c r="C118" s="1128"/>
      <c r="D118" s="1128"/>
      <c r="E118" s="552">
        <v>15</v>
      </c>
      <c r="F118" s="3" t="str" cm="1">
        <f t="array" aca="1" ref="F118" ca="1">OFFSET(E118,-1,1)</f>
        <v>1</v>
      </c>
      <c r="G118" s="23" t="s">
        <v>993</v>
      </c>
      <c r="H118" s="1128"/>
      <c r="I118" s="1128"/>
      <c r="J118" s="1128"/>
      <c r="K118" s="1128"/>
      <c r="L118" s="1128"/>
      <c r="M118" s="1128"/>
      <c r="N118" s="1128"/>
      <c r="O118" s="1128"/>
      <c r="P118" s="1128"/>
      <c r="Q118" s="1128"/>
      <c r="R118" s="1128"/>
      <c r="S118" s="1128"/>
      <c r="T118" s="388" t="b" cm="1">
        <f t="array" ref="T118">T117</f>
        <v>1</v>
      </c>
      <c r="U118" s="1128"/>
      <c r="V118" s="1128"/>
      <c r="W118" s="1128"/>
      <c r="X118" s="2066"/>
      <c r="Y118" s="1128"/>
      <c r="Z118" s="2067"/>
      <c r="AA118" s="1128"/>
      <c r="AB118" s="7" t="s">
        <v>994</v>
      </c>
      <c r="AC118" s="133" t="s">
        <v>924</v>
      </c>
      <c r="AD118" s="8" t="s">
        <v>831</v>
      </c>
      <c r="AE118" s="134">
        <v>0</v>
      </c>
      <c r="AF118" s="134">
        <v>29649.01</v>
      </c>
      <c r="AG118" s="134">
        <v>0</v>
      </c>
      <c r="AH118" s="134">
        <v>261.89999999999998</v>
      </c>
      <c r="AI118" s="134">
        <v>29636.22</v>
      </c>
      <c r="AJ118" s="1403">
        <v>1436.27</v>
      </c>
      <c r="AK118" s="1403">
        <v>1436.27</v>
      </c>
      <c r="AL118" s="1403">
        <v>1436.27</v>
      </c>
      <c r="AM118" s="1403">
        <v>1436.27</v>
      </c>
      <c r="AN118" s="1403">
        <v>1436.27</v>
      </c>
      <c r="AO118" s="1403">
        <v>1436.27</v>
      </c>
      <c r="AP118" s="134"/>
      <c r="AQ118" s="134"/>
      <c r="AR118" s="134"/>
      <c r="AS118" s="134">
        <v>1305.3234844966</v>
      </c>
      <c r="AT118" s="1403">
        <v>2968.6767730042998</v>
      </c>
      <c r="AU118" s="1403">
        <v>5312.0323543415998</v>
      </c>
      <c r="AV118" s="1403">
        <v>6884.6475404939001</v>
      </c>
      <c r="AW118" s="1403">
        <v>8434.6542911204997</v>
      </c>
      <c r="AX118" s="1403">
        <v>10981.4147978194</v>
      </c>
      <c r="AY118" s="1403">
        <v>22558.690725279001</v>
      </c>
      <c r="AZ118" s="134"/>
      <c r="BA118" s="134"/>
      <c r="BB118" s="134"/>
      <c r="BC118" s="119" t="s">
        <v>1007</v>
      </c>
      <c r="BD118" s="1128"/>
      <c r="BE118" s="1128"/>
      <c r="BF118" s="943" t="s">
        <v>995</v>
      </c>
    </row>
    <row r="119" spans="1:58" s="448" customFormat="1" ht="14.25" customHeight="1" x14ac:dyDescent="0.15">
      <c r="B119" s="353"/>
      <c r="E119" s="552">
        <v>15</v>
      </c>
      <c r="F119" s="3" t="str" cm="1">
        <f t="array" aca="1" ref="F119" ca="1">OFFSET(E119,-1,1)</f>
        <v>1</v>
      </c>
      <c r="G119" s="23" t="s">
        <v>591</v>
      </c>
      <c r="T119" s="388" t="b" cm="1">
        <f t="array" ref="T119">T118</f>
        <v>1</v>
      </c>
      <c r="X119" s="2066"/>
      <c r="Z119" s="2067"/>
      <c r="AB119" s="130">
        <v>8</v>
      </c>
      <c r="AC119" s="131" t="s">
        <v>996</v>
      </c>
      <c r="AD119" s="8" t="s">
        <v>831</v>
      </c>
      <c r="AE119" s="1105">
        <f t="shared" ref="AE119:BB119" si="43">SUM(AE120:AE124)</f>
        <v>0</v>
      </c>
      <c r="AF119" s="1105">
        <f t="shared" si="43"/>
        <v>0</v>
      </c>
      <c r="AG119" s="1105">
        <f t="shared" si="43"/>
        <v>0</v>
      </c>
      <c r="AH119" s="1105">
        <f t="shared" si="43"/>
        <v>0</v>
      </c>
      <c r="AI119" s="1105">
        <f t="shared" si="43"/>
        <v>0</v>
      </c>
      <c r="AJ119" s="1402">
        <f t="shared" si="43"/>
        <v>0</v>
      </c>
      <c r="AK119" s="1402">
        <f t="shared" si="43"/>
        <v>0</v>
      </c>
      <c r="AL119" s="1402">
        <f t="shared" si="43"/>
        <v>0</v>
      </c>
      <c r="AM119" s="1402">
        <f t="shared" si="43"/>
        <v>0</v>
      </c>
      <c r="AN119" s="1402">
        <f t="shared" si="43"/>
        <v>0</v>
      </c>
      <c r="AO119" s="1402">
        <f t="shared" si="43"/>
        <v>0</v>
      </c>
      <c r="AP119" s="1105">
        <f t="shared" si="43"/>
        <v>0</v>
      </c>
      <c r="AQ119" s="1105">
        <f t="shared" si="43"/>
        <v>0</v>
      </c>
      <c r="AR119" s="1105">
        <f t="shared" si="43"/>
        <v>0</v>
      </c>
      <c r="AS119" s="1105">
        <f t="shared" si="43"/>
        <v>0</v>
      </c>
      <c r="AT119" s="1402">
        <f t="shared" si="43"/>
        <v>0</v>
      </c>
      <c r="AU119" s="1402">
        <f t="shared" si="43"/>
        <v>0</v>
      </c>
      <c r="AV119" s="1402">
        <f t="shared" si="43"/>
        <v>0</v>
      </c>
      <c r="AW119" s="1402">
        <f t="shared" si="43"/>
        <v>0</v>
      </c>
      <c r="AX119" s="1402">
        <f t="shared" si="43"/>
        <v>0</v>
      </c>
      <c r="AY119" s="1402">
        <f t="shared" si="43"/>
        <v>0</v>
      </c>
      <c r="AZ119" s="1105">
        <f t="shared" si="43"/>
        <v>0</v>
      </c>
      <c r="BA119" s="1105">
        <f t="shared" si="43"/>
        <v>0</v>
      </c>
      <c r="BB119" s="1105">
        <f t="shared" si="43"/>
        <v>0</v>
      </c>
      <c r="BC119" s="119"/>
      <c r="BF119" s="943" t="s">
        <v>997</v>
      </c>
    </row>
    <row r="120" spans="1:58" s="1334" customFormat="1" ht="14.25" customHeight="1" x14ac:dyDescent="0.15">
      <c r="A120" s="1128"/>
      <c r="B120" s="1111"/>
      <c r="C120" s="1128"/>
      <c r="D120" s="1128"/>
      <c r="E120" s="552">
        <v>15</v>
      </c>
      <c r="F120" s="3" t="str" cm="1">
        <f t="array" aca="1" ref="F120" ca="1">OFFSET(E120,-1,1)</f>
        <v>1</v>
      </c>
      <c r="G120" s="23" t="s">
        <v>594</v>
      </c>
      <c r="H120" s="1128"/>
      <c r="I120" s="1128"/>
      <c r="J120" s="1128"/>
      <c r="K120" s="1128"/>
      <c r="L120" s="1128"/>
      <c r="M120" s="1128"/>
      <c r="N120" s="1128"/>
      <c r="O120" s="1128"/>
      <c r="P120" s="1128"/>
      <c r="Q120" s="1128"/>
      <c r="R120" s="1128"/>
      <c r="S120" s="1128"/>
      <c r="T120" s="388" t="b" cm="1">
        <f t="array" ref="T120">T119</f>
        <v>1</v>
      </c>
      <c r="U120" s="1128"/>
      <c r="V120" s="1128"/>
      <c r="W120" s="1128"/>
      <c r="X120" s="2066"/>
      <c r="Y120" s="1128"/>
      <c r="Z120" s="2067"/>
      <c r="AA120" s="1128"/>
      <c r="AB120" s="7" t="s">
        <v>617</v>
      </c>
      <c r="AC120" s="133" t="s">
        <v>911</v>
      </c>
      <c r="AD120" s="8" t="s">
        <v>831</v>
      </c>
      <c r="AE120" s="134"/>
      <c r="AF120" s="134"/>
      <c r="AG120" s="134"/>
      <c r="AH120" s="134"/>
      <c r="AI120" s="134"/>
      <c r="AJ120" s="1403"/>
      <c r="AK120" s="1403"/>
      <c r="AL120" s="1403"/>
      <c r="AM120" s="1403"/>
      <c r="AN120" s="1403"/>
      <c r="AO120" s="1403"/>
      <c r="AP120" s="134"/>
      <c r="AQ120" s="134"/>
      <c r="AR120" s="134"/>
      <c r="AS120" s="134"/>
      <c r="AT120" s="1403"/>
      <c r="AU120" s="1403"/>
      <c r="AV120" s="1403"/>
      <c r="AW120" s="1403"/>
      <c r="AX120" s="1403"/>
      <c r="AY120" s="1403"/>
      <c r="AZ120" s="134"/>
      <c r="BA120" s="134"/>
      <c r="BB120" s="134"/>
      <c r="BC120" s="119"/>
      <c r="BD120" s="1128"/>
      <c r="BE120" s="1128"/>
      <c r="BF120" s="943" t="s">
        <v>998</v>
      </c>
    </row>
    <row r="121" spans="1:58" s="1334" customFormat="1" ht="14.25" customHeight="1" x14ac:dyDescent="0.15">
      <c r="A121" s="1128"/>
      <c r="B121" s="1111"/>
      <c r="C121" s="1128"/>
      <c r="D121" s="1128"/>
      <c r="E121" s="552">
        <v>15</v>
      </c>
      <c r="F121" s="3" t="str" cm="1">
        <f t="array" aca="1" ref="F121" ca="1">OFFSET(E121,-1,1)</f>
        <v>1</v>
      </c>
      <c r="G121" s="23" t="s">
        <v>598</v>
      </c>
      <c r="H121" s="1128"/>
      <c r="I121" s="1128"/>
      <c r="J121" s="1128"/>
      <c r="K121" s="1128"/>
      <c r="L121" s="1128"/>
      <c r="M121" s="1128"/>
      <c r="N121" s="1128"/>
      <c r="O121" s="1128"/>
      <c r="P121" s="1128"/>
      <c r="Q121" s="1128"/>
      <c r="R121" s="1128"/>
      <c r="S121" s="1128"/>
      <c r="T121" s="388" t="b" cm="1">
        <f t="array" ref="T121">T120</f>
        <v>1</v>
      </c>
      <c r="U121" s="1128"/>
      <c r="V121" s="1128"/>
      <c r="W121" s="1128"/>
      <c r="X121" s="2066"/>
      <c r="Y121" s="1128"/>
      <c r="Z121" s="2067"/>
      <c r="AA121" s="1128"/>
      <c r="AB121" s="7" t="s">
        <v>634</v>
      </c>
      <c r="AC121" s="133" t="s">
        <v>914</v>
      </c>
      <c r="AD121" s="8" t="s">
        <v>831</v>
      </c>
      <c r="AE121" s="134"/>
      <c r="AF121" s="134"/>
      <c r="AG121" s="134"/>
      <c r="AH121" s="134"/>
      <c r="AI121" s="134"/>
      <c r="AJ121" s="1403"/>
      <c r="AK121" s="1403"/>
      <c r="AL121" s="1403"/>
      <c r="AM121" s="1403"/>
      <c r="AN121" s="1403"/>
      <c r="AO121" s="1403"/>
      <c r="AP121" s="134"/>
      <c r="AQ121" s="134"/>
      <c r="AR121" s="134"/>
      <c r="AS121" s="134"/>
      <c r="AT121" s="1403"/>
      <c r="AU121" s="1403"/>
      <c r="AV121" s="1403"/>
      <c r="AW121" s="1403"/>
      <c r="AX121" s="1403"/>
      <c r="AY121" s="1403"/>
      <c r="AZ121" s="134"/>
      <c r="BA121" s="134"/>
      <c r="BB121" s="134"/>
      <c r="BC121" s="119"/>
      <c r="BD121" s="1128"/>
      <c r="BE121" s="1128"/>
      <c r="BF121" s="943" t="s">
        <v>999</v>
      </c>
    </row>
    <row r="122" spans="1:58" s="1334" customFormat="1" ht="14.25" customHeight="1" x14ac:dyDescent="0.15">
      <c r="A122" s="1128"/>
      <c r="B122" s="1111"/>
      <c r="C122" s="1128"/>
      <c r="D122" s="1128"/>
      <c r="E122" s="552">
        <v>15</v>
      </c>
      <c r="F122" s="3" t="str" cm="1">
        <f t="array" aca="1" ref="F122" ca="1">OFFSET(E122,-1,1)</f>
        <v>1</v>
      </c>
      <c r="G122" s="23" t="s">
        <v>602</v>
      </c>
      <c r="H122" s="1128"/>
      <c r="I122" s="1128"/>
      <c r="J122" s="1128"/>
      <c r="K122" s="1128"/>
      <c r="L122" s="1128"/>
      <c r="M122" s="1128"/>
      <c r="N122" s="1128"/>
      <c r="O122" s="1128"/>
      <c r="P122" s="1128"/>
      <c r="Q122" s="1128"/>
      <c r="R122" s="1128"/>
      <c r="S122" s="1128"/>
      <c r="T122" s="388" t="b" cm="1">
        <f t="array" ref="T122">T121</f>
        <v>1</v>
      </c>
      <c r="U122" s="1128"/>
      <c r="V122" s="1128"/>
      <c r="W122" s="1128"/>
      <c r="X122" s="2066"/>
      <c r="Y122" s="1128"/>
      <c r="Z122" s="2067"/>
      <c r="AA122" s="1128"/>
      <c r="AB122" s="7" t="s">
        <v>646</v>
      </c>
      <c r="AC122" s="133" t="s">
        <v>917</v>
      </c>
      <c r="AD122" s="8" t="s">
        <v>831</v>
      </c>
      <c r="AE122" s="134"/>
      <c r="AF122" s="134"/>
      <c r="AG122" s="134"/>
      <c r="AH122" s="134"/>
      <c r="AI122" s="134"/>
      <c r="AJ122" s="1403"/>
      <c r="AK122" s="1403"/>
      <c r="AL122" s="1403"/>
      <c r="AM122" s="1403"/>
      <c r="AN122" s="1403"/>
      <c r="AO122" s="1403"/>
      <c r="AP122" s="134"/>
      <c r="AQ122" s="134"/>
      <c r="AR122" s="134"/>
      <c r="AS122" s="134"/>
      <c r="AT122" s="1403"/>
      <c r="AU122" s="1403"/>
      <c r="AV122" s="1403"/>
      <c r="AW122" s="1403"/>
      <c r="AX122" s="1403"/>
      <c r="AY122" s="1403"/>
      <c r="AZ122" s="134"/>
      <c r="BA122" s="134"/>
      <c r="BB122" s="134"/>
      <c r="BC122" s="119"/>
      <c r="BD122" s="1128"/>
      <c r="BE122" s="1128"/>
      <c r="BF122" s="943" t="s">
        <v>1000</v>
      </c>
    </row>
    <row r="123" spans="1:58" s="1334" customFormat="1" ht="14.25" customHeight="1" x14ac:dyDescent="0.15">
      <c r="A123" s="1128"/>
      <c r="B123" s="1111"/>
      <c r="C123" s="1128"/>
      <c r="D123" s="1128"/>
      <c r="E123" s="552">
        <v>15</v>
      </c>
      <c r="F123" s="3" t="str" cm="1">
        <f t="array" aca="1" ref="F123" ca="1">OFFSET(E123,-1,1)</f>
        <v>1</v>
      </c>
      <c r="G123" s="23" t="s">
        <v>1001</v>
      </c>
      <c r="H123" s="1128"/>
      <c r="I123" s="1128"/>
      <c r="J123" s="1128"/>
      <c r="K123" s="1128"/>
      <c r="L123" s="1128"/>
      <c r="M123" s="1128"/>
      <c r="N123" s="1128"/>
      <c r="O123" s="1128"/>
      <c r="P123" s="1128"/>
      <c r="Q123" s="1128"/>
      <c r="R123" s="1128"/>
      <c r="S123" s="1128"/>
      <c r="T123" s="388" t="b" cm="1">
        <f t="array" ref="T123">T122</f>
        <v>1</v>
      </c>
      <c r="U123" s="1128"/>
      <c r="V123" s="1128"/>
      <c r="W123" s="1128"/>
      <c r="X123" s="2066"/>
      <c r="Y123" s="1128"/>
      <c r="Z123" s="2067"/>
      <c r="AA123" s="1128"/>
      <c r="AB123" s="7" t="s">
        <v>681</v>
      </c>
      <c r="AC123" s="133" t="s">
        <v>920</v>
      </c>
      <c r="AD123" s="8" t="s">
        <v>831</v>
      </c>
      <c r="AE123" s="134"/>
      <c r="AF123" s="134"/>
      <c r="AG123" s="134"/>
      <c r="AH123" s="134"/>
      <c r="AI123" s="134"/>
      <c r="AJ123" s="1403"/>
      <c r="AK123" s="1403"/>
      <c r="AL123" s="1403"/>
      <c r="AM123" s="1403"/>
      <c r="AN123" s="1403"/>
      <c r="AO123" s="1403"/>
      <c r="AP123" s="134"/>
      <c r="AQ123" s="134"/>
      <c r="AR123" s="134"/>
      <c r="AS123" s="134"/>
      <c r="AT123" s="1403"/>
      <c r="AU123" s="1403"/>
      <c r="AV123" s="1403"/>
      <c r="AW123" s="1403"/>
      <c r="AX123" s="1403"/>
      <c r="AY123" s="1403"/>
      <c r="AZ123" s="134"/>
      <c r="BA123" s="134"/>
      <c r="BB123" s="134"/>
      <c r="BC123" s="119"/>
      <c r="BD123" s="1128"/>
      <c r="BE123" s="1128"/>
      <c r="BF123" s="943" t="s">
        <v>1002</v>
      </c>
    </row>
    <row r="124" spans="1:58" s="1334" customFormat="1" ht="14.25" customHeight="1" x14ac:dyDescent="0.15">
      <c r="A124" s="1128"/>
      <c r="B124" s="1111"/>
      <c r="C124" s="1128"/>
      <c r="D124" s="1128"/>
      <c r="E124" s="552">
        <v>15</v>
      </c>
      <c r="F124" s="3" t="str" cm="1">
        <f t="array" aca="1" ref="F124" ca="1">OFFSET(E124,-1,1)</f>
        <v>1</v>
      </c>
      <c r="G124" s="23" t="s">
        <v>1003</v>
      </c>
      <c r="H124" s="1128"/>
      <c r="I124" s="1128"/>
      <c r="J124" s="1128"/>
      <c r="K124" s="1128"/>
      <c r="L124" s="1128"/>
      <c r="M124" s="1128"/>
      <c r="N124" s="1128"/>
      <c r="O124" s="1128"/>
      <c r="P124" s="1128"/>
      <c r="Q124" s="1128"/>
      <c r="R124" s="1128"/>
      <c r="S124" s="1128"/>
      <c r="T124" s="388" t="b" cm="1">
        <f t="array" ref="T124">T123</f>
        <v>1</v>
      </c>
      <c r="U124" s="1128"/>
      <c r="V124" s="1128"/>
      <c r="W124" s="1128"/>
      <c r="X124" s="2066"/>
      <c r="Y124" s="1128"/>
      <c r="Z124" s="2067"/>
      <c r="AA124" s="1128"/>
      <c r="AB124" s="7" t="s">
        <v>684</v>
      </c>
      <c r="AC124" s="133" t="s">
        <v>924</v>
      </c>
      <c r="AD124" s="8" t="s">
        <v>831</v>
      </c>
      <c r="AE124" s="134"/>
      <c r="AF124" s="134"/>
      <c r="AG124" s="134"/>
      <c r="AH124" s="134"/>
      <c r="AI124" s="134"/>
      <c r="AJ124" s="1403"/>
      <c r="AK124" s="1403"/>
      <c r="AL124" s="1403"/>
      <c r="AM124" s="1403"/>
      <c r="AN124" s="1403"/>
      <c r="AO124" s="1403"/>
      <c r="AP124" s="134"/>
      <c r="AQ124" s="134"/>
      <c r="AR124" s="134"/>
      <c r="AS124" s="134"/>
      <c r="AT124" s="1403"/>
      <c r="AU124" s="1403"/>
      <c r="AV124" s="1403"/>
      <c r="AW124" s="1403"/>
      <c r="AX124" s="1403"/>
      <c r="AY124" s="1403"/>
      <c r="AZ124" s="134"/>
      <c r="BA124" s="134"/>
      <c r="BB124" s="134"/>
      <c r="BC124" s="119"/>
      <c r="BD124" s="1128"/>
      <c r="BE124" s="1128"/>
      <c r="BF124" s="943" t="s">
        <v>1004</v>
      </c>
    </row>
    <row r="125" spans="1:58" s="1334" customFormat="1" ht="14.25" customHeight="1" x14ac:dyDescent="0.15">
      <c r="A125" s="1128"/>
      <c r="B125" s="1111"/>
      <c r="C125" s="1128"/>
      <c r="D125" s="1128"/>
      <c r="E125" s="552">
        <v>15</v>
      </c>
      <c r="F125" s="641" t="str" cm="1">
        <f t="array" ref="F125">X125</f>
        <v>2</v>
      </c>
      <c r="G125" s="1128"/>
      <c r="H125" s="1128"/>
      <c r="I125" s="1128"/>
      <c r="J125" s="1128"/>
      <c r="K125" s="1128"/>
      <c r="L125" s="1128"/>
      <c r="M125" s="1128"/>
      <c r="N125" s="1128"/>
      <c r="O125" s="1128"/>
      <c r="P125" s="1128"/>
      <c r="Q125" s="1128"/>
      <c r="R125" s="1128"/>
      <c r="S125" s="1128"/>
      <c r="T125" s="388" t="b">
        <f>X125&gt;0</f>
        <v>1</v>
      </c>
      <c r="U125" s="1128"/>
      <c r="V125" s="23" t="str" cm="1">
        <f t="array" ref="V125">ЭЭ!$AB$80</f>
        <v>Тариф 2 (Водоотведение) - тариф на водоотведение</v>
      </c>
      <c r="W125" s="1128"/>
      <c r="X125" s="2066" t="s">
        <v>289</v>
      </c>
      <c r="Y125" s="1128"/>
      <c r="Z125" s="2067"/>
      <c r="AA125" s="1128"/>
      <c r="AB125" s="102" t="str" cm="1">
        <f t="array" ref="AB125">ЭЭ!$AB$80</f>
        <v>Тариф 2 (Водоотведение) - тариф на водоотведение</v>
      </c>
      <c r="AC125" s="99"/>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129"/>
      <c r="BD125" s="1128"/>
      <c r="BE125" s="1128"/>
      <c r="BF125" s="1082"/>
    </row>
    <row r="126" spans="1:58" s="448" customFormat="1" ht="33.75" customHeight="1" x14ac:dyDescent="0.15">
      <c r="B126" s="353"/>
      <c r="E126" s="593">
        <v>22.5</v>
      </c>
      <c r="F126" s="3" t="str" cm="1">
        <f t="array" aca="1" ref="F126" ca="1">OFFSET(E126,-1,1)</f>
        <v>2</v>
      </c>
      <c r="G126" s="23" t="s">
        <v>331</v>
      </c>
      <c r="T126" s="388" t="b" cm="1">
        <f t="array" ref="T126">T125</f>
        <v>1</v>
      </c>
      <c r="X126" s="2066"/>
      <c r="Z126" s="2067"/>
      <c r="AB126" s="130">
        <v>1</v>
      </c>
      <c r="AC126" s="131" t="s">
        <v>908</v>
      </c>
      <c r="AD126" s="8" t="s">
        <v>831</v>
      </c>
      <c r="AE126" s="1105">
        <f t="shared" ref="AE126:BB126" si="44">SUM(AE127:AE131)</f>
        <v>0</v>
      </c>
      <c r="AF126" s="1105">
        <f t="shared" si="44"/>
        <v>0</v>
      </c>
      <c r="AG126" s="1105">
        <f t="shared" si="44"/>
        <v>0</v>
      </c>
      <c r="AH126" s="1105">
        <f t="shared" si="44"/>
        <v>0</v>
      </c>
      <c r="AI126" s="1105">
        <f t="shared" si="44"/>
        <v>0</v>
      </c>
      <c r="AJ126" s="1402">
        <f t="shared" si="44"/>
        <v>0</v>
      </c>
      <c r="AK126" s="1402">
        <f t="shared" si="44"/>
        <v>0</v>
      </c>
      <c r="AL126" s="1402">
        <f t="shared" si="44"/>
        <v>0</v>
      </c>
      <c r="AM126" s="1402">
        <f t="shared" si="44"/>
        <v>0</v>
      </c>
      <c r="AN126" s="1402">
        <f t="shared" si="44"/>
        <v>0</v>
      </c>
      <c r="AO126" s="1402">
        <f t="shared" si="44"/>
        <v>0</v>
      </c>
      <c r="AP126" s="1105">
        <f t="shared" si="44"/>
        <v>0</v>
      </c>
      <c r="AQ126" s="1105">
        <f t="shared" si="44"/>
        <v>0</v>
      </c>
      <c r="AR126" s="1105">
        <f t="shared" si="44"/>
        <v>0</v>
      </c>
      <c r="AS126" s="1105">
        <f t="shared" si="44"/>
        <v>0</v>
      </c>
      <c r="AT126" s="1402">
        <f t="shared" si="44"/>
        <v>0</v>
      </c>
      <c r="AU126" s="1402">
        <f t="shared" si="44"/>
        <v>0</v>
      </c>
      <c r="AV126" s="1402">
        <f t="shared" si="44"/>
        <v>0</v>
      </c>
      <c r="AW126" s="1402">
        <f t="shared" si="44"/>
        <v>0</v>
      </c>
      <c r="AX126" s="1402">
        <f t="shared" si="44"/>
        <v>0</v>
      </c>
      <c r="AY126" s="1402">
        <f t="shared" si="44"/>
        <v>0</v>
      </c>
      <c r="AZ126" s="1105">
        <f t="shared" si="44"/>
        <v>0</v>
      </c>
      <c r="BA126" s="1105">
        <f t="shared" si="44"/>
        <v>0</v>
      </c>
      <c r="BB126" s="1105">
        <f t="shared" si="44"/>
        <v>0</v>
      </c>
      <c r="BC126" s="119" t="s">
        <v>1005</v>
      </c>
      <c r="BF126" s="943" t="s">
        <v>909</v>
      </c>
    </row>
    <row r="127" spans="1:58" s="1334" customFormat="1" ht="14.25" customHeight="1" x14ac:dyDescent="0.15">
      <c r="A127" s="1128"/>
      <c r="B127" s="1111"/>
      <c r="C127" s="1128"/>
      <c r="D127" s="1128"/>
      <c r="E127" s="552">
        <v>15</v>
      </c>
      <c r="F127" s="3" t="str" cm="1">
        <f t="array" aca="1" ref="F127" ca="1">OFFSET(E127,-1,1)</f>
        <v>2</v>
      </c>
      <c r="G127" s="23" t="s">
        <v>494</v>
      </c>
      <c r="H127" s="1128"/>
      <c r="I127" s="1128"/>
      <c r="J127" s="1128"/>
      <c r="K127" s="1128"/>
      <c r="L127" s="1128"/>
      <c r="M127" s="1128"/>
      <c r="N127" s="1128"/>
      <c r="O127" s="1128"/>
      <c r="P127" s="1128"/>
      <c r="Q127" s="1128"/>
      <c r="R127" s="1128"/>
      <c r="S127" s="1128"/>
      <c r="T127" s="388" t="b" cm="1">
        <f t="array" ref="T127">T126</f>
        <v>1</v>
      </c>
      <c r="U127" s="1128"/>
      <c r="V127" s="1128"/>
      <c r="W127" s="1128"/>
      <c r="X127" s="2066"/>
      <c r="Y127" s="1128"/>
      <c r="Z127" s="2067"/>
      <c r="AA127" s="1128"/>
      <c r="AB127" s="7" t="s">
        <v>910</v>
      </c>
      <c r="AC127" s="133" t="s">
        <v>911</v>
      </c>
      <c r="AD127" s="8" t="s">
        <v>831</v>
      </c>
      <c r="AE127" s="134"/>
      <c r="AF127" s="134"/>
      <c r="AG127" s="134"/>
      <c r="AH127" s="134"/>
      <c r="AI127" s="134"/>
      <c r="AJ127" s="1403"/>
      <c r="AK127" s="1403"/>
      <c r="AL127" s="1403"/>
      <c r="AM127" s="1403"/>
      <c r="AN127" s="1403"/>
      <c r="AO127" s="1403"/>
      <c r="AP127" s="134"/>
      <c r="AQ127" s="134"/>
      <c r="AR127" s="134"/>
      <c r="AS127" s="134"/>
      <c r="AT127" s="1403"/>
      <c r="AU127" s="1403"/>
      <c r="AV127" s="1403"/>
      <c r="AW127" s="1403"/>
      <c r="AX127" s="1403"/>
      <c r="AY127" s="1403"/>
      <c r="AZ127" s="134"/>
      <c r="BA127" s="134"/>
      <c r="BB127" s="134"/>
      <c r="BC127" s="119"/>
      <c r="BD127" s="1128"/>
      <c r="BE127" s="1128"/>
      <c r="BF127" s="943" t="s">
        <v>912</v>
      </c>
    </row>
    <row r="128" spans="1:58" s="1334" customFormat="1" ht="14.25" customHeight="1" x14ac:dyDescent="0.15">
      <c r="A128" s="1128"/>
      <c r="B128" s="1111"/>
      <c r="C128" s="1128"/>
      <c r="D128" s="1128"/>
      <c r="E128" s="552">
        <v>15</v>
      </c>
      <c r="F128" s="3" t="str" cm="1">
        <f t="array" aca="1" ref="F128" ca="1">OFFSET(E128,-1,1)</f>
        <v>2</v>
      </c>
      <c r="G128" s="23" t="s">
        <v>498</v>
      </c>
      <c r="H128" s="1128"/>
      <c r="I128" s="1128"/>
      <c r="J128" s="1128"/>
      <c r="K128" s="1128"/>
      <c r="L128" s="1128"/>
      <c r="M128" s="1128"/>
      <c r="N128" s="1128"/>
      <c r="O128" s="1128"/>
      <c r="P128" s="1128"/>
      <c r="Q128" s="1128"/>
      <c r="R128" s="1128"/>
      <c r="S128" s="1128"/>
      <c r="T128" s="388" t="b" cm="1">
        <f t="array" ref="T128">T127</f>
        <v>1</v>
      </c>
      <c r="U128" s="1128"/>
      <c r="V128" s="1128"/>
      <c r="W128" s="1128"/>
      <c r="X128" s="2066"/>
      <c r="Y128" s="1128"/>
      <c r="Z128" s="2067"/>
      <c r="AA128" s="1128"/>
      <c r="AB128" s="7" t="s">
        <v>913</v>
      </c>
      <c r="AC128" s="133" t="s">
        <v>914</v>
      </c>
      <c r="AD128" s="8" t="s">
        <v>831</v>
      </c>
      <c r="AE128" s="134"/>
      <c r="AF128" s="134"/>
      <c r="AG128" s="134"/>
      <c r="AH128" s="134"/>
      <c r="AI128" s="134"/>
      <c r="AJ128" s="1403"/>
      <c r="AK128" s="1403"/>
      <c r="AL128" s="1403"/>
      <c r="AM128" s="1403"/>
      <c r="AN128" s="1403"/>
      <c r="AO128" s="1403"/>
      <c r="AP128" s="134"/>
      <c r="AQ128" s="134"/>
      <c r="AR128" s="134"/>
      <c r="AS128" s="134"/>
      <c r="AT128" s="1403"/>
      <c r="AU128" s="1403"/>
      <c r="AV128" s="1403"/>
      <c r="AW128" s="1403"/>
      <c r="AX128" s="1403"/>
      <c r="AY128" s="1403"/>
      <c r="AZ128" s="134"/>
      <c r="BA128" s="134"/>
      <c r="BB128" s="134"/>
      <c r="BC128" s="119"/>
      <c r="BD128" s="1128"/>
      <c r="BE128" s="1128"/>
      <c r="BF128" s="943" t="s">
        <v>915</v>
      </c>
    </row>
    <row r="129" spans="1:58" s="1334" customFormat="1" ht="14.25" customHeight="1" x14ac:dyDescent="0.15">
      <c r="A129" s="1128"/>
      <c r="B129" s="1111"/>
      <c r="C129" s="1128"/>
      <c r="D129" s="1128"/>
      <c r="E129" s="552">
        <v>15</v>
      </c>
      <c r="F129" s="3" t="str" cm="1">
        <f t="array" aca="1" ref="F129" ca="1">OFFSET(E129,-1,1)</f>
        <v>2</v>
      </c>
      <c r="G129" s="23" t="s">
        <v>501</v>
      </c>
      <c r="H129" s="1128"/>
      <c r="I129" s="1128"/>
      <c r="J129" s="1128"/>
      <c r="K129" s="1128"/>
      <c r="L129" s="1128"/>
      <c r="M129" s="1128"/>
      <c r="N129" s="1128"/>
      <c r="O129" s="1128"/>
      <c r="P129" s="1128"/>
      <c r="Q129" s="1128"/>
      <c r="R129" s="1128"/>
      <c r="S129" s="1128"/>
      <c r="T129" s="388" t="b" cm="1">
        <f t="array" ref="T129">T128</f>
        <v>1</v>
      </c>
      <c r="U129" s="1128"/>
      <c r="V129" s="1128"/>
      <c r="W129" s="1128"/>
      <c r="X129" s="2066"/>
      <c r="Y129" s="1128"/>
      <c r="Z129" s="2067"/>
      <c r="AA129" s="1128"/>
      <c r="AB129" s="7" t="s">
        <v>916</v>
      </c>
      <c r="AC129" s="133" t="s">
        <v>917</v>
      </c>
      <c r="AD129" s="8" t="s">
        <v>831</v>
      </c>
      <c r="AE129" s="134"/>
      <c r="AF129" s="134"/>
      <c r="AG129" s="134"/>
      <c r="AH129" s="134"/>
      <c r="AI129" s="134"/>
      <c r="AJ129" s="1403"/>
      <c r="AK129" s="1403"/>
      <c r="AL129" s="1403"/>
      <c r="AM129" s="1403"/>
      <c r="AN129" s="1403"/>
      <c r="AO129" s="1403"/>
      <c r="AP129" s="134"/>
      <c r="AQ129" s="134"/>
      <c r="AR129" s="134"/>
      <c r="AS129" s="134"/>
      <c r="AT129" s="1403"/>
      <c r="AU129" s="1403"/>
      <c r="AV129" s="1403"/>
      <c r="AW129" s="1403"/>
      <c r="AX129" s="1403"/>
      <c r="AY129" s="1403"/>
      <c r="AZ129" s="134"/>
      <c r="BA129" s="134"/>
      <c r="BB129" s="134"/>
      <c r="BC129" s="119"/>
      <c r="BD129" s="1128"/>
      <c r="BE129" s="1128"/>
      <c r="BF129" s="943" t="s">
        <v>918</v>
      </c>
    </row>
    <row r="130" spans="1:58" s="1334" customFormat="1" ht="14.25" customHeight="1" x14ac:dyDescent="0.15">
      <c r="A130" s="1128"/>
      <c r="B130" s="1111"/>
      <c r="C130" s="1128"/>
      <c r="D130" s="1128"/>
      <c r="E130" s="552">
        <v>15</v>
      </c>
      <c r="F130" s="3" t="str" cm="1">
        <f t="array" aca="1" ref="F130" ca="1">OFFSET(E130,-1,1)</f>
        <v>2</v>
      </c>
      <c r="G130" s="23" t="s">
        <v>505</v>
      </c>
      <c r="H130" s="1128"/>
      <c r="I130" s="1128"/>
      <c r="J130" s="1128"/>
      <c r="K130" s="1128"/>
      <c r="L130" s="1128"/>
      <c r="M130" s="1128"/>
      <c r="N130" s="1128"/>
      <c r="O130" s="1128"/>
      <c r="P130" s="1128"/>
      <c r="Q130" s="1128"/>
      <c r="R130" s="1128"/>
      <c r="S130" s="1128"/>
      <c r="T130" s="388" t="b" cm="1">
        <f t="array" ref="T130">T129</f>
        <v>1</v>
      </c>
      <c r="U130" s="1128"/>
      <c r="V130" s="1128"/>
      <c r="W130" s="1128"/>
      <c r="X130" s="2066"/>
      <c r="Y130" s="1128"/>
      <c r="Z130" s="2067"/>
      <c r="AA130" s="1128"/>
      <c r="AB130" s="7" t="s">
        <v>919</v>
      </c>
      <c r="AC130" s="133" t="s">
        <v>920</v>
      </c>
      <c r="AD130" s="8" t="s">
        <v>831</v>
      </c>
      <c r="AE130" s="134"/>
      <c r="AF130" s="134"/>
      <c r="AG130" s="134"/>
      <c r="AH130" s="134"/>
      <c r="AI130" s="134"/>
      <c r="AJ130" s="1403"/>
      <c r="AK130" s="1403"/>
      <c r="AL130" s="1403"/>
      <c r="AM130" s="1403"/>
      <c r="AN130" s="1403"/>
      <c r="AO130" s="1403"/>
      <c r="AP130" s="134"/>
      <c r="AQ130" s="134"/>
      <c r="AR130" s="134"/>
      <c r="AS130" s="134"/>
      <c r="AT130" s="1403"/>
      <c r="AU130" s="1403"/>
      <c r="AV130" s="1403"/>
      <c r="AW130" s="1403"/>
      <c r="AX130" s="1403"/>
      <c r="AY130" s="1403"/>
      <c r="AZ130" s="134"/>
      <c r="BA130" s="134"/>
      <c r="BB130" s="134"/>
      <c r="BC130" s="119"/>
      <c r="BD130" s="1128"/>
      <c r="BE130" s="1128"/>
      <c r="BF130" s="943" t="s">
        <v>921</v>
      </c>
    </row>
    <row r="131" spans="1:58" s="1334" customFormat="1" ht="14.25" customHeight="1" x14ac:dyDescent="0.15">
      <c r="A131" s="1128"/>
      <c r="B131" s="1111"/>
      <c r="C131" s="1128"/>
      <c r="D131" s="1128"/>
      <c r="E131" s="552">
        <v>15</v>
      </c>
      <c r="F131" s="3" t="str" cm="1">
        <f t="array" aca="1" ref="F131" ca="1">OFFSET(E131,-1,1)</f>
        <v>2</v>
      </c>
      <c r="G131" s="23" t="s">
        <v>922</v>
      </c>
      <c r="H131" s="1128"/>
      <c r="I131" s="1128"/>
      <c r="J131" s="1128"/>
      <c r="K131" s="1128"/>
      <c r="L131" s="1128"/>
      <c r="M131" s="1128"/>
      <c r="N131" s="1128"/>
      <c r="O131" s="1128"/>
      <c r="P131" s="1128"/>
      <c r="Q131" s="1128"/>
      <c r="R131" s="1128"/>
      <c r="S131" s="1128"/>
      <c r="T131" s="388" t="b" cm="1">
        <f t="array" ref="T131">T130</f>
        <v>1</v>
      </c>
      <c r="U131" s="1128"/>
      <c r="V131" s="1128"/>
      <c r="W131" s="1128"/>
      <c r="X131" s="2066"/>
      <c r="Y131" s="1128"/>
      <c r="Z131" s="2067"/>
      <c r="AA131" s="1128"/>
      <c r="AB131" s="7" t="s">
        <v>923</v>
      </c>
      <c r="AC131" s="133" t="s">
        <v>924</v>
      </c>
      <c r="AD131" s="8" t="s">
        <v>831</v>
      </c>
      <c r="AE131" s="134"/>
      <c r="AF131" s="134"/>
      <c r="AG131" s="134"/>
      <c r="AH131" s="134"/>
      <c r="AI131" s="134"/>
      <c r="AJ131" s="1403"/>
      <c r="AK131" s="1403"/>
      <c r="AL131" s="1403"/>
      <c r="AM131" s="1403"/>
      <c r="AN131" s="1403"/>
      <c r="AO131" s="1403"/>
      <c r="AP131" s="134"/>
      <c r="AQ131" s="134"/>
      <c r="AR131" s="134"/>
      <c r="AS131" s="134"/>
      <c r="AT131" s="1403"/>
      <c r="AU131" s="1403"/>
      <c r="AV131" s="1403"/>
      <c r="AW131" s="1403"/>
      <c r="AX131" s="1403"/>
      <c r="AY131" s="1403"/>
      <c r="AZ131" s="134"/>
      <c r="BA131" s="134"/>
      <c r="BB131" s="134"/>
      <c r="BC131" s="119"/>
      <c r="BD131" s="1128"/>
      <c r="BE131" s="1128"/>
      <c r="BF131" s="943" t="s">
        <v>925</v>
      </c>
    </row>
    <row r="132" spans="1:58" s="448" customFormat="1" ht="14.25" customHeight="1" x14ac:dyDescent="0.15">
      <c r="B132" s="353"/>
      <c r="E132" s="552">
        <v>15</v>
      </c>
      <c r="F132" s="3" t="str" cm="1">
        <f t="array" aca="1" ref="F132" ca="1">OFFSET(E132,-1,1)</f>
        <v>2</v>
      </c>
      <c r="G132" s="23" t="s">
        <v>332</v>
      </c>
      <c r="T132" s="388" t="b" cm="1">
        <f t="array" ref="T132">T131</f>
        <v>1</v>
      </c>
      <c r="X132" s="2066"/>
      <c r="Z132" s="2067"/>
      <c r="AB132" s="130">
        <v>2</v>
      </c>
      <c r="AC132" s="131" t="s">
        <v>926</v>
      </c>
      <c r="AD132" s="8" t="s">
        <v>831</v>
      </c>
      <c r="AE132" s="1105">
        <f t="shared" ref="AE132:BB132" si="45">SUM(AE133:AE137)</f>
        <v>0</v>
      </c>
      <c r="AF132" s="1105">
        <f t="shared" si="45"/>
        <v>0</v>
      </c>
      <c r="AG132" s="1105">
        <f t="shared" si="45"/>
        <v>0</v>
      </c>
      <c r="AH132" s="1105">
        <f t="shared" si="45"/>
        <v>0</v>
      </c>
      <c r="AI132" s="1105">
        <f t="shared" si="45"/>
        <v>0</v>
      </c>
      <c r="AJ132" s="1402">
        <f t="shared" si="45"/>
        <v>0</v>
      </c>
      <c r="AK132" s="1402">
        <f t="shared" si="45"/>
        <v>0</v>
      </c>
      <c r="AL132" s="1402">
        <f t="shared" si="45"/>
        <v>0</v>
      </c>
      <c r="AM132" s="1402">
        <f t="shared" si="45"/>
        <v>0</v>
      </c>
      <c r="AN132" s="1402">
        <f t="shared" si="45"/>
        <v>0</v>
      </c>
      <c r="AO132" s="1402">
        <f t="shared" si="45"/>
        <v>0</v>
      </c>
      <c r="AP132" s="1105">
        <f t="shared" si="45"/>
        <v>0</v>
      </c>
      <c r="AQ132" s="1105">
        <f t="shared" si="45"/>
        <v>0</v>
      </c>
      <c r="AR132" s="1105">
        <f t="shared" si="45"/>
        <v>0</v>
      </c>
      <c r="AS132" s="1105">
        <f t="shared" si="45"/>
        <v>0</v>
      </c>
      <c r="AT132" s="1402">
        <f t="shared" si="45"/>
        <v>0</v>
      </c>
      <c r="AU132" s="1402">
        <f t="shared" si="45"/>
        <v>0</v>
      </c>
      <c r="AV132" s="1402">
        <f t="shared" si="45"/>
        <v>0</v>
      </c>
      <c r="AW132" s="1402">
        <f t="shared" si="45"/>
        <v>0</v>
      </c>
      <c r="AX132" s="1402">
        <f t="shared" si="45"/>
        <v>0</v>
      </c>
      <c r="AY132" s="1402">
        <f t="shared" si="45"/>
        <v>0</v>
      </c>
      <c r="AZ132" s="1105">
        <f t="shared" si="45"/>
        <v>0</v>
      </c>
      <c r="BA132" s="1105">
        <f t="shared" si="45"/>
        <v>0</v>
      </c>
      <c r="BB132" s="1105">
        <f t="shared" si="45"/>
        <v>0</v>
      </c>
      <c r="BC132" s="119"/>
      <c r="BF132" s="943" t="s">
        <v>927</v>
      </c>
    </row>
    <row r="133" spans="1:58" s="1334" customFormat="1" ht="14.25" customHeight="1" x14ac:dyDescent="0.15">
      <c r="A133" s="1128"/>
      <c r="B133" s="1111"/>
      <c r="C133" s="1128"/>
      <c r="D133" s="1128"/>
      <c r="E133" s="552">
        <v>15</v>
      </c>
      <c r="F133" s="3" t="str" cm="1">
        <f t="array" aca="1" ref="F133" ca="1">OFFSET(E133,-1,1)</f>
        <v>2</v>
      </c>
      <c r="G133" s="23" t="s">
        <v>512</v>
      </c>
      <c r="H133" s="1128"/>
      <c r="I133" s="1128"/>
      <c r="J133" s="1128"/>
      <c r="K133" s="1128"/>
      <c r="L133" s="1128"/>
      <c r="M133" s="1128"/>
      <c r="N133" s="1128"/>
      <c r="O133" s="1128"/>
      <c r="P133" s="1128"/>
      <c r="Q133" s="1128"/>
      <c r="R133" s="1128"/>
      <c r="S133" s="1128"/>
      <c r="T133" s="388" t="b" cm="1">
        <f t="array" ref="T133">T132</f>
        <v>1</v>
      </c>
      <c r="U133" s="1128"/>
      <c r="V133" s="1128"/>
      <c r="W133" s="1128"/>
      <c r="X133" s="2066"/>
      <c r="Y133" s="1128"/>
      <c r="Z133" s="2067"/>
      <c r="AA133" s="1128"/>
      <c r="AB133" s="7" t="s">
        <v>566</v>
      </c>
      <c r="AC133" s="133" t="s">
        <v>911</v>
      </c>
      <c r="AD133" s="8" t="s">
        <v>831</v>
      </c>
      <c r="AE133" s="134"/>
      <c r="AF133" s="134"/>
      <c r="AG133" s="134"/>
      <c r="AH133" s="134"/>
      <c r="AI133" s="134"/>
      <c r="AJ133" s="1403"/>
      <c r="AK133" s="1403"/>
      <c r="AL133" s="1403"/>
      <c r="AM133" s="1403"/>
      <c r="AN133" s="1403"/>
      <c r="AO133" s="1403"/>
      <c r="AP133" s="134"/>
      <c r="AQ133" s="134"/>
      <c r="AR133" s="134"/>
      <c r="AS133" s="134"/>
      <c r="AT133" s="1403"/>
      <c r="AU133" s="1403"/>
      <c r="AV133" s="1403"/>
      <c r="AW133" s="1403"/>
      <c r="AX133" s="1403"/>
      <c r="AY133" s="1403"/>
      <c r="AZ133" s="134"/>
      <c r="BA133" s="134"/>
      <c r="BB133" s="134"/>
      <c r="BC133" s="119"/>
      <c r="BD133" s="1128"/>
      <c r="BE133" s="1128"/>
      <c r="BF133" s="943" t="s">
        <v>928</v>
      </c>
    </row>
    <row r="134" spans="1:58" s="1334" customFormat="1" ht="14.25" customHeight="1" x14ac:dyDescent="0.15">
      <c r="A134" s="1128"/>
      <c r="B134" s="1111"/>
      <c r="C134" s="1128"/>
      <c r="D134" s="1128"/>
      <c r="E134" s="552">
        <v>15</v>
      </c>
      <c r="F134" s="3" t="str" cm="1">
        <f t="array" aca="1" ref="F134" ca="1">OFFSET(E134,-1,1)</f>
        <v>2</v>
      </c>
      <c r="G134" s="23" t="s">
        <v>515</v>
      </c>
      <c r="H134" s="1128"/>
      <c r="I134" s="1128"/>
      <c r="J134" s="1128"/>
      <c r="K134" s="1128"/>
      <c r="L134" s="1128"/>
      <c r="M134" s="1128"/>
      <c r="N134" s="1128"/>
      <c r="O134" s="1128"/>
      <c r="P134" s="1128"/>
      <c r="Q134" s="1128"/>
      <c r="R134" s="1128"/>
      <c r="S134" s="1128"/>
      <c r="T134" s="388" t="b" cm="1">
        <f t="array" ref="T134">T133</f>
        <v>1</v>
      </c>
      <c r="U134" s="1128"/>
      <c r="V134" s="1128"/>
      <c r="W134" s="1128"/>
      <c r="X134" s="2066"/>
      <c r="Y134" s="1128"/>
      <c r="Z134" s="2067"/>
      <c r="AA134" s="1128"/>
      <c r="AB134" s="7" t="s">
        <v>570</v>
      </c>
      <c r="AC134" s="133" t="s">
        <v>914</v>
      </c>
      <c r="AD134" s="8" t="s">
        <v>831</v>
      </c>
      <c r="AE134" s="134"/>
      <c r="AF134" s="134"/>
      <c r="AG134" s="134"/>
      <c r="AH134" s="134"/>
      <c r="AI134" s="134"/>
      <c r="AJ134" s="1403"/>
      <c r="AK134" s="1403"/>
      <c r="AL134" s="1403"/>
      <c r="AM134" s="1403"/>
      <c r="AN134" s="1403"/>
      <c r="AO134" s="1403"/>
      <c r="AP134" s="134"/>
      <c r="AQ134" s="134"/>
      <c r="AR134" s="134"/>
      <c r="AS134" s="134"/>
      <c r="AT134" s="1403"/>
      <c r="AU134" s="1403"/>
      <c r="AV134" s="1403"/>
      <c r="AW134" s="1403"/>
      <c r="AX134" s="1403"/>
      <c r="AY134" s="1403"/>
      <c r="AZ134" s="134"/>
      <c r="BA134" s="134"/>
      <c r="BB134" s="134"/>
      <c r="BC134" s="119"/>
      <c r="BD134" s="1128"/>
      <c r="BE134" s="1128"/>
      <c r="BF134" s="943" t="s">
        <v>929</v>
      </c>
    </row>
    <row r="135" spans="1:58" s="1334" customFormat="1" ht="14.25" customHeight="1" x14ac:dyDescent="0.15">
      <c r="A135" s="1128"/>
      <c r="B135" s="1111"/>
      <c r="C135" s="1128"/>
      <c r="D135" s="1128"/>
      <c r="E135" s="552">
        <v>15</v>
      </c>
      <c r="F135" s="3" t="str" cm="1">
        <f t="array" aca="1" ref="F135" ca="1">OFFSET(E135,-1,1)</f>
        <v>2</v>
      </c>
      <c r="G135" s="23" t="s">
        <v>930</v>
      </c>
      <c r="H135" s="1128"/>
      <c r="I135" s="1128"/>
      <c r="J135" s="1128"/>
      <c r="K135" s="1128"/>
      <c r="L135" s="1128"/>
      <c r="M135" s="1128"/>
      <c r="N135" s="1128"/>
      <c r="O135" s="1128"/>
      <c r="P135" s="1128"/>
      <c r="Q135" s="1128"/>
      <c r="R135" s="1128"/>
      <c r="S135" s="1128"/>
      <c r="T135" s="388" t="b" cm="1">
        <f t="array" ref="T135">T134</f>
        <v>1</v>
      </c>
      <c r="U135" s="1128"/>
      <c r="V135" s="1128"/>
      <c r="W135" s="1128"/>
      <c r="X135" s="2066"/>
      <c r="Y135" s="1128"/>
      <c r="Z135" s="2067"/>
      <c r="AA135" s="1128"/>
      <c r="AB135" s="7" t="s">
        <v>574</v>
      </c>
      <c r="AC135" s="133" t="s">
        <v>917</v>
      </c>
      <c r="AD135" s="8" t="s">
        <v>831</v>
      </c>
      <c r="AE135" s="134"/>
      <c r="AF135" s="134"/>
      <c r="AG135" s="134"/>
      <c r="AH135" s="134"/>
      <c r="AI135" s="134"/>
      <c r="AJ135" s="1403"/>
      <c r="AK135" s="1403"/>
      <c r="AL135" s="1403"/>
      <c r="AM135" s="1403"/>
      <c r="AN135" s="1403"/>
      <c r="AO135" s="1403"/>
      <c r="AP135" s="134"/>
      <c r="AQ135" s="134"/>
      <c r="AR135" s="134"/>
      <c r="AS135" s="134"/>
      <c r="AT135" s="1403"/>
      <c r="AU135" s="1403"/>
      <c r="AV135" s="1403"/>
      <c r="AW135" s="1403"/>
      <c r="AX135" s="1403"/>
      <c r="AY135" s="1403"/>
      <c r="AZ135" s="134"/>
      <c r="BA135" s="134"/>
      <c r="BB135" s="134"/>
      <c r="BC135" s="119"/>
      <c r="BD135" s="1128"/>
      <c r="BE135" s="1128"/>
      <c r="BF135" s="943" t="s">
        <v>931</v>
      </c>
    </row>
    <row r="136" spans="1:58" s="1334" customFormat="1" ht="14.25" customHeight="1" x14ac:dyDescent="0.15">
      <c r="A136" s="1128"/>
      <c r="B136" s="1111"/>
      <c r="C136" s="1128"/>
      <c r="D136" s="1128"/>
      <c r="E136" s="552">
        <v>15</v>
      </c>
      <c r="F136" s="3" t="str" cm="1">
        <f t="array" aca="1" ref="F136" ca="1">OFFSET(E136,-1,1)</f>
        <v>2</v>
      </c>
      <c r="G136" s="23" t="s">
        <v>932</v>
      </c>
      <c r="H136" s="1128"/>
      <c r="I136" s="1128"/>
      <c r="J136" s="1128"/>
      <c r="K136" s="1128"/>
      <c r="L136" s="1128"/>
      <c r="M136" s="1128"/>
      <c r="N136" s="1128"/>
      <c r="O136" s="1128"/>
      <c r="P136" s="1128"/>
      <c r="Q136" s="1128"/>
      <c r="R136" s="1128"/>
      <c r="S136" s="1128"/>
      <c r="T136" s="388" t="b" cm="1">
        <f t="array" ref="T136">T135</f>
        <v>1</v>
      </c>
      <c r="U136" s="1128"/>
      <c r="V136" s="1128"/>
      <c r="W136" s="1128"/>
      <c r="X136" s="2066"/>
      <c r="Y136" s="1128"/>
      <c r="Z136" s="2067"/>
      <c r="AA136" s="1128"/>
      <c r="AB136" s="7" t="s">
        <v>933</v>
      </c>
      <c r="AC136" s="133" t="s">
        <v>920</v>
      </c>
      <c r="AD136" s="8" t="s">
        <v>831</v>
      </c>
      <c r="AE136" s="134"/>
      <c r="AF136" s="134"/>
      <c r="AG136" s="134"/>
      <c r="AH136" s="134"/>
      <c r="AI136" s="134"/>
      <c r="AJ136" s="1403"/>
      <c r="AK136" s="1403"/>
      <c r="AL136" s="1403"/>
      <c r="AM136" s="1403"/>
      <c r="AN136" s="1403"/>
      <c r="AO136" s="1403"/>
      <c r="AP136" s="134"/>
      <c r="AQ136" s="134"/>
      <c r="AR136" s="134"/>
      <c r="AS136" s="134"/>
      <c r="AT136" s="1403"/>
      <c r="AU136" s="1403"/>
      <c r="AV136" s="1403"/>
      <c r="AW136" s="1403"/>
      <c r="AX136" s="1403"/>
      <c r="AY136" s="1403"/>
      <c r="AZ136" s="134"/>
      <c r="BA136" s="134"/>
      <c r="BB136" s="134"/>
      <c r="BC136" s="119"/>
      <c r="BD136" s="1128"/>
      <c r="BE136" s="1128"/>
      <c r="BF136" s="943" t="s">
        <v>934</v>
      </c>
    </row>
    <row r="137" spans="1:58" s="1334" customFormat="1" ht="14.25" customHeight="1" x14ac:dyDescent="0.15">
      <c r="A137" s="1128"/>
      <c r="B137" s="1111"/>
      <c r="C137" s="1128"/>
      <c r="D137" s="1128"/>
      <c r="E137" s="552">
        <v>15</v>
      </c>
      <c r="F137" s="3" t="str" cm="1">
        <f t="array" aca="1" ref="F137" ca="1">OFFSET(E137,-1,1)</f>
        <v>2</v>
      </c>
      <c r="G137" s="23" t="s">
        <v>935</v>
      </c>
      <c r="H137" s="1128"/>
      <c r="I137" s="1128"/>
      <c r="J137" s="1128"/>
      <c r="K137" s="1128"/>
      <c r="L137" s="1128"/>
      <c r="M137" s="1128"/>
      <c r="N137" s="1128"/>
      <c r="O137" s="1128"/>
      <c r="P137" s="1128"/>
      <c r="Q137" s="1128"/>
      <c r="R137" s="1128"/>
      <c r="S137" s="1128"/>
      <c r="T137" s="388" t="b" cm="1">
        <f t="array" ref="T137">T136</f>
        <v>1</v>
      </c>
      <c r="U137" s="1128"/>
      <c r="V137" s="1128"/>
      <c r="W137" s="1128"/>
      <c r="X137" s="2066"/>
      <c r="Y137" s="1128"/>
      <c r="Z137" s="2067"/>
      <c r="AA137" s="1128"/>
      <c r="AB137" s="7" t="s">
        <v>936</v>
      </c>
      <c r="AC137" s="133" t="s">
        <v>924</v>
      </c>
      <c r="AD137" s="8" t="s">
        <v>831</v>
      </c>
      <c r="AE137" s="134"/>
      <c r="AF137" s="134"/>
      <c r="AG137" s="134"/>
      <c r="AH137" s="134"/>
      <c r="AI137" s="134"/>
      <c r="AJ137" s="1403"/>
      <c r="AK137" s="1403"/>
      <c r="AL137" s="1403"/>
      <c r="AM137" s="1403"/>
      <c r="AN137" s="1403"/>
      <c r="AO137" s="1403"/>
      <c r="AP137" s="134"/>
      <c r="AQ137" s="134"/>
      <c r="AR137" s="134"/>
      <c r="AS137" s="134"/>
      <c r="AT137" s="1403"/>
      <c r="AU137" s="1403"/>
      <c r="AV137" s="1403"/>
      <c r="AW137" s="1403"/>
      <c r="AX137" s="1403"/>
      <c r="AY137" s="1403"/>
      <c r="AZ137" s="134"/>
      <c r="BA137" s="134"/>
      <c r="BB137" s="134"/>
      <c r="BC137" s="119"/>
      <c r="BD137" s="1128"/>
      <c r="BE137" s="1128"/>
      <c r="BF137" s="943" t="s">
        <v>937</v>
      </c>
    </row>
    <row r="138" spans="1:58" s="448" customFormat="1" ht="14.25" customHeight="1" x14ac:dyDescent="0.15">
      <c r="B138" s="353"/>
      <c r="E138" s="552">
        <v>15</v>
      </c>
      <c r="F138" s="3" t="str" cm="1">
        <f t="array" aca="1" ref="F138" ca="1">OFFSET(E138,-1,1)</f>
        <v>2</v>
      </c>
      <c r="G138" s="23" t="s">
        <v>333</v>
      </c>
      <c r="T138" s="388" t="b" cm="1">
        <f t="array" ref="T138">T137</f>
        <v>1</v>
      </c>
      <c r="X138" s="2066"/>
      <c r="Z138" s="2067"/>
      <c r="AB138" s="130">
        <v>3</v>
      </c>
      <c r="AC138" s="131" t="s">
        <v>938</v>
      </c>
      <c r="AD138" s="8" t="s">
        <v>831</v>
      </c>
      <c r="AE138" s="1105">
        <f t="shared" ref="AE138:BB138" si="46">SUM(AE139:AE143)</f>
        <v>0</v>
      </c>
      <c r="AF138" s="1105">
        <f t="shared" si="46"/>
        <v>0</v>
      </c>
      <c r="AG138" s="1105">
        <f t="shared" si="46"/>
        <v>0</v>
      </c>
      <c r="AH138" s="1105">
        <f t="shared" si="46"/>
        <v>0</v>
      </c>
      <c r="AI138" s="1105">
        <f t="shared" si="46"/>
        <v>0</v>
      </c>
      <c r="AJ138" s="1402">
        <f t="shared" si="46"/>
        <v>0</v>
      </c>
      <c r="AK138" s="1402">
        <f t="shared" si="46"/>
        <v>0</v>
      </c>
      <c r="AL138" s="1402">
        <f t="shared" si="46"/>
        <v>0</v>
      </c>
      <c r="AM138" s="1402">
        <f t="shared" si="46"/>
        <v>0</v>
      </c>
      <c r="AN138" s="1402">
        <f t="shared" si="46"/>
        <v>0</v>
      </c>
      <c r="AO138" s="1402">
        <f t="shared" si="46"/>
        <v>0</v>
      </c>
      <c r="AP138" s="1105">
        <f t="shared" si="46"/>
        <v>0</v>
      </c>
      <c r="AQ138" s="1105">
        <f t="shared" si="46"/>
        <v>0</v>
      </c>
      <c r="AR138" s="1105">
        <f t="shared" si="46"/>
        <v>0</v>
      </c>
      <c r="AS138" s="1105">
        <f t="shared" si="46"/>
        <v>0</v>
      </c>
      <c r="AT138" s="1402">
        <f t="shared" si="46"/>
        <v>0</v>
      </c>
      <c r="AU138" s="1402">
        <f t="shared" si="46"/>
        <v>0</v>
      </c>
      <c r="AV138" s="1402">
        <f t="shared" si="46"/>
        <v>0</v>
      </c>
      <c r="AW138" s="1402">
        <f t="shared" si="46"/>
        <v>0</v>
      </c>
      <c r="AX138" s="1402">
        <f t="shared" si="46"/>
        <v>0</v>
      </c>
      <c r="AY138" s="1402">
        <f t="shared" si="46"/>
        <v>0</v>
      </c>
      <c r="AZ138" s="1105">
        <f t="shared" si="46"/>
        <v>0</v>
      </c>
      <c r="BA138" s="1105">
        <f t="shared" si="46"/>
        <v>0</v>
      </c>
      <c r="BB138" s="1105">
        <f t="shared" si="46"/>
        <v>0</v>
      </c>
      <c r="BC138" s="119"/>
      <c r="BF138" s="943" t="s">
        <v>939</v>
      </c>
    </row>
    <row r="139" spans="1:58" s="1334" customFormat="1" ht="14.25" customHeight="1" x14ac:dyDescent="0.15">
      <c r="A139" s="1128"/>
      <c r="B139" s="1111"/>
      <c r="C139" s="1128"/>
      <c r="D139" s="1128"/>
      <c r="E139" s="552">
        <v>15</v>
      </c>
      <c r="F139" s="3" t="str" cm="1">
        <f t="array" aca="1" ref="F139" ca="1">OFFSET(E139,-1,1)</f>
        <v>2</v>
      </c>
      <c r="G139" s="23" t="s">
        <v>940</v>
      </c>
      <c r="H139" s="1128"/>
      <c r="I139" s="1128"/>
      <c r="J139" s="1128"/>
      <c r="K139" s="1128"/>
      <c r="L139" s="1128"/>
      <c r="M139" s="1128"/>
      <c r="N139" s="1128"/>
      <c r="O139" s="1128"/>
      <c r="P139" s="1128"/>
      <c r="Q139" s="1128"/>
      <c r="R139" s="1128"/>
      <c r="S139" s="1128"/>
      <c r="T139" s="388" t="b" cm="1">
        <f t="array" ref="T139">T138</f>
        <v>1</v>
      </c>
      <c r="U139" s="1128"/>
      <c r="V139" s="1128"/>
      <c r="W139" s="1128"/>
      <c r="X139" s="2066"/>
      <c r="Y139" s="1128"/>
      <c r="Z139" s="2067"/>
      <c r="AA139" s="1128"/>
      <c r="AB139" s="7" t="s">
        <v>580</v>
      </c>
      <c r="AC139" s="133" t="s">
        <v>911</v>
      </c>
      <c r="AD139" s="8" t="s">
        <v>831</v>
      </c>
      <c r="AE139" s="134"/>
      <c r="AF139" s="134"/>
      <c r="AG139" s="134"/>
      <c r="AH139" s="134"/>
      <c r="AI139" s="134"/>
      <c r="AJ139" s="1403"/>
      <c r="AK139" s="1403"/>
      <c r="AL139" s="1403"/>
      <c r="AM139" s="1403"/>
      <c r="AN139" s="1403"/>
      <c r="AO139" s="1403"/>
      <c r="AP139" s="134"/>
      <c r="AQ139" s="134"/>
      <c r="AR139" s="134"/>
      <c r="AS139" s="134"/>
      <c r="AT139" s="1403"/>
      <c r="AU139" s="1403"/>
      <c r="AV139" s="1403"/>
      <c r="AW139" s="1403"/>
      <c r="AX139" s="1403"/>
      <c r="AY139" s="1403"/>
      <c r="AZ139" s="134"/>
      <c r="BA139" s="134"/>
      <c r="BB139" s="134"/>
      <c r="BC139" s="119"/>
      <c r="BD139" s="1128"/>
      <c r="BE139" s="1128"/>
      <c r="BF139" s="943" t="s">
        <v>941</v>
      </c>
    </row>
    <row r="140" spans="1:58" s="1334" customFormat="1" ht="14.25" customHeight="1" x14ac:dyDescent="0.15">
      <c r="A140" s="1128"/>
      <c r="B140" s="1111"/>
      <c r="C140" s="1128"/>
      <c r="D140" s="1128"/>
      <c r="E140" s="552">
        <v>15</v>
      </c>
      <c r="F140" s="3" t="str" cm="1">
        <f t="array" aca="1" ref="F140" ca="1">OFFSET(E140,-1,1)</f>
        <v>2</v>
      </c>
      <c r="G140" s="23" t="s">
        <v>942</v>
      </c>
      <c r="H140" s="1128"/>
      <c r="I140" s="1128"/>
      <c r="J140" s="1128"/>
      <c r="K140" s="1128"/>
      <c r="L140" s="1128"/>
      <c r="M140" s="1128"/>
      <c r="N140" s="1128"/>
      <c r="O140" s="1128"/>
      <c r="P140" s="1128"/>
      <c r="Q140" s="1128"/>
      <c r="R140" s="1128"/>
      <c r="S140" s="1128"/>
      <c r="T140" s="388" t="b" cm="1">
        <f t="array" ref="T140">T139</f>
        <v>1</v>
      </c>
      <c r="U140" s="1128"/>
      <c r="V140" s="1128"/>
      <c r="W140" s="1128"/>
      <c r="X140" s="2066"/>
      <c r="Y140" s="1128"/>
      <c r="Z140" s="2067"/>
      <c r="AA140" s="1128"/>
      <c r="AB140" s="7" t="s">
        <v>584</v>
      </c>
      <c r="AC140" s="133" t="s">
        <v>914</v>
      </c>
      <c r="AD140" s="8" t="s">
        <v>831</v>
      </c>
      <c r="AE140" s="134"/>
      <c r="AF140" s="134"/>
      <c r="AG140" s="134"/>
      <c r="AH140" s="134"/>
      <c r="AI140" s="134"/>
      <c r="AJ140" s="1403"/>
      <c r="AK140" s="1403"/>
      <c r="AL140" s="1403"/>
      <c r="AM140" s="1403"/>
      <c r="AN140" s="1403"/>
      <c r="AO140" s="1403"/>
      <c r="AP140" s="134"/>
      <c r="AQ140" s="134"/>
      <c r="AR140" s="134"/>
      <c r="AS140" s="134"/>
      <c r="AT140" s="1403"/>
      <c r="AU140" s="1403"/>
      <c r="AV140" s="1403"/>
      <c r="AW140" s="1403"/>
      <c r="AX140" s="1403"/>
      <c r="AY140" s="1403"/>
      <c r="AZ140" s="134"/>
      <c r="BA140" s="134"/>
      <c r="BB140" s="134"/>
      <c r="BC140" s="119"/>
      <c r="BD140" s="1128"/>
      <c r="BE140" s="1128"/>
      <c r="BF140" s="943" t="s">
        <v>943</v>
      </c>
    </row>
    <row r="141" spans="1:58" s="1334" customFormat="1" ht="14.25" customHeight="1" x14ac:dyDescent="0.15">
      <c r="A141" s="1128"/>
      <c r="B141" s="1111"/>
      <c r="C141" s="1128"/>
      <c r="D141" s="1128"/>
      <c r="E141" s="552">
        <v>15</v>
      </c>
      <c r="F141" s="3" t="str" cm="1">
        <f t="array" aca="1" ref="F141" ca="1">OFFSET(E141,-1,1)</f>
        <v>2</v>
      </c>
      <c r="G141" s="23" t="s">
        <v>944</v>
      </c>
      <c r="H141" s="1128"/>
      <c r="I141" s="1128"/>
      <c r="J141" s="1128"/>
      <c r="K141" s="1128"/>
      <c r="L141" s="1128"/>
      <c r="M141" s="1128"/>
      <c r="N141" s="1128"/>
      <c r="O141" s="1128"/>
      <c r="P141" s="1128"/>
      <c r="Q141" s="1128"/>
      <c r="R141" s="1128"/>
      <c r="S141" s="1128"/>
      <c r="T141" s="388" t="b" cm="1">
        <f t="array" ref="T141">T140</f>
        <v>1</v>
      </c>
      <c r="U141" s="1128"/>
      <c r="V141" s="1128"/>
      <c r="W141" s="1128"/>
      <c r="X141" s="2066"/>
      <c r="Y141" s="1128"/>
      <c r="Z141" s="2067"/>
      <c r="AA141" s="1128"/>
      <c r="AB141" s="7" t="s">
        <v>796</v>
      </c>
      <c r="AC141" s="133" t="s">
        <v>917</v>
      </c>
      <c r="AD141" s="8" t="s">
        <v>831</v>
      </c>
      <c r="AE141" s="134"/>
      <c r="AF141" s="134"/>
      <c r="AG141" s="134"/>
      <c r="AH141" s="134"/>
      <c r="AI141" s="134"/>
      <c r="AJ141" s="1403"/>
      <c r="AK141" s="1403"/>
      <c r="AL141" s="1403"/>
      <c r="AM141" s="1403"/>
      <c r="AN141" s="1403"/>
      <c r="AO141" s="1403"/>
      <c r="AP141" s="134"/>
      <c r="AQ141" s="134"/>
      <c r="AR141" s="134"/>
      <c r="AS141" s="134"/>
      <c r="AT141" s="1403"/>
      <c r="AU141" s="1403"/>
      <c r="AV141" s="1403"/>
      <c r="AW141" s="1403"/>
      <c r="AX141" s="1403"/>
      <c r="AY141" s="1403"/>
      <c r="AZ141" s="134"/>
      <c r="BA141" s="134"/>
      <c r="BB141" s="134"/>
      <c r="BC141" s="119"/>
      <c r="BD141" s="1128"/>
      <c r="BE141" s="1128"/>
      <c r="BF141" s="943" t="s">
        <v>945</v>
      </c>
    </row>
    <row r="142" spans="1:58" s="1334" customFormat="1" ht="14.25" customHeight="1" x14ac:dyDescent="0.15">
      <c r="A142" s="1128"/>
      <c r="B142" s="1111"/>
      <c r="C142" s="1128"/>
      <c r="D142" s="1128"/>
      <c r="E142" s="552">
        <v>15</v>
      </c>
      <c r="F142" s="3" t="str" cm="1">
        <f t="array" aca="1" ref="F142" ca="1">OFFSET(E142,-1,1)</f>
        <v>2</v>
      </c>
      <c r="G142" s="23" t="s">
        <v>946</v>
      </c>
      <c r="H142" s="1128"/>
      <c r="I142" s="1128"/>
      <c r="J142" s="1128"/>
      <c r="K142" s="1128"/>
      <c r="L142" s="1128"/>
      <c r="M142" s="1128"/>
      <c r="N142" s="1128"/>
      <c r="O142" s="1128"/>
      <c r="P142" s="1128"/>
      <c r="Q142" s="1128"/>
      <c r="R142" s="1128"/>
      <c r="S142" s="1128"/>
      <c r="T142" s="388" t="b" cm="1">
        <f t="array" ref="T142">T141</f>
        <v>1</v>
      </c>
      <c r="U142" s="1128"/>
      <c r="V142" s="1128"/>
      <c r="W142" s="1128"/>
      <c r="X142" s="2066"/>
      <c r="Y142" s="1128"/>
      <c r="Z142" s="2067"/>
      <c r="AA142" s="1128"/>
      <c r="AB142" s="7" t="s">
        <v>947</v>
      </c>
      <c r="AC142" s="133" t="s">
        <v>920</v>
      </c>
      <c r="AD142" s="8" t="s">
        <v>831</v>
      </c>
      <c r="AE142" s="134"/>
      <c r="AF142" s="134"/>
      <c r="AG142" s="134"/>
      <c r="AH142" s="134"/>
      <c r="AI142" s="134"/>
      <c r="AJ142" s="1403"/>
      <c r="AK142" s="1403"/>
      <c r="AL142" s="1403"/>
      <c r="AM142" s="1403"/>
      <c r="AN142" s="1403"/>
      <c r="AO142" s="1403"/>
      <c r="AP142" s="134"/>
      <c r="AQ142" s="134"/>
      <c r="AR142" s="134"/>
      <c r="AS142" s="134"/>
      <c r="AT142" s="1403"/>
      <c r="AU142" s="1403"/>
      <c r="AV142" s="1403"/>
      <c r="AW142" s="1403"/>
      <c r="AX142" s="1403"/>
      <c r="AY142" s="1403"/>
      <c r="AZ142" s="134"/>
      <c r="BA142" s="134"/>
      <c r="BB142" s="134"/>
      <c r="BC142" s="119"/>
      <c r="BD142" s="1128"/>
      <c r="BE142" s="1128"/>
      <c r="BF142" s="943" t="s">
        <v>948</v>
      </c>
    </row>
    <row r="143" spans="1:58" s="1334" customFormat="1" ht="14.25" customHeight="1" x14ac:dyDescent="0.15">
      <c r="A143" s="1128"/>
      <c r="B143" s="1111"/>
      <c r="C143" s="1128"/>
      <c r="D143" s="1128"/>
      <c r="E143" s="552">
        <v>15</v>
      </c>
      <c r="F143" s="3" t="str" cm="1">
        <f t="array" aca="1" ref="F143" ca="1">OFFSET(E143,-1,1)</f>
        <v>2</v>
      </c>
      <c r="G143" s="23" t="s">
        <v>949</v>
      </c>
      <c r="H143" s="1128"/>
      <c r="I143" s="1128"/>
      <c r="J143" s="1128"/>
      <c r="K143" s="1128"/>
      <c r="L143" s="1128"/>
      <c r="M143" s="1128"/>
      <c r="N143" s="1128"/>
      <c r="O143" s="1128"/>
      <c r="P143" s="1128"/>
      <c r="Q143" s="1128"/>
      <c r="R143" s="1128"/>
      <c r="S143" s="1128"/>
      <c r="T143" s="388" t="b" cm="1">
        <f t="array" ref="T143">T142</f>
        <v>1</v>
      </c>
      <c r="U143" s="1128"/>
      <c r="V143" s="1128"/>
      <c r="W143" s="1128"/>
      <c r="X143" s="2066"/>
      <c r="Y143" s="1128"/>
      <c r="Z143" s="2067"/>
      <c r="AA143" s="1128"/>
      <c r="AB143" s="7" t="s">
        <v>950</v>
      </c>
      <c r="AC143" s="133" t="s">
        <v>924</v>
      </c>
      <c r="AD143" s="8" t="s">
        <v>831</v>
      </c>
      <c r="AE143" s="134"/>
      <c r="AF143" s="134"/>
      <c r="AG143" s="134"/>
      <c r="AH143" s="134"/>
      <c r="AI143" s="134"/>
      <c r="AJ143" s="1403"/>
      <c r="AK143" s="1403"/>
      <c r="AL143" s="1403"/>
      <c r="AM143" s="1403"/>
      <c r="AN143" s="1403"/>
      <c r="AO143" s="1403"/>
      <c r="AP143" s="134"/>
      <c r="AQ143" s="134"/>
      <c r="AR143" s="134"/>
      <c r="AS143" s="134"/>
      <c r="AT143" s="1403"/>
      <c r="AU143" s="1403"/>
      <c r="AV143" s="1403"/>
      <c r="AW143" s="1403"/>
      <c r="AX143" s="1403"/>
      <c r="AY143" s="1403"/>
      <c r="AZ143" s="134"/>
      <c r="BA143" s="134"/>
      <c r="BB143" s="134"/>
      <c r="BC143" s="119"/>
      <c r="BD143" s="1128"/>
      <c r="BE143" s="1128"/>
      <c r="BF143" s="943" t="s">
        <v>951</v>
      </c>
    </row>
    <row r="144" spans="1:58" s="448" customFormat="1" ht="21.75" customHeight="1" x14ac:dyDescent="0.15">
      <c r="B144" s="353"/>
      <c r="E144" s="593">
        <v>22.5</v>
      </c>
      <c r="F144" s="3" t="str" cm="1">
        <f t="array" aca="1" ref="F144" ca="1">OFFSET(E144,-1,1)</f>
        <v>2</v>
      </c>
      <c r="G144" s="23" t="s">
        <v>335</v>
      </c>
      <c r="T144" s="388" t="b" cm="1">
        <f t="array" ref="T144">T143</f>
        <v>1</v>
      </c>
      <c r="X144" s="2066"/>
      <c r="Z144" s="2067"/>
      <c r="AB144" s="130">
        <v>4</v>
      </c>
      <c r="AC144" s="131" t="s">
        <v>952</v>
      </c>
      <c r="AD144" s="8" t="s">
        <v>831</v>
      </c>
      <c r="AE144" s="1105">
        <f t="shared" ref="AE144:BB144" si="47">SUM(AE145:AE149)</f>
        <v>0</v>
      </c>
      <c r="AF144" s="1105">
        <f t="shared" si="47"/>
        <v>0</v>
      </c>
      <c r="AG144" s="1105">
        <f t="shared" si="47"/>
        <v>0</v>
      </c>
      <c r="AH144" s="1105">
        <f t="shared" si="47"/>
        <v>0</v>
      </c>
      <c r="AI144" s="1105">
        <f t="shared" si="47"/>
        <v>0</v>
      </c>
      <c r="AJ144" s="1402">
        <f t="shared" si="47"/>
        <v>0</v>
      </c>
      <c r="AK144" s="1402">
        <f t="shared" si="47"/>
        <v>0</v>
      </c>
      <c r="AL144" s="1402">
        <f t="shared" si="47"/>
        <v>0</v>
      </c>
      <c r="AM144" s="1402">
        <f t="shared" si="47"/>
        <v>0</v>
      </c>
      <c r="AN144" s="1402">
        <f t="shared" si="47"/>
        <v>0</v>
      </c>
      <c r="AO144" s="1402">
        <f t="shared" si="47"/>
        <v>0</v>
      </c>
      <c r="AP144" s="1105">
        <f t="shared" si="47"/>
        <v>0</v>
      </c>
      <c r="AQ144" s="1105">
        <f t="shared" si="47"/>
        <v>0</v>
      </c>
      <c r="AR144" s="1105">
        <f t="shared" si="47"/>
        <v>0</v>
      </c>
      <c r="AS144" s="1105">
        <f t="shared" si="47"/>
        <v>0</v>
      </c>
      <c r="AT144" s="1402">
        <f t="shared" si="47"/>
        <v>0</v>
      </c>
      <c r="AU144" s="1402">
        <f t="shared" si="47"/>
        <v>0</v>
      </c>
      <c r="AV144" s="1402">
        <f t="shared" si="47"/>
        <v>0</v>
      </c>
      <c r="AW144" s="1402">
        <f t="shared" si="47"/>
        <v>0</v>
      </c>
      <c r="AX144" s="1402">
        <f t="shared" si="47"/>
        <v>0</v>
      </c>
      <c r="AY144" s="1402">
        <f t="shared" si="47"/>
        <v>0</v>
      </c>
      <c r="AZ144" s="1105">
        <f t="shared" si="47"/>
        <v>0</v>
      </c>
      <c r="BA144" s="1105">
        <f t="shared" si="47"/>
        <v>0</v>
      </c>
      <c r="BB144" s="1105">
        <f t="shared" si="47"/>
        <v>0</v>
      </c>
      <c r="BC144" s="119"/>
      <c r="BF144" s="943" t="s">
        <v>953</v>
      </c>
    </row>
    <row r="145" spans="1:58" s="1334" customFormat="1" ht="14.25" customHeight="1" x14ac:dyDescent="0.15">
      <c r="A145" s="1128"/>
      <c r="B145" s="1111"/>
      <c r="C145" s="1128"/>
      <c r="D145" s="1128"/>
      <c r="E145" s="552">
        <v>15</v>
      </c>
      <c r="F145" s="3" t="str" cm="1">
        <f t="array" aca="1" ref="F145" ca="1">OFFSET(E145,-1,1)</f>
        <v>2</v>
      </c>
      <c r="G145" s="23" t="s">
        <v>565</v>
      </c>
      <c r="H145" s="1128"/>
      <c r="I145" s="1128"/>
      <c r="J145" s="1128"/>
      <c r="K145" s="1128"/>
      <c r="L145" s="1128"/>
      <c r="M145" s="1128"/>
      <c r="N145" s="1128"/>
      <c r="O145" s="1128"/>
      <c r="P145" s="1128"/>
      <c r="Q145" s="1128"/>
      <c r="R145" s="1128"/>
      <c r="S145" s="1128"/>
      <c r="T145" s="388" t="b" cm="1">
        <f t="array" ref="T145">T144</f>
        <v>1</v>
      </c>
      <c r="U145" s="1128"/>
      <c r="V145" s="1128"/>
      <c r="W145" s="1128"/>
      <c r="X145" s="2066"/>
      <c r="Y145" s="1128"/>
      <c r="Z145" s="2067"/>
      <c r="AA145" s="1128"/>
      <c r="AB145" s="7" t="s">
        <v>700</v>
      </c>
      <c r="AC145" s="133" t="s">
        <v>911</v>
      </c>
      <c r="AD145" s="8" t="s">
        <v>831</v>
      </c>
      <c r="AE145" s="134">
        <f t="shared" ref="AE145:BB145" si="48">AE127+AE133-AE139</f>
        <v>0</v>
      </c>
      <c r="AF145" s="134">
        <f t="shared" si="48"/>
        <v>0</v>
      </c>
      <c r="AG145" s="134">
        <f t="shared" si="48"/>
        <v>0</v>
      </c>
      <c r="AH145" s="134">
        <f t="shared" si="48"/>
        <v>0</v>
      </c>
      <c r="AI145" s="134">
        <f t="shared" si="48"/>
        <v>0</v>
      </c>
      <c r="AJ145" s="1403">
        <f t="shared" si="48"/>
        <v>0</v>
      </c>
      <c r="AK145" s="1403">
        <f t="shared" si="48"/>
        <v>0</v>
      </c>
      <c r="AL145" s="1403">
        <f t="shared" si="48"/>
        <v>0</v>
      </c>
      <c r="AM145" s="1403">
        <f t="shared" si="48"/>
        <v>0</v>
      </c>
      <c r="AN145" s="1403">
        <f t="shared" si="48"/>
        <v>0</v>
      </c>
      <c r="AO145" s="1403">
        <f t="shared" si="48"/>
        <v>0</v>
      </c>
      <c r="AP145" s="134">
        <f t="shared" si="48"/>
        <v>0</v>
      </c>
      <c r="AQ145" s="134">
        <f t="shared" si="48"/>
        <v>0</v>
      </c>
      <c r="AR145" s="134">
        <f t="shared" si="48"/>
        <v>0</v>
      </c>
      <c r="AS145" s="134">
        <f t="shared" si="48"/>
        <v>0</v>
      </c>
      <c r="AT145" s="1403">
        <f t="shared" si="48"/>
        <v>0</v>
      </c>
      <c r="AU145" s="1403">
        <f t="shared" si="48"/>
        <v>0</v>
      </c>
      <c r="AV145" s="1403">
        <f t="shared" si="48"/>
        <v>0</v>
      </c>
      <c r="AW145" s="1403">
        <f t="shared" si="48"/>
        <v>0</v>
      </c>
      <c r="AX145" s="1403">
        <f t="shared" si="48"/>
        <v>0</v>
      </c>
      <c r="AY145" s="1403">
        <f t="shared" si="48"/>
        <v>0</v>
      </c>
      <c r="AZ145" s="134">
        <f t="shared" si="48"/>
        <v>0</v>
      </c>
      <c r="BA145" s="134">
        <f t="shared" si="48"/>
        <v>0</v>
      </c>
      <c r="BB145" s="134">
        <f t="shared" si="48"/>
        <v>0</v>
      </c>
      <c r="BC145" s="119"/>
      <c r="BD145" s="1128"/>
      <c r="BE145" s="1128"/>
      <c r="BF145" s="943" t="s">
        <v>954</v>
      </c>
    </row>
    <row r="146" spans="1:58" s="1334" customFormat="1" ht="14.25" customHeight="1" x14ac:dyDescent="0.15">
      <c r="A146" s="1128"/>
      <c r="B146" s="1111"/>
      <c r="C146" s="1128"/>
      <c r="D146" s="1128"/>
      <c r="E146" s="552">
        <v>15</v>
      </c>
      <c r="F146" s="3" t="str" cm="1">
        <f t="array" aca="1" ref="F146" ca="1">OFFSET(E146,-1,1)</f>
        <v>2</v>
      </c>
      <c r="G146" s="23" t="s">
        <v>569</v>
      </c>
      <c r="H146" s="1128"/>
      <c r="I146" s="1128"/>
      <c r="J146" s="1128"/>
      <c r="K146" s="1128"/>
      <c r="L146" s="1128"/>
      <c r="M146" s="1128"/>
      <c r="N146" s="1128"/>
      <c r="O146" s="1128"/>
      <c r="P146" s="1128"/>
      <c r="Q146" s="1128"/>
      <c r="R146" s="1128"/>
      <c r="S146" s="1128"/>
      <c r="T146" s="388" t="b" cm="1">
        <f t="array" ref="T146">T145</f>
        <v>1</v>
      </c>
      <c r="U146" s="1128"/>
      <c r="V146" s="1128"/>
      <c r="W146" s="1128"/>
      <c r="X146" s="2066"/>
      <c r="Y146" s="1128"/>
      <c r="Z146" s="2067"/>
      <c r="AA146" s="1128"/>
      <c r="AB146" s="7" t="s">
        <v>703</v>
      </c>
      <c r="AC146" s="133" t="s">
        <v>914</v>
      </c>
      <c r="AD146" s="8" t="s">
        <v>831</v>
      </c>
      <c r="AE146" s="134">
        <f t="shared" ref="AE146:BB146" si="49">AE128+AE134-AE140</f>
        <v>0</v>
      </c>
      <c r="AF146" s="134">
        <f t="shared" si="49"/>
        <v>0</v>
      </c>
      <c r="AG146" s="134">
        <f t="shared" si="49"/>
        <v>0</v>
      </c>
      <c r="AH146" s="134">
        <f t="shared" si="49"/>
        <v>0</v>
      </c>
      <c r="AI146" s="134">
        <f t="shared" si="49"/>
        <v>0</v>
      </c>
      <c r="AJ146" s="1403">
        <f t="shared" si="49"/>
        <v>0</v>
      </c>
      <c r="AK146" s="1403">
        <f t="shared" si="49"/>
        <v>0</v>
      </c>
      <c r="AL146" s="1403">
        <f t="shared" si="49"/>
        <v>0</v>
      </c>
      <c r="AM146" s="1403">
        <f t="shared" si="49"/>
        <v>0</v>
      </c>
      <c r="AN146" s="1403">
        <f t="shared" si="49"/>
        <v>0</v>
      </c>
      <c r="AO146" s="1403">
        <f t="shared" si="49"/>
        <v>0</v>
      </c>
      <c r="AP146" s="134">
        <f t="shared" si="49"/>
        <v>0</v>
      </c>
      <c r="AQ146" s="134">
        <f t="shared" si="49"/>
        <v>0</v>
      </c>
      <c r="AR146" s="134">
        <f t="shared" si="49"/>
        <v>0</v>
      </c>
      <c r="AS146" s="134">
        <f t="shared" si="49"/>
        <v>0</v>
      </c>
      <c r="AT146" s="1403">
        <f t="shared" si="49"/>
        <v>0</v>
      </c>
      <c r="AU146" s="1403">
        <f t="shared" si="49"/>
        <v>0</v>
      </c>
      <c r="AV146" s="1403">
        <f t="shared" si="49"/>
        <v>0</v>
      </c>
      <c r="AW146" s="1403">
        <f t="shared" si="49"/>
        <v>0</v>
      </c>
      <c r="AX146" s="1403">
        <f t="shared" si="49"/>
        <v>0</v>
      </c>
      <c r="AY146" s="1403">
        <f t="shared" si="49"/>
        <v>0</v>
      </c>
      <c r="AZ146" s="134">
        <f t="shared" si="49"/>
        <v>0</v>
      </c>
      <c r="BA146" s="134">
        <f t="shared" si="49"/>
        <v>0</v>
      </c>
      <c r="BB146" s="134">
        <f t="shared" si="49"/>
        <v>0</v>
      </c>
      <c r="BC146" s="119"/>
      <c r="BD146" s="1128"/>
      <c r="BE146" s="1128"/>
      <c r="BF146" s="943" t="s">
        <v>955</v>
      </c>
    </row>
    <row r="147" spans="1:58" s="1334" customFormat="1" ht="14.25" customHeight="1" x14ac:dyDescent="0.15">
      <c r="A147" s="1128"/>
      <c r="B147" s="1111"/>
      <c r="C147" s="1128"/>
      <c r="D147" s="1128"/>
      <c r="E147" s="552">
        <v>15</v>
      </c>
      <c r="F147" s="3" t="str" cm="1">
        <f t="array" aca="1" ref="F147" ca="1">OFFSET(E147,-1,1)</f>
        <v>2</v>
      </c>
      <c r="G147" s="23" t="s">
        <v>573</v>
      </c>
      <c r="H147" s="1128"/>
      <c r="I147" s="1128"/>
      <c r="J147" s="1128"/>
      <c r="K147" s="1128"/>
      <c r="L147" s="1128"/>
      <c r="M147" s="1128"/>
      <c r="N147" s="1128"/>
      <c r="O147" s="1128"/>
      <c r="P147" s="1128"/>
      <c r="Q147" s="1128"/>
      <c r="R147" s="1128"/>
      <c r="S147" s="1128"/>
      <c r="T147" s="388" t="b" cm="1">
        <f t="array" ref="T147">T146</f>
        <v>1</v>
      </c>
      <c r="U147" s="1128"/>
      <c r="V147" s="1128"/>
      <c r="W147" s="1128"/>
      <c r="X147" s="2066"/>
      <c r="Y147" s="1128"/>
      <c r="Z147" s="2067"/>
      <c r="AA147" s="1128"/>
      <c r="AB147" s="7" t="s">
        <v>737</v>
      </c>
      <c r="AC147" s="133" t="s">
        <v>917</v>
      </c>
      <c r="AD147" s="8" t="s">
        <v>831</v>
      </c>
      <c r="AE147" s="134">
        <f t="shared" ref="AE147:BB147" si="50">AE129+AE135-AE141</f>
        <v>0</v>
      </c>
      <c r="AF147" s="134">
        <f t="shared" si="50"/>
        <v>0</v>
      </c>
      <c r="AG147" s="134">
        <f t="shared" si="50"/>
        <v>0</v>
      </c>
      <c r="AH147" s="134">
        <f t="shared" si="50"/>
        <v>0</v>
      </c>
      <c r="AI147" s="134">
        <f t="shared" si="50"/>
        <v>0</v>
      </c>
      <c r="AJ147" s="1403">
        <f t="shared" si="50"/>
        <v>0</v>
      </c>
      <c r="AK147" s="1403">
        <f t="shared" si="50"/>
        <v>0</v>
      </c>
      <c r="AL147" s="1403">
        <f t="shared" si="50"/>
        <v>0</v>
      </c>
      <c r="AM147" s="1403">
        <f t="shared" si="50"/>
        <v>0</v>
      </c>
      <c r="AN147" s="1403">
        <f t="shared" si="50"/>
        <v>0</v>
      </c>
      <c r="AO147" s="1403">
        <f t="shared" si="50"/>
        <v>0</v>
      </c>
      <c r="AP147" s="134">
        <f t="shared" si="50"/>
        <v>0</v>
      </c>
      <c r="AQ147" s="134">
        <f t="shared" si="50"/>
        <v>0</v>
      </c>
      <c r="AR147" s="134">
        <f t="shared" si="50"/>
        <v>0</v>
      </c>
      <c r="AS147" s="134">
        <f t="shared" si="50"/>
        <v>0</v>
      </c>
      <c r="AT147" s="1403">
        <f t="shared" si="50"/>
        <v>0</v>
      </c>
      <c r="AU147" s="1403">
        <f t="shared" si="50"/>
        <v>0</v>
      </c>
      <c r="AV147" s="1403">
        <f t="shared" si="50"/>
        <v>0</v>
      </c>
      <c r="AW147" s="1403">
        <f t="shared" si="50"/>
        <v>0</v>
      </c>
      <c r="AX147" s="1403">
        <f t="shared" si="50"/>
        <v>0</v>
      </c>
      <c r="AY147" s="1403">
        <f t="shared" si="50"/>
        <v>0</v>
      </c>
      <c r="AZ147" s="134">
        <f t="shared" si="50"/>
        <v>0</v>
      </c>
      <c r="BA147" s="134">
        <f t="shared" si="50"/>
        <v>0</v>
      </c>
      <c r="BB147" s="134">
        <f t="shared" si="50"/>
        <v>0</v>
      </c>
      <c r="BC147" s="119"/>
      <c r="BD147" s="1128"/>
      <c r="BE147" s="1128"/>
      <c r="BF147" s="943" t="s">
        <v>956</v>
      </c>
    </row>
    <row r="148" spans="1:58" s="1334" customFormat="1" ht="14.25" customHeight="1" x14ac:dyDescent="0.15">
      <c r="A148" s="1128"/>
      <c r="B148" s="1111"/>
      <c r="C148" s="1128"/>
      <c r="D148" s="1128"/>
      <c r="E148" s="552">
        <v>15</v>
      </c>
      <c r="F148" s="3" t="str" cm="1">
        <f t="array" aca="1" ref="F148" ca="1">OFFSET(E148,-1,1)</f>
        <v>2</v>
      </c>
      <c r="G148" s="23" t="s">
        <v>957</v>
      </c>
      <c r="H148" s="1128"/>
      <c r="I148" s="1128"/>
      <c r="J148" s="1128"/>
      <c r="K148" s="1128"/>
      <c r="L148" s="1128"/>
      <c r="M148" s="1128"/>
      <c r="N148" s="1128"/>
      <c r="O148" s="1128"/>
      <c r="P148" s="1128"/>
      <c r="Q148" s="1128"/>
      <c r="R148" s="1128"/>
      <c r="S148" s="1128"/>
      <c r="T148" s="388" t="b" cm="1">
        <f t="array" ref="T148">T147</f>
        <v>1</v>
      </c>
      <c r="U148" s="1128"/>
      <c r="V148" s="1128"/>
      <c r="W148" s="1128"/>
      <c r="X148" s="2066"/>
      <c r="Y148" s="1128"/>
      <c r="Z148" s="2067"/>
      <c r="AA148" s="1128"/>
      <c r="AB148" s="7" t="s">
        <v>746</v>
      </c>
      <c r="AC148" s="133" t="s">
        <v>920</v>
      </c>
      <c r="AD148" s="8" t="s">
        <v>831</v>
      </c>
      <c r="AE148" s="134">
        <f t="shared" ref="AE148:BB148" si="51">AE130+AE136-AE142</f>
        <v>0</v>
      </c>
      <c r="AF148" s="134">
        <f t="shared" si="51"/>
        <v>0</v>
      </c>
      <c r="AG148" s="134">
        <f t="shared" si="51"/>
        <v>0</v>
      </c>
      <c r="AH148" s="134">
        <f t="shared" si="51"/>
        <v>0</v>
      </c>
      <c r="AI148" s="134">
        <f t="shared" si="51"/>
        <v>0</v>
      </c>
      <c r="AJ148" s="1403">
        <f t="shared" si="51"/>
        <v>0</v>
      </c>
      <c r="AK148" s="1403">
        <f t="shared" si="51"/>
        <v>0</v>
      </c>
      <c r="AL148" s="1403">
        <f t="shared" si="51"/>
        <v>0</v>
      </c>
      <c r="AM148" s="1403">
        <f t="shared" si="51"/>
        <v>0</v>
      </c>
      <c r="AN148" s="1403">
        <f t="shared" si="51"/>
        <v>0</v>
      </c>
      <c r="AO148" s="1403">
        <f t="shared" si="51"/>
        <v>0</v>
      </c>
      <c r="AP148" s="134">
        <f t="shared" si="51"/>
        <v>0</v>
      </c>
      <c r="AQ148" s="134">
        <f t="shared" si="51"/>
        <v>0</v>
      </c>
      <c r="AR148" s="134">
        <f t="shared" si="51"/>
        <v>0</v>
      </c>
      <c r="AS148" s="134">
        <f t="shared" si="51"/>
        <v>0</v>
      </c>
      <c r="AT148" s="1403">
        <f t="shared" si="51"/>
        <v>0</v>
      </c>
      <c r="AU148" s="1403">
        <f t="shared" si="51"/>
        <v>0</v>
      </c>
      <c r="AV148" s="1403">
        <f t="shared" si="51"/>
        <v>0</v>
      </c>
      <c r="AW148" s="1403">
        <f t="shared" si="51"/>
        <v>0</v>
      </c>
      <c r="AX148" s="1403">
        <f t="shared" si="51"/>
        <v>0</v>
      </c>
      <c r="AY148" s="1403">
        <f t="shared" si="51"/>
        <v>0</v>
      </c>
      <c r="AZ148" s="134">
        <f t="shared" si="51"/>
        <v>0</v>
      </c>
      <c r="BA148" s="134">
        <f t="shared" si="51"/>
        <v>0</v>
      </c>
      <c r="BB148" s="134">
        <f t="shared" si="51"/>
        <v>0</v>
      </c>
      <c r="BC148" s="119"/>
      <c r="BD148" s="1128"/>
      <c r="BE148" s="1128"/>
      <c r="BF148" s="943" t="s">
        <v>958</v>
      </c>
    </row>
    <row r="149" spans="1:58" s="1334" customFormat="1" ht="14.25" customHeight="1" x14ac:dyDescent="0.15">
      <c r="A149" s="1128"/>
      <c r="B149" s="1111"/>
      <c r="C149" s="1128"/>
      <c r="D149" s="1128"/>
      <c r="E149" s="552">
        <v>15</v>
      </c>
      <c r="F149" s="3" t="str" cm="1">
        <f t="array" aca="1" ref="F149" ca="1">OFFSET(E149,-1,1)</f>
        <v>2</v>
      </c>
      <c r="G149" s="23" t="s">
        <v>959</v>
      </c>
      <c r="H149" s="1128"/>
      <c r="I149" s="1128"/>
      <c r="J149" s="1128"/>
      <c r="K149" s="1128"/>
      <c r="L149" s="1128"/>
      <c r="M149" s="1128"/>
      <c r="N149" s="1128"/>
      <c r="O149" s="1128"/>
      <c r="P149" s="1128"/>
      <c r="Q149" s="1128"/>
      <c r="R149" s="1128"/>
      <c r="S149" s="1128"/>
      <c r="T149" s="388" t="b" cm="1">
        <f t="array" ref="T149">T148</f>
        <v>1</v>
      </c>
      <c r="U149" s="1128"/>
      <c r="V149" s="1128"/>
      <c r="W149" s="1128"/>
      <c r="X149" s="2066"/>
      <c r="Y149" s="1128"/>
      <c r="Z149" s="2067"/>
      <c r="AA149" s="1128"/>
      <c r="AB149" s="7" t="s">
        <v>756</v>
      </c>
      <c r="AC149" s="133" t="s">
        <v>924</v>
      </c>
      <c r="AD149" s="8" t="s">
        <v>831</v>
      </c>
      <c r="AE149" s="134">
        <f t="shared" ref="AE149:BB149" si="52">AE131+AE137-AE143</f>
        <v>0</v>
      </c>
      <c r="AF149" s="134">
        <f t="shared" si="52"/>
        <v>0</v>
      </c>
      <c r="AG149" s="134">
        <f t="shared" si="52"/>
        <v>0</v>
      </c>
      <c r="AH149" s="134">
        <f t="shared" si="52"/>
        <v>0</v>
      </c>
      <c r="AI149" s="134">
        <f t="shared" si="52"/>
        <v>0</v>
      </c>
      <c r="AJ149" s="1403">
        <f t="shared" si="52"/>
        <v>0</v>
      </c>
      <c r="AK149" s="1403">
        <f t="shared" si="52"/>
        <v>0</v>
      </c>
      <c r="AL149" s="1403">
        <f t="shared" si="52"/>
        <v>0</v>
      </c>
      <c r="AM149" s="1403">
        <f t="shared" si="52"/>
        <v>0</v>
      </c>
      <c r="AN149" s="1403">
        <f t="shared" si="52"/>
        <v>0</v>
      </c>
      <c r="AO149" s="1403">
        <f t="shared" si="52"/>
        <v>0</v>
      </c>
      <c r="AP149" s="134">
        <f t="shared" si="52"/>
        <v>0</v>
      </c>
      <c r="AQ149" s="134">
        <f t="shared" si="52"/>
        <v>0</v>
      </c>
      <c r="AR149" s="134">
        <f t="shared" si="52"/>
        <v>0</v>
      </c>
      <c r="AS149" s="134">
        <f t="shared" si="52"/>
        <v>0</v>
      </c>
      <c r="AT149" s="1403">
        <f t="shared" si="52"/>
        <v>0</v>
      </c>
      <c r="AU149" s="1403">
        <f t="shared" si="52"/>
        <v>0</v>
      </c>
      <c r="AV149" s="1403">
        <f t="shared" si="52"/>
        <v>0</v>
      </c>
      <c r="AW149" s="1403">
        <f t="shared" si="52"/>
        <v>0</v>
      </c>
      <c r="AX149" s="1403">
        <f t="shared" si="52"/>
        <v>0</v>
      </c>
      <c r="AY149" s="1403">
        <f t="shared" si="52"/>
        <v>0</v>
      </c>
      <c r="AZ149" s="134">
        <f t="shared" si="52"/>
        <v>0</v>
      </c>
      <c r="BA149" s="134">
        <f t="shared" si="52"/>
        <v>0</v>
      </c>
      <c r="BB149" s="134">
        <f t="shared" si="52"/>
        <v>0</v>
      </c>
      <c r="BC149" s="119"/>
      <c r="BD149" s="1128"/>
      <c r="BE149" s="1128"/>
      <c r="BF149" s="943" t="s">
        <v>960</v>
      </c>
    </row>
    <row r="150" spans="1:58" s="448" customFormat="1" ht="14.25" customHeight="1" x14ac:dyDescent="0.15">
      <c r="B150" s="353"/>
      <c r="E150" s="552">
        <v>15</v>
      </c>
      <c r="F150" s="3" t="str" cm="1">
        <f t="array" aca="1" ref="F150" ca="1">OFFSET(E150,-1,1)</f>
        <v>2</v>
      </c>
      <c r="G150" s="23" t="s">
        <v>334</v>
      </c>
      <c r="T150" s="388" t="b" cm="1">
        <f t="array" ref="T150">T149</f>
        <v>1</v>
      </c>
      <c r="X150" s="2066"/>
      <c r="Z150" s="2067"/>
      <c r="AB150" s="130">
        <v>5</v>
      </c>
      <c r="AC150" s="131" t="s">
        <v>961</v>
      </c>
      <c r="AD150" s="8" t="s">
        <v>831</v>
      </c>
      <c r="AE150" s="1105">
        <f t="shared" ref="AE150:BB150" si="53">SUM(AE151:AE155)</f>
        <v>0</v>
      </c>
      <c r="AF150" s="1105">
        <f t="shared" si="53"/>
        <v>0</v>
      </c>
      <c r="AG150" s="1105">
        <f t="shared" si="53"/>
        <v>0</v>
      </c>
      <c r="AH150" s="1105">
        <f t="shared" si="53"/>
        <v>0</v>
      </c>
      <c r="AI150" s="1105">
        <f t="shared" si="53"/>
        <v>0</v>
      </c>
      <c r="AJ150" s="1402">
        <f t="shared" si="53"/>
        <v>0</v>
      </c>
      <c r="AK150" s="1402">
        <f t="shared" si="53"/>
        <v>0</v>
      </c>
      <c r="AL150" s="1402">
        <f t="shared" si="53"/>
        <v>0</v>
      </c>
      <c r="AM150" s="1402">
        <f t="shared" si="53"/>
        <v>0</v>
      </c>
      <c r="AN150" s="1402">
        <f t="shared" si="53"/>
        <v>0</v>
      </c>
      <c r="AO150" s="1402">
        <f t="shared" si="53"/>
        <v>0</v>
      </c>
      <c r="AP150" s="1105">
        <f t="shared" si="53"/>
        <v>0</v>
      </c>
      <c r="AQ150" s="1105">
        <f t="shared" si="53"/>
        <v>0</v>
      </c>
      <c r="AR150" s="1105">
        <f t="shared" si="53"/>
        <v>0</v>
      </c>
      <c r="AS150" s="1105">
        <f t="shared" si="53"/>
        <v>0</v>
      </c>
      <c r="AT150" s="1402">
        <f t="shared" si="53"/>
        <v>0</v>
      </c>
      <c r="AU150" s="1402">
        <f t="shared" si="53"/>
        <v>0</v>
      </c>
      <c r="AV150" s="1402">
        <f t="shared" si="53"/>
        <v>0</v>
      </c>
      <c r="AW150" s="1402">
        <f t="shared" si="53"/>
        <v>0</v>
      </c>
      <c r="AX150" s="1402">
        <f t="shared" si="53"/>
        <v>0</v>
      </c>
      <c r="AY150" s="1402">
        <f t="shared" si="53"/>
        <v>0</v>
      </c>
      <c r="AZ150" s="1105">
        <f t="shared" si="53"/>
        <v>0</v>
      </c>
      <c r="BA150" s="1105">
        <f t="shared" si="53"/>
        <v>0</v>
      </c>
      <c r="BB150" s="1105">
        <f t="shared" si="53"/>
        <v>0</v>
      </c>
      <c r="BC150" s="119"/>
      <c r="BF150" s="943" t="s">
        <v>962</v>
      </c>
    </row>
    <row r="151" spans="1:58" s="1334" customFormat="1" ht="14.25" customHeight="1" x14ac:dyDescent="0.15">
      <c r="A151" s="1128"/>
      <c r="B151" s="1111"/>
      <c r="C151" s="1128"/>
      <c r="D151" s="1128"/>
      <c r="E151" s="552">
        <v>15</v>
      </c>
      <c r="F151" s="3" t="str" cm="1">
        <f t="array" aca="1" ref="F151" ca="1">OFFSET(E151,-1,1)</f>
        <v>2</v>
      </c>
      <c r="G151" s="23" t="s">
        <v>579</v>
      </c>
      <c r="H151" s="1128"/>
      <c r="I151" s="1128"/>
      <c r="J151" s="1128"/>
      <c r="K151" s="1128"/>
      <c r="L151" s="1128"/>
      <c r="M151" s="1128"/>
      <c r="N151" s="1128"/>
      <c r="O151" s="1128"/>
      <c r="P151" s="1128"/>
      <c r="Q151" s="1128"/>
      <c r="R151" s="1128"/>
      <c r="S151" s="1128"/>
      <c r="T151" s="388" t="b" cm="1">
        <f t="array" ref="T151">T150</f>
        <v>1</v>
      </c>
      <c r="U151" s="1128"/>
      <c r="V151" s="1128"/>
      <c r="W151" s="1128"/>
      <c r="X151" s="2066"/>
      <c r="Y151" s="1128"/>
      <c r="Z151" s="2067"/>
      <c r="AA151" s="1128"/>
      <c r="AB151" s="7" t="s">
        <v>707</v>
      </c>
      <c r="AC151" s="133" t="s">
        <v>911</v>
      </c>
      <c r="AD151" s="8" t="s">
        <v>831</v>
      </c>
      <c r="AE151" s="134">
        <f t="shared" ref="AE151:BB151" si="54">(AE145+AE127)/2</f>
        <v>0</v>
      </c>
      <c r="AF151" s="134">
        <f t="shared" si="54"/>
        <v>0</v>
      </c>
      <c r="AG151" s="134">
        <f t="shared" si="54"/>
        <v>0</v>
      </c>
      <c r="AH151" s="134">
        <f t="shared" si="54"/>
        <v>0</v>
      </c>
      <c r="AI151" s="134">
        <f t="shared" si="54"/>
        <v>0</v>
      </c>
      <c r="AJ151" s="1403">
        <f t="shared" si="54"/>
        <v>0</v>
      </c>
      <c r="AK151" s="1403">
        <f t="shared" si="54"/>
        <v>0</v>
      </c>
      <c r="AL151" s="1403">
        <f t="shared" si="54"/>
        <v>0</v>
      </c>
      <c r="AM151" s="1403">
        <f t="shared" si="54"/>
        <v>0</v>
      </c>
      <c r="AN151" s="1403">
        <f t="shared" si="54"/>
        <v>0</v>
      </c>
      <c r="AO151" s="1403">
        <f t="shared" si="54"/>
        <v>0</v>
      </c>
      <c r="AP151" s="134">
        <f t="shared" si="54"/>
        <v>0</v>
      </c>
      <c r="AQ151" s="134">
        <f t="shared" si="54"/>
        <v>0</v>
      </c>
      <c r="AR151" s="134">
        <f t="shared" si="54"/>
        <v>0</v>
      </c>
      <c r="AS151" s="134">
        <f t="shared" si="54"/>
        <v>0</v>
      </c>
      <c r="AT151" s="1403">
        <f t="shared" si="54"/>
        <v>0</v>
      </c>
      <c r="AU151" s="1403">
        <f t="shared" si="54"/>
        <v>0</v>
      </c>
      <c r="AV151" s="1403">
        <f t="shared" si="54"/>
        <v>0</v>
      </c>
      <c r="AW151" s="1403">
        <f t="shared" si="54"/>
        <v>0</v>
      </c>
      <c r="AX151" s="1403">
        <f t="shared" si="54"/>
        <v>0</v>
      </c>
      <c r="AY151" s="1403">
        <f t="shared" si="54"/>
        <v>0</v>
      </c>
      <c r="AZ151" s="134">
        <f t="shared" si="54"/>
        <v>0</v>
      </c>
      <c r="BA151" s="134">
        <f t="shared" si="54"/>
        <v>0</v>
      </c>
      <c r="BB151" s="134">
        <f t="shared" si="54"/>
        <v>0</v>
      </c>
      <c r="BC151" s="119"/>
      <c r="BD151" s="1128"/>
      <c r="BE151" s="1128"/>
      <c r="BF151" s="943" t="s">
        <v>963</v>
      </c>
    </row>
    <row r="152" spans="1:58" s="1334" customFormat="1" ht="14.25" customHeight="1" x14ac:dyDescent="0.15">
      <c r="A152" s="1128"/>
      <c r="B152" s="1111"/>
      <c r="C152" s="1128"/>
      <c r="D152" s="1128"/>
      <c r="E152" s="552">
        <v>15</v>
      </c>
      <c r="F152" s="3" t="str" cm="1">
        <f t="array" aca="1" ref="F152" ca="1">OFFSET(E152,-1,1)</f>
        <v>2</v>
      </c>
      <c r="G152" s="23" t="s">
        <v>583</v>
      </c>
      <c r="H152" s="1128"/>
      <c r="I152" s="1128"/>
      <c r="J152" s="1128"/>
      <c r="K152" s="1128"/>
      <c r="L152" s="1128"/>
      <c r="M152" s="1128"/>
      <c r="N152" s="1128"/>
      <c r="O152" s="1128"/>
      <c r="P152" s="1128"/>
      <c r="Q152" s="1128"/>
      <c r="R152" s="1128"/>
      <c r="S152" s="1128"/>
      <c r="T152" s="388" t="b" cm="1">
        <f t="array" ref="T152">T151</f>
        <v>1</v>
      </c>
      <c r="U152" s="1128"/>
      <c r="V152" s="1128"/>
      <c r="W152" s="1128"/>
      <c r="X152" s="2066"/>
      <c r="Y152" s="1128"/>
      <c r="Z152" s="2067"/>
      <c r="AA152" s="1128"/>
      <c r="AB152" s="7" t="s">
        <v>710</v>
      </c>
      <c r="AC152" s="133" t="s">
        <v>914</v>
      </c>
      <c r="AD152" s="8" t="s">
        <v>831</v>
      </c>
      <c r="AE152" s="134">
        <f t="shared" ref="AE152:BB152" si="55">(AE146+AE128)/2</f>
        <v>0</v>
      </c>
      <c r="AF152" s="134">
        <f t="shared" si="55"/>
        <v>0</v>
      </c>
      <c r="AG152" s="134">
        <f t="shared" si="55"/>
        <v>0</v>
      </c>
      <c r="AH152" s="134">
        <f t="shared" si="55"/>
        <v>0</v>
      </c>
      <c r="AI152" s="134">
        <f t="shared" si="55"/>
        <v>0</v>
      </c>
      <c r="AJ152" s="1403">
        <f t="shared" si="55"/>
        <v>0</v>
      </c>
      <c r="AK152" s="1403">
        <f t="shared" si="55"/>
        <v>0</v>
      </c>
      <c r="AL152" s="1403">
        <f t="shared" si="55"/>
        <v>0</v>
      </c>
      <c r="AM152" s="1403">
        <f t="shared" si="55"/>
        <v>0</v>
      </c>
      <c r="AN152" s="1403">
        <f t="shared" si="55"/>
        <v>0</v>
      </c>
      <c r="AO152" s="1403">
        <f t="shared" si="55"/>
        <v>0</v>
      </c>
      <c r="AP152" s="134">
        <f t="shared" si="55"/>
        <v>0</v>
      </c>
      <c r="AQ152" s="134">
        <f t="shared" si="55"/>
        <v>0</v>
      </c>
      <c r="AR152" s="134">
        <f t="shared" si="55"/>
        <v>0</v>
      </c>
      <c r="AS152" s="134">
        <f t="shared" si="55"/>
        <v>0</v>
      </c>
      <c r="AT152" s="1403">
        <f t="shared" si="55"/>
        <v>0</v>
      </c>
      <c r="AU152" s="1403">
        <f t="shared" si="55"/>
        <v>0</v>
      </c>
      <c r="AV152" s="1403">
        <f t="shared" si="55"/>
        <v>0</v>
      </c>
      <c r="AW152" s="1403">
        <f t="shared" si="55"/>
        <v>0</v>
      </c>
      <c r="AX152" s="1403">
        <f t="shared" si="55"/>
        <v>0</v>
      </c>
      <c r="AY152" s="1403">
        <f t="shared" si="55"/>
        <v>0</v>
      </c>
      <c r="AZ152" s="134">
        <f t="shared" si="55"/>
        <v>0</v>
      </c>
      <c r="BA152" s="134">
        <f t="shared" si="55"/>
        <v>0</v>
      </c>
      <c r="BB152" s="134">
        <f t="shared" si="55"/>
        <v>0</v>
      </c>
      <c r="BC152" s="119"/>
      <c r="BD152" s="1128"/>
      <c r="BE152" s="1128"/>
      <c r="BF152" s="943" t="s">
        <v>964</v>
      </c>
    </row>
    <row r="153" spans="1:58" s="1334" customFormat="1" ht="14.25" customHeight="1" x14ac:dyDescent="0.15">
      <c r="A153" s="1128"/>
      <c r="B153" s="1111"/>
      <c r="C153" s="1128"/>
      <c r="D153" s="1128"/>
      <c r="E153" s="552">
        <v>15</v>
      </c>
      <c r="F153" s="3" t="str" cm="1">
        <f t="array" aca="1" ref="F153" ca="1">OFFSET(E153,-1,1)</f>
        <v>2</v>
      </c>
      <c r="G153" s="23" t="s">
        <v>795</v>
      </c>
      <c r="H153" s="1128"/>
      <c r="I153" s="1128"/>
      <c r="J153" s="1128"/>
      <c r="K153" s="1128"/>
      <c r="L153" s="1128"/>
      <c r="M153" s="1128"/>
      <c r="N153" s="1128"/>
      <c r="O153" s="1128"/>
      <c r="P153" s="1128"/>
      <c r="Q153" s="1128"/>
      <c r="R153" s="1128"/>
      <c r="S153" s="1128"/>
      <c r="T153" s="388" t="b" cm="1">
        <f t="array" ref="T153">T152</f>
        <v>1</v>
      </c>
      <c r="U153" s="1128"/>
      <c r="V153" s="1128"/>
      <c r="W153" s="1128"/>
      <c r="X153" s="2066"/>
      <c r="Y153" s="1128"/>
      <c r="Z153" s="2067"/>
      <c r="AA153" s="1128"/>
      <c r="AB153" s="7" t="s">
        <v>965</v>
      </c>
      <c r="AC153" s="133" t="s">
        <v>917</v>
      </c>
      <c r="AD153" s="8" t="s">
        <v>831</v>
      </c>
      <c r="AE153" s="134">
        <f t="shared" ref="AE153:BB153" si="56">(AE147+AE129)/2</f>
        <v>0</v>
      </c>
      <c r="AF153" s="134">
        <f t="shared" si="56"/>
        <v>0</v>
      </c>
      <c r="AG153" s="134">
        <f t="shared" si="56"/>
        <v>0</v>
      </c>
      <c r="AH153" s="134">
        <f t="shared" si="56"/>
        <v>0</v>
      </c>
      <c r="AI153" s="134">
        <f t="shared" si="56"/>
        <v>0</v>
      </c>
      <c r="AJ153" s="1403">
        <f t="shared" si="56"/>
        <v>0</v>
      </c>
      <c r="AK153" s="1403">
        <f t="shared" si="56"/>
        <v>0</v>
      </c>
      <c r="AL153" s="1403">
        <f t="shared" si="56"/>
        <v>0</v>
      </c>
      <c r="AM153" s="1403">
        <f t="shared" si="56"/>
        <v>0</v>
      </c>
      <c r="AN153" s="1403">
        <f t="shared" si="56"/>
        <v>0</v>
      </c>
      <c r="AO153" s="1403">
        <f t="shared" si="56"/>
        <v>0</v>
      </c>
      <c r="AP153" s="134">
        <f t="shared" si="56"/>
        <v>0</v>
      </c>
      <c r="AQ153" s="134">
        <f t="shared" si="56"/>
        <v>0</v>
      </c>
      <c r="AR153" s="134">
        <f t="shared" si="56"/>
        <v>0</v>
      </c>
      <c r="AS153" s="134">
        <f t="shared" si="56"/>
        <v>0</v>
      </c>
      <c r="AT153" s="1403">
        <f t="shared" si="56"/>
        <v>0</v>
      </c>
      <c r="AU153" s="1403">
        <f t="shared" si="56"/>
        <v>0</v>
      </c>
      <c r="AV153" s="1403">
        <f t="shared" si="56"/>
        <v>0</v>
      </c>
      <c r="AW153" s="1403">
        <f t="shared" si="56"/>
        <v>0</v>
      </c>
      <c r="AX153" s="1403">
        <f t="shared" si="56"/>
        <v>0</v>
      </c>
      <c r="AY153" s="1403">
        <f t="shared" si="56"/>
        <v>0</v>
      </c>
      <c r="AZ153" s="134">
        <f t="shared" si="56"/>
        <v>0</v>
      </c>
      <c r="BA153" s="134">
        <f t="shared" si="56"/>
        <v>0</v>
      </c>
      <c r="BB153" s="134">
        <f t="shared" si="56"/>
        <v>0</v>
      </c>
      <c r="BC153" s="119"/>
      <c r="BD153" s="1128"/>
      <c r="BE153" s="1128"/>
      <c r="BF153" s="943" t="s">
        <v>966</v>
      </c>
    </row>
    <row r="154" spans="1:58" s="1334" customFormat="1" ht="14.25" customHeight="1" x14ac:dyDescent="0.15">
      <c r="A154" s="1128"/>
      <c r="B154" s="1111"/>
      <c r="C154" s="1128"/>
      <c r="D154" s="1128"/>
      <c r="E154" s="552">
        <v>15</v>
      </c>
      <c r="F154" s="3" t="str" cm="1">
        <f t="array" aca="1" ref="F154" ca="1">OFFSET(E154,-1,1)</f>
        <v>2</v>
      </c>
      <c r="G154" s="23" t="s">
        <v>967</v>
      </c>
      <c r="H154" s="1128"/>
      <c r="I154" s="1128"/>
      <c r="J154" s="1128"/>
      <c r="K154" s="1128"/>
      <c r="L154" s="1128"/>
      <c r="M154" s="1128"/>
      <c r="N154" s="1128"/>
      <c r="O154" s="1128"/>
      <c r="P154" s="1128"/>
      <c r="Q154" s="1128"/>
      <c r="R154" s="1128"/>
      <c r="S154" s="1128"/>
      <c r="T154" s="388" t="b" cm="1">
        <f t="array" ref="T154">T153</f>
        <v>1</v>
      </c>
      <c r="U154" s="1128"/>
      <c r="V154" s="1128"/>
      <c r="W154" s="1128"/>
      <c r="X154" s="2066"/>
      <c r="Y154" s="1128"/>
      <c r="Z154" s="2067"/>
      <c r="AA154" s="1128"/>
      <c r="AB154" s="7" t="s">
        <v>968</v>
      </c>
      <c r="AC154" s="133" t="s">
        <v>920</v>
      </c>
      <c r="AD154" s="8" t="s">
        <v>831</v>
      </c>
      <c r="AE154" s="134">
        <f t="shared" ref="AE154:BB154" si="57">(AE148+AE130)/2</f>
        <v>0</v>
      </c>
      <c r="AF154" s="134">
        <f t="shared" si="57"/>
        <v>0</v>
      </c>
      <c r="AG154" s="134">
        <f t="shared" si="57"/>
        <v>0</v>
      </c>
      <c r="AH154" s="134">
        <f t="shared" si="57"/>
        <v>0</v>
      </c>
      <c r="AI154" s="134">
        <f t="shared" si="57"/>
        <v>0</v>
      </c>
      <c r="AJ154" s="1403">
        <f t="shared" si="57"/>
        <v>0</v>
      </c>
      <c r="AK154" s="1403">
        <f t="shared" si="57"/>
        <v>0</v>
      </c>
      <c r="AL154" s="1403">
        <f t="shared" si="57"/>
        <v>0</v>
      </c>
      <c r="AM154" s="1403">
        <f t="shared" si="57"/>
        <v>0</v>
      </c>
      <c r="AN154" s="1403">
        <f t="shared" si="57"/>
        <v>0</v>
      </c>
      <c r="AO154" s="1403">
        <f t="shared" si="57"/>
        <v>0</v>
      </c>
      <c r="AP154" s="134">
        <f t="shared" si="57"/>
        <v>0</v>
      </c>
      <c r="AQ154" s="134">
        <f t="shared" si="57"/>
        <v>0</v>
      </c>
      <c r="AR154" s="134">
        <f t="shared" si="57"/>
        <v>0</v>
      </c>
      <c r="AS154" s="134">
        <f t="shared" si="57"/>
        <v>0</v>
      </c>
      <c r="AT154" s="1403">
        <f t="shared" si="57"/>
        <v>0</v>
      </c>
      <c r="AU154" s="1403">
        <f t="shared" si="57"/>
        <v>0</v>
      </c>
      <c r="AV154" s="1403">
        <f t="shared" si="57"/>
        <v>0</v>
      </c>
      <c r="AW154" s="1403">
        <f t="shared" si="57"/>
        <v>0</v>
      </c>
      <c r="AX154" s="1403">
        <f t="shared" si="57"/>
        <v>0</v>
      </c>
      <c r="AY154" s="1403">
        <f t="shared" si="57"/>
        <v>0</v>
      </c>
      <c r="AZ154" s="134">
        <f t="shared" si="57"/>
        <v>0</v>
      </c>
      <c r="BA154" s="134">
        <f t="shared" si="57"/>
        <v>0</v>
      </c>
      <c r="BB154" s="134">
        <f t="shared" si="57"/>
        <v>0</v>
      </c>
      <c r="BC154" s="119"/>
      <c r="BD154" s="1128"/>
      <c r="BE154" s="1128"/>
      <c r="BF154" s="943" t="s">
        <v>969</v>
      </c>
    </row>
    <row r="155" spans="1:58" s="1334" customFormat="1" ht="14.25" customHeight="1" x14ac:dyDescent="0.15">
      <c r="A155" s="1128"/>
      <c r="B155" s="1111"/>
      <c r="C155" s="1128"/>
      <c r="D155" s="1128"/>
      <c r="E155" s="552">
        <v>15</v>
      </c>
      <c r="F155" s="3" t="str" cm="1">
        <f t="array" aca="1" ref="F155" ca="1">OFFSET(E155,-1,1)</f>
        <v>2</v>
      </c>
      <c r="G155" s="23" t="s">
        <v>970</v>
      </c>
      <c r="H155" s="1128"/>
      <c r="I155" s="1128"/>
      <c r="J155" s="1128"/>
      <c r="K155" s="1128"/>
      <c r="L155" s="1128"/>
      <c r="M155" s="1128"/>
      <c r="N155" s="1128"/>
      <c r="O155" s="1128"/>
      <c r="P155" s="1128"/>
      <c r="Q155" s="1128"/>
      <c r="R155" s="1128"/>
      <c r="S155" s="1128"/>
      <c r="T155" s="388" t="b" cm="1">
        <f t="array" ref="T155">T154</f>
        <v>1</v>
      </c>
      <c r="U155" s="1128"/>
      <c r="V155" s="1128"/>
      <c r="W155" s="1128"/>
      <c r="X155" s="2066"/>
      <c r="Y155" s="1128"/>
      <c r="Z155" s="2067"/>
      <c r="AA155" s="1128"/>
      <c r="AB155" s="7" t="s">
        <v>971</v>
      </c>
      <c r="AC155" s="133" t="s">
        <v>924</v>
      </c>
      <c r="AD155" s="8" t="s">
        <v>831</v>
      </c>
      <c r="AE155" s="134">
        <f t="shared" ref="AE155:BB155" si="58">(AE149+AE131)/2</f>
        <v>0</v>
      </c>
      <c r="AF155" s="134">
        <f t="shared" si="58"/>
        <v>0</v>
      </c>
      <c r="AG155" s="134">
        <f t="shared" si="58"/>
        <v>0</v>
      </c>
      <c r="AH155" s="134">
        <f t="shared" si="58"/>
        <v>0</v>
      </c>
      <c r="AI155" s="134">
        <f t="shared" si="58"/>
        <v>0</v>
      </c>
      <c r="AJ155" s="1403">
        <f t="shared" si="58"/>
        <v>0</v>
      </c>
      <c r="AK155" s="1403">
        <f t="shared" si="58"/>
        <v>0</v>
      </c>
      <c r="AL155" s="1403">
        <f t="shared" si="58"/>
        <v>0</v>
      </c>
      <c r="AM155" s="1403">
        <f t="shared" si="58"/>
        <v>0</v>
      </c>
      <c r="AN155" s="1403">
        <f t="shared" si="58"/>
        <v>0</v>
      </c>
      <c r="AO155" s="1403">
        <f t="shared" si="58"/>
        <v>0</v>
      </c>
      <c r="AP155" s="134">
        <f t="shared" si="58"/>
        <v>0</v>
      </c>
      <c r="AQ155" s="134">
        <f t="shared" si="58"/>
        <v>0</v>
      </c>
      <c r="AR155" s="134">
        <f t="shared" si="58"/>
        <v>0</v>
      </c>
      <c r="AS155" s="134">
        <f t="shared" si="58"/>
        <v>0</v>
      </c>
      <c r="AT155" s="1403">
        <f t="shared" si="58"/>
        <v>0</v>
      </c>
      <c r="AU155" s="1403">
        <f t="shared" si="58"/>
        <v>0</v>
      </c>
      <c r="AV155" s="1403">
        <f t="shared" si="58"/>
        <v>0</v>
      </c>
      <c r="AW155" s="1403">
        <f t="shared" si="58"/>
        <v>0</v>
      </c>
      <c r="AX155" s="1403">
        <f t="shared" si="58"/>
        <v>0</v>
      </c>
      <c r="AY155" s="1403">
        <f t="shared" si="58"/>
        <v>0</v>
      </c>
      <c r="AZ155" s="134">
        <f t="shared" si="58"/>
        <v>0</v>
      </c>
      <c r="BA155" s="134">
        <f t="shared" si="58"/>
        <v>0</v>
      </c>
      <c r="BB155" s="134">
        <f t="shared" si="58"/>
        <v>0</v>
      </c>
      <c r="BC155" s="119"/>
      <c r="BD155" s="1128"/>
      <c r="BE155" s="1128"/>
      <c r="BF155" s="943" t="s">
        <v>972</v>
      </c>
    </row>
    <row r="156" spans="1:58" s="448" customFormat="1" ht="21.75" customHeight="1" x14ac:dyDescent="0.15">
      <c r="B156" s="353"/>
      <c r="E156" s="593">
        <v>22.5</v>
      </c>
      <c r="F156" s="3" t="str" cm="1">
        <f t="array" aca="1" ref="F156" ca="1">OFFSET(E156,-1,1)</f>
        <v>2</v>
      </c>
      <c r="G156" s="23" t="s">
        <v>544</v>
      </c>
      <c r="T156" s="388" t="b" cm="1">
        <f t="array" ref="T156">T155</f>
        <v>1</v>
      </c>
      <c r="X156" s="2066"/>
      <c r="Z156" s="2067"/>
      <c r="AB156" s="130">
        <v>6</v>
      </c>
      <c r="AC156" s="131" t="s">
        <v>973</v>
      </c>
      <c r="AD156" s="130"/>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19"/>
      <c r="BF156" s="943" t="s">
        <v>974</v>
      </c>
    </row>
    <row r="157" spans="1:58" s="1334" customFormat="1" ht="14.25" customHeight="1" x14ac:dyDescent="0.15">
      <c r="A157" s="1128"/>
      <c r="B157" s="1111"/>
      <c r="C157" s="1128"/>
      <c r="D157" s="1128"/>
      <c r="E157" s="552">
        <v>15</v>
      </c>
      <c r="F157" s="3" t="str" cm="1">
        <f t="array" aca="1" ref="F157" ca="1">OFFSET(E157,-1,1)</f>
        <v>2</v>
      </c>
      <c r="G157" s="23" t="s">
        <v>699</v>
      </c>
      <c r="H157" s="1128"/>
      <c r="I157" s="1128"/>
      <c r="J157" s="1128"/>
      <c r="K157" s="1128"/>
      <c r="L157" s="1128"/>
      <c r="M157" s="1128"/>
      <c r="N157" s="1128"/>
      <c r="O157" s="1128"/>
      <c r="P157" s="1128"/>
      <c r="Q157" s="1128"/>
      <c r="R157" s="1128"/>
      <c r="S157" s="1128"/>
      <c r="T157" s="388" t="b" cm="1">
        <f t="array" ref="T157">T156</f>
        <v>1</v>
      </c>
      <c r="U157" s="1128"/>
      <c r="V157" s="1128"/>
      <c r="W157" s="1128"/>
      <c r="X157" s="2066"/>
      <c r="Y157" s="1128"/>
      <c r="Z157" s="2067"/>
      <c r="AA157" s="1128"/>
      <c r="AB157" s="7" t="s">
        <v>595</v>
      </c>
      <c r="AC157" s="133" t="s">
        <v>911</v>
      </c>
      <c r="AD157" s="7" t="s">
        <v>490</v>
      </c>
      <c r="AE157" s="134">
        <f t="shared" ref="AE157:BB157" si="59">IF(AE151=0,0,AE163/AE151*100)</f>
        <v>0</v>
      </c>
      <c r="AF157" s="134">
        <f t="shared" si="59"/>
        <v>0</v>
      </c>
      <c r="AG157" s="134">
        <f t="shared" si="59"/>
        <v>0</v>
      </c>
      <c r="AH157" s="134">
        <f t="shared" si="59"/>
        <v>0</v>
      </c>
      <c r="AI157" s="134">
        <f t="shared" si="59"/>
        <v>0</v>
      </c>
      <c r="AJ157" s="1403">
        <f t="shared" si="59"/>
        <v>0</v>
      </c>
      <c r="AK157" s="1403">
        <f t="shared" si="59"/>
        <v>0</v>
      </c>
      <c r="AL157" s="1403">
        <f t="shared" si="59"/>
        <v>0</v>
      </c>
      <c r="AM157" s="1403">
        <f t="shared" si="59"/>
        <v>0</v>
      </c>
      <c r="AN157" s="1403">
        <f t="shared" si="59"/>
        <v>0</v>
      </c>
      <c r="AO157" s="1403">
        <f t="shared" si="59"/>
        <v>0</v>
      </c>
      <c r="AP157" s="134">
        <f t="shared" si="59"/>
        <v>0</v>
      </c>
      <c r="AQ157" s="134">
        <f t="shared" si="59"/>
        <v>0</v>
      </c>
      <c r="AR157" s="134">
        <f t="shared" si="59"/>
        <v>0</v>
      </c>
      <c r="AS157" s="134">
        <f t="shared" si="59"/>
        <v>0</v>
      </c>
      <c r="AT157" s="1403">
        <f t="shared" si="59"/>
        <v>0</v>
      </c>
      <c r="AU157" s="1403">
        <f t="shared" si="59"/>
        <v>0</v>
      </c>
      <c r="AV157" s="1403">
        <f t="shared" si="59"/>
        <v>0</v>
      </c>
      <c r="AW157" s="1403">
        <f t="shared" si="59"/>
        <v>0</v>
      </c>
      <c r="AX157" s="1403">
        <f t="shared" si="59"/>
        <v>0</v>
      </c>
      <c r="AY157" s="1403">
        <f t="shared" si="59"/>
        <v>0</v>
      </c>
      <c r="AZ157" s="134">
        <f t="shared" si="59"/>
        <v>0</v>
      </c>
      <c r="BA157" s="134">
        <f t="shared" si="59"/>
        <v>0</v>
      </c>
      <c r="BB157" s="134">
        <f t="shared" si="59"/>
        <v>0</v>
      </c>
      <c r="BC157" s="119"/>
      <c r="BD157" s="1128"/>
      <c r="BE157" s="1128"/>
      <c r="BF157" s="943" t="s">
        <v>975</v>
      </c>
    </row>
    <row r="158" spans="1:58" s="1334" customFormat="1" ht="14.25" customHeight="1" x14ac:dyDescent="0.15">
      <c r="A158" s="1128"/>
      <c r="B158" s="1111"/>
      <c r="C158" s="1128"/>
      <c r="D158" s="1128"/>
      <c r="E158" s="552">
        <v>15</v>
      </c>
      <c r="F158" s="3" t="str" cm="1">
        <f t="array" aca="1" ref="F158" ca="1">OFFSET(E158,-1,1)</f>
        <v>2</v>
      </c>
      <c r="G158" s="23" t="s">
        <v>702</v>
      </c>
      <c r="H158" s="1128"/>
      <c r="I158" s="1128"/>
      <c r="J158" s="1128"/>
      <c r="K158" s="1128"/>
      <c r="L158" s="1128"/>
      <c r="M158" s="1128"/>
      <c r="N158" s="1128"/>
      <c r="O158" s="1128"/>
      <c r="P158" s="1128"/>
      <c r="Q158" s="1128"/>
      <c r="R158" s="1128"/>
      <c r="S158" s="1128"/>
      <c r="T158" s="388" t="b" cm="1">
        <f t="array" ref="T158">T157</f>
        <v>1</v>
      </c>
      <c r="U158" s="1128"/>
      <c r="V158" s="1128"/>
      <c r="W158" s="1128"/>
      <c r="X158" s="2066"/>
      <c r="Y158" s="1128"/>
      <c r="Z158" s="2067"/>
      <c r="AA158" s="1128"/>
      <c r="AB158" s="7" t="s">
        <v>599</v>
      </c>
      <c r="AC158" s="133" t="s">
        <v>914</v>
      </c>
      <c r="AD158" s="7" t="s">
        <v>490</v>
      </c>
      <c r="AE158" s="134">
        <f t="shared" ref="AE158:BB158" si="60">IF(AE152=0,0,AE164/AE152*100)</f>
        <v>0</v>
      </c>
      <c r="AF158" s="134">
        <f t="shared" si="60"/>
        <v>0</v>
      </c>
      <c r="AG158" s="134">
        <f t="shared" si="60"/>
        <v>0</v>
      </c>
      <c r="AH158" s="134">
        <f t="shared" si="60"/>
        <v>0</v>
      </c>
      <c r="AI158" s="134">
        <f t="shared" si="60"/>
        <v>0</v>
      </c>
      <c r="AJ158" s="1403">
        <f t="shared" si="60"/>
        <v>0</v>
      </c>
      <c r="AK158" s="1403">
        <f t="shared" si="60"/>
        <v>0</v>
      </c>
      <c r="AL158" s="1403">
        <f t="shared" si="60"/>
        <v>0</v>
      </c>
      <c r="AM158" s="1403">
        <f t="shared" si="60"/>
        <v>0</v>
      </c>
      <c r="AN158" s="1403">
        <f t="shared" si="60"/>
        <v>0</v>
      </c>
      <c r="AO158" s="1403">
        <f t="shared" si="60"/>
        <v>0</v>
      </c>
      <c r="AP158" s="134">
        <f t="shared" si="60"/>
        <v>0</v>
      </c>
      <c r="AQ158" s="134">
        <f t="shared" si="60"/>
        <v>0</v>
      </c>
      <c r="AR158" s="134">
        <f t="shared" si="60"/>
        <v>0</v>
      </c>
      <c r="AS158" s="134">
        <f t="shared" si="60"/>
        <v>0</v>
      </c>
      <c r="AT158" s="1403">
        <f t="shared" si="60"/>
        <v>0</v>
      </c>
      <c r="AU158" s="1403">
        <f t="shared" si="60"/>
        <v>0</v>
      </c>
      <c r="AV158" s="1403">
        <f t="shared" si="60"/>
        <v>0</v>
      </c>
      <c r="AW158" s="1403">
        <f t="shared" si="60"/>
        <v>0</v>
      </c>
      <c r="AX158" s="1403">
        <f t="shared" si="60"/>
        <v>0</v>
      </c>
      <c r="AY158" s="1403">
        <f t="shared" si="60"/>
        <v>0</v>
      </c>
      <c r="AZ158" s="134">
        <f t="shared" si="60"/>
        <v>0</v>
      </c>
      <c r="BA158" s="134">
        <f t="shared" si="60"/>
        <v>0</v>
      </c>
      <c r="BB158" s="134">
        <f t="shared" si="60"/>
        <v>0</v>
      </c>
      <c r="BC158" s="119"/>
      <c r="BD158" s="1128"/>
      <c r="BE158" s="1128"/>
      <c r="BF158" s="943" t="s">
        <v>976</v>
      </c>
    </row>
    <row r="159" spans="1:58" s="1334" customFormat="1" ht="14.25" customHeight="1" x14ac:dyDescent="0.15">
      <c r="A159" s="1128"/>
      <c r="B159" s="1111"/>
      <c r="C159" s="1128"/>
      <c r="D159" s="1128"/>
      <c r="E159" s="552">
        <v>15</v>
      </c>
      <c r="F159" s="3" t="str" cm="1">
        <f t="array" aca="1" ref="F159" ca="1">OFFSET(E159,-1,1)</f>
        <v>2</v>
      </c>
      <c r="G159" s="23" t="s">
        <v>736</v>
      </c>
      <c r="H159" s="1128"/>
      <c r="I159" s="1128"/>
      <c r="J159" s="1128"/>
      <c r="K159" s="1128"/>
      <c r="L159" s="1128"/>
      <c r="M159" s="1128"/>
      <c r="N159" s="1128"/>
      <c r="O159" s="1128"/>
      <c r="P159" s="1128"/>
      <c r="Q159" s="1128"/>
      <c r="R159" s="1128"/>
      <c r="S159" s="1128"/>
      <c r="T159" s="388" t="b" cm="1">
        <f t="array" ref="T159">T158</f>
        <v>1</v>
      </c>
      <c r="U159" s="1128"/>
      <c r="V159" s="1128"/>
      <c r="W159" s="1128"/>
      <c r="X159" s="2066"/>
      <c r="Y159" s="1128"/>
      <c r="Z159" s="2067"/>
      <c r="AA159" s="1128"/>
      <c r="AB159" s="7" t="s">
        <v>603</v>
      </c>
      <c r="AC159" s="133" t="s">
        <v>917</v>
      </c>
      <c r="AD159" s="7" t="s">
        <v>490</v>
      </c>
      <c r="AE159" s="134">
        <f t="shared" ref="AE159:BB159" si="61">IF(AE153=0,0,AE165/AE153*100)</f>
        <v>0</v>
      </c>
      <c r="AF159" s="134">
        <f t="shared" si="61"/>
        <v>0</v>
      </c>
      <c r="AG159" s="134">
        <f t="shared" si="61"/>
        <v>0</v>
      </c>
      <c r="AH159" s="134">
        <f t="shared" si="61"/>
        <v>0</v>
      </c>
      <c r="AI159" s="134">
        <f t="shared" si="61"/>
        <v>0</v>
      </c>
      <c r="AJ159" s="1403">
        <f t="shared" si="61"/>
        <v>0</v>
      </c>
      <c r="AK159" s="1403">
        <f t="shared" si="61"/>
        <v>0</v>
      </c>
      <c r="AL159" s="1403">
        <f t="shared" si="61"/>
        <v>0</v>
      </c>
      <c r="AM159" s="1403">
        <f t="shared" si="61"/>
        <v>0</v>
      </c>
      <c r="AN159" s="1403">
        <f t="shared" si="61"/>
        <v>0</v>
      </c>
      <c r="AO159" s="1403">
        <f t="shared" si="61"/>
        <v>0</v>
      </c>
      <c r="AP159" s="134">
        <f t="shared" si="61"/>
        <v>0</v>
      </c>
      <c r="AQ159" s="134">
        <f t="shared" si="61"/>
        <v>0</v>
      </c>
      <c r="AR159" s="134">
        <f t="shared" si="61"/>
        <v>0</v>
      </c>
      <c r="AS159" s="134">
        <f t="shared" si="61"/>
        <v>0</v>
      </c>
      <c r="AT159" s="1403">
        <f t="shared" si="61"/>
        <v>0</v>
      </c>
      <c r="AU159" s="1403">
        <f t="shared" si="61"/>
        <v>0</v>
      </c>
      <c r="AV159" s="1403">
        <f t="shared" si="61"/>
        <v>0</v>
      </c>
      <c r="AW159" s="1403">
        <f t="shared" si="61"/>
        <v>0</v>
      </c>
      <c r="AX159" s="1403">
        <f t="shared" si="61"/>
        <v>0</v>
      </c>
      <c r="AY159" s="1403">
        <f t="shared" si="61"/>
        <v>0</v>
      </c>
      <c r="AZ159" s="134">
        <f t="shared" si="61"/>
        <v>0</v>
      </c>
      <c r="BA159" s="134">
        <f t="shared" si="61"/>
        <v>0</v>
      </c>
      <c r="BB159" s="134">
        <f t="shared" si="61"/>
        <v>0</v>
      </c>
      <c r="BC159" s="119"/>
      <c r="BD159" s="1128"/>
      <c r="BE159" s="1128"/>
      <c r="BF159" s="943" t="s">
        <v>977</v>
      </c>
    </row>
    <row r="160" spans="1:58" s="1334" customFormat="1" ht="14.25" customHeight="1" x14ac:dyDescent="0.15">
      <c r="A160" s="1128"/>
      <c r="B160" s="1111"/>
      <c r="C160" s="1128"/>
      <c r="D160" s="1128"/>
      <c r="E160" s="552">
        <v>15</v>
      </c>
      <c r="F160" s="3" t="str" cm="1">
        <f t="array" aca="1" ref="F160" ca="1">OFFSET(E160,-1,1)</f>
        <v>2</v>
      </c>
      <c r="G160" s="23" t="s">
        <v>745</v>
      </c>
      <c r="H160" s="1128"/>
      <c r="I160" s="1128"/>
      <c r="J160" s="1128"/>
      <c r="K160" s="1128"/>
      <c r="L160" s="1128"/>
      <c r="M160" s="1128"/>
      <c r="N160" s="1128"/>
      <c r="O160" s="1128"/>
      <c r="P160" s="1128"/>
      <c r="Q160" s="1128"/>
      <c r="R160" s="1128"/>
      <c r="S160" s="1128"/>
      <c r="T160" s="388" t="b" cm="1">
        <f t="array" ref="T160">T159</f>
        <v>1</v>
      </c>
      <c r="U160" s="1128"/>
      <c r="V160" s="1128"/>
      <c r="W160" s="1128"/>
      <c r="X160" s="2066"/>
      <c r="Y160" s="1128"/>
      <c r="Z160" s="2067"/>
      <c r="AA160" s="1128"/>
      <c r="AB160" s="7" t="s">
        <v>978</v>
      </c>
      <c r="AC160" s="133" t="s">
        <v>920</v>
      </c>
      <c r="AD160" s="7" t="s">
        <v>490</v>
      </c>
      <c r="AE160" s="134">
        <f t="shared" ref="AE160:BB160" si="62">IF(AE154=0,0,AE166/AE154*100)</f>
        <v>0</v>
      </c>
      <c r="AF160" s="134">
        <f t="shared" si="62"/>
        <v>0</v>
      </c>
      <c r="AG160" s="134">
        <f t="shared" si="62"/>
        <v>0</v>
      </c>
      <c r="AH160" s="134">
        <f t="shared" si="62"/>
        <v>0</v>
      </c>
      <c r="AI160" s="134">
        <f t="shared" si="62"/>
        <v>0</v>
      </c>
      <c r="AJ160" s="1403">
        <f t="shared" si="62"/>
        <v>0</v>
      </c>
      <c r="AK160" s="1403">
        <f t="shared" si="62"/>
        <v>0</v>
      </c>
      <c r="AL160" s="1403">
        <f t="shared" si="62"/>
        <v>0</v>
      </c>
      <c r="AM160" s="1403">
        <f t="shared" si="62"/>
        <v>0</v>
      </c>
      <c r="AN160" s="1403">
        <f t="shared" si="62"/>
        <v>0</v>
      </c>
      <c r="AO160" s="1403">
        <f t="shared" si="62"/>
        <v>0</v>
      </c>
      <c r="AP160" s="134">
        <f t="shared" si="62"/>
        <v>0</v>
      </c>
      <c r="AQ160" s="134">
        <f t="shared" si="62"/>
        <v>0</v>
      </c>
      <c r="AR160" s="134">
        <f t="shared" si="62"/>
        <v>0</v>
      </c>
      <c r="AS160" s="134">
        <f t="shared" si="62"/>
        <v>0</v>
      </c>
      <c r="AT160" s="1403">
        <f t="shared" si="62"/>
        <v>0</v>
      </c>
      <c r="AU160" s="1403">
        <f t="shared" si="62"/>
        <v>0</v>
      </c>
      <c r="AV160" s="1403">
        <f t="shared" si="62"/>
        <v>0</v>
      </c>
      <c r="AW160" s="1403">
        <f t="shared" si="62"/>
        <v>0</v>
      </c>
      <c r="AX160" s="1403">
        <f t="shared" si="62"/>
        <v>0</v>
      </c>
      <c r="AY160" s="1403">
        <f t="shared" si="62"/>
        <v>0</v>
      </c>
      <c r="AZ160" s="134">
        <f t="shared" si="62"/>
        <v>0</v>
      </c>
      <c r="BA160" s="134">
        <f t="shared" si="62"/>
        <v>0</v>
      </c>
      <c r="BB160" s="134">
        <f t="shared" si="62"/>
        <v>0</v>
      </c>
      <c r="BC160" s="119"/>
      <c r="BD160" s="1128"/>
      <c r="BE160" s="1128"/>
      <c r="BF160" s="943" t="s">
        <v>979</v>
      </c>
    </row>
    <row r="161" spans="1:58" s="1334" customFormat="1" ht="14.25" customHeight="1" x14ac:dyDescent="0.15">
      <c r="A161" s="1128"/>
      <c r="B161" s="1111"/>
      <c r="C161" s="1128"/>
      <c r="D161" s="1128"/>
      <c r="E161" s="552">
        <v>15</v>
      </c>
      <c r="F161" s="3" t="str" cm="1">
        <f t="array" aca="1" ref="F161" ca="1">OFFSET(E161,-1,1)</f>
        <v>2</v>
      </c>
      <c r="G161" s="23" t="s">
        <v>755</v>
      </c>
      <c r="H161" s="1128"/>
      <c r="I161" s="1128"/>
      <c r="J161" s="1128"/>
      <c r="K161" s="1128"/>
      <c r="L161" s="1128"/>
      <c r="M161" s="1128"/>
      <c r="N161" s="1128"/>
      <c r="O161" s="1128"/>
      <c r="P161" s="1128"/>
      <c r="Q161" s="1128"/>
      <c r="R161" s="1128"/>
      <c r="S161" s="1128"/>
      <c r="T161" s="388" t="b" cm="1">
        <f t="array" ref="T161">T160</f>
        <v>1</v>
      </c>
      <c r="U161" s="1128"/>
      <c r="V161" s="1128"/>
      <c r="W161" s="1128"/>
      <c r="X161" s="2066"/>
      <c r="Y161" s="1128"/>
      <c r="Z161" s="2067"/>
      <c r="AA161" s="1128"/>
      <c r="AB161" s="7" t="s">
        <v>980</v>
      </c>
      <c r="AC161" s="133" t="s">
        <v>924</v>
      </c>
      <c r="AD161" s="7" t="s">
        <v>490</v>
      </c>
      <c r="AE161" s="134">
        <f t="shared" ref="AE161:BB161" si="63">IF(AE155=0,0,AE167/AE155*100)</f>
        <v>0</v>
      </c>
      <c r="AF161" s="134">
        <f t="shared" si="63"/>
        <v>0</v>
      </c>
      <c r="AG161" s="134">
        <f t="shared" si="63"/>
        <v>0</v>
      </c>
      <c r="AH161" s="134">
        <f t="shared" si="63"/>
        <v>0</v>
      </c>
      <c r="AI161" s="134">
        <f t="shared" si="63"/>
        <v>0</v>
      </c>
      <c r="AJ161" s="1403">
        <f t="shared" si="63"/>
        <v>0</v>
      </c>
      <c r="AK161" s="1403">
        <f t="shared" si="63"/>
        <v>0</v>
      </c>
      <c r="AL161" s="1403">
        <f t="shared" si="63"/>
        <v>0</v>
      </c>
      <c r="AM161" s="1403">
        <f t="shared" si="63"/>
        <v>0</v>
      </c>
      <c r="AN161" s="1403">
        <f t="shared" si="63"/>
        <v>0</v>
      </c>
      <c r="AO161" s="1403">
        <f t="shared" si="63"/>
        <v>0</v>
      </c>
      <c r="AP161" s="134">
        <f t="shared" si="63"/>
        <v>0</v>
      </c>
      <c r="AQ161" s="134">
        <f t="shared" si="63"/>
        <v>0</v>
      </c>
      <c r="AR161" s="134">
        <f t="shared" si="63"/>
        <v>0</v>
      </c>
      <c r="AS161" s="134">
        <f t="shared" si="63"/>
        <v>0</v>
      </c>
      <c r="AT161" s="1403">
        <f t="shared" si="63"/>
        <v>0</v>
      </c>
      <c r="AU161" s="1403">
        <f t="shared" si="63"/>
        <v>0</v>
      </c>
      <c r="AV161" s="1403">
        <f t="shared" si="63"/>
        <v>0</v>
      </c>
      <c r="AW161" s="1403">
        <f t="shared" si="63"/>
        <v>0</v>
      </c>
      <c r="AX161" s="1403">
        <f t="shared" si="63"/>
        <v>0</v>
      </c>
      <c r="AY161" s="1403">
        <f t="shared" si="63"/>
        <v>0</v>
      </c>
      <c r="AZ161" s="134">
        <f t="shared" si="63"/>
        <v>0</v>
      </c>
      <c r="BA161" s="134">
        <f t="shared" si="63"/>
        <v>0</v>
      </c>
      <c r="BB161" s="134">
        <f t="shared" si="63"/>
        <v>0</v>
      </c>
      <c r="BC161" s="119"/>
      <c r="BD161" s="1128"/>
      <c r="BE161" s="1128"/>
      <c r="BF161" s="943" t="s">
        <v>981</v>
      </c>
    </row>
    <row r="162" spans="1:58" s="448" customFormat="1" ht="14.65" customHeight="1" x14ac:dyDescent="0.15">
      <c r="B162" s="353"/>
      <c r="E162" s="552">
        <v>15</v>
      </c>
      <c r="F162" s="3" t="str" cm="1">
        <f t="array" aca="1" ref="F162" ca="1">OFFSET(E162,-1,1)</f>
        <v>2</v>
      </c>
      <c r="G162" s="23" t="s">
        <v>547</v>
      </c>
      <c r="K162" s="43" t="str">
        <f ca="1">F162&amp;"komm"</f>
        <v>2komm</v>
      </c>
      <c r="L162" s="832" cm="1">
        <f t="array" ref="L162">BC162</f>
        <v>0</v>
      </c>
      <c r="T162" s="388" t="b" cm="1">
        <f t="array" ref="T162">T161</f>
        <v>1</v>
      </c>
      <c r="X162" s="2066"/>
      <c r="Z162" s="2067"/>
      <c r="AB162" s="130">
        <v>7</v>
      </c>
      <c r="AC162" s="131" t="s">
        <v>982</v>
      </c>
      <c r="AD162" s="8" t="s">
        <v>831</v>
      </c>
      <c r="AE162" s="1105">
        <f>SUM(AE163:AE167)</f>
        <v>0</v>
      </c>
      <c r="AF162" s="1105">
        <f>SUM(AF163:AF167)</f>
        <v>3343.79</v>
      </c>
      <c r="AG162" s="1105">
        <f>SUM(AG163:AG167)</f>
        <v>0</v>
      </c>
      <c r="AH162" s="1105">
        <v>440.67124999999999</v>
      </c>
      <c r="AI162" s="1105">
        <f t="shared" ref="AI162:BB162" si="64">SUM(AI163:AI167)</f>
        <v>3356.58</v>
      </c>
      <c r="AJ162" s="1402">
        <f t="shared" si="64"/>
        <v>0</v>
      </c>
      <c r="AK162" s="1402">
        <f t="shared" si="64"/>
        <v>0</v>
      </c>
      <c r="AL162" s="1402">
        <f t="shared" si="64"/>
        <v>0</v>
      </c>
      <c r="AM162" s="1402">
        <f t="shared" si="64"/>
        <v>0</v>
      </c>
      <c r="AN162" s="1402">
        <f t="shared" si="64"/>
        <v>0</v>
      </c>
      <c r="AO162" s="1402">
        <f t="shared" si="64"/>
        <v>0</v>
      </c>
      <c r="AP162" s="1105">
        <f t="shared" si="64"/>
        <v>0</v>
      </c>
      <c r="AQ162" s="1105">
        <f t="shared" si="64"/>
        <v>0</v>
      </c>
      <c r="AR162" s="1105">
        <f t="shared" si="64"/>
        <v>0</v>
      </c>
      <c r="AS162" s="1105">
        <f t="shared" si="64"/>
        <v>708.72</v>
      </c>
      <c r="AT162" s="1402">
        <f t="shared" si="64"/>
        <v>0</v>
      </c>
      <c r="AU162" s="1402">
        <f t="shared" si="64"/>
        <v>0</v>
      </c>
      <c r="AV162" s="1402">
        <f t="shared" si="64"/>
        <v>0</v>
      </c>
      <c r="AW162" s="1402">
        <f t="shared" si="64"/>
        <v>0</v>
      </c>
      <c r="AX162" s="1402">
        <f t="shared" si="64"/>
        <v>0</v>
      </c>
      <c r="AY162" s="1402">
        <f t="shared" si="64"/>
        <v>0</v>
      </c>
      <c r="AZ162" s="1105">
        <f t="shared" si="64"/>
        <v>0</v>
      </c>
      <c r="BA162" s="1105">
        <f t="shared" si="64"/>
        <v>0</v>
      </c>
      <c r="BB162" s="1105">
        <f t="shared" si="64"/>
        <v>0</v>
      </c>
      <c r="BC162" s="119"/>
      <c r="BF162" s="943" t="s">
        <v>983</v>
      </c>
    </row>
    <row r="163" spans="1:58" s="1334" customFormat="1" ht="14.25" customHeight="1" x14ac:dyDescent="0.15">
      <c r="A163" s="1128"/>
      <c r="B163" s="1111"/>
      <c r="C163" s="1128"/>
      <c r="D163" s="1128"/>
      <c r="E163" s="552">
        <v>15</v>
      </c>
      <c r="F163" s="3" t="str" cm="1">
        <f t="array" aca="1" ref="F163" ca="1">OFFSET(E163,-1,1)</f>
        <v>2</v>
      </c>
      <c r="G163" s="23" t="s">
        <v>706</v>
      </c>
      <c r="H163" s="1128"/>
      <c r="I163" s="1128"/>
      <c r="J163" s="1128"/>
      <c r="K163" s="1128"/>
      <c r="L163" s="1128"/>
      <c r="M163" s="1128"/>
      <c r="N163" s="1128"/>
      <c r="O163" s="1128"/>
      <c r="P163" s="1128"/>
      <c r="Q163" s="1128"/>
      <c r="R163" s="1128"/>
      <c r="S163" s="1128"/>
      <c r="T163" s="388" t="b" cm="1">
        <f t="array" ref="T163">T162</f>
        <v>1</v>
      </c>
      <c r="U163" s="1128"/>
      <c r="V163" s="1128"/>
      <c r="W163" s="1128"/>
      <c r="X163" s="2066"/>
      <c r="Y163" s="1128"/>
      <c r="Z163" s="2067"/>
      <c r="AA163" s="1128"/>
      <c r="AB163" s="7" t="s">
        <v>610</v>
      </c>
      <c r="AC163" s="133" t="s">
        <v>911</v>
      </c>
      <c r="AD163" s="8" t="s">
        <v>831</v>
      </c>
      <c r="AE163" s="134"/>
      <c r="AF163" s="134"/>
      <c r="AG163" s="134"/>
      <c r="AH163" s="134"/>
      <c r="AI163" s="134"/>
      <c r="AJ163" s="1403"/>
      <c r="AK163" s="1403"/>
      <c r="AL163" s="1403"/>
      <c r="AM163" s="1403"/>
      <c r="AN163" s="1403"/>
      <c r="AO163" s="1403"/>
      <c r="AP163" s="134"/>
      <c r="AQ163" s="134"/>
      <c r="AR163" s="134"/>
      <c r="AS163" s="134"/>
      <c r="AT163" s="1403"/>
      <c r="AU163" s="1403"/>
      <c r="AV163" s="1403"/>
      <c r="AW163" s="1403"/>
      <c r="AX163" s="1403"/>
      <c r="AY163" s="1403"/>
      <c r="AZ163" s="134"/>
      <c r="BA163" s="134"/>
      <c r="BB163" s="134"/>
      <c r="BC163" s="119"/>
      <c r="BD163" s="1128"/>
      <c r="BE163" s="1128"/>
      <c r="BF163" s="943" t="s">
        <v>984</v>
      </c>
    </row>
    <row r="164" spans="1:58" s="1334" customFormat="1" ht="14.25" customHeight="1" x14ac:dyDescent="0.15">
      <c r="A164" s="1128"/>
      <c r="B164" s="1111"/>
      <c r="C164" s="1128"/>
      <c r="D164" s="1128"/>
      <c r="E164" s="552">
        <v>15</v>
      </c>
      <c r="F164" s="3" t="str" cm="1">
        <f t="array" aca="1" ref="F164" ca="1">OFFSET(E164,-1,1)</f>
        <v>2</v>
      </c>
      <c r="G164" s="23" t="s">
        <v>709</v>
      </c>
      <c r="H164" s="1128"/>
      <c r="I164" s="1128"/>
      <c r="J164" s="1128"/>
      <c r="K164" s="1128"/>
      <c r="L164" s="1128"/>
      <c r="M164" s="1128"/>
      <c r="N164" s="1128"/>
      <c r="O164" s="1128"/>
      <c r="P164" s="1128"/>
      <c r="Q164" s="1128"/>
      <c r="R164" s="1128"/>
      <c r="S164" s="1128"/>
      <c r="T164" s="388" t="b" cm="1">
        <f t="array" ref="T164">T163</f>
        <v>1</v>
      </c>
      <c r="U164" s="1128"/>
      <c r="V164" s="1128"/>
      <c r="W164" s="1128"/>
      <c r="X164" s="2066"/>
      <c r="Y164" s="1128"/>
      <c r="Z164" s="2067"/>
      <c r="AA164" s="1128"/>
      <c r="AB164" s="7" t="s">
        <v>985</v>
      </c>
      <c r="AC164" s="133" t="s">
        <v>914</v>
      </c>
      <c r="AD164" s="8" t="s">
        <v>831</v>
      </c>
      <c r="AE164" s="134"/>
      <c r="AF164" s="134"/>
      <c r="AG164" s="134"/>
      <c r="AH164" s="134"/>
      <c r="AI164" s="134"/>
      <c r="AJ164" s="1403"/>
      <c r="AK164" s="1403"/>
      <c r="AL164" s="1403"/>
      <c r="AM164" s="1403"/>
      <c r="AN164" s="1403"/>
      <c r="AO164" s="1403"/>
      <c r="AP164" s="134"/>
      <c r="AQ164" s="134"/>
      <c r="AR164" s="134"/>
      <c r="AS164" s="134"/>
      <c r="AT164" s="1403"/>
      <c r="AU164" s="1403"/>
      <c r="AV164" s="1403"/>
      <c r="AW164" s="1403"/>
      <c r="AX164" s="1403"/>
      <c r="AY164" s="1403"/>
      <c r="AZ164" s="134"/>
      <c r="BA164" s="134"/>
      <c r="BB164" s="134"/>
      <c r="BC164" s="119"/>
      <c r="BD164" s="1128"/>
      <c r="BE164" s="1128"/>
      <c r="BF164" s="943" t="s">
        <v>986</v>
      </c>
    </row>
    <row r="165" spans="1:58" s="1334" customFormat="1" ht="14.25" customHeight="1" x14ac:dyDescent="0.15">
      <c r="A165" s="1128"/>
      <c r="B165" s="1111"/>
      <c r="C165" s="1128"/>
      <c r="D165" s="1128"/>
      <c r="E165" s="552">
        <v>15</v>
      </c>
      <c r="F165" s="3" t="str" cm="1">
        <f t="array" aca="1" ref="F165" ca="1">OFFSET(E165,-1,1)</f>
        <v>2</v>
      </c>
      <c r="G165" s="23" t="s">
        <v>987</v>
      </c>
      <c r="H165" s="1128"/>
      <c r="I165" s="1128"/>
      <c r="J165" s="1128"/>
      <c r="K165" s="1128"/>
      <c r="L165" s="1128"/>
      <c r="M165" s="1128"/>
      <c r="N165" s="1128"/>
      <c r="O165" s="1128"/>
      <c r="P165" s="1128"/>
      <c r="Q165" s="1128"/>
      <c r="R165" s="1128"/>
      <c r="S165" s="1128"/>
      <c r="T165" s="388" t="b" cm="1">
        <f t="array" ref="T165">T164</f>
        <v>1</v>
      </c>
      <c r="U165" s="1128"/>
      <c r="V165" s="1128"/>
      <c r="W165" s="1128"/>
      <c r="X165" s="2066"/>
      <c r="Y165" s="1128"/>
      <c r="Z165" s="2067"/>
      <c r="AA165" s="1128"/>
      <c r="AB165" s="7" t="s">
        <v>988</v>
      </c>
      <c r="AC165" s="133" t="s">
        <v>917</v>
      </c>
      <c r="AD165" s="8" t="s">
        <v>831</v>
      </c>
      <c r="AE165" s="134"/>
      <c r="AF165" s="134"/>
      <c r="AG165" s="134"/>
      <c r="AH165" s="134"/>
      <c r="AI165" s="134"/>
      <c r="AJ165" s="1403"/>
      <c r="AK165" s="1403"/>
      <c r="AL165" s="1403"/>
      <c r="AM165" s="1403"/>
      <c r="AN165" s="1403"/>
      <c r="AO165" s="1403"/>
      <c r="AP165" s="134"/>
      <c r="AQ165" s="134"/>
      <c r="AR165" s="134"/>
      <c r="AS165" s="134"/>
      <c r="AT165" s="1403"/>
      <c r="AU165" s="1403"/>
      <c r="AV165" s="1403"/>
      <c r="AW165" s="1403"/>
      <c r="AX165" s="1403"/>
      <c r="AY165" s="1403"/>
      <c r="AZ165" s="134"/>
      <c r="BA165" s="134"/>
      <c r="BB165" s="134"/>
      <c r="BC165" s="119"/>
      <c r="BD165" s="1128"/>
      <c r="BE165" s="1128"/>
      <c r="BF165" s="943" t="s">
        <v>989</v>
      </c>
    </row>
    <row r="166" spans="1:58" s="1334" customFormat="1" ht="14.25" customHeight="1" x14ac:dyDescent="0.15">
      <c r="A166" s="1128"/>
      <c r="B166" s="1111"/>
      <c r="C166" s="1128"/>
      <c r="D166" s="1128"/>
      <c r="E166" s="552">
        <v>15</v>
      </c>
      <c r="F166" s="3" t="str" cm="1">
        <f t="array" aca="1" ref="F166" ca="1">OFFSET(E166,-1,1)</f>
        <v>2</v>
      </c>
      <c r="G166" s="23" t="s">
        <v>990</v>
      </c>
      <c r="H166" s="1128"/>
      <c r="I166" s="1128"/>
      <c r="J166" s="1128"/>
      <c r="K166" s="1128"/>
      <c r="L166" s="1128"/>
      <c r="M166" s="1128"/>
      <c r="N166" s="1128"/>
      <c r="O166" s="1128"/>
      <c r="P166" s="1128"/>
      <c r="Q166" s="1128"/>
      <c r="R166" s="1128"/>
      <c r="S166" s="1128"/>
      <c r="T166" s="388" t="b" cm="1">
        <f t="array" ref="T166">T165</f>
        <v>1</v>
      </c>
      <c r="U166" s="1128"/>
      <c r="V166" s="1128"/>
      <c r="W166" s="1128"/>
      <c r="X166" s="2066"/>
      <c r="Y166" s="1128"/>
      <c r="Z166" s="2067"/>
      <c r="AA166" s="1128"/>
      <c r="AB166" s="7" t="s">
        <v>991</v>
      </c>
      <c r="AC166" s="133" t="s">
        <v>920</v>
      </c>
      <c r="AD166" s="8" t="s">
        <v>831</v>
      </c>
      <c r="AE166" s="134"/>
      <c r="AF166" s="134"/>
      <c r="AG166" s="134"/>
      <c r="AH166" s="134"/>
      <c r="AI166" s="134"/>
      <c r="AJ166" s="1403"/>
      <c r="AK166" s="1403"/>
      <c r="AL166" s="1403"/>
      <c r="AM166" s="1403"/>
      <c r="AN166" s="1403"/>
      <c r="AO166" s="1403"/>
      <c r="AP166" s="134"/>
      <c r="AQ166" s="134"/>
      <c r="AR166" s="134"/>
      <c r="AS166" s="134"/>
      <c r="AT166" s="1403"/>
      <c r="AU166" s="1403"/>
      <c r="AV166" s="1403"/>
      <c r="AW166" s="1403"/>
      <c r="AX166" s="1403"/>
      <c r="AY166" s="1403"/>
      <c r="AZ166" s="134"/>
      <c r="BA166" s="134"/>
      <c r="BB166" s="134"/>
      <c r="BC166" s="119"/>
      <c r="BD166" s="1128"/>
      <c r="BE166" s="1128"/>
      <c r="BF166" s="943" t="s">
        <v>992</v>
      </c>
    </row>
    <row r="167" spans="1:58" s="1334" customFormat="1" ht="65.25" customHeight="1" x14ac:dyDescent="0.15">
      <c r="A167" s="1128"/>
      <c r="B167" s="1111"/>
      <c r="C167" s="1128"/>
      <c r="D167" s="1128"/>
      <c r="E167" s="552">
        <v>15</v>
      </c>
      <c r="F167" s="3" t="str" cm="1">
        <f t="array" aca="1" ref="F167" ca="1">OFFSET(E167,-1,1)</f>
        <v>2</v>
      </c>
      <c r="G167" s="23" t="s">
        <v>993</v>
      </c>
      <c r="H167" s="1128"/>
      <c r="I167" s="1128"/>
      <c r="J167" s="1128"/>
      <c r="K167" s="1128"/>
      <c r="L167" s="1128"/>
      <c r="M167" s="1128"/>
      <c r="N167" s="1128"/>
      <c r="O167" s="1128"/>
      <c r="P167" s="1128"/>
      <c r="Q167" s="1128"/>
      <c r="R167" s="1128"/>
      <c r="S167" s="1128"/>
      <c r="T167" s="388" t="b" cm="1">
        <f t="array" ref="T167">T166</f>
        <v>1</v>
      </c>
      <c r="U167" s="1128"/>
      <c r="V167" s="1128"/>
      <c r="W167" s="1128"/>
      <c r="X167" s="2066"/>
      <c r="Y167" s="1128"/>
      <c r="Z167" s="2067"/>
      <c r="AA167" s="1128"/>
      <c r="AB167" s="7" t="s">
        <v>994</v>
      </c>
      <c r="AC167" s="133" t="s">
        <v>924</v>
      </c>
      <c r="AD167" s="8" t="s">
        <v>831</v>
      </c>
      <c r="AE167" s="134">
        <v>0</v>
      </c>
      <c r="AF167" s="134">
        <v>3343.79</v>
      </c>
      <c r="AG167" s="134">
        <v>0</v>
      </c>
      <c r="AH167" s="134">
        <v>440.67124999999999</v>
      </c>
      <c r="AI167" s="134">
        <v>3356.58</v>
      </c>
      <c r="AJ167" s="1403"/>
      <c r="AK167" s="1403"/>
      <c r="AL167" s="1403"/>
      <c r="AM167" s="1403"/>
      <c r="AN167" s="1403"/>
      <c r="AO167" s="1403"/>
      <c r="AP167" s="134"/>
      <c r="AQ167" s="134"/>
      <c r="AR167" s="134"/>
      <c r="AS167" s="134">
        <v>708.72</v>
      </c>
      <c r="AT167" s="1403"/>
      <c r="AU167" s="1403"/>
      <c r="AV167" s="1403"/>
      <c r="AW167" s="1403"/>
      <c r="AX167" s="1403"/>
      <c r="AY167" s="1403"/>
      <c r="AZ167" s="134"/>
      <c r="BA167" s="134"/>
      <c r="BB167" s="134"/>
      <c r="BC167" s="119" t="s">
        <v>1007</v>
      </c>
      <c r="BD167" s="1128"/>
      <c r="BE167" s="1128"/>
      <c r="BF167" s="943" t="s">
        <v>995</v>
      </c>
    </row>
    <row r="168" spans="1:58" s="448" customFormat="1" ht="14.25" customHeight="1" x14ac:dyDescent="0.15">
      <c r="B168" s="353"/>
      <c r="E168" s="552">
        <v>15</v>
      </c>
      <c r="F168" s="3" t="str" cm="1">
        <f t="array" aca="1" ref="F168" ca="1">OFFSET(E168,-1,1)</f>
        <v>2</v>
      </c>
      <c r="G168" s="23" t="s">
        <v>591</v>
      </c>
      <c r="T168" s="388" t="b" cm="1">
        <f t="array" ref="T168">T167</f>
        <v>1</v>
      </c>
      <c r="X168" s="2066"/>
      <c r="Z168" s="2067"/>
      <c r="AB168" s="130">
        <v>8</v>
      </c>
      <c r="AC168" s="131" t="s">
        <v>996</v>
      </c>
      <c r="AD168" s="8" t="s">
        <v>831</v>
      </c>
      <c r="AE168" s="1105">
        <f t="shared" ref="AE168:BB168" si="65">SUM(AE169:AE173)</f>
        <v>0</v>
      </c>
      <c r="AF168" s="1105">
        <f t="shared" si="65"/>
        <v>0</v>
      </c>
      <c r="AG168" s="1105">
        <f t="shared" si="65"/>
        <v>0</v>
      </c>
      <c r="AH168" s="1105">
        <f t="shared" si="65"/>
        <v>0</v>
      </c>
      <c r="AI168" s="1105">
        <f t="shared" si="65"/>
        <v>0</v>
      </c>
      <c r="AJ168" s="1402">
        <f t="shared" si="65"/>
        <v>0</v>
      </c>
      <c r="AK168" s="1402">
        <f t="shared" si="65"/>
        <v>0</v>
      </c>
      <c r="AL168" s="1402">
        <f t="shared" si="65"/>
        <v>0</v>
      </c>
      <c r="AM168" s="1402">
        <f t="shared" si="65"/>
        <v>0</v>
      </c>
      <c r="AN168" s="1402">
        <f t="shared" si="65"/>
        <v>0</v>
      </c>
      <c r="AO168" s="1402">
        <f t="shared" si="65"/>
        <v>0</v>
      </c>
      <c r="AP168" s="1105">
        <f t="shared" si="65"/>
        <v>0</v>
      </c>
      <c r="AQ168" s="1105">
        <f t="shared" si="65"/>
        <v>0</v>
      </c>
      <c r="AR168" s="1105">
        <f t="shared" si="65"/>
        <v>0</v>
      </c>
      <c r="AS168" s="1105">
        <f t="shared" si="65"/>
        <v>0</v>
      </c>
      <c r="AT168" s="1402">
        <f t="shared" si="65"/>
        <v>0</v>
      </c>
      <c r="AU168" s="1402">
        <f t="shared" si="65"/>
        <v>0</v>
      </c>
      <c r="AV168" s="1402">
        <f t="shared" si="65"/>
        <v>0</v>
      </c>
      <c r="AW168" s="1402">
        <f t="shared" si="65"/>
        <v>0</v>
      </c>
      <c r="AX168" s="1402">
        <f t="shared" si="65"/>
        <v>0</v>
      </c>
      <c r="AY168" s="1402">
        <f t="shared" si="65"/>
        <v>0</v>
      </c>
      <c r="AZ168" s="1105">
        <f t="shared" si="65"/>
        <v>0</v>
      </c>
      <c r="BA168" s="1105">
        <f t="shared" si="65"/>
        <v>0</v>
      </c>
      <c r="BB168" s="1105">
        <f t="shared" si="65"/>
        <v>0</v>
      </c>
      <c r="BC168" s="119"/>
      <c r="BF168" s="943" t="s">
        <v>997</v>
      </c>
    </row>
    <row r="169" spans="1:58" s="1334" customFormat="1" ht="14.25" customHeight="1" x14ac:dyDescent="0.15">
      <c r="A169" s="1128"/>
      <c r="B169" s="1111"/>
      <c r="C169" s="1128"/>
      <c r="D169" s="1128"/>
      <c r="E169" s="552">
        <v>15</v>
      </c>
      <c r="F169" s="3" t="str" cm="1">
        <f t="array" aca="1" ref="F169" ca="1">OFFSET(E169,-1,1)</f>
        <v>2</v>
      </c>
      <c r="G169" s="23" t="s">
        <v>594</v>
      </c>
      <c r="H169" s="1128"/>
      <c r="I169" s="1128"/>
      <c r="J169" s="1128"/>
      <c r="K169" s="1128"/>
      <c r="L169" s="1128"/>
      <c r="M169" s="1128"/>
      <c r="N169" s="1128"/>
      <c r="O169" s="1128"/>
      <c r="P169" s="1128"/>
      <c r="Q169" s="1128"/>
      <c r="R169" s="1128"/>
      <c r="S169" s="1128"/>
      <c r="T169" s="388" t="b" cm="1">
        <f t="array" ref="T169">T168</f>
        <v>1</v>
      </c>
      <c r="U169" s="1128"/>
      <c r="V169" s="1128"/>
      <c r="W169" s="1128"/>
      <c r="X169" s="2066"/>
      <c r="Y169" s="1128"/>
      <c r="Z169" s="2067"/>
      <c r="AA169" s="1128"/>
      <c r="AB169" s="7" t="s">
        <v>617</v>
      </c>
      <c r="AC169" s="133" t="s">
        <v>911</v>
      </c>
      <c r="AD169" s="8" t="s">
        <v>831</v>
      </c>
      <c r="AE169" s="134"/>
      <c r="AF169" s="134"/>
      <c r="AG169" s="134"/>
      <c r="AH169" s="134"/>
      <c r="AI169" s="134"/>
      <c r="AJ169" s="1403"/>
      <c r="AK169" s="1403"/>
      <c r="AL169" s="1403"/>
      <c r="AM169" s="1403"/>
      <c r="AN169" s="1403"/>
      <c r="AO169" s="1403"/>
      <c r="AP169" s="134"/>
      <c r="AQ169" s="134"/>
      <c r="AR169" s="134"/>
      <c r="AS169" s="134"/>
      <c r="AT169" s="1403"/>
      <c r="AU169" s="1403"/>
      <c r="AV169" s="1403"/>
      <c r="AW169" s="1403"/>
      <c r="AX169" s="1403"/>
      <c r="AY169" s="1403"/>
      <c r="AZ169" s="134"/>
      <c r="BA169" s="134"/>
      <c r="BB169" s="134"/>
      <c r="BC169" s="119"/>
      <c r="BD169" s="1128"/>
      <c r="BE169" s="1128"/>
      <c r="BF169" s="943" t="s">
        <v>998</v>
      </c>
    </row>
    <row r="170" spans="1:58" s="1334" customFormat="1" ht="14.25" customHeight="1" x14ac:dyDescent="0.15">
      <c r="A170" s="1128"/>
      <c r="B170" s="1111"/>
      <c r="C170" s="1128"/>
      <c r="D170" s="1128"/>
      <c r="E170" s="552">
        <v>15</v>
      </c>
      <c r="F170" s="3" t="str" cm="1">
        <f t="array" aca="1" ref="F170" ca="1">OFFSET(E170,-1,1)</f>
        <v>2</v>
      </c>
      <c r="G170" s="23" t="s">
        <v>598</v>
      </c>
      <c r="H170" s="1128"/>
      <c r="I170" s="1128"/>
      <c r="J170" s="1128"/>
      <c r="K170" s="1128"/>
      <c r="L170" s="1128"/>
      <c r="M170" s="1128"/>
      <c r="N170" s="1128"/>
      <c r="O170" s="1128"/>
      <c r="P170" s="1128"/>
      <c r="Q170" s="1128"/>
      <c r="R170" s="1128"/>
      <c r="S170" s="1128"/>
      <c r="T170" s="388" t="b" cm="1">
        <f t="array" ref="T170">T169</f>
        <v>1</v>
      </c>
      <c r="U170" s="1128"/>
      <c r="V170" s="1128"/>
      <c r="W170" s="1128"/>
      <c r="X170" s="2066"/>
      <c r="Y170" s="1128"/>
      <c r="Z170" s="2067"/>
      <c r="AA170" s="1128"/>
      <c r="AB170" s="7" t="s">
        <v>634</v>
      </c>
      <c r="AC170" s="133" t="s">
        <v>914</v>
      </c>
      <c r="AD170" s="8" t="s">
        <v>831</v>
      </c>
      <c r="AE170" s="134"/>
      <c r="AF170" s="134"/>
      <c r="AG170" s="134"/>
      <c r="AH170" s="134"/>
      <c r="AI170" s="134"/>
      <c r="AJ170" s="1403"/>
      <c r="AK170" s="1403"/>
      <c r="AL170" s="1403"/>
      <c r="AM170" s="1403"/>
      <c r="AN170" s="1403"/>
      <c r="AO170" s="1403"/>
      <c r="AP170" s="134"/>
      <c r="AQ170" s="134"/>
      <c r="AR170" s="134"/>
      <c r="AS170" s="134"/>
      <c r="AT170" s="1403"/>
      <c r="AU170" s="1403"/>
      <c r="AV170" s="1403"/>
      <c r="AW170" s="1403"/>
      <c r="AX170" s="1403"/>
      <c r="AY170" s="1403"/>
      <c r="AZ170" s="134"/>
      <c r="BA170" s="134"/>
      <c r="BB170" s="134"/>
      <c r="BC170" s="119"/>
      <c r="BD170" s="1128"/>
      <c r="BE170" s="1128"/>
      <c r="BF170" s="943" t="s">
        <v>999</v>
      </c>
    </row>
    <row r="171" spans="1:58" s="1334" customFormat="1" ht="14.25" customHeight="1" x14ac:dyDescent="0.15">
      <c r="A171" s="1128"/>
      <c r="B171" s="1111"/>
      <c r="C171" s="1128"/>
      <c r="D171" s="1128"/>
      <c r="E171" s="552">
        <v>15</v>
      </c>
      <c r="F171" s="3" t="str" cm="1">
        <f t="array" aca="1" ref="F171" ca="1">OFFSET(E171,-1,1)</f>
        <v>2</v>
      </c>
      <c r="G171" s="23" t="s">
        <v>602</v>
      </c>
      <c r="H171" s="1128"/>
      <c r="I171" s="1128"/>
      <c r="J171" s="1128"/>
      <c r="K171" s="1128"/>
      <c r="L171" s="1128"/>
      <c r="M171" s="1128"/>
      <c r="N171" s="1128"/>
      <c r="O171" s="1128"/>
      <c r="P171" s="1128"/>
      <c r="Q171" s="1128"/>
      <c r="R171" s="1128"/>
      <c r="S171" s="1128"/>
      <c r="T171" s="388" t="b" cm="1">
        <f t="array" ref="T171">T170</f>
        <v>1</v>
      </c>
      <c r="U171" s="1128"/>
      <c r="V171" s="1128"/>
      <c r="W171" s="1128"/>
      <c r="X171" s="2066"/>
      <c r="Y171" s="1128"/>
      <c r="Z171" s="2067"/>
      <c r="AA171" s="1128"/>
      <c r="AB171" s="7" t="s">
        <v>646</v>
      </c>
      <c r="AC171" s="133" t="s">
        <v>917</v>
      </c>
      <c r="AD171" s="8" t="s">
        <v>831</v>
      </c>
      <c r="AE171" s="134"/>
      <c r="AF171" s="134"/>
      <c r="AG171" s="134"/>
      <c r="AH171" s="134"/>
      <c r="AI171" s="134"/>
      <c r="AJ171" s="1403"/>
      <c r="AK171" s="1403"/>
      <c r="AL171" s="1403"/>
      <c r="AM171" s="1403"/>
      <c r="AN171" s="1403"/>
      <c r="AO171" s="1403"/>
      <c r="AP171" s="134"/>
      <c r="AQ171" s="134"/>
      <c r="AR171" s="134"/>
      <c r="AS171" s="134"/>
      <c r="AT171" s="1403"/>
      <c r="AU171" s="1403"/>
      <c r="AV171" s="1403"/>
      <c r="AW171" s="1403"/>
      <c r="AX171" s="1403"/>
      <c r="AY171" s="1403"/>
      <c r="AZ171" s="134"/>
      <c r="BA171" s="134"/>
      <c r="BB171" s="134"/>
      <c r="BC171" s="119"/>
      <c r="BD171" s="1128"/>
      <c r="BE171" s="1128"/>
      <c r="BF171" s="943" t="s">
        <v>1000</v>
      </c>
    </row>
    <row r="172" spans="1:58" s="1334" customFormat="1" ht="14.25" customHeight="1" x14ac:dyDescent="0.15">
      <c r="A172" s="1128"/>
      <c r="B172" s="1111"/>
      <c r="C172" s="1128"/>
      <c r="D172" s="1128"/>
      <c r="E172" s="552">
        <v>15</v>
      </c>
      <c r="F172" s="3" t="str" cm="1">
        <f t="array" aca="1" ref="F172" ca="1">OFFSET(E172,-1,1)</f>
        <v>2</v>
      </c>
      <c r="G172" s="23" t="s">
        <v>1001</v>
      </c>
      <c r="H172" s="1128"/>
      <c r="I172" s="1128"/>
      <c r="J172" s="1128"/>
      <c r="K172" s="1128"/>
      <c r="L172" s="1128"/>
      <c r="M172" s="1128"/>
      <c r="N172" s="1128"/>
      <c r="O172" s="1128"/>
      <c r="P172" s="1128"/>
      <c r="Q172" s="1128"/>
      <c r="R172" s="1128"/>
      <c r="S172" s="1128"/>
      <c r="T172" s="388" t="b" cm="1">
        <f t="array" ref="T172">T171</f>
        <v>1</v>
      </c>
      <c r="U172" s="1128"/>
      <c r="V172" s="1128"/>
      <c r="W172" s="1128"/>
      <c r="X172" s="2066"/>
      <c r="Y172" s="1128"/>
      <c r="Z172" s="2067"/>
      <c r="AA172" s="1128"/>
      <c r="AB172" s="7" t="s">
        <v>681</v>
      </c>
      <c r="AC172" s="133" t="s">
        <v>920</v>
      </c>
      <c r="AD172" s="8" t="s">
        <v>831</v>
      </c>
      <c r="AE172" s="134"/>
      <c r="AF172" s="134"/>
      <c r="AG172" s="134"/>
      <c r="AH172" s="134"/>
      <c r="AI172" s="134"/>
      <c r="AJ172" s="1403"/>
      <c r="AK172" s="1403"/>
      <c r="AL172" s="1403"/>
      <c r="AM172" s="1403"/>
      <c r="AN172" s="1403"/>
      <c r="AO172" s="1403"/>
      <c r="AP172" s="134"/>
      <c r="AQ172" s="134"/>
      <c r="AR172" s="134"/>
      <c r="AS172" s="134"/>
      <c r="AT172" s="1403"/>
      <c r="AU172" s="1403"/>
      <c r="AV172" s="1403"/>
      <c r="AW172" s="1403"/>
      <c r="AX172" s="1403"/>
      <c r="AY172" s="1403"/>
      <c r="AZ172" s="134"/>
      <c r="BA172" s="134"/>
      <c r="BB172" s="134"/>
      <c r="BC172" s="119"/>
      <c r="BD172" s="1128"/>
      <c r="BE172" s="1128"/>
      <c r="BF172" s="943" t="s">
        <v>1002</v>
      </c>
    </row>
    <row r="173" spans="1:58" s="1334" customFormat="1" ht="14.25" customHeight="1" x14ac:dyDescent="0.15">
      <c r="A173" s="1128"/>
      <c r="B173" s="1111"/>
      <c r="C173" s="1128"/>
      <c r="D173" s="1128"/>
      <c r="E173" s="552">
        <v>15</v>
      </c>
      <c r="F173" s="3" t="str" cm="1">
        <f t="array" aca="1" ref="F173" ca="1">OFFSET(E173,-1,1)</f>
        <v>2</v>
      </c>
      <c r="G173" s="23" t="s">
        <v>1003</v>
      </c>
      <c r="H173" s="1128"/>
      <c r="I173" s="1128"/>
      <c r="J173" s="1128"/>
      <c r="K173" s="1128"/>
      <c r="L173" s="1128"/>
      <c r="M173" s="1128"/>
      <c r="N173" s="1128"/>
      <c r="O173" s="1128"/>
      <c r="P173" s="1128"/>
      <c r="Q173" s="1128"/>
      <c r="R173" s="1128"/>
      <c r="S173" s="1128"/>
      <c r="T173" s="388" t="b" cm="1">
        <f t="array" ref="T173">T172</f>
        <v>1</v>
      </c>
      <c r="U173" s="1128"/>
      <c r="V173" s="1128"/>
      <c r="W173" s="1128"/>
      <c r="X173" s="2066"/>
      <c r="Y173" s="1128"/>
      <c r="Z173" s="2067"/>
      <c r="AA173" s="1128"/>
      <c r="AB173" s="7" t="s">
        <v>684</v>
      </c>
      <c r="AC173" s="133" t="s">
        <v>924</v>
      </c>
      <c r="AD173" s="8" t="s">
        <v>831</v>
      </c>
      <c r="AE173" s="134"/>
      <c r="AF173" s="134"/>
      <c r="AG173" s="134"/>
      <c r="AH173" s="134"/>
      <c r="AI173" s="134"/>
      <c r="AJ173" s="1403"/>
      <c r="AK173" s="1403"/>
      <c r="AL173" s="1403"/>
      <c r="AM173" s="1403"/>
      <c r="AN173" s="1403"/>
      <c r="AO173" s="1403"/>
      <c r="AP173" s="134"/>
      <c r="AQ173" s="134"/>
      <c r="AR173" s="134"/>
      <c r="AS173" s="134"/>
      <c r="AT173" s="1403"/>
      <c r="AU173" s="1403"/>
      <c r="AV173" s="1403"/>
      <c r="AW173" s="1403"/>
      <c r="AX173" s="1403"/>
      <c r="AY173" s="1403"/>
      <c r="AZ173" s="134"/>
      <c r="BA173" s="134"/>
      <c r="BB173" s="134"/>
      <c r="BC173" s="119"/>
      <c r="BD173" s="1128"/>
      <c r="BE173" s="1128"/>
      <c r="BF173" s="943" t="s">
        <v>1004</v>
      </c>
    </row>
    <row r="174" spans="1:58" ht="10.7" customHeight="1" x14ac:dyDescent="0.15">
      <c r="E174" s="552">
        <v>11</v>
      </c>
      <c r="F174" s="265"/>
      <c r="U174" s="23" t="s">
        <v>176</v>
      </c>
      <c r="V174" s="59" t="s">
        <v>1008</v>
      </c>
      <c r="Z174" s="491"/>
      <c r="AA174" s="491"/>
      <c r="AB174" s="391"/>
      <c r="AC174" s="391"/>
      <c r="AD174" s="391"/>
      <c r="AE174" s="391"/>
      <c r="AF174" s="391"/>
      <c r="AG174" s="391"/>
      <c r="AH174" s="391"/>
      <c r="AI174" s="866"/>
      <c r="AJ174" s="866"/>
      <c r="AK174" s="866"/>
      <c r="AL174" s="866"/>
      <c r="AM174" s="866"/>
      <c r="AN174" s="866"/>
      <c r="AO174" s="866"/>
      <c r="AP174" s="866"/>
      <c r="AQ174" s="866"/>
      <c r="AR174" s="866"/>
      <c r="AS174" s="866"/>
      <c r="AT174" s="866"/>
      <c r="AU174" s="866"/>
      <c r="AV174" s="866"/>
      <c r="AW174" s="866"/>
      <c r="AX174" s="866"/>
      <c r="AY174" s="866"/>
      <c r="AZ174" s="866"/>
      <c r="BA174" s="866"/>
      <c r="BB174" s="866"/>
      <c r="BC174" s="866"/>
    </row>
    <row r="175" spans="1:58" ht="14.65" customHeight="1" x14ac:dyDescent="0.15">
      <c r="E175" s="552">
        <v>15</v>
      </c>
      <c r="AA175" s="17"/>
      <c r="AB175" s="2035" t="s">
        <v>402</v>
      </c>
      <c r="AC175" s="2035"/>
      <c r="AD175" s="2035"/>
      <c r="AE175" s="2035"/>
      <c r="AF175" s="2035"/>
      <c r="AG175" s="2035"/>
      <c r="AH175" s="2035"/>
      <c r="AI175" s="2068"/>
      <c r="AJ175" s="2068"/>
      <c r="AK175" s="2068"/>
      <c r="AL175" s="2068"/>
      <c r="AM175" s="2068"/>
      <c r="AN175" s="2068"/>
      <c r="AO175" s="2068"/>
      <c r="AP175" s="2068"/>
      <c r="AQ175" s="2068"/>
      <c r="AR175" s="2068"/>
      <c r="AS175" s="2068"/>
      <c r="AT175" s="2068"/>
      <c r="AU175" s="2068"/>
      <c r="AV175" s="2068"/>
      <c r="AW175" s="2068"/>
      <c r="AX175" s="2068"/>
      <c r="AY175" s="2068"/>
      <c r="AZ175" s="2068"/>
      <c r="BA175" s="2068"/>
      <c r="BB175" s="2068"/>
      <c r="BC175" s="2068"/>
      <c r="BD175" s="17"/>
    </row>
    <row r="176" spans="1:58" ht="14.65" customHeight="1" x14ac:dyDescent="0.15">
      <c r="E176" s="552">
        <v>15</v>
      </c>
      <c r="T176" s="412"/>
      <c r="AA176" s="92"/>
      <c r="AB176" s="2069"/>
      <c r="AC176" s="2069"/>
      <c r="AD176" s="2069"/>
      <c r="AE176" s="2069"/>
      <c r="AF176" s="2069"/>
      <c r="AG176" s="2069"/>
      <c r="AH176" s="2069"/>
      <c r="AI176" s="2070"/>
      <c r="AJ176" s="2082"/>
      <c r="AK176" s="2082"/>
      <c r="AL176" s="2082"/>
      <c r="AM176" s="2082"/>
      <c r="AN176" s="2082"/>
      <c r="AO176" s="2082"/>
      <c r="AP176" s="2082"/>
      <c r="AQ176" s="2082"/>
      <c r="AR176" s="2082"/>
      <c r="AS176" s="2070"/>
      <c r="AT176" s="2082"/>
      <c r="AU176" s="2082"/>
      <c r="AV176" s="2082"/>
      <c r="AW176" s="2082"/>
      <c r="AX176" s="2082"/>
      <c r="AY176" s="2082"/>
      <c r="AZ176" s="2082"/>
      <c r="BA176" s="2082"/>
      <c r="BB176" s="2082"/>
      <c r="BC176" s="2070"/>
      <c r="BD176" s="17"/>
    </row>
    <row r="177" spans="5:56" ht="14.65" hidden="1" customHeight="1" x14ac:dyDescent="0.15">
      <c r="E177" s="552">
        <v>15</v>
      </c>
      <c r="T177" s="388" t="b">
        <f>ROW(W177)&gt;ROW(W$177)</f>
        <v>0</v>
      </c>
      <c r="W177" s="677" t="s">
        <v>172</v>
      </c>
      <c r="AA177" s="596" t="s">
        <v>173</v>
      </c>
      <c r="AB177" s="2081" t="s">
        <v>147</v>
      </c>
      <c r="AC177" s="2081"/>
      <c r="AD177" s="2081"/>
      <c r="AE177" s="2081"/>
      <c r="AF177" s="2081"/>
      <c r="AG177" s="2081"/>
      <c r="AH177" s="2081"/>
      <c r="AI177" s="2070"/>
      <c r="AJ177" s="2082"/>
      <c r="AK177" s="2082"/>
      <c r="AL177" s="2082"/>
      <c r="AM177" s="2082"/>
      <c r="AN177" s="2082"/>
      <c r="AO177" s="2082"/>
      <c r="AP177" s="2082"/>
      <c r="AQ177" s="2082"/>
      <c r="AR177" s="2082"/>
      <c r="AS177" s="2070"/>
      <c r="AT177" s="2082"/>
      <c r="AU177" s="2082"/>
      <c r="AV177" s="2082"/>
      <c r="AW177" s="2082"/>
      <c r="AX177" s="2082"/>
      <c r="AY177" s="2082"/>
      <c r="AZ177" s="2082"/>
      <c r="BA177" s="2082"/>
      <c r="BB177" s="2082"/>
      <c r="BC177" s="2082"/>
      <c r="BD177" s="17"/>
    </row>
    <row r="178" spans="5:56" ht="14.65" customHeight="1" x14ac:dyDescent="0.15">
      <c r="E178" s="552">
        <v>15</v>
      </c>
      <c r="W178" s="677" t="s">
        <v>403</v>
      </c>
      <c r="AA178" s="17"/>
      <c r="AB178" s="571"/>
      <c r="AC178" s="437" t="s">
        <v>404</v>
      </c>
      <c r="AD178" s="227"/>
      <c r="AE178" s="227"/>
      <c r="AF178" s="228"/>
      <c r="AG178" s="228"/>
      <c r="AH178" s="228"/>
      <c r="AI178" s="228"/>
      <c r="AJ178" s="228"/>
      <c r="AK178" s="228"/>
      <c r="AL178" s="228"/>
      <c r="AM178" s="228"/>
      <c r="AN178" s="228"/>
      <c r="AO178" s="228"/>
      <c r="AP178" s="228"/>
      <c r="AQ178" s="228"/>
      <c r="AR178" s="228"/>
      <c r="AS178" s="228"/>
      <c r="AT178" s="228"/>
      <c r="AU178" s="228"/>
      <c r="AV178" s="228"/>
      <c r="AW178" s="228"/>
      <c r="AX178" s="228"/>
      <c r="AY178" s="228"/>
      <c r="AZ178" s="228"/>
      <c r="BA178" s="228"/>
      <c r="BB178" s="228"/>
      <c r="BC178" s="229"/>
      <c r="BD178" s="17"/>
    </row>
    <row r="179" spans="5:56" ht="10.9" customHeight="1" x14ac:dyDescent="0.15">
      <c r="E179" s="552">
        <v>11.25</v>
      </c>
      <c r="BD179" s="348"/>
    </row>
  </sheetData>
  <sheetProtection formatColumns="0" formatRows="0" insertRows="0" deleteColumns="0" deleteRows="0" sort="0" autoFilter="0"/>
  <mergeCells count="14">
    <mergeCell ref="AB23:BB23"/>
    <mergeCell ref="AB24:AB25"/>
    <mergeCell ref="AC24:AC25"/>
    <mergeCell ref="AD24:AD25"/>
    <mergeCell ref="BC24:BC25"/>
    <mergeCell ref="AB177:BC177"/>
    <mergeCell ref="X27:X75"/>
    <mergeCell ref="Z27:Z75"/>
    <mergeCell ref="AB176:BC176"/>
    <mergeCell ref="AB175:BC175"/>
    <mergeCell ref="X76:X124"/>
    <mergeCell ref="Z76:Z124"/>
    <mergeCell ref="X125:X173"/>
    <mergeCell ref="Z125:Z173"/>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4 BB127:BB131 BB133:BB137 BB139:BB143 BB145:BB149 BB151:BB155 BB157:BB161 BB163:BB167 BB169:BB174 BA71:BA75 BA78:BA82 BA84:BA88 BA90:BA94 BA96:BA100 BA102:BA106 BA108:BA112 BA114:BA118 BA120:BA124 BA127:BA131 BA133:BA137 BA139:BA143 BA145:BA149 BA151:BA155 BA157:BA161 BA163:BA167 BA169:BA174 AZ71:AZ75 AZ78:AZ82 AZ84:AZ88 AZ90:AZ94 AZ96:AZ100 AZ102:AZ106 AZ108:AZ112 AZ114:AZ118 AZ120:AZ124 AZ127:AZ131 AZ133:AZ137 AZ139:AZ143 AZ145:AZ149 AZ151:AZ155 AZ157:AZ161 AZ163:AZ167 AZ169:AZ174 AY71:AY75 AY78:AY82 AY84:AY88 AY90:AY94 AY96:AY100 AY102:AY106 AY108:AY112 AY114:AY118 AY120:AY124 AY127:AY131 AY133:AY137 AY139:AY143 AY145:AY149 AY151:AY155 AY157:AY161 AY163:AY167 AY169:AY174 AX71:AX75 AX78:AX82 AX84:AX88 AX90:AX94 AX96:AX100 AX102:AX106 AX108:AX112 AX114:AX118 AX120:AX124 AX127:AX131 AX133:AX137 AX139:AX143 AX145:AX149 AX151:AX155 AX157:AX161 AX163:AX167 AX169:AX174 AW71:AW75 AW78:AW82 AW84:AW88 AW90:AW94 AW96:AW100 AW102:AW106 AW108:AW112 AW114:AW118 AW120:AW124 AW127:AW131 AW133:AW137 AW139:AW143 AW145:AW149 AW151:AW155 AW157:AW161 AW163:AW167 AW169:AW174 AV71:AV75 AV78:AV82 AV84:AV88 AV90:AV94 AV96:AV100 AV102:AV106 AV108:AV112 AV114:AV118 AV120:AV124 AV127:AV131 AV133:AV137 AV139:AV143 AV145:AV149 AV151:AV155 AV157:AV161 AV163:AV167 AV169:AV174 AU71:AU75 AU78:AU82 AU84:AU88 AU90:AU94 AU96:AU100 AU102:AU106 AU108:AU112 AU114:AU118 AU120:AU124 AU127:AU131 AU133:AU137 AU139:AU143 AU145:AU149 AU151:AU155 AU157:AU161 AU163:AU167 AU169:AU174 AT71:AT75 AT78:AT82 AT84:AT88 AT90:AT94 AT96:AT100 AT102:AT106 AT108:AT112 AT114:AT118 AT120:AT124 AT127:AT131 AT133:AT137 AT139:AT143 AT145:AT149 AT151:AT155 AT157:AT161 AT163:AT167 AT169:AT174 AS71:AS75 AS78:AS82 AS84:AS88 AS90:AS94 AS96:AS100 AS102:AS106 AS108:AS112 AS114:AS118 AS120:AS124 AS127:AS131 AS133:AS137 AS139:AS143 AS145:AS149 AS151:AS155 AS157:AS161 AS163:AS167 AS169:AS174 AR71:AR75 AR78:AR82 AR84:AR88 AR90:AR94 AR96:AR100 AR102:AR106 AR108:AR112 AR114:AR118 AR120:AR124 AR127:AR131 AR133:AR137 AR139:AR143 AR145:AR149 AR151:AR155 AR157:AR161 AR163:AR167 AR169:AR174 AQ71:AQ75 AQ78:AQ82 AQ84:AQ88 AQ90:AQ94 AQ96:AQ100 AQ102:AQ106 AQ108:AQ112 AQ114:AQ118 AQ120:AQ124 AQ127:AQ131 AQ133:AQ137 AQ139:AQ143 AQ145:AQ149 AQ151:AQ155 AQ157:AQ161 AQ163:AQ167 AQ169:AQ174 AP71:AP75 AP78:AP82 AP84:AP88 AP90:AP94 AP96:AP100 AP102:AP106 AP108:AP112 AP114:AP118 AP120:AP124 AP127:AP131 AP133:AP137 AP139:AP143 AP145:AP149 AP151:AP155 AP157:AP161 AP163:AP167 AP169:AP174 AO71:AO75 AO78:AO82 AO84:AO88 AO90:AO94 AO96:AO100 AO102:AO106 AO108:AO112 AO114:AO118 AO120:AO124 AO127:AO131 AO133:AO137 AO139:AO143 AO145:AO149 AO151:AO155 AO157:AO161 AO163:AO167 AO169:AO174 AN71:AN75 AN78:AN82 AN84:AN88 AN90:AN94 AN96:AN100 AN102:AN106 AN108:AN112 AN114:AN118 AN120:AN124 AN127:AN131 AN133:AN137 AN139:AN143 AN145:AN149 AN151:AN155 AN157:AN161 AN163:AN167 AN169:AN174 AM71:AM75 AM78:AM82 AM84:AM88 AM90:AM94 AM96:AM100 AM102:AM106 AM108:AM112 AM114:AM118 AM120:AM124 AM127:AM131 AM133:AM137 AM139:AM143 AM145:AM149 AM151:AM155 AM157:AM161 AM163:AM167 AM169:AM174 AL71:AL75 AL78:AL82 AL84:AL88 AL90:AL94 AL96:AL100 AL102:AL106 AL108:AL112 AL114:AL118 AL120:AL124 AL127:AL131 AL133:AL137 AL139:AL143 AL145:AL149 AL151:AL155 AL157:AL161 AL163:AL167 AL169:AL174 AK71:AK75 AK78:AK82 AK84:AK88 AK90:AK94 AK96:AK100 AK102:AK106 AK108:AK112 AK114:AK118 AK120:AK124 AK127:AK131 AK133:AK137 AK139:AK143 AK145:AK149 AK151:AK155 AK157:AK161 AK163:AK167 AK169:AK174 AJ71:AJ75 AJ78:AJ82 AJ84:AJ88 AJ90:AJ94 AJ96:AJ100 AJ102:AJ106 AJ108:AJ112 AJ114:AJ118 AJ120:AJ124 AJ127:AJ131 AJ133:AJ137 AJ139:AJ143 AJ145:AJ149 AJ151:AJ155 AJ157:AJ161 AJ163:AJ167 AJ169:AJ174 AI71:AI75 AI78:AI82 AI84:AI88 AI90:AI94 AI96:AI100 AI102:AI106 AI108:AI112 AI114:AI118 AI120:AI124 AI127:AI131 AI133:AI137 AI139:AI143 AI145:AI149 AI151:AI155 AI157:AI161 AI163:AI167 AI169:AI174 AH71:AH75 AH78:AH82 AH84:AH88 AH90:AH94 AH96:AH100 AH102:AH106 AH108:AH112 AH114:AH118 AH120:AH124 AH127:AH131 AH133:AH137 AH139:AH143 AH145:AH149 AH151:AH155 AH157:AH161 AH163:AH167 AH169:AH174 AG71:AG75 AG78:AG82 AG84:AG88 AG90:AG94 AG96:AG100 AG102:AG106 AG108:AG112 AG114:AG118 AG120:AG124 AG127:AG131 AG133:AG137 AG139:AG143 AG145:AG149 AG151:AG155 AG157:AG161 AG163:AG167 AG169:AG174 AF71:AF75 AF78:AF82 AF84:AF88 AF90:AF94 AF96:AF100 AF102:AF106 AF108:AF112 AF114:AF118 AF120:AF124 AF127:AF131 AF133:AF137 AF139:AF143 AF145:AF149 AF151:AF155 AF157:AF161 AF163:AF167 AF169:AF174 AE71:AE75 AE78:AE82 AE84:AE88 AE90:AE94 AE96:AE100 AE102:AE106 AE108:AE112 AE114:AE118 AE120:AE124 AE127:AE131 AE133:AE137 AE139:AE143 AE145:AE149 AE151:AE155 AE157:AE161 AE163:AE167 AE169:AE174 AE53:BB57 AE47:BB51 AE41:BB45 AE35:BB39 AE29:BB33 AE65:BB69"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76FA8-2E2E-C77B-BEF3-694A84531AF8}">
  <sheetPr>
    <tabColor rgb="FF002060"/>
    <outlinePr summaryBelow="0" summaryRight="0"/>
    <pageSetUpPr fitToPage="1"/>
  </sheetPr>
  <dimension ref="A1:BF62"/>
  <sheetViews>
    <sheetView showGridLines="0" workbookViewId="0">
      <pane xSplit="30" ySplit="25" topLeftCell="AE55" activePane="bottomRight" state="frozen"/>
      <selection pane="topRight" activeCell="AE1" sqref="AE1"/>
      <selection pane="bottomLeft" activeCell="A26" sqref="A26"/>
      <selection pane="bottomRight" activeCell="AS40" sqref="AS40"/>
    </sheetView>
  </sheetViews>
  <sheetFormatPr defaultColWidth="9.140625" defaultRowHeight="11.25" customHeight="1" x14ac:dyDescent="0.15"/>
  <cols>
    <col min="1" max="1" width="3.5703125" style="1217" hidden="1" customWidth="1"/>
    <col min="2" max="2" width="4.85546875" style="1111" hidden="1" customWidth="1"/>
    <col min="3" max="3" width="3.5703125" style="1217" hidden="1" customWidth="1"/>
    <col min="4" max="4" width="7.140625" style="1217" hidden="1" customWidth="1"/>
    <col min="5" max="5" width="3.5703125" style="1080" hidden="1" customWidth="1"/>
    <col min="6" max="19" width="3.5703125" style="1217" hidden="1" customWidth="1"/>
    <col min="20" max="20" width="8.42578125" style="1217" hidden="1" customWidth="1"/>
    <col min="21" max="21" width="5.85546875" style="1217" hidden="1" customWidth="1"/>
    <col min="22" max="23" width="6.140625" style="1217" hidden="1" customWidth="1"/>
    <col min="24" max="25" width="5.5703125" style="1217" hidden="1" customWidth="1"/>
    <col min="26" max="26" width="5.28515625" style="1217" hidden="1" customWidth="1"/>
    <col min="27" max="27" width="3" style="1217" customWidth="1"/>
    <col min="28" max="28" width="11" style="1217" customWidth="1"/>
    <col min="29" max="29" width="35" style="1217" customWidth="1"/>
    <col min="30" max="30" width="12" style="1217" customWidth="1"/>
    <col min="31" max="31" width="13" style="1330" customWidth="1"/>
    <col min="32" max="35" width="13" style="1217" customWidth="1"/>
    <col min="36" max="44" width="13" style="1217" hidden="1" customWidth="1"/>
    <col min="45" max="45" width="13" style="1217" customWidth="1"/>
    <col min="46" max="54" width="13" style="1217" hidden="1" customWidth="1"/>
    <col min="55" max="55" width="20" style="1217" customWidth="1"/>
    <col min="56" max="56" width="3" style="1217" customWidth="1"/>
    <col min="57" max="57" width="9.140625" style="1217" hidden="1"/>
    <col min="58" max="58" width="9.140625" style="1133" hidden="1"/>
  </cols>
  <sheetData>
    <row r="1" spans="1:58" ht="11.25" hidden="1" customHeight="1" x14ac:dyDescent="0.15">
      <c r="E1" s="68"/>
      <c r="F1" s="68" t="s">
        <v>319</v>
      </c>
      <c r="H1" s="68" t="s">
        <v>330</v>
      </c>
      <c r="T1" s="388" t="s">
        <v>92</v>
      </c>
      <c r="U1" s="388" t="s">
        <v>97</v>
      </c>
      <c r="V1" s="388" t="s">
        <v>93</v>
      </c>
      <c r="W1" s="388" t="s">
        <v>94</v>
      </c>
      <c r="X1" s="388" t="s">
        <v>95</v>
      </c>
      <c r="Y1" s="390" t="s">
        <v>321</v>
      </c>
      <c r="Z1" s="388" t="s">
        <v>99</v>
      </c>
      <c r="AA1" s="389" t="s">
        <v>96</v>
      </c>
      <c r="AB1" s="4"/>
      <c r="AC1" s="389" t="s">
        <v>98</v>
      </c>
      <c r="BF1" s="947" t="s">
        <v>322</v>
      </c>
    </row>
    <row r="2" spans="1:58" s="1111" customFormat="1" ht="11.25" hidden="1" customHeight="1" x14ac:dyDescent="0.15">
      <c r="B2" s="369" t="s">
        <v>18</v>
      </c>
      <c r="AI2" s="368" t="b">
        <f t="shared" ref="AI2:BB2" si="0">AI6&lt;=last_year_vis</f>
        <v>1</v>
      </c>
      <c r="AJ2" s="368" t="b">
        <f t="shared" si="0"/>
        <v>0</v>
      </c>
      <c r="AK2" s="368" t="b">
        <f t="shared" si="0"/>
        <v>0</v>
      </c>
      <c r="AL2" s="368" t="b">
        <f t="shared" si="0"/>
        <v>0</v>
      </c>
      <c r="AM2" s="368" t="b">
        <f t="shared" si="0"/>
        <v>0</v>
      </c>
      <c r="AN2" s="368" t="b">
        <f t="shared" si="0"/>
        <v>0</v>
      </c>
      <c r="AO2" s="368" t="b">
        <f t="shared" si="0"/>
        <v>0</v>
      </c>
      <c r="AP2" s="368" t="b">
        <f t="shared" si="0"/>
        <v>0</v>
      </c>
      <c r="AQ2" s="368" t="b">
        <f t="shared" si="0"/>
        <v>0</v>
      </c>
      <c r="AR2" s="368" t="b">
        <f t="shared" si="0"/>
        <v>0</v>
      </c>
      <c r="AS2" s="368" t="b">
        <f t="shared" si="0"/>
        <v>1</v>
      </c>
      <c r="AT2" s="368" t="b">
        <f t="shared" si="0"/>
        <v>0</v>
      </c>
      <c r="AU2" s="368" t="b">
        <f t="shared" si="0"/>
        <v>0</v>
      </c>
      <c r="AV2" s="368" t="b">
        <f t="shared" si="0"/>
        <v>0</v>
      </c>
      <c r="AW2" s="368" t="b">
        <f t="shared" si="0"/>
        <v>0</v>
      </c>
      <c r="AX2" s="368" t="b">
        <f t="shared" si="0"/>
        <v>0</v>
      </c>
      <c r="AY2" s="368" t="b">
        <f t="shared" si="0"/>
        <v>0</v>
      </c>
      <c r="AZ2" s="368" t="b">
        <f t="shared" si="0"/>
        <v>0</v>
      </c>
      <c r="BA2" s="368" t="b">
        <f t="shared" si="0"/>
        <v>0</v>
      </c>
      <c r="BB2" s="368" t="b">
        <f t="shared" si="0"/>
        <v>0</v>
      </c>
      <c r="BF2" s="946"/>
    </row>
    <row r="3" spans="1:58" ht="11.25" hidden="1" customHeight="1" x14ac:dyDescent="0.15">
      <c r="E3" s="68"/>
      <c r="AI3" s="418"/>
      <c r="AJ3" s="418"/>
      <c r="AK3" s="418"/>
      <c r="AL3" s="418"/>
      <c r="AM3" s="418"/>
      <c r="AN3" s="418"/>
      <c r="AO3" s="418"/>
      <c r="AP3" s="418"/>
      <c r="AQ3" s="418"/>
      <c r="AR3" s="418"/>
      <c r="AS3" s="418"/>
      <c r="AT3" s="418"/>
      <c r="AU3" s="418"/>
      <c r="AV3" s="418"/>
      <c r="AW3" s="418"/>
      <c r="AX3" s="418"/>
      <c r="AY3" s="418"/>
      <c r="AZ3" s="418"/>
      <c r="BA3" s="418"/>
      <c r="BB3" s="418"/>
    </row>
    <row r="4" spans="1:58" ht="11.25" hidden="1" customHeight="1" x14ac:dyDescent="0.15">
      <c r="E4" s="68"/>
    </row>
    <row r="5" spans="1:58" s="1080" customFormat="1" ht="11.25" hidden="1" customHeight="1" x14ac:dyDescent="0.15">
      <c r="A5" s="68"/>
      <c r="B5" s="364"/>
      <c r="C5" s="68"/>
      <c r="D5" s="68"/>
      <c r="E5" s="600" t="s">
        <v>19</v>
      </c>
      <c r="AA5" s="600">
        <v>3</v>
      </c>
      <c r="AB5" s="600">
        <v>11</v>
      </c>
      <c r="AC5" s="600">
        <v>35</v>
      </c>
      <c r="AD5" s="600">
        <v>12</v>
      </c>
      <c r="AE5" s="601">
        <v>13</v>
      </c>
      <c r="AF5" s="600">
        <v>13</v>
      </c>
      <c r="AG5" s="600">
        <v>13</v>
      </c>
      <c r="AH5" s="600">
        <v>13</v>
      </c>
      <c r="AI5" s="600">
        <v>13</v>
      </c>
      <c r="AJ5" s="600">
        <v>13</v>
      </c>
      <c r="AK5" s="600">
        <v>13</v>
      </c>
      <c r="AL5" s="600">
        <v>13</v>
      </c>
      <c r="AM5" s="600">
        <v>13</v>
      </c>
      <c r="AN5" s="600">
        <v>13</v>
      </c>
      <c r="AO5" s="600">
        <v>13</v>
      </c>
      <c r="AP5" s="600">
        <v>13</v>
      </c>
      <c r="AQ5" s="600">
        <v>13</v>
      </c>
      <c r="AR5" s="600">
        <v>13</v>
      </c>
      <c r="AS5" s="600">
        <v>13</v>
      </c>
      <c r="AT5" s="600">
        <v>13</v>
      </c>
      <c r="AU5" s="600">
        <v>13</v>
      </c>
      <c r="AV5" s="600">
        <v>13</v>
      </c>
      <c r="AW5" s="600">
        <v>13</v>
      </c>
      <c r="AX5" s="600">
        <v>13</v>
      </c>
      <c r="AY5" s="600">
        <v>13</v>
      </c>
      <c r="AZ5" s="600">
        <v>13</v>
      </c>
      <c r="BA5" s="600">
        <v>13</v>
      </c>
      <c r="BB5" s="600">
        <v>13</v>
      </c>
      <c r="BC5" s="600">
        <v>20</v>
      </c>
      <c r="BD5" s="600">
        <v>3</v>
      </c>
      <c r="BF5" s="947"/>
    </row>
    <row r="6" spans="1:58" ht="11.25" hidden="1" customHeight="1" x14ac:dyDescent="0.15">
      <c r="A6" s="68" t="s">
        <v>357</v>
      </c>
      <c r="AE6" s="292">
        <f>god-2</f>
        <v>2024</v>
      </c>
      <c r="AF6" s="69">
        <f>god-2</f>
        <v>2024</v>
      </c>
      <c r="AG6" s="69">
        <f>god-2</f>
        <v>2024</v>
      </c>
      <c r="AH6" s="69">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x14ac:dyDescent="0.15">
      <c r="A7" s="68" t="s">
        <v>358</v>
      </c>
      <c r="AE7" s="292" t="str" cm="1">
        <f t="array" ref="AE7">AE25</f>
        <v>Принято органом регулирования</v>
      </c>
      <c r="AF7" s="292" t="str" cm="1">
        <f t="array" ref="AF7">AF25</f>
        <v>Факт по данным организации</v>
      </c>
      <c r="AG7" s="292" t="str" cm="1">
        <f t="array" ref="AG7">AG25</f>
        <v>Факт, принятый органом регулирования</v>
      </c>
      <c r="AH7" s="292" t="str" cm="1">
        <f t="array" ref="AH7">AH25</f>
        <v>Принято органом регулирования</v>
      </c>
      <c r="AI7" s="292" t="str" cm="1">
        <f t="array" ref="AI7">AI25</f>
        <v>Предложение организации</v>
      </c>
      <c r="AJ7" s="292" t="str" cm="1">
        <f t="array" ref="AJ7">AJ25</f>
        <v>Предложение организации</v>
      </c>
      <c r="AK7" s="292" t="str" cm="1">
        <f t="array" ref="AK7">AK25</f>
        <v>Предложение организации</v>
      </c>
      <c r="AL7" s="292" t="str" cm="1">
        <f t="array" ref="AL7">AL25</f>
        <v>Предложение организации</v>
      </c>
      <c r="AM7" s="292" t="str" cm="1">
        <f t="array" ref="AM7">AM25</f>
        <v>Предложение организации</v>
      </c>
      <c r="AN7" s="292" t="str" cm="1">
        <f t="array" ref="AN7">AN25</f>
        <v>Предложение организации</v>
      </c>
      <c r="AO7" s="292" t="str" cm="1">
        <f t="array" ref="AO7">AO25</f>
        <v>Предложение организации</v>
      </c>
      <c r="AP7" s="292" t="str" cm="1">
        <f t="array" ref="AP7">AP25</f>
        <v>Предложение организации</v>
      </c>
      <c r="AQ7" s="292" t="str" cm="1">
        <f t="array" ref="AQ7">AQ25</f>
        <v>Предложение организации</v>
      </c>
      <c r="AR7" s="292" t="str" cm="1">
        <f t="array" ref="AR7">AR25</f>
        <v>Предложение организации</v>
      </c>
      <c r="AS7" s="292" t="str" cm="1">
        <f t="array" ref="AS7">AS25</f>
        <v>Принято органом регулирования</v>
      </c>
      <c r="AT7" s="292" t="str" cm="1">
        <f t="array" ref="AT7">AT25</f>
        <v>Принято органом регулирования</v>
      </c>
      <c r="AU7" s="292" t="str" cm="1">
        <f t="array" ref="AU7">AU25</f>
        <v>Принято органом регулирования</v>
      </c>
      <c r="AV7" s="292" t="str" cm="1">
        <f t="array" ref="AV7">AV25</f>
        <v>Принято органом регулирования</v>
      </c>
      <c r="AW7" s="292" t="str" cm="1">
        <f t="array" ref="AW7">AW25</f>
        <v>Принято органом регулирования</v>
      </c>
      <c r="AX7" s="292" t="str" cm="1">
        <f t="array" ref="AX7">AX25</f>
        <v>Принято органом регулирования</v>
      </c>
      <c r="AY7" s="292" t="str" cm="1">
        <f t="array" ref="AY7">AY25</f>
        <v>Принято органом регулирования</v>
      </c>
      <c r="AZ7" s="292" t="str" cm="1">
        <f t="array" ref="AZ7">AZ25</f>
        <v>Принято органом регулирования</v>
      </c>
      <c r="BA7" s="292" t="str" cm="1">
        <f t="array" ref="BA7">BA25</f>
        <v>Принято органом регулирования</v>
      </c>
      <c r="BB7" s="292" t="str" cm="1">
        <f t="array" ref="BB7">BB25</f>
        <v>Принято органом регулирования</v>
      </c>
    </row>
    <row r="8" spans="1:58" ht="11.25" hidden="1" customHeight="1" x14ac:dyDescent="0.15"/>
    <row r="9" spans="1:58" s="1133" customFormat="1" ht="11.25" hidden="1" customHeight="1" x14ac:dyDescent="0.15">
      <c r="A9" s="924" t="s">
        <v>362</v>
      </c>
      <c r="B9" s="946"/>
      <c r="AE9" s="948" cm="1">
        <f t="array" ref="AE9">AE6</f>
        <v>2024</v>
      </c>
      <c r="AF9" s="948" cm="1">
        <f t="array" ref="AF9">AF6</f>
        <v>2024</v>
      </c>
      <c r="AG9" s="948" cm="1">
        <f t="array" ref="AG9">AG6</f>
        <v>2024</v>
      </c>
      <c r="AH9" s="948" cm="1">
        <f t="array" ref="AH9">AH6</f>
        <v>2025</v>
      </c>
      <c r="AI9" s="948" cm="1">
        <f t="array" ref="AI9">AI6</f>
        <v>2026</v>
      </c>
      <c r="AJ9" s="948" cm="1">
        <f t="array" ref="AJ9">AJ6</f>
        <v>2027</v>
      </c>
      <c r="AK9" s="948" cm="1">
        <f t="array" ref="AK9">AK6</f>
        <v>2028</v>
      </c>
      <c r="AL9" s="948" cm="1">
        <f t="array" ref="AL9">AL6</f>
        <v>2029</v>
      </c>
      <c r="AM9" s="948" cm="1">
        <f t="array" ref="AM9">AM6</f>
        <v>2030</v>
      </c>
      <c r="AN9" s="948" cm="1">
        <f t="array" ref="AN9">AN6</f>
        <v>2031</v>
      </c>
      <c r="AO9" s="948" cm="1">
        <f t="array" ref="AO9">AO6</f>
        <v>2032</v>
      </c>
      <c r="AP9" s="948" cm="1">
        <f t="array" ref="AP9">AP6</f>
        <v>2033</v>
      </c>
      <c r="AQ9" s="948" cm="1">
        <f t="array" ref="AQ9">AQ6</f>
        <v>2034</v>
      </c>
      <c r="AR9" s="948" cm="1">
        <f t="array" ref="AR9">AR6</f>
        <v>2035</v>
      </c>
      <c r="AS9" s="948" cm="1">
        <f t="array" ref="AS9">AS6</f>
        <v>2026</v>
      </c>
      <c r="AT9" s="948" cm="1">
        <f t="array" ref="AT9">AT6</f>
        <v>2027</v>
      </c>
      <c r="AU9" s="948" cm="1">
        <f t="array" ref="AU9">AU6</f>
        <v>2028</v>
      </c>
      <c r="AV9" s="948" cm="1">
        <f t="array" ref="AV9">AV6</f>
        <v>2029</v>
      </c>
      <c r="AW9" s="948" cm="1">
        <f t="array" ref="AW9">AW6</f>
        <v>2030</v>
      </c>
      <c r="AX9" s="948" cm="1">
        <f t="array" ref="AX9">AX6</f>
        <v>2031</v>
      </c>
      <c r="AY9" s="948" cm="1">
        <f t="array" ref="AY9">AY6</f>
        <v>2032</v>
      </c>
      <c r="AZ9" s="948" cm="1">
        <f t="array" ref="AZ9">AZ6</f>
        <v>2033</v>
      </c>
      <c r="BA9" s="948" cm="1">
        <f t="array" ref="BA9">BA6</f>
        <v>2034</v>
      </c>
      <c r="BB9" s="948" cm="1">
        <f t="array" ref="BB9">BB6</f>
        <v>2035</v>
      </c>
    </row>
    <row r="10" spans="1:58" s="1133" customFormat="1" ht="11.25" hidden="1" customHeight="1" x14ac:dyDescent="0.15">
      <c r="A10" s="924" t="s">
        <v>363</v>
      </c>
      <c r="B10" s="946"/>
      <c r="AE10" s="948" t="str" cm="1">
        <f t="array" ref="AE10">AE25</f>
        <v>Принято органом регулирования</v>
      </c>
      <c r="AF10" s="948" t="str" cm="1">
        <f t="array" ref="AF10">AF25</f>
        <v>Факт по данным организации</v>
      </c>
      <c r="AG10" s="948" t="str" cm="1">
        <f t="array" ref="AG10">AG25</f>
        <v>Факт, принятый органом регулирования</v>
      </c>
      <c r="AH10" s="948" t="str" cm="1">
        <f t="array" ref="AH10">AH25</f>
        <v>Принято органом регулирования</v>
      </c>
      <c r="AI10" s="948" t="str" cm="1">
        <f t="array" ref="AI10">AI25</f>
        <v>Предложение организации</v>
      </c>
      <c r="AJ10" s="948" t="str" cm="1">
        <f t="array" ref="AJ10">AJ25</f>
        <v>Предложение организации</v>
      </c>
      <c r="AK10" s="948" t="str" cm="1">
        <f t="array" ref="AK10">AK25</f>
        <v>Предложение организации</v>
      </c>
      <c r="AL10" s="948" t="str" cm="1">
        <f t="array" ref="AL10">AL25</f>
        <v>Предложение организации</v>
      </c>
      <c r="AM10" s="948" t="str" cm="1">
        <f t="array" ref="AM10">AM25</f>
        <v>Предложение организации</v>
      </c>
      <c r="AN10" s="948" t="str" cm="1">
        <f t="array" ref="AN10">AN25</f>
        <v>Предложение организации</v>
      </c>
      <c r="AO10" s="948" t="str" cm="1">
        <f t="array" ref="AO10">AO25</f>
        <v>Предложение организации</v>
      </c>
      <c r="AP10" s="948" t="str" cm="1">
        <f t="array" ref="AP10">AP25</f>
        <v>Предложение организации</v>
      </c>
      <c r="AQ10" s="948" t="str" cm="1">
        <f t="array" ref="AQ10">AQ25</f>
        <v>Предложение организации</v>
      </c>
      <c r="AR10" s="948" t="str" cm="1">
        <f t="array" ref="AR10">AR25</f>
        <v>Предложение организации</v>
      </c>
      <c r="AS10" s="948" t="str" cm="1">
        <f t="array" ref="AS10">AS25</f>
        <v>Принято органом регулирования</v>
      </c>
      <c r="AT10" s="948" t="str" cm="1">
        <f t="array" ref="AT10">AT25</f>
        <v>Принято органом регулирования</v>
      </c>
      <c r="AU10" s="948" t="str" cm="1">
        <f t="array" ref="AU10">AU25</f>
        <v>Принято органом регулирования</v>
      </c>
      <c r="AV10" s="948" t="str" cm="1">
        <f t="array" ref="AV10">AV25</f>
        <v>Принято органом регулирования</v>
      </c>
      <c r="AW10" s="948" t="str" cm="1">
        <f t="array" ref="AW10">AW25</f>
        <v>Принято органом регулирования</v>
      </c>
      <c r="AX10" s="948" t="str" cm="1">
        <f t="array" ref="AX10">AX25</f>
        <v>Принято органом регулирования</v>
      </c>
      <c r="AY10" s="948" t="str" cm="1">
        <f t="array" ref="AY10">AY25</f>
        <v>Принято органом регулирования</v>
      </c>
      <c r="AZ10" s="948" t="str" cm="1">
        <f t="array" ref="AZ10">AZ25</f>
        <v>Принято органом регулирования</v>
      </c>
      <c r="BA10" s="948" t="str" cm="1">
        <f t="array" ref="BA10">BA25</f>
        <v>Принято органом регулирования</v>
      </c>
      <c r="BB10" s="948" t="str" cm="1">
        <f t="array" ref="BB10">BB25</f>
        <v>Принято органом регулирования</v>
      </c>
    </row>
    <row r="11" spans="1:58" s="1133" customFormat="1" ht="11.25" hidden="1" customHeight="1" x14ac:dyDescent="0.15">
      <c r="A11" s="924" t="s">
        <v>364</v>
      </c>
      <c r="B11" s="946"/>
      <c r="AE11" s="948"/>
      <c r="BC11" s="947" t="str" cm="1">
        <f t="array" ref="BC11">BC24</f>
        <v>Ссылка на правовую норму (основание для принятия показателя в расчет тарифа)</v>
      </c>
    </row>
    <row r="12" spans="1:58" ht="11.25" hidden="1" customHeight="1" x14ac:dyDescent="0.15"/>
    <row r="13" spans="1:58"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x14ac:dyDescent="0.15"/>
    <row r="18" spans="1:58" ht="11.25" hidden="1" customHeight="1" x14ac:dyDescent="0.15"/>
    <row r="19" spans="1:58" ht="11.25" hidden="1" customHeight="1" x14ac:dyDescent="0.15"/>
    <row r="20" spans="1:58" ht="11.25" hidden="1" customHeight="1" x14ac:dyDescent="0.15"/>
    <row r="21" spans="1:58" ht="14.65" customHeight="1" x14ac:dyDescent="0.15">
      <c r="E21" s="600">
        <v>15</v>
      </c>
      <c r="AA21" s="347"/>
      <c r="AC21" s="282" t="str" cm="1">
        <f t="array" ref="AC21">tpl_title</f>
        <v>Кемеровская область / 2026 / ООО "Чистая вода" (ИНН:4246023100, КПП:424601001) / ДПР: 2024-2032</v>
      </c>
    </row>
    <row r="22" spans="1:58" s="1217" customFormat="1" ht="19.5" customHeight="1" x14ac:dyDescent="0.15">
      <c r="B22" s="350"/>
      <c r="E22" s="542">
        <v>20</v>
      </c>
      <c r="AB22" s="236" t="s">
        <v>57</v>
      </c>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F22" s="906"/>
    </row>
    <row r="23" spans="1:58" s="1217" customFormat="1" ht="10.9" customHeight="1" x14ac:dyDescent="0.15">
      <c r="B23" s="350"/>
      <c r="E23" s="542">
        <v>11.25</v>
      </c>
      <c r="AB23" s="70"/>
      <c r="AE23" s="51"/>
      <c r="BF23" s="906"/>
    </row>
    <row r="24" spans="1:58" s="1217" customFormat="1" ht="14.65" customHeight="1" x14ac:dyDescent="0.15">
      <c r="B24" s="350"/>
      <c r="E24" s="542">
        <v>15</v>
      </c>
      <c r="AB24" s="2035" t="s">
        <v>21</v>
      </c>
      <c r="AC24" s="2035" t="s">
        <v>366</v>
      </c>
      <c r="AD24" s="2035" t="s">
        <v>1009</v>
      </c>
      <c r="AE24" s="275" t="str">
        <f>god-2&amp;" год"</f>
        <v>2024 год</v>
      </c>
      <c r="AF24" s="1029" t="str">
        <f>god-2&amp;" год"</f>
        <v>2024 год</v>
      </c>
      <c r="AG24" s="275" t="str">
        <f>god-2&amp;" год"</f>
        <v>2024 год</v>
      </c>
      <c r="AH24" s="13" t="str">
        <f>god-1&amp;" год"</f>
        <v>2025 год</v>
      </c>
      <c r="AI24" s="1026" t="str">
        <f>god&amp;" год"</f>
        <v>2026 год</v>
      </c>
      <c r="AJ24" s="1026" t="str">
        <f>god+1&amp;" год"</f>
        <v>2027 год</v>
      </c>
      <c r="AK24" s="1026" t="str">
        <f>god+2&amp;" год"</f>
        <v>2028 год</v>
      </c>
      <c r="AL24" s="1026" t="str">
        <f>god+3&amp;" год"</f>
        <v>2029 год</v>
      </c>
      <c r="AM24" s="1026" t="str">
        <f>god+4&amp;" год"</f>
        <v>2030 год</v>
      </c>
      <c r="AN24" s="1026" t="str">
        <f>god+5&amp;" год"</f>
        <v>2031 год</v>
      </c>
      <c r="AO24" s="1026" t="str">
        <f>god+6&amp;" год"</f>
        <v>2032 год</v>
      </c>
      <c r="AP24" s="1026" t="str">
        <f>god+7&amp;" год"</f>
        <v>2033 год</v>
      </c>
      <c r="AQ24" s="1026" t="str">
        <f>god+8&amp;" год"</f>
        <v>2034 год</v>
      </c>
      <c r="AR24" s="1026"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060" t="s">
        <v>558</v>
      </c>
      <c r="BF24" s="906"/>
    </row>
    <row r="25" spans="1:58" s="1217" customFormat="1" ht="48.75" customHeight="1" x14ac:dyDescent="0.15">
      <c r="B25" s="350"/>
      <c r="E25" s="542">
        <v>50</v>
      </c>
      <c r="AB25" s="2035"/>
      <c r="AC25" s="2035"/>
      <c r="AD25" s="2035"/>
      <c r="AE25" s="11" t="s">
        <v>359</v>
      </c>
      <c r="AF25" s="1026" t="s">
        <v>484</v>
      </c>
      <c r="AG25" s="11" t="s">
        <v>485</v>
      </c>
      <c r="AH25" s="11" t="s">
        <v>359</v>
      </c>
      <c r="AI25" s="1030" t="s">
        <v>360</v>
      </c>
      <c r="AJ25" s="1030" t="s">
        <v>360</v>
      </c>
      <c r="AK25" s="1030" t="s">
        <v>360</v>
      </c>
      <c r="AL25" s="1030" t="s">
        <v>360</v>
      </c>
      <c r="AM25" s="1030" t="s">
        <v>360</v>
      </c>
      <c r="AN25" s="1030" t="s">
        <v>360</v>
      </c>
      <c r="AO25" s="1030" t="s">
        <v>360</v>
      </c>
      <c r="AP25" s="1030" t="s">
        <v>360</v>
      </c>
      <c r="AQ25" s="1030" t="s">
        <v>360</v>
      </c>
      <c r="AR25" s="1030" t="s">
        <v>360</v>
      </c>
      <c r="AS25" s="276" t="s">
        <v>359</v>
      </c>
      <c r="AT25" s="276" t="s">
        <v>359</v>
      </c>
      <c r="AU25" s="276" t="s">
        <v>359</v>
      </c>
      <c r="AV25" s="276" t="s">
        <v>359</v>
      </c>
      <c r="AW25" s="276" t="s">
        <v>359</v>
      </c>
      <c r="AX25" s="276" t="s">
        <v>359</v>
      </c>
      <c r="AY25" s="276" t="s">
        <v>359</v>
      </c>
      <c r="AZ25" s="276" t="s">
        <v>359</v>
      </c>
      <c r="BA25" s="276" t="s">
        <v>359</v>
      </c>
      <c r="BB25" s="276" t="s">
        <v>359</v>
      </c>
      <c r="BC25" s="2060"/>
      <c r="BF25" s="906"/>
    </row>
    <row r="26" spans="1:58" s="1334" customFormat="1" ht="11.25" hidden="1" customHeight="1" x14ac:dyDescent="0.15">
      <c r="A26" s="422"/>
      <c r="B26" s="582"/>
      <c r="C26" s="422"/>
      <c r="D26" s="422"/>
      <c r="E26" s="583">
        <v>0</v>
      </c>
      <c r="F26" s="578" t="s">
        <v>1010</v>
      </c>
      <c r="G26" s="422"/>
      <c r="H26" s="422"/>
      <c r="I26" s="422"/>
      <c r="J26" s="422"/>
      <c r="K26" s="422"/>
      <c r="L26" s="422"/>
      <c r="M26" s="422"/>
      <c r="N26" s="422"/>
      <c r="O26" s="422"/>
      <c r="P26" s="422"/>
      <c r="Q26" s="422"/>
      <c r="R26" s="422"/>
      <c r="S26" s="422"/>
      <c r="T26" s="422"/>
      <c r="U26" s="422"/>
      <c r="V26" s="422"/>
      <c r="W26" s="422"/>
      <c r="X26" s="422"/>
      <c r="Y26" s="422"/>
      <c r="Z26" s="422"/>
      <c r="AC26" s="19"/>
      <c r="AD26" s="19"/>
      <c r="AE26" s="19"/>
      <c r="AF26" s="19"/>
      <c r="AQ26" s="20"/>
      <c r="BF26" s="913"/>
    </row>
    <row r="27" spans="1:58" s="1217" customFormat="1" ht="14.65" hidden="1" customHeight="1" x14ac:dyDescent="0.15">
      <c r="B27" s="350"/>
      <c r="E27" s="542">
        <v>15</v>
      </c>
      <c r="F27" s="17" cm="1">
        <f t="array" ref="F27">X27</f>
        <v>0</v>
      </c>
      <c r="T27" s="388" t="b">
        <f>X27&gt;0</f>
        <v>0</v>
      </c>
      <c r="V27" s="41" t="s">
        <v>271</v>
      </c>
      <c r="X27" s="2032">
        <v>0</v>
      </c>
      <c r="Z27" s="2066"/>
      <c r="AB27" s="141" t="str" cm="1">
        <f t="array" ref="AB27">INDEX('Общие сведения'!$AG$185:$AG$228,MATCH($X27,'Общие сведения'!$Z$185:$Z$228,0))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129"/>
      <c r="BF27" s="906"/>
    </row>
    <row r="28" spans="1:58" s="1217" customFormat="1" ht="71.650000000000006" hidden="1" customHeight="1" x14ac:dyDescent="0.15">
      <c r="B28" s="350"/>
      <c r="E28" s="542">
        <v>73.5</v>
      </c>
      <c r="F28" s="3" cm="1">
        <f t="array" aca="1" ref="F28" ca="1">OFFSET(E28,-1,1)</f>
        <v>0</v>
      </c>
      <c r="G28" s="417" t="s">
        <v>1011</v>
      </c>
      <c r="H28" s="41" t="s">
        <v>331</v>
      </c>
      <c r="K28" s="43" t="str">
        <f ca="1">F28&amp;"komm"</f>
        <v>0komm</v>
      </c>
      <c r="L28" s="832" cm="1">
        <f t="array" ref="L28">BC28</f>
        <v>0</v>
      </c>
      <c r="T28" s="388" t="b" cm="1">
        <f t="array" ref="T28">T27</f>
        <v>0</v>
      </c>
      <c r="X28" s="2032"/>
      <c r="Z28" s="2066"/>
      <c r="AB28" s="137" t="s">
        <v>282</v>
      </c>
      <c r="AC28" s="138" t="s">
        <v>1012</v>
      </c>
      <c r="AD28" s="124" t="s">
        <v>831</v>
      </c>
      <c r="AE28" s="693">
        <f t="shared" ref="AE28:BB28" si="1">AE29+AE32+AE33+AE34</f>
        <v>0</v>
      </c>
      <c r="AF28" s="693">
        <f t="shared" si="1"/>
        <v>0</v>
      </c>
      <c r="AG28" s="693">
        <f t="shared" si="1"/>
        <v>0</v>
      </c>
      <c r="AH28" s="693">
        <f t="shared" si="1"/>
        <v>0</v>
      </c>
      <c r="AI28" s="693">
        <f t="shared" si="1"/>
        <v>0</v>
      </c>
      <c r="AJ28" s="693">
        <f t="shared" si="1"/>
        <v>0</v>
      </c>
      <c r="AK28" s="693">
        <f t="shared" si="1"/>
        <v>0</v>
      </c>
      <c r="AL28" s="693">
        <f t="shared" si="1"/>
        <v>0</v>
      </c>
      <c r="AM28" s="693">
        <f t="shared" si="1"/>
        <v>0</v>
      </c>
      <c r="AN28" s="693">
        <f t="shared" si="1"/>
        <v>0</v>
      </c>
      <c r="AO28" s="693">
        <f t="shared" si="1"/>
        <v>0</v>
      </c>
      <c r="AP28" s="693">
        <f t="shared" si="1"/>
        <v>0</v>
      </c>
      <c r="AQ28" s="693">
        <f t="shared" si="1"/>
        <v>0</v>
      </c>
      <c r="AR28" s="693">
        <f t="shared" si="1"/>
        <v>0</v>
      </c>
      <c r="AS28" s="693">
        <f t="shared" si="1"/>
        <v>0</v>
      </c>
      <c r="AT28" s="693">
        <f t="shared" si="1"/>
        <v>0</v>
      </c>
      <c r="AU28" s="693">
        <f t="shared" si="1"/>
        <v>0</v>
      </c>
      <c r="AV28" s="693">
        <f t="shared" si="1"/>
        <v>0</v>
      </c>
      <c r="AW28" s="693">
        <f t="shared" si="1"/>
        <v>0</v>
      </c>
      <c r="AX28" s="693">
        <f t="shared" si="1"/>
        <v>0</v>
      </c>
      <c r="AY28" s="693">
        <f t="shared" si="1"/>
        <v>0</v>
      </c>
      <c r="AZ28" s="693">
        <f t="shared" si="1"/>
        <v>0</v>
      </c>
      <c r="BA28" s="693">
        <f t="shared" si="1"/>
        <v>0</v>
      </c>
      <c r="BB28" s="693">
        <f t="shared" si="1"/>
        <v>0</v>
      </c>
      <c r="BC28" s="1365"/>
      <c r="BF28" s="949" t="s">
        <v>1013</v>
      </c>
    </row>
    <row r="29" spans="1:58" s="1217" customFormat="1" ht="14.65" hidden="1" customHeight="1" x14ac:dyDescent="0.15">
      <c r="B29" s="350"/>
      <c r="D29" s="41" t="s">
        <v>1014</v>
      </c>
      <c r="E29" s="542">
        <v>15</v>
      </c>
      <c r="F29" s="3" cm="1">
        <f t="array" aca="1" ref="F29" ca="1">OFFSET(E29,-1,1)</f>
        <v>0</v>
      </c>
      <c r="H29" s="41" t="s">
        <v>494</v>
      </c>
      <c r="T29" s="388" t="b" cm="1">
        <f t="array" ref="T29">T28</f>
        <v>0</v>
      </c>
      <c r="X29" s="2032"/>
      <c r="Z29" s="2066"/>
      <c r="AB29" s="139" t="s">
        <v>910</v>
      </c>
      <c r="AC29" s="682" t="s">
        <v>1014</v>
      </c>
      <c r="AD29" s="842" t="s">
        <v>831</v>
      </c>
      <c r="AE29" s="1404">
        <f t="shared" ref="AE29:BB29" si="2">SUM(AE30:AE31)</f>
        <v>0</v>
      </c>
      <c r="AF29" s="1404">
        <f t="shared" si="2"/>
        <v>0</v>
      </c>
      <c r="AG29" s="1404">
        <f t="shared" si="2"/>
        <v>0</v>
      </c>
      <c r="AH29" s="1404">
        <f t="shared" si="2"/>
        <v>0</v>
      </c>
      <c r="AI29" s="692">
        <f t="shared" si="2"/>
        <v>0</v>
      </c>
      <c r="AJ29" s="1404">
        <f t="shared" si="2"/>
        <v>0</v>
      </c>
      <c r="AK29" s="1404">
        <f t="shared" si="2"/>
        <v>0</v>
      </c>
      <c r="AL29" s="1404">
        <f t="shared" si="2"/>
        <v>0</v>
      </c>
      <c r="AM29" s="1404">
        <f t="shared" si="2"/>
        <v>0</v>
      </c>
      <c r="AN29" s="1404">
        <f t="shared" si="2"/>
        <v>0</v>
      </c>
      <c r="AO29" s="1404">
        <f t="shared" si="2"/>
        <v>0</v>
      </c>
      <c r="AP29" s="1404">
        <f t="shared" si="2"/>
        <v>0</v>
      </c>
      <c r="AQ29" s="1404">
        <f t="shared" si="2"/>
        <v>0</v>
      </c>
      <c r="AR29" s="1404">
        <f t="shared" si="2"/>
        <v>0</v>
      </c>
      <c r="AS29" s="692">
        <f t="shared" si="2"/>
        <v>0</v>
      </c>
      <c r="AT29" s="1404">
        <f t="shared" si="2"/>
        <v>0</v>
      </c>
      <c r="AU29" s="1404">
        <f t="shared" si="2"/>
        <v>0</v>
      </c>
      <c r="AV29" s="1404">
        <f t="shared" si="2"/>
        <v>0</v>
      </c>
      <c r="AW29" s="1404">
        <f t="shared" si="2"/>
        <v>0</v>
      </c>
      <c r="AX29" s="1404">
        <f t="shared" si="2"/>
        <v>0</v>
      </c>
      <c r="AY29" s="1404">
        <f t="shared" si="2"/>
        <v>0</v>
      </c>
      <c r="AZ29" s="1404">
        <f t="shared" si="2"/>
        <v>0</v>
      </c>
      <c r="BA29" s="1404">
        <f t="shared" si="2"/>
        <v>0</v>
      </c>
      <c r="BB29" s="1404">
        <f t="shared" si="2"/>
        <v>0</v>
      </c>
      <c r="BC29" s="1365"/>
      <c r="BF29" s="949" t="s">
        <v>1015</v>
      </c>
    </row>
    <row r="30" spans="1:58" s="1217" customFormat="1" ht="23.45" hidden="1" customHeight="1" x14ac:dyDescent="0.15">
      <c r="B30" s="350"/>
      <c r="E30" s="542">
        <v>24</v>
      </c>
      <c r="F30" s="3" cm="1">
        <f t="array" aca="1" ref="F30" ca="1">OFFSET(E30,-1,1)</f>
        <v>0</v>
      </c>
      <c r="H30" s="41" t="s">
        <v>1016</v>
      </c>
      <c r="T30" s="388" t="b" cm="1">
        <f t="array" ref="T30">T29</f>
        <v>0</v>
      </c>
      <c r="X30" s="2032"/>
      <c r="Z30" s="2066"/>
      <c r="AB30" s="139" t="s">
        <v>1017</v>
      </c>
      <c r="AC30" s="685" t="s">
        <v>1018</v>
      </c>
      <c r="AD30" s="842" t="s">
        <v>831</v>
      </c>
      <c r="AE30" s="1404"/>
      <c r="AF30" s="1404"/>
      <c r="AG30" s="1404"/>
      <c r="AH30" s="1404"/>
      <c r="AI30" s="692"/>
      <c r="AJ30" s="1404"/>
      <c r="AK30" s="1404"/>
      <c r="AL30" s="1404"/>
      <c r="AM30" s="1404"/>
      <c r="AN30" s="1404"/>
      <c r="AO30" s="1404"/>
      <c r="AP30" s="1404"/>
      <c r="AQ30" s="1404"/>
      <c r="AR30" s="1404"/>
      <c r="AS30" s="692"/>
      <c r="AT30" s="1404"/>
      <c r="AU30" s="1404"/>
      <c r="AV30" s="1404"/>
      <c r="AW30" s="1404"/>
      <c r="AX30" s="1404"/>
      <c r="AY30" s="1404"/>
      <c r="AZ30" s="1404"/>
      <c r="BA30" s="1404"/>
      <c r="BB30" s="1404"/>
      <c r="BC30" s="1365"/>
      <c r="BF30" s="906" t="s">
        <v>1019</v>
      </c>
    </row>
    <row r="31" spans="1:58" s="1217" customFormat="1" ht="14.65" hidden="1" customHeight="1" x14ac:dyDescent="0.15">
      <c r="B31" s="350"/>
      <c r="E31" s="542">
        <v>15</v>
      </c>
      <c r="F31" s="3" cm="1">
        <f t="array" aca="1" ref="F31" ca="1">OFFSET(E31,-1,1)</f>
        <v>0</v>
      </c>
      <c r="H31" s="41" t="s">
        <v>1020</v>
      </c>
      <c r="T31" s="388" t="b" cm="1">
        <f t="array" ref="T31">T30</f>
        <v>0</v>
      </c>
      <c r="X31" s="2032"/>
      <c r="Z31" s="2066"/>
      <c r="AB31" s="139" t="s">
        <v>1021</v>
      </c>
      <c r="AC31" s="685" t="s">
        <v>1022</v>
      </c>
      <c r="AD31" s="842" t="s">
        <v>831</v>
      </c>
      <c r="AE31" s="1404"/>
      <c r="AF31" s="1404"/>
      <c r="AG31" s="1404"/>
      <c r="AH31" s="1404"/>
      <c r="AI31" s="692"/>
      <c r="AJ31" s="1404"/>
      <c r="AK31" s="1404"/>
      <c r="AL31" s="1404"/>
      <c r="AM31" s="1404"/>
      <c r="AN31" s="1404"/>
      <c r="AO31" s="1404"/>
      <c r="AP31" s="1404"/>
      <c r="AQ31" s="1404"/>
      <c r="AR31" s="1404"/>
      <c r="AS31" s="692"/>
      <c r="AT31" s="1404"/>
      <c r="AU31" s="1404"/>
      <c r="AV31" s="1404"/>
      <c r="AW31" s="1404"/>
      <c r="AX31" s="1404"/>
      <c r="AY31" s="1404"/>
      <c r="AZ31" s="1404"/>
      <c r="BA31" s="1404"/>
      <c r="BB31" s="1404"/>
      <c r="BC31" s="1365"/>
      <c r="BF31" s="906" t="s">
        <v>1023</v>
      </c>
    </row>
    <row r="32" spans="1:58" s="1217" customFormat="1" ht="14.65" hidden="1" customHeight="1" x14ac:dyDescent="0.15">
      <c r="B32" s="350"/>
      <c r="D32" s="41" t="s">
        <v>1024</v>
      </c>
      <c r="E32" s="542">
        <v>15</v>
      </c>
      <c r="F32" s="3" cm="1">
        <f t="array" aca="1" ref="F32" ca="1">OFFSET(E32,-1,1)</f>
        <v>0</v>
      </c>
      <c r="H32" s="41" t="s">
        <v>498</v>
      </c>
      <c r="T32" s="388" t="b" cm="1">
        <f t="array" ref="T32">T31</f>
        <v>0</v>
      </c>
      <c r="X32" s="2032"/>
      <c r="Z32" s="2066"/>
      <c r="AB32" s="139" t="s">
        <v>913</v>
      </c>
      <c r="AC32" s="843" t="s">
        <v>1025</v>
      </c>
      <c r="AD32" s="842" t="s">
        <v>831</v>
      </c>
      <c r="AE32" s="1404"/>
      <c r="AF32" s="1404"/>
      <c r="AG32" s="1404"/>
      <c r="AH32" s="1404"/>
      <c r="AI32" s="692"/>
      <c r="AJ32" s="1404"/>
      <c r="AK32" s="1404"/>
      <c r="AL32" s="1404"/>
      <c r="AM32" s="1404"/>
      <c r="AN32" s="1404"/>
      <c r="AO32" s="1404"/>
      <c r="AP32" s="1404"/>
      <c r="AQ32" s="1404"/>
      <c r="AR32" s="1404"/>
      <c r="AS32" s="692"/>
      <c r="AT32" s="1404"/>
      <c r="AU32" s="1404"/>
      <c r="AV32" s="1404"/>
      <c r="AW32" s="1404"/>
      <c r="AX32" s="1404"/>
      <c r="AY32" s="1404"/>
      <c r="AZ32" s="1404"/>
      <c r="BA32" s="1404"/>
      <c r="BB32" s="1404"/>
      <c r="BC32" s="1365"/>
      <c r="BF32" s="906" t="s">
        <v>1026</v>
      </c>
    </row>
    <row r="33" spans="1:58" s="1217" customFormat="1" ht="14.65" hidden="1" customHeight="1" x14ac:dyDescent="0.15">
      <c r="B33" s="350"/>
      <c r="D33" s="41" t="s">
        <v>1027</v>
      </c>
      <c r="E33" s="542">
        <v>15</v>
      </c>
      <c r="F33" s="3" cm="1">
        <f t="array" aca="1" ref="F33" ca="1">OFFSET(E33,-1,1)</f>
        <v>0</v>
      </c>
      <c r="H33" s="41" t="s">
        <v>501</v>
      </c>
      <c r="T33" s="388" t="b" cm="1">
        <f t="array" ref="T33">T32</f>
        <v>0</v>
      </c>
      <c r="X33" s="2032"/>
      <c r="Z33" s="2066"/>
      <c r="AB33" s="139" t="s">
        <v>916</v>
      </c>
      <c r="AC33" s="682" t="s">
        <v>1028</v>
      </c>
      <c r="AD33" s="842" t="s">
        <v>831</v>
      </c>
      <c r="AE33" s="1404"/>
      <c r="AF33" s="1404"/>
      <c r="AG33" s="1404"/>
      <c r="AH33" s="1404"/>
      <c r="AI33" s="692"/>
      <c r="AJ33" s="1404"/>
      <c r="AK33" s="1404"/>
      <c r="AL33" s="1404"/>
      <c r="AM33" s="1404"/>
      <c r="AN33" s="1404"/>
      <c r="AO33" s="1404"/>
      <c r="AP33" s="1404"/>
      <c r="AQ33" s="1404"/>
      <c r="AR33" s="1404"/>
      <c r="AS33" s="692"/>
      <c r="AT33" s="1404"/>
      <c r="AU33" s="1404"/>
      <c r="AV33" s="1404"/>
      <c r="AW33" s="1404"/>
      <c r="AX33" s="1404"/>
      <c r="AY33" s="1404"/>
      <c r="AZ33" s="1404"/>
      <c r="BA33" s="1404"/>
      <c r="BB33" s="1404"/>
      <c r="BC33" s="1365"/>
      <c r="BF33" s="906" t="s">
        <v>1029</v>
      </c>
    </row>
    <row r="34" spans="1:58" s="1217" customFormat="1" ht="14.65" hidden="1" customHeight="1" x14ac:dyDescent="0.15">
      <c r="B34" s="350"/>
      <c r="D34" s="41" t="s">
        <v>1030</v>
      </c>
      <c r="E34" s="542">
        <v>15</v>
      </c>
      <c r="F34" s="3" cm="1">
        <f t="array" aca="1" ref="F34" ca="1">OFFSET(E34,-1,1)</f>
        <v>0</v>
      </c>
      <c r="H34" s="41" t="s">
        <v>505</v>
      </c>
      <c r="T34" s="388" t="b" cm="1">
        <f t="array" ref="T34">T33</f>
        <v>0</v>
      </c>
      <c r="X34" s="2032"/>
      <c r="Z34" s="2066"/>
      <c r="AB34" s="139" t="s">
        <v>919</v>
      </c>
      <c r="AC34" s="682" t="s">
        <v>1031</v>
      </c>
      <c r="AD34" s="842" t="s">
        <v>831</v>
      </c>
      <c r="AE34" s="1404">
        <f t="shared" ref="AE34:BB34" si="3">SUM(AE35:AE36)</f>
        <v>0</v>
      </c>
      <c r="AF34" s="1404">
        <f t="shared" si="3"/>
        <v>0</v>
      </c>
      <c r="AG34" s="1404">
        <f t="shared" si="3"/>
        <v>0</v>
      </c>
      <c r="AH34" s="1404">
        <f t="shared" si="3"/>
        <v>0</v>
      </c>
      <c r="AI34" s="692">
        <f t="shared" si="3"/>
        <v>0</v>
      </c>
      <c r="AJ34" s="1404">
        <f t="shared" si="3"/>
        <v>0</v>
      </c>
      <c r="AK34" s="1404">
        <f t="shared" si="3"/>
        <v>0</v>
      </c>
      <c r="AL34" s="1404">
        <f t="shared" si="3"/>
        <v>0</v>
      </c>
      <c r="AM34" s="1404">
        <f t="shared" si="3"/>
        <v>0</v>
      </c>
      <c r="AN34" s="1404">
        <f t="shared" si="3"/>
        <v>0</v>
      </c>
      <c r="AO34" s="1404">
        <f t="shared" si="3"/>
        <v>0</v>
      </c>
      <c r="AP34" s="1404">
        <f t="shared" si="3"/>
        <v>0</v>
      </c>
      <c r="AQ34" s="1404">
        <f t="shared" si="3"/>
        <v>0</v>
      </c>
      <c r="AR34" s="1404">
        <f t="shared" si="3"/>
        <v>0</v>
      </c>
      <c r="AS34" s="692">
        <f t="shared" si="3"/>
        <v>0</v>
      </c>
      <c r="AT34" s="1404">
        <f t="shared" si="3"/>
        <v>0</v>
      </c>
      <c r="AU34" s="1404">
        <f t="shared" si="3"/>
        <v>0</v>
      </c>
      <c r="AV34" s="1404">
        <f t="shared" si="3"/>
        <v>0</v>
      </c>
      <c r="AW34" s="1404">
        <f t="shared" si="3"/>
        <v>0</v>
      </c>
      <c r="AX34" s="1404">
        <f t="shared" si="3"/>
        <v>0</v>
      </c>
      <c r="AY34" s="1404">
        <f t="shared" si="3"/>
        <v>0</v>
      </c>
      <c r="AZ34" s="1404">
        <f t="shared" si="3"/>
        <v>0</v>
      </c>
      <c r="BA34" s="1404">
        <f t="shared" si="3"/>
        <v>0</v>
      </c>
      <c r="BB34" s="1404">
        <f t="shared" si="3"/>
        <v>0</v>
      </c>
      <c r="BC34" s="1365"/>
      <c r="BF34" s="906" t="s">
        <v>1032</v>
      </c>
    </row>
    <row r="35" spans="1:58" s="1217" customFormat="1" ht="35.1" hidden="1" customHeight="1" x14ac:dyDescent="0.15">
      <c r="B35" s="350"/>
      <c r="E35" s="542">
        <v>36</v>
      </c>
      <c r="F35" s="3" cm="1">
        <f t="array" aca="1" ref="F35" ca="1">OFFSET(E35,-1,1)</f>
        <v>0</v>
      </c>
      <c r="T35" s="388" t="b" cm="1">
        <f t="array" ref="T35">T34</f>
        <v>0</v>
      </c>
      <c r="X35" s="2032"/>
      <c r="Z35" s="2066"/>
      <c r="AB35" s="139" t="s">
        <v>1033</v>
      </c>
      <c r="AC35" s="682" t="s">
        <v>1034</v>
      </c>
      <c r="AD35" s="842" t="s">
        <v>831</v>
      </c>
      <c r="AE35" s="1404"/>
      <c r="AF35" s="1404"/>
      <c r="AG35" s="1404"/>
      <c r="AH35" s="1404"/>
      <c r="AI35" s="692"/>
      <c r="AJ35" s="1404"/>
      <c r="AK35" s="1404"/>
      <c r="AL35" s="1404"/>
      <c r="AM35" s="1404"/>
      <c r="AN35" s="1404"/>
      <c r="AO35" s="1404"/>
      <c r="AP35" s="1404"/>
      <c r="AQ35" s="1404"/>
      <c r="AR35" s="1404"/>
      <c r="AS35" s="692"/>
      <c r="AT35" s="1404"/>
      <c r="AU35" s="1404"/>
      <c r="AV35" s="1404"/>
      <c r="AW35" s="1404"/>
      <c r="AX35" s="1404"/>
      <c r="AY35" s="1404"/>
      <c r="AZ35" s="1404"/>
      <c r="BA35" s="1404"/>
      <c r="BB35" s="1404"/>
      <c r="BC35" s="1365"/>
      <c r="BF35" s="906" t="s">
        <v>1035</v>
      </c>
    </row>
    <row r="36" spans="1:58" s="1217" customFormat="1" ht="35.1" hidden="1" customHeight="1" x14ac:dyDescent="0.15">
      <c r="B36" s="350"/>
      <c r="E36" s="542">
        <v>36</v>
      </c>
      <c r="F36" s="3" cm="1">
        <f t="array" aca="1" ref="F36" ca="1">OFFSET(E36,-1,1)</f>
        <v>0</v>
      </c>
      <c r="T36" s="388" t="b" cm="1">
        <f t="array" ref="T36">T35</f>
        <v>0</v>
      </c>
      <c r="X36" s="2032"/>
      <c r="Z36" s="2066"/>
      <c r="AB36" s="139" t="s">
        <v>1036</v>
      </c>
      <c r="AC36" s="682" t="s">
        <v>1037</v>
      </c>
      <c r="AD36" s="842" t="s">
        <v>831</v>
      </c>
      <c r="AE36" s="1404"/>
      <c r="AF36" s="1404"/>
      <c r="AG36" s="1404"/>
      <c r="AH36" s="1404"/>
      <c r="AI36" s="692"/>
      <c r="AJ36" s="1404"/>
      <c r="AK36" s="1404"/>
      <c r="AL36" s="1404"/>
      <c r="AM36" s="1404"/>
      <c r="AN36" s="1404"/>
      <c r="AO36" s="1404"/>
      <c r="AP36" s="1404"/>
      <c r="AQ36" s="1404"/>
      <c r="AR36" s="1404"/>
      <c r="AS36" s="692"/>
      <c r="AT36" s="1404"/>
      <c r="AU36" s="1404"/>
      <c r="AV36" s="1404"/>
      <c r="AW36" s="1404"/>
      <c r="AX36" s="1404"/>
      <c r="AY36" s="1404"/>
      <c r="AZ36" s="1404"/>
      <c r="BA36" s="1404"/>
      <c r="BB36" s="1404"/>
      <c r="BC36" s="1365"/>
      <c r="BF36" s="906" t="s">
        <v>1038</v>
      </c>
    </row>
    <row r="37" spans="1:58" s="461" customFormat="1" ht="14.25" customHeight="1" x14ac:dyDescent="0.15">
      <c r="A37" s="1217"/>
      <c r="B37" s="350"/>
      <c r="C37" s="1217"/>
      <c r="D37" s="1217"/>
      <c r="E37" s="542">
        <v>15</v>
      </c>
      <c r="F37" s="17" t="str" cm="1">
        <f t="array" ref="F37">X37</f>
        <v>1</v>
      </c>
      <c r="G37" s="1217"/>
      <c r="H37" s="1217"/>
      <c r="I37" s="1217"/>
      <c r="J37" s="1217"/>
      <c r="K37" s="1217"/>
      <c r="L37" s="1217"/>
      <c r="M37" s="1217"/>
      <c r="N37" s="1217"/>
      <c r="O37" s="1217"/>
      <c r="P37" s="1217"/>
      <c r="Q37" s="1217"/>
      <c r="R37" s="1217"/>
      <c r="S37" s="1217"/>
      <c r="T37" s="388" t="b">
        <f>X37&gt;0</f>
        <v>1</v>
      </c>
      <c r="U37" s="1217"/>
      <c r="V37" s="41" t="str" cm="1">
        <f t="array" ref="V37">'Амортизация (аналог)'!$AB$34</f>
        <v>Тариф 1 (Водоснабжение) - тариф на питьевую воду</v>
      </c>
      <c r="W37" s="1217"/>
      <c r="X37" s="2032" t="s">
        <v>282</v>
      </c>
      <c r="Y37" s="1217"/>
      <c r="Z37" s="2066"/>
      <c r="AA37" s="1217"/>
      <c r="AB37" s="141" t="str" cm="1">
        <f t="array" ref="AB37">'Амортизация (аналог)'!$AB$34</f>
        <v>Тариф 1 (Водоснабжение) - тариф на питьевую воду</v>
      </c>
      <c r="AC37" s="99"/>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129"/>
      <c r="BD37" s="1217"/>
      <c r="BE37" s="1217"/>
      <c r="BF37" s="906"/>
    </row>
    <row r="38" spans="1:58" s="461" customFormat="1" ht="71.650000000000006" customHeight="1" x14ac:dyDescent="0.15">
      <c r="A38" s="1217"/>
      <c r="B38" s="350"/>
      <c r="C38" s="1217"/>
      <c r="D38" s="1217"/>
      <c r="E38" s="542">
        <v>73.5</v>
      </c>
      <c r="F38" s="3" t="str" cm="1">
        <f t="array" aca="1" ref="F38" ca="1">OFFSET(E38,-1,1)</f>
        <v>1</v>
      </c>
      <c r="G38" s="417" t="s">
        <v>1011</v>
      </c>
      <c r="H38" s="41" t="s">
        <v>331</v>
      </c>
      <c r="I38" s="1217"/>
      <c r="J38" s="1217"/>
      <c r="K38" s="43" t="str">
        <f ca="1">F38&amp;"komm"</f>
        <v>1komm</v>
      </c>
      <c r="L38" s="832" t="str" cm="1">
        <f t="array" ref="L38">BC38</f>
        <v>Пункты 49 (3), 51, 29 Методических указаний ФСТ № 1746-э.</v>
      </c>
      <c r="M38" s="1217"/>
      <c r="N38" s="1217"/>
      <c r="O38" s="1217"/>
      <c r="P38" s="1217"/>
      <c r="Q38" s="1217"/>
      <c r="R38" s="1217"/>
      <c r="S38" s="1217"/>
      <c r="T38" s="388" t="b" cm="1">
        <f t="array" ref="T38">T37</f>
        <v>1</v>
      </c>
      <c r="U38" s="1217"/>
      <c r="V38" s="1217"/>
      <c r="W38" s="1217"/>
      <c r="X38" s="2032"/>
      <c r="Y38" s="1217"/>
      <c r="Z38" s="2066"/>
      <c r="AA38" s="1217"/>
      <c r="AB38" s="137" t="s">
        <v>282</v>
      </c>
      <c r="AC38" s="138" t="s">
        <v>1012</v>
      </c>
      <c r="AD38" s="124" t="s">
        <v>831</v>
      </c>
      <c r="AE38" s="693">
        <f t="shared" ref="AE38:BB38" si="4">AE39+AE42+AE43+AE44</f>
        <v>119.99</v>
      </c>
      <c r="AF38" s="693">
        <f t="shared" si="4"/>
        <v>253.09</v>
      </c>
      <c r="AG38" s="693">
        <f t="shared" si="4"/>
        <v>97.87</v>
      </c>
      <c r="AH38" s="693">
        <f t="shared" si="4"/>
        <v>119.99</v>
      </c>
      <c r="AI38" s="693">
        <f t="shared" si="4"/>
        <v>812.5</v>
      </c>
      <c r="AJ38" s="693">
        <f t="shared" si="4"/>
        <v>1134.35785216</v>
      </c>
      <c r="AK38" s="693">
        <f t="shared" si="4"/>
        <v>1179.7321662464001</v>
      </c>
      <c r="AL38" s="693">
        <f t="shared" si="4"/>
        <v>1226.9214528963</v>
      </c>
      <c r="AM38" s="693">
        <f t="shared" si="4"/>
        <v>1275.9983110121</v>
      </c>
      <c r="AN38" s="693">
        <f t="shared" si="4"/>
        <v>1327.0382434526</v>
      </c>
      <c r="AO38" s="693">
        <f t="shared" si="4"/>
        <v>1380.1197731907</v>
      </c>
      <c r="AP38" s="693">
        <f t="shared" si="4"/>
        <v>0</v>
      </c>
      <c r="AQ38" s="693">
        <f t="shared" si="4"/>
        <v>0</v>
      </c>
      <c r="AR38" s="693">
        <f t="shared" si="4"/>
        <v>0</v>
      </c>
      <c r="AS38" s="693">
        <f t="shared" si="4"/>
        <v>96.87</v>
      </c>
      <c r="AT38" s="693">
        <f t="shared" si="4"/>
        <v>119.99</v>
      </c>
      <c r="AU38" s="693">
        <f t="shared" si="4"/>
        <v>119.99</v>
      </c>
      <c r="AV38" s="693">
        <f t="shared" si="4"/>
        <v>119.99</v>
      </c>
      <c r="AW38" s="693">
        <f t="shared" si="4"/>
        <v>119.99</v>
      </c>
      <c r="AX38" s="693">
        <f t="shared" si="4"/>
        <v>119.99</v>
      </c>
      <c r="AY38" s="693">
        <f t="shared" si="4"/>
        <v>119.99</v>
      </c>
      <c r="AZ38" s="693">
        <f t="shared" si="4"/>
        <v>0</v>
      </c>
      <c r="BA38" s="693">
        <f t="shared" si="4"/>
        <v>0</v>
      </c>
      <c r="BB38" s="693">
        <f t="shared" si="4"/>
        <v>0</v>
      </c>
      <c r="BC38" s="119" t="s">
        <v>1039</v>
      </c>
      <c r="BD38" s="1217"/>
      <c r="BE38" s="1217"/>
      <c r="BF38" s="949" t="s">
        <v>1013</v>
      </c>
    </row>
    <row r="39" spans="1:58" s="461" customFormat="1" ht="14.65" customHeight="1" x14ac:dyDescent="0.15">
      <c r="A39" s="1217"/>
      <c r="B39" s="350"/>
      <c r="C39" s="1217"/>
      <c r="D39" s="41" t="s">
        <v>1014</v>
      </c>
      <c r="E39" s="542">
        <v>15</v>
      </c>
      <c r="F39" s="3" t="str" cm="1">
        <f t="array" aca="1" ref="F39" ca="1">OFFSET(E39,-1,1)</f>
        <v>1</v>
      </c>
      <c r="G39" s="1217"/>
      <c r="H39" s="41" t="s">
        <v>494</v>
      </c>
      <c r="I39" s="1217"/>
      <c r="J39" s="1217"/>
      <c r="K39" s="1217"/>
      <c r="L39" s="1217"/>
      <c r="M39" s="1217"/>
      <c r="N39" s="1217"/>
      <c r="O39" s="1217"/>
      <c r="P39" s="1217"/>
      <c r="Q39" s="1217"/>
      <c r="R39" s="1217"/>
      <c r="S39" s="1217"/>
      <c r="T39" s="388" t="b" cm="1">
        <f t="array" ref="T39">T38</f>
        <v>1</v>
      </c>
      <c r="U39" s="1217"/>
      <c r="V39" s="1217"/>
      <c r="W39" s="1217"/>
      <c r="X39" s="2032"/>
      <c r="Y39" s="1217"/>
      <c r="Z39" s="2066"/>
      <c r="AA39" s="1217"/>
      <c r="AB39" s="139" t="s">
        <v>910</v>
      </c>
      <c r="AC39" s="682" t="s">
        <v>1014</v>
      </c>
      <c r="AD39" s="842" t="s">
        <v>831</v>
      </c>
      <c r="AE39" s="692">
        <v>119.99</v>
      </c>
      <c r="AF39" s="692">
        <f>SUM(AF40:AF41)</f>
        <v>253.09</v>
      </c>
      <c r="AG39" s="692">
        <f>SUM(AG40:AG41)</f>
        <v>97.87</v>
      </c>
      <c r="AH39" s="692">
        <v>119.99</v>
      </c>
      <c r="AI39" s="692">
        <v>812.5</v>
      </c>
      <c r="AJ39" s="1404">
        <v>1134.35785216</v>
      </c>
      <c r="AK39" s="1404">
        <v>1179.7321662464001</v>
      </c>
      <c r="AL39" s="1404">
        <v>1226.9214528963</v>
      </c>
      <c r="AM39" s="1404">
        <v>1275.9983110121</v>
      </c>
      <c r="AN39" s="1404">
        <v>1327.0382434526</v>
      </c>
      <c r="AO39" s="1404">
        <v>1380.1197731907</v>
      </c>
      <c r="AP39" s="692">
        <f>SUM(AP40:AP41)</f>
        <v>0</v>
      </c>
      <c r="AQ39" s="692">
        <f>SUM(AQ40:AQ41)</f>
        <v>0</v>
      </c>
      <c r="AR39" s="692">
        <f>SUM(AR40:AR41)</f>
        <v>0</v>
      </c>
      <c r="AS39" s="692">
        <v>96.87</v>
      </c>
      <c r="AT39" s="1404">
        <v>119.99</v>
      </c>
      <c r="AU39" s="1404">
        <v>119.99</v>
      </c>
      <c r="AV39" s="1404">
        <v>119.99</v>
      </c>
      <c r="AW39" s="1404">
        <v>119.99</v>
      </c>
      <c r="AX39" s="1404">
        <v>119.99</v>
      </c>
      <c r="AY39" s="1404">
        <v>119.99</v>
      </c>
      <c r="AZ39" s="692">
        <f>SUM(AZ40:AZ41)</f>
        <v>0</v>
      </c>
      <c r="BA39" s="692">
        <f>SUM(BA40:BA41)</f>
        <v>0</v>
      </c>
      <c r="BB39" s="692">
        <f>SUM(BB40:BB41)</f>
        <v>0</v>
      </c>
      <c r="BC39" s="119"/>
      <c r="BD39" s="1217"/>
      <c r="BE39" s="1217"/>
      <c r="BF39" s="949" t="s">
        <v>1015</v>
      </c>
    </row>
    <row r="40" spans="1:58" s="461" customFormat="1" ht="23.25" customHeight="1" x14ac:dyDescent="0.15">
      <c r="A40" s="1217"/>
      <c r="B40" s="350"/>
      <c r="C40" s="1217"/>
      <c r="D40" s="1217"/>
      <c r="E40" s="542">
        <v>24</v>
      </c>
      <c r="F40" s="3" t="str" cm="1">
        <f t="array" aca="1" ref="F40" ca="1">OFFSET(E40,-1,1)</f>
        <v>1</v>
      </c>
      <c r="G40" s="1217"/>
      <c r="H40" s="41" t="s">
        <v>1016</v>
      </c>
      <c r="I40" s="1217"/>
      <c r="J40" s="1217"/>
      <c r="K40" s="1217"/>
      <c r="L40" s="1217"/>
      <c r="M40" s="1217"/>
      <c r="N40" s="1217"/>
      <c r="O40" s="1217"/>
      <c r="P40" s="1217"/>
      <c r="Q40" s="1217"/>
      <c r="R40" s="1217"/>
      <c r="S40" s="1217"/>
      <c r="T40" s="388" t="b" cm="1">
        <f t="array" ref="T40">T39</f>
        <v>1</v>
      </c>
      <c r="U40" s="1217"/>
      <c r="V40" s="1217"/>
      <c r="W40" s="1217"/>
      <c r="X40" s="2032"/>
      <c r="Y40" s="1217"/>
      <c r="Z40" s="2066"/>
      <c r="AA40" s="1217"/>
      <c r="AB40" s="139" t="s">
        <v>1017</v>
      </c>
      <c r="AC40" s="685" t="s">
        <v>1018</v>
      </c>
      <c r="AD40" s="842" t="s">
        <v>831</v>
      </c>
      <c r="AE40" s="692"/>
      <c r="AF40" s="692"/>
      <c r="AG40" s="692"/>
      <c r="AH40" s="692"/>
      <c r="AI40" s="692"/>
      <c r="AJ40" s="1404"/>
      <c r="AK40" s="1404"/>
      <c r="AL40" s="1404"/>
      <c r="AM40" s="1404"/>
      <c r="AN40" s="1404"/>
      <c r="AO40" s="1404"/>
      <c r="AP40" s="692"/>
      <c r="AQ40" s="692"/>
      <c r="AR40" s="692"/>
      <c r="AS40" s="692"/>
      <c r="AT40" s="1404"/>
      <c r="AU40" s="1404"/>
      <c r="AV40" s="1404"/>
      <c r="AW40" s="1404"/>
      <c r="AX40" s="1404"/>
      <c r="AY40" s="1404"/>
      <c r="AZ40" s="692"/>
      <c r="BA40" s="692"/>
      <c r="BB40" s="692"/>
      <c r="BC40" s="119"/>
      <c r="BD40" s="1217"/>
      <c r="BE40" s="1217"/>
      <c r="BF40" s="906" t="s">
        <v>1019</v>
      </c>
    </row>
    <row r="41" spans="1:58" s="461" customFormat="1" ht="233.25" customHeight="1" x14ac:dyDescent="0.15">
      <c r="A41" s="1217"/>
      <c r="B41" s="350"/>
      <c r="C41" s="1217"/>
      <c r="D41" s="1217"/>
      <c r="E41" s="542">
        <v>15</v>
      </c>
      <c r="F41" s="3" t="str" cm="1">
        <f t="array" aca="1" ref="F41" ca="1">OFFSET(E41,-1,1)</f>
        <v>1</v>
      </c>
      <c r="G41" s="1217"/>
      <c r="H41" s="41" t="s">
        <v>1020</v>
      </c>
      <c r="I41" s="1217"/>
      <c r="J41" s="1217"/>
      <c r="K41" s="1217"/>
      <c r="L41" s="1217"/>
      <c r="M41" s="1217"/>
      <c r="N41" s="1217"/>
      <c r="O41" s="1217"/>
      <c r="P41" s="1217"/>
      <c r="Q41" s="1217"/>
      <c r="R41" s="1217"/>
      <c r="S41" s="1217"/>
      <c r="T41" s="388" t="b" cm="1">
        <f t="array" ref="T41">T40</f>
        <v>1</v>
      </c>
      <c r="U41" s="1217"/>
      <c r="V41" s="1217"/>
      <c r="W41" s="1217"/>
      <c r="X41" s="2032"/>
      <c r="Y41" s="1217"/>
      <c r="Z41" s="2066"/>
      <c r="AA41" s="1217"/>
      <c r="AB41" s="139" t="s">
        <v>1021</v>
      </c>
      <c r="AC41" s="685" t="s">
        <v>1022</v>
      </c>
      <c r="AD41" s="842" t="s">
        <v>831</v>
      </c>
      <c r="AE41" s="692">
        <v>119.99</v>
      </c>
      <c r="AF41" s="692">
        <v>253.09</v>
      </c>
      <c r="AG41" s="692">
        <v>97.87</v>
      </c>
      <c r="AH41" s="692">
        <v>119.99</v>
      </c>
      <c r="AI41" s="692">
        <v>812.5</v>
      </c>
      <c r="AJ41" s="1404">
        <v>1134.35785216</v>
      </c>
      <c r="AK41" s="1404">
        <v>1179.7321662464001</v>
      </c>
      <c r="AL41" s="1404">
        <v>1226.9214528963</v>
      </c>
      <c r="AM41" s="1404">
        <v>1275.9983110121</v>
      </c>
      <c r="AN41" s="1404">
        <v>1327.0382434526</v>
      </c>
      <c r="AO41" s="1404">
        <v>1380.1197731907</v>
      </c>
      <c r="AP41" s="692"/>
      <c r="AQ41" s="692"/>
      <c r="AR41" s="692"/>
      <c r="AS41" s="692">
        <v>96.87</v>
      </c>
      <c r="AT41" s="1404">
        <v>119.99</v>
      </c>
      <c r="AU41" s="1404">
        <v>119.99</v>
      </c>
      <c r="AV41" s="1404">
        <v>119.99</v>
      </c>
      <c r="AW41" s="1404">
        <v>119.99</v>
      </c>
      <c r="AX41" s="1404">
        <v>119.99</v>
      </c>
      <c r="AY41" s="1404">
        <v>119.99</v>
      </c>
      <c r="AZ41" s="692"/>
      <c r="BA41" s="692"/>
      <c r="BB41" s="692"/>
      <c r="BC41" s="119" t="s">
        <v>1040</v>
      </c>
      <c r="BD41" s="1217"/>
      <c r="BE41" s="1217"/>
      <c r="BF41" s="906" t="s">
        <v>1023</v>
      </c>
    </row>
    <row r="42" spans="1:58" s="461" customFormat="1" ht="14.25" customHeight="1" x14ac:dyDescent="0.15">
      <c r="A42" s="1217"/>
      <c r="B42" s="350"/>
      <c r="C42" s="1217"/>
      <c r="D42" s="41" t="s">
        <v>1024</v>
      </c>
      <c r="E42" s="542">
        <v>15</v>
      </c>
      <c r="F42" s="3" t="str" cm="1">
        <f t="array" aca="1" ref="F42" ca="1">OFFSET(E42,-1,1)</f>
        <v>1</v>
      </c>
      <c r="G42" s="1217"/>
      <c r="H42" s="41" t="s">
        <v>498</v>
      </c>
      <c r="I42" s="1217"/>
      <c r="J42" s="1217"/>
      <c r="K42" s="1217"/>
      <c r="L42" s="1217"/>
      <c r="M42" s="1217"/>
      <c r="N42" s="1217"/>
      <c r="O42" s="1217"/>
      <c r="P42" s="1217"/>
      <c r="Q42" s="1217"/>
      <c r="R42" s="1217"/>
      <c r="S42" s="1217"/>
      <c r="T42" s="388" t="b" cm="1">
        <f t="array" ref="T42">T41</f>
        <v>1</v>
      </c>
      <c r="U42" s="1217"/>
      <c r="V42" s="1217"/>
      <c r="W42" s="1217"/>
      <c r="X42" s="2032"/>
      <c r="Y42" s="1217"/>
      <c r="Z42" s="2066"/>
      <c r="AA42" s="1217"/>
      <c r="AB42" s="139" t="s">
        <v>913</v>
      </c>
      <c r="AC42" s="843" t="s">
        <v>1025</v>
      </c>
      <c r="AD42" s="842" t="s">
        <v>831</v>
      </c>
      <c r="AE42" s="692"/>
      <c r="AF42" s="692"/>
      <c r="AG42" s="692"/>
      <c r="AH42" s="692"/>
      <c r="AI42" s="692"/>
      <c r="AJ42" s="1404"/>
      <c r="AK42" s="1404"/>
      <c r="AL42" s="1404"/>
      <c r="AM42" s="1404"/>
      <c r="AN42" s="1404"/>
      <c r="AO42" s="1404"/>
      <c r="AP42" s="692"/>
      <c r="AQ42" s="692"/>
      <c r="AR42" s="692"/>
      <c r="AS42" s="692"/>
      <c r="AT42" s="1404"/>
      <c r="AU42" s="1404"/>
      <c r="AV42" s="1404"/>
      <c r="AW42" s="1404"/>
      <c r="AX42" s="1404"/>
      <c r="AY42" s="1404"/>
      <c r="AZ42" s="692"/>
      <c r="BA42" s="692"/>
      <c r="BB42" s="692"/>
      <c r="BC42" s="119"/>
      <c r="BD42" s="1217"/>
      <c r="BE42" s="1217"/>
      <c r="BF42" s="906" t="s">
        <v>1026</v>
      </c>
    </row>
    <row r="43" spans="1:58" s="461" customFormat="1" ht="14.25" customHeight="1" x14ac:dyDescent="0.15">
      <c r="A43" s="1217"/>
      <c r="B43" s="350"/>
      <c r="C43" s="1217"/>
      <c r="D43" s="41" t="s">
        <v>1027</v>
      </c>
      <c r="E43" s="542">
        <v>15</v>
      </c>
      <c r="F43" s="3" t="str" cm="1">
        <f t="array" aca="1" ref="F43" ca="1">OFFSET(E43,-1,1)</f>
        <v>1</v>
      </c>
      <c r="G43" s="1217"/>
      <c r="H43" s="41" t="s">
        <v>501</v>
      </c>
      <c r="I43" s="1217"/>
      <c r="J43" s="1217"/>
      <c r="K43" s="1217"/>
      <c r="L43" s="1217"/>
      <c r="M43" s="1217"/>
      <c r="N43" s="1217"/>
      <c r="O43" s="1217"/>
      <c r="P43" s="1217"/>
      <c r="Q43" s="1217"/>
      <c r="R43" s="1217"/>
      <c r="S43" s="1217"/>
      <c r="T43" s="388" t="b" cm="1">
        <f t="array" ref="T43">T42</f>
        <v>1</v>
      </c>
      <c r="U43" s="1217"/>
      <c r="V43" s="1217"/>
      <c r="W43" s="1217"/>
      <c r="X43" s="2032"/>
      <c r="Y43" s="1217"/>
      <c r="Z43" s="2066"/>
      <c r="AA43" s="1217"/>
      <c r="AB43" s="139" t="s">
        <v>916</v>
      </c>
      <c r="AC43" s="682" t="s">
        <v>1028</v>
      </c>
      <c r="AD43" s="842" t="s">
        <v>831</v>
      </c>
      <c r="AE43" s="692"/>
      <c r="AF43" s="692"/>
      <c r="AG43" s="692"/>
      <c r="AH43" s="692"/>
      <c r="AI43" s="692"/>
      <c r="AJ43" s="1404"/>
      <c r="AK43" s="1404"/>
      <c r="AL43" s="1404"/>
      <c r="AM43" s="1404"/>
      <c r="AN43" s="1404"/>
      <c r="AO43" s="1404"/>
      <c r="AP43" s="692"/>
      <c r="AQ43" s="692"/>
      <c r="AR43" s="692"/>
      <c r="AS43" s="692"/>
      <c r="AT43" s="1404"/>
      <c r="AU43" s="1404"/>
      <c r="AV43" s="1404"/>
      <c r="AW43" s="1404"/>
      <c r="AX43" s="1404"/>
      <c r="AY43" s="1404"/>
      <c r="AZ43" s="692"/>
      <c r="BA43" s="692"/>
      <c r="BB43" s="692"/>
      <c r="BC43" s="119"/>
      <c r="BD43" s="1217"/>
      <c r="BE43" s="1217"/>
      <c r="BF43" s="906" t="s">
        <v>1029</v>
      </c>
    </row>
    <row r="44" spans="1:58" s="461" customFormat="1" ht="14.25" customHeight="1" x14ac:dyDescent="0.15">
      <c r="A44" s="1217"/>
      <c r="B44" s="350"/>
      <c r="C44" s="1217"/>
      <c r="D44" s="41" t="s">
        <v>1030</v>
      </c>
      <c r="E44" s="542">
        <v>15</v>
      </c>
      <c r="F44" s="3" t="str" cm="1">
        <f t="array" aca="1" ref="F44" ca="1">OFFSET(E44,-1,1)</f>
        <v>1</v>
      </c>
      <c r="G44" s="1217"/>
      <c r="H44" s="41" t="s">
        <v>505</v>
      </c>
      <c r="I44" s="1217"/>
      <c r="J44" s="1217"/>
      <c r="K44" s="1217"/>
      <c r="L44" s="1217"/>
      <c r="M44" s="1217"/>
      <c r="N44" s="1217"/>
      <c r="O44" s="1217"/>
      <c r="P44" s="1217"/>
      <c r="Q44" s="1217"/>
      <c r="R44" s="1217"/>
      <c r="S44" s="1217"/>
      <c r="T44" s="388" t="b" cm="1">
        <f t="array" ref="T44">T43</f>
        <v>1</v>
      </c>
      <c r="U44" s="1217"/>
      <c r="V44" s="1217"/>
      <c r="W44" s="1217"/>
      <c r="X44" s="2032"/>
      <c r="Y44" s="1217"/>
      <c r="Z44" s="2066"/>
      <c r="AA44" s="1217"/>
      <c r="AB44" s="139" t="s">
        <v>919</v>
      </c>
      <c r="AC44" s="682" t="s">
        <v>1031</v>
      </c>
      <c r="AD44" s="842" t="s">
        <v>831</v>
      </c>
      <c r="AE44" s="692">
        <f t="shared" ref="AE44:BB44" si="5">SUM(AE45:AE46)</f>
        <v>0</v>
      </c>
      <c r="AF44" s="692">
        <f t="shared" si="5"/>
        <v>0</v>
      </c>
      <c r="AG44" s="692">
        <f t="shared" si="5"/>
        <v>0</v>
      </c>
      <c r="AH44" s="692">
        <f t="shared" si="5"/>
        <v>0</v>
      </c>
      <c r="AI44" s="692">
        <f t="shared" si="5"/>
        <v>0</v>
      </c>
      <c r="AJ44" s="1404">
        <f t="shared" si="5"/>
        <v>0</v>
      </c>
      <c r="AK44" s="1404">
        <f t="shared" si="5"/>
        <v>0</v>
      </c>
      <c r="AL44" s="1404">
        <f t="shared" si="5"/>
        <v>0</v>
      </c>
      <c r="AM44" s="1404">
        <f t="shared" si="5"/>
        <v>0</v>
      </c>
      <c r="AN44" s="1404">
        <f t="shared" si="5"/>
        <v>0</v>
      </c>
      <c r="AO44" s="1404">
        <f t="shared" si="5"/>
        <v>0</v>
      </c>
      <c r="AP44" s="692">
        <f t="shared" si="5"/>
        <v>0</v>
      </c>
      <c r="AQ44" s="692">
        <f t="shared" si="5"/>
        <v>0</v>
      </c>
      <c r="AR44" s="692">
        <f t="shared" si="5"/>
        <v>0</v>
      </c>
      <c r="AS44" s="692">
        <f t="shared" si="5"/>
        <v>0</v>
      </c>
      <c r="AT44" s="1404">
        <f t="shared" si="5"/>
        <v>0</v>
      </c>
      <c r="AU44" s="1404">
        <f t="shared" si="5"/>
        <v>0</v>
      </c>
      <c r="AV44" s="1404">
        <f t="shared" si="5"/>
        <v>0</v>
      </c>
      <c r="AW44" s="1404">
        <f t="shared" si="5"/>
        <v>0</v>
      </c>
      <c r="AX44" s="1404">
        <f t="shared" si="5"/>
        <v>0</v>
      </c>
      <c r="AY44" s="1404">
        <f t="shared" si="5"/>
        <v>0</v>
      </c>
      <c r="AZ44" s="692">
        <f t="shared" si="5"/>
        <v>0</v>
      </c>
      <c r="BA44" s="692">
        <f t="shared" si="5"/>
        <v>0</v>
      </c>
      <c r="BB44" s="692">
        <f t="shared" si="5"/>
        <v>0</v>
      </c>
      <c r="BC44" s="119"/>
      <c r="BD44" s="1217"/>
      <c r="BE44" s="1217"/>
      <c r="BF44" s="906" t="s">
        <v>1032</v>
      </c>
    </row>
    <row r="45" spans="1:58" s="461" customFormat="1" ht="34.5" customHeight="1" x14ac:dyDescent="0.15">
      <c r="A45" s="1217"/>
      <c r="B45" s="350"/>
      <c r="C45" s="1217"/>
      <c r="D45" s="1217"/>
      <c r="E45" s="542">
        <v>36</v>
      </c>
      <c r="F45" s="3" t="str" cm="1">
        <f t="array" aca="1" ref="F45" ca="1">OFFSET(E45,-1,1)</f>
        <v>1</v>
      </c>
      <c r="G45" s="1217"/>
      <c r="H45" s="1217"/>
      <c r="I45" s="1217"/>
      <c r="J45" s="1217"/>
      <c r="K45" s="1217"/>
      <c r="L45" s="1217"/>
      <c r="M45" s="1217"/>
      <c r="N45" s="1217"/>
      <c r="O45" s="1217"/>
      <c r="P45" s="1217"/>
      <c r="Q45" s="1217"/>
      <c r="R45" s="1217"/>
      <c r="S45" s="1217"/>
      <c r="T45" s="388" t="b" cm="1">
        <f t="array" ref="T45">T44</f>
        <v>1</v>
      </c>
      <c r="U45" s="1217"/>
      <c r="V45" s="1217"/>
      <c r="W45" s="1217"/>
      <c r="X45" s="2032"/>
      <c r="Y45" s="1217"/>
      <c r="Z45" s="2066"/>
      <c r="AA45" s="1217"/>
      <c r="AB45" s="139" t="s">
        <v>1033</v>
      </c>
      <c r="AC45" s="682" t="s">
        <v>1034</v>
      </c>
      <c r="AD45" s="842" t="s">
        <v>831</v>
      </c>
      <c r="AE45" s="692"/>
      <c r="AF45" s="692"/>
      <c r="AG45" s="692"/>
      <c r="AH45" s="692"/>
      <c r="AI45" s="692"/>
      <c r="AJ45" s="1404"/>
      <c r="AK45" s="1404"/>
      <c r="AL45" s="1404"/>
      <c r="AM45" s="1404"/>
      <c r="AN45" s="1404"/>
      <c r="AO45" s="1404"/>
      <c r="AP45" s="692"/>
      <c r="AQ45" s="692"/>
      <c r="AR45" s="692"/>
      <c r="AS45" s="692"/>
      <c r="AT45" s="1404"/>
      <c r="AU45" s="1404"/>
      <c r="AV45" s="1404"/>
      <c r="AW45" s="1404"/>
      <c r="AX45" s="1404"/>
      <c r="AY45" s="1404"/>
      <c r="AZ45" s="692"/>
      <c r="BA45" s="692"/>
      <c r="BB45" s="692"/>
      <c r="BC45" s="119"/>
      <c r="BD45" s="1217"/>
      <c r="BE45" s="1217"/>
      <c r="BF45" s="906" t="s">
        <v>1035</v>
      </c>
    </row>
    <row r="46" spans="1:58" s="461" customFormat="1" ht="34.5" customHeight="1" x14ac:dyDescent="0.15">
      <c r="A46" s="1217"/>
      <c r="B46" s="350"/>
      <c r="C46" s="1217"/>
      <c r="D46" s="1217"/>
      <c r="E46" s="542">
        <v>36</v>
      </c>
      <c r="F46" s="3" t="str" cm="1">
        <f t="array" aca="1" ref="F46" ca="1">OFFSET(E46,-1,1)</f>
        <v>1</v>
      </c>
      <c r="G46" s="1217"/>
      <c r="H46" s="1217"/>
      <c r="I46" s="1217"/>
      <c r="J46" s="1217"/>
      <c r="K46" s="1217"/>
      <c r="L46" s="1217"/>
      <c r="M46" s="1217"/>
      <c r="N46" s="1217"/>
      <c r="O46" s="1217"/>
      <c r="P46" s="1217"/>
      <c r="Q46" s="1217"/>
      <c r="R46" s="1217"/>
      <c r="S46" s="1217"/>
      <c r="T46" s="388" t="b" cm="1">
        <f t="array" ref="T46">T45</f>
        <v>1</v>
      </c>
      <c r="U46" s="1217"/>
      <c r="V46" s="1217"/>
      <c r="W46" s="1217"/>
      <c r="X46" s="2032"/>
      <c r="Y46" s="1217"/>
      <c r="Z46" s="2066"/>
      <c r="AA46" s="1217"/>
      <c r="AB46" s="139" t="s">
        <v>1036</v>
      </c>
      <c r="AC46" s="682" t="s">
        <v>1037</v>
      </c>
      <c r="AD46" s="842" t="s">
        <v>831</v>
      </c>
      <c r="AE46" s="692"/>
      <c r="AF46" s="692"/>
      <c r="AG46" s="692"/>
      <c r="AH46" s="692"/>
      <c r="AI46" s="692"/>
      <c r="AJ46" s="1404"/>
      <c r="AK46" s="1404"/>
      <c r="AL46" s="1404"/>
      <c r="AM46" s="1404"/>
      <c r="AN46" s="1404"/>
      <c r="AO46" s="1404"/>
      <c r="AP46" s="692"/>
      <c r="AQ46" s="692"/>
      <c r="AR46" s="692"/>
      <c r="AS46" s="692"/>
      <c r="AT46" s="1404"/>
      <c r="AU46" s="1404"/>
      <c r="AV46" s="1404"/>
      <c r="AW46" s="1404"/>
      <c r="AX46" s="1404"/>
      <c r="AY46" s="1404"/>
      <c r="AZ46" s="692"/>
      <c r="BA46" s="692"/>
      <c r="BB46" s="692"/>
      <c r="BC46" s="119"/>
      <c r="BD46" s="1217"/>
      <c r="BE46" s="1217"/>
      <c r="BF46" s="906" t="s">
        <v>1038</v>
      </c>
    </row>
    <row r="47" spans="1:58" s="461" customFormat="1" ht="14.25" customHeight="1" x14ac:dyDescent="0.15">
      <c r="A47" s="1217"/>
      <c r="B47" s="350"/>
      <c r="C47" s="1217"/>
      <c r="D47" s="1217"/>
      <c r="E47" s="542">
        <v>15</v>
      </c>
      <c r="F47" s="17" t="str" cm="1">
        <f t="array" ref="F47">X47</f>
        <v>2</v>
      </c>
      <c r="G47" s="1217"/>
      <c r="H47" s="1217"/>
      <c r="I47" s="1217"/>
      <c r="J47" s="1217"/>
      <c r="K47" s="1217"/>
      <c r="L47" s="1217"/>
      <c r="M47" s="1217"/>
      <c r="N47" s="1217"/>
      <c r="O47" s="1217"/>
      <c r="P47" s="1217"/>
      <c r="Q47" s="1217"/>
      <c r="R47" s="1217"/>
      <c r="S47" s="1217"/>
      <c r="T47" s="388" t="b">
        <f>X47&gt;0</f>
        <v>1</v>
      </c>
      <c r="U47" s="1217"/>
      <c r="V47" s="41" t="str" cm="1">
        <f t="array" ref="V47">'Амортизация (аналог)'!$AB$41</f>
        <v>Тариф 2 (Водоотведение) - тариф на водоотведение</v>
      </c>
      <c r="W47" s="1217"/>
      <c r="X47" s="2032" t="s">
        <v>289</v>
      </c>
      <c r="Y47" s="1217"/>
      <c r="Z47" s="2066"/>
      <c r="AA47" s="1217"/>
      <c r="AB47" s="141" t="str" cm="1">
        <f t="array" ref="AB47">'Амортизация (аналог)'!$AB$41</f>
        <v>Тариф 2 (Водоотведение) - тариф на водоотведение</v>
      </c>
      <c r="AC47" s="99"/>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129"/>
      <c r="BD47" s="1217"/>
      <c r="BE47" s="1217"/>
      <c r="BF47" s="906"/>
    </row>
    <row r="48" spans="1:58" s="461" customFormat="1" ht="71.650000000000006" customHeight="1" x14ac:dyDescent="0.15">
      <c r="A48" s="1217"/>
      <c r="B48" s="350"/>
      <c r="C48" s="1217"/>
      <c r="D48" s="1217"/>
      <c r="E48" s="542">
        <v>73.5</v>
      </c>
      <c r="F48" s="3" t="str" cm="1">
        <f t="array" aca="1" ref="F48" ca="1">OFFSET(E48,-1,1)</f>
        <v>2</v>
      </c>
      <c r="G48" s="417" t="s">
        <v>1011</v>
      </c>
      <c r="H48" s="41" t="s">
        <v>331</v>
      </c>
      <c r="I48" s="1217"/>
      <c r="J48" s="1217"/>
      <c r="K48" s="43" t="str">
        <f ca="1">F48&amp;"komm"</f>
        <v>2komm</v>
      </c>
      <c r="L48" s="832" t="str" cm="1">
        <f t="array" ref="L48">BC48</f>
        <v>Пункты 49 (3), 51, 29 Методических указаний ФСТ № 1746-э.</v>
      </c>
      <c r="M48" s="1217"/>
      <c r="N48" s="1217"/>
      <c r="O48" s="1217"/>
      <c r="P48" s="1217"/>
      <c r="Q48" s="1217"/>
      <c r="R48" s="1217"/>
      <c r="S48" s="1217"/>
      <c r="T48" s="388" t="b" cm="1">
        <f t="array" ref="T48">T47</f>
        <v>1</v>
      </c>
      <c r="U48" s="1217"/>
      <c r="V48" s="1217"/>
      <c r="W48" s="1217"/>
      <c r="X48" s="2032"/>
      <c r="Y48" s="1217"/>
      <c r="Z48" s="2066"/>
      <c r="AA48" s="1217"/>
      <c r="AB48" s="137" t="s">
        <v>282</v>
      </c>
      <c r="AC48" s="138" t="s">
        <v>1012</v>
      </c>
      <c r="AD48" s="124" t="s">
        <v>831</v>
      </c>
      <c r="AE48" s="693">
        <f t="shared" ref="AE48:BB48" si="6">AE49+AE52+AE53+AE54</f>
        <v>349.46</v>
      </c>
      <c r="AF48" s="693">
        <f t="shared" si="6"/>
        <v>186.42</v>
      </c>
      <c r="AG48" s="693">
        <f t="shared" si="6"/>
        <v>110.07</v>
      </c>
      <c r="AH48" s="693">
        <f t="shared" si="6"/>
        <v>349.46</v>
      </c>
      <c r="AI48" s="693">
        <f t="shared" si="6"/>
        <v>1047.17</v>
      </c>
      <c r="AJ48" s="693">
        <f t="shared" si="6"/>
        <v>0</v>
      </c>
      <c r="AK48" s="693">
        <f t="shared" si="6"/>
        <v>0</v>
      </c>
      <c r="AL48" s="693">
        <f t="shared" si="6"/>
        <v>0</v>
      </c>
      <c r="AM48" s="693">
        <f t="shared" si="6"/>
        <v>0</v>
      </c>
      <c r="AN48" s="693">
        <f t="shared" si="6"/>
        <v>0</v>
      </c>
      <c r="AO48" s="693">
        <f t="shared" si="6"/>
        <v>0</v>
      </c>
      <c r="AP48" s="693">
        <f t="shared" si="6"/>
        <v>0</v>
      </c>
      <c r="AQ48" s="693">
        <f t="shared" si="6"/>
        <v>0</v>
      </c>
      <c r="AR48" s="693">
        <f t="shared" si="6"/>
        <v>0</v>
      </c>
      <c r="AS48" s="693">
        <f t="shared" si="6"/>
        <v>109.64</v>
      </c>
      <c r="AT48" s="693">
        <f t="shared" si="6"/>
        <v>0</v>
      </c>
      <c r="AU48" s="693">
        <f t="shared" si="6"/>
        <v>0</v>
      </c>
      <c r="AV48" s="693">
        <f t="shared" si="6"/>
        <v>0</v>
      </c>
      <c r="AW48" s="693">
        <f t="shared" si="6"/>
        <v>0</v>
      </c>
      <c r="AX48" s="693">
        <f t="shared" si="6"/>
        <v>0</v>
      </c>
      <c r="AY48" s="693">
        <f t="shared" si="6"/>
        <v>0</v>
      </c>
      <c r="AZ48" s="693">
        <f t="shared" si="6"/>
        <v>0</v>
      </c>
      <c r="BA48" s="693">
        <f t="shared" si="6"/>
        <v>0</v>
      </c>
      <c r="BB48" s="693">
        <f t="shared" si="6"/>
        <v>0</v>
      </c>
      <c r="BC48" s="119" t="s">
        <v>1039</v>
      </c>
      <c r="BD48" s="1217"/>
      <c r="BE48" s="1217"/>
      <c r="BF48" s="949" t="s">
        <v>1013</v>
      </c>
    </row>
    <row r="49" spans="1:58" s="461" customFormat="1" ht="14.65" customHeight="1" x14ac:dyDescent="0.15">
      <c r="A49" s="1217"/>
      <c r="B49" s="350"/>
      <c r="C49" s="1217"/>
      <c r="D49" s="41" t="s">
        <v>1014</v>
      </c>
      <c r="E49" s="542">
        <v>15</v>
      </c>
      <c r="F49" s="3" t="str" cm="1">
        <f t="array" aca="1" ref="F49" ca="1">OFFSET(E49,-1,1)</f>
        <v>2</v>
      </c>
      <c r="G49" s="1217"/>
      <c r="H49" s="41" t="s">
        <v>494</v>
      </c>
      <c r="I49" s="1217"/>
      <c r="J49" s="1217"/>
      <c r="K49" s="1217"/>
      <c r="L49" s="1217"/>
      <c r="M49" s="1217"/>
      <c r="N49" s="1217"/>
      <c r="O49" s="1217"/>
      <c r="P49" s="1217"/>
      <c r="Q49" s="1217"/>
      <c r="R49" s="1217"/>
      <c r="S49" s="1217"/>
      <c r="T49" s="388" t="b" cm="1">
        <f t="array" ref="T49">T48</f>
        <v>1</v>
      </c>
      <c r="U49" s="1217"/>
      <c r="V49" s="1217"/>
      <c r="W49" s="1217"/>
      <c r="X49" s="2032"/>
      <c r="Y49" s="1217"/>
      <c r="Z49" s="2066"/>
      <c r="AA49" s="1217"/>
      <c r="AB49" s="139" t="s">
        <v>910</v>
      </c>
      <c r="AC49" s="682" t="s">
        <v>1014</v>
      </c>
      <c r="AD49" s="842" t="s">
        <v>831</v>
      </c>
      <c r="AE49" s="692">
        <v>349.46</v>
      </c>
      <c r="AF49" s="692">
        <f>SUM(AF50:AF51)</f>
        <v>186.42</v>
      </c>
      <c r="AG49" s="692">
        <f>SUM(AG50:AG51)</f>
        <v>110.07</v>
      </c>
      <c r="AH49" s="692">
        <v>349.46</v>
      </c>
      <c r="AI49" s="692">
        <f t="shared" ref="AI49:BB49" si="7">SUM(AI50:AI51)</f>
        <v>1047.17</v>
      </c>
      <c r="AJ49" s="1404">
        <f t="shared" si="7"/>
        <v>0</v>
      </c>
      <c r="AK49" s="1404">
        <f t="shared" si="7"/>
        <v>0</v>
      </c>
      <c r="AL49" s="1404">
        <f t="shared" si="7"/>
        <v>0</v>
      </c>
      <c r="AM49" s="1404">
        <f t="shared" si="7"/>
        <v>0</v>
      </c>
      <c r="AN49" s="1404">
        <f t="shared" si="7"/>
        <v>0</v>
      </c>
      <c r="AO49" s="1404">
        <f t="shared" si="7"/>
        <v>0</v>
      </c>
      <c r="AP49" s="692">
        <f t="shared" si="7"/>
        <v>0</v>
      </c>
      <c r="AQ49" s="692">
        <f t="shared" si="7"/>
        <v>0</v>
      </c>
      <c r="AR49" s="692">
        <f t="shared" si="7"/>
        <v>0</v>
      </c>
      <c r="AS49" s="692">
        <f t="shared" si="7"/>
        <v>109.64</v>
      </c>
      <c r="AT49" s="1404">
        <f t="shared" si="7"/>
        <v>0</v>
      </c>
      <c r="AU49" s="1404">
        <f t="shared" si="7"/>
        <v>0</v>
      </c>
      <c r="AV49" s="1404">
        <f t="shared" si="7"/>
        <v>0</v>
      </c>
      <c r="AW49" s="1404">
        <f t="shared" si="7"/>
        <v>0</v>
      </c>
      <c r="AX49" s="1404">
        <f t="shared" si="7"/>
        <v>0</v>
      </c>
      <c r="AY49" s="1404">
        <f t="shared" si="7"/>
        <v>0</v>
      </c>
      <c r="AZ49" s="692">
        <f t="shared" si="7"/>
        <v>0</v>
      </c>
      <c r="BA49" s="692">
        <f t="shared" si="7"/>
        <v>0</v>
      </c>
      <c r="BB49" s="692">
        <f t="shared" si="7"/>
        <v>0</v>
      </c>
      <c r="BC49" s="119"/>
      <c r="BD49" s="1217"/>
      <c r="BE49" s="1217"/>
      <c r="BF49" s="949" t="s">
        <v>1015</v>
      </c>
    </row>
    <row r="50" spans="1:58" s="461" customFormat="1" ht="44.25" customHeight="1" x14ac:dyDescent="0.15">
      <c r="A50" s="1217"/>
      <c r="B50" s="350"/>
      <c r="C50" s="1217"/>
      <c r="D50" s="1217"/>
      <c r="E50" s="542">
        <v>24</v>
      </c>
      <c r="F50" s="3" t="str" cm="1">
        <f t="array" aca="1" ref="F50" ca="1">OFFSET(E50,-1,1)</f>
        <v>2</v>
      </c>
      <c r="G50" s="1217"/>
      <c r="H50" s="41" t="s">
        <v>1016</v>
      </c>
      <c r="I50" s="1217"/>
      <c r="J50" s="1217"/>
      <c r="K50" s="1217"/>
      <c r="L50" s="1217"/>
      <c r="M50" s="1217"/>
      <c r="N50" s="1217"/>
      <c r="O50" s="1217"/>
      <c r="P50" s="1217"/>
      <c r="Q50" s="1217"/>
      <c r="R50" s="1217"/>
      <c r="S50" s="1217"/>
      <c r="T50" s="388" t="b" cm="1">
        <f t="array" ref="T50">T49</f>
        <v>1</v>
      </c>
      <c r="U50" s="1217"/>
      <c r="V50" s="1217"/>
      <c r="W50" s="1217"/>
      <c r="X50" s="2032"/>
      <c r="Y50" s="1217"/>
      <c r="Z50" s="2066"/>
      <c r="AA50" s="1217"/>
      <c r="AB50" s="139" t="s">
        <v>1017</v>
      </c>
      <c r="AC50" s="685" t="s">
        <v>1018</v>
      </c>
      <c r="AD50" s="842" t="s">
        <v>831</v>
      </c>
      <c r="AE50" s="692">
        <v>11.38</v>
      </c>
      <c r="AF50" s="692"/>
      <c r="AG50" s="692"/>
      <c r="AH50" s="692">
        <v>11.38</v>
      </c>
      <c r="AI50" s="692"/>
      <c r="AJ50" s="1404"/>
      <c r="AK50" s="1404"/>
      <c r="AL50" s="1404"/>
      <c r="AM50" s="1404"/>
      <c r="AN50" s="1404"/>
      <c r="AO50" s="1404"/>
      <c r="AP50" s="692"/>
      <c r="AQ50" s="692"/>
      <c r="AR50" s="692"/>
      <c r="AS50" s="692"/>
      <c r="AT50" s="1404"/>
      <c r="AU50" s="1404"/>
      <c r="AV50" s="1404"/>
      <c r="AW50" s="1404"/>
      <c r="AX50" s="1404"/>
      <c r="AY50" s="1404"/>
      <c r="AZ50" s="692"/>
      <c r="BA50" s="692"/>
      <c r="BB50" s="692"/>
      <c r="BC50" s="119"/>
      <c r="BD50" s="1217"/>
      <c r="BE50" s="1217"/>
      <c r="BF50" s="906" t="s">
        <v>1019</v>
      </c>
    </row>
    <row r="51" spans="1:58" s="461" customFormat="1" ht="233.25" customHeight="1" x14ac:dyDescent="0.15">
      <c r="A51" s="1217"/>
      <c r="B51" s="350"/>
      <c r="C51" s="1217"/>
      <c r="D51" s="1217"/>
      <c r="E51" s="542">
        <v>15</v>
      </c>
      <c r="F51" s="3" t="str" cm="1">
        <f t="array" aca="1" ref="F51" ca="1">OFFSET(E51,-1,1)</f>
        <v>2</v>
      </c>
      <c r="G51" s="1217"/>
      <c r="H51" s="41" t="s">
        <v>1020</v>
      </c>
      <c r="I51" s="1217"/>
      <c r="J51" s="1217"/>
      <c r="K51" s="1217"/>
      <c r="L51" s="1217"/>
      <c r="M51" s="1217"/>
      <c r="N51" s="1217"/>
      <c r="O51" s="1217"/>
      <c r="P51" s="1217"/>
      <c r="Q51" s="1217"/>
      <c r="R51" s="1217"/>
      <c r="S51" s="1217"/>
      <c r="T51" s="388" t="b" cm="1">
        <f t="array" ref="T51">T50</f>
        <v>1</v>
      </c>
      <c r="U51" s="1217"/>
      <c r="V51" s="1217"/>
      <c r="W51" s="1217"/>
      <c r="X51" s="2032"/>
      <c r="Y51" s="1217"/>
      <c r="Z51" s="2066"/>
      <c r="AA51" s="1217"/>
      <c r="AB51" s="139" t="s">
        <v>1021</v>
      </c>
      <c r="AC51" s="685" t="s">
        <v>1022</v>
      </c>
      <c r="AD51" s="842" t="s">
        <v>831</v>
      </c>
      <c r="AE51" s="692">
        <v>338.08</v>
      </c>
      <c r="AF51" s="692">
        <v>186.42</v>
      </c>
      <c r="AG51" s="692">
        <v>110.07</v>
      </c>
      <c r="AH51" s="692">
        <v>338.08</v>
      </c>
      <c r="AI51" s="692">
        <v>1047.17</v>
      </c>
      <c r="AJ51" s="1404"/>
      <c r="AK51" s="1404"/>
      <c r="AL51" s="1404"/>
      <c r="AM51" s="1404"/>
      <c r="AN51" s="1404"/>
      <c r="AO51" s="1404"/>
      <c r="AP51" s="692"/>
      <c r="AQ51" s="692"/>
      <c r="AR51" s="692"/>
      <c r="AS51" s="692">
        <v>109.64</v>
      </c>
      <c r="AT51" s="1404"/>
      <c r="AU51" s="1404"/>
      <c r="AV51" s="1404"/>
      <c r="AW51" s="1404"/>
      <c r="AX51" s="1404"/>
      <c r="AY51" s="1404"/>
      <c r="AZ51" s="692"/>
      <c r="BA51" s="692"/>
      <c r="BB51" s="692"/>
      <c r="BC51" s="119" t="s">
        <v>1041</v>
      </c>
      <c r="BD51" s="1217"/>
      <c r="BE51" s="1217"/>
      <c r="BF51" s="906" t="s">
        <v>1023</v>
      </c>
    </row>
    <row r="52" spans="1:58" s="461" customFormat="1" ht="14.25" customHeight="1" x14ac:dyDescent="0.15">
      <c r="A52" s="1217"/>
      <c r="B52" s="350"/>
      <c r="C52" s="1217"/>
      <c r="D52" s="41" t="s">
        <v>1024</v>
      </c>
      <c r="E52" s="542">
        <v>15</v>
      </c>
      <c r="F52" s="3" t="str" cm="1">
        <f t="array" aca="1" ref="F52" ca="1">OFFSET(E52,-1,1)</f>
        <v>2</v>
      </c>
      <c r="G52" s="1217"/>
      <c r="H52" s="41" t="s">
        <v>498</v>
      </c>
      <c r="I52" s="1217"/>
      <c r="J52" s="1217"/>
      <c r="K52" s="1217"/>
      <c r="L52" s="1217"/>
      <c r="M52" s="1217"/>
      <c r="N52" s="1217"/>
      <c r="O52" s="1217"/>
      <c r="P52" s="1217"/>
      <c r="Q52" s="1217"/>
      <c r="R52" s="1217"/>
      <c r="S52" s="1217"/>
      <c r="T52" s="388" t="b" cm="1">
        <f t="array" ref="T52">T51</f>
        <v>1</v>
      </c>
      <c r="U52" s="1217"/>
      <c r="V52" s="1217"/>
      <c r="W52" s="1217"/>
      <c r="X52" s="2032"/>
      <c r="Y52" s="1217"/>
      <c r="Z52" s="2066"/>
      <c r="AA52" s="1217"/>
      <c r="AB52" s="139" t="s">
        <v>913</v>
      </c>
      <c r="AC52" s="843" t="s">
        <v>1025</v>
      </c>
      <c r="AD52" s="842" t="s">
        <v>831</v>
      </c>
      <c r="AE52" s="692"/>
      <c r="AF52" s="692"/>
      <c r="AG52" s="692"/>
      <c r="AH52" s="692"/>
      <c r="AI52" s="692"/>
      <c r="AJ52" s="1404"/>
      <c r="AK52" s="1404"/>
      <c r="AL52" s="1404"/>
      <c r="AM52" s="1404"/>
      <c r="AN52" s="1404"/>
      <c r="AO52" s="1404"/>
      <c r="AP52" s="692"/>
      <c r="AQ52" s="692"/>
      <c r="AR52" s="692"/>
      <c r="AS52" s="692"/>
      <c r="AT52" s="1404"/>
      <c r="AU52" s="1404"/>
      <c r="AV52" s="1404"/>
      <c r="AW52" s="1404"/>
      <c r="AX52" s="1404"/>
      <c r="AY52" s="1404"/>
      <c r="AZ52" s="692"/>
      <c r="BA52" s="692"/>
      <c r="BB52" s="692"/>
      <c r="BC52" s="119"/>
      <c r="BD52" s="1217"/>
      <c r="BE52" s="1217"/>
      <c r="BF52" s="906" t="s">
        <v>1026</v>
      </c>
    </row>
    <row r="53" spans="1:58" s="461" customFormat="1" ht="14.25" customHeight="1" x14ac:dyDescent="0.15">
      <c r="A53" s="1217"/>
      <c r="B53" s="350"/>
      <c r="C53" s="1217"/>
      <c r="D53" s="41" t="s">
        <v>1027</v>
      </c>
      <c r="E53" s="542">
        <v>15</v>
      </c>
      <c r="F53" s="3" t="str" cm="1">
        <f t="array" aca="1" ref="F53" ca="1">OFFSET(E53,-1,1)</f>
        <v>2</v>
      </c>
      <c r="G53" s="1217"/>
      <c r="H53" s="41" t="s">
        <v>501</v>
      </c>
      <c r="I53" s="1217"/>
      <c r="J53" s="1217"/>
      <c r="K53" s="1217"/>
      <c r="L53" s="1217"/>
      <c r="M53" s="1217"/>
      <c r="N53" s="1217"/>
      <c r="O53" s="1217"/>
      <c r="P53" s="1217"/>
      <c r="Q53" s="1217"/>
      <c r="R53" s="1217"/>
      <c r="S53" s="1217"/>
      <c r="T53" s="388" t="b" cm="1">
        <f t="array" ref="T53">T52</f>
        <v>1</v>
      </c>
      <c r="U53" s="1217"/>
      <c r="V53" s="1217"/>
      <c r="W53" s="1217"/>
      <c r="X53" s="2032"/>
      <c r="Y53" s="1217"/>
      <c r="Z53" s="2066"/>
      <c r="AA53" s="1217"/>
      <c r="AB53" s="139" t="s">
        <v>916</v>
      </c>
      <c r="AC53" s="682" t="s">
        <v>1028</v>
      </c>
      <c r="AD53" s="842" t="s">
        <v>831</v>
      </c>
      <c r="AE53" s="692"/>
      <c r="AF53" s="692"/>
      <c r="AG53" s="692"/>
      <c r="AH53" s="692"/>
      <c r="AI53" s="692"/>
      <c r="AJ53" s="1404"/>
      <c r="AK53" s="1404"/>
      <c r="AL53" s="1404"/>
      <c r="AM53" s="1404"/>
      <c r="AN53" s="1404"/>
      <c r="AO53" s="1404"/>
      <c r="AP53" s="692"/>
      <c r="AQ53" s="692"/>
      <c r="AR53" s="692"/>
      <c r="AS53" s="692"/>
      <c r="AT53" s="1404"/>
      <c r="AU53" s="1404"/>
      <c r="AV53" s="1404"/>
      <c r="AW53" s="1404"/>
      <c r="AX53" s="1404"/>
      <c r="AY53" s="1404"/>
      <c r="AZ53" s="692"/>
      <c r="BA53" s="692"/>
      <c r="BB53" s="692"/>
      <c r="BC53" s="119"/>
      <c r="BD53" s="1217"/>
      <c r="BE53" s="1217"/>
      <c r="BF53" s="906" t="s">
        <v>1029</v>
      </c>
    </row>
    <row r="54" spans="1:58" s="461" customFormat="1" ht="14.25" customHeight="1" x14ac:dyDescent="0.15">
      <c r="A54" s="1217"/>
      <c r="B54" s="350"/>
      <c r="C54" s="1217"/>
      <c r="D54" s="41" t="s">
        <v>1030</v>
      </c>
      <c r="E54" s="542">
        <v>15</v>
      </c>
      <c r="F54" s="3" t="str" cm="1">
        <f t="array" aca="1" ref="F54" ca="1">OFFSET(E54,-1,1)</f>
        <v>2</v>
      </c>
      <c r="G54" s="1217"/>
      <c r="H54" s="41" t="s">
        <v>505</v>
      </c>
      <c r="I54" s="1217"/>
      <c r="J54" s="1217"/>
      <c r="K54" s="1217"/>
      <c r="L54" s="1217"/>
      <c r="M54" s="1217"/>
      <c r="N54" s="1217"/>
      <c r="O54" s="1217"/>
      <c r="P54" s="1217"/>
      <c r="Q54" s="1217"/>
      <c r="R54" s="1217"/>
      <c r="S54" s="1217"/>
      <c r="T54" s="388" t="b" cm="1">
        <f t="array" ref="T54">T53</f>
        <v>1</v>
      </c>
      <c r="U54" s="1217"/>
      <c r="V54" s="1217"/>
      <c r="W54" s="1217"/>
      <c r="X54" s="2032"/>
      <c r="Y54" s="1217"/>
      <c r="Z54" s="2066"/>
      <c r="AA54" s="1217"/>
      <c r="AB54" s="139" t="s">
        <v>919</v>
      </c>
      <c r="AC54" s="682" t="s">
        <v>1031</v>
      </c>
      <c r="AD54" s="842" t="s">
        <v>831</v>
      </c>
      <c r="AE54" s="692">
        <f t="shared" ref="AE54:BB54" si="8">SUM(AE55:AE56)</f>
        <v>0</v>
      </c>
      <c r="AF54" s="692">
        <f t="shared" si="8"/>
        <v>0</v>
      </c>
      <c r="AG54" s="692">
        <f t="shared" si="8"/>
        <v>0</v>
      </c>
      <c r="AH54" s="692">
        <f t="shared" si="8"/>
        <v>0</v>
      </c>
      <c r="AI54" s="692">
        <f t="shared" si="8"/>
        <v>0</v>
      </c>
      <c r="AJ54" s="1404">
        <f t="shared" si="8"/>
        <v>0</v>
      </c>
      <c r="AK54" s="1404">
        <f t="shared" si="8"/>
        <v>0</v>
      </c>
      <c r="AL54" s="1404">
        <f t="shared" si="8"/>
        <v>0</v>
      </c>
      <c r="AM54" s="1404">
        <f t="shared" si="8"/>
        <v>0</v>
      </c>
      <c r="AN54" s="1404">
        <f t="shared" si="8"/>
        <v>0</v>
      </c>
      <c r="AO54" s="1404">
        <f t="shared" si="8"/>
        <v>0</v>
      </c>
      <c r="AP54" s="692">
        <f t="shared" si="8"/>
        <v>0</v>
      </c>
      <c r="AQ54" s="692">
        <f t="shared" si="8"/>
        <v>0</v>
      </c>
      <c r="AR54" s="692">
        <f t="shared" si="8"/>
        <v>0</v>
      </c>
      <c r="AS54" s="692">
        <f t="shared" si="8"/>
        <v>0</v>
      </c>
      <c r="AT54" s="1404">
        <f t="shared" si="8"/>
        <v>0</v>
      </c>
      <c r="AU54" s="1404">
        <f t="shared" si="8"/>
        <v>0</v>
      </c>
      <c r="AV54" s="1404">
        <f t="shared" si="8"/>
        <v>0</v>
      </c>
      <c r="AW54" s="1404">
        <f t="shared" si="8"/>
        <v>0</v>
      </c>
      <c r="AX54" s="1404">
        <f t="shared" si="8"/>
        <v>0</v>
      </c>
      <c r="AY54" s="1404">
        <f t="shared" si="8"/>
        <v>0</v>
      </c>
      <c r="AZ54" s="692">
        <f t="shared" si="8"/>
        <v>0</v>
      </c>
      <c r="BA54" s="692">
        <f t="shared" si="8"/>
        <v>0</v>
      </c>
      <c r="BB54" s="692">
        <f t="shared" si="8"/>
        <v>0</v>
      </c>
      <c r="BC54" s="119"/>
      <c r="BD54" s="1217"/>
      <c r="BE54" s="1217"/>
      <c r="BF54" s="906" t="s">
        <v>1032</v>
      </c>
    </row>
    <row r="55" spans="1:58" s="461" customFormat="1" ht="34.5" customHeight="1" x14ac:dyDescent="0.15">
      <c r="A55" s="1217"/>
      <c r="B55" s="350"/>
      <c r="C55" s="1217"/>
      <c r="D55" s="1217"/>
      <c r="E55" s="542">
        <v>36</v>
      </c>
      <c r="F55" s="3" t="str" cm="1">
        <f t="array" aca="1" ref="F55" ca="1">OFFSET(E55,-1,1)</f>
        <v>2</v>
      </c>
      <c r="G55" s="1217"/>
      <c r="H55" s="1217"/>
      <c r="I55" s="1217"/>
      <c r="J55" s="1217"/>
      <c r="K55" s="1217"/>
      <c r="L55" s="1217"/>
      <c r="M55" s="1217"/>
      <c r="N55" s="1217"/>
      <c r="O55" s="1217"/>
      <c r="P55" s="1217"/>
      <c r="Q55" s="1217"/>
      <c r="R55" s="1217"/>
      <c r="S55" s="1217"/>
      <c r="T55" s="388" t="b" cm="1">
        <f t="array" ref="T55">T54</f>
        <v>1</v>
      </c>
      <c r="U55" s="1217"/>
      <c r="V55" s="1217"/>
      <c r="W55" s="1217"/>
      <c r="X55" s="2032"/>
      <c r="Y55" s="1217"/>
      <c r="Z55" s="2066"/>
      <c r="AA55" s="1217"/>
      <c r="AB55" s="139" t="s">
        <v>1033</v>
      </c>
      <c r="AC55" s="682" t="s">
        <v>1034</v>
      </c>
      <c r="AD55" s="842" t="s">
        <v>831</v>
      </c>
      <c r="AE55" s="692"/>
      <c r="AF55" s="692"/>
      <c r="AG55" s="692"/>
      <c r="AH55" s="692"/>
      <c r="AI55" s="692"/>
      <c r="AJ55" s="1404"/>
      <c r="AK55" s="1404"/>
      <c r="AL55" s="1404"/>
      <c r="AM55" s="1404"/>
      <c r="AN55" s="1404"/>
      <c r="AO55" s="1404"/>
      <c r="AP55" s="692"/>
      <c r="AQ55" s="692"/>
      <c r="AR55" s="692"/>
      <c r="AS55" s="692"/>
      <c r="AT55" s="1404"/>
      <c r="AU55" s="1404"/>
      <c r="AV55" s="1404"/>
      <c r="AW55" s="1404"/>
      <c r="AX55" s="1404"/>
      <c r="AY55" s="1404"/>
      <c r="AZ55" s="692"/>
      <c r="BA55" s="692"/>
      <c r="BB55" s="692"/>
      <c r="BC55" s="119"/>
      <c r="BD55" s="1217"/>
      <c r="BE55" s="1217"/>
      <c r="BF55" s="906" t="s">
        <v>1035</v>
      </c>
    </row>
    <row r="56" spans="1:58" s="461" customFormat="1" ht="34.5" customHeight="1" x14ac:dyDescent="0.15">
      <c r="A56" s="1217"/>
      <c r="B56" s="350"/>
      <c r="C56" s="1217"/>
      <c r="D56" s="1217"/>
      <c r="E56" s="542">
        <v>36</v>
      </c>
      <c r="F56" s="3" t="str" cm="1">
        <f t="array" aca="1" ref="F56" ca="1">OFFSET(E56,-1,1)</f>
        <v>2</v>
      </c>
      <c r="G56" s="1217"/>
      <c r="H56" s="1217"/>
      <c r="I56" s="1217"/>
      <c r="J56" s="1217"/>
      <c r="K56" s="1217"/>
      <c r="L56" s="1217"/>
      <c r="M56" s="1217"/>
      <c r="N56" s="1217"/>
      <c r="O56" s="1217"/>
      <c r="P56" s="1217"/>
      <c r="Q56" s="1217"/>
      <c r="R56" s="1217"/>
      <c r="S56" s="1217"/>
      <c r="T56" s="388" t="b" cm="1">
        <f t="array" ref="T56">T55</f>
        <v>1</v>
      </c>
      <c r="U56" s="1217"/>
      <c r="V56" s="1217"/>
      <c r="W56" s="1217"/>
      <c r="X56" s="2032"/>
      <c r="Y56" s="1217"/>
      <c r="Z56" s="2066"/>
      <c r="AA56" s="1217"/>
      <c r="AB56" s="139" t="s">
        <v>1036</v>
      </c>
      <c r="AC56" s="682" t="s">
        <v>1037</v>
      </c>
      <c r="AD56" s="842" t="s">
        <v>831</v>
      </c>
      <c r="AE56" s="692"/>
      <c r="AF56" s="692"/>
      <c r="AG56" s="692"/>
      <c r="AH56" s="692"/>
      <c r="AI56" s="692"/>
      <c r="AJ56" s="1404"/>
      <c r="AK56" s="1404"/>
      <c r="AL56" s="1404"/>
      <c r="AM56" s="1404"/>
      <c r="AN56" s="1404"/>
      <c r="AO56" s="1404"/>
      <c r="AP56" s="692"/>
      <c r="AQ56" s="692"/>
      <c r="AR56" s="692"/>
      <c r="AS56" s="692"/>
      <c r="AT56" s="1404"/>
      <c r="AU56" s="1404"/>
      <c r="AV56" s="1404"/>
      <c r="AW56" s="1404"/>
      <c r="AX56" s="1404"/>
      <c r="AY56" s="1404"/>
      <c r="AZ56" s="692"/>
      <c r="BA56" s="692"/>
      <c r="BB56" s="692"/>
      <c r="BC56" s="119"/>
      <c r="BD56" s="1217"/>
      <c r="BE56" s="1217"/>
      <c r="BF56" s="906" t="s">
        <v>1038</v>
      </c>
    </row>
    <row r="57" spans="1:58" ht="10.9" customHeight="1" x14ac:dyDescent="0.15">
      <c r="E57" s="600">
        <v>11.25</v>
      </c>
      <c r="U57" s="68" t="s">
        <v>176</v>
      </c>
      <c r="V57" s="59" t="s">
        <v>1042</v>
      </c>
    </row>
    <row r="58" spans="1:58" ht="14.65" customHeight="1" x14ac:dyDescent="0.15">
      <c r="E58" s="600">
        <v>15</v>
      </c>
      <c r="AA58" s="17"/>
      <c r="AB58" s="2035" t="s">
        <v>402</v>
      </c>
      <c r="AC58" s="2035"/>
      <c r="AD58" s="2035"/>
      <c r="AE58" s="2035"/>
      <c r="AF58" s="2035"/>
      <c r="AG58" s="2035"/>
      <c r="AH58" s="2035"/>
      <c r="AI58" s="2068"/>
      <c r="AJ58" s="2068"/>
      <c r="AK58" s="2068"/>
      <c r="AL58" s="2068"/>
      <c r="AM58" s="2068"/>
      <c r="AN58" s="2068"/>
      <c r="AO58" s="2068"/>
      <c r="AP58" s="2068"/>
      <c r="AQ58" s="2068"/>
      <c r="AR58" s="2068"/>
      <c r="AS58" s="2068"/>
      <c r="AT58" s="2068"/>
      <c r="AU58" s="2068"/>
      <c r="AV58" s="2068"/>
      <c r="AW58" s="2068"/>
      <c r="AX58" s="2068"/>
      <c r="AY58" s="2068"/>
      <c r="AZ58" s="2068"/>
      <c r="BA58" s="2068"/>
      <c r="BB58" s="2068"/>
      <c r="BC58" s="2068"/>
      <c r="BD58" s="17"/>
    </row>
    <row r="59" spans="1:58" ht="14.65" customHeight="1" x14ac:dyDescent="0.15">
      <c r="E59" s="600">
        <v>15</v>
      </c>
      <c r="AA59" s="92"/>
      <c r="AB59" s="2069"/>
      <c r="AC59" s="2069"/>
      <c r="AD59" s="2069"/>
      <c r="AE59" s="2069"/>
      <c r="AF59" s="2069"/>
      <c r="AG59" s="2069"/>
      <c r="AH59" s="2069"/>
      <c r="AI59" s="2070"/>
      <c r="AJ59" s="2082"/>
      <c r="AK59" s="2082"/>
      <c r="AL59" s="2082"/>
      <c r="AM59" s="2082"/>
      <c r="AN59" s="2082"/>
      <c r="AO59" s="2082"/>
      <c r="AP59" s="2082"/>
      <c r="AQ59" s="2082"/>
      <c r="AR59" s="2082"/>
      <c r="AS59" s="2070"/>
      <c r="AT59" s="2082"/>
      <c r="AU59" s="2082"/>
      <c r="AV59" s="2082"/>
      <c r="AW59" s="2082"/>
      <c r="AX59" s="2082"/>
      <c r="AY59" s="2082"/>
      <c r="AZ59" s="2082"/>
      <c r="BA59" s="2082"/>
      <c r="BB59" s="2082"/>
      <c r="BC59" s="2070"/>
      <c r="BD59" s="17"/>
    </row>
    <row r="60" spans="1:58" ht="14.65" hidden="1" customHeight="1" x14ac:dyDescent="0.15">
      <c r="E60" s="600">
        <v>15</v>
      </c>
      <c r="T60" s="388" t="b">
        <f>ROW(W60)&gt;ROW(W$60)</f>
        <v>0</v>
      </c>
      <c r="W60" s="677" t="s">
        <v>172</v>
      </c>
      <c r="AA60" s="596" t="s">
        <v>173</v>
      </c>
      <c r="AB60" s="2081" t="s">
        <v>147</v>
      </c>
      <c r="AC60" s="2081"/>
      <c r="AD60" s="2081"/>
      <c r="AE60" s="2081"/>
      <c r="AF60" s="2081"/>
      <c r="AG60" s="2081"/>
      <c r="AH60" s="2081"/>
      <c r="AI60" s="2070"/>
      <c r="AJ60" s="2082"/>
      <c r="AK60" s="2082"/>
      <c r="AL60" s="2082"/>
      <c r="AM60" s="2082"/>
      <c r="AN60" s="2082"/>
      <c r="AO60" s="2082"/>
      <c r="AP60" s="2082"/>
      <c r="AQ60" s="2082"/>
      <c r="AR60" s="2082"/>
      <c r="AS60" s="2070"/>
      <c r="AT60" s="2082"/>
      <c r="AU60" s="2082"/>
      <c r="AV60" s="2082"/>
      <c r="AW60" s="2082"/>
      <c r="AX60" s="2082"/>
      <c r="AY60" s="2082"/>
      <c r="AZ60" s="2082"/>
      <c r="BA60" s="2082"/>
      <c r="BB60" s="2082"/>
      <c r="BC60" s="2082"/>
      <c r="BD60" s="17"/>
    </row>
    <row r="61" spans="1:58" ht="14.65" customHeight="1" x14ac:dyDescent="0.15">
      <c r="E61" s="600">
        <v>15</v>
      </c>
      <c r="W61" s="677" t="s">
        <v>403</v>
      </c>
      <c r="AA61" s="17"/>
      <c r="AB61" s="571"/>
      <c r="AC61" s="437" t="s">
        <v>404</v>
      </c>
      <c r="AD61" s="227"/>
      <c r="AE61" s="227"/>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9"/>
      <c r="BD61" s="17"/>
    </row>
    <row r="62" spans="1:58" ht="10.9" customHeight="1" x14ac:dyDescent="0.15">
      <c r="E62" s="600">
        <v>11.25</v>
      </c>
      <c r="BD62" s="348"/>
    </row>
  </sheetData>
  <sheetProtection formatColumns="0" formatRows="0" insertRows="0" deleteColumns="0" deleteRows="0" sort="0" autoFilter="0"/>
  <mergeCells count="13">
    <mergeCell ref="AB60:BC60"/>
    <mergeCell ref="AB58:BC58"/>
    <mergeCell ref="AB59:BC59"/>
    <mergeCell ref="X37:X46"/>
    <mergeCell ref="Z37:Z46"/>
    <mergeCell ref="X47:X56"/>
    <mergeCell ref="Z47:Z56"/>
    <mergeCell ref="X27:X36"/>
    <mergeCell ref="Z27:Z36"/>
    <mergeCell ref="BC24:BC25"/>
    <mergeCell ref="AB24:AB25"/>
    <mergeCell ref="AC24:AC25"/>
    <mergeCell ref="AD24:AD25"/>
  </mergeCells>
  <dataValidations count="1">
    <dataValidation type="decimal" allowBlank="1" showErrorMessage="1" errorTitle="Ошибка" error="Допускается ввод только неотрицательных чисел!" sqref="BB30:BB36 BB40:BB46 BB50:BB56 BA30:BA36 BA40:BA46 BA50:BA56 AZ30:AZ36 AZ40:AZ46 AZ50:AZ56 AY30:AY36 AY40:AY46 AY50:AY56 AX30:AX36 AX40:AX46 AX50:AX56 AW30:AW36 AW40:AW46 AW50:AW56 AV30:AV36 AV40:AV46 AV50:AV56 AU30:AU36 AU40:AU46 AU50:AU56 AT30:AT36 AT40:AT46 AT50:AT56 AS30:AS36 AS40:AS46 AS50:AS56 AR30:AR36 AR40:AR46 AR50:AR56 AQ30:AQ36 AQ40:AQ46 AQ50:AQ56 AP30:AP36 AP40:AP46 AP50:AP56 AO30:AO36 AO40:AO46 AO50:AO56 AN30:AN36 AN40:AN46 AN50:AN56 AM30:AM36 AM40:AM46 AM50:AM56 AL30:AL36 AL40:AL46 AL50:AL56 AK30:AK36 AK40:AK46 AK50:AK56 AJ30:AJ36 AJ40:AJ46 AJ50:AJ56 AI30:AI36 AI40:AI46 AI50:AI56 AH30:AH36 AH40:AH46 AH50:AH56 AG30:AG36 AG40:AG46 AG50:AG56 AF30:AF36 AF40:AF46 AF50:AF56 AE30:AE36 AE40:AE46 AE50:AE56"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2058-9DD4-1008-17F8-B1B525F864FC}">
  <sheetPr>
    <tabColor rgb="FF002060"/>
    <outlinePr summaryBelow="0" summaryRight="0"/>
    <pageSetUpPr fitToPage="1"/>
  </sheetPr>
  <dimension ref="A1:AI53"/>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x14ac:dyDescent="0.15"/>
  <cols>
    <col min="1" max="1" width="5.42578125" style="1128" hidden="1" customWidth="1"/>
    <col min="2" max="2" width="6.7109375" style="1128" hidden="1" customWidth="1"/>
    <col min="3" max="4" width="2.7109375" style="1128" hidden="1" customWidth="1"/>
    <col min="5" max="5" width="3.7109375" style="1081" hidden="1" customWidth="1"/>
    <col min="6" max="19" width="2.7109375" style="1128" hidden="1" customWidth="1"/>
    <col min="20" max="20" width="8.140625" style="1128" hidden="1" customWidth="1"/>
    <col min="21" max="21" width="5.85546875" style="1128" hidden="1" customWidth="1"/>
    <col min="22" max="23" width="6.140625" style="1128" hidden="1" customWidth="1"/>
    <col min="24" max="25" width="5.5703125" style="1128" hidden="1" customWidth="1"/>
    <col min="26" max="26" width="5.28515625" style="1128" hidden="1" customWidth="1"/>
    <col min="27" max="27" width="3" style="1128" customWidth="1"/>
    <col min="28" max="28" width="11.7109375" style="1128" customWidth="1"/>
    <col min="29" max="29" width="41.7109375" style="1128" customWidth="1"/>
    <col min="30" max="30" width="15.7109375" style="1333" customWidth="1"/>
    <col min="31" max="32" width="12.5703125" style="1333" customWidth="1"/>
    <col min="33" max="33" width="8.7109375" style="1128"/>
    <col min="34" max="34" width="8.7109375" style="1128" hidden="1"/>
    <col min="35" max="35" width="8.7109375" style="1082" hidden="1"/>
  </cols>
  <sheetData>
    <row r="1" spans="1:35" ht="11.25" hidden="1" customHeight="1" x14ac:dyDescent="0.15">
      <c r="E1" s="411"/>
      <c r="F1" s="411" t="s">
        <v>319</v>
      </c>
      <c r="G1" s="411" t="s">
        <v>330</v>
      </c>
      <c r="T1" s="388" t="s">
        <v>92</v>
      </c>
      <c r="U1" s="388" t="s">
        <v>97</v>
      </c>
      <c r="V1" s="388" t="s">
        <v>93</v>
      </c>
      <c r="W1" s="388" t="s">
        <v>94</v>
      </c>
      <c r="X1" s="388" t="s">
        <v>95</v>
      </c>
      <c r="Y1" s="1320" t="s">
        <v>321</v>
      </c>
      <c r="Z1" s="388" t="s">
        <v>99</v>
      </c>
      <c r="AA1" s="390" t="s">
        <v>96</v>
      </c>
      <c r="AB1" s="1321"/>
      <c r="AC1" s="1322" t="s">
        <v>98</v>
      </c>
      <c r="AI1" s="934" t="s">
        <v>322</v>
      </c>
    </row>
    <row r="2" spans="1:35" ht="11.25" hidden="1" customHeight="1" x14ac:dyDescent="0.15">
      <c r="B2" s="1106" t="s">
        <v>18</v>
      </c>
      <c r="E2" s="411"/>
      <c r="T2" s="1323"/>
      <c r="U2" s="1323"/>
      <c r="V2" s="1323"/>
      <c r="W2" s="1323"/>
      <c r="X2" s="1323"/>
      <c r="Y2" s="443"/>
      <c r="Z2" s="1323"/>
      <c r="AA2" s="443"/>
      <c r="AB2" s="1324"/>
      <c r="AC2" s="1324"/>
      <c r="AE2" s="462" t="b">
        <f>AE13&lt;=last_year_vis</f>
        <v>1</v>
      </c>
      <c r="AF2" s="462" t="b">
        <f>AF13&lt;=last_year_vis</f>
        <v>1</v>
      </c>
    </row>
    <row r="3" spans="1:35" ht="11.25" hidden="1" customHeight="1" x14ac:dyDescent="0.15">
      <c r="A3" s="337"/>
      <c r="B3" s="337"/>
      <c r="C3" s="337"/>
      <c r="D3" s="337"/>
      <c r="E3" s="337"/>
      <c r="F3" s="337"/>
      <c r="G3" s="337"/>
      <c r="H3" s="337"/>
      <c r="I3" s="337"/>
      <c r="J3" s="337"/>
      <c r="K3" s="337"/>
      <c r="L3" s="337"/>
      <c r="M3" s="337"/>
      <c r="N3" s="337"/>
      <c r="O3" s="337"/>
      <c r="P3" s="337"/>
      <c r="Q3" s="337"/>
      <c r="R3" s="337"/>
      <c r="S3" s="337"/>
      <c r="T3" s="337"/>
      <c r="U3" s="337"/>
      <c r="V3" s="337"/>
      <c r="W3" s="337"/>
      <c r="X3" s="337"/>
      <c r="Y3" s="337"/>
      <c r="Z3" s="337"/>
      <c r="AA3" s="337"/>
      <c r="AI3" s="1107"/>
    </row>
    <row r="4" spans="1:35" ht="11.25" hidden="1" customHeight="1" x14ac:dyDescent="0.15">
      <c r="A4" s="337"/>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I4" s="1107"/>
    </row>
    <row r="5" spans="1:35" s="1131" customFormat="1" ht="11.25" hidden="1" customHeight="1" x14ac:dyDescent="0.15">
      <c r="A5" s="337"/>
      <c r="B5" s="337"/>
      <c r="C5" s="337"/>
      <c r="D5" s="337"/>
      <c r="E5" s="1108" t="s">
        <v>19</v>
      </c>
      <c r="F5" s="580"/>
      <c r="G5" s="580"/>
      <c r="H5" s="580"/>
      <c r="I5" s="580"/>
      <c r="J5" s="580"/>
      <c r="K5" s="580"/>
      <c r="L5" s="580"/>
      <c r="M5" s="580"/>
      <c r="N5" s="580"/>
      <c r="O5" s="580"/>
      <c r="P5" s="580"/>
      <c r="Q5" s="580"/>
      <c r="R5" s="580"/>
      <c r="S5" s="580"/>
      <c r="T5" s="580"/>
      <c r="U5" s="580"/>
      <c r="V5" s="580"/>
      <c r="W5" s="580"/>
      <c r="X5" s="580"/>
      <c r="Y5" s="580"/>
      <c r="Z5" s="580"/>
      <c r="AA5" s="580">
        <v>3</v>
      </c>
      <c r="AB5" s="1109" t="s">
        <v>475</v>
      </c>
      <c r="AC5" s="599">
        <v>41.71</v>
      </c>
      <c r="AD5" s="599">
        <v>15.71</v>
      </c>
      <c r="AE5" s="599">
        <v>12.57</v>
      </c>
      <c r="AF5" s="599">
        <v>12.57</v>
      </c>
      <c r="AG5" s="599" t="s">
        <v>329</v>
      </c>
      <c r="AI5" s="915"/>
    </row>
    <row r="6" spans="1:35" ht="11.25" hidden="1" customHeight="1" x14ac:dyDescent="0.15">
      <c r="A6" s="337"/>
      <c r="B6" s="337"/>
      <c r="C6" s="337"/>
      <c r="D6" s="337"/>
      <c r="E6" s="580"/>
      <c r="F6" s="337"/>
      <c r="G6" s="337"/>
      <c r="H6" s="337"/>
      <c r="I6" s="337"/>
      <c r="J6" s="337"/>
      <c r="K6" s="337"/>
      <c r="L6" s="337"/>
      <c r="M6" s="337"/>
      <c r="N6" s="337"/>
      <c r="O6" s="337"/>
      <c r="P6" s="337"/>
      <c r="Q6" s="337"/>
      <c r="R6" s="337"/>
      <c r="S6" s="337"/>
      <c r="T6" s="337"/>
      <c r="U6" s="337"/>
      <c r="V6" s="337"/>
      <c r="W6" s="337"/>
      <c r="X6" s="337"/>
      <c r="Y6" s="337"/>
      <c r="Z6" s="337"/>
      <c r="AA6" s="337"/>
      <c r="AI6" s="1107"/>
    </row>
    <row r="7" spans="1:35" ht="11.25" hidden="1" customHeight="1" x14ac:dyDescent="0.15">
      <c r="A7" s="337"/>
      <c r="B7" s="337"/>
      <c r="C7" s="337"/>
      <c r="D7" s="337"/>
      <c r="E7" s="580"/>
      <c r="F7" s="337"/>
      <c r="G7" s="337"/>
      <c r="H7" s="337"/>
      <c r="I7" s="337"/>
      <c r="J7" s="337"/>
      <c r="K7" s="337"/>
      <c r="L7" s="337"/>
      <c r="M7" s="337"/>
      <c r="N7" s="337"/>
      <c r="O7" s="337"/>
      <c r="P7" s="337"/>
      <c r="Q7" s="337"/>
      <c r="R7" s="337"/>
      <c r="S7" s="337"/>
      <c r="T7" s="337"/>
      <c r="U7" s="337"/>
      <c r="V7" s="337"/>
      <c r="W7" s="337"/>
      <c r="X7" s="337"/>
      <c r="Y7" s="337"/>
      <c r="Z7" s="337"/>
      <c r="AA7" s="337"/>
      <c r="AI7" s="1107"/>
    </row>
    <row r="8" spans="1:35" ht="11.25" hidden="1" customHeight="1" x14ac:dyDescent="0.15">
      <c r="A8" s="337"/>
      <c r="B8" s="337"/>
      <c r="C8" s="337"/>
      <c r="D8" s="337"/>
      <c r="E8" s="580"/>
      <c r="F8" s="337"/>
      <c r="G8" s="337"/>
      <c r="H8" s="337"/>
      <c r="I8" s="337"/>
      <c r="J8" s="337"/>
      <c r="K8" s="337"/>
      <c r="L8" s="337"/>
      <c r="M8" s="337"/>
      <c r="N8" s="337"/>
      <c r="O8" s="337"/>
      <c r="P8" s="337"/>
      <c r="Q8" s="337"/>
      <c r="R8" s="337"/>
      <c r="S8" s="337"/>
      <c r="T8" s="337"/>
      <c r="U8" s="337"/>
      <c r="V8" s="337"/>
      <c r="W8" s="337"/>
      <c r="X8" s="337"/>
      <c r="Y8" s="337"/>
      <c r="Z8" s="337"/>
      <c r="AA8" s="337"/>
      <c r="AI8" s="1107"/>
    </row>
    <row r="9" spans="1:35" s="1107" customFormat="1" ht="11.25" hidden="1" customHeight="1" x14ac:dyDescent="0.15">
      <c r="A9" s="1110" t="s">
        <v>362</v>
      </c>
      <c r="B9" s="910"/>
      <c r="C9" s="910"/>
      <c r="D9" s="910"/>
      <c r="E9" s="910"/>
      <c r="F9" s="910"/>
      <c r="G9" s="910"/>
      <c r="H9" s="910"/>
      <c r="I9" s="910"/>
      <c r="J9" s="910"/>
      <c r="K9" s="910"/>
      <c r="L9" s="910"/>
      <c r="M9" s="910"/>
      <c r="N9" s="910"/>
      <c r="O9" s="910"/>
      <c r="P9" s="910"/>
      <c r="Q9" s="910"/>
      <c r="R9" s="910"/>
      <c r="S9" s="910"/>
      <c r="T9" s="910"/>
      <c r="U9" s="910"/>
      <c r="V9" s="910"/>
      <c r="W9" s="910"/>
      <c r="X9" s="910"/>
      <c r="Y9" s="910"/>
      <c r="Z9" s="910"/>
      <c r="AA9" s="910"/>
    </row>
    <row r="10" spans="1:35" s="1107" customFormat="1" ht="11.25" hidden="1" customHeight="1" x14ac:dyDescent="0.15">
      <c r="A10" s="910" t="s">
        <v>363</v>
      </c>
      <c r="B10" s="910"/>
      <c r="C10" s="910"/>
      <c r="D10" s="910"/>
      <c r="E10" s="910"/>
      <c r="F10" s="910"/>
      <c r="G10" s="910"/>
      <c r="H10" s="910"/>
      <c r="I10" s="910"/>
      <c r="J10" s="910"/>
      <c r="K10" s="910"/>
      <c r="L10" s="910"/>
      <c r="M10" s="910"/>
      <c r="N10" s="910"/>
      <c r="O10" s="910"/>
      <c r="P10" s="910"/>
      <c r="Q10" s="910"/>
      <c r="R10" s="910"/>
      <c r="S10" s="910"/>
      <c r="T10" s="910"/>
      <c r="U10" s="910"/>
      <c r="V10" s="910"/>
      <c r="W10" s="910"/>
      <c r="X10" s="910"/>
      <c r="Y10" s="910"/>
      <c r="Z10" s="910"/>
      <c r="AA10" s="910"/>
      <c r="AE10" s="910" cm="1">
        <f t="array" ref="AE10">AE13</f>
        <v>2026</v>
      </c>
      <c r="AF10" s="910" cm="1">
        <f t="array" ref="AF10">AF13</f>
        <v>2026</v>
      </c>
    </row>
    <row r="11" spans="1:35" ht="11.25" hidden="1" customHeight="1" x14ac:dyDescent="0.15">
      <c r="A11" s="337"/>
      <c r="B11" s="337"/>
      <c r="C11" s="337"/>
      <c r="D11" s="337"/>
      <c r="E11" s="580"/>
      <c r="F11" s="337"/>
      <c r="G11" s="337"/>
      <c r="H11" s="337"/>
      <c r="I11" s="337"/>
      <c r="J11" s="337"/>
      <c r="K11" s="337"/>
      <c r="L11" s="337"/>
      <c r="M11" s="337"/>
      <c r="N11" s="337"/>
      <c r="O11" s="337"/>
      <c r="P11" s="337"/>
      <c r="Q11" s="337"/>
      <c r="R11" s="337"/>
      <c r="S11" s="337"/>
      <c r="T11" s="337"/>
      <c r="U11" s="337"/>
      <c r="V11" s="337"/>
      <c r="W11" s="337"/>
      <c r="X11" s="337"/>
      <c r="Y11" s="337"/>
      <c r="Z11" s="337"/>
      <c r="AA11" s="337"/>
      <c r="AE11" s="337" t="str" cm="1">
        <f t="array" ref="AE11">AE25</f>
        <v>Предложение организации</v>
      </c>
      <c r="AF11" s="337" t="str" cm="1">
        <f t="array" ref="AF11">AF25</f>
        <v>Принято органом регулирования</v>
      </c>
      <c r="AI11" s="1107"/>
    </row>
    <row r="12" spans="1:35" ht="11.25" hidden="1" customHeight="1" x14ac:dyDescent="0.15">
      <c r="B12" s="1111"/>
      <c r="T12" s="1323"/>
      <c r="U12" s="1323"/>
      <c r="V12" s="1323"/>
      <c r="W12" s="1323"/>
      <c r="X12" s="1323"/>
      <c r="Y12" s="443"/>
      <c r="Z12" s="1323"/>
      <c r="AA12" s="443"/>
      <c r="AB12" s="1324"/>
      <c r="AC12" s="1324"/>
    </row>
    <row r="13" spans="1:35" ht="11.25" hidden="1" customHeight="1" x14ac:dyDescent="0.15">
      <c r="A13" s="411" t="s">
        <v>357</v>
      </c>
      <c r="B13" s="1111"/>
      <c r="AE13" s="439" cm="1">
        <f t="array" ref="AE13">god</f>
        <v>2026</v>
      </c>
      <c r="AF13" s="439" cm="1">
        <f t="array" ref="AF13">god</f>
        <v>2026</v>
      </c>
    </row>
    <row r="14" spans="1:35" ht="11.25" hidden="1" customHeight="1" x14ac:dyDescent="0.15">
      <c r="A14" s="411" t="s">
        <v>358</v>
      </c>
      <c r="AE14" s="439" t="str" cm="1">
        <f t="array" ref="AE14">AE25</f>
        <v>Предложение организации</v>
      </c>
      <c r="AF14" s="439" t="str" cm="1">
        <f t="array" ref="AF14">AF25</f>
        <v>Принято органом регулирования</v>
      </c>
    </row>
    <row r="15" spans="1:35" ht="11.25" hidden="1" customHeight="1" x14ac:dyDescent="0.15">
      <c r="AE15" s="439"/>
      <c r="AF15" s="439"/>
    </row>
    <row r="16" spans="1:35" ht="11.25" hidden="1" customHeight="1" x14ac:dyDescent="0.15">
      <c r="AE16" s="439"/>
      <c r="AF16" s="439"/>
    </row>
    <row r="17" spans="1:35" ht="11.25" hidden="1" customHeight="1" x14ac:dyDescent="0.15">
      <c r="AE17" s="439"/>
      <c r="AF17" s="439"/>
    </row>
    <row r="18" spans="1:35" ht="11.25" hidden="1" customHeight="1" x14ac:dyDescent="0.15"/>
    <row r="19" spans="1:35" ht="11.25" hidden="1" customHeight="1" x14ac:dyDescent="0.15"/>
    <row r="20" spans="1:35" ht="11.25" hidden="1" customHeight="1" x14ac:dyDescent="0.15"/>
    <row r="21" spans="1:35" ht="14.65" customHeight="1" x14ac:dyDescent="0.15">
      <c r="E21" s="573">
        <v>15</v>
      </c>
      <c r="AA21" s="411"/>
      <c r="AC21" s="446" t="str" cm="1">
        <f t="array" ref="AC21">tpl_title</f>
        <v>Кемеровская область / 2026 / ООО "Чистая вода" (ИНН:4246023100, КПП:424601001) / ДПР: 2024-2032</v>
      </c>
    </row>
    <row r="22" spans="1:35" ht="37.35" customHeight="1" x14ac:dyDescent="0.15">
      <c r="E22" s="573">
        <v>38.25</v>
      </c>
      <c r="AB22" s="2086" t="s">
        <v>55</v>
      </c>
      <c r="AC22" s="2087"/>
      <c r="AD22" s="2087"/>
      <c r="AE22" s="2087"/>
      <c r="AF22" s="2087"/>
    </row>
    <row r="23" spans="1:35" ht="10.9" customHeight="1" x14ac:dyDescent="0.15">
      <c r="E23" s="573">
        <v>11.25</v>
      </c>
      <c r="AB23" s="2051"/>
      <c r="AC23" s="2051"/>
      <c r="AD23" s="2051"/>
      <c r="AE23" s="2051"/>
      <c r="AF23" s="2051"/>
    </row>
    <row r="24" spans="1:35" ht="14.65" customHeight="1" x14ac:dyDescent="0.15">
      <c r="E24" s="573">
        <v>15</v>
      </c>
      <c r="AB24" s="2035" t="s">
        <v>813</v>
      </c>
      <c r="AC24" s="2083" t="s">
        <v>194</v>
      </c>
      <c r="AD24" s="2035" t="s">
        <v>367</v>
      </c>
      <c r="AE24" s="2088" t="str">
        <f>god&amp;" год"</f>
        <v>2026 год</v>
      </c>
      <c r="AF24" s="2089"/>
    </row>
    <row r="25" spans="1:35" ht="48.75" customHeight="1" x14ac:dyDescent="0.15">
      <c r="E25" s="573">
        <v>50</v>
      </c>
      <c r="AB25" s="2035"/>
      <c r="AC25" s="2083"/>
      <c r="AD25" s="2035"/>
      <c r="AE25" s="1230" t="s">
        <v>360</v>
      </c>
      <c r="AF25" s="442" t="s">
        <v>359</v>
      </c>
    </row>
    <row r="26" spans="1:35" ht="11.25" hidden="1" customHeight="1" x14ac:dyDescent="0.15">
      <c r="E26" s="573">
        <v>0</v>
      </c>
      <c r="AB26" s="646"/>
      <c r="AC26" s="658"/>
      <c r="AD26" s="646"/>
      <c r="AE26" s="1231"/>
      <c r="AF26" s="1231"/>
    </row>
    <row r="27" spans="1:35" ht="14.65" hidden="1" customHeight="1" x14ac:dyDescent="0.15">
      <c r="C27" s="439"/>
      <c r="E27" s="573">
        <v>15</v>
      </c>
      <c r="F27" s="439" cm="1">
        <f t="array" ref="F27">X27</f>
        <v>0</v>
      </c>
      <c r="T27" s="388" t="b">
        <f>X27&gt;0</f>
        <v>0</v>
      </c>
      <c r="V27" s="411" t="s">
        <v>271</v>
      </c>
      <c r="X27" s="2066">
        <v>0</v>
      </c>
      <c r="Z27" s="2067"/>
      <c r="AB27" s="1112" t="str" cm="1">
        <f t="array" ref="AB27">INDEX('Общие сведения'!$AG$185:$AG$228,MATCH($X27,'Общие сведения'!$Z$185:$Z$228,0))</f>
        <v xml:space="preserve">Тариф 0 () - </v>
      </c>
      <c r="AC27" s="99"/>
      <c r="AD27" s="1113"/>
      <c r="AE27" s="1113"/>
      <c r="AF27" s="1114"/>
    </row>
    <row r="28" spans="1:35" s="448" customFormat="1" ht="14.65" hidden="1" customHeight="1" x14ac:dyDescent="0.15">
      <c r="A28" s="411"/>
      <c r="C28" s="1232"/>
      <c r="E28" s="598">
        <v>15</v>
      </c>
      <c r="F28" s="3" cm="1">
        <f t="array" aca="1" ref="F28" ca="1">OFFSET(E28,-1,1)</f>
        <v>0</v>
      </c>
      <c r="G28" s="448" t="s">
        <v>331</v>
      </c>
      <c r="T28" s="388" t="b" cm="1">
        <f t="array" ref="T28">T27</f>
        <v>0</v>
      </c>
      <c r="X28" s="2066"/>
      <c r="Z28" s="2067"/>
      <c r="AB28" s="1115" t="s">
        <v>282</v>
      </c>
      <c r="AC28" s="1116" t="s">
        <v>1043</v>
      </c>
      <c r="AD28" s="438" t="s">
        <v>1044</v>
      </c>
      <c r="AE28" s="1117">
        <f ca="1">IF(AE30=0,0,AE29/AE30)</f>
        <v>0</v>
      </c>
      <c r="AF28" s="450">
        <f ca="1">IF(AF30=0,0,AF29/AF30)</f>
        <v>0</v>
      </c>
      <c r="AI28" s="944" t="s">
        <v>1045</v>
      </c>
    </row>
    <row r="29" spans="1:35" ht="14.65" hidden="1" customHeight="1" x14ac:dyDescent="0.15">
      <c r="C29" s="441"/>
      <c r="E29" s="573">
        <v>15</v>
      </c>
      <c r="F29" s="3" cm="1">
        <f t="array" aca="1" ref="F29" ca="1">OFFSET(E29,-1,1)</f>
        <v>0</v>
      </c>
      <c r="G29" s="411" t="s">
        <v>494</v>
      </c>
      <c r="T29" s="388" t="b" cm="1">
        <f t="array" ref="T29">T28</f>
        <v>0</v>
      </c>
      <c r="X29" s="2066"/>
      <c r="Z29" s="2067"/>
      <c r="AB29" s="1118" t="s">
        <v>910</v>
      </c>
      <c r="AC29" s="1119" t="s">
        <v>1046</v>
      </c>
      <c r="AD29" s="451" t="s">
        <v>831</v>
      </c>
      <c r="AE29" s="1120"/>
      <c r="AF29" s="1120"/>
      <c r="AI29" s="934" t="s">
        <v>1047</v>
      </c>
    </row>
    <row r="30" spans="1:35" ht="32.85" hidden="1" customHeight="1" x14ac:dyDescent="0.15">
      <c r="C30" s="441"/>
      <c r="E30" s="573">
        <v>33.75</v>
      </c>
      <c r="F30" s="3" cm="1">
        <f t="array" aca="1" ref="F30" ca="1">OFFSET(E30,-1,1)</f>
        <v>0</v>
      </c>
      <c r="G30" s="411" t="s">
        <v>498</v>
      </c>
      <c r="T30" s="388" t="b" cm="1">
        <f t="array" ref="T30">T29</f>
        <v>0</v>
      </c>
      <c r="X30" s="2066"/>
      <c r="Z30" s="2067"/>
      <c r="AB30" s="451" t="s">
        <v>913</v>
      </c>
      <c r="AC30" s="452" t="s">
        <v>1048</v>
      </c>
      <c r="AD30" s="451" t="s">
        <v>823</v>
      </c>
      <c r="AE30" s="1121">
        <f ca="1">SUMIFS('Условные метры'!$AL$28:$AL$38,'Условные метры'!$F$28:$F$38,$F30,'Условные метры'!$G$28:$G$38,"Итог")</f>
        <v>0</v>
      </c>
      <c r="AF30" s="994">
        <f ca="1">SUMIFS('Условные метры'!$AN$28:$AN$38,'Условные метры'!$F$28:$F$38,$F30,'Условные метры'!$G$28:$G$38,"Итог")</f>
        <v>0</v>
      </c>
      <c r="AI30" s="934" t="s">
        <v>1049</v>
      </c>
    </row>
    <row r="31" spans="1:35" s="448" customFormat="1" ht="32.85" hidden="1" customHeight="1" x14ac:dyDescent="0.15">
      <c r="A31" s="411"/>
      <c r="C31" s="1233"/>
      <c r="E31" s="598">
        <v>33.75</v>
      </c>
      <c r="F31" s="3" cm="1">
        <f t="array" aca="1" ref="F31" ca="1">OFFSET(E31,-1,1)</f>
        <v>0</v>
      </c>
      <c r="G31" s="448" t="s">
        <v>332</v>
      </c>
      <c r="T31" s="388" t="b" cm="1">
        <f t="array" ref="T31">T30</f>
        <v>0</v>
      </c>
      <c r="X31" s="2066"/>
      <c r="Z31" s="2067"/>
      <c r="AB31" s="1122">
        <v>2</v>
      </c>
      <c r="AC31" s="1123" t="s">
        <v>1050</v>
      </c>
      <c r="AD31" s="1124" t="s">
        <v>1044</v>
      </c>
      <c r="AE31" s="1125">
        <f ca="1">MIN(AE33,AE28)</f>
        <v>0</v>
      </c>
      <c r="AF31" s="455">
        <f ca="1">MIN(AF33,AF28)</f>
        <v>0</v>
      </c>
      <c r="AI31" s="944" t="s">
        <v>1051</v>
      </c>
    </row>
    <row r="32" spans="1:35" ht="21.95" hidden="1" customHeight="1" x14ac:dyDescent="0.15">
      <c r="C32" s="441"/>
      <c r="E32" s="573">
        <v>22.5</v>
      </c>
      <c r="F32" s="3" cm="1">
        <f t="array" aca="1" ref="F32" ca="1">OFFSET(E32,-1,1)</f>
        <v>0</v>
      </c>
      <c r="G32" s="411" t="s">
        <v>333</v>
      </c>
      <c r="T32" s="388" t="b" cm="1">
        <f t="array" ref="T32">T31</f>
        <v>0</v>
      </c>
      <c r="X32" s="2066"/>
      <c r="Z32" s="2067"/>
      <c r="AB32" s="1126">
        <v>3</v>
      </c>
      <c r="AC32" s="449" t="s">
        <v>1052</v>
      </c>
      <c r="AD32" s="438" t="s">
        <v>1044</v>
      </c>
      <c r="AE32" s="450" cm="1">
        <f t="array" aca="1" ref="AE32" ca="1">INDEX('Калькуляция (МСА)'!$L$26:$M$86,MATCH('Амортизация (аналог)'!$F32&amp;"УТР",'Калькуляция (МСА)'!$K$26:$K$86,0),1)</f>
        <v>0</v>
      </c>
      <c r="AF32" s="450" cm="1">
        <f t="array" aca="1" ref="AF32" ca="1">INDEX('Калькуляция (МСА)'!$L$26:$M$86,MATCH('Амортизация (аналог)'!$F32&amp;"УТР",'Калькуляция (МСА)'!$K$26:$K$86,0),2)</f>
        <v>0</v>
      </c>
      <c r="AI32" s="934" t="s">
        <v>1053</v>
      </c>
    </row>
    <row r="33" spans="1:35" ht="14.65" hidden="1" customHeight="1" x14ac:dyDescent="0.15">
      <c r="C33" s="441"/>
      <c r="E33" s="573">
        <v>15</v>
      </c>
      <c r="F33" s="3" cm="1">
        <f t="array" aca="1" ref="F33" ca="1">OFFSET(E33,-1,1)</f>
        <v>0</v>
      </c>
      <c r="G33" s="411" t="s">
        <v>335</v>
      </c>
      <c r="T33" s="388" t="b" cm="1">
        <f t="array" ref="T33">T32</f>
        <v>0</v>
      </c>
      <c r="X33" s="2066"/>
      <c r="Z33" s="2067"/>
      <c r="AB33" s="456">
        <v>4</v>
      </c>
      <c r="AC33" s="449" t="s">
        <v>1054</v>
      </c>
      <c r="AD33" s="438" t="s">
        <v>1044</v>
      </c>
      <c r="AE33" s="1127">
        <f ca="1">AE32*0.15</f>
        <v>0</v>
      </c>
      <c r="AF33" s="457">
        <f ca="1">AF32*0.15</f>
        <v>0</v>
      </c>
      <c r="AI33" s="934" t="s">
        <v>1055</v>
      </c>
    </row>
    <row r="34" spans="1:35" s="1334" customFormat="1" ht="14.25" customHeight="1" x14ac:dyDescent="0.15">
      <c r="A34" s="1128"/>
      <c r="B34" s="1128"/>
      <c r="C34" s="439"/>
      <c r="D34" s="1128"/>
      <c r="E34" s="573">
        <v>15</v>
      </c>
      <c r="F34" s="439" t="str" cm="1">
        <f t="array" ref="F34">X34</f>
        <v>1</v>
      </c>
      <c r="G34" s="1128"/>
      <c r="H34" s="1128"/>
      <c r="I34" s="1128"/>
      <c r="J34" s="1128"/>
      <c r="K34" s="1128"/>
      <c r="L34" s="1128"/>
      <c r="M34" s="1128"/>
      <c r="N34" s="1128"/>
      <c r="O34" s="1128"/>
      <c r="P34" s="1128"/>
      <c r="Q34" s="1128"/>
      <c r="R34" s="1128"/>
      <c r="S34" s="1128"/>
      <c r="T34" s="388" t="b">
        <f>X34&gt;0</f>
        <v>1</v>
      </c>
      <c r="U34" s="1128"/>
      <c r="V34" s="411" t="str" cm="1">
        <f t="array" ref="V34">Амортизация!$AB$76</f>
        <v>Тариф 1 (Водоснабжение) - тариф на питьевую воду</v>
      </c>
      <c r="W34" s="1128"/>
      <c r="X34" s="2066" t="s">
        <v>282</v>
      </c>
      <c r="Y34" s="1128"/>
      <c r="Z34" s="2067"/>
      <c r="AA34" s="1128"/>
      <c r="AB34" s="1112" t="str" cm="1">
        <f t="array" ref="AB34">Амортизация!$AB$76</f>
        <v>Тариф 1 (Водоснабжение) - тариф на питьевую воду</v>
      </c>
      <c r="AC34" s="99"/>
      <c r="AD34" s="1113"/>
      <c r="AE34" s="1113"/>
      <c r="AF34" s="1114"/>
      <c r="AG34" s="1128"/>
      <c r="AH34" s="1128"/>
      <c r="AI34" s="1082"/>
    </row>
    <row r="35" spans="1:35" s="448" customFormat="1" ht="14.25" customHeight="1" x14ac:dyDescent="0.15">
      <c r="A35" s="411"/>
      <c r="C35" s="1232"/>
      <c r="E35" s="598">
        <v>15</v>
      </c>
      <c r="F35" s="3" t="str" cm="1">
        <f t="array" aca="1" ref="F35" ca="1">OFFSET(E35,-1,1)</f>
        <v>1</v>
      </c>
      <c r="G35" s="448" t="s">
        <v>331</v>
      </c>
      <c r="T35" s="388" t="b" cm="1">
        <f t="array" ref="T35">T34</f>
        <v>1</v>
      </c>
      <c r="X35" s="2066"/>
      <c r="Z35" s="2067"/>
      <c r="AB35" s="1115" t="s">
        <v>282</v>
      </c>
      <c r="AC35" s="1116" t="s">
        <v>1043</v>
      </c>
      <c r="AD35" s="438" t="s">
        <v>1044</v>
      </c>
      <c r="AE35" s="1117">
        <f ca="1">IF(AE37=0,0,AE36/AE37)</f>
        <v>0</v>
      </c>
      <c r="AF35" s="450">
        <f ca="1">IF(AF37=0,0,AF36/AF37)</f>
        <v>0</v>
      </c>
      <c r="AI35" s="944" t="s">
        <v>1045</v>
      </c>
    </row>
    <row r="36" spans="1:35" s="1334" customFormat="1" ht="14.25" customHeight="1" x14ac:dyDescent="0.15">
      <c r="A36" s="1128"/>
      <c r="B36" s="1128"/>
      <c r="C36" s="441"/>
      <c r="D36" s="1128"/>
      <c r="E36" s="573">
        <v>15</v>
      </c>
      <c r="F36" s="3" t="str" cm="1">
        <f t="array" aca="1" ref="F36" ca="1">OFFSET(E36,-1,1)</f>
        <v>1</v>
      </c>
      <c r="G36" s="411" t="s">
        <v>494</v>
      </c>
      <c r="H36" s="1128"/>
      <c r="I36" s="1128"/>
      <c r="J36" s="1128"/>
      <c r="K36" s="1128"/>
      <c r="L36" s="1128"/>
      <c r="M36" s="1128"/>
      <c r="N36" s="1128"/>
      <c r="O36" s="1128"/>
      <c r="P36" s="1128"/>
      <c r="Q36" s="1128"/>
      <c r="R36" s="1128"/>
      <c r="S36" s="1128"/>
      <c r="T36" s="388" t="b" cm="1">
        <f t="array" ref="T36">T35</f>
        <v>1</v>
      </c>
      <c r="U36" s="1128"/>
      <c r="V36" s="1128"/>
      <c r="W36" s="1128"/>
      <c r="X36" s="2066"/>
      <c r="Y36" s="1128"/>
      <c r="Z36" s="2067"/>
      <c r="AA36" s="1128"/>
      <c r="AB36" s="1118" t="s">
        <v>910</v>
      </c>
      <c r="AC36" s="1119" t="s">
        <v>1046</v>
      </c>
      <c r="AD36" s="451" t="s">
        <v>831</v>
      </c>
      <c r="AE36" s="1120"/>
      <c r="AF36" s="1120"/>
      <c r="AG36" s="1128"/>
      <c r="AH36" s="1128"/>
      <c r="AI36" s="934" t="s">
        <v>1047</v>
      </c>
    </row>
    <row r="37" spans="1:35" s="1334" customFormat="1" ht="32.25" customHeight="1" x14ac:dyDescent="0.15">
      <c r="A37" s="1128"/>
      <c r="B37" s="1128"/>
      <c r="C37" s="441"/>
      <c r="D37" s="1128"/>
      <c r="E37" s="573">
        <v>33.75</v>
      </c>
      <c r="F37" s="3" t="str" cm="1">
        <f t="array" aca="1" ref="F37" ca="1">OFFSET(E37,-1,1)</f>
        <v>1</v>
      </c>
      <c r="G37" s="411" t="s">
        <v>498</v>
      </c>
      <c r="H37" s="1128"/>
      <c r="I37" s="1128"/>
      <c r="J37" s="1128"/>
      <c r="K37" s="1128"/>
      <c r="L37" s="1128"/>
      <c r="M37" s="1128"/>
      <c r="N37" s="1128"/>
      <c r="O37" s="1128"/>
      <c r="P37" s="1128"/>
      <c r="Q37" s="1128"/>
      <c r="R37" s="1128"/>
      <c r="S37" s="1128"/>
      <c r="T37" s="388" t="b" cm="1">
        <f t="array" ref="T37">T36</f>
        <v>1</v>
      </c>
      <c r="U37" s="1128"/>
      <c r="V37" s="1128"/>
      <c r="W37" s="1128"/>
      <c r="X37" s="2066"/>
      <c r="Y37" s="1128"/>
      <c r="Z37" s="2067"/>
      <c r="AA37" s="1128"/>
      <c r="AB37" s="451" t="s">
        <v>913</v>
      </c>
      <c r="AC37" s="452" t="s">
        <v>1048</v>
      </c>
      <c r="AD37" s="451" t="s">
        <v>823</v>
      </c>
      <c r="AE37" s="1121">
        <f ca="1">SUMIFS('Условные метры'!$AL$28:$AL$38,'Условные метры'!$F$28:$F$38,$F37,'Условные метры'!$G$28:$G$38,"Итог")</f>
        <v>0</v>
      </c>
      <c r="AF37" s="994">
        <f ca="1">SUMIFS('Условные метры'!$AN$28:$AN$38,'Условные метры'!$F$28:$F$38,$F37,'Условные метры'!$G$28:$G$38,"Итог")</f>
        <v>0</v>
      </c>
      <c r="AG37" s="1128"/>
      <c r="AH37" s="1128"/>
      <c r="AI37" s="934" t="s">
        <v>1049</v>
      </c>
    </row>
    <row r="38" spans="1:35" s="448" customFormat="1" ht="32.25" customHeight="1" x14ac:dyDescent="0.15">
      <c r="A38" s="411"/>
      <c r="C38" s="1233"/>
      <c r="E38" s="598">
        <v>33.75</v>
      </c>
      <c r="F38" s="3" t="str" cm="1">
        <f t="array" aca="1" ref="F38" ca="1">OFFSET(E38,-1,1)</f>
        <v>1</v>
      </c>
      <c r="G38" s="448" t="s">
        <v>332</v>
      </c>
      <c r="T38" s="388" t="b" cm="1">
        <f t="array" ref="T38">T37</f>
        <v>1</v>
      </c>
      <c r="X38" s="2066"/>
      <c r="Z38" s="2067"/>
      <c r="AB38" s="1122">
        <v>2</v>
      </c>
      <c r="AC38" s="1123" t="s">
        <v>1050</v>
      </c>
      <c r="AD38" s="1124" t="s">
        <v>1044</v>
      </c>
      <c r="AE38" s="1125">
        <f ca="1">MIN(AE40,AE35)</f>
        <v>0</v>
      </c>
      <c r="AF38" s="455">
        <f ca="1">MIN(AF40,AF35)</f>
        <v>0</v>
      </c>
      <c r="AI38" s="944" t="s">
        <v>1051</v>
      </c>
    </row>
    <row r="39" spans="1:35" s="1334" customFormat="1" ht="21.75" customHeight="1" x14ac:dyDescent="0.15">
      <c r="A39" s="1128"/>
      <c r="B39" s="1128"/>
      <c r="C39" s="441"/>
      <c r="D39" s="1128"/>
      <c r="E39" s="573">
        <v>22.5</v>
      </c>
      <c r="F39" s="3" t="str" cm="1">
        <f t="array" aca="1" ref="F39" ca="1">OFFSET(E39,-1,1)</f>
        <v>1</v>
      </c>
      <c r="G39" s="411" t="s">
        <v>333</v>
      </c>
      <c r="H39" s="1128"/>
      <c r="I39" s="1128"/>
      <c r="J39" s="1128"/>
      <c r="K39" s="1128"/>
      <c r="L39" s="1128"/>
      <c r="M39" s="1128"/>
      <c r="N39" s="1128"/>
      <c r="O39" s="1128"/>
      <c r="P39" s="1128"/>
      <c r="Q39" s="1128"/>
      <c r="R39" s="1128"/>
      <c r="S39" s="1128"/>
      <c r="T39" s="388" t="b" cm="1">
        <f t="array" ref="T39">T38</f>
        <v>1</v>
      </c>
      <c r="U39" s="1128"/>
      <c r="V39" s="1128"/>
      <c r="W39" s="1128"/>
      <c r="X39" s="2066"/>
      <c r="Y39" s="1128"/>
      <c r="Z39" s="2067"/>
      <c r="AA39" s="1128"/>
      <c r="AB39" s="1126">
        <v>3</v>
      </c>
      <c r="AC39" s="449" t="s">
        <v>1052</v>
      </c>
      <c r="AD39" s="438" t="s">
        <v>1044</v>
      </c>
      <c r="AE39" s="450" cm="1">
        <f t="array" aca="1" ref="AE39" ca="1">INDEX('Калькуляция (МСА)'!$L$26:$M$86,MATCH('Амортизация (аналог)'!$F39&amp;"УТР",'Калькуляция (МСА)'!$K$26:$K$86,0),1)</f>
        <v>0</v>
      </c>
      <c r="AF39" s="450" cm="1">
        <f t="array" aca="1" ref="AF39" ca="1">INDEX('Калькуляция (МСА)'!$L$26:$M$86,MATCH('Амортизация (аналог)'!$F39&amp;"УТР",'Калькуляция (МСА)'!$K$26:$K$86,0),2)</f>
        <v>0</v>
      </c>
      <c r="AG39" s="1128"/>
      <c r="AH39" s="1128"/>
      <c r="AI39" s="934" t="s">
        <v>1053</v>
      </c>
    </row>
    <row r="40" spans="1:35" s="1334" customFormat="1" ht="14.25" customHeight="1" x14ac:dyDescent="0.15">
      <c r="A40" s="1128"/>
      <c r="B40" s="1128"/>
      <c r="C40" s="441"/>
      <c r="D40" s="1128"/>
      <c r="E40" s="573">
        <v>15</v>
      </c>
      <c r="F40" s="3" t="str" cm="1">
        <f t="array" aca="1" ref="F40" ca="1">OFFSET(E40,-1,1)</f>
        <v>1</v>
      </c>
      <c r="G40" s="411" t="s">
        <v>335</v>
      </c>
      <c r="H40" s="1128"/>
      <c r="I40" s="1128"/>
      <c r="J40" s="1128"/>
      <c r="K40" s="1128"/>
      <c r="L40" s="1128"/>
      <c r="M40" s="1128"/>
      <c r="N40" s="1128"/>
      <c r="O40" s="1128"/>
      <c r="P40" s="1128"/>
      <c r="Q40" s="1128"/>
      <c r="R40" s="1128"/>
      <c r="S40" s="1128"/>
      <c r="T40" s="388" t="b" cm="1">
        <f t="array" ref="T40">T39</f>
        <v>1</v>
      </c>
      <c r="U40" s="1128"/>
      <c r="V40" s="1128"/>
      <c r="W40" s="1128"/>
      <c r="X40" s="2066"/>
      <c r="Y40" s="1128"/>
      <c r="Z40" s="2067"/>
      <c r="AA40" s="1128"/>
      <c r="AB40" s="456">
        <v>4</v>
      </c>
      <c r="AC40" s="449" t="s">
        <v>1054</v>
      </c>
      <c r="AD40" s="438" t="s">
        <v>1044</v>
      </c>
      <c r="AE40" s="1127">
        <f ca="1">AE39*0.15</f>
        <v>0</v>
      </c>
      <c r="AF40" s="457">
        <f ca="1">AF39*0.15</f>
        <v>0</v>
      </c>
      <c r="AG40" s="1128"/>
      <c r="AH40" s="1128"/>
      <c r="AI40" s="934" t="s">
        <v>1055</v>
      </c>
    </row>
    <row r="41" spans="1:35" s="1334" customFormat="1" ht="14.25" customHeight="1" x14ac:dyDescent="0.15">
      <c r="A41" s="1128"/>
      <c r="B41" s="1128"/>
      <c r="C41" s="439"/>
      <c r="D41" s="1128"/>
      <c r="E41" s="573">
        <v>15</v>
      </c>
      <c r="F41" s="439" t="str" cm="1">
        <f t="array" ref="F41">X41</f>
        <v>2</v>
      </c>
      <c r="G41" s="1128"/>
      <c r="H41" s="1128"/>
      <c r="I41" s="1128"/>
      <c r="J41" s="1128"/>
      <c r="K41" s="1128"/>
      <c r="L41" s="1128"/>
      <c r="M41" s="1128"/>
      <c r="N41" s="1128"/>
      <c r="O41" s="1128"/>
      <c r="P41" s="1128"/>
      <c r="Q41" s="1128"/>
      <c r="R41" s="1128"/>
      <c r="S41" s="1128"/>
      <c r="T41" s="388" t="b">
        <f>X41&gt;0</f>
        <v>1</v>
      </c>
      <c r="U41" s="1128"/>
      <c r="V41" s="411" t="str" cm="1">
        <f t="array" ref="V41">Амортизация!$AB$125</f>
        <v>Тариф 2 (Водоотведение) - тариф на водоотведение</v>
      </c>
      <c r="W41" s="1128"/>
      <c r="X41" s="2066" t="s">
        <v>289</v>
      </c>
      <c r="Y41" s="1128"/>
      <c r="Z41" s="2067"/>
      <c r="AA41" s="1128"/>
      <c r="AB41" s="1112" t="str" cm="1">
        <f t="array" ref="AB41">Амортизация!$AB$125</f>
        <v>Тариф 2 (Водоотведение) - тариф на водоотведение</v>
      </c>
      <c r="AC41" s="99"/>
      <c r="AD41" s="1113"/>
      <c r="AE41" s="1113"/>
      <c r="AF41" s="1114"/>
      <c r="AG41" s="1128"/>
      <c r="AH41" s="1128"/>
      <c r="AI41" s="1082"/>
    </row>
    <row r="42" spans="1:35" s="448" customFormat="1" ht="14.25" customHeight="1" x14ac:dyDescent="0.15">
      <c r="A42" s="411"/>
      <c r="C42" s="1232"/>
      <c r="E42" s="598">
        <v>15</v>
      </c>
      <c r="F42" s="3" t="str" cm="1">
        <f t="array" aca="1" ref="F42" ca="1">OFFSET(E42,-1,1)</f>
        <v>2</v>
      </c>
      <c r="G42" s="448" t="s">
        <v>331</v>
      </c>
      <c r="T42" s="388" t="b" cm="1">
        <f t="array" ref="T42">T41</f>
        <v>1</v>
      </c>
      <c r="X42" s="2066"/>
      <c r="Z42" s="2067"/>
      <c r="AB42" s="1115" t="s">
        <v>282</v>
      </c>
      <c r="AC42" s="1116" t="s">
        <v>1043</v>
      </c>
      <c r="AD42" s="438" t="s">
        <v>1044</v>
      </c>
      <c r="AE42" s="1117">
        <f ca="1">IF(AE44=0,0,AE43/AE44)</f>
        <v>0</v>
      </c>
      <c r="AF42" s="450">
        <f ca="1">IF(AF44=0,0,AF43/AF44)</f>
        <v>0</v>
      </c>
      <c r="AI42" s="944" t="s">
        <v>1045</v>
      </c>
    </row>
    <row r="43" spans="1:35" s="1334" customFormat="1" ht="14.25" customHeight="1" x14ac:dyDescent="0.15">
      <c r="A43" s="1128"/>
      <c r="B43" s="1128"/>
      <c r="C43" s="441"/>
      <c r="D43" s="1128"/>
      <c r="E43" s="573">
        <v>15</v>
      </c>
      <c r="F43" s="3" t="str" cm="1">
        <f t="array" aca="1" ref="F43" ca="1">OFFSET(E43,-1,1)</f>
        <v>2</v>
      </c>
      <c r="G43" s="411" t="s">
        <v>494</v>
      </c>
      <c r="H43" s="1128"/>
      <c r="I43" s="1128"/>
      <c r="J43" s="1128"/>
      <c r="K43" s="1128"/>
      <c r="L43" s="1128"/>
      <c r="M43" s="1128"/>
      <c r="N43" s="1128"/>
      <c r="O43" s="1128"/>
      <c r="P43" s="1128"/>
      <c r="Q43" s="1128"/>
      <c r="R43" s="1128"/>
      <c r="S43" s="1128"/>
      <c r="T43" s="388" t="b" cm="1">
        <f t="array" ref="T43">T42</f>
        <v>1</v>
      </c>
      <c r="U43" s="1128"/>
      <c r="V43" s="1128"/>
      <c r="W43" s="1128"/>
      <c r="X43" s="2066"/>
      <c r="Y43" s="1128"/>
      <c r="Z43" s="2067"/>
      <c r="AA43" s="1128"/>
      <c r="AB43" s="1118" t="s">
        <v>910</v>
      </c>
      <c r="AC43" s="1119" t="s">
        <v>1046</v>
      </c>
      <c r="AD43" s="451" t="s">
        <v>831</v>
      </c>
      <c r="AE43" s="1120"/>
      <c r="AF43" s="1120"/>
      <c r="AG43" s="1128"/>
      <c r="AH43" s="1128"/>
      <c r="AI43" s="934" t="s">
        <v>1047</v>
      </c>
    </row>
    <row r="44" spans="1:35" s="1334" customFormat="1" ht="32.25" customHeight="1" x14ac:dyDescent="0.15">
      <c r="A44" s="1128"/>
      <c r="B44" s="1128"/>
      <c r="C44" s="441"/>
      <c r="D44" s="1128"/>
      <c r="E44" s="573">
        <v>33.75</v>
      </c>
      <c r="F44" s="3" t="str" cm="1">
        <f t="array" aca="1" ref="F44" ca="1">OFFSET(E44,-1,1)</f>
        <v>2</v>
      </c>
      <c r="G44" s="411" t="s">
        <v>498</v>
      </c>
      <c r="H44" s="1128"/>
      <c r="I44" s="1128"/>
      <c r="J44" s="1128"/>
      <c r="K44" s="1128"/>
      <c r="L44" s="1128"/>
      <c r="M44" s="1128"/>
      <c r="N44" s="1128"/>
      <c r="O44" s="1128"/>
      <c r="P44" s="1128"/>
      <c r="Q44" s="1128"/>
      <c r="R44" s="1128"/>
      <c r="S44" s="1128"/>
      <c r="T44" s="388" t="b" cm="1">
        <f t="array" ref="T44">T43</f>
        <v>1</v>
      </c>
      <c r="U44" s="1128"/>
      <c r="V44" s="1128"/>
      <c r="W44" s="1128"/>
      <c r="X44" s="2066"/>
      <c r="Y44" s="1128"/>
      <c r="Z44" s="2067"/>
      <c r="AA44" s="1128"/>
      <c r="AB44" s="451" t="s">
        <v>913</v>
      </c>
      <c r="AC44" s="452" t="s">
        <v>1048</v>
      </c>
      <c r="AD44" s="451" t="s">
        <v>823</v>
      </c>
      <c r="AE44" s="1121">
        <f ca="1">SUMIFS('Условные метры'!$AL$28:$AL$38,'Условные метры'!$F$28:$F$38,$F44,'Условные метры'!$G$28:$G$38,"Итог")</f>
        <v>0</v>
      </c>
      <c r="AF44" s="994">
        <f ca="1">SUMIFS('Условные метры'!$AN$28:$AN$38,'Условные метры'!$F$28:$F$38,$F44,'Условные метры'!$G$28:$G$38,"Итог")</f>
        <v>0</v>
      </c>
      <c r="AG44" s="1128"/>
      <c r="AH44" s="1128"/>
      <c r="AI44" s="934" t="s">
        <v>1049</v>
      </c>
    </row>
    <row r="45" spans="1:35" s="448" customFormat="1" ht="32.25" customHeight="1" x14ac:dyDescent="0.15">
      <c r="A45" s="411"/>
      <c r="C45" s="1233"/>
      <c r="E45" s="598">
        <v>33.75</v>
      </c>
      <c r="F45" s="3" t="str" cm="1">
        <f t="array" aca="1" ref="F45" ca="1">OFFSET(E45,-1,1)</f>
        <v>2</v>
      </c>
      <c r="G45" s="448" t="s">
        <v>332</v>
      </c>
      <c r="T45" s="388" t="b" cm="1">
        <f t="array" ref="T45">T44</f>
        <v>1</v>
      </c>
      <c r="X45" s="2066"/>
      <c r="Z45" s="2067"/>
      <c r="AB45" s="1122">
        <v>2</v>
      </c>
      <c r="AC45" s="1123" t="s">
        <v>1050</v>
      </c>
      <c r="AD45" s="1124" t="s">
        <v>1044</v>
      </c>
      <c r="AE45" s="1125">
        <f ca="1">MIN(AE47,AE42)</f>
        <v>0</v>
      </c>
      <c r="AF45" s="455">
        <f ca="1">MIN(AF47,AF42)</f>
        <v>0</v>
      </c>
      <c r="AI45" s="944" t="s">
        <v>1051</v>
      </c>
    </row>
    <row r="46" spans="1:35" s="1334" customFormat="1" ht="21.75" customHeight="1" x14ac:dyDescent="0.15">
      <c r="A46" s="1128"/>
      <c r="B46" s="1128"/>
      <c r="C46" s="441"/>
      <c r="D46" s="1128"/>
      <c r="E46" s="573">
        <v>22.5</v>
      </c>
      <c r="F46" s="3" t="str" cm="1">
        <f t="array" aca="1" ref="F46" ca="1">OFFSET(E46,-1,1)</f>
        <v>2</v>
      </c>
      <c r="G46" s="411" t="s">
        <v>333</v>
      </c>
      <c r="H46" s="1128"/>
      <c r="I46" s="1128"/>
      <c r="J46" s="1128"/>
      <c r="K46" s="1128"/>
      <c r="L46" s="1128"/>
      <c r="M46" s="1128"/>
      <c r="N46" s="1128"/>
      <c r="O46" s="1128"/>
      <c r="P46" s="1128"/>
      <c r="Q46" s="1128"/>
      <c r="R46" s="1128"/>
      <c r="S46" s="1128"/>
      <c r="T46" s="388" t="b" cm="1">
        <f t="array" ref="T46">T45</f>
        <v>1</v>
      </c>
      <c r="U46" s="1128"/>
      <c r="V46" s="1128"/>
      <c r="W46" s="1128"/>
      <c r="X46" s="2066"/>
      <c r="Y46" s="1128"/>
      <c r="Z46" s="2067"/>
      <c r="AA46" s="1128"/>
      <c r="AB46" s="1126">
        <v>3</v>
      </c>
      <c r="AC46" s="449" t="s">
        <v>1052</v>
      </c>
      <c r="AD46" s="438" t="s">
        <v>1044</v>
      </c>
      <c r="AE46" s="450" cm="1">
        <f t="array" aca="1" ref="AE46" ca="1">INDEX('Калькуляция (МСА)'!$L$26:$M$86,MATCH('Амортизация (аналог)'!$F46&amp;"УТР",'Калькуляция (МСА)'!$K$26:$K$86,0),1)</f>
        <v>0</v>
      </c>
      <c r="AF46" s="450" cm="1">
        <f t="array" aca="1" ref="AF46" ca="1">INDEX('Калькуляция (МСА)'!$L$26:$M$86,MATCH('Амортизация (аналог)'!$F46&amp;"УТР",'Калькуляция (МСА)'!$K$26:$K$86,0),2)</f>
        <v>0</v>
      </c>
      <c r="AG46" s="1128"/>
      <c r="AH46" s="1128"/>
      <c r="AI46" s="934" t="s">
        <v>1053</v>
      </c>
    </row>
    <row r="47" spans="1:35" s="1334" customFormat="1" ht="14.25" customHeight="1" x14ac:dyDescent="0.15">
      <c r="A47" s="1128"/>
      <c r="B47" s="1128"/>
      <c r="C47" s="441"/>
      <c r="D47" s="1128"/>
      <c r="E47" s="573">
        <v>15</v>
      </c>
      <c r="F47" s="3" t="str" cm="1">
        <f t="array" aca="1" ref="F47" ca="1">OFFSET(E47,-1,1)</f>
        <v>2</v>
      </c>
      <c r="G47" s="411" t="s">
        <v>335</v>
      </c>
      <c r="H47" s="1128"/>
      <c r="I47" s="1128"/>
      <c r="J47" s="1128"/>
      <c r="K47" s="1128"/>
      <c r="L47" s="1128"/>
      <c r="M47" s="1128"/>
      <c r="N47" s="1128"/>
      <c r="O47" s="1128"/>
      <c r="P47" s="1128"/>
      <c r="Q47" s="1128"/>
      <c r="R47" s="1128"/>
      <c r="S47" s="1128"/>
      <c r="T47" s="388" t="b" cm="1">
        <f t="array" ref="T47">T46</f>
        <v>1</v>
      </c>
      <c r="U47" s="1128"/>
      <c r="V47" s="1128"/>
      <c r="W47" s="1128"/>
      <c r="X47" s="2066"/>
      <c r="Y47" s="1128"/>
      <c r="Z47" s="2067"/>
      <c r="AA47" s="1128"/>
      <c r="AB47" s="456">
        <v>4</v>
      </c>
      <c r="AC47" s="449" t="s">
        <v>1054</v>
      </c>
      <c r="AD47" s="438" t="s">
        <v>1044</v>
      </c>
      <c r="AE47" s="1127">
        <f ca="1">AE46*0.15</f>
        <v>0</v>
      </c>
      <c r="AF47" s="457">
        <f ca="1">AF46*0.15</f>
        <v>0</v>
      </c>
      <c r="AG47" s="1128"/>
      <c r="AH47" s="1128"/>
      <c r="AI47" s="934" t="s">
        <v>1055</v>
      </c>
    </row>
    <row r="48" spans="1:35" ht="10.9" customHeight="1" x14ac:dyDescent="0.15">
      <c r="E48" s="573">
        <v>11.25</v>
      </c>
      <c r="U48" s="23" t="s">
        <v>176</v>
      </c>
      <c r="V48" s="59" t="s">
        <v>1056</v>
      </c>
      <c r="AB48" s="458"/>
      <c r="AC48" s="459"/>
      <c r="AD48" s="458"/>
      <c r="AE48" s="460"/>
    </row>
    <row r="49" spans="5:35" s="1214" customFormat="1" ht="14.65" customHeight="1" x14ac:dyDescent="0.15">
      <c r="E49" s="572">
        <v>15</v>
      </c>
      <c r="AB49" s="2035" t="s">
        <v>402</v>
      </c>
      <c r="AC49" s="2035"/>
      <c r="AD49" s="2035"/>
      <c r="AE49" s="2068"/>
      <c r="AF49" s="2068"/>
      <c r="AI49" s="945"/>
    </row>
    <row r="50" spans="5:35" s="1214" customFormat="1" ht="14.65" customHeight="1" x14ac:dyDescent="0.15">
      <c r="E50" s="572">
        <v>15</v>
      </c>
      <c r="AB50" s="2069"/>
      <c r="AC50" s="2069"/>
      <c r="AD50" s="2069"/>
      <c r="AE50" s="2070"/>
      <c r="AF50" s="2070"/>
      <c r="AI50" s="945"/>
    </row>
    <row r="51" spans="5:35" s="1214" customFormat="1" ht="14.65" hidden="1" customHeight="1" x14ac:dyDescent="0.15">
      <c r="E51" s="572">
        <v>15</v>
      </c>
      <c r="T51" s="388" t="b">
        <f>ROW(W51)&gt;ROW(W$51)</f>
        <v>0</v>
      </c>
      <c r="U51" s="1128"/>
      <c r="V51" s="1128"/>
      <c r="W51" s="677" t="s">
        <v>172</v>
      </c>
      <c r="X51" s="1128"/>
      <c r="Y51" s="1128"/>
      <c r="Z51" s="1128"/>
      <c r="AA51" s="1234" t="s">
        <v>173</v>
      </c>
      <c r="AB51" s="2072"/>
      <c r="AC51" s="2073"/>
      <c r="AD51" s="2073"/>
      <c r="AE51" s="2074"/>
      <c r="AF51" s="2077"/>
      <c r="AI51" s="945"/>
    </row>
    <row r="52" spans="5:35" s="1214" customFormat="1" ht="14.65" customHeight="1" x14ac:dyDescent="0.15">
      <c r="E52" s="572">
        <v>15</v>
      </c>
      <c r="W52" s="677" t="s">
        <v>403</v>
      </c>
      <c r="AB52" s="1235"/>
      <c r="AC52" s="1236" t="s">
        <v>404</v>
      </c>
      <c r="AD52" s="1237"/>
      <c r="AE52" s="1238"/>
      <c r="AF52" s="1239"/>
      <c r="AI52" s="945"/>
    </row>
    <row r="53" spans="5:35" ht="10.9" customHeight="1" x14ac:dyDescent="0.15">
      <c r="E53" s="573">
        <v>11.25</v>
      </c>
      <c r="AC53" s="461"/>
      <c r="AG53" s="411"/>
    </row>
  </sheetData>
  <sheetProtection formatColumns="0" formatRows="0" insertRows="0" deleteColumns="0" deleteRows="0" sort="0" autoFilter="0"/>
  <mergeCells count="15">
    <mergeCell ref="X27:X33"/>
    <mergeCell ref="Z27:Z33"/>
    <mergeCell ref="AB49:AF49"/>
    <mergeCell ref="AB50:AF50"/>
    <mergeCell ref="AB51:AF51"/>
    <mergeCell ref="X34:X40"/>
    <mergeCell ref="Z34:Z40"/>
    <mergeCell ref="X41:X47"/>
    <mergeCell ref="Z41:Z47"/>
    <mergeCell ref="AB22:AF22"/>
    <mergeCell ref="AB23:AF23"/>
    <mergeCell ref="AB24:AB25"/>
    <mergeCell ref="AC24:AC25"/>
    <mergeCell ref="AD24:AD25"/>
    <mergeCell ref="AE24:AF24"/>
  </mergeCells>
  <dataValidations count="1">
    <dataValidation type="decimal" allowBlank="1" showErrorMessage="1" errorTitle="Ошибка" error="Допускается ввод только неотрицательных чисел!" sqref="AE31:AF31 AF33 AF38 AF40 AF45 AF47 AE33 AE38 AE40 AE45 AE47" xr:uid="{00000000-0002-0000-10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C1F4B-EEF1-03E8-BB14-9A7E23E7E128}">
  <sheetPr>
    <tabColor rgb="FF002060"/>
    <outlinePr summaryBelow="0" summaryRight="0"/>
    <pageSetUpPr fitToPage="1"/>
  </sheetPr>
  <dimension ref="A1:BJ122"/>
  <sheetViews>
    <sheetView showGridLines="0" workbookViewId="0">
      <pane xSplit="30" ySplit="25" topLeftCell="AH113" activePane="bottomRight" state="frozen"/>
      <selection pane="topRight" activeCell="AE1" sqref="AE1"/>
      <selection pane="bottomLeft" activeCell="A26" sqref="A26"/>
      <selection pane="bottomRight" activeCell="AI83" sqref="AI83"/>
    </sheetView>
  </sheetViews>
  <sheetFormatPr defaultColWidth="8.7109375" defaultRowHeight="10.5" customHeight="1" x14ac:dyDescent="0.15"/>
  <cols>
    <col min="1" max="1" width="3.5703125" style="802" hidden="1" customWidth="1"/>
    <col min="2" max="2" width="8.5703125" style="362" hidden="1" customWidth="1"/>
    <col min="3" max="4" width="3.5703125" style="802" hidden="1" customWidth="1"/>
    <col min="5" max="5" width="3.5703125" style="602" hidden="1" customWidth="1"/>
    <col min="6" max="6" width="13.5703125" style="802" hidden="1" customWidth="1"/>
    <col min="7" max="8" width="3.5703125" style="802" hidden="1" customWidth="1"/>
    <col min="9" max="9" width="13.42578125" style="802" hidden="1" customWidth="1"/>
    <col min="10" max="10" width="3.5703125" style="802" hidden="1" customWidth="1"/>
    <col min="11" max="11" width="5.85546875" style="824" hidden="1" customWidth="1"/>
    <col min="12" max="19" width="3.5703125" style="802" hidden="1" customWidth="1"/>
    <col min="20" max="20" width="9.85546875" style="802" hidden="1" customWidth="1"/>
    <col min="21" max="21" width="7" style="802" hidden="1" customWidth="1"/>
    <col min="22" max="23" width="6.140625" style="802" hidden="1" customWidth="1"/>
    <col min="24" max="24" width="5.5703125" style="802" hidden="1" customWidth="1"/>
    <col min="25" max="25" width="5.85546875" style="802" hidden="1" customWidth="1"/>
    <col min="26" max="26" width="5.28515625" style="802" hidden="1" customWidth="1"/>
    <col min="27" max="27" width="3" style="802" customWidth="1"/>
    <col min="28" max="28" width="11" style="802" customWidth="1"/>
    <col min="29" max="29" width="43.42578125" style="802" customWidth="1"/>
    <col min="30" max="34" width="15.7109375" style="802" customWidth="1"/>
    <col min="35" max="35" width="12.5703125" style="802" customWidth="1"/>
    <col min="36" max="44" width="12.5703125" style="802" hidden="1" customWidth="1"/>
    <col min="45" max="45" width="12.5703125" style="802" customWidth="1"/>
    <col min="46" max="54" width="12.5703125" style="802" hidden="1" customWidth="1"/>
    <col min="55" max="55" width="33.140625" style="802" customWidth="1"/>
    <col min="56" max="56" width="3" style="802" customWidth="1"/>
    <col min="57" max="57" width="8.7109375" style="802" hidden="1"/>
    <col min="58" max="60" width="8.7109375" style="950" hidden="1"/>
    <col min="61" max="62" width="8.7109375" style="602" hidden="1"/>
  </cols>
  <sheetData>
    <row r="1" spans="1:62" ht="11.25" hidden="1" customHeight="1" x14ac:dyDescent="0.15">
      <c r="E1" s="71"/>
      <c r="F1" s="71" t="s">
        <v>319</v>
      </c>
      <c r="G1" s="71" t="s">
        <v>330</v>
      </c>
      <c r="H1" s="71" t="s">
        <v>354</v>
      </c>
      <c r="T1" s="388" t="s">
        <v>92</v>
      </c>
      <c r="U1" s="388" t="s">
        <v>97</v>
      </c>
      <c r="V1" s="388" t="s">
        <v>93</v>
      </c>
      <c r="W1" s="388" t="s">
        <v>94</v>
      </c>
      <c r="X1" s="388" t="s">
        <v>95</v>
      </c>
      <c r="Y1" s="390" t="s">
        <v>321</v>
      </c>
      <c r="Z1" s="388" t="s">
        <v>99</v>
      </c>
      <c r="AA1" s="390" t="s">
        <v>96</v>
      </c>
      <c r="AB1" s="4"/>
      <c r="AC1" s="389" t="s">
        <v>98</v>
      </c>
      <c r="BF1" s="950" t="s">
        <v>322</v>
      </c>
      <c r="BG1" s="950" t="s">
        <v>323</v>
      </c>
      <c r="BH1" s="950" t="s">
        <v>324</v>
      </c>
      <c r="BI1" s="602" t="s">
        <v>327</v>
      </c>
      <c r="BJ1" s="602" t="s">
        <v>328</v>
      </c>
    </row>
    <row r="2" spans="1:62" s="362" customFormat="1" ht="11.25" hidden="1" customHeight="1" x14ac:dyDescent="0.15">
      <c r="B2" s="368" t="s">
        <v>18</v>
      </c>
      <c r="K2" s="825"/>
      <c r="AI2" s="368" t="b">
        <f t="shared" ref="AI2:BB2" si="0">AI6&lt;=last_year_vis</f>
        <v>1</v>
      </c>
      <c r="AJ2" s="368" t="b">
        <f t="shared" si="0"/>
        <v>0</v>
      </c>
      <c r="AK2" s="368" t="b">
        <f t="shared" si="0"/>
        <v>0</v>
      </c>
      <c r="AL2" s="368" t="b">
        <f t="shared" si="0"/>
        <v>0</v>
      </c>
      <c r="AM2" s="368" t="b">
        <f t="shared" si="0"/>
        <v>0</v>
      </c>
      <c r="AN2" s="368" t="b">
        <f t="shared" si="0"/>
        <v>0</v>
      </c>
      <c r="AO2" s="368" t="b">
        <f t="shared" si="0"/>
        <v>0</v>
      </c>
      <c r="AP2" s="368" t="b">
        <f t="shared" si="0"/>
        <v>0</v>
      </c>
      <c r="AQ2" s="368" t="b">
        <f t="shared" si="0"/>
        <v>0</v>
      </c>
      <c r="AR2" s="368" t="b">
        <f t="shared" si="0"/>
        <v>0</v>
      </c>
      <c r="AS2" s="368" t="b">
        <f t="shared" si="0"/>
        <v>1</v>
      </c>
      <c r="AT2" s="368" t="b">
        <f t="shared" si="0"/>
        <v>0</v>
      </c>
      <c r="AU2" s="368" t="b">
        <f t="shared" si="0"/>
        <v>0</v>
      </c>
      <c r="AV2" s="368" t="b">
        <f t="shared" si="0"/>
        <v>0</v>
      </c>
      <c r="AW2" s="368" t="b">
        <f t="shared" si="0"/>
        <v>0</v>
      </c>
      <c r="AX2" s="368" t="b">
        <f t="shared" si="0"/>
        <v>0</v>
      </c>
      <c r="AY2" s="368" t="b">
        <f t="shared" si="0"/>
        <v>0</v>
      </c>
      <c r="AZ2" s="368" t="b">
        <f t="shared" si="0"/>
        <v>0</v>
      </c>
      <c r="BA2" s="368" t="b">
        <f t="shared" si="0"/>
        <v>0</v>
      </c>
      <c r="BB2" s="368" t="b">
        <f t="shared" si="0"/>
        <v>0</v>
      </c>
      <c r="BF2" s="951"/>
      <c r="BG2" s="951"/>
      <c r="BH2" s="951"/>
      <c r="BI2" s="954"/>
      <c r="BJ2" s="954"/>
    </row>
    <row r="3" spans="1:62" ht="11.25" hidden="1" customHeight="1" x14ac:dyDescent="0.15">
      <c r="E3" s="71"/>
    </row>
    <row r="4" spans="1:62" ht="11.25" hidden="1" customHeight="1" x14ac:dyDescent="0.15">
      <c r="E4" s="71"/>
    </row>
    <row r="5" spans="1:62" s="602" customFormat="1" ht="11.25" hidden="1" customHeight="1" x14ac:dyDescent="0.15">
      <c r="A5" s="71"/>
      <c r="B5" s="362"/>
      <c r="C5" s="71"/>
      <c r="D5" s="71"/>
      <c r="E5" s="602" t="s">
        <v>19</v>
      </c>
      <c r="K5" s="826"/>
      <c r="AA5" s="602">
        <v>3</v>
      </c>
      <c r="AB5" s="602">
        <v>11</v>
      </c>
      <c r="AC5" s="602">
        <v>43.43</v>
      </c>
      <c r="AD5" s="602">
        <v>15.71</v>
      </c>
      <c r="AE5" s="602">
        <v>15.71</v>
      </c>
      <c r="AF5" s="602">
        <v>15.71</v>
      </c>
      <c r="AG5" s="602">
        <v>15.71</v>
      </c>
      <c r="AH5" s="602">
        <v>15.71</v>
      </c>
      <c r="AI5" s="602">
        <v>12.57</v>
      </c>
      <c r="AJ5" s="602">
        <v>12.57</v>
      </c>
      <c r="AK5" s="602">
        <v>12.57</v>
      </c>
      <c r="AL5" s="602">
        <v>12.57</v>
      </c>
      <c r="AM5" s="602">
        <v>12.57</v>
      </c>
      <c r="AN5" s="602">
        <v>12.57</v>
      </c>
      <c r="AO5" s="602">
        <v>12.57</v>
      </c>
      <c r="AP5" s="602">
        <v>12.57</v>
      </c>
      <c r="AQ5" s="602">
        <v>12.57</v>
      </c>
      <c r="AR5" s="602">
        <v>12.57</v>
      </c>
      <c r="AS5" s="602">
        <v>12.57</v>
      </c>
      <c r="AT5" s="602">
        <v>12.57</v>
      </c>
      <c r="AU5" s="602">
        <v>12.57</v>
      </c>
      <c r="AV5" s="602">
        <v>12.57</v>
      </c>
      <c r="AW5" s="602">
        <v>12.57</v>
      </c>
      <c r="AX5" s="602">
        <v>12.57</v>
      </c>
      <c r="AY5" s="602">
        <v>12.57</v>
      </c>
      <c r="AZ5" s="602">
        <v>12.57</v>
      </c>
      <c r="BA5" s="602">
        <v>12.57</v>
      </c>
      <c r="BB5" s="602">
        <v>12.57</v>
      </c>
      <c r="BC5" s="602">
        <v>20</v>
      </c>
      <c r="BD5" s="602">
        <v>3</v>
      </c>
      <c r="BF5" s="950"/>
      <c r="BG5" s="950"/>
      <c r="BH5" s="950"/>
    </row>
    <row r="6" spans="1:62" ht="11.25" hidden="1" customHeight="1" x14ac:dyDescent="0.15">
      <c r="A6" s="71" t="s">
        <v>357</v>
      </c>
      <c r="AE6" s="71">
        <f>god-2</f>
        <v>2024</v>
      </c>
      <c r="AF6" s="71">
        <f>god-2</f>
        <v>2024</v>
      </c>
      <c r="AG6" s="71">
        <f>god-2</f>
        <v>2024</v>
      </c>
      <c r="AH6" s="71">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71" t="s">
        <v>358</v>
      </c>
      <c r="AE7" s="71" t="str" cm="1">
        <f t="array" ref="AE7">AE25</f>
        <v>Принято органом регулирования</v>
      </c>
      <c r="AF7" s="71" t="str" cm="1">
        <f t="array" ref="AF7">AF25</f>
        <v>Факт по данным организации</v>
      </c>
      <c r="AG7" s="71" t="str" cm="1">
        <f t="array" ref="AG7">AG25</f>
        <v>Факт, принятый органом регулирования</v>
      </c>
      <c r="AH7" s="71" t="str" cm="1">
        <f t="array" ref="AH7">AH25</f>
        <v>Принято органом регулирования</v>
      </c>
      <c r="AI7" s="71" t="str" cm="1">
        <f t="array" ref="AI7">AI25</f>
        <v>Предложение организации</v>
      </c>
      <c r="AJ7" s="71" t="str" cm="1">
        <f t="array" ref="AJ7">AJ25</f>
        <v>Предложение организации</v>
      </c>
      <c r="AK7" s="71" t="str" cm="1">
        <f t="array" ref="AK7">AK25</f>
        <v>Предложение организации</v>
      </c>
      <c r="AL7" s="71" t="str" cm="1">
        <f t="array" ref="AL7">AL25</f>
        <v>Предложение организации</v>
      </c>
      <c r="AM7" s="71" t="str" cm="1">
        <f t="array" ref="AM7">AM25</f>
        <v>Предложение организации</v>
      </c>
      <c r="AN7" s="71" t="str" cm="1">
        <f t="array" ref="AN7">AN25</f>
        <v>Предложение организации</v>
      </c>
      <c r="AO7" s="71" t="str" cm="1">
        <f t="array" ref="AO7">AO25</f>
        <v>Предложение организации</v>
      </c>
      <c r="AP7" s="71" t="str" cm="1">
        <f t="array" ref="AP7">AP25</f>
        <v>Предложение организации</v>
      </c>
      <c r="AQ7" s="71" t="str" cm="1">
        <f t="array" ref="AQ7">AQ25</f>
        <v>Предложение организации</v>
      </c>
      <c r="AR7" s="71" t="str" cm="1">
        <f t="array" ref="AR7">AR25</f>
        <v>Предложение организации</v>
      </c>
      <c r="AS7" s="71" t="str" cm="1">
        <f t="array" ref="AS7">AS25</f>
        <v>Принято органом регулирования</v>
      </c>
      <c r="AT7" s="71" t="str" cm="1">
        <f t="array" ref="AT7">AT25</f>
        <v>Принято органом регулирования</v>
      </c>
      <c r="AU7" s="71" t="str" cm="1">
        <f t="array" ref="AU7">AU25</f>
        <v>Принято органом регулирования</v>
      </c>
      <c r="AV7" s="71" t="str" cm="1">
        <f t="array" ref="AV7">AV25</f>
        <v>Принято органом регулирования</v>
      </c>
      <c r="AW7" s="71" t="str" cm="1">
        <f t="array" ref="AW7">AW25</f>
        <v>Принято органом регулирования</v>
      </c>
      <c r="AX7" s="71" t="str" cm="1">
        <f t="array" ref="AX7">AX25</f>
        <v>Принято органом регулирования</v>
      </c>
      <c r="AY7" s="71" t="str" cm="1">
        <f t="array" ref="AY7">AY25</f>
        <v>Принято органом регулирования</v>
      </c>
      <c r="AZ7" s="71" t="str" cm="1">
        <f t="array" ref="AZ7">AZ25</f>
        <v>Принято органом регулирования</v>
      </c>
      <c r="BA7" s="71" t="str" cm="1">
        <f t="array" ref="BA7">BA25</f>
        <v>Принято органом регулирования</v>
      </c>
      <c r="BB7" s="71" t="str" cm="1">
        <f t="array" ref="BB7">BB25</f>
        <v>Принято органом регулирования</v>
      </c>
    </row>
    <row r="8" spans="1:62" ht="11.25" hidden="1" customHeight="1" x14ac:dyDescent="0.15"/>
    <row r="9" spans="1:62" s="950" customFormat="1" ht="11.25" hidden="1" customHeight="1" x14ac:dyDescent="0.15">
      <c r="A9" s="950" t="s">
        <v>362</v>
      </c>
      <c r="B9" s="951"/>
      <c r="K9" s="952"/>
      <c r="AE9" s="950" cm="1">
        <f t="array" ref="AE9">AE6</f>
        <v>2024</v>
      </c>
      <c r="AF9" s="950" cm="1">
        <f t="array" ref="AF9">AF6</f>
        <v>2024</v>
      </c>
      <c r="AG9" s="950" cm="1">
        <f t="array" ref="AG9">AG6</f>
        <v>2024</v>
      </c>
      <c r="AH9" s="950" cm="1">
        <f t="array" ref="AH9">AH6</f>
        <v>2025</v>
      </c>
      <c r="AI9" s="950" cm="1">
        <f t="array" ref="AI9">AI6</f>
        <v>2026</v>
      </c>
      <c r="AJ9" s="950" cm="1">
        <f t="array" ref="AJ9">AJ6</f>
        <v>2027</v>
      </c>
      <c r="AK9" s="950" cm="1">
        <f t="array" ref="AK9">AK6</f>
        <v>2028</v>
      </c>
      <c r="AL9" s="950" cm="1">
        <f t="array" ref="AL9">AL6</f>
        <v>2029</v>
      </c>
      <c r="AM9" s="950" cm="1">
        <f t="array" ref="AM9">AM6</f>
        <v>2030</v>
      </c>
      <c r="AN9" s="950" cm="1">
        <f t="array" ref="AN9">AN6</f>
        <v>2031</v>
      </c>
      <c r="AO9" s="950" cm="1">
        <f t="array" ref="AO9">AO6</f>
        <v>2032</v>
      </c>
      <c r="AP9" s="950" cm="1">
        <f t="array" ref="AP9">AP6</f>
        <v>2033</v>
      </c>
      <c r="AQ9" s="950" cm="1">
        <f t="array" ref="AQ9">AQ6</f>
        <v>2034</v>
      </c>
      <c r="AR9" s="950" cm="1">
        <f t="array" ref="AR9">AR6</f>
        <v>2035</v>
      </c>
      <c r="AS9" s="950" cm="1">
        <f t="array" ref="AS9">AS6</f>
        <v>2026</v>
      </c>
      <c r="AT9" s="950" cm="1">
        <f t="array" ref="AT9">AT6</f>
        <v>2027</v>
      </c>
      <c r="AU9" s="950" cm="1">
        <f t="array" ref="AU9">AU6</f>
        <v>2028</v>
      </c>
      <c r="AV9" s="950" cm="1">
        <f t="array" ref="AV9">AV6</f>
        <v>2029</v>
      </c>
      <c r="AW9" s="950" cm="1">
        <f t="array" ref="AW9">AW6</f>
        <v>2030</v>
      </c>
      <c r="AX9" s="950" cm="1">
        <f t="array" ref="AX9">AX6</f>
        <v>2031</v>
      </c>
      <c r="AY9" s="950" cm="1">
        <f t="array" ref="AY9">AY6</f>
        <v>2032</v>
      </c>
      <c r="AZ9" s="950" cm="1">
        <f t="array" ref="AZ9">AZ6</f>
        <v>2033</v>
      </c>
      <c r="BA9" s="950" cm="1">
        <f t="array" ref="BA9">BA6</f>
        <v>2034</v>
      </c>
      <c r="BB9" s="950" cm="1">
        <f t="array" ref="BB9">BB6</f>
        <v>2035</v>
      </c>
      <c r="BI9" s="602"/>
      <c r="BJ9" s="602"/>
    </row>
    <row r="10" spans="1:62" s="950" customFormat="1" ht="11.25" hidden="1" customHeight="1" x14ac:dyDescent="0.15">
      <c r="A10" s="950" t="s">
        <v>363</v>
      </c>
      <c r="B10" s="951"/>
      <c r="K10" s="952"/>
      <c r="AE10" s="950" t="str" cm="1">
        <f t="array" ref="AE10">AE25</f>
        <v>Принято органом регулирования</v>
      </c>
      <c r="AF10" s="950" t="str" cm="1">
        <f t="array" ref="AF10">AF25</f>
        <v>Факт по данным организации</v>
      </c>
      <c r="AG10" s="950" t="str" cm="1">
        <f t="array" ref="AG10">AG25</f>
        <v>Факт, принятый органом регулирования</v>
      </c>
      <c r="AH10" s="950" t="str" cm="1">
        <f t="array" ref="AH10">AH25</f>
        <v>Принято органом регулирования</v>
      </c>
      <c r="AI10" s="950" t="str" cm="1">
        <f t="array" ref="AI10">AI25</f>
        <v>Предложение организации</v>
      </c>
      <c r="AJ10" s="950" t="str" cm="1">
        <f t="array" ref="AJ10">AJ25</f>
        <v>Предложение организации</v>
      </c>
      <c r="AK10" s="950" t="str" cm="1">
        <f t="array" ref="AK10">AK25</f>
        <v>Предложение организации</v>
      </c>
      <c r="AL10" s="950" t="str" cm="1">
        <f t="array" ref="AL10">AL25</f>
        <v>Предложение организации</v>
      </c>
      <c r="AM10" s="950" t="str" cm="1">
        <f t="array" ref="AM10">AM25</f>
        <v>Предложение организации</v>
      </c>
      <c r="AN10" s="950" t="str" cm="1">
        <f t="array" ref="AN10">AN25</f>
        <v>Предложение организации</v>
      </c>
      <c r="AO10" s="950" t="str" cm="1">
        <f t="array" ref="AO10">AO25</f>
        <v>Предложение организации</v>
      </c>
      <c r="AP10" s="950" t="str" cm="1">
        <f t="array" ref="AP10">AP25</f>
        <v>Предложение организации</v>
      </c>
      <c r="AQ10" s="950" t="str" cm="1">
        <f t="array" ref="AQ10">AQ25</f>
        <v>Предложение организации</v>
      </c>
      <c r="AR10" s="950" t="str" cm="1">
        <f t="array" ref="AR10">AR25</f>
        <v>Предложение организации</v>
      </c>
      <c r="AS10" s="950" t="str" cm="1">
        <f t="array" ref="AS10">AS25</f>
        <v>Принято органом регулирования</v>
      </c>
      <c r="AT10" s="950" t="str" cm="1">
        <f t="array" ref="AT10">AT25</f>
        <v>Принято органом регулирования</v>
      </c>
      <c r="AU10" s="950" t="str" cm="1">
        <f t="array" ref="AU10">AU25</f>
        <v>Принято органом регулирования</v>
      </c>
      <c r="AV10" s="950" t="str" cm="1">
        <f t="array" ref="AV10">AV25</f>
        <v>Принято органом регулирования</v>
      </c>
      <c r="AW10" s="950" t="str" cm="1">
        <f t="array" ref="AW10">AW25</f>
        <v>Принято органом регулирования</v>
      </c>
      <c r="AX10" s="950" t="str" cm="1">
        <f t="array" ref="AX10">AX25</f>
        <v>Принято органом регулирования</v>
      </c>
      <c r="AY10" s="950" t="str" cm="1">
        <f t="array" ref="AY10">AY25</f>
        <v>Принято органом регулирования</v>
      </c>
      <c r="AZ10" s="950" t="str" cm="1">
        <f t="array" ref="AZ10">AZ25</f>
        <v>Принято органом регулирования</v>
      </c>
      <c r="BA10" s="950" t="str" cm="1">
        <f t="array" ref="BA10">BA25</f>
        <v>Принято органом регулирования</v>
      </c>
      <c r="BB10" s="950" t="str" cm="1">
        <f t="array" ref="BB10">BB25</f>
        <v>Принято органом регулирования</v>
      </c>
      <c r="BI10" s="602"/>
      <c r="BJ10" s="602"/>
    </row>
    <row r="11" spans="1:62" s="950" customFormat="1" ht="11.25" hidden="1" customHeight="1" x14ac:dyDescent="0.15">
      <c r="A11" s="950" t="s">
        <v>364</v>
      </c>
      <c r="B11" s="951"/>
      <c r="K11" s="952"/>
      <c r="BC11" s="950" t="str" cm="1">
        <f t="array" ref="BC11">BC24</f>
        <v>Ссылка на правовую норму (основание для принятия показателя в расчет тарифа)</v>
      </c>
      <c r="BI11" s="602"/>
      <c r="BJ11" s="602"/>
    </row>
    <row r="12" spans="1:62" s="950" customFormat="1" ht="11.25" hidden="1" customHeight="1" x14ac:dyDescent="0.15">
      <c r="A12" s="950" t="s">
        <v>337</v>
      </c>
      <c r="B12" s="951"/>
      <c r="K12" s="952"/>
      <c r="AC12" s="950" t="s">
        <v>324</v>
      </c>
      <c r="BI12" s="602"/>
      <c r="BJ12" s="602"/>
    </row>
    <row r="13" spans="1:62"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x14ac:dyDescent="0.15"/>
    <row r="18" spans="1:62" ht="11.25" hidden="1" customHeight="1" x14ac:dyDescent="0.15">
      <c r="A18" s="71" t="s">
        <v>365</v>
      </c>
      <c r="AC18" s="71" t="s">
        <v>1057</v>
      </c>
    </row>
    <row r="19" spans="1:62" ht="11.25" hidden="1" customHeight="1" x14ac:dyDescent="0.15"/>
    <row r="20" spans="1:62" ht="11.25" hidden="1" customHeight="1" x14ac:dyDescent="0.15"/>
    <row r="21" spans="1:62" ht="14.65" customHeight="1" x14ac:dyDescent="0.15">
      <c r="E21" s="602">
        <v>15</v>
      </c>
      <c r="AA21" s="581"/>
      <c r="AC21" s="3" t="str" cm="1">
        <f t="array" ref="AC21">tpl_title</f>
        <v>Кемеровская область / 2026 / ООО "Чистая вода" (ИНН:4246023100, КПП:424601001) / ДПР: 2024-2032</v>
      </c>
    </row>
    <row r="22" spans="1:62" ht="19.5" customHeight="1" x14ac:dyDescent="0.25">
      <c r="E22" s="602">
        <v>20</v>
      </c>
      <c r="AB22" s="235" t="s">
        <v>59</v>
      </c>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27"/>
    </row>
    <row r="23" spans="1:62" ht="10.9" customHeight="1" x14ac:dyDescent="0.15">
      <c r="E23" s="602">
        <v>11.25</v>
      </c>
      <c r="AB23" s="72"/>
      <c r="AC23" s="73"/>
      <c r="AD23" s="73"/>
      <c r="AE23" s="73"/>
      <c r="AF23" s="73"/>
      <c r="AG23" s="73"/>
      <c r="AH23" s="73"/>
      <c r="AI23" s="73"/>
      <c r="AJ23" s="73"/>
      <c r="AK23" s="73"/>
      <c r="AL23" s="73"/>
      <c r="AM23" s="73"/>
      <c r="AN23" s="73"/>
      <c r="AO23" s="73"/>
      <c r="AP23" s="73"/>
      <c r="AQ23" s="73"/>
      <c r="AR23" s="73"/>
      <c r="AS23" s="73"/>
      <c r="AT23" s="74"/>
      <c r="AU23" s="74"/>
      <c r="AV23" s="74"/>
      <c r="AW23" s="74"/>
      <c r="AX23" s="74"/>
      <c r="AY23" s="74"/>
      <c r="AZ23" s="74"/>
      <c r="BA23" s="74"/>
      <c r="BB23" s="74"/>
    </row>
    <row r="24" spans="1:62" ht="14.65" customHeight="1" x14ac:dyDescent="0.15">
      <c r="E24" s="602">
        <v>15</v>
      </c>
      <c r="AB24" s="2035" t="s">
        <v>813</v>
      </c>
      <c r="AC24" s="2083" t="s">
        <v>194</v>
      </c>
      <c r="AD24" s="2035" t="s">
        <v>367</v>
      </c>
      <c r="AE24" s="275" t="str">
        <f>god-2&amp;" год"</f>
        <v>2024 год</v>
      </c>
      <c r="AF24" s="1029" t="str">
        <f>god-2&amp;" год"</f>
        <v>2024 год</v>
      </c>
      <c r="AG24" s="275" t="str">
        <f>god-2&amp;" год"</f>
        <v>2024 год</v>
      </c>
      <c r="AH24" s="13" t="str">
        <f>god-1&amp;" год"</f>
        <v>2025 год</v>
      </c>
      <c r="AI24" s="1026" t="str">
        <f>god&amp;" год"</f>
        <v>2026 год</v>
      </c>
      <c r="AJ24" s="1026" t="str">
        <f>god+1&amp;" год"</f>
        <v>2027 год</v>
      </c>
      <c r="AK24" s="1026" t="str">
        <f>god+2&amp;" год"</f>
        <v>2028 год</v>
      </c>
      <c r="AL24" s="1026" t="str">
        <f>god+3&amp;" год"</f>
        <v>2029 год</v>
      </c>
      <c r="AM24" s="1026" t="str">
        <f>god+4&amp;" год"</f>
        <v>2030 год</v>
      </c>
      <c r="AN24" s="1026" t="str">
        <f>god+5&amp;" год"</f>
        <v>2031 год</v>
      </c>
      <c r="AO24" s="1026" t="str">
        <f>god+6&amp;" год"</f>
        <v>2032 год</v>
      </c>
      <c r="AP24" s="1026" t="str">
        <f>god+7&amp;" год"</f>
        <v>2033 год</v>
      </c>
      <c r="AQ24" s="1026" t="str">
        <f>god+8&amp;" год"</f>
        <v>2034 год</v>
      </c>
      <c r="AR24" s="1026"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060" t="s">
        <v>558</v>
      </c>
    </row>
    <row r="25" spans="1:62" ht="48.75" customHeight="1" x14ac:dyDescent="0.15">
      <c r="E25" s="602">
        <v>50</v>
      </c>
      <c r="AB25" s="2093"/>
      <c r="AC25" s="2093"/>
      <c r="AD25" s="2093"/>
      <c r="AE25" s="11" t="s">
        <v>359</v>
      </c>
      <c r="AF25" s="1026" t="s">
        <v>484</v>
      </c>
      <c r="AG25" s="11" t="s">
        <v>485</v>
      </c>
      <c r="AH25" s="11" t="s">
        <v>359</v>
      </c>
      <c r="AI25" s="1030" t="s">
        <v>360</v>
      </c>
      <c r="AJ25" s="1030" t="s">
        <v>360</v>
      </c>
      <c r="AK25" s="1030" t="s">
        <v>360</v>
      </c>
      <c r="AL25" s="1030" t="s">
        <v>360</v>
      </c>
      <c r="AM25" s="1030" t="s">
        <v>360</v>
      </c>
      <c r="AN25" s="1030" t="s">
        <v>360</v>
      </c>
      <c r="AO25" s="1030" t="s">
        <v>360</v>
      </c>
      <c r="AP25" s="1030" t="s">
        <v>360</v>
      </c>
      <c r="AQ25" s="1030" t="s">
        <v>360</v>
      </c>
      <c r="AR25" s="1030" t="s">
        <v>360</v>
      </c>
      <c r="AS25" s="276" t="s">
        <v>359</v>
      </c>
      <c r="AT25" s="276" t="s">
        <v>359</v>
      </c>
      <c r="AU25" s="276" t="s">
        <v>359</v>
      </c>
      <c r="AV25" s="276" t="s">
        <v>359</v>
      </c>
      <c r="AW25" s="276" t="s">
        <v>359</v>
      </c>
      <c r="AX25" s="276" t="s">
        <v>359</v>
      </c>
      <c r="AY25" s="276" t="s">
        <v>359</v>
      </c>
      <c r="AZ25" s="276" t="s">
        <v>359</v>
      </c>
      <c r="BA25" s="276" t="s">
        <v>359</v>
      </c>
      <c r="BB25" s="276" t="s">
        <v>359</v>
      </c>
      <c r="BC25" s="2093"/>
    </row>
    <row r="26" spans="1:62" s="1334" customFormat="1" ht="11.25" hidden="1" customHeight="1" x14ac:dyDescent="0.15">
      <c r="A26" s="422"/>
      <c r="B26" s="582"/>
      <c r="C26" s="422"/>
      <c r="D26" s="422"/>
      <c r="E26" s="583">
        <v>0</v>
      </c>
      <c r="F26" s="578" t="s">
        <v>1058</v>
      </c>
      <c r="G26" s="422"/>
      <c r="H26" s="422"/>
      <c r="I26" s="405"/>
      <c r="J26" s="422"/>
      <c r="K26" s="827"/>
      <c r="L26" s="405"/>
      <c r="M26" s="422"/>
      <c r="N26" s="422"/>
      <c r="O26" s="422"/>
      <c r="P26" s="422"/>
      <c r="Q26" s="422"/>
      <c r="R26" s="422"/>
      <c r="S26" s="422"/>
      <c r="T26" s="422"/>
      <c r="U26" s="422"/>
      <c r="V26" s="422"/>
      <c r="W26" s="422"/>
      <c r="X26" s="422"/>
      <c r="Y26" s="422"/>
      <c r="Z26" s="422"/>
      <c r="AA26" s="422"/>
      <c r="AB26" s="422"/>
      <c r="AC26" s="19"/>
      <c r="AD26" s="19"/>
      <c r="AE26" s="19"/>
      <c r="AF26" s="19"/>
      <c r="AQ26" s="20"/>
      <c r="BF26" s="913"/>
      <c r="BG26" s="913"/>
      <c r="BH26" s="913"/>
      <c r="BI26" s="548"/>
      <c r="BJ26" s="548"/>
    </row>
    <row r="27" spans="1:62" ht="14.65" hidden="1" customHeight="1" x14ac:dyDescent="0.15">
      <c r="E27" s="602">
        <v>15</v>
      </c>
      <c r="F27" s="17" cm="1">
        <f t="array" ref="F27">X27</f>
        <v>0</v>
      </c>
      <c r="I27" s="802" t="s">
        <v>1059</v>
      </c>
      <c r="T27" s="388" t="b">
        <f>X27&gt;0</f>
        <v>0</v>
      </c>
      <c r="V27" s="71" t="s">
        <v>271</v>
      </c>
      <c r="X27" s="1988">
        <v>0</v>
      </c>
      <c r="Y27" s="604"/>
      <c r="Z27" s="2090"/>
      <c r="AB27" s="141" t="str" cm="1">
        <f t="array" ref="AB27">INDEX('Общие сведения'!$AG$185:$AG$228,MATCH($X27,'Общие сведения'!$Z$185:$Z$228,0))</f>
        <v xml:space="preserve">Тариф 0 () - </v>
      </c>
      <c r="AC27" s="99"/>
      <c r="AD27" s="99"/>
      <c r="AE27" s="223">
        <f t="shared" ref="AE27:BB27" si="1">AE33+AE38+AE43+AE48+AE28+AE53+AE54+AE55+AE56</f>
        <v>0</v>
      </c>
      <c r="AF27" s="223">
        <f t="shared" si="1"/>
        <v>0</v>
      </c>
      <c r="AG27" s="223">
        <f t="shared" si="1"/>
        <v>0</v>
      </c>
      <c r="AH27" s="223">
        <f t="shared" si="1"/>
        <v>0</v>
      </c>
      <c r="AI27" s="223">
        <f t="shared" si="1"/>
        <v>0</v>
      </c>
      <c r="AJ27" s="223">
        <f t="shared" si="1"/>
        <v>0</v>
      </c>
      <c r="AK27" s="223">
        <f t="shared" si="1"/>
        <v>0</v>
      </c>
      <c r="AL27" s="223">
        <f t="shared" si="1"/>
        <v>0</v>
      </c>
      <c r="AM27" s="223">
        <f t="shared" si="1"/>
        <v>0</v>
      </c>
      <c r="AN27" s="223">
        <f t="shared" si="1"/>
        <v>0</v>
      </c>
      <c r="AO27" s="223">
        <f t="shared" si="1"/>
        <v>0</v>
      </c>
      <c r="AP27" s="223">
        <f t="shared" si="1"/>
        <v>0</v>
      </c>
      <c r="AQ27" s="223">
        <f t="shared" si="1"/>
        <v>0</v>
      </c>
      <c r="AR27" s="223">
        <f t="shared" si="1"/>
        <v>0</v>
      </c>
      <c r="AS27" s="223">
        <f t="shared" si="1"/>
        <v>0</v>
      </c>
      <c r="AT27" s="223">
        <f t="shared" si="1"/>
        <v>0</v>
      </c>
      <c r="AU27" s="223">
        <f t="shared" si="1"/>
        <v>0</v>
      </c>
      <c r="AV27" s="223">
        <f t="shared" si="1"/>
        <v>0</v>
      </c>
      <c r="AW27" s="223">
        <f t="shared" si="1"/>
        <v>0</v>
      </c>
      <c r="AX27" s="223">
        <f t="shared" si="1"/>
        <v>0</v>
      </c>
      <c r="AY27" s="223">
        <f t="shared" si="1"/>
        <v>0</v>
      </c>
      <c r="AZ27" s="223">
        <f t="shared" si="1"/>
        <v>0</v>
      </c>
      <c r="BA27" s="223">
        <f t="shared" si="1"/>
        <v>0</v>
      </c>
      <c r="BB27" s="223">
        <f t="shared" si="1"/>
        <v>0</v>
      </c>
      <c r="BC27" s="143"/>
    </row>
    <row r="28" spans="1:62" ht="14.65" hidden="1" customHeight="1" x14ac:dyDescent="0.15">
      <c r="E28" s="602">
        <v>15</v>
      </c>
      <c r="F28" s="3" cm="1">
        <f t="array" aca="1" ref="F28" ca="1">OFFSET(E28,-1,1)</f>
        <v>0</v>
      </c>
      <c r="G28" s="71" t="s">
        <v>331</v>
      </c>
      <c r="K28" s="824" t="str">
        <f ca="1">F28&amp;"1komm"</f>
        <v>01komm</v>
      </c>
      <c r="L28" s="828" cm="1">
        <f t="array" ref="L28">BC28</f>
        <v>0</v>
      </c>
      <c r="T28" s="388" t="b" cm="1">
        <f t="array" ref="T28">T27</f>
        <v>0</v>
      </c>
      <c r="X28" s="1988"/>
      <c r="Z28" s="2090"/>
      <c r="AB28" s="130">
        <v>1</v>
      </c>
      <c r="AC28" s="131" t="s">
        <v>1060</v>
      </c>
      <c r="AD28" s="130" t="s">
        <v>831</v>
      </c>
      <c r="AE28" s="132">
        <f>SUMIF(AD30:AD32,AD28,AE30:AE32)</f>
        <v>0</v>
      </c>
      <c r="AF28" s="132">
        <f>SUMIF(AD30:AD32,AD28,AF30:AF32)</f>
        <v>0</v>
      </c>
      <c r="AG28" s="132">
        <f>SUMIF(AD30:AD32,AD28,AG30:AG32)</f>
        <v>0</v>
      </c>
      <c r="AH28" s="132">
        <f>SUMIF(AD30:AD32,AD28,AH30:AH32)</f>
        <v>0</v>
      </c>
      <c r="AI28" s="132">
        <f>SUMIF(AD30:AD32,AD28,AI30:AI32)</f>
        <v>0</v>
      </c>
      <c r="AJ28" s="1325">
        <f>SUMIF(AD30:AD32,AD28,AJ30:AJ32)</f>
        <v>0</v>
      </c>
      <c r="AK28" s="1325">
        <f>SUMIF(AD30:AD32,AD28,AK30:AK32)</f>
        <v>0</v>
      </c>
      <c r="AL28" s="1325">
        <f>SUMIF(AD30:AD32,AD28,AL30:AL32)</f>
        <v>0</v>
      </c>
      <c r="AM28" s="1325">
        <f>SUMIF(AD30:AD32,AD28,AM30:AM32)</f>
        <v>0</v>
      </c>
      <c r="AN28" s="1325">
        <f>SUMIF(AD30:AD32,AD28,AN30:AN32)</f>
        <v>0</v>
      </c>
      <c r="AO28" s="1325">
        <f>SUMIF(AD30:AD32,AD28,AO30:AO32)</f>
        <v>0</v>
      </c>
      <c r="AP28" s="1325">
        <f>SUMIF(AD30:AD32,AD28,AP30:AP32)</f>
        <v>0</v>
      </c>
      <c r="AQ28" s="1325">
        <f>SUMIF(AD30:AD32,AD28,AQ30:AQ32)</f>
        <v>0</v>
      </c>
      <c r="AR28" s="1325">
        <f>SUMIF(AD30:AD32,AD28,AR30:AR32)</f>
        <v>0</v>
      </c>
      <c r="AS28" s="132">
        <f>SUMIF(AD30:AD32,AD28,AS30:AS32)</f>
        <v>0</v>
      </c>
      <c r="AT28" s="1325">
        <f>SUMIF(AD30:AD32,AD28,AT30:AT32)</f>
        <v>0</v>
      </c>
      <c r="AU28" s="1325">
        <f>SUMIF(AD30:AD32,AD28,AU30:AU32)</f>
        <v>0</v>
      </c>
      <c r="AV28" s="1325">
        <f>SUMIF(AD30:AD32,AD28,AV30:AV32)</f>
        <v>0</v>
      </c>
      <c r="AW28" s="1325">
        <f>SUMIF(AD30:AD32,AD28,AW30:AW32)</f>
        <v>0</v>
      </c>
      <c r="AX28" s="1325">
        <f>SUMIF(AD30:AD32,AD28,AX30:AX32)</f>
        <v>0</v>
      </c>
      <c r="AY28" s="1325">
        <f>SUMIF(AD30:AD32,AD28,AY30:AY32)</f>
        <v>0</v>
      </c>
      <c r="AZ28" s="1325">
        <f>SUMIF(AD30:AD32,AD28,AZ30:AZ32)</f>
        <v>0</v>
      </c>
      <c r="BA28" s="1325">
        <f>SUMIF(AD30:AD32,AD28,BA30:BA32)</f>
        <v>0</v>
      </c>
      <c r="BB28" s="1325">
        <f>SUMIF(AD30:AD32,AD28,BB30:BB32)</f>
        <v>0</v>
      </c>
      <c r="BC28" s="1365"/>
      <c r="BF28" s="950" t="s">
        <v>1061</v>
      </c>
    </row>
    <row r="29" spans="1:62" ht="15" hidden="1" customHeight="1" x14ac:dyDescent="0.15">
      <c r="E29" s="602">
        <v>0</v>
      </c>
      <c r="F29" s="3" cm="1">
        <f t="array" aca="1" ref="F29" ca="1">OFFSET(E29,-1,1)</f>
        <v>0</v>
      </c>
      <c r="L29" s="828"/>
      <c r="T29" s="388" t="b">
        <v>0</v>
      </c>
      <c r="W29" s="71" t="s">
        <v>172</v>
      </c>
      <c r="X29" s="1988"/>
      <c r="Y29" s="1988">
        <v>0</v>
      </c>
      <c r="Z29" s="2090"/>
      <c r="AA29" s="2091" t="s">
        <v>173</v>
      </c>
      <c r="AB29" s="130"/>
      <c r="AC29" s="131"/>
      <c r="AD29" s="130"/>
      <c r="AE29" s="135" t="b">
        <f t="shared" ref="AE29:BB29" si="2">OR(AND(AE30&lt;&gt;"",AE31=""),AND(AE30="",AE31&lt;&gt;""))</f>
        <v>0</v>
      </c>
      <c r="AF29" s="135" t="b">
        <f t="shared" si="2"/>
        <v>0</v>
      </c>
      <c r="AG29" s="135" t="b">
        <f t="shared" si="2"/>
        <v>0</v>
      </c>
      <c r="AH29" s="135" t="b">
        <f t="shared" si="2"/>
        <v>0</v>
      </c>
      <c r="AI29" s="135" t="b">
        <f t="shared" si="2"/>
        <v>0</v>
      </c>
      <c r="AJ29" s="135" t="b">
        <f t="shared" si="2"/>
        <v>0</v>
      </c>
      <c r="AK29" s="135" t="b">
        <f t="shared" si="2"/>
        <v>0</v>
      </c>
      <c r="AL29" s="135" t="b">
        <f t="shared" si="2"/>
        <v>0</v>
      </c>
      <c r="AM29" s="135" t="b">
        <f t="shared" si="2"/>
        <v>0</v>
      </c>
      <c r="AN29" s="135" t="b">
        <f t="shared" si="2"/>
        <v>0</v>
      </c>
      <c r="AO29" s="135" t="b">
        <f t="shared" si="2"/>
        <v>0</v>
      </c>
      <c r="AP29" s="135" t="b">
        <f t="shared" si="2"/>
        <v>0</v>
      </c>
      <c r="AQ29" s="135" t="b">
        <f t="shared" si="2"/>
        <v>0</v>
      </c>
      <c r="AR29" s="135" t="b">
        <f t="shared" si="2"/>
        <v>0</v>
      </c>
      <c r="AS29" s="135" t="b">
        <f t="shared" si="2"/>
        <v>0</v>
      </c>
      <c r="AT29" s="135" t="b">
        <f t="shared" si="2"/>
        <v>0</v>
      </c>
      <c r="AU29" s="135" t="b">
        <f t="shared" si="2"/>
        <v>0</v>
      </c>
      <c r="AV29" s="135" t="b">
        <f t="shared" si="2"/>
        <v>0</v>
      </c>
      <c r="AW29" s="135" t="b">
        <f t="shared" si="2"/>
        <v>0</v>
      </c>
      <c r="AX29" s="135" t="b">
        <f t="shared" si="2"/>
        <v>0</v>
      </c>
      <c r="AY29" s="135" t="b">
        <f t="shared" si="2"/>
        <v>0</v>
      </c>
      <c r="AZ29" s="135" t="b">
        <f t="shared" si="2"/>
        <v>0</v>
      </c>
      <c r="BA29" s="135" t="b">
        <f t="shared" si="2"/>
        <v>0</v>
      </c>
      <c r="BB29" s="135" t="b">
        <f t="shared" si="2"/>
        <v>0</v>
      </c>
      <c r="BC29" s="883"/>
    </row>
    <row r="30" spans="1:62" ht="14.65" hidden="1" customHeight="1" x14ac:dyDescent="0.15">
      <c r="E30" s="602">
        <v>15</v>
      </c>
      <c r="F30" s="3" cm="1">
        <f t="array" aca="1" ref="F30" ca="1">OFFSET(E30,-1,1)</f>
        <v>0</v>
      </c>
      <c r="G30" s="71" t="s">
        <v>331</v>
      </c>
      <c r="H30" s="74" cm="1">
        <f t="array" ref="H30">AC30</f>
        <v>0</v>
      </c>
      <c r="I30" s="71" t="s">
        <v>1062</v>
      </c>
      <c r="T30" s="388" t="b">
        <f ca="1">AND(F30&gt;0,Y29&gt;0)</f>
        <v>0</v>
      </c>
      <c r="X30" s="1988"/>
      <c r="Y30" s="1988"/>
      <c r="Z30" s="2090"/>
      <c r="AA30" s="2091"/>
      <c r="AB30" s="7" t="str">
        <f>"1."&amp;Y29</f>
        <v>1.0</v>
      </c>
      <c r="AC30" s="192"/>
      <c r="AD30" s="130" t="s">
        <v>831</v>
      </c>
      <c r="AE30" s="1405"/>
      <c r="AF30" s="1405"/>
      <c r="AG30" s="1405"/>
      <c r="AH30" s="1405"/>
      <c r="AI30" s="1327"/>
      <c r="AJ30" s="1405"/>
      <c r="AK30" s="1405"/>
      <c r="AL30" s="1405"/>
      <c r="AM30" s="1405"/>
      <c r="AN30" s="1405"/>
      <c r="AO30" s="1405"/>
      <c r="AP30" s="1405"/>
      <c r="AQ30" s="1405"/>
      <c r="AR30" s="1405"/>
      <c r="AS30" s="1327"/>
      <c r="AT30" s="1405"/>
      <c r="AU30" s="1405"/>
      <c r="AV30" s="1405"/>
      <c r="AW30" s="1405"/>
      <c r="AX30" s="1405"/>
      <c r="AY30" s="1405"/>
      <c r="AZ30" s="1405"/>
      <c r="BA30" s="1405"/>
      <c r="BB30" s="1405"/>
      <c r="BC30" s="1365"/>
      <c r="BF30" s="950" t="s">
        <v>1063</v>
      </c>
      <c r="BG30" s="950" t="s">
        <v>1064</v>
      </c>
      <c r="BH30" s="950" cm="1">
        <f t="array" ref="BH30">AC30</f>
        <v>0</v>
      </c>
      <c r="BJ30" s="602" t="b">
        <v>1</v>
      </c>
    </row>
    <row r="31" spans="1:62" ht="14.65" hidden="1" customHeight="1" x14ac:dyDescent="0.15">
      <c r="E31" s="602">
        <v>15</v>
      </c>
      <c r="F31" s="3" cm="1">
        <f t="array" aca="1" ref="F31" ca="1">OFFSET(E31,-1,1)</f>
        <v>0</v>
      </c>
      <c r="G31" s="71" t="s">
        <v>494</v>
      </c>
      <c r="H31" s="74" cm="1">
        <f t="array" ref="H31">H30</f>
        <v>0</v>
      </c>
      <c r="I31" s="71" t="s">
        <v>1062</v>
      </c>
      <c r="T31" s="388" t="b" cm="1">
        <f t="array" aca="1" ref="T31" ca="1">T30</f>
        <v>0</v>
      </c>
      <c r="X31" s="1988"/>
      <c r="Y31" s="1988"/>
      <c r="Z31" s="2090"/>
      <c r="AA31" s="2091"/>
      <c r="AB31" s="7" t="str">
        <f>AB30&amp;".1"</f>
        <v>1.0.1</v>
      </c>
      <c r="AC31" s="140" t="s">
        <v>1065</v>
      </c>
      <c r="AD31" s="7" t="s">
        <v>563</v>
      </c>
      <c r="AE31" s="1403"/>
      <c r="AF31" s="1403"/>
      <c r="AG31" s="1403"/>
      <c r="AH31" s="1403"/>
      <c r="AI31" s="134"/>
      <c r="AJ31" s="1403"/>
      <c r="AK31" s="1403"/>
      <c r="AL31" s="1403"/>
      <c r="AM31" s="1403"/>
      <c r="AN31" s="1403"/>
      <c r="AO31" s="1403"/>
      <c r="AP31" s="1403"/>
      <c r="AQ31" s="1403"/>
      <c r="AR31" s="1403"/>
      <c r="AS31" s="134"/>
      <c r="AT31" s="1403"/>
      <c r="AU31" s="1403"/>
      <c r="AV31" s="1403"/>
      <c r="AW31" s="1403"/>
      <c r="AX31" s="1403"/>
      <c r="AY31" s="1403"/>
      <c r="AZ31" s="1403"/>
      <c r="BA31" s="1403"/>
      <c r="BB31" s="1403"/>
      <c r="BC31" s="1365"/>
      <c r="BF31" s="950" t="s">
        <v>1066</v>
      </c>
      <c r="BG31" s="950" t="s">
        <v>1064</v>
      </c>
      <c r="BH31" s="950" cm="1">
        <f t="array" ref="BH31">BH30</f>
        <v>0</v>
      </c>
    </row>
    <row r="32" spans="1:62" ht="14.65" hidden="1" customHeight="1" x14ac:dyDescent="0.15">
      <c r="E32" s="602">
        <v>15</v>
      </c>
      <c r="F32" s="3" cm="1">
        <f t="array" aca="1" ref="F32" ca="1">OFFSET(E32,-1,1)</f>
        <v>0</v>
      </c>
      <c r="H32" s="71" t="str">
        <f>"!=='не определено' &amp;&amp; row.l1 !== null"</f>
        <v>!=='не определено' &amp;&amp; row.l1 !== null</v>
      </c>
      <c r="T32" s="388" t="b">
        <f ca="1">F32&gt;0</f>
        <v>0</v>
      </c>
      <c r="W32" s="609" t="s">
        <v>1067</v>
      </c>
      <c r="X32" s="1988"/>
      <c r="Z32" s="2090"/>
      <c r="AB32" s="605"/>
      <c r="AC32" s="151" t="s">
        <v>1068</v>
      </c>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2"/>
      <c r="BI32" s="602" t="s">
        <v>1064</v>
      </c>
    </row>
    <row r="33" spans="5:62" ht="21.95" hidden="1" customHeight="1" x14ac:dyDescent="0.15">
      <c r="E33" s="602">
        <v>22.5</v>
      </c>
      <c r="F33" s="3" cm="1">
        <f t="array" aca="1" ref="F33" ca="1">OFFSET(E33,-1,1)</f>
        <v>0</v>
      </c>
      <c r="K33" s="824" t="str">
        <f ca="1">F28&amp;"2komm"</f>
        <v>02komm</v>
      </c>
      <c r="L33" s="828" cm="1">
        <f t="array" ref="L33">BC33</f>
        <v>0</v>
      </c>
      <c r="T33" s="388" t="b" cm="1">
        <f t="array" aca="1" ref="T33" ca="1">T32</f>
        <v>0</v>
      </c>
      <c r="X33" s="1988"/>
      <c r="Y33" s="608"/>
      <c r="Z33" s="2090"/>
      <c r="AB33" s="130">
        <v>2</v>
      </c>
      <c r="AC33" s="131" t="s">
        <v>1069</v>
      </c>
      <c r="AD33" s="130" t="s">
        <v>831</v>
      </c>
      <c r="AE33" s="132">
        <f>SUMIF(AD35:AD37,AD33,AE35:AE37)</f>
        <v>0</v>
      </c>
      <c r="AF33" s="132">
        <f>SUMIF(AD35:AD37,AD33,AF35:AF37)</f>
        <v>0</v>
      </c>
      <c r="AG33" s="132">
        <f>SUMIF(AD35:AD37,AD33,AG35:AG37)</f>
        <v>0</v>
      </c>
      <c r="AH33" s="132">
        <f>SUMIF(AD35:AD37,AD33,AH35:AH37)</f>
        <v>0</v>
      </c>
      <c r="AI33" s="132">
        <f>SUMIF(AD35:AD37,AD33,AI35:AI37)</f>
        <v>0</v>
      </c>
      <c r="AJ33" s="1325">
        <f>SUMIF(AD35:AD37,AD33,AJ35:AJ37)</f>
        <v>0</v>
      </c>
      <c r="AK33" s="1325">
        <f>SUMIF(AD35:AD37,AD33,AK35:AK37)</f>
        <v>0</v>
      </c>
      <c r="AL33" s="1325">
        <f>SUMIF(AD35:AD37,AD33,AL35:AL37)</f>
        <v>0</v>
      </c>
      <c r="AM33" s="1325">
        <f>SUMIF(AD35:AD37,AD33,AM35:AM37)</f>
        <v>0</v>
      </c>
      <c r="AN33" s="1325">
        <f>SUMIF(AD35:AD37,AD33,AN35:AN37)</f>
        <v>0</v>
      </c>
      <c r="AO33" s="1325">
        <f>SUMIF(AD35:AD37,AD33,AO35:AO37)</f>
        <v>0</v>
      </c>
      <c r="AP33" s="1325">
        <f>SUMIF(AD35:AD37,AD33,AP35:AP37)</f>
        <v>0</v>
      </c>
      <c r="AQ33" s="1325">
        <f>SUMIF(AD35:AD37,AD33,AQ35:AQ37)</f>
        <v>0</v>
      </c>
      <c r="AR33" s="1325">
        <f>SUMIF(AD35:AD37,AD33,AR35:AR37)</f>
        <v>0</v>
      </c>
      <c r="AS33" s="132">
        <f>SUMIF(AD35:AD37,AD33,AS35:AS37)</f>
        <v>0</v>
      </c>
      <c r="AT33" s="1325">
        <f>SUMIF(AD35:AD37,AD33,AT35:AT37)</f>
        <v>0</v>
      </c>
      <c r="AU33" s="1325">
        <f>SUMIF(AD35:AD37,AD33,AU35:AU37)</f>
        <v>0</v>
      </c>
      <c r="AV33" s="1325">
        <f>SUMIF(AD35:AD37,AD33,AV35:AV37)</f>
        <v>0</v>
      </c>
      <c r="AW33" s="1325">
        <f>SUMIF(AD35:AD37,AD33,AW35:AW37)</f>
        <v>0</v>
      </c>
      <c r="AX33" s="1325">
        <f>SUMIF(AD35:AD37,AD33,AX35:AX37)</f>
        <v>0</v>
      </c>
      <c r="AY33" s="1325">
        <f>SUMIF(AD35:AD37,AD33,AY35:AY37)</f>
        <v>0</v>
      </c>
      <c r="AZ33" s="1325">
        <f>SUMIF(AD35:AD37,AD33,AZ35:AZ37)</f>
        <v>0</v>
      </c>
      <c r="BA33" s="1325">
        <f>SUMIF(AD35:AD37,AD33,BA35:BA37)</f>
        <v>0</v>
      </c>
      <c r="BB33" s="1325">
        <f>SUMIF(AD35:AD37,AD33,BB35:BB37)</f>
        <v>0</v>
      </c>
      <c r="BC33" s="1365"/>
      <c r="BF33" s="950" t="s">
        <v>1070</v>
      </c>
    </row>
    <row r="34" spans="5:62" ht="15" hidden="1" customHeight="1" x14ac:dyDescent="0.15">
      <c r="E34" s="602">
        <v>0</v>
      </c>
      <c r="F34" s="3" cm="1">
        <f t="array" aca="1" ref="F34" ca="1">OFFSET(E34,-1,1)</f>
        <v>0</v>
      </c>
      <c r="G34" s="71" t="s">
        <v>332</v>
      </c>
      <c r="L34" s="828"/>
      <c r="T34" s="388" t="b">
        <v>0</v>
      </c>
      <c r="W34" s="71" t="s">
        <v>172</v>
      </c>
      <c r="X34" s="1988"/>
      <c r="Y34" s="1988">
        <v>0</v>
      </c>
      <c r="Z34" s="2090"/>
      <c r="AA34" s="2092" t="s">
        <v>173</v>
      </c>
      <c r="AB34" s="130"/>
      <c r="AC34" s="131"/>
      <c r="AD34" s="130"/>
      <c r="AE34" s="1328" t="b">
        <f t="shared" ref="AE34:BB34" si="3">OR(AND(AE35&lt;&gt;"",AE36=""),AND(AE35="",AE36&lt;&gt;""))</f>
        <v>0</v>
      </c>
      <c r="AF34" s="1328" t="b">
        <f t="shared" si="3"/>
        <v>0</v>
      </c>
      <c r="AG34" s="1328" t="b">
        <f t="shared" si="3"/>
        <v>0</v>
      </c>
      <c r="AH34" s="1328" t="b">
        <f t="shared" si="3"/>
        <v>0</v>
      </c>
      <c r="AI34" s="1328" t="b">
        <f t="shared" si="3"/>
        <v>0</v>
      </c>
      <c r="AJ34" s="1328" t="b">
        <f t="shared" si="3"/>
        <v>0</v>
      </c>
      <c r="AK34" s="1328" t="b">
        <f t="shared" si="3"/>
        <v>0</v>
      </c>
      <c r="AL34" s="1328" t="b">
        <f t="shared" si="3"/>
        <v>0</v>
      </c>
      <c r="AM34" s="1328" t="b">
        <f t="shared" si="3"/>
        <v>0</v>
      </c>
      <c r="AN34" s="1328" t="b">
        <f t="shared" si="3"/>
        <v>0</v>
      </c>
      <c r="AO34" s="1328" t="b">
        <f t="shared" si="3"/>
        <v>0</v>
      </c>
      <c r="AP34" s="1328" t="b">
        <f t="shared" si="3"/>
        <v>0</v>
      </c>
      <c r="AQ34" s="1328" t="b">
        <f t="shared" si="3"/>
        <v>0</v>
      </c>
      <c r="AR34" s="1328" t="b">
        <f t="shared" si="3"/>
        <v>0</v>
      </c>
      <c r="AS34" s="1328" t="b">
        <f t="shared" si="3"/>
        <v>0</v>
      </c>
      <c r="AT34" s="1328" t="b">
        <f t="shared" si="3"/>
        <v>0</v>
      </c>
      <c r="AU34" s="1328" t="b">
        <f t="shared" si="3"/>
        <v>0</v>
      </c>
      <c r="AV34" s="1328" t="b">
        <f t="shared" si="3"/>
        <v>0</v>
      </c>
      <c r="AW34" s="1328" t="b">
        <f t="shared" si="3"/>
        <v>0</v>
      </c>
      <c r="AX34" s="1328" t="b">
        <f t="shared" si="3"/>
        <v>0</v>
      </c>
      <c r="AY34" s="1328" t="b">
        <f t="shared" si="3"/>
        <v>0</v>
      </c>
      <c r="AZ34" s="1328" t="b">
        <f t="shared" si="3"/>
        <v>0</v>
      </c>
      <c r="BA34" s="1328" t="b">
        <f t="shared" si="3"/>
        <v>0</v>
      </c>
      <c r="BB34" s="1328" t="b">
        <f t="shared" si="3"/>
        <v>0</v>
      </c>
      <c r="BC34" s="883"/>
    </row>
    <row r="35" spans="5:62" ht="14.65" hidden="1" customHeight="1" x14ac:dyDescent="0.15">
      <c r="E35" s="602">
        <v>15</v>
      </c>
      <c r="F35" s="3" cm="1">
        <f t="array" aca="1" ref="F35" ca="1">OFFSET(E35,-1,1)</f>
        <v>0</v>
      </c>
      <c r="G35" s="71" t="s">
        <v>332</v>
      </c>
      <c r="H35" s="74" cm="1">
        <f t="array" ref="H35">AC35</f>
        <v>0</v>
      </c>
      <c r="I35" s="71" t="s">
        <v>1071</v>
      </c>
      <c r="T35" s="388" t="b">
        <f ca="1">AND(F35&gt;0,Y34&gt;0)</f>
        <v>0</v>
      </c>
      <c r="X35" s="1988"/>
      <c r="Y35" s="1988"/>
      <c r="Z35" s="2090"/>
      <c r="AA35" s="2092"/>
      <c r="AB35" s="7" t="str">
        <f>"2."&amp;Y34</f>
        <v>2.0</v>
      </c>
      <c r="AC35" s="192"/>
      <c r="AD35" s="130" t="s">
        <v>831</v>
      </c>
      <c r="AE35" s="1403"/>
      <c r="AF35" s="1403"/>
      <c r="AG35" s="1403"/>
      <c r="AH35" s="1403"/>
      <c r="AI35" s="134"/>
      <c r="AJ35" s="1403"/>
      <c r="AK35" s="1403"/>
      <c r="AL35" s="1403"/>
      <c r="AM35" s="1403"/>
      <c r="AN35" s="1403"/>
      <c r="AO35" s="1403"/>
      <c r="AP35" s="1403"/>
      <c r="AQ35" s="1403"/>
      <c r="AR35" s="1403"/>
      <c r="AS35" s="134"/>
      <c r="AT35" s="1403"/>
      <c r="AU35" s="1403"/>
      <c r="AV35" s="1403"/>
      <c r="AW35" s="1403"/>
      <c r="AX35" s="1403"/>
      <c r="AY35" s="1403"/>
      <c r="AZ35" s="1403"/>
      <c r="BA35" s="1403"/>
      <c r="BB35" s="1403"/>
      <c r="BC35" s="1365"/>
      <c r="BF35" s="950" t="s">
        <v>1063</v>
      </c>
      <c r="BG35" s="950" t="s">
        <v>1072</v>
      </c>
      <c r="BH35" s="950" cm="1">
        <f t="array" ref="BH35">AC35</f>
        <v>0</v>
      </c>
      <c r="BJ35" s="602" t="b">
        <v>1</v>
      </c>
    </row>
    <row r="36" spans="5:62" ht="14.65" hidden="1" customHeight="1" x14ac:dyDescent="0.15">
      <c r="E36" s="602">
        <v>15</v>
      </c>
      <c r="F36" s="3" cm="1">
        <f t="array" aca="1" ref="F36" ca="1">OFFSET(E36,-1,1)</f>
        <v>0</v>
      </c>
      <c r="G36" s="71" t="s">
        <v>512</v>
      </c>
      <c r="H36" s="74" cm="1">
        <f t="array" ref="H36">H35</f>
        <v>0</v>
      </c>
      <c r="I36" s="71" t="s">
        <v>1071</v>
      </c>
      <c r="T36" s="388" t="b" cm="1">
        <f t="array" aca="1" ref="T36" ca="1">T35</f>
        <v>0</v>
      </c>
      <c r="X36" s="1988"/>
      <c r="Y36" s="1988"/>
      <c r="Z36" s="2090"/>
      <c r="AA36" s="2092"/>
      <c r="AB36" s="7" t="str">
        <f>AB35&amp;".1"</f>
        <v>2.0.1</v>
      </c>
      <c r="AC36" s="140" t="s">
        <v>1073</v>
      </c>
      <c r="AD36" s="7" t="s">
        <v>563</v>
      </c>
      <c r="AE36" s="1403"/>
      <c r="AF36" s="1403"/>
      <c r="AG36" s="1403"/>
      <c r="AH36" s="1403"/>
      <c r="AI36" s="134"/>
      <c r="AJ36" s="1403"/>
      <c r="AK36" s="1403"/>
      <c r="AL36" s="1403"/>
      <c r="AM36" s="1403"/>
      <c r="AN36" s="1403"/>
      <c r="AO36" s="1403"/>
      <c r="AP36" s="1403"/>
      <c r="AQ36" s="1403"/>
      <c r="AR36" s="1403"/>
      <c r="AS36" s="134"/>
      <c r="AT36" s="1403"/>
      <c r="AU36" s="1403"/>
      <c r="AV36" s="1403"/>
      <c r="AW36" s="1403"/>
      <c r="AX36" s="1403"/>
      <c r="AY36" s="1403"/>
      <c r="AZ36" s="1403"/>
      <c r="BA36" s="1403"/>
      <c r="BB36" s="1403"/>
      <c r="BC36" s="1365"/>
      <c r="BF36" s="950" t="s">
        <v>1066</v>
      </c>
      <c r="BG36" s="950" t="s">
        <v>1072</v>
      </c>
      <c r="BH36" s="950" cm="1">
        <f t="array" ref="BH36">BH35</f>
        <v>0</v>
      </c>
    </row>
    <row r="37" spans="5:62" ht="14.65" hidden="1" customHeight="1" x14ac:dyDescent="0.15">
      <c r="E37" s="602">
        <v>15</v>
      </c>
      <c r="F37" s="3" cm="1">
        <f t="array" aca="1" ref="F37" ca="1">OFFSET(E37,-1,1)</f>
        <v>0</v>
      </c>
      <c r="H37" s="71" t="str">
        <f>"!=='не определено' &amp;&amp; row.l2 !== null"</f>
        <v>!=='не определено' &amp;&amp; row.l2 !== null</v>
      </c>
      <c r="T37" s="388" t="b">
        <f ca="1">F37&gt;0</f>
        <v>0</v>
      </c>
      <c r="W37" s="609" t="s">
        <v>1067</v>
      </c>
      <c r="X37" s="1988"/>
      <c r="Y37" s="607"/>
      <c r="Z37" s="2090"/>
      <c r="AB37" s="605"/>
      <c r="AC37" s="151" t="s">
        <v>1068</v>
      </c>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2"/>
      <c r="BI37" s="602" t="s">
        <v>1072</v>
      </c>
    </row>
    <row r="38" spans="5:62" ht="22.35" hidden="1" customHeight="1" x14ac:dyDescent="0.15">
      <c r="E38" s="602">
        <v>23</v>
      </c>
      <c r="F38" s="3" cm="1">
        <f t="array" aca="1" ref="F38" ca="1">OFFSET(E38,-1,1)</f>
        <v>0</v>
      </c>
      <c r="K38" s="824" t="str">
        <f ca="1">F28&amp;"3komm"</f>
        <v>03komm</v>
      </c>
      <c r="L38" s="828" cm="1">
        <f t="array" ref="L38">BC38</f>
        <v>0</v>
      </c>
      <c r="T38" s="388" t="b" cm="1">
        <f t="array" aca="1" ref="T38" ca="1">T37</f>
        <v>0</v>
      </c>
      <c r="X38" s="1988"/>
      <c r="Y38" s="608"/>
      <c r="Z38" s="2090"/>
      <c r="AB38" s="130">
        <v>3</v>
      </c>
      <c r="AC38" s="131" t="s">
        <v>1074</v>
      </c>
      <c r="AD38" s="130" t="s">
        <v>831</v>
      </c>
      <c r="AE38" s="132">
        <f>SUMIF(AD40:AD42,AD38,AE40:AE42)</f>
        <v>0</v>
      </c>
      <c r="AF38" s="132">
        <f>SUMIF(AD40:AD42,AD38,AF40:AF42)</f>
        <v>0</v>
      </c>
      <c r="AG38" s="132">
        <f>SUMIF(AD40:AD42,AD38,AG40:AG42)</f>
        <v>0</v>
      </c>
      <c r="AH38" s="132">
        <f>SUMIF(AD40:AD42,AD38,AH40:AH42)</f>
        <v>0</v>
      </c>
      <c r="AI38" s="132">
        <f>SUMIF(AD40:AD42,AD38,AI40:AI42)</f>
        <v>0</v>
      </c>
      <c r="AJ38" s="1325">
        <f>SUMIF(AD40:AD42,AD38,AJ40:AJ42)</f>
        <v>0</v>
      </c>
      <c r="AK38" s="1325">
        <f>SUMIF(AD40:AD42,AD38,AK40:AK42)</f>
        <v>0</v>
      </c>
      <c r="AL38" s="1325">
        <f>SUMIF(AD40:AD42,AD38,AL40:AL42)</f>
        <v>0</v>
      </c>
      <c r="AM38" s="1325">
        <f>SUMIF(AD40:AD42,AD38,AM40:AM42)</f>
        <v>0</v>
      </c>
      <c r="AN38" s="1325">
        <f>SUMIF(AD40:AD42,AD38,AN40:AN42)</f>
        <v>0</v>
      </c>
      <c r="AO38" s="1325">
        <f>SUMIF(AD40:AD42,AD38,AO40:AO42)</f>
        <v>0</v>
      </c>
      <c r="AP38" s="1325">
        <f>SUMIF(AD40:AD42,AD38,AP40:AP42)</f>
        <v>0</v>
      </c>
      <c r="AQ38" s="1325">
        <f>SUMIF(AD40:AD42,AD38,AQ40:AQ42)</f>
        <v>0</v>
      </c>
      <c r="AR38" s="1325">
        <f>SUMIF(AD40:AD42,AD38,AR40:AR42)</f>
        <v>0</v>
      </c>
      <c r="AS38" s="132">
        <f>SUMIF(AD40:AD42,AD38,AS40:AS42)</f>
        <v>0</v>
      </c>
      <c r="AT38" s="1325">
        <f>SUMIF(AD40:AD42,AD38,AT40:AT42)</f>
        <v>0</v>
      </c>
      <c r="AU38" s="1325">
        <f>SUMIF(AD40:AD42,AD38,AU40:AU42)</f>
        <v>0</v>
      </c>
      <c r="AV38" s="1325">
        <f>SUMIF(AD40:AD42,AD38,AV40:AV42)</f>
        <v>0</v>
      </c>
      <c r="AW38" s="1325">
        <f>SUMIF(AD40:AD42,AD38,AW40:AW42)</f>
        <v>0</v>
      </c>
      <c r="AX38" s="1325">
        <f>SUMIF(AD40:AD42,AD38,AX40:AX42)</f>
        <v>0</v>
      </c>
      <c r="AY38" s="1325">
        <f>SUMIF(AD40:AD42,AD38,AY40:AY42)</f>
        <v>0</v>
      </c>
      <c r="AZ38" s="1325">
        <f>SUMIF(AD40:AD42,AD38,AZ40:AZ42)</f>
        <v>0</v>
      </c>
      <c r="BA38" s="1325">
        <f>SUMIF(AD40:AD42,AD38,BA40:BA42)</f>
        <v>0</v>
      </c>
      <c r="BB38" s="1325">
        <f>SUMIF(AD40:AD42,AD38,BB40:BB42)</f>
        <v>0</v>
      </c>
      <c r="BC38" s="1365"/>
      <c r="BF38" s="950" t="s">
        <v>1075</v>
      </c>
    </row>
    <row r="39" spans="5:62" ht="15" hidden="1" customHeight="1" x14ac:dyDescent="0.15">
      <c r="E39" s="602">
        <v>0</v>
      </c>
      <c r="F39" s="3" cm="1">
        <f t="array" aca="1" ref="F39" ca="1">OFFSET(E39,-1,1)</f>
        <v>0</v>
      </c>
      <c r="G39" s="71" t="s">
        <v>333</v>
      </c>
      <c r="L39" s="828"/>
      <c r="T39" s="388" t="b">
        <v>0</v>
      </c>
      <c r="W39" s="71" t="s">
        <v>172</v>
      </c>
      <c r="X39" s="1988"/>
      <c r="Y39" s="1988">
        <v>0</v>
      </c>
      <c r="Z39" s="2090"/>
      <c r="AA39" s="2092" t="s">
        <v>173</v>
      </c>
      <c r="AB39" s="130"/>
      <c r="AC39" s="131"/>
      <c r="AD39" s="130"/>
      <c r="AE39" s="1328" t="b">
        <f t="shared" ref="AE39:BB39" si="4">OR(AND(AE40&lt;&gt;"",AE41=""),AND(AE40="",AE41&lt;&gt;""))</f>
        <v>0</v>
      </c>
      <c r="AF39" s="1328" t="b">
        <f t="shared" si="4"/>
        <v>0</v>
      </c>
      <c r="AG39" s="1328" t="b">
        <f t="shared" si="4"/>
        <v>0</v>
      </c>
      <c r="AH39" s="1328" t="b">
        <f t="shared" si="4"/>
        <v>0</v>
      </c>
      <c r="AI39" s="1328" t="b">
        <f t="shared" si="4"/>
        <v>0</v>
      </c>
      <c r="AJ39" s="1328" t="b">
        <f t="shared" si="4"/>
        <v>0</v>
      </c>
      <c r="AK39" s="1328" t="b">
        <f t="shared" si="4"/>
        <v>0</v>
      </c>
      <c r="AL39" s="1328" t="b">
        <f t="shared" si="4"/>
        <v>0</v>
      </c>
      <c r="AM39" s="1328" t="b">
        <f t="shared" si="4"/>
        <v>0</v>
      </c>
      <c r="AN39" s="1328" t="b">
        <f t="shared" si="4"/>
        <v>0</v>
      </c>
      <c r="AO39" s="1328" t="b">
        <f t="shared" si="4"/>
        <v>0</v>
      </c>
      <c r="AP39" s="1328" t="b">
        <f t="shared" si="4"/>
        <v>0</v>
      </c>
      <c r="AQ39" s="1328" t="b">
        <f t="shared" si="4"/>
        <v>0</v>
      </c>
      <c r="AR39" s="1328" t="b">
        <f t="shared" si="4"/>
        <v>0</v>
      </c>
      <c r="AS39" s="1328" t="b">
        <f t="shared" si="4"/>
        <v>0</v>
      </c>
      <c r="AT39" s="1328" t="b">
        <f t="shared" si="4"/>
        <v>0</v>
      </c>
      <c r="AU39" s="1328" t="b">
        <f t="shared" si="4"/>
        <v>0</v>
      </c>
      <c r="AV39" s="1328" t="b">
        <f t="shared" si="4"/>
        <v>0</v>
      </c>
      <c r="AW39" s="1328" t="b">
        <f t="shared" si="4"/>
        <v>0</v>
      </c>
      <c r="AX39" s="1328" t="b">
        <f t="shared" si="4"/>
        <v>0</v>
      </c>
      <c r="AY39" s="1328" t="b">
        <f t="shared" si="4"/>
        <v>0</v>
      </c>
      <c r="AZ39" s="1328" t="b">
        <f t="shared" si="4"/>
        <v>0</v>
      </c>
      <c r="BA39" s="1328" t="b">
        <f t="shared" si="4"/>
        <v>0</v>
      </c>
      <c r="BB39" s="1328" t="b">
        <f t="shared" si="4"/>
        <v>0</v>
      </c>
      <c r="BC39" s="883"/>
    </row>
    <row r="40" spans="5:62" ht="14.65" hidden="1" customHeight="1" x14ac:dyDescent="0.15">
      <c r="E40" s="602">
        <v>15</v>
      </c>
      <c r="F40" s="3" cm="1">
        <f t="array" aca="1" ref="F40" ca="1">OFFSET(E40,-1,1)</f>
        <v>0</v>
      </c>
      <c r="G40" s="71" t="s">
        <v>333</v>
      </c>
      <c r="H40" s="74" cm="1">
        <f t="array" ref="H40">AC40</f>
        <v>0</v>
      </c>
      <c r="I40" s="71" t="s">
        <v>1076</v>
      </c>
      <c r="T40" s="388" t="b">
        <f ca="1">AND(F40&gt;0,Y39&gt;0)</f>
        <v>0</v>
      </c>
      <c r="X40" s="1988"/>
      <c r="Y40" s="1988"/>
      <c r="Z40" s="2090"/>
      <c r="AA40" s="2092"/>
      <c r="AB40" s="7" t="str">
        <f>"3."&amp;Y39</f>
        <v>3.0</v>
      </c>
      <c r="AC40" s="192"/>
      <c r="AD40" s="130" t="s">
        <v>831</v>
      </c>
      <c r="AE40" s="1403"/>
      <c r="AF40" s="1403"/>
      <c r="AG40" s="1403"/>
      <c r="AH40" s="1403"/>
      <c r="AI40" s="134"/>
      <c r="AJ40" s="1403"/>
      <c r="AK40" s="1403"/>
      <c r="AL40" s="1403"/>
      <c r="AM40" s="1403"/>
      <c r="AN40" s="1403"/>
      <c r="AO40" s="1403"/>
      <c r="AP40" s="1403"/>
      <c r="AQ40" s="1403"/>
      <c r="AR40" s="1403"/>
      <c r="AS40" s="134"/>
      <c r="AT40" s="1403"/>
      <c r="AU40" s="1403"/>
      <c r="AV40" s="1403"/>
      <c r="AW40" s="1403"/>
      <c r="AX40" s="1403"/>
      <c r="AY40" s="1403"/>
      <c r="AZ40" s="1403"/>
      <c r="BA40" s="1403"/>
      <c r="BB40" s="1403"/>
      <c r="BC40" s="1365"/>
      <c r="BF40" s="950" t="s">
        <v>1063</v>
      </c>
      <c r="BG40" s="950" t="s">
        <v>1077</v>
      </c>
      <c r="BH40" s="950" cm="1">
        <f t="array" ref="BH40">AC40</f>
        <v>0</v>
      </c>
      <c r="BJ40" s="602" t="b">
        <v>1</v>
      </c>
    </row>
    <row r="41" spans="5:62" ht="14.65" hidden="1" customHeight="1" x14ac:dyDescent="0.15">
      <c r="E41" s="602">
        <v>15</v>
      </c>
      <c r="F41" s="3" cm="1">
        <f t="array" aca="1" ref="F41" ca="1">OFFSET(E41,-1,1)</f>
        <v>0</v>
      </c>
      <c r="G41" s="71" t="s">
        <v>940</v>
      </c>
      <c r="H41" s="74" cm="1">
        <f t="array" ref="H41">H40</f>
        <v>0</v>
      </c>
      <c r="I41" s="71" t="s">
        <v>1076</v>
      </c>
      <c r="T41" s="388" t="b" cm="1">
        <f t="array" aca="1" ref="T41" ca="1">T40</f>
        <v>0</v>
      </c>
      <c r="X41" s="1988"/>
      <c r="Y41" s="1988"/>
      <c r="Z41" s="2090"/>
      <c r="AA41" s="2092"/>
      <c r="AB41" s="7" t="str">
        <f>AB40&amp;".1"</f>
        <v>3.0.1</v>
      </c>
      <c r="AC41" s="140" t="s">
        <v>1078</v>
      </c>
      <c r="AD41" s="7" t="s">
        <v>563</v>
      </c>
      <c r="AE41" s="1403"/>
      <c r="AF41" s="1403"/>
      <c r="AG41" s="1403"/>
      <c r="AH41" s="1403"/>
      <c r="AI41" s="134"/>
      <c r="AJ41" s="1403"/>
      <c r="AK41" s="1403"/>
      <c r="AL41" s="1403"/>
      <c r="AM41" s="1403"/>
      <c r="AN41" s="1403"/>
      <c r="AO41" s="1403"/>
      <c r="AP41" s="1403"/>
      <c r="AQ41" s="1403"/>
      <c r="AR41" s="1403"/>
      <c r="AS41" s="134"/>
      <c r="AT41" s="1403"/>
      <c r="AU41" s="1403"/>
      <c r="AV41" s="1403"/>
      <c r="AW41" s="1403"/>
      <c r="AX41" s="1403"/>
      <c r="AY41" s="1403"/>
      <c r="AZ41" s="1403"/>
      <c r="BA41" s="1403"/>
      <c r="BB41" s="1403"/>
      <c r="BC41" s="1365"/>
      <c r="BF41" s="950" t="s">
        <v>1066</v>
      </c>
      <c r="BG41" s="950" t="s">
        <v>1077</v>
      </c>
      <c r="BH41" s="950" cm="1">
        <f t="array" ref="BH41">BH40</f>
        <v>0</v>
      </c>
    </row>
    <row r="42" spans="5:62" ht="14.65" hidden="1" customHeight="1" x14ac:dyDescent="0.15">
      <c r="E42" s="602">
        <v>15</v>
      </c>
      <c r="F42" s="3" cm="1">
        <f t="array" aca="1" ref="F42" ca="1">OFFSET(E42,-1,1)</f>
        <v>0</v>
      </c>
      <c r="H42" s="71" t="str">
        <f>"!=='не определено' &amp;&amp; row.l3 !== null"</f>
        <v>!=='не определено' &amp;&amp; row.l3 !== null</v>
      </c>
      <c r="T42" s="388" t="b">
        <f ca="1">F42&gt;0</f>
        <v>0</v>
      </c>
      <c r="W42" s="609" t="s">
        <v>1079</v>
      </c>
      <c r="X42" s="1988"/>
      <c r="Y42" s="607"/>
      <c r="Z42" s="2090"/>
      <c r="AB42" s="605"/>
      <c r="AC42" s="151" t="s">
        <v>1068</v>
      </c>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2"/>
      <c r="BI42" s="602" t="s">
        <v>1077</v>
      </c>
    </row>
    <row r="43" spans="5:62" ht="22.35" hidden="1" customHeight="1" x14ac:dyDescent="0.15">
      <c r="E43" s="602">
        <v>23</v>
      </c>
      <c r="F43" s="3" cm="1">
        <f t="array" aca="1" ref="F43" ca="1">OFFSET(E43,-1,1)</f>
        <v>0</v>
      </c>
      <c r="K43" s="824" t="str">
        <f ca="1">F28&amp;"4komm"</f>
        <v>04komm</v>
      </c>
      <c r="L43" s="828" cm="1">
        <f t="array" ref="L43">BC43</f>
        <v>0</v>
      </c>
      <c r="T43" s="388" t="b" cm="1">
        <f t="array" aca="1" ref="T43" ca="1">T42</f>
        <v>0</v>
      </c>
      <c r="X43" s="1988"/>
      <c r="Y43" s="608"/>
      <c r="Z43" s="2090"/>
      <c r="AB43" s="130">
        <v>4</v>
      </c>
      <c r="AC43" s="131" t="s">
        <v>1080</v>
      </c>
      <c r="AD43" s="130" t="s">
        <v>831</v>
      </c>
      <c r="AE43" s="132">
        <f>SUMIF(AD45:AD47,AD43,AE45:AE47)</f>
        <v>0</v>
      </c>
      <c r="AF43" s="132">
        <f>SUMIF(AD45:AD47,AD43,AF45:AF47)</f>
        <v>0</v>
      </c>
      <c r="AG43" s="132">
        <f>SUMIF(AD45:AD47,AD43,AG45:AG47)</f>
        <v>0</v>
      </c>
      <c r="AH43" s="132">
        <f>SUMIF(AD45:AD47,AD43,AH45:AH47)</f>
        <v>0</v>
      </c>
      <c r="AI43" s="132">
        <f>SUMIF(AD45:AD47,AD43,AI45:AI47)</f>
        <v>0</v>
      </c>
      <c r="AJ43" s="1325">
        <f>SUMIF(AD45:AD47,AD43,AJ45:AJ47)</f>
        <v>0</v>
      </c>
      <c r="AK43" s="1325">
        <f>SUMIF(AD45:AD47,AD43,AK45:AK47)</f>
        <v>0</v>
      </c>
      <c r="AL43" s="1325">
        <f>SUMIF(AD45:AD47,AD43,AL45:AL47)</f>
        <v>0</v>
      </c>
      <c r="AM43" s="1325">
        <f>SUMIF(AD45:AD47,AD43,AM45:AM47)</f>
        <v>0</v>
      </c>
      <c r="AN43" s="1325">
        <f>SUMIF(AD45:AD47,AD43,AN45:AN47)</f>
        <v>0</v>
      </c>
      <c r="AO43" s="1325">
        <f>SUMIF(AD45:AD47,AD43,AO45:AO47)</f>
        <v>0</v>
      </c>
      <c r="AP43" s="1325">
        <f>SUMIF(AD45:AD47,AD43,AP45:AP47)</f>
        <v>0</v>
      </c>
      <c r="AQ43" s="1325">
        <f>SUMIF(AD45:AD47,AD43,AQ45:AQ47)</f>
        <v>0</v>
      </c>
      <c r="AR43" s="1325">
        <f>SUMIF(AD45:AD47,AD43,AR45:AR47)</f>
        <v>0</v>
      </c>
      <c r="AS43" s="132">
        <f>SUMIF(AD45:AD47,AD43,AS45:AS47)</f>
        <v>0</v>
      </c>
      <c r="AT43" s="1325">
        <f>SUMIF(AD45:AD47,AD43,AT45:AT47)</f>
        <v>0</v>
      </c>
      <c r="AU43" s="1325">
        <f>SUMIF(AD45:AD47,AD43,AU45:AU47)</f>
        <v>0</v>
      </c>
      <c r="AV43" s="1325">
        <f>SUMIF(AD45:AD47,AD43,AV45:AV47)</f>
        <v>0</v>
      </c>
      <c r="AW43" s="1325">
        <f>SUMIF(AD45:AD47,AD43,AW45:AW47)</f>
        <v>0</v>
      </c>
      <c r="AX43" s="1325">
        <f>SUMIF(AD45:AD47,AD43,AX45:AX47)</f>
        <v>0</v>
      </c>
      <c r="AY43" s="1325">
        <f>SUMIF(AD45:AD47,AD43,AY45:AY47)</f>
        <v>0</v>
      </c>
      <c r="AZ43" s="1325">
        <f>SUMIF(AD45:AD47,AD43,AZ45:AZ47)</f>
        <v>0</v>
      </c>
      <c r="BA43" s="1325">
        <f>SUMIF(AD45:AD47,AD43,BA45:BA47)</f>
        <v>0</v>
      </c>
      <c r="BB43" s="1325">
        <f>SUMIF(AD45:AD47,AD43,BB45:BB47)</f>
        <v>0</v>
      </c>
      <c r="BC43" s="1365"/>
      <c r="BF43" s="950" t="s">
        <v>1081</v>
      </c>
    </row>
    <row r="44" spans="5:62" ht="15" hidden="1" customHeight="1" x14ac:dyDescent="0.15">
      <c r="E44" s="602">
        <v>0</v>
      </c>
      <c r="F44" s="3" cm="1">
        <f t="array" aca="1" ref="F44" ca="1">OFFSET(E44,-1,1)</f>
        <v>0</v>
      </c>
      <c r="G44" s="71" t="s">
        <v>335</v>
      </c>
      <c r="L44" s="828"/>
      <c r="T44" s="388" t="b">
        <v>0</v>
      </c>
      <c r="W44" s="71" t="s">
        <v>172</v>
      </c>
      <c r="X44" s="1988"/>
      <c r="Y44" s="1988">
        <v>0</v>
      </c>
      <c r="Z44" s="2090"/>
      <c r="AA44" s="2092" t="s">
        <v>173</v>
      </c>
      <c r="AB44" s="130"/>
      <c r="AC44" s="131"/>
      <c r="AD44" s="130"/>
      <c r="AE44" s="1328" t="b">
        <f t="shared" ref="AE44:BB44" si="5">OR(AND(AE45&lt;&gt;"",AE46=""),AND(AE45="",AE46&lt;&gt;""))</f>
        <v>0</v>
      </c>
      <c r="AF44" s="1328" t="b">
        <f t="shared" si="5"/>
        <v>0</v>
      </c>
      <c r="AG44" s="1328" t="b">
        <f t="shared" si="5"/>
        <v>0</v>
      </c>
      <c r="AH44" s="1328" t="b">
        <f t="shared" si="5"/>
        <v>0</v>
      </c>
      <c r="AI44" s="1328" t="b">
        <f t="shared" si="5"/>
        <v>0</v>
      </c>
      <c r="AJ44" s="1328" t="b">
        <f t="shared" si="5"/>
        <v>0</v>
      </c>
      <c r="AK44" s="1328" t="b">
        <f t="shared" si="5"/>
        <v>0</v>
      </c>
      <c r="AL44" s="1328" t="b">
        <f t="shared" si="5"/>
        <v>0</v>
      </c>
      <c r="AM44" s="1328" t="b">
        <f t="shared" si="5"/>
        <v>0</v>
      </c>
      <c r="AN44" s="1328" t="b">
        <f t="shared" si="5"/>
        <v>0</v>
      </c>
      <c r="AO44" s="1328" t="b">
        <f t="shared" si="5"/>
        <v>0</v>
      </c>
      <c r="AP44" s="1328" t="b">
        <f t="shared" si="5"/>
        <v>0</v>
      </c>
      <c r="AQ44" s="1328" t="b">
        <f t="shared" si="5"/>
        <v>0</v>
      </c>
      <c r="AR44" s="1328" t="b">
        <f t="shared" si="5"/>
        <v>0</v>
      </c>
      <c r="AS44" s="1328" t="b">
        <f t="shared" si="5"/>
        <v>0</v>
      </c>
      <c r="AT44" s="1328" t="b">
        <f t="shared" si="5"/>
        <v>0</v>
      </c>
      <c r="AU44" s="1328" t="b">
        <f t="shared" si="5"/>
        <v>0</v>
      </c>
      <c r="AV44" s="1328" t="b">
        <f t="shared" si="5"/>
        <v>0</v>
      </c>
      <c r="AW44" s="1328" t="b">
        <f t="shared" si="5"/>
        <v>0</v>
      </c>
      <c r="AX44" s="1328" t="b">
        <f t="shared" si="5"/>
        <v>0</v>
      </c>
      <c r="AY44" s="1328" t="b">
        <f t="shared" si="5"/>
        <v>0</v>
      </c>
      <c r="AZ44" s="1328" t="b">
        <f t="shared" si="5"/>
        <v>0</v>
      </c>
      <c r="BA44" s="1328" t="b">
        <f t="shared" si="5"/>
        <v>0</v>
      </c>
      <c r="BB44" s="1328" t="b">
        <f t="shared" si="5"/>
        <v>0</v>
      </c>
      <c r="BC44" s="883"/>
    </row>
    <row r="45" spans="5:62" ht="14.65" hidden="1" customHeight="1" x14ac:dyDescent="0.15">
      <c r="E45" s="602">
        <v>15</v>
      </c>
      <c r="F45" s="3" cm="1">
        <f t="array" aca="1" ref="F45" ca="1">OFFSET(E45,-1,1)</f>
        <v>0</v>
      </c>
      <c r="G45" s="71" t="s">
        <v>335</v>
      </c>
      <c r="H45" s="74" cm="1">
        <f t="array" ref="H45">AC45</f>
        <v>0</v>
      </c>
      <c r="I45" s="71" t="s">
        <v>1082</v>
      </c>
      <c r="T45" s="388" t="b">
        <f ca="1">AND(F45&gt;0,Y44&gt;0)</f>
        <v>0</v>
      </c>
      <c r="X45" s="1988"/>
      <c r="Y45" s="1988"/>
      <c r="Z45" s="2090"/>
      <c r="AA45" s="2092"/>
      <c r="AB45" s="7" t="str">
        <f>"4."&amp;Y44</f>
        <v>4.0</v>
      </c>
      <c r="AC45" s="192"/>
      <c r="AD45" s="130" t="s">
        <v>831</v>
      </c>
      <c r="AE45" s="1403"/>
      <c r="AF45" s="1403"/>
      <c r="AG45" s="1403"/>
      <c r="AH45" s="1403"/>
      <c r="AI45" s="134"/>
      <c r="AJ45" s="1403"/>
      <c r="AK45" s="1403"/>
      <c r="AL45" s="1403"/>
      <c r="AM45" s="1403"/>
      <c r="AN45" s="1403"/>
      <c r="AO45" s="1403"/>
      <c r="AP45" s="1403"/>
      <c r="AQ45" s="1403"/>
      <c r="AR45" s="1403"/>
      <c r="AS45" s="134"/>
      <c r="AT45" s="1403"/>
      <c r="AU45" s="1403"/>
      <c r="AV45" s="1403"/>
      <c r="AW45" s="1403"/>
      <c r="AX45" s="1403"/>
      <c r="AY45" s="1403"/>
      <c r="AZ45" s="1403"/>
      <c r="BA45" s="1403"/>
      <c r="BB45" s="1403"/>
      <c r="BC45" s="1365"/>
      <c r="BF45" s="950" t="s">
        <v>1063</v>
      </c>
      <c r="BG45" s="950" t="s">
        <v>1083</v>
      </c>
      <c r="BH45" s="950" cm="1">
        <f t="array" ref="BH45">AC45</f>
        <v>0</v>
      </c>
      <c r="BJ45" s="602" t="b">
        <v>1</v>
      </c>
    </row>
    <row r="46" spans="5:62" ht="14.65" hidden="1" customHeight="1" x14ac:dyDescent="0.15">
      <c r="E46" s="602">
        <v>15</v>
      </c>
      <c r="F46" s="3" cm="1">
        <f t="array" aca="1" ref="F46" ca="1">OFFSET(E46,-1,1)</f>
        <v>0</v>
      </c>
      <c r="G46" s="71" t="s">
        <v>565</v>
      </c>
      <c r="H46" s="74" cm="1">
        <f t="array" ref="H46">H45</f>
        <v>0</v>
      </c>
      <c r="I46" s="71" t="s">
        <v>1082</v>
      </c>
      <c r="T46" s="388" t="b" cm="1">
        <f t="array" aca="1" ref="T46" ca="1">T45</f>
        <v>0</v>
      </c>
      <c r="X46" s="1988"/>
      <c r="Y46" s="1988"/>
      <c r="Z46" s="2090"/>
      <c r="AA46" s="2092"/>
      <c r="AB46" s="7" t="str">
        <f>AB45&amp;".1"</f>
        <v>4.0.1</v>
      </c>
      <c r="AC46" s="140" t="s">
        <v>1084</v>
      </c>
      <c r="AD46" s="7" t="s">
        <v>563</v>
      </c>
      <c r="AE46" s="1403"/>
      <c r="AF46" s="1403"/>
      <c r="AG46" s="1403"/>
      <c r="AH46" s="1403"/>
      <c r="AI46" s="134"/>
      <c r="AJ46" s="1403"/>
      <c r="AK46" s="1403"/>
      <c r="AL46" s="1403"/>
      <c r="AM46" s="1403"/>
      <c r="AN46" s="1403"/>
      <c r="AO46" s="1403"/>
      <c r="AP46" s="1403"/>
      <c r="AQ46" s="1403"/>
      <c r="AR46" s="1403"/>
      <c r="AS46" s="134"/>
      <c r="AT46" s="1403"/>
      <c r="AU46" s="1403"/>
      <c r="AV46" s="1403"/>
      <c r="AW46" s="1403"/>
      <c r="AX46" s="1403"/>
      <c r="AY46" s="1403"/>
      <c r="AZ46" s="1403"/>
      <c r="BA46" s="1403"/>
      <c r="BB46" s="1403"/>
      <c r="BC46" s="1365"/>
      <c r="BF46" s="950" t="s">
        <v>1066</v>
      </c>
      <c r="BG46" s="950" t="s">
        <v>1083</v>
      </c>
      <c r="BH46" s="950" cm="1">
        <f t="array" ref="BH46">BH45</f>
        <v>0</v>
      </c>
    </row>
    <row r="47" spans="5:62" ht="14.65" hidden="1" customHeight="1" x14ac:dyDescent="0.15">
      <c r="E47" s="602">
        <v>15</v>
      </c>
      <c r="F47" s="3" cm="1">
        <f t="array" aca="1" ref="F47" ca="1">OFFSET(E47,-1,1)</f>
        <v>0</v>
      </c>
      <c r="H47" s="71" t="str">
        <f>"!=='не определено' &amp;&amp; row.l4 !== null"</f>
        <v>!=='не определено' &amp;&amp; row.l4 !== null</v>
      </c>
      <c r="T47" s="388" t="b">
        <f ca="1">F47&gt;0</f>
        <v>0</v>
      </c>
      <c r="W47" s="609" t="s">
        <v>1085</v>
      </c>
      <c r="X47" s="1988"/>
      <c r="Y47" s="607"/>
      <c r="Z47" s="2090"/>
      <c r="AB47" s="605"/>
      <c r="AC47" s="151" t="s">
        <v>1068</v>
      </c>
      <c r="AD47" s="151"/>
      <c r="AE47" s="151"/>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2"/>
      <c r="BI47" s="602" t="s">
        <v>1083</v>
      </c>
    </row>
    <row r="48" spans="5:62" ht="22.35" hidden="1" customHeight="1" x14ac:dyDescent="0.15">
      <c r="E48" s="602">
        <v>23</v>
      </c>
      <c r="F48" s="3" cm="1">
        <f t="array" aca="1" ref="F48" ca="1">OFFSET(E48,-1,1)</f>
        <v>0</v>
      </c>
      <c r="K48" s="824" t="str">
        <f ca="1">F28&amp;"5komm"</f>
        <v>05komm</v>
      </c>
      <c r="L48" s="828" cm="1">
        <f t="array" ref="L48">BC48</f>
        <v>0</v>
      </c>
      <c r="T48" s="388" t="b" cm="1">
        <f t="array" aca="1" ref="T48" ca="1">T47</f>
        <v>0</v>
      </c>
      <c r="X48" s="1988"/>
      <c r="Y48" s="608"/>
      <c r="Z48" s="2090"/>
      <c r="AB48" s="130">
        <v>5</v>
      </c>
      <c r="AC48" s="131" t="s">
        <v>1086</v>
      </c>
      <c r="AD48" s="130" t="s">
        <v>831</v>
      </c>
      <c r="AE48" s="132">
        <f>SUMIF(AD50:AD52,AD48,AE50:AE52)</f>
        <v>0</v>
      </c>
      <c r="AF48" s="132">
        <f>SUMIF(AD50:AD52,AD48,AF50:AF52)</f>
        <v>0</v>
      </c>
      <c r="AG48" s="132">
        <f>SUMIF(AD50:AD52,AD48,AG50:AG52)</f>
        <v>0</v>
      </c>
      <c r="AH48" s="132">
        <f>SUMIF(AD50:AD52,AD48,AH50:AH52)</f>
        <v>0</v>
      </c>
      <c r="AI48" s="132">
        <f>SUMIF(AD50:AD52,AD48,AI50:AI52)</f>
        <v>0</v>
      </c>
      <c r="AJ48" s="1325">
        <f>SUMIF(AD50:AD52,AD48,AJ50:AJ52)</f>
        <v>0</v>
      </c>
      <c r="AK48" s="1325">
        <f>SUMIF(AD50:AD52,AD48,AK50:AK52)</f>
        <v>0</v>
      </c>
      <c r="AL48" s="1325">
        <f>SUMIF(AD50:AD52,AD48,AL50:AL52)</f>
        <v>0</v>
      </c>
      <c r="AM48" s="1325">
        <f>SUMIF(AD50:AD52,AD48,AM50:AM52)</f>
        <v>0</v>
      </c>
      <c r="AN48" s="1325">
        <f>SUMIF(AD50:AD52,AD48,AN50:AN52)</f>
        <v>0</v>
      </c>
      <c r="AO48" s="1325">
        <f>SUMIF(AD50:AD52,AD48,AO50:AO52)</f>
        <v>0</v>
      </c>
      <c r="AP48" s="1325">
        <f>SUMIF(AD50:AD52,AD48,AP50:AP52)</f>
        <v>0</v>
      </c>
      <c r="AQ48" s="1325">
        <f>SUMIF(AD50:AD52,AD48,AQ50:AQ52)</f>
        <v>0</v>
      </c>
      <c r="AR48" s="1325">
        <f>SUMIF(AD50:AD52,AD48,AR50:AR52)</f>
        <v>0</v>
      </c>
      <c r="AS48" s="132">
        <f>SUMIF(AD50:AD52,AD48,AS50:AS52)</f>
        <v>0</v>
      </c>
      <c r="AT48" s="1325">
        <f>SUMIF(AD50:AD52,AD48,AT50:AT52)</f>
        <v>0</v>
      </c>
      <c r="AU48" s="1325">
        <f>SUMIF(AD50:AD52,AD48,AU50:AU52)</f>
        <v>0</v>
      </c>
      <c r="AV48" s="1325">
        <f>SUMIF(AD50:AD52,AD48,AV50:AV52)</f>
        <v>0</v>
      </c>
      <c r="AW48" s="1325">
        <f>SUMIF(AD50:AD52,AD48,AW50:AW52)</f>
        <v>0</v>
      </c>
      <c r="AX48" s="1325">
        <f>SUMIF(AD50:AD52,AD48,AX50:AX52)</f>
        <v>0</v>
      </c>
      <c r="AY48" s="1325">
        <f>SUMIF(AD50:AD52,AD48,AY50:AY52)</f>
        <v>0</v>
      </c>
      <c r="AZ48" s="1325">
        <f>SUMIF(AD50:AD52,AD48,AZ50:AZ52)</f>
        <v>0</v>
      </c>
      <c r="BA48" s="1325">
        <f>SUMIF(AD50:AD52,AD48,BA50:BA52)</f>
        <v>0</v>
      </c>
      <c r="BB48" s="1325">
        <f>SUMIF(AD50:AD52,AD48,BB50:BB52)</f>
        <v>0</v>
      </c>
      <c r="BC48" s="1365"/>
      <c r="BF48" s="950" t="s">
        <v>1087</v>
      </c>
    </row>
    <row r="49" spans="1:62" ht="15" hidden="1" customHeight="1" x14ac:dyDescent="0.15">
      <c r="E49" s="602">
        <v>0</v>
      </c>
      <c r="F49" s="3" cm="1">
        <f t="array" aca="1" ref="F49" ca="1">OFFSET(E49,-1,1)</f>
        <v>0</v>
      </c>
      <c r="G49" s="71" t="s">
        <v>334</v>
      </c>
      <c r="L49" s="828"/>
      <c r="T49" s="388" t="b">
        <v>0</v>
      </c>
      <c r="W49" s="71" t="s">
        <v>172</v>
      </c>
      <c r="X49" s="1988"/>
      <c r="Y49" s="1988">
        <v>0</v>
      </c>
      <c r="Z49" s="2090"/>
      <c r="AA49" s="2092" t="s">
        <v>173</v>
      </c>
      <c r="AB49" s="130"/>
      <c r="AC49" s="131"/>
      <c r="AD49" s="130"/>
      <c r="AE49" s="1328" t="b">
        <f t="shared" ref="AE49:BB49" si="6">OR(AND(AE50&lt;&gt;"",AE51=""),AND(AE50="",AE51&lt;&gt;""))</f>
        <v>0</v>
      </c>
      <c r="AF49" s="1328" t="b">
        <f t="shared" si="6"/>
        <v>0</v>
      </c>
      <c r="AG49" s="1328" t="b">
        <f t="shared" si="6"/>
        <v>0</v>
      </c>
      <c r="AH49" s="1328" t="b">
        <f t="shared" si="6"/>
        <v>0</v>
      </c>
      <c r="AI49" s="1328" t="b">
        <f t="shared" si="6"/>
        <v>0</v>
      </c>
      <c r="AJ49" s="1328" t="b">
        <f t="shared" si="6"/>
        <v>0</v>
      </c>
      <c r="AK49" s="1328" t="b">
        <f t="shared" si="6"/>
        <v>0</v>
      </c>
      <c r="AL49" s="1328" t="b">
        <f t="shared" si="6"/>
        <v>0</v>
      </c>
      <c r="AM49" s="1328" t="b">
        <f t="shared" si="6"/>
        <v>0</v>
      </c>
      <c r="AN49" s="1328" t="b">
        <f t="shared" si="6"/>
        <v>0</v>
      </c>
      <c r="AO49" s="1328" t="b">
        <f t="shared" si="6"/>
        <v>0</v>
      </c>
      <c r="AP49" s="1328" t="b">
        <f t="shared" si="6"/>
        <v>0</v>
      </c>
      <c r="AQ49" s="1328" t="b">
        <f t="shared" si="6"/>
        <v>0</v>
      </c>
      <c r="AR49" s="1328" t="b">
        <f t="shared" si="6"/>
        <v>0</v>
      </c>
      <c r="AS49" s="1328" t="b">
        <f t="shared" si="6"/>
        <v>0</v>
      </c>
      <c r="AT49" s="1328" t="b">
        <f t="shared" si="6"/>
        <v>0</v>
      </c>
      <c r="AU49" s="1328" t="b">
        <f t="shared" si="6"/>
        <v>0</v>
      </c>
      <c r="AV49" s="1328" t="b">
        <f t="shared" si="6"/>
        <v>0</v>
      </c>
      <c r="AW49" s="1328" t="b">
        <f t="shared" si="6"/>
        <v>0</v>
      </c>
      <c r="AX49" s="1328" t="b">
        <f t="shared" si="6"/>
        <v>0</v>
      </c>
      <c r="AY49" s="1328" t="b">
        <f t="shared" si="6"/>
        <v>0</v>
      </c>
      <c r="AZ49" s="1328" t="b">
        <f t="shared" si="6"/>
        <v>0</v>
      </c>
      <c r="BA49" s="1328" t="b">
        <f t="shared" si="6"/>
        <v>0</v>
      </c>
      <c r="BB49" s="1328" t="b">
        <f t="shared" si="6"/>
        <v>0</v>
      </c>
      <c r="BC49" s="883"/>
    </row>
    <row r="50" spans="1:62" ht="14.65" hidden="1" customHeight="1" x14ac:dyDescent="0.15">
      <c r="E50" s="602">
        <v>15</v>
      </c>
      <c r="F50" s="3" cm="1">
        <f t="array" aca="1" ref="F50" ca="1">OFFSET(E50,-1,1)</f>
        <v>0</v>
      </c>
      <c r="G50" s="71" t="s">
        <v>334</v>
      </c>
      <c r="H50" s="74" cm="1">
        <f t="array" ref="H50">AC50</f>
        <v>0</v>
      </c>
      <c r="I50" s="71" t="s">
        <v>1088</v>
      </c>
      <c r="T50" s="388" t="b">
        <f ca="1">AND(F50&gt;0,Y49&gt;0)</f>
        <v>0</v>
      </c>
      <c r="X50" s="1988"/>
      <c r="Y50" s="1988"/>
      <c r="Z50" s="2090"/>
      <c r="AA50" s="2092"/>
      <c r="AB50" s="7" t="str">
        <f>"5."&amp;Y49</f>
        <v>5.0</v>
      </c>
      <c r="AC50" s="192"/>
      <c r="AD50" s="130" t="s">
        <v>831</v>
      </c>
      <c r="AE50" s="1403"/>
      <c r="AF50" s="1403"/>
      <c r="AG50" s="1403"/>
      <c r="AH50" s="1403"/>
      <c r="AI50" s="134"/>
      <c r="AJ50" s="1403"/>
      <c r="AK50" s="1403"/>
      <c r="AL50" s="1403"/>
      <c r="AM50" s="1403"/>
      <c r="AN50" s="1403"/>
      <c r="AO50" s="1403"/>
      <c r="AP50" s="1403"/>
      <c r="AQ50" s="1403"/>
      <c r="AR50" s="1403"/>
      <c r="AS50" s="134"/>
      <c r="AT50" s="1403"/>
      <c r="AU50" s="1403"/>
      <c r="AV50" s="1403"/>
      <c r="AW50" s="1403"/>
      <c r="AX50" s="1403"/>
      <c r="AY50" s="1403"/>
      <c r="AZ50" s="1403"/>
      <c r="BA50" s="1403"/>
      <c r="BB50" s="1403"/>
      <c r="BC50" s="1365"/>
      <c r="BF50" s="950" t="s">
        <v>1063</v>
      </c>
      <c r="BG50" s="950" t="s">
        <v>1089</v>
      </c>
      <c r="BH50" s="950" cm="1">
        <f t="array" ref="BH50">AC50</f>
        <v>0</v>
      </c>
      <c r="BJ50" s="602" t="b">
        <v>1</v>
      </c>
    </row>
    <row r="51" spans="1:62" ht="14.65" hidden="1" customHeight="1" x14ac:dyDescent="0.15">
      <c r="E51" s="602">
        <v>15</v>
      </c>
      <c r="F51" s="3" cm="1">
        <f t="array" aca="1" ref="F51" ca="1">OFFSET(E51,-1,1)</f>
        <v>0</v>
      </c>
      <c r="G51" s="71" t="s">
        <v>579</v>
      </c>
      <c r="H51" s="74" cm="1">
        <f t="array" ref="H51">H50</f>
        <v>0</v>
      </c>
      <c r="I51" s="71" t="s">
        <v>1088</v>
      </c>
      <c r="T51" s="388" t="b" cm="1">
        <f t="array" aca="1" ref="T51" ca="1">T50</f>
        <v>0</v>
      </c>
      <c r="X51" s="1988"/>
      <c r="Y51" s="1988"/>
      <c r="Z51" s="2090"/>
      <c r="AA51" s="2092"/>
      <c r="AB51" s="7" t="str">
        <f>AB50&amp;".1"</f>
        <v>5.0.1</v>
      </c>
      <c r="AC51" s="140" t="s">
        <v>1090</v>
      </c>
      <c r="AD51" s="7" t="s">
        <v>563</v>
      </c>
      <c r="AE51" s="1403"/>
      <c r="AF51" s="1403"/>
      <c r="AG51" s="1403"/>
      <c r="AH51" s="1403"/>
      <c r="AI51" s="134"/>
      <c r="AJ51" s="1403"/>
      <c r="AK51" s="1403"/>
      <c r="AL51" s="1403"/>
      <c r="AM51" s="1403"/>
      <c r="AN51" s="1403"/>
      <c r="AO51" s="1403"/>
      <c r="AP51" s="1403"/>
      <c r="AQ51" s="1403"/>
      <c r="AR51" s="1403"/>
      <c r="AS51" s="134"/>
      <c r="AT51" s="1403"/>
      <c r="AU51" s="1403"/>
      <c r="AV51" s="1403"/>
      <c r="AW51" s="1403"/>
      <c r="AX51" s="1403"/>
      <c r="AY51" s="1403"/>
      <c r="AZ51" s="1403"/>
      <c r="BA51" s="1403"/>
      <c r="BB51" s="1403"/>
      <c r="BC51" s="1365"/>
      <c r="BF51" s="950" t="s">
        <v>1066</v>
      </c>
      <c r="BG51" s="950" t="s">
        <v>1089</v>
      </c>
      <c r="BH51" s="950" cm="1">
        <f t="array" ref="BH51">BH50</f>
        <v>0</v>
      </c>
    </row>
    <row r="52" spans="1:62" ht="14.65" hidden="1" customHeight="1" x14ac:dyDescent="0.15">
      <c r="E52" s="602">
        <v>15</v>
      </c>
      <c r="F52" s="3" cm="1">
        <f t="array" aca="1" ref="F52" ca="1">OFFSET(E52,-1,1)</f>
        <v>0</v>
      </c>
      <c r="H52" s="71" t="str">
        <f>"!=='не определено' &amp;&amp; row.l5 !== null"</f>
        <v>!=='не определено' &amp;&amp; row.l5 !== null</v>
      </c>
      <c r="T52" s="388" t="b">
        <f ca="1">F52&gt;0</f>
        <v>0</v>
      </c>
      <c r="W52" s="609" t="s">
        <v>1091</v>
      </c>
      <c r="X52" s="1988"/>
      <c r="Y52" s="88"/>
      <c r="Z52" s="2090"/>
      <c r="AB52" s="605"/>
      <c r="AC52" s="151" t="s">
        <v>1068</v>
      </c>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2"/>
      <c r="BI52" s="602" t="s">
        <v>1089</v>
      </c>
    </row>
    <row r="53" spans="1:62" s="72" customFormat="1" ht="14.65" hidden="1" customHeight="1" x14ac:dyDescent="0.15">
      <c r="B53" s="363"/>
      <c r="E53" s="603">
        <v>15</v>
      </c>
      <c r="F53" s="3" cm="1">
        <f t="array" aca="1" ref="F53" ca="1">OFFSET(E53,-1,1)</f>
        <v>0</v>
      </c>
      <c r="G53" s="71" t="s">
        <v>544</v>
      </c>
      <c r="K53" s="824" t="str">
        <f ca="1">F28&amp;"6komm"</f>
        <v>06komm</v>
      </c>
      <c r="L53" s="828" cm="1">
        <f t="array" ref="L53">BC53</f>
        <v>0</v>
      </c>
      <c r="T53" s="388" t="b" cm="1">
        <f t="array" aca="1" ref="T53" ca="1">T52</f>
        <v>0</v>
      </c>
      <c r="X53" s="1988"/>
      <c r="Z53" s="2090"/>
      <c r="AB53" s="130">
        <v>6</v>
      </c>
      <c r="AC53" s="131" t="s">
        <v>1092</v>
      </c>
      <c r="AD53" s="130" t="s">
        <v>831</v>
      </c>
      <c r="AE53" s="1406"/>
      <c r="AF53" s="1406"/>
      <c r="AG53" s="1406"/>
      <c r="AH53" s="1406"/>
      <c r="AI53" s="144"/>
      <c r="AJ53" s="1406"/>
      <c r="AK53" s="1406"/>
      <c r="AL53" s="1406"/>
      <c r="AM53" s="1406"/>
      <c r="AN53" s="1406"/>
      <c r="AO53" s="1406"/>
      <c r="AP53" s="1406"/>
      <c r="AQ53" s="1406"/>
      <c r="AR53" s="1406"/>
      <c r="AS53" s="144"/>
      <c r="AT53" s="1406"/>
      <c r="AU53" s="1406"/>
      <c r="AV53" s="1406"/>
      <c r="AW53" s="1406"/>
      <c r="AX53" s="1406"/>
      <c r="AY53" s="1406"/>
      <c r="AZ53" s="1406"/>
      <c r="BA53" s="1406"/>
      <c r="BB53" s="1406"/>
      <c r="BC53" s="1365"/>
      <c r="BF53" s="953" t="s">
        <v>1093</v>
      </c>
      <c r="BG53" s="953"/>
      <c r="BH53" s="953"/>
      <c r="BI53" s="603"/>
      <c r="BJ53" s="603"/>
    </row>
    <row r="54" spans="1:62" s="72" customFormat="1" ht="14.65" hidden="1" customHeight="1" x14ac:dyDescent="0.15">
      <c r="B54" s="363"/>
      <c r="E54" s="603">
        <v>15</v>
      </c>
      <c r="F54" s="3" cm="1">
        <f t="array" aca="1" ref="F54" ca="1">OFFSET(E54,-1,1)</f>
        <v>0</v>
      </c>
      <c r="G54" s="71" t="s">
        <v>547</v>
      </c>
      <c r="K54" s="824" t="str">
        <f ca="1">F28&amp;"7komm"</f>
        <v>07komm</v>
      </c>
      <c r="L54" s="828" cm="1">
        <f t="array" ref="L54">BC54</f>
        <v>0</v>
      </c>
      <c r="T54" s="388" t="b" cm="1">
        <f t="array" aca="1" ref="T54" ca="1">T53</f>
        <v>0</v>
      </c>
      <c r="X54" s="1988"/>
      <c r="Z54" s="2090"/>
      <c r="AB54" s="130">
        <v>7</v>
      </c>
      <c r="AC54" s="131" t="s">
        <v>1094</v>
      </c>
      <c r="AD54" s="130" t="s">
        <v>831</v>
      </c>
      <c r="AE54" s="1406"/>
      <c r="AF54" s="1406"/>
      <c r="AG54" s="1406"/>
      <c r="AH54" s="1406"/>
      <c r="AI54" s="144"/>
      <c r="AJ54" s="1406"/>
      <c r="AK54" s="1406"/>
      <c r="AL54" s="1406"/>
      <c r="AM54" s="1406"/>
      <c r="AN54" s="1406"/>
      <c r="AO54" s="1406"/>
      <c r="AP54" s="1406"/>
      <c r="AQ54" s="1406"/>
      <c r="AR54" s="1406"/>
      <c r="AS54" s="144"/>
      <c r="AT54" s="1406"/>
      <c r="AU54" s="1406"/>
      <c r="AV54" s="1406"/>
      <c r="AW54" s="1406"/>
      <c r="AX54" s="1406"/>
      <c r="AY54" s="1406"/>
      <c r="AZ54" s="1406"/>
      <c r="BA54" s="1406"/>
      <c r="BB54" s="1406"/>
      <c r="BC54" s="1365"/>
      <c r="BF54" s="953" t="s">
        <v>1095</v>
      </c>
      <c r="BG54" s="953"/>
      <c r="BH54" s="953"/>
      <c r="BI54" s="603"/>
      <c r="BJ54" s="603"/>
    </row>
    <row r="55" spans="1:62" s="72" customFormat="1" ht="14.65" hidden="1" customHeight="1" x14ac:dyDescent="0.15">
      <c r="B55" s="363"/>
      <c r="E55" s="603">
        <v>15</v>
      </c>
      <c r="F55" s="3" cm="1">
        <f t="array" aca="1" ref="F55" ca="1">OFFSET(E55,-1,1)</f>
        <v>0</v>
      </c>
      <c r="G55" s="71" t="s">
        <v>591</v>
      </c>
      <c r="K55" s="824" t="str">
        <f ca="1">F28&amp;"8komm"</f>
        <v>08komm</v>
      </c>
      <c r="L55" s="828" cm="1">
        <f t="array" ref="L55">BC55</f>
        <v>0</v>
      </c>
      <c r="T55" s="388" t="b" cm="1">
        <f t="array" aca="1" ref="T55" ca="1">T54</f>
        <v>0</v>
      </c>
      <c r="X55" s="1988"/>
      <c r="Z55" s="2090"/>
      <c r="AB55" s="130">
        <v>8</v>
      </c>
      <c r="AC55" s="131" t="s">
        <v>1096</v>
      </c>
      <c r="AD55" s="130" t="s">
        <v>831</v>
      </c>
      <c r="AE55" s="1406"/>
      <c r="AF55" s="1406"/>
      <c r="AG55" s="1406"/>
      <c r="AH55" s="1406"/>
      <c r="AI55" s="144"/>
      <c r="AJ55" s="1406"/>
      <c r="AK55" s="1406"/>
      <c r="AL55" s="1406"/>
      <c r="AM55" s="1406"/>
      <c r="AN55" s="1406"/>
      <c r="AO55" s="1406"/>
      <c r="AP55" s="1406"/>
      <c r="AQ55" s="1406"/>
      <c r="AR55" s="1406"/>
      <c r="AS55" s="144"/>
      <c r="AT55" s="1406"/>
      <c r="AU55" s="1406"/>
      <c r="AV55" s="1406"/>
      <c r="AW55" s="1406"/>
      <c r="AX55" s="1406"/>
      <c r="AY55" s="1406"/>
      <c r="AZ55" s="1406"/>
      <c r="BA55" s="1406"/>
      <c r="BB55" s="1406"/>
      <c r="BC55" s="1365"/>
      <c r="BF55" s="953" t="s">
        <v>1097</v>
      </c>
      <c r="BG55" s="953"/>
      <c r="BH55" s="953"/>
      <c r="BI55" s="603"/>
      <c r="BJ55" s="603"/>
    </row>
    <row r="56" spans="1:62" s="72" customFormat="1" ht="14.65" hidden="1" customHeight="1" x14ac:dyDescent="0.15">
      <c r="B56" s="363"/>
      <c r="E56" s="603">
        <v>15</v>
      </c>
      <c r="F56" s="3" cm="1">
        <f t="array" aca="1" ref="F56" ca="1">OFFSET(E56,-1,1)</f>
        <v>0</v>
      </c>
      <c r="G56" s="71"/>
      <c r="K56" s="824" t="str">
        <f ca="1">F28&amp;"9komm"</f>
        <v>09komm</v>
      </c>
      <c r="L56" s="828" cm="1">
        <f t="array" ref="L56">BC56</f>
        <v>0</v>
      </c>
      <c r="T56" s="388" t="b" cm="1">
        <f t="array" aca="1" ref="T56" ca="1">T55</f>
        <v>0</v>
      </c>
      <c r="X56" s="1988"/>
      <c r="Z56" s="2090"/>
      <c r="AB56" s="130">
        <v>9</v>
      </c>
      <c r="AC56" s="131" t="s">
        <v>1098</v>
      </c>
      <c r="AD56" s="130" t="s">
        <v>831</v>
      </c>
      <c r="AE56" s="1406"/>
      <c r="AF56" s="1406"/>
      <c r="AG56" s="1406"/>
      <c r="AH56" s="1406"/>
      <c r="AI56" s="144"/>
      <c r="AJ56" s="1406"/>
      <c r="AK56" s="1406"/>
      <c r="AL56" s="1406"/>
      <c r="AM56" s="1406"/>
      <c r="AN56" s="1406"/>
      <c r="AO56" s="1406"/>
      <c r="AP56" s="1406"/>
      <c r="AQ56" s="1406"/>
      <c r="AR56" s="1406"/>
      <c r="AS56" s="144"/>
      <c r="AT56" s="1406"/>
      <c r="AU56" s="1406"/>
      <c r="AV56" s="1406"/>
      <c r="AW56" s="1406"/>
      <c r="AX56" s="1406"/>
      <c r="AY56" s="1406"/>
      <c r="AZ56" s="1406"/>
      <c r="BA56" s="1406"/>
      <c r="BB56" s="1406"/>
      <c r="BC56" s="1365"/>
      <c r="BF56" s="953" t="s">
        <v>1099</v>
      </c>
      <c r="BG56" s="953"/>
      <c r="BH56" s="953"/>
      <c r="BI56" s="603"/>
      <c r="BJ56" s="603"/>
    </row>
    <row r="57" spans="1:62" s="1334" customFormat="1" ht="14.25" customHeight="1" x14ac:dyDescent="0.15">
      <c r="A57" s="802"/>
      <c r="B57" s="362"/>
      <c r="C57" s="802"/>
      <c r="D57" s="802"/>
      <c r="E57" s="602">
        <v>15</v>
      </c>
      <c r="F57" s="17" t="str" cm="1">
        <f t="array" ref="F57">X57</f>
        <v>1</v>
      </c>
      <c r="G57" s="802"/>
      <c r="H57" s="802"/>
      <c r="I57" s="802" t="s">
        <v>1059</v>
      </c>
      <c r="J57" s="802"/>
      <c r="K57" s="824"/>
      <c r="L57" s="802"/>
      <c r="M57" s="802"/>
      <c r="N57" s="802"/>
      <c r="O57" s="802"/>
      <c r="P57" s="802"/>
      <c r="Q57" s="802"/>
      <c r="R57" s="802"/>
      <c r="S57" s="802"/>
      <c r="T57" s="388" t="b">
        <f>X57&gt;0</f>
        <v>1</v>
      </c>
      <c r="U57" s="802"/>
      <c r="V57" s="71" t="str" cm="1">
        <f t="array" ref="V57">Аренда!$AB$37</f>
        <v>Тариф 1 (Водоснабжение) - тариф на питьевую воду</v>
      </c>
      <c r="W57" s="802"/>
      <c r="X57" s="1988" t="s">
        <v>282</v>
      </c>
      <c r="Y57" s="604"/>
      <c r="Z57" s="2090"/>
      <c r="AA57" s="802"/>
      <c r="AB57" s="141" t="str" cm="1">
        <f t="array" ref="AB57">Аренда!$AB$37</f>
        <v>Тариф 1 (Водоснабжение) - тариф на питьевую воду</v>
      </c>
      <c r="AC57" s="99"/>
      <c r="AD57" s="99"/>
      <c r="AE57" s="223">
        <f t="shared" ref="AE57:BB57" si="7">AE63+AE68+AE73+AE78+AE58+AE83+AE84+AE85+AE86</f>
        <v>9405.52</v>
      </c>
      <c r="AF57" s="223">
        <f t="shared" si="7"/>
        <v>9055.64</v>
      </c>
      <c r="AG57" s="223">
        <f t="shared" si="7"/>
        <v>7743.85</v>
      </c>
      <c r="AH57" s="223">
        <f t="shared" si="7"/>
        <v>9866.39048</v>
      </c>
      <c r="AI57" s="223">
        <f t="shared" si="7"/>
        <v>10993.86</v>
      </c>
      <c r="AJ57" s="223">
        <f t="shared" si="7"/>
        <v>11577.92</v>
      </c>
      <c r="AK57" s="223">
        <f t="shared" si="7"/>
        <v>12041.029999999999</v>
      </c>
      <c r="AL57" s="223">
        <f t="shared" si="7"/>
        <v>12522.68</v>
      </c>
      <c r="AM57" s="223">
        <f t="shared" si="7"/>
        <v>13023.58</v>
      </c>
      <c r="AN57" s="223">
        <f t="shared" si="7"/>
        <v>13544.53</v>
      </c>
      <c r="AO57" s="223">
        <f t="shared" si="7"/>
        <v>14086.31</v>
      </c>
      <c r="AP57" s="223">
        <f t="shared" si="7"/>
        <v>0</v>
      </c>
      <c r="AQ57" s="223">
        <f t="shared" si="7"/>
        <v>0</v>
      </c>
      <c r="AR57" s="223">
        <f t="shared" si="7"/>
        <v>0</v>
      </c>
      <c r="AS57" s="223">
        <f t="shared" si="7"/>
        <v>10012.23</v>
      </c>
      <c r="AT57" s="223">
        <f t="shared" si="7"/>
        <v>10467.253660232</v>
      </c>
      <c r="AU57" s="223">
        <f t="shared" si="7"/>
        <v>10781.271270039</v>
      </c>
      <c r="AV57" s="223">
        <f t="shared" si="7"/>
        <v>11104.709408140099</v>
      </c>
      <c r="AW57" s="223">
        <f t="shared" si="7"/>
        <v>11437.850690384301</v>
      </c>
      <c r="AX57" s="223">
        <f t="shared" si="7"/>
        <v>11780.9862110959</v>
      </c>
      <c r="AY57" s="223">
        <f t="shared" si="7"/>
        <v>12134.415797428701</v>
      </c>
      <c r="AZ57" s="223">
        <f t="shared" si="7"/>
        <v>0</v>
      </c>
      <c r="BA57" s="223">
        <f t="shared" si="7"/>
        <v>0</v>
      </c>
      <c r="BB57" s="223">
        <f t="shared" si="7"/>
        <v>0</v>
      </c>
      <c r="BC57" s="143"/>
      <c r="BD57" s="802"/>
      <c r="BE57" s="802"/>
      <c r="BF57" s="950"/>
      <c r="BG57" s="950"/>
      <c r="BH57" s="950"/>
      <c r="BI57" s="602"/>
      <c r="BJ57" s="602"/>
    </row>
    <row r="58" spans="1:62" s="1334" customFormat="1" ht="14.25" customHeight="1" x14ac:dyDescent="0.15">
      <c r="A58" s="802"/>
      <c r="B58" s="362"/>
      <c r="C58" s="802"/>
      <c r="D58" s="802"/>
      <c r="E58" s="602">
        <v>15</v>
      </c>
      <c r="F58" s="3" t="str" cm="1">
        <f t="array" aca="1" ref="F58" ca="1">OFFSET(E58,-1,1)</f>
        <v>1</v>
      </c>
      <c r="G58" s="71" t="s">
        <v>331</v>
      </c>
      <c r="H58" s="802"/>
      <c r="I58" s="802"/>
      <c r="J58" s="802"/>
      <c r="K58" s="824" t="str">
        <f ca="1">F58&amp;"1komm"</f>
        <v>11komm</v>
      </c>
      <c r="L58" s="828" cm="1">
        <f t="array" ref="L58">BC58</f>
        <v>0</v>
      </c>
      <c r="M58" s="802"/>
      <c r="N58" s="802"/>
      <c r="O58" s="802"/>
      <c r="P58" s="802"/>
      <c r="Q58" s="802"/>
      <c r="R58" s="802"/>
      <c r="S58" s="802"/>
      <c r="T58" s="388" t="b" cm="1">
        <f t="array" ref="T58">T57</f>
        <v>1</v>
      </c>
      <c r="U58" s="802"/>
      <c r="V58" s="802"/>
      <c r="W58" s="802"/>
      <c r="X58" s="1988"/>
      <c r="Y58" s="802"/>
      <c r="Z58" s="2090"/>
      <c r="AA58" s="802"/>
      <c r="AB58" s="130">
        <v>1</v>
      </c>
      <c r="AC58" s="131" t="s">
        <v>1060</v>
      </c>
      <c r="AD58" s="130" t="s">
        <v>831</v>
      </c>
      <c r="AE58" s="132">
        <f>SUMIF(AD60:AD62,AD58,AE60:AE62)</f>
        <v>0</v>
      </c>
      <c r="AF58" s="132">
        <f>SUMIF(AD60:AD62,AD58,AF60:AF62)</f>
        <v>0</v>
      </c>
      <c r="AG58" s="132">
        <f>SUMIF(AD60:AD62,AD58,AG60:AG62)</f>
        <v>0</v>
      </c>
      <c r="AH58" s="132">
        <f>SUMIF(AD60:AD62,AD58,AH60:AH62)</f>
        <v>0</v>
      </c>
      <c r="AI58" s="132">
        <f>SUMIF(AD60:AD62,AD58,AI60:AI62)</f>
        <v>0</v>
      </c>
      <c r="AJ58" s="1325">
        <f>SUMIF(AD60:AD62,AD58,AJ60:AJ62)</f>
        <v>0</v>
      </c>
      <c r="AK58" s="1325">
        <f>SUMIF(AD60:AD62,AD58,AK60:AK62)</f>
        <v>0</v>
      </c>
      <c r="AL58" s="1325">
        <f>SUMIF(AD60:AD62,AD58,AL60:AL62)</f>
        <v>0</v>
      </c>
      <c r="AM58" s="1325">
        <f>SUMIF(AD60:AD62,AD58,AM60:AM62)</f>
        <v>0</v>
      </c>
      <c r="AN58" s="1325">
        <f>SUMIF(AD60:AD62,AD58,AN60:AN62)</f>
        <v>0</v>
      </c>
      <c r="AO58" s="1325">
        <f>SUMIF(AD60:AD62,AD58,AO60:AO62)</f>
        <v>0</v>
      </c>
      <c r="AP58" s="1325">
        <f>SUMIF(AD60:AD62,AD58,AP60:AP62)</f>
        <v>0</v>
      </c>
      <c r="AQ58" s="1325">
        <f>SUMIF(AD60:AD62,AD58,AQ60:AQ62)</f>
        <v>0</v>
      </c>
      <c r="AR58" s="1325">
        <f>SUMIF(AD60:AD62,AD58,AR60:AR62)</f>
        <v>0</v>
      </c>
      <c r="AS58" s="132">
        <f>SUMIF(AD60:AD62,AD58,AS60:AS62)</f>
        <v>0</v>
      </c>
      <c r="AT58" s="1325">
        <f>SUMIF(AD60:AD62,AD58,AT60:AT62)</f>
        <v>0</v>
      </c>
      <c r="AU58" s="1325">
        <f>SUMIF(AD60:AD62,AD58,AU60:AU62)</f>
        <v>0</v>
      </c>
      <c r="AV58" s="1325">
        <f>SUMIF(AD60:AD62,AD58,AV60:AV62)</f>
        <v>0</v>
      </c>
      <c r="AW58" s="1325">
        <f>SUMIF(AD60:AD62,AD58,AW60:AW62)</f>
        <v>0</v>
      </c>
      <c r="AX58" s="1325">
        <f>SUMIF(AD60:AD62,AD58,AX60:AX62)</f>
        <v>0</v>
      </c>
      <c r="AY58" s="1325">
        <f>SUMIF(AD60:AD62,AD58,AY60:AY62)</f>
        <v>0</v>
      </c>
      <c r="AZ58" s="1325">
        <f>SUMIF(AD60:AD62,AD58,AZ60:AZ62)</f>
        <v>0</v>
      </c>
      <c r="BA58" s="1325">
        <f>SUMIF(AD60:AD62,AD58,BA60:BA62)</f>
        <v>0</v>
      </c>
      <c r="BB58" s="1325">
        <f>SUMIF(AD60:AD62,AD58,BB60:BB62)</f>
        <v>0</v>
      </c>
      <c r="BC58" s="119"/>
      <c r="BD58" s="802"/>
      <c r="BE58" s="802"/>
      <c r="BF58" s="950" t="s">
        <v>1061</v>
      </c>
      <c r="BG58" s="950"/>
      <c r="BH58" s="950"/>
      <c r="BI58" s="602"/>
      <c r="BJ58" s="602"/>
    </row>
    <row r="59" spans="1:62" s="1334" customFormat="1" ht="15" hidden="1" customHeight="1" x14ac:dyDescent="0.15">
      <c r="A59" s="802"/>
      <c r="B59" s="362"/>
      <c r="C59" s="802"/>
      <c r="D59" s="802"/>
      <c r="E59" s="602">
        <v>0</v>
      </c>
      <c r="F59" s="3" t="str" cm="1">
        <f t="array" aca="1" ref="F59" ca="1">OFFSET(E59,-1,1)</f>
        <v>1</v>
      </c>
      <c r="G59" s="802"/>
      <c r="H59" s="802"/>
      <c r="I59" s="802"/>
      <c r="J59" s="802"/>
      <c r="K59" s="824"/>
      <c r="L59" s="828"/>
      <c r="M59" s="802"/>
      <c r="N59" s="802"/>
      <c r="O59" s="802"/>
      <c r="P59" s="802"/>
      <c r="Q59" s="802"/>
      <c r="R59" s="802"/>
      <c r="S59" s="802"/>
      <c r="T59" s="388" t="b">
        <v>0</v>
      </c>
      <c r="U59" s="802"/>
      <c r="V59" s="802"/>
      <c r="W59" s="71" t="s">
        <v>172</v>
      </c>
      <c r="X59" s="1988"/>
      <c r="Y59" s="1988">
        <v>0</v>
      </c>
      <c r="Z59" s="2090"/>
      <c r="AA59" s="2091" t="s">
        <v>173</v>
      </c>
      <c r="AB59" s="130"/>
      <c r="AC59" s="131"/>
      <c r="AD59" s="130"/>
      <c r="AE59" s="135" t="b">
        <f t="shared" ref="AE59:BB59" si="8">OR(AND(AE60&lt;&gt;"",AE61=""),AND(AE60="",AE61&lt;&gt;""))</f>
        <v>0</v>
      </c>
      <c r="AF59" s="135" t="b">
        <f t="shared" si="8"/>
        <v>0</v>
      </c>
      <c r="AG59" s="135" t="b">
        <f t="shared" si="8"/>
        <v>0</v>
      </c>
      <c r="AH59" s="135" t="b">
        <f t="shared" si="8"/>
        <v>0</v>
      </c>
      <c r="AI59" s="135" t="b">
        <f t="shared" si="8"/>
        <v>0</v>
      </c>
      <c r="AJ59" s="135" t="b">
        <f t="shared" si="8"/>
        <v>0</v>
      </c>
      <c r="AK59" s="135" t="b">
        <f t="shared" si="8"/>
        <v>0</v>
      </c>
      <c r="AL59" s="135" t="b">
        <f t="shared" si="8"/>
        <v>0</v>
      </c>
      <c r="AM59" s="135" t="b">
        <f t="shared" si="8"/>
        <v>0</v>
      </c>
      <c r="AN59" s="135" t="b">
        <f t="shared" si="8"/>
        <v>0</v>
      </c>
      <c r="AO59" s="135" t="b">
        <f t="shared" si="8"/>
        <v>0</v>
      </c>
      <c r="AP59" s="135" t="b">
        <f t="shared" si="8"/>
        <v>0</v>
      </c>
      <c r="AQ59" s="135" t="b">
        <f t="shared" si="8"/>
        <v>0</v>
      </c>
      <c r="AR59" s="135" t="b">
        <f t="shared" si="8"/>
        <v>0</v>
      </c>
      <c r="AS59" s="135" t="b">
        <f t="shared" si="8"/>
        <v>0</v>
      </c>
      <c r="AT59" s="135" t="b">
        <f t="shared" si="8"/>
        <v>0</v>
      </c>
      <c r="AU59" s="135" t="b">
        <f t="shared" si="8"/>
        <v>0</v>
      </c>
      <c r="AV59" s="135" t="b">
        <f t="shared" si="8"/>
        <v>0</v>
      </c>
      <c r="AW59" s="135" t="b">
        <f t="shared" si="8"/>
        <v>0</v>
      </c>
      <c r="AX59" s="135" t="b">
        <f t="shared" si="8"/>
        <v>0</v>
      </c>
      <c r="AY59" s="135" t="b">
        <f t="shared" si="8"/>
        <v>0</v>
      </c>
      <c r="AZ59" s="135" t="b">
        <f t="shared" si="8"/>
        <v>0</v>
      </c>
      <c r="BA59" s="135" t="b">
        <f t="shared" si="8"/>
        <v>0</v>
      </c>
      <c r="BB59" s="135" t="b">
        <f t="shared" si="8"/>
        <v>0</v>
      </c>
      <c r="BC59" s="883"/>
      <c r="BD59" s="802"/>
      <c r="BE59" s="802"/>
      <c r="BF59" s="950"/>
      <c r="BG59" s="950"/>
      <c r="BH59" s="950"/>
      <c r="BI59" s="602"/>
      <c r="BJ59" s="602"/>
    </row>
    <row r="60" spans="1:62" s="1334" customFormat="1" ht="14.25" hidden="1" customHeight="1" x14ac:dyDescent="0.15">
      <c r="A60" s="802"/>
      <c r="B60" s="362"/>
      <c r="C60" s="802"/>
      <c r="D60" s="802"/>
      <c r="E60" s="602">
        <v>15</v>
      </c>
      <c r="F60" s="3" t="str" cm="1">
        <f t="array" aca="1" ref="F60" ca="1">OFFSET(E60,-1,1)</f>
        <v>1</v>
      </c>
      <c r="G60" s="71" t="s">
        <v>331</v>
      </c>
      <c r="H60" s="74" cm="1">
        <f t="array" ref="H60">AC60</f>
        <v>0</v>
      </c>
      <c r="I60" s="71" t="s">
        <v>1062</v>
      </c>
      <c r="J60" s="802"/>
      <c r="K60" s="824"/>
      <c r="L60" s="802"/>
      <c r="M60" s="802"/>
      <c r="N60" s="802"/>
      <c r="O60" s="802"/>
      <c r="P60" s="802"/>
      <c r="Q60" s="802"/>
      <c r="R60" s="802"/>
      <c r="S60" s="802"/>
      <c r="T60" s="388" t="b">
        <f ca="1">AND(F60&gt;0,Y59&gt;0)</f>
        <v>0</v>
      </c>
      <c r="U60" s="802"/>
      <c r="V60" s="802"/>
      <c r="W60" s="802"/>
      <c r="X60" s="1988"/>
      <c r="Y60" s="1988"/>
      <c r="Z60" s="2090"/>
      <c r="AA60" s="2091"/>
      <c r="AB60" s="7" t="str">
        <f>"1."&amp;Y59</f>
        <v>1.0</v>
      </c>
      <c r="AC60" s="192"/>
      <c r="AD60" s="130" t="s">
        <v>831</v>
      </c>
      <c r="AE60" s="1405"/>
      <c r="AF60" s="1405"/>
      <c r="AG60" s="1405"/>
      <c r="AH60" s="1405"/>
      <c r="AI60" s="1327"/>
      <c r="AJ60" s="1405"/>
      <c r="AK60" s="1405"/>
      <c r="AL60" s="1405"/>
      <c r="AM60" s="1405"/>
      <c r="AN60" s="1405"/>
      <c r="AO60" s="1405"/>
      <c r="AP60" s="1405"/>
      <c r="AQ60" s="1405"/>
      <c r="AR60" s="1405"/>
      <c r="AS60" s="1327"/>
      <c r="AT60" s="1405"/>
      <c r="AU60" s="1405"/>
      <c r="AV60" s="1405"/>
      <c r="AW60" s="1405"/>
      <c r="AX60" s="1405"/>
      <c r="AY60" s="1405"/>
      <c r="AZ60" s="1405"/>
      <c r="BA60" s="1405"/>
      <c r="BB60" s="1405"/>
      <c r="BC60" s="1365"/>
      <c r="BD60" s="802"/>
      <c r="BE60" s="802"/>
      <c r="BF60" s="950" t="s">
        <v>1063</v>
      </c>
      <c r="BG60" s="950" t="s">
        <v>1064</v>
      </c>
      <c r="BH60" s="950" cm="1">
        <f t="array" ref="BH60">AC60</f>
        <v>0</v>
      </c>
      <c r="BI60" s="602"/>
      <c r="BJ60" s="602" t="b">
        <v>1</v>
      </c>
    </row>
    <row r="61" spans="1:62" s="1334" customFormat="1" ht="14.25" hidden="1" customHeight="1" x14ac:dyDescent="0.15">
      <c r="A61" s="802"/>
      <c r="B61" s="362"/>
      <c r="C61" s="802"/>
      <c r="D61" s="802"/>
      <c r="E61" s="602">
        <v>15</v>
      </c>
      <c r="F61" s="3" t="str" cm="1">
        <f t="array" aca="1" ref="F61" ca="1">OFFSET(E61,-1,1)</f>
        <v>1</v>
      </c>
      <c r="G61" s="71" t="s">
        <v>494</v>
      </c>
      <c r="H61" s="74" cm="1">
        <f t="array" ref="H61">H60</f>
        <v>0</v>
      </c>
      <c r="I61" s="71" t="s">
        <v>1062</v>
      </c>
      <c r="J61" s="802"/>
      <c r="K61" s="824"/>
      <c r="L61" s="802"/>
      <c r="M61" s="802"/>
      <c r="N61" s="802"/>
      <c r="O61" s="802"/>
      <c r="P61" s="802"/>
      <c r="Q61" s="802"/>
      <c r="R61" s="802"/>
      <c r="S61" s="802"/>
      <c r="T61" s="388" t="b" cm="1">
        <f t="array" aca="1" ref="T61" ca="1">T60</f>
        <v>0</v>
      </c>
      <c r="U61" s="802"/>
      <c r="V61" s="802"/>
      <c r="W61" s="802"/>
      <c r="X61" s="1988"/>
      <c r="Y61" s="1988"/>
      <c r="Z61" s="2090"/>
      <c r="AA61" s="2091"/>
      <c r="AB61" s="7" t="str">
        <f>AB60&amp;".1"</f>
        <v>1.0.1</v>
      </c>
      <c r="AC61" s="140" t="s">
        <v>1065</v>
      </c>
      <c r="AD61" s="7" t="s">
        <v>563</v>
      </c>
      <c r="AE61" s="1403"/>
      <c r="AF61" s="1403"/>
      <c r="AG61" s="1403"/>
      <c r="AH61" s="1403"/>
      <c r="AI61" s="134"/>
      <c r="AJ61" s="1403"/>
      <c r="AK61" s="1403"/>
      <c r="AL61" s="1403"/>
      <c r="AM61" s="1403"/>
      <c r="AN61" s="1403"/>
      <c r="AO61" s="1403"/>
      <c r="AP61" s="1403"/>
      <c r="AQ61" s="1403"/>
      <c r="AR61" s="1403"/>
      <c r="AS61" s="134"/>
      <c r="AT61" s="1403"/>
      <c r="AU61" s="1403"/>
      <c r="AV61" s="1403"/>
      <c r="AW61" s="1403"/>
      <c r="AX61" s="1403"/>
      <c r="AY61" s="1403"/>
      <c r="AZ61" s="1403"/>
      <c r="BA61" s="1403"/>
      <c r="BB61" s="1403"/>
      <c r="BC61" s="1365"/>
      <c r="BD61" s="802"/>
      <c r="BE61" s="802"/>
      <c r="BF61" s="950" t="s">
        <v>1066</v>
      </c>
      <c r="BG61" s="950" t="s">
        <v>1064</v>
      </c>
      <c r="BH61" s="950" cm="1">
        <f t="array" ref="BH61">BH60</f>
        <v>0</v>
      </c>
      <c r="BI61" s="602"/>
      <c r="BJ61" s="602"/>
    </row>
    <row r="62" spans="1:62" s="1334" customFormat="1" ht="14.25" customHeight="1" x14ac:dyDescent="0.15">
      <c r="A62" s="802"/>
      <c r="B62" s="362"/>
      <c r="C62" s="802"/>
      <c r="D62" s="802"/>
      <c r="E62" s="602">
        <v>15</v>
      </c>
      <c r="F62" s="3" t="str" cm="1">
        <f t="array" aca="1" ref="F62" ca="1">OFFSET(E62,-1,1)</f>
        <v>1</v>
      </c>
      <c r="G62" s="802"/>
      <c r="H62" s="71" t="str">
        <f>"!=='не определено' &amp;&amp; row.l1 !== null"</f>
        <v>!=='не определено' &amp;&amp; row.l1 !== null</v>
      </c>
      <c r="I62" s="802"/>
      <c r="J62" s="802"/>
      <c r="K62" s="824"/>
      <c r="L62" s="802"/>
      <c r="M62" s="802"/>
      <c r="N62" s="802"/>
      <c r="O62" s="802"/>
      <c r="P62" s="802"/>
      <c r="Q62" s="802"/>
      <c r="R62" s="802"/>
      <c r="S62" s="802"/>
      <c r="T62" s="388" t="b">
        <f ca="1">F62&gt;0</f>
        <v>1</v>
      </c>
      <c r="U62" s="802"/>
      <c r="V62" s="802"/>
      <c r="W62" s="609" t="s">
        <v>1067</v>
      </c>
      <c r="X62" s="1988"/>
      <c r="Y62" s="802"/>
      <c r="Z62" s="2090"/>
      <c r="AA62" s="802"/>
      <c r="AB62" s="605"/>
      <c r="AC62" s="151" t="s">
        <v>1068</v>
      </c>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2"/>
      <c r="BD62" s="802"/>
      <c r="BE62" s="802"/>
      <c r="BF62" s="950"/>
      <c r="BG62" s="950"/>
      <c r="BH62" s="950"/>
      <c r="BI62" s="602" t="s">
        <v>1064</v>
      </c>
      <c r="BJ62" s="602"/>
    </row>
    <row r="63" spans="1:62" s="1334" customFormat="1" ht="21.75" customHeight="1" x14ac:dyDescent="0.15">
      <c r="A63" s="802"/>
      <c r="B63" s="362"/>
      <c r="C63" s="802"/>
      <c r="D63" s="802"/>
      <c r="E63" s="602">
        <v>22.5</v>
      </c>
      <c r="F63" s="3" t="str" cm="1">
        <f t="array" aca="1" ref="F63" ca="1">OFFSET(E63,-1,1)</f>
        <v>1</v>
      </c>
      <c r="G63" s="802"/>
      <c r="H63" s="802"/>
      <c r="I63" s="802"/>
      <c r="J63" s="802"/>
      <c r="K63" s="824" t="str">
        <f ca="1">F58&amp;"2komm"</f>
        <v>12komm</v>
      </c>
      <c r="L63" s="828" cm="1">
        <f t="array" ref="L63">BC63</f>
        <v>0</v>
      </c>
      <c r="M63" s="802"/>
      <c r="N63" s="802"/>
      <c r="O63" s="802"/>
      <c r="P63" s="802"/>
      <c r="Q63" s="802"/>
      <c r="R63" s="802"/>
      <c r="S63" s="802"/>
      <c r="T63" s="388" t="b" cm="1">
        <f t="array" aca="1" ref="T63" ca="1">T62</f>
        <v>1</v>
      </c>
      <c r="U63" s="802"/>
      <c r="V63" s="802"/>
      <c r="W63" s="802"/>
      <c r="X63" s="1988"/>
      <c r="Y63" s="608"/>
      <c r="Z63" s="2090"/>
      <c r="AA63" s="802"/>
      <c r="AB63" s="130">
        <v>2</v>
      </c>
      <c r="AC63" s="131" t="s">
        <v>1069</v>
      </c>
      <c r="AD63" s="130" t="s">
        <v>831</v>
      </c>
      <c r="AE63" s="132">
        <f>SUMIF(AD65:AD67,AD63,AE65:AE67)</f>
        <v>0</v>
      </c>
      <c r="AF63" s="132">
        <f>SUMIF(AD65:AD67,AD63,AF65:AF67)</f>
        <v>0</v>
      </c>
      <c r="AG63" s="132">
        <f>SUMIF(AD65:AD67,AD63,AG65:AG67)</f>
        <v>0</v>
      </c>
      <c r="AH63" s="132">
        <f>SUMIF(AD65:AD67,AD63,AH65:AH67)</f>
        <v>0</v>
      </c>
      <c r="AI63" s="132">
        <f>SUMIF(AD65:AD67,AD63,AI65:AI67)</f>
        <v>0</v>
      </c>
      <c r="AJ63" s="1325">
        <f>SUMIF(AD65:AD67,AD63,AJ65:AJ67)</f>
        <v>0</v>
      </c>
      <c r="AK63" s="1325">
        <f>SUMIF(AD65:AD67,AD63,AK65:AK67)</f>
        <v>0</v>
      </c>
      <c r="AL63" s="1325">
        <f>SUMIF(AD65:AD67,AD63,AL65:AL67)</f>
        <v>0</v>
      </c>
      <c r="AM63" s="1325">
        <f>SUMIF(AD65:AD67,AD63,AM65:AM67)</f>
        <v>0</v>
      </c>
      <c r="AN63" s="1325">
        <f>SUMIF(AD65:AD67,AD63,AN65:AN67)</f>
        <v>0</v>
      </c>
      <c r="AO63" s="1325">
        <f>SUMIF(AD65:AD67,AD63,AO65:AO67)</f>
        <v>0</v>
      </c>
      <c r="AP63" s="1325">
        <f>SUMIF(AD65:AD67,AD63,AP65:AP67)</f>
        <v>0</v>
      </c>
      <c r="AQ63" s="1325">
        <f>SUMIF(AD65:AD67,AD63,AQ65:AQ67)</f>
        <v>0</v>
      </c>
      <c r="AR63" s="1325">
        <f>SUMIF(AD65:AD67,AD63,AR65:AR67)</f>
        <v>0</v>
      </c>
      <c r="AS63" s="132">
        <f>SUMIF(AD65:AD67,AD63,AS65:AS67)</f>
        <v>0</v>
      </c>
      <c r="AT63" s="1325">
        <f>SUMIF(AD65:AD67,AD63,AT65:AT67)</f>
        <v>0</v>
      </c>
      <c r="AU63" s="1325">
        <f>SUMIF(AD65:AD67,AD63,AU65:AU67)</f>
        <v>0</v>
      </c>
      <c r="AV63" s="1325">
        <f>SUMIF(AD65:AD67,AD63,AV65:AV67)</f>
        <v>0</v>
      </c>
      <c r="AW63" s="1325">
        <f>SUMIF(AD65:AD67,AD63,AW65:AW67)</f>
        <v>0</v>
      </c>
      <c r="AX63" s="1325">
        <f>SUMIF(AD65:AD67,AD63,AX65:AX67)</f>
        <v>0</v>
      </c>
      <c r="AY63" s="1325">
        <f>SUMIF(AD65:AD67,AD63,AY65:AY67)</f>
        <v>0</v>
      </c>
      <c r="AZ63" s="1325">
        <f>SUMIF(AD65:AD67,AD63,AZ65:AZ67)</f>
        <v>0</v>
      </c>
      <c r="BA63" s="1325">
        <f>SUMIF(AD65:AD67,AD63,BA65:BA67)</f>
        <v>0</v>
      </c>
      <c r="BB63" s="1325">
        <f>SUMIF(AD65:AD67,AD63,BB65:BB67)</f>
        <v>0</v>
      </c>
      <c r="BC63" s="119"/>
      <c r="BD63" s="802"/>
      <c r="BE63" s="802"/>
      <c r="BF63" s="950" t="s">
        <v>1070</v>
      </c>
      <c r="BG63" s="950"/>
      <c r="BH63" s="950"/>
      <c r="BI63" s="602"/>
      <c r="BJ63" s="602"/>
    </row>
    <row r="64" spans="1:62" s="1334" customFormat="1" ht="15" hidden="1" customHeight="1" x14ac:dyDescent="0.15">
      <c r="A64" s="802"/>
      <c r="B64" s="362"/>
      <c r="C64" s="802"/>
      <c r="D64" s="802"/>
      <c r="E64" s="602">
        <v>0</v>
      </c>
      <c r="F64" s="3" t="str" cm="1">
        <f t="array" aca="1" ref="F64" ca="1">OFFSET(E64,-1,1)</f>
        <v>1</v>
      </c>
      <c r="G64" s="71" t="s">
        <v>332</v>
      </c>
      <c r="H64" s="802"/>
      <c r="I64" s="802"/>
      <c r="J64" s="802"/>
      <c r="K64" s="824"/>
      <c r="L64" s="828"/>
      <c r="M64" s="802"/>
      <c r="N64" s="802"/>
      <c r="O64" s="802"/>
      <c r="P64" s="802"/>
      <c r="Q64" s="802"/>
      <c r="R64" s="802"/>
      <c r="S64" s="802"/>
      <c r="T64" s="388" t="b">
        <v>0</v>
      </c>
      <c r="U64" s="802"/>
      <c r="V64" s="802"/>
      <c r="W64" s="71" t="s">
        <v>172</v>
      </c>
      <c r="X64" s="1988"/>
      <c r="Y64" s="1988">
        <v>0</v>
      </c>
      <c r="Z64" s="2090"/>
      <c r="AA64" s="2092" t="s">
        <v>173</v>
      </c>
      <c r="AB64" s="130"/>
      <c r="AC64" s="131"/>
      <c r="AD64" s="130"/>
      <c r="AE64" s="1328" t="b">
        <f t="shared" ref="AE64:BB64" si="9">OR(AND(AE65&lt;&gt;"",AE66=""),AND(AE65="",AE66&lt;&gt;""))</f>
        <v>0</v>
      </c>
      <c r="AF64" s="1328" t="b">
        <f t="shared" si="9"/>
        <v>0</v>
      </c>
      <c r="AG64" s="1328" t="b">
        <f t="shared" si="9"/>
        <v>0</v>
      </c>
      <c r="AH64" s="1328" t="b">
        <f t="shared" si="9"/>
        <v>0</v>
      </c>
      <c r="AI64" s="1328" t="b">
        <f t="shared" si="9"/>
        <v>0</v>
      </c>
      <c r="AJ64" s="1328" t="b">
        <f t="shared" si="9"/>
        <v>0</v>
      </c>
      <c r="AK64" s="1328" t="b">
        <f t="shared" si="9"/>
        <v>0</v>
      </c>
      <c r="AL64" s="1328" t="b">
        <f t="shared" si="9"/>
        <v>0</v>
      </c>
      <c r="AM64" s="1328" t="b">
        <f t="shared" si="9"/>
        <v>0</v>
      </c>
      <c r="AN64" s="1328" t="b">
        <f t="shared" si="9"/>
        <v>0</v>
      </c>
      <c r="AO64" s="1328" t="b">
        <f t="shared" si="9"/>
        <v>0</v>
      </c>
      <c r="AP64" s="1328" t="b">
        <f t="shared" si="9"/>
        <v>0</v>
      </c>
      <c r="AQ64" s="1328" t="b">
        <f t="shared" si="9"/>
        <v>0</v>
      </c>
      <c r="AR64" s="1328" t="b">
        <f t="shared" si="9"/>
        <v>0</v>
      </c>
      <c r="AS64" s="1328" t="b">
        <f t="shared" si="9"/>
        <v>0</v>
      </c>
      <c r="AT64" s="1328" t="b">
        <f t="shared" si="9"/>
        <v>0</v>
      </c>
      <c r="AU64" s="1328" t="b">
        <f t="shared" si="9"/>
        <v>0</v>
      </c>
      <c r="AV64" s="1328" t="b">
        <f t="shared" si="9"/>
        <v>0</v>
      </c>
      <c r="AW64" s="1328" t="b">
        <f t="shared" si="9"/>
        <v>0</v>
      </c>
      <c r="AX64" s="1328" t="b">
        <f t="shared" si="9"/>
        <v>0</v>
      </c>
      <c r="AY64" s="1328" t="b">
        <f t="shared" si="9"/>
        <v>0</v>
      </c>
      <c r="AZ64" s="1328" t="b">
        <f t="shared" si="9"/>
        <v>0</v>
      </c>
      <c r="BA64" s="1328" t="b">
        <f t="shared" si="9"/>
        <v>0</v>
      </c>
      <c r="BB64" s="1328" t="b">
        <f t="shared" si="9"/>
        <v>0</v>
      </c>
      <c r="BC64" s="883"/>
      <c r="BD64" s="802"/>
      <c r="BE64" s="802"/>
      <c r="BF64" s="950"/>
      <c r="BG64" s="950"/>
      <c r="BH64" s="950"/>
      <c r="BI64" s="602"/>
      <c r="BJ64" s="602"/>
    </row>
    <row r="65" spans="1:62" s="1334" customFormat="1" ht="14.25" hidden="1" customHeight="1" x14ac:dyDescent="0.15">
      <c r="A65" s="802"/>
      <c r="B65" s="362"/>
      <c r="C65" s="802"/>
      <c r="D65" s="802"/>
      <c r="E65" s="602">
        <v>15</v>
      </c>
      <c r="F65" s="3" t="str" cm="1">
        <f t="array" aca="1" ref="F65" ca="1">OFFSET(E65,-1,1)</f>
        <v>1</v>
      </c>
      <c r="G65" s="71" t="s">
        <v>332</v>
      </c>
      <c r="H65" s="74" cm="1">
        <f t="array" ref="H65">AC65</f>
        <v>0</v>
      </c>
      <c r="I65" s="71" t="s">
        <v>1071</v>
      </c>
      <c r="J65" s="802"/>
      <c r="K65" s="824"/>
      <c r="L65" s="802"/>
      <c r="M65" s="802"/>
      <c r="N65" s="802"/>
      <c r="O65" s="802"/>
      <c r="P65" s="802"/>
      <c r="Q65" s="802"/>
      <c r="R65" s="802"/>
      <c r="S65" s="802"/>
      <c r="T65" s="388" t="b">
        <f ca="1">AND(F65&gt;0,Y64&gt;0)</f>
        <v>0</v>
      </c>
      <c r="U65" s="802"/>
      <c r="V65" s="802"/>
      <c r="W65" s="802"/>
      <c r="X65" s="1988"/>
      <c r="Y65" s="1988"/>
      <c r="Z65" s="2090"/>
      <c r="AA65" s="2092"/>
      <c r="AB65" s="7" t="str">
        <f>"2."&amp;Y64</f>
        <v>2.0</v>
      </c>
      <c r="AC65" s="192"/>
      <c r="AD65" s="130" t="s">
        <v>831</v>
      </c>
      <c r="AE65" s="1403"/>
      <c r="AF65" s="1403"/>
      <c r="AG65" s="1403"/>
      <c r="AH65" s="1403"/>
      <c r="AI65" s="134"/>
      <c r="AJ65" s="1403"/>
      <c r="AK65" s="1403"/>
      <c r="AL65" s="1403"/>
      <c r="AM65" s="1403"/>
      <c r="AN65" s="1403"/>
      <c r="AO65" s="1403"/>
      <c r="AP65" s="1403"/>
      <c r="AQ65" s="1403"/>
      <c r="AR65" s="1403"/>
      <c r="AS65" s="134"/>
      <c r="AT65" s="1403"/>
      <c r="AU65" s="1403"/>
      <c r="AV65" s="1403"/>
      <c r="AW65" s="1403"/>
      <c r="AX65" s="1403"/>
      <c r="AY65" s="1403"/>
      <c r="AZ65" s="1403"/>
      <c r="BA65" s="1403"/>
      <c r="BB65" s="1403"/>
      <c r="BC65" s="1365"/>
      <c r="BD65" s="802"/>
      <c r="BE65" s="802"/>
      <c r="BF65" s="950" t="s">
        <v>1063</v>
      </c>
      <c r="BG65" s="950" t="s">
        <v>1072</v>
      </c>
      <c r="BH65" s="950" cm="1">
        <f t="array" ref="BH65">AC65</f>
        <v>0</v>
      </c>
      <c r="BI65" s="602"/>
      <c r="BJ65" s="602" t="b">
        <v>1</v>
      </c>
    </row>
    <row r="66" spans="1:62" s="1334" customFormat="1" ht="14.25" hidden="1" customHeight="1" x14ac:dyDescent="0.15">
      <c r="A66" s="802"/>
      <c r="B66" s="362"/>
      <c r="C66" s="802"/>
      <c r="D66" s="802"/>
      <c r="E66" s="602">
        <v>15</v>
      </c>
      <c r="F66" s="3" t="str" cm="1">
        <f t="array" aca="1" ref="F66" ca="1">OFFSET(E66,-1,1)</f>
        <v>1</v>
      </c>
      <c r="G66" s="71" t="s">
        <v>512</v>
      </c>
      <c r="H66" s="74" cm="1">
        <f t="array" ref="H66">H65</f>
        <v>0</v>
      </c>
      <c r="I66" s="71" t="s">
        <v>1071</v>
      </c>
      <c r="J66" s="802"/>
      <c r="K66" s="824"/>
      <c r="L66" s="802"/>
      <c r="M66" s="802"/>
      <c r="N66" s="802"/>
      <c r="O66" s="802"/>
      <c r="P66" s="802"/>
      <c r="Q66" s="802"/>
      <c r="R66" s="802"/>
      <c r="S66" s="802"/>
      <c r="T66" s="388" t="b" cm="1">
        <f t="array" aca="1" ref="T66" ca="1">T65</f>
        <v>0</v>
      </c>
      <c r="U66" s="802"/>
      <c r="V66" s="802"/>
      <c r="W66" s="802"/>
      <c r="X66" s="1988"/>
      <c r="Y66" s="1988"/>
      <c r="Z66" s="2090"/>
      <c r="AA66" s="2092"/>
      <c r="AB66" s="7" t="str">
        <f>AB65&amp;".1"</f>
        <v>2.0.1</v>
      </c>
      <c r="AC66" s="140" t="s">
        <v>1073</v>
      </c>
      <c r="AD66" s="7" t="s">
        <v>563</v>
      </c>
      <c r="AE66" s="1403"/>
      <c r="AF66" s="1403"/>
      <c r="AG66" s="1403"/>
      <c r="AH66" s="1403"/>
      <c r="AI66" s="134"/>
      <c r="AJ66" s="1403"/>
      <c r="AK66" s="1403"/>
      <c r="AL66" s="1403"/>
      <c r="AM66" s="1403"/>
      <c r="AN66" s="1403"/>
      <c r="AO66" s="1403"/>
      <c r="AP66" s="1403"/>
      <c r="AQ66" s="1403"/>
      <c r="AR66" s="1403"/>
      <c r="AS66" s="134"/>
      <c r="AT66" s="1403"/>
      <c r="AU66" s="1403"/>
      <c r="AV66" s="1403"/>
      <c r="AW66" s="1403"/>
      <c r="AX66" s="1403"/>
      <c r="AY66" s="1403"/>
      <c r="AZ66" s="1403"/>
      <c r="BA66" s="1403"/>
      <c r="BB66" s="1403"/>
      <c r="BC66" s="1365"/>
      <c r="BD66" s="802"/>
      <c r="BE66" s="802"/>
      <c r="BF66" s="950" t="s">
        <v>1066</v>
      </c>
      <c r="BG66" s="950" t="s">
        <v>1072</v>
      </c>
      <c r="BH66" s="950" cm="1">
        <f t="array" ref="BH66">BH65</f>
        <v>0</v>
      </c>
      <c r="BI66" s="602"/>
      <c r="BJ66" s="602"/>
    </row>
    <row r="67" spans="1:62" s="1334" customFormat="1" ht="14.25" customHeight="1" x14ac:dyDescent="0.15">
      <c r="A67" s="802"/>
      <c r="B67" s="362"/>
      <c r="C67" s="802"/>
      <c r="D67" s="802"/>
      <c r="E67" s="602">
        <v>15</v>
      </c>
      <c r="F67" s="3" t="str" cm="1">
        <f t="array" aca="1" ref="F67" ca="1">OFFSET(E67,-1,1)</f>
        <v>1</v>
      </c>
      <c r="G67" s="802"/>
      <c r="H67" s="71" t="str">
        <f>"!=='не определено' &amp;&amp; row.l2 !== null"</f>
        <v>!=='не определено' &amp;&amp; row.l2 !== null</v>
      </c>
      <c r="I67" s="802"/>
      <c r="J67" s="802"/>
      <c r="K67" s="824"/>
      <c r="L67" s="802"/>
      <c r="M67" s="802"/>
      <c r="N67" s="802"/>
      <c r="O67" s="802"/>
      <c r="P67" s="802"/>
      <c r="Q67" s="802"/>
      <c r="R67" s="802"/>
      <c r="S67" s="802"/>
      <c r="T67" s="388" t="b">
        <f ca="1">F67&gt;0</f>
        <v>1</v>
      </c>
      <c r="U67" s="802"/>
      <c r="V67" s="802"/>
      <c r="W67" s="609" t="s">
        <v>1067</v>
      </c>
      <c r="X67" s="1988"/>
      <c r="Y67" s="607"/>
      <c r="Z67" s="2090"/>
      <c r="AA67" s="802"/>
      <c r="AB67" s="605"/>
      <c r="AC67" s="151" t="s">
        <v>1068</v>
      </c>
      <c r="AD67" s="151"/>
      <c r="AE67" s="151"/>
      <c r="AF67" s="151"/>
      <c r="AG67" s="151"/>
      <c r="AH67" s="151"/>
      <c r="AI67" s="151"/>
      <c r="AJ67" s="151"/>
      <c r="AK67" s="151"/>
      <c r="AL67" s="151"/>
      <c r="AM67" s="151"/>
      <c r="AN67" s="151"/>
      <c r="AO67" s="151"/>
      <c r="AP67" s="151"/>
      <c r="AQ67" s="151"/>
      <c r="AR67" s="151"/>
      <c r="AS67" s="151"/>
      <c r="AT67" s="151"/>
      <c r="AU67" s="151"/>
      <c r="AV67" s="151"/>
      <c r="AW67" s="151"/>
      <c r="AX67" s="151"/>
      <c r="AY67" s="151"/>
      <c r="AZ67" s="151"/>
      <c r="BA67" s="151"/>
      <c r="BB67" s="151"/>
      <c r="BC67" s="152"/>
      <c r="BD67" s="802"/>
      <c r="BE67" s="802"/>
      <c r="BF67" s="950"/>
      <c r="BG67" s="950"/>
      <c r="BH67" s="950"/>
      <c r="BI67" s="602" t="s">
        <v>1072</v>
      </c>
      <c r="BJ67" s="602"/>
    </row>
    <row r="68" spans="1:62" s="1334" customFormat="1" ht="21.75" customHeight="1" x14ac:dyDescent="0.15">
      <c r="A68" s="802"/>
      <c r="B68" s="362"/>
      <c r="C68" s="802"/>
      <c r="D68" s="802"/>
      <c r="E68" s="602">
        <v>23</v>
      </c>
      <c r="F68" s="3" t="str" cm="1">
        <f t="array" aca="1" ref="F68" ca="1">OFFSET(E68,-1,1)</f>
        <v>1</v>
      </c>
      <c r="G68" s="802"/>
      <c r="H68" s="802"/>
      <c r="I68" s="802"/>
      <c r="J68" s="802"/>
      <c r="K68" s="824" t="str">
        <f ca="1">F58&amp;"3komm"</f>
        <v>13komm</v>
      </c>
      <c r="L68" s="828" cm="1">
        <f t="array" ref="L68">BC68</f>
        <v>0</v>
      </c>
      <c r="M68" s="802"/>
      <c r="N68" s="802"/>
      <c r="O68" s="802"/>
      <c r="P68" s="802"/>
      <c r="Q68" s="802"/>
      <c r="R68" s="802"/>
      <c r="S68" s="802"/>
      <c r="T68" s="388" t="b" cm="1">
        <f t="array" aca="1" ref="T68" ca="1">T67</f>
        <v>1</v>
      </c>
      <c r="U68" s="802"/>
      <c r="V68" s="802"/>
      <c r="W68" s="802"/>
      <c r="X68" s="1988"/>
      <c r="Y68" s="608"/>
      <c r="Z68" s="2090"/>
      <c r="AA68" s="802"/>
      <c r="AB68" s="130">
        <v>3</v>
      </c>
      <c r="AC68" s="131" t="s">
        <v>1074</v>
      </c>
      <c r="AD68" s="130" t="s">
        <v>831</v>
      </c>
      <c r="AE68" s="132">
        <f>SUMIF(AD70:AD72,AD68,AE70:AE72)</f>
        <v>0</v>
      </c>
      <c r="AF68" s="132">
        <f>SUMIF(AD70:AD72,AD68,AF70:AF72)</f>
        <v>0</v>
      </c>
      <c r="AG68" s="132">
        <f>SUMIF(AD70:AD72,AD68,AG70:AG72)</f>
        <v>0</v>
      </c>
      <c r="AH68" s="132">
        <f>SUMIF(AD70:AD72,AD68,AH70:AH72)</f>
        <v>0</v>
      </c>
      <c r="AI68" s="132">
        <f>SUMIF(AD70:AD72,AD68,AI70:AI72)</f>
        <v>0</v>
      </c>
      <c r="AJ68" s="1325">
        <f>SUMIF(AD70:AD72,AD68,AJ70:AJ72)</f>
        <v>0</v>
      </c>
      <c r="AK68" s="1325">
        <f>SUMIF(AD70:AD72,AD68,AK70:AK72)</f>
        <v>0</v>
      </c>
      <c r="AL68" s="1325">
        <f>SUMIF(AD70:AD72,AD68,AL70:AL72)</f>
        <v>0</v>
      </c>
      <c r="AM68" s="1325">
        <f>SUMIF(AD70:AD72,AD68,AM70:AM72)</f>
        <v>0</v>
      </c>
      <c r="AN68" s="1325">
        <f>SUMIF(AD70:AD72,AD68,AN70:AN72)</f>
        <v>0</v>
      </c>
      <c r="AO68" s="1325">
        <f>SUMIF(AD70:AD72,AD68,AO70:AO72)</f>
        <v>0</v>
      </c>
      <c r="AP68" s="1325">
        <f>SUMIF(AD70:AD72,AD68,AP70:AP72)</f>
        <v>0</v>
      </c>
      <c r="AQ68" s="1325">
        <f>SUMIF(AD70:AD72,AD68,AQ70:AQ72)</f>
        <v>0</v>
      </c>
      <c r="AR68" s="1325">
        <f>SUMIF(AD70:AD72,AD68,AR70:AR72)</f>
        <v>0</v>
      </c>
      <c r="AS68" s="132">
        <f>SUMIF(AD70:AD72,AD68,AS70:AS72)</f>
        <v>0</v>
      </c>
      <c r="AT68" s="1325">
        <f>SUMIF(AD70:AD72,AD68,AT70:AT72)</f>
        <v>0</v>
      </c>
      <c r="AU68" s="1325">
        <f>SUMIF(AD70:AD72,AD68,AU70:AU72)</f>
        <v>0</v>
      </c>
      <c r="AV68" s="1325">
        <f>SUMIF(AD70:AD72,AD68,AV70:AV72)</f>
        <v>0</v>
      </c>
      <c r="AW68" s="1325">
        <f>SUMIF(AD70:AD72,AD68,AW70:AW72)</f>
        <v>0</v>
      </c>
      <c r="AX68" s="1325">
        <f>SUMIF(AD70:AD72,AD68,AX70:AX72)</f>
        <v>0</v>
      </c>
      <c r="AY68" s="1325">
        <f>SUMIF(AD70:AD72,AD68,AY70:AY72)</f>
        <v>0</v>
      </c>
      <c r="AZ68" s="1325">
        <f>SUMIF(AD70:AD72,AD68,AZ70:AZ72)</f>
        <v>0</v>
      </c>
      <c r="BA68" s="1325">
        <f>SUMIF(AD70:AD72,AD68,BA70:BA72)</f>
        <v>0</v>
      </c>
      <c r="BB68" s="1325">
        <f>SUMIF(AD70:AD72,AD68,BB70:BB72)</f>
        <v>0</v>
      </c>
      <c r="BC68" s="119"/>
      <c r="BD68" s="802"/>
      <c r="BE68" s="802"/>
      <c r="BF68" s="950" t="s">
        <v>1075</v>
      </c>
      <c r="BG68" s="950"/>
      <c r="BH68" s="950"/>
      <c r="BI68" s="602"/>
      <c r="BJ68" s="602"/>
    </row>
    <row r="69" spans="1:62" s="1334" customFormat="1" ht="15" hidden="1" customHeight="1" x14ac:dyDescent="0.15">
      <c r="A69" s="802"/>
      <c r="B69" s="362"/>
      <c r="C69" s="802"/>
      <c r="D69" s="802"/>
      <c r="E69" s="602">
        <v>0</v>
      </c>
      <c r="F69" s="3" t="str" cm="1">
        <f t="array" aca="1" ref="F69" ca="1">OFFSET(E69,-1,1)</f>
        <v>1</v>
      </c>
      <c r="G69" s="71" t="s">
        <v>333</v>
      </c>
      <c r="H69" s="802"/>
      <c r="I69" s="802"/>
      <c r="J69" s="802"/>
      <c r="K69" s="824"/>
      <c r="L69" s="828"/>
      <c r="M69" s="802"/>
      <c r="N69" s="802"/>
      <c r="O69" s="802"/>
      <c r="P69" s="802"/>
      <c r="Q69" s="802"/>
      <c r="R69" s="802"/>
      <c r="S69" s="802"/>
      <c r="T69" s="388" t="b">
        <v>0</v>
      </c>
      <c r="U69" s="802"/>
      <c r="V69" s="802"/>
      <c r="W69" s="71" t="s">
        <v>172</v>
      </c>
      <c r="X69" s="1988"/>
      <c r="Y69" s="1988">
        <v>0</v>
      </c>
      <c r="Z69" s="2090"/>
      <c r="AA69" s="2092" t="s">
        <v>173</v>
      </c>
      <c r="AB69" s="130"/>
      <c r="AC69" s="131"/>
      <c r="AD69" s="130"/>
      <c r="AE69" s="1328" t="b">
        <f t="shared" ref="AE69:BB69" si="10">OR(AND(AE70&lt;&gt;"",AE71=""),AND(AE70="",AE71&lt;&gt;""))</f>
        <v>0</v>
      </c>
      <c r="AF69" s="1328" t="b">
        <f t="shared" si="10"/>
        <v>0</v>
      </c>
      <c r="AG69" s="1328" t="b">
        <f t="shared" si="10"/>
        <v>0</v>
      </c>
      <c r="AH69" s="1328" t="b">
        <f t="shared" si="10"/>
        <v>0</v>
      </c>
      <c r="AI69" s="1328" t="b">
        <f t="shared" si="10"/>
        <v>0</v>
      </c>
      <c r="AJ69" s="1328" t="b">
        <f t="shared" si="10"/>
        <v>0</v>
      </c>
      <c r="AK69" s="1328" t="b">
        <f t="shared" si="10"/>
        <v>0</v>
      </c>
      <c r="AL69" s="1328" t="b">
        <f t="shared" si="10"/>
        <v>0</v>
      </c>
      <c r="AM69" s="1328" t="b">
        <f t="shared" si="10"/>
        <v>0</v>
      </c>
      <c r="AN69" s="1328" t="b">
        <f t="shared" si="10"/>
        <v>0</v>
      </c>
      <c r="AO69" s="1328" t="b">
        <f t="shared" si="10"/>
        <v>0</v>
      </c>
      <c r="AP69" s="1328" t="b">
        <f t="shared" si="10"/>
        <v>0</v>
      </c>
      <c r="AQ69" s="1328" t="b">
        <f t="shared" si="10"/>
        <v>0</v>
      </c>
      <c r="AR69" s="1328" t="b">
        <f t="shared" si="10"/>
        <v>0</v>
      </c>
      <c r="AS69" s="1328" t="b">
        <f t="shared" si="10"/>
        <v>0</v>
      </c>
      <c r="AT69" s="1328" t="b">
        <f t="shared" si="10"/>
        <v>0</v>
      </c>
      <c r="AU69" s="1328" t="b">
        <f t="shared" si="10"/>
        <v>0</v>
      </c>
      <c r="AV69" s="1328" t="b">
        <f t="shared" si="10"/>
        <v>0</v>
      </c>
      <c r="AW69" s="1328" t="b">
        <f t="shared" si="10"/>
        <v>0</v>
      </c>
      <c r="AX69" s="1328" t="b">
        <f t="shared" si="10"/>
        <v>0</v>
      </c>
      <c r="AY69" s="1328" t="b">
        <f t="shared" si="10"/>
        <v>0</v>
      </c>
      <c r="AZ69" s="1328" t="b">
        <f t="shared" si="10"/>
        <v>0</v>
      </c>
      <c r="BA69" s="1328" t="b">
        <f t="shared" si="10"/>
        <v>0</v>
      </c>
      <c r="BB69" s="1328" t="b">
        <f t="shared" si="10"/>
        <v>0</v>
      </c>
      <c r="BC69" s="883"/>
      <c r="BD69" s="802"/>
      <c r="BE69" s="802"/>
      <c r="BF69" s="950"/>
      <c r="BG69" s="950"/>
      <c r="BH69" s="950"/>
      <c r="BI69" s="602"/>
      <c r="BJ69" s="602"/>
    </row>
    <row r="70" spans="1:62" s="1334" customFormat="1" ht="14.25" hidden="1" customHeight="1" x14ac:dyDescent="0.15">
      <c r="A70" s="802"/>
      <c r="B70" s="362"/>
      <c r="C70" s="802"/>
      <c r="D70" s="802"/>
      <c r="E70" s="602">
        <v>15</v>
      </c>
      <c r="F70" s="3" t="str" cm="1">
        <f t="array" aca="1" ref="F70" ca="1">OFFSET(E70,-1,1)</f>
        <v>1</v>
      </c>
      <c r="G70" s="71" t="s">
        <v>333</v>
      </c>
      <c r="H70" s="74" cm="1">
        <f t="array" ref="H70">AC70</f>
        <v>0</v>
      </c>
      <c r="I70" s="71" t="s">
        <v>1076</v>
      </c>
      <c r="J70" s="802"/>
      <c r="K70" s="824"/>
      <c r="L70" s="802"/>
      <c r="M70" s="802"/>
      <c r="N70" s="802"/>
      <c r="O70" s="802"/>
      <c r="P70" s="802"/>
      <c r="Q70" s="802"/>
      <c r="R70" s="802"/>
      <c r="S70" s="802"/>
      <c r="T70" s="388" t="b">
        <f ca="1">AND(F70&gt;0,Y69&gt;0)</f>
        <v>0</v>
      </c>
      <c r="U70" s="802"/>
      <c r="V70" s="802"/>
      <c r="W70" s="802"/>
      <c r="X70" s="1988"/>
      <c r="Y70" s="1988"/>
      <c r="Z70" s="2090"/>
      <c r="AA70" s="2092"/>
      <c r="AB70" s="7" t="str">
        <f>"3."&amp;Y69</f>
        <v>3.0</v>
      </c>
      <c r="AC70" s="192"/>
      <c r="AD70" s="130" t="s">
        <v>831</v>
      </c>
      <c r="AE70" s="1403"/>
      <c r="AF70" s="1403"/>
      <c r="AG70" s="1403"/>
      <c r="AH70" s="1403"/>
      <c r="AI70" s="134"/>
      <c r="AJ70" s="1403"/>
      <c r="AK70" s="1403"/>
      <c r="AL70" s="1403"/>
      <c r="AM70" s="1403"/>
      <c r="AN70" s="1403"/>
      <c r="AO70" s="1403"/>
      <c r="AP70" s="1403"/>
      <c r="AQ70" s="1403"/>
      <c r="AR70" s="1403"/>
      <c r="AS70" s="134"/>
      <c r="AT70" s="1403"/>
      <c r="AU70" s="1403"/>
      <c r="AV70" s="1403"/>
      <c r="AW70" s="1403"/>
      <c r="AX70" s="1403"/>
      <c r="AY70" s="1403"/>
      <c r="AZ70" s="1403"/>
      <c r="BA70" s="1403"/>
      <c r="BB70" s="1403"/>
      <c r="BC70" s="1365"/>
      <c r="BD70" s="802"/>
      <c r="BE70" s="802"/>
      <c r="BF70" s="950" t="s">
        <v>1063</v>
      </c>
      <c r="BG70" s="950" t="s">
        <v>1077</v>
      </c>
      <c r="BH70" s="950" cm="1">
        <f t="array" ref="BH70">AC70</f>
        <v>0</v>
      </c>
      <c r="BI70" s="602"/>
      <c r="BJ70" s="602" t="b">
        <v>1</v>
      </c>
    </row>
    <row r="71" spans="1:62" s="1334" customFormat="1" ht="14.25" hidden="1" customHeight="1" x14ac:dyDescent="0.15">
      <c r="A71" s="802"/>
      <c r="B71" s="362"/>
      <c r="C71" s="802"/>
      <c r="D71" s="802"/>
      <c r="E71" s="602">
        <v>15</v>
      </c>
      <c r="F71" s="3" t="str" cm="1">
        <f t="array" aca="1" ref="F71" ca="1">OFFSET(E71,-1,1)</f>
        <v>1</v>
      </c>
      <c r="G71" s="71" t="s">
        <v>940</v>
      </c>
      <c r="H71" s="74" cm="1">
        <f t="array" ref="H71">H70</f>
        <v>0</v>
      </c>
      <c r="I71" s="71" t="s">
        <v>1076</v>
      </c>
      <c r="J71" s="802"/>
      <c r="K71" s="824"/>
      <c r="L71" s="802"/>
      <c r="M71" s="802"/>
      <c r="N71" s="802"/>
      <c r="O71" s="802"/>
      <c r="P71" s="802"/>
      <c r="Q71" s="802"/>
      <c r="R71" s="802"/>
      <c r="S71" s="802"/>
      <c r="T71" s="388" t="b" cm="1">
        <f t="array" aca="1" ref="T71" ca="1">T70</f>
        <v>0</v>
      </c>
      <c r="U71" s="802"/>
      <c r="V71" s="802"/>
      <c r="W71" s="802"/>
      <c r="X71" s="1988"/>
      <c r="Y71" s="1988"/>
      <c r="Z71" s="2090"/>
      <c r="AA71" s="2092"/>
      <c r="AB71" s="7" t="str">
        <f>AB70&amp;".1"</f>
        <v>3.0.1</v>
      </c>
      <c r="AC71" s="140" t="s">
        <v>1078</v>
      </c>
      <c r="AD71" s="7" t="s">
        <v>563</v>
      </c>
      <c r="AE71" s="1403"/>
      <c r="AF71" s="1403"/>
      <c r="AG71" s="1403"/>
      <c r="AH71" s="1403"/>
      <c r="AI71" s="134"/>
      <c r="AJ71" s="1403"/>
      <c r="AK71" s="1403"/>
      <c r="AL71" s="1403"/>
      <c r="AM71" s="1403"/>
      <c r="AN71" s="1403"/>
      <c r="AO71" s="1403"/>
      <c r="AP71" s="1403"/>
      <c r="AQ71" s="1403"/>
      <c r="AR71" s="1403"/>
      <c r="AS71" s="134"/>
      <c r="AT71" s="1403"/>
      <c r="AU71" s="1403"/>
      <c r="AV71" s="1403"/>
      <c r="AW71" s="1403"/>
      <c r="AX71" s="1403"/>
      <c r="AY71" s="1403"/>
      <c r="AZ71" s="1403"/>
      <c r="BA71" s="1403"/>
      <c r="BB71" s="1403"/>
      <c r="BC71" s="1365"/>
      <c r="BD71" s="802"/>
      <c r="BE71" s="802"/>
      <c r="BF71" s="950" t="s">
        <v>1066</v>
      </c>
      <c r="BG71" s="950" t="s">
        <v>1077</v>
      </c>
      <c r="BH71" s="950" cm="1">
        <f t="array" ref="BH71">BH70</f>
        <v>0</v>
      </c>
      <c r="BI71" s="602"/>
      <c r="BJ71" s="602"/>
    </row>
    <row r="72" spans="1:62" s="1334" customFormat="1" ht="14.25" customHeight="1" x14ac:dyDescent="0.15">
      <c r="A72" s="802"/>
      <c r="B72" s="362"/>
      <c r="C72" s="802"/>
      <c r="D72" s="802"/>
      <c r="E72" s="602">
        <v>15</v>
      </c>
      <c r="F72" s="3" t="str" cm="1">
        <f t="array" aca="1" ref="F72" ca="1">OFFSET(E72,-1,1)</f>
        <v>1</v>
      </c>
      <c r="G72" s="802"/>
      <c r="H72" s="71" t="str">
        <f>"!=='не определено' &amp;&amp; row.l3 !== null"</f>
        <v>!=='не определено' &amp;&amp; row.l3 !== null</v>
      </c>
      <c r="I72" s="802"/>
      <c r="J72" s="802"/>
      <c r="K72" s="824"/>
      <c r="L72" s="802"/>
      <c r="M72" s="802"/>
      <c r="N72" s="802"/>
      <c r="O72" s="802"/>
      <c r="P72" s="802"/>
      <c r="Q72" s="802"/>
      <c r="R72" s="802"/>
      <c r="S72" s="802"/>
      <c r="T72" s="388" t="b">
        <f ca="1">F72&gt;0</f>
        <v>1</v>
      </c>
      <c r="U72" s="802"/>
      <c r="V72" s="802"/>
      <c r="W72" s="609" t="s">
        <v>1079</v>
      </c>
      <c r="X72" s="1988"/>
      <c r="Y72" s="607"/>
      <c r="Z72" s="2090"/>
      <c r="AA72" s="802"/>
      <c r="AB72" s="605"/>
      <c r="AC72" s="151" t="s">
        <v>1068</v>
      </c>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2"/>
      <c r="BD72" s="802"/>
      <c r="BE72" s="802"/>
      <c r="BF72" s="950"/>
      <c r="BG72" s="950"/>
      <c r="BH72" s="950"/>
      <c r="BI72" s="602" t="s">
        <v>1077</v>
      </c>
      <c r="BJ72" s="602"/>
    </row>
    <row r="73" spans="1:62" s="1334" customFormat="1" ht="21.75" customHeight="1" x14ac:dyDescent="0.15">
      <c r="A73" s="802"/>
      <c r="B73" s="362"/>
      <c r="C73" s="802"/>
      <c r="D73" s="802"/>
      <c r="E73" s="602">
        <v>23</v>
      </c>
      <c r="F73" s="3" t="str" cm="1">
        <f t="array" aca="1" ref="F73" ca="1">OFFSET(E73,-1,1)</f>
        <v>1</v>
      </c>
      <c r="G73" s="802"/>
      <c r="H73" s="802"/>
      <c r="I73" s="802"/>
      <c r="J73" s="802"/>
      <c r="K73" s="824" t="str">
        <f ca="1">F58&amp;"4komm"</f>
        <v>14komm</v>
      </c>
      <c r="L73" s="828" cm="1">
        <f t="array" ref="L73">BC73</f>
        <v>0</v>
      </c>
      <c r="M73" s="802"/>
      <c r="N73" s="802"/>
      <c r="O73" s="802"/>
      <c r="P73" s="802"/>
      <c r="Q73" s="802"/>
      <c r="R73" s="802"/>
      <c r="S73" s="802"/>
      <c r="T73" s="388" t="b" cm="1">
        <f t="array" aca="1" ref="T73" ca="1">T72</f>
        <v>1</v>
      </c>
      <c r="U73" s="802"/>
      <c r="V73" s="802"/>
      <c r="W73" s="802"/>
      <c r="X73" s="1988"/>
      <c r="Y73" s="608"/>
      <c r="Z73" s="2090"/>
      <c r="AA73" s="802"/>
      <c r="AB73" s="130">
        <v>4</v>
      </c>
      <c r="AC73" s="131" t="s">
        <v>1080</v>
      </c>
      <c r="AD73" s="130" t="s">
        <v>831</v>
      </c>
      <c r="AE73" s="132">
        <f>SUMIF(AD75:AD77,AD73,AE75:AE77)</f>
        <v>0</v>
      </c>
      <c r="AF73" s="132">
        <f>SUMIF(AD75:AD77,AD73,AF75:AF77)</f>
        <v>0</v>
      </c>
      <c r="AG73" s="132">
        <f>SUMIF(AD75:AD77,AD73,AG75:AG77)</f>
        <v>0</v>
      </c>
      <c r="AH73" s="132">
        <f>SUMIF(AD75:AD77,AD73,AH75:AH77)</f>
        <v>0</v>
      </c>
      <c r="AI73" s="132">
        <f>SUMIF(AD75:AD77,AD73,AI75:AI77)</f>
        <v>0</v>
      </c>
      <c r="AJ73" s="1325">
        <f>SUMIF(AD75:AD77,AD73,AJ75:AJ77)</f>
        <v>0</v>
      </c>
      <c r="AK73" s="1325">
        <f>SUMIF(AD75:AD77,AD73,AK75:AK77)</f>
        <v>0</v>
      </c>
      <c r="AL73" s="1325">
        <f>SUMIF(AD75:AD77,AD73,AL75:AL77)</f>
        <v>0</v>
      </c>
      <c r="AM73" s="1325">
        <f>SUMIF(AD75:AD77,AD73,AM75:AM77)</f>
        <v>0</v>
      </c>
      <c r="AN73" s="1325">
        <f>SUMIF(AD75:AD77,AD73,AN75:AN77)</f>
        <v>0</v>
      </c>
      <c r="AO73" s="1325">
        <f>SUMIF(AD75:AD77,AD73,AO75:AO77)</f>
        <v>0</v>
      </c>
      <c r="AP73" s="1325">
        <f>SUMIF(AD75:AD77,AD73,AP75:AP77)</f>
        <v>0</v>
      </c>
      <c r="AQ73" s="1325">
        <f>SUMIF(AD75:AD77,AD73,AQ75:AQ77)</f>
        <v>0</v>
      </c>
      <c r="AR73" s="1325">
        <f>SUMIF(AD75:AD77,AD73,AR75:AR77)</f>
        <v>0</v>
      </c>
      <c r="AS73" s="132">
        <f>SUMIF(AD75:AD77,AD73,AS75:AS77)</f>
        <v>0</v>
      </c>
      <c r="AT73" s="1325">
        <f>SUMIF(AD75:AD77,AD73,AT75:AT77)</f>
        <v>0</v>
      </c>
      <c r="AU73" s="1325">
        <f>SUMIF(AD75:AD77,AD73,AU75:AU77)</f>
        <v>0</v>
      </c>
      <c r="AV73" s="1325">
        <f>SUMIF(AD75:AD77,AD73,AV75:AV77)</f>
        <v>0</v>
      </c>
      <c r="AW73" s="1325">
        <f>SUMIF(AD75:AD77,AD73,AW75:AW77)</f>
        <v>0</v>
      </c>
      <c r="AX73" s="1325">
        <f>SUMIF(AD75:AD77,AD73,AX75:AX77)</f>
        <v>0</v>
      </c>
      <c r="AY73" s="1325">
        <f>SUMIF(AD75:AD77,AD73,AY75:AY77)</f>
        <v>0</v>
      </c>
      <c r="AZ73" s="1325">
        <f>SUMIF(AD75:AD77,AD73,AZ75:AZ77)</f>
        <v>0</v>
      </c>
      <c r="BA73" s="1325">
        <f>SUMIF(AD75:AD77,AD73,BA75:BA77)</f>
        <v>0</v>
      </c>
      <c r="BB73" s="1325">
        <f>SUMIF(AD75:AD77,AD73,BB75:BB77)</f>
        <v>0</v>
      </c>
      <c r="BC73" s="119"/>
      <c r="BD73" s="802"/>
      <c r="BE73" s="802"/>
      <c r="BF73" s="950" t="s">
        <v>1081</v>
      </c>
      <c r="BG73" s="950"/>
      <c r="BH73" s="950"/>
      <c r="BI73" s="602"/>
      <c r="BJ73" s="602"/>
    </row>
    <row r="74" spans="1:62" s="1334" customFormat="1" ht="15" hidden="1" customHeight="1" x14ac:dyDescent="0.15">
      <c r="A74" s="802"/>
      <c r="B74" s="362"/>
      <c r="C74" s="802"/>
      <c r="D74" s="802"/>
      <c r="E74" s="602">
        <v>0</v>
      </c>
      <c r="F74" s="3" t="str" cm="1">
        <f t="array" aca="1" ref="F74" ca="1">OFFSET(E74,-1,1)</f>
        <v>1</v>
      </c>
      <c r="G74" s="71" t="s">
        <v>335</v>
      </c>
      <c r="H74" s="802"/>
      <c r="I74" s="802"/>
      <c r="J74" s="802"/>
      <c r="K74" s="824"/>
      <c r="L74" s="828"/>
      <c r="M74" s="802"/>
      <c r="N74" s="802"/>
      <c r="O74" s="802"/>
      <c r="P74" s="802"/>
      <c r="Q74" s="802"/>
      <c r="R74" s="802"/>
      <c r="S74" s="802"/>
      <c r="T74" s="388" t="b">
        <v>0</v>
      </c>
      <c r="U74" s="802"/>
      <c r="V74" s="802"/>
      <c r="W74" s="71" t="s">
        <v>172</v>
      </c>
      <c r="X74" s="1988"/>
      <c r="Y74" s="1988">
        <v>0</v>
      </c>
      <c r="Z74" s="2090"/>
      <c r="AA74" s="2092" t="s">
        <v>173</v>
      </c>
      <c r="AB74" s="130"/>
      <c r="AC74" s="131"/>
      <c r="AD74" s="130"/>
      <c r="AE74" s="1328" t="b">
        <f t="shared" ref="AE74:BB74" si="11">OR(AND(AE75&lt;&gt;"",AE76=""),AND(AE75="",AE76&lt;&gt;""))</f>
        <v>0</v>
      </c>
      <c r="AF74" s="1328" t="b">
        <f t="shared" si="11"/>
        <v>0</v>
      </c>
      <c r="AG74" s="1328" t="b">
        <f t="shared" si="11"/>
        <v>0</v>
      </c>
      <c r="AH74" s="1328" t="b">
        <f t="shared" si="11"/>
        <v>0</v>
      </c>
      <c r="AI74" s="1328" t="b">
        <f t="shared" si="11"/>
        <v>0</v>
      </c>
      <c r="AJ74" s="1328" t="b">
        <f t="shared" si="11"/>
        <v>0</v>
      </c>
      <c r="AK74" s="1328" t="b">
        <f t="shared" si="11"/>
        <v>0</v>
      </c>
      <c r="AL74" s="1328" t="b">
        <f t="shared" si="11"/>
        <v>0</v>
      </c>
      <c r="AM74" s="1328" t="b">
        <f t="shared" si="11"/>
        <v>0</v>
      </c>
      <c r="AN74" s="1328" t="b">
        <f t="shared" si="11"/>
        <v>0</v>
      </c>
      <c r="AO74" s="1328" t="b">
        <f t="shared" si="11"/>
        <v>0</v>
      </c>
      <c r="AP74" s="1328" t="b">
        <f t="shared" si="11"/>
        <v>0</v>
      </c>
      <c r="AQ74" s="1328" t="b">
        <f t="shared" si="11"/>
        <v>0</v>
      </c>
      <c r="AR74" s="1328" t="b">
        <f t="shared" si="11"/>
        <v>0</v>
      </c>
      <c r="AS74" s="1328" t="b">
        <f t="shared" si="11"/>
        <v>0</v>
      </c>
      <c r="AT74" s="1328" t="b">
        <f t="shared" si="11"/>
        <v>0</v>
      </c>
      <c r="AU74" s="1328" t="b">
        <f t="shared" si="11"/>
        <v>0</v>
      </c>
      <c r="AV74" s="1328" t="b">
        <f t="shared" si="11"/>
        <v>0</v>
      </c>
      <c r="AW74" s="1328" t="b">
        <f t="shared" si="11"/>
        <v>0</v>
      </c>
      <c r="AX74" s="1328" t="b">
        <f t="shared" si="11"/>
        <v>0</v>
      </c>
      <c r="AY74" s="1328" t="b">
        <f t="shared" si="11"/>
        <v>0</v>
      </c>
      <c r="AZ74" s="1328" t="b">
        <f t="shared" si="11"/>
        <v>0</v>
      </c>
      <c r="BA74" s="1328" t="b">
        <f t="shared" si="11"/>
        <v>0</v>
      </c>
      <c r="BB74" s="1328" t="b">
        <f t="shared" si="11"/>
        <v>0</v>
      </c>
      <c r="BC74" s="883"/>
      <c r="BD74" s="802"/>
      <c r="BE74" s="802"/>
      <c r="BF74" s="950"/>
      <c r="BG74" s="950"/>
      <c r="BH74" s="950"/>
      <c r="BI74" s="602"/>
      <c r="BJ74" s="602"/>
    </row>
    <row r="75" spans="1:62" s="1334" customFormat="1" ht="14.25" hidden="1" customHeight="1" x14ac:dyDescent="0.15">
      <c r="A75" s="802"/>
      <c r="B75" s="362"/>
      <c r="C75" s="802"/>
      <c r="D75" s="802"/>
      <c r="E75" s="602">
        <v>15</v>
      </c>
      <c r="F75" s="3" t="str" cm="1">
        <f t="array" aca="1" ref="F75" ca="1">OFFSET(E75,-1,1)</f>
        <v>1</v>
      </c>
      <c r="G75" s="71" t="s">
        <v>335</v>
      </c>
      <c r="H75" s="74" cm="1">
        <f t="array" ref="H75">AC75</f>
        <v>0</v>
      </c>
      <c r="I75" s="71" t="s">
        <v>1082</v>
      </c>
      <c r="J75" s="802"/>
      <c r="K75" s="824"/>
      <c r="L75" s="802"/>
      <c r="M75" s="802"/>
      <c r="N75" s="802"/>
      <c r="O75" s="802"/>
      <c r="P75" s="802"/>
      <c r="Q75" s="802"/>
      <c r="R75" s="802"/>
      <c r="S75" s="802"/>
      <c r="T75" s="388" t="b">
        <f ca="1">AND(F75&gt;0,Y74&gt;0)</f>
        <v>0</v>
      </c>
      <c r="U75" s="802"/>
      <c r="V75" s="802"/>
      <c r="W75" s="802"/>
      <c r="X75" s="1988"/>
      <c r="Y75" s="1988"/>
      <c r="Z75" s="2090"/>
      <c r="AA75" s="2092"/>
      <c r="AB75" s="7" t="str">
        <f>"4."&amp;Y74</f>
        <v>4.0</v>
      </c>
      <c r="AC75" s="192"/>
      <c r="AD75" s="130" t="s">
        <v>831</v>
      </c>
      <c r="AE75" s="1403"/>
      <c r="AF75" s="1403"/>
      <c r="AG75" s="1403"/>
      <c r="AH75" s="1403"/>
      <c r="AI75" s="134"/>
      <c r="AJ75" s="1403"/>
      <c r="AK75" s="1403"/>
      <c r="AL75" s="1403"/>
      <c r="AM75" s="1403"/>
      <c r="AN75" s="1403"/>
      <c r="AO75" s="1403"/>
      <c r="AP75" s="1403"/>
      <c r="AQ75" s="1403"/>
      <c r="AR75" s="1403"/>
      <c r="AS75" s="134"/>
      <c r="AT75" s="1403"/>
      <c r="AU75" s="1403"/>
      <c r="AV75" s="1403"/>
      <c r="AW75" s="1403"/>
      <c r="AX75" s="1403"/>
      <c r="AY75" s="1403"/>
      <c r="AZ75" s="1403"/>
      <c r="BA75" s="1403"/>
      <c r="BB75" s="1403"/>
      <c r="BC75" s="1365"/>
      <c r="BD75" s="802"/>
      <c r="BE75" s="802"/>
      <c r="BF75" s="950" t="s">
        <v>1063</v>
      </c>
      <c r="BG75" s="950" t="s">
        <v>1083</v>
      </c>
      <c r="BH75" s="950" cm="1">
        <f t="array" ref="BH75">AC75</f>
        <v>0</v>
      </c>
      <c r="BI75" s="602"/>
      <c r="BJ75" s="602" t="b">
        <v>1</v>
      </c>
    </row>
    <row r="76" spans="1:62" s="1334" customFormat="1" ht="14.25" hidden="1" customHeight="1" x14ac:dyDescent="0.15">
      <c r="A76" s="802"/>
      <c r="B76" s="362"/>
      <c r="C76" s="802"/>
      <c r="D76" s="802"/>
      <c r="E76" s="602">
        <v>15</v>
      </c>
      <c r="F76" s="3" t="str" cm="1">
        <f t="array" aca="1" ref="F76" ca="1">OFFSET(E76,-1,1)</f>
        <v>1</v>
      </c>
      <c r="G76" s="71" t="s">
        <v>565</v>
      </c>
      <c r="H76" s="74" cm="1">
        <f t="array" ref="H76">H75</f>
        <v>0</v>
      </c>
      <c r="I76" s="71" t="s">
        <v>1082</v>
      </c>
      <c r="J76" s="802"/>
      <c r="K76" s="824"/>
      <c r="L76" s="802"/>
      <c r="M76" s="802"/>
      <c r="N76" s="802"/>
      <c r="O76" s="802"/>
      <c r="P76" s="802"/>
      <c r="Q76" s="802"/>
      <c r="R76" s="802"/>
      <c r="S76" s="802"/>
      <c r="T76" s="388" t="b" cm="1">
        <f t="array" aca="1" ref="T76" ca="1">T75</f>
        <v>0</v>
      </c>
      <c r="U76" s="802"/>
      <c r="V76" s="802"/>
      <c r="W76" s="802"/>
      <c r="X76" s="1988"/>
      <c r="Y76" s="1988"/>
      <c r="Z76" s="2090"/>
      <c r="AA76" s="2092"/>
      <c r="AB76" s="7" t="str">
        <f>AB75&amp;".1"</f>
        <v>4.0.1</v>
      </c>
      <c r="AC76" s="140" t="s">
        <v>1084</v>
      </c>
      <c r="AD76" s="7" t="s">
        <v>563</v>
      </c>
      <c r="AE76" s="1403"/>
      <c r="AF76" s="1403"/>
      <c r="AG76" s="1403"/>
      <c r="AH76" s="1403"/>
      <c r="AI76" s="134"/>
      <c r="AJ76" s="1403"/>
      <c r="AK76" s="1403"/>
      <c r="AL76" s="1403"/>
      <c r="AM76" s="1403"/>
      <c r="AN76" s="1403"/>
      <c r="AO76" s="1403"/>
      <c r="AP76" s="1403"/>
      <c r="AQ76" s="1403"/>
      <c r="AR76" s="1403"/>
      <c r="AS76" s="134"/>
      <c r="AT76" s="1403"/>
      <c r="AU76" s="1403"/>
      <c r="AV76" s="1403"/>
      <c r="AW76" s="1403"/>
      <c r="AX76" s="1403"/>
      <c r="AY76" s="1403"/>
      <c r="AZ76" s="1403"/>
      <c r="BA76" s="1403"/>
      <c r="BB76" s="1403"/>
      <c r="BC76" s="1365"/>
      <c r="BD76" s="802"/>
      <c r="BE76" s="802"/>
      <c r="BF76" s="950" t="s">
        <v>1066</v>
      </c>
      <c r="BG76" s="950" t="s">
        <v>1083</v>
      </c>
      <c r="BH76" s="950" cm="1">
        <f t="array" ref="BH76">BH75</f>
        <v>0</v>
      </c>
      <c r="BI76" s="602"/>
      <c r="BJ76" s="602"/>
    </row>
    <row r="77" spans="1:62" s="1334" customFormat="1" ht="14.25" customHeight="1" x14ac:dyDescent="0.15">
      <c r="A77" s="802"/>
      <c r="B77" s="362"/>
      <c r="C77" s="802"/>
      <c r="D77" s="802"/>
      <c r="E77" s="602">
        <v>15</v>
      </c>
      <c r="F77" s="3" t="str" cm="1">
        <f t="array" aca="1" ref="F77" ca="1">OFFSET(E77,-1,1)</f>
        <v>1</v>
      </c>
      <c r="G77" s="802"/>
      <c r="H77" s="71" t="str">
        <f>"!=='не определено' &amp;&amp; row.l4 !== null"</f>
        <v>!=='не определено' &amp;&amp; row.l4 !== null</v>
      </c>
      <c r="I77" s="802"/>
      <c r="J77" s="802"/>
      <c r="K77" s="824"/>
      <c r="L77" s="802"/>
      <c r="M77" s="802"/>
      <c r="N77" s="802"/>
      <c r="O77" s="802"/>
      <c r="P77" s="802"/>
      <c r="Q77" s="802"/>
      <c r="R77" s="802"/>
      <c r="S77" s="802"/>
      <c r="T77" s="388" t="b">
        <f ca="1">F77&gt;0</f>
        <v>1</v>
      </c>
      <c r="U77" s="802"/>
      <c r="V77" s="802"/>
      <c r="W77" s="609" t="s">
        <v>1085</v>
      </c>
      <c r="X77" s="1988"/>
      <c r="Y77" s="607"/>
      <c r="Z77" s="2090"/>
      <c r="AA77" s="802"/>
      <c r="AB77" s="605"/>
      <c r="AC77" s="151" t="s">
        <v>1068</v>
      </c>
      <c r="AD77" s="151"/>
      <c r="AE77" s="151"/>
      <c r="AF77" s="151"/>
      <c r="AG77" s="151"/>
      <c r="AH77" s="151"/>
      <c r="AI77" s="151"/>
      <c r="AJ77" s="151"/>
      <c r="AK77" s="151"/>
      <c r="AL77" s="151"/>
      <c r="AM77" s="151"/>
      <c r="AN77" s="151"/>
      <c r="AO77" s="151"/>
      <c r="AP77" s="151"/>
      <c r="AQ77" s="151"/>
      <c r="AR77" s="151"/>
      <c r="AS77" s="151"/>
      <c r="AT77" s="151"/>
      <c r="AU77" s="151"/>
      <c r="AV77" s="151"/>
      <c r="AW77" s="151"/>
      <c r="AX77" s="151"/>
      <c r="AY77" s="151"/>
      <c r="AZ77" s="151"/>
      <c r="BA77" s="151"/>
      <c r="BB77" s="151"/>
      <c r="BC77" s="152"/>
      <c r="BD77" s="802"/>
      <c r="BE77" s="802"/>
      <c r="BF77" s="950"/>
      <c r="BG77" s="950"/>
      <c r="BH77" s="950"/>
      <c r="BI77" s="602" t="s">
        <v>1083</v>
      </c>
      <c r="BJ77" s="602"/>
    </row>
    <row r="78" spans="1:62" s="1334" customFormat="1" ht="21.75" customHeight="1" x14ac:dyDescent="0.15">
      <c r="A78" s="802"/>
      <c r="B78" s="362"/>
      <c r="C78" s="802"/>
      <c r="D78" s="802"/>
      <c r="E78" s="602">
        <v>23</v>
      </c>
      <c r="F78" s="3" t="str" cm="1">
        <f t="array" aca="1" ref="F78" ca="1">OFFSET(E78,-1,1)</f>
        <v>1</v>
      </c>
      <c r="G78" s="802"/>
      <c r="H78" s="802"/>
      <c r="I78" s="802"/>
      <c r="J78" s="802"/>
      <c r="K78" s="824" t="str">
        <f ca="1">F58&amp;"5komm"</f>
        <v>15komm</v>
      </c>
      <c r="L78" s="828" cm="1">
        <f t="array" ref="L78">BC78</f>
        <v>0</v>
      </c>
      <c r="M78" s="802"/>
      <c r="N78" s="802"/>
      <c r="O78" s="802"/>
      <c r="P78" s="802"/>
      <c r="Q78" s="802"/>
      <c r="R78" s="802"/>
      <c r="S78" s="802"/>
      <c r="T78" s="388" t="b" cm="1">
        <f t="array" aca="1" ref="T78" ca="1">T77</f>
        <v>1</v>
      </c>
      <c r="U78" s="802"/>
      <c r="V78" s="802"/>
      <c r="W78" s="802"/>
      <c r="X78" s="1988"/>
      <c r="Y78" s="608"/>
      <c r="Z78" s="2090"/>
      <c r="AA78" s="802"/>
      <c r="AB78" s="130">
        <v>5</v>
      </c>
      <c r="AC78" s="131" t="s">
        <v>1086</v>
      </c>
      <c r="AD78" s="130" t="s">
        <v>831</v>
      </c>
      <c r="AE78" s="132">
        <f>SUMIF(AD80:AD82,AD78,AE80:AE82)</f>
        <v>0</v>
      </c>
      <c r="AF78" s="132">
        <f>SUMIF(AD80:AD82,AD78,AF80:AF82)</f>
        <v>0</v>
      </c>
      <c r="AG78" s="132">
        <f>SUMIF(AD80:AD82,AD78,AG80:AG82)</f>
        <v>0</v>
      </c>
      <c r="AH78" s="132">
        <f>SUMIF(AD80:AD82,AD78,AH80:AH82)</f>
        <v>0</v>
      </c>
      <c r="AI78" s="132">
        <f>SUMIF(AD80:AD82,AD78,AI80:AI82)</f>
        <v>0</v>
      </c>
      <c r="AJ78" s="1325">
        <f>SUMIF(AD80:AD82,AD78,AJ80:AJ82)</f>
        <v>0</v>
      </c>
      <c r="AK78" s="1325">
        <f>SUMIF(AD80:AD82,AD78,AK80:AK82)</f>
        <v>0</v>
      </c>
      <c r="AL78" s="1325">
        <f>SUMIF(AD80:AD82,AD78,AL80:AL82)</f>
        <v>0</v>
      </c>
      <c r="AM78" s="1325">
        <f>SUMIF(AD80:AD82,AD78,AM80:AM82)</f>
        <v>0</v>
      </c>
      <c r="AN78" s="1325">
        <f>SUMIF(AD80:AD82,AD78,AN80:AN82)</f>
        <v>0</v>
      </c>
      <c r="AO78" s="1325">
        <f>SUMIF(AD80:AD82,AD78,AO80:AO82)</f>
        <v>0</v>
      </c>
      <c r="AP78" s="1325">
        <f>SUMIF(AD80:AD82,AD78,AP80:AP82)</f>
        <v>0</v>
      </c>
      <c r="AQ78" s="1325">
        <f>SUMIF(AD80:AD82,AD78,AQ80:AQ82)</f>
        <v>0</v>
      </c>
      <c r="AR78" s="1325">
        <f>SUMIF(AD80:AD82,AD78,AR80:AR82)</f>
        <v>0</v>
      </c>
      <c r="AS78" s="132">
        <f>SUMIF(AD80:AD82,AD78,AS80:AS82)</f>
        <v>0</v>
      </c>
      <c r="AT78" s="1325">
        <f>SUMIF(AD80:AD82,AD78,AT80:AT82)</f>
        <v>0</v>
      </c>
      <c r="AU78" s="1325">
        <f>SUMIF(AD80:AD82,AD78,AU80:AU82)</f>
        <v>0</v>
      </c>
      <c r="AV78" s="1325">
        <f>SUMIF(AD80:AD82,AD78,AV80:AV82)</f>
        <v>0</v>
      </c>
      <c r="AW78" s="1325">
        <f>SUMIF(AD80:AD82,AD78,AW80:AW82)</f>
        <v>0</v>
      </c>
      <c r="AX78" s="1325">
        <f>SUMIF(AD80:AD82,AD78,AX80:AX82)</f>
        <v>0</v>
      </c>
      <c r="AY78" s="1325">
        <f>SUMIF(AD80:AD82,AD78,AY80:AY82)</f>
        <v>0</v>
      </c>
      <c r="AZ78" s="1325">
        <f>SUMIF(AD80:AD82,AD78,AZ80:AZ82)</f>
        <v>0</v>
      </c>
      <c r="BA78" s="1325">
        <f>SUMIF(AD80:AD82,AD78,BA80:BA82)</f>
        <v>0</v>
      </c>
      <c r="BB78" s="1325">
        <f>SUMIF(AD80:AD82,AD78,BB80:BB82)</f>
        <v>0</v>
      </c>
      <c r="BC78" s="119"/>
      <c r="BD78" s="802"/>
      <c r="BE78" s="802"/>
      <c r="BF78" s="950" t="s">
        <v>1087</v>
      </c>
      <c r="BG78" s="950"/>
      <c r="BH78" s="950"/>
      <c r="BI78" s="602"/>
      <c r="BJ78" s="602"/>
    </row>
    <row r="79" spans="1:62" s="1334" customFormat="1" ht="15" hidden="1" customHeight="1" x14ac:dyDescent="0.15">
      <c r="A79" s="802"/>
      <c r="B79" s="362"/>
      <c r="C79" s="802"/>
      <c r="D79" s="802"/>
      <c r="E79" s="602">
        <v>0</v>
      </c>
      <c r="F79" s="3" t="str" cm="1">
        <f t="array" aca="1" ref="F79" ca="1">OFFSET(E79,-1,1)</f>
        <v>1</v>
      </c>
      <c r="G79" s="71" t="s">
        <v>334</v>
      </c>
      <c r="H79" s="802"/>
      <c r="I79" s="802"/>
      <c r="J79" s="802"/>
      <c r="K79" s="824"/>
      <c r="L79" s="828"/>
      <c r="M79" s="802"/>
      <c r="N79" s="802"/>
      <c r="O79" s="802"/>
      <c r="P79" s="802"/>
      <c r="Q79" s="802"/>
      <c r="R79" s="802"/>
      <c r="S79" s="802"/>
      <c r="T79" s="388" t="b">
        <v>0</v>
      </c>
      <c r="U79" s="802"/>
      <c r="V79" s="802"/>
      <c r="W79" s="71" t="s">
        <v>172</v>
      </c>
      <c r="X79" s="1988"/>
      <c r="Y79" s="1988">
        <v>0</v>
      </c>
      <c r="Z79" s="2090"/>
      <c r="AA79" s="2092" t="s">
        <v>173</v>
      </c>
      <c r="AB79" s="130"/>
      <c r="AC79" s="131"/>
      <c r="AD79" s="130"/>
      <c r="AE79" s="1328" t="b">
        <f t="shared" ref="AE79:BB79" si="12">OR(AND(AE80&lt;&gt;"",AE81=""),AND(AE80="",AE81&lt;&gt;""))</f>
        <v>0</v>
      </c>
      <c r="AF79" s="1328" t="b">
        <f t="shared" si="12"/>
        <v>0</v>
      </c>
      <c r="AG79" s="1328" t="b">
        <f t="shared" si="12"/>
        <v>0</v>
      </c>
      <c r="AH79" s="1328" t="b">
        <f t="shared" si="12"/>
        <v>0</v>
      </c>
      <c r="AI79" s="1328" t="b">
        <f t="shared" si="12"/>
        <v>0</v>
      </c>
      <c r="AJ79" s="1328" t="b">
        <f t="shared" si="12"/>
        <v>0</v>
      </c>
      <c r="AK79" s="1328" t="b">
        <f t="shared" si="12"/>
        <v>0</v>
      </c>
      <c r="AL79" s="1328" t="b">
        <f t="shared" si="12"/>
        <v>0</v>
      </c>
      <c r="AM79" s="1328" t="b">
        <f t="shared" si="12"/>
        <v>0</v>
      </c>
      <c r="AN79" s="1328" t="b">
        <f t="shared" si="12"/>
        <v>0</v>
      </c>
      <c r="AO79" s="1328" t="b">
        <f t="shared" si="12"/>
        <v>0</v>
      </c>
      <c r="AP79" s="1328" t="b">
        <f t="shared" si="12"/>
        <v>0</v>
      </c>
      <c r="AQ79" s="1328" t="b">
        <f t="shared" si="12"/>
        <v>0</v>
      </c>
      <c r="AR79" s="1328" t="b">
        <f t="shared" si="12"/>
        <v>0</v>
      </c>
      <c r="AS79" s="1328" t="b">
        <f t="shared" si="12"/>
        <v>0</v>
      </c>
      <c r="AT79" s="1328" t="b">
        <f t="shared" si="12"/>
        <v>0</v>
      </c>
      <c r="AU79" s="1328" t="b">
        <f t="shared" si="12"/>
        <v>0</v>
      </c>
      <c r="AV79" s="1328" t="b">
        <f t="shared" si="12"/>
        <v>0</v>
      </c>
      <c r="AW79" s="1328" t="b">
        <f t="shared" si="12"/>
        <v>0</v>
      </c>
      <c r="AX79" s="1328" t="b">
        <f t="shared" si="12"/>
        <v>0</v>
      </c>
      <c r="AY79" s="1328" t="b">
        <f t="shared" si="12"/>
        <v>0</v>
      </c>
      <c r="AZ79" s="1328" t="b">
        <f t="shared" si="12"/>
        <v>0</v>
      </c>
      <c r="BA79" s="1328" t="b">
        <f t="shared" si="12"/>
        <v>0</v>
      </c>
      <c r="BB79" s="1328" t="b">
        <f t="shared" si="12"/>
        <v>0</v>
      </c>
      <c r="BC79" s="883"/>
      <c r="BD79" s="802"/>
      <c r="BE79" s="802"/>
      <c r="BF79" s="950"/>
      <c r="BG79" s="950"/>
      <c r="BH79" s="950"/>
      <c r="BI79" s="602"/>
      <c r="BJ79" s="602"/>
    </row>
    <row r="80" spans="1:62" s="1334" customFormat="1" ht="14.25" hidden="1" customHeight="1" x14ac:dyDescent="0.15">
      <c r="A80" s="802"/>
      <c r="B80" s="362"/>
      <c r="C80" s="802"/>
      <c r="D80" s="802"/>
      <c r="E80" s="602">
        <v>15</v>
      </c>
      <c r="F80" s="3" t="str" cm="1">
        <f t="array" aca="1" ref="F80" ca="1">OFFSET(E80,-1,1)</f>
        <v>1</v>
      </c>
      <c r="G80" s="71" t="s">
        <v>334</v>
      </c>
      <c r="H80" s="74" cm="1">
        <f t="array" ref="H80">AC80</f>
        <v>0</v>
      </c>
      <c r="I80" s="71" t="s">
        <v>1088</v>
      </c>
      <c r="J80" s="802"/>
      <c r="K80" s="824"/>
      <c r="L80" s="802"/>
      <c r="M80" s="802"/>
      <c r="N80" s="802"/>
      <c r="O80" s="802"/>
      <c r="P80" s="802"/>
      <c r="Q80" s="802"/>
      <c r="R80" s="802"/>
      <c r="S80" s="802"/>
      <c r="T80" s="388" t="b">
        <f ca="1">AND(F80&gt;0,Y79&gt;0)</f>
        <v>0</v>
      </c>
      <c r="U80" s="802"/>
      <c r="V80" s="802"/>
      <c r="W80" s="802"/>
      <c r="X80" s="1988"/>
      <c r="Y80" s="1988"/>
      <c r="Z80" s="2090"/>
      <c r="AA80" s="2092"/>
      <c r="AB80" s="7" t="str">
        <f>"5."&amp;Y79</f>
        <v>5.0</v>
      </c>
      <c r="AC80" s="192"/>
      <c r="AD80" s="130" t="s">
        <v>831</v>
      </c>
      <c r="AE80" s="1403"/>
      <c r="AF80" s="1403"/>
      <c r="AG80" s="1403"/>
      <c r="AH80" s="1403"/>
      <c r="AI80" s="134"/>
      <c r="AJ80" s="1403"/>
      <c r="AK80" s="1403"/>
      <c r="AL80" s="1403"/>
      <c r="AM80" s="1403"/>
      <c r="AN80" s="1403"/>
      <c r="AO80" s="1403"/>
      <c r="AP80" s="1403"/>
      <c r="AQ80" s="1403"/>
      <c r="AR80" s="1403"/>
      <c r="AS80" s="134"/>
      <c r="AT80" s="1403"/>
      <c r="AU80" s="1403"/>
      <c r="AV80" s="1403"/>
      <c r="AW80" s="1403"/>
      <c r="AX80" s="1403"/>
      <c r="AY80" s="1403"/>
      <c r="AZ80" s="1403"/>
      <c r="BA80" s="1403"/>
      <c r="BB80" s="1403"/>
      <c r="BC80" s="1365"/>
      <c r="BD80" s="802"/>
      <c r="BE80" s="802"/>
      <c r="BF80" s="950" t="s">
        <v>1063</v>
      </c>
      <c r="BG80" s="950" t="s">
        <v>1089</v>
      </c>
      <c r="BH80" s="950" cm="1">
        <f t="array" ref="BH80">AC80</f>
        <v>0</v>
      </c>
      <c r="BI80" s="602"/>
      <c r="BJ80" s="602" t="b">
        <v>1</v>
      </c>
    </row>
    <row r="81" spans="1:62" s="1334" customFormat="1" ht="14.25" hidden="1" customHeight="1" x14ac:dyDescent="0.15">
      <c r="A81" s="802"/>
      <c r="B81" s="362"/>
      <c r="C81" s="802"/>
      <c r="D81" s="802"/>
      <c r="E81" s="602">
        <v>15</v>
      </c>
      <c r="F81" s="3" t="str" cm="1">
        <f t="array" aca="1" ref="F81" ca="1">OFFSET(E81,-1,1)</f>
        <v>1</v>
      </c>
      <c r="G81" s="71" t="s">
        <v>579</v>
      </c>
      <c r="H81" s="74" cm="1">
        <f t="array" ref="H81">H80</f>
        <v>0</v>
      </c>
      <c r="I81" s="71" t="s">
        <v>1088</v>
      </c>
      <c r="J81" s="802"/>
      <c r="K81" s="824"/>
      <c r="L81" s="802"/>
      <c r="M81" s="802"/>
      <c r="N81" s="802"/>
      <c r="O81" s="802"/>
      <c r="P81" s="802"/>
      <c r="Q81" s="802"/>
      <c r="R81" s="802"/>
      <c r="S81" s="802"/>
      <c r="T81" s="388" t="b" cm="1">
        <f t="array" aca="1" ref="T81" ca="1">T80</f>
        <v>0</v>
      </c>
      <c r="U81" s="802"/>
      <c r="V81" s="802"/>
      <c r="W81" s="802"/>
      <c r="X81" s="1988"/>
      <c r="Y81" s="1988"/>
      <c r="Z81" s="2090"/>
      <c r="AA81" s="2092"/>
      <c r="AB81" s="7" t="str">
        <f>AB80&amp;".1"</f>
        <v>5.0.1</v>
      </c>
      <c r="AC81" s="140" t="s">
        <v>1090</v>
      </c>
      <c r="AD81" s="7" t="s">
        <v>563</v>
      </c>
      <c r="AE81" s="1403"/>
      <c r="AF81" s="1403"/>
      <c r="AG81" s="1403"/>
      <c r="AH81" s="1403"/>
      <c r="AI81" s="134"/>
      <c r="AJ81" s="1403"/>
      <c r="AK81" s="1403"/>
      <c r="AL81" s="1403"/>
      <c r="AM81" s="1403"/>
      <c r="AN81" s="1403"/>
      <c r="AO81" s="1403"/>
      <c r="AP81" s="1403"/>
      <c r="AQ81" s="1403"/>
      <c r="AR81" s="1403"/>
      <c r="AS81" s="134"/>
      <c r="AT81" s="1403"/>
      <c r="AU81" s="1403"/>
      <c r="AV81" s="1403"/>
      <c r="AW81" s="1403"/>
      <c r="AX81" s="1403"/>
      <c r="AY81" s="1403"/>
      <c r="AZ81" s="1403"/>
      <c r="BA81" s="1403"/>
      <c r="BB81" s="1403"/>
      <c r="BC81" s="1365"/>
      <c r="BD81" s="802"/>
      <c r="BE81" s="802"/>
      <c r="BF81" s="950" t="s">
        <v>1066</v>
      </c>
      <c r="BG81" s="950" t="s">
        <v>1089</v>
      </c>
      <c r="BH81" s="950" cm="1">
        <f t="array" ref="BH81">BH80</f>
        <v>0</v>
      </c>
      <c r="BI81" s="602"/>
      <c r="BJ81" s="602"/>
    </row>
    <row r="82" spans="1:62" s="1334" customFormat="1" ht="14.25" customHeight="1" x14ac:dyDescent="0.15">
      <c r="A82" s="802"/>
      <c r="B82" s="362"/>
      <c r="C82" s="802"/>
      <c r="D82" s="802"/>
      <c r="E82" s="602">
        <v>15</v>
      </c>
      <c r="F82" s="3" t="str" cm="1">
        <f t="array" aca="1" ref="F82" ca="1">OFFSET(E82,-1,1)</f>
        <v>1</v>
      </c>
      <c r="G82" s="802"/>
      <c r="H82" s="71" t="str">
        <f>"!=='не определено' &amp;&amp; row.l5 !== null"</f>
        <v>!=='не определено' &amp;&amp; row.l5 !== null</v>
      </c>
      <c r="I82" s="802"/>
      <c r="J82" s="802"/>
      <c r="K82" s="824"/>
      <c r="L82" s="802"/>
      <c r="M82" s="802"/>
      <c r="N82" s="802"/>
      <c r="O82" s="802"/>
      <c r="P82" s="802"/>
      <c r="Q82" s="802"/>
      <c r="R82" s="802"/>
      <c r="S82" s="802"/>
      <c r="T82" s="388" t="b">
        <f ca="1">F82&gt;0</f>
        <v>1</v>
      </c>
      <c r="U82" s="802"/>
      <c r="V82" s="802"/>
      <c r="W82" s="609" t="s">
        <v>1091</v>
      </c>
      <c r="X82" s="1988"/>
      <c r="Y82" s="88"/>
      <c r="Z82" s="2090"/>
      <c r="AA82" s="802"/>
      <c r="AB82" s="605"/>
      <c r="AC82" s="151" t="s">
        <v>1068</v>
      </c>
      <c r="AD82" s="151"/>
      <c r="AE82" s="151"/>
      <c r="AF82" s="151"/>
      <c r="AG82" s="151"/>
      <c r="AH82" s="151"/>
      <c r="AI82" s="151"/>
      <c r="AJ82" s="151"/>
      <c r="AK82" s="151"/>
      <c r="AL82" s="151"/>
      <c r="AM82" s="151"/>
      <c r="AN82" s="151"/>
      <c r="AO82" s="151"/>
      <c r="AP82" s="151"/>
      <c r="AQ82" s="151"/>
      <c r="AR82" s="151"/>
      <c r="AS82" s="151"/>
      <c r="AT82" s="151"/>
      <c r="AU82" s="151"/>
      <c r="AV82" s="151"/>
      <c r="AW82" s="151"/>
      <c r="AX82" s="151"/>
      <c r="AY82" s="151"/>
      <c r="AZ82" s="151"/>
      <c r="BA82" s="151"/>
      <c r="BB82" s="151"/>
      <c r="BC82" s="152"/>
      <c r="BD82" s="802"/>
      <c r="BE82" s="802"/>
      <c r="BF82" s="950"/>
      <c r="BG82" s="950"/>
      <c r="BH82" s="950"/>
      <c r="BI82" s="602" t="s">
        <v>1089</v>
      </c>
      <c r="BJ82" s="602"/>
    </row>
    <row r="83" spans="1:62" s="72" customFormat="1" ht="275.25" customHeight="1" x14ac:dyDescent="0.15">
      <c r="B83" s="363"/>
      <c r="E83" s="603">
        <v>15</v>
      </c>
      <c r="F83" s="3" t="str" cm="1">
        <f t="array" aca="1" ref="F83" ca="1">OFFSET(E83,-1,1)</f>
        <v>1</v>
      </c>
      <c r="G83" s="71" t="s">
        <v>544</v>
      </c>
      <c r="K83" s="824" t="str">
        <f ca="1">F58&amp;"6komm"</f>
        <v>16komm</v>
      </c>
      <c r="L83" s="828" t="str" cm="1">
        <f t="array" ref="L83">BC83</f>
        <v>учтено на 2026 год по расчету регулятора  по факту 2024 года в доле на водоснабжение 0,94, объемы учтены на основании представленных счет фактур: тепло 2436,85 Гкал, горячая вода - 295,85 м3, тарифы на 2024 год учтены в соответствии с постановлениями РЭК Кузбасса для ООО "ТеплоРесурс" от 19.12.2024 № 721, от 24.07.2025 №216 без НДС: на 9 мес. на уровне установленного постановлением тарифа на 2 пол 2025 года, на 3 мес. 2026 года учтено на уровне 9 мес. 2026 с ИПЦ МИнэкономразвития России на 2026 год 105,1%: тепло 1 пол 2026 - 4292,87 руб/Гкал, 2 пол - 4511,806 руб/Гкал, на горячую воду с неизолированными стояками без полотенцесушителей на 1 полугодие - 318,33 руб./м3., 2 полугодие 334,57 руб./м3, на 1 полугодие для горячей воды   с неизолированными стояками+полотенцесущитель, тариф применен в размере 338,77 руб./м3</v>
      </c>
      <c r="T83" s="388" t="b" cm="1">
        <f t="array" aca="1" ref="T83" ca="1">T82</f>
        <v>1</v>
      </c>
      <c r="X83" s="1988"/>
      <c r="Z83" s="2090"/>
      <c r="AB83" s="130">
        <v>6</v>
      </c>
      <c r="AC83" s="131" t="s">
        <v>1092</v>
      </c>
      <c r="AD83" s="130" t="s">
        <v>831</v>
      </c>
      <c r="AE83" s="144">
        <v>9405.52</v>
      </c>
      <c r="AF83" s="144">
        <v>9055.64</v>
      </c>
      <c r="AG83" s="144">
        <v>7743.85</v>
      </c>
      <c r="AH83" s="144">
        <v>9866.39048</v>
      </c>
      <c r="AI83" s="144">
        <v>10993.86</v>
      </c>
      <c r="AJ83" s="1406">
        <v>11475.68</v>
      </c>
      <c r="AK83" s="1406">
        <v>11934.71</v>
      </c>
      <c r="AL83" s="1406">
        <v>12412.1</v>
      </c>
      <c r="AM83" s="1406">
        <v>12908.58</v>
      </c>
      <c r="AN83" s="1406">
        <v>13424.93</v>
      </c>
      <c r="AO83" s="1406">
        <v>13961.92</v>
      </c>
      <c r="AP83" s="144"/>
      <c r="AQ83" s="144"/>
      <c r="AR83" s="144"/>
      <c r="AS83" s="144">
        <v>10012.23</v>
      </c>
      <c r="AT83" s="1406">
        <v>10467.253660232</v>
      </c>
      <c r="AU83" s="1406">
        <v>10781.271270039</v>
      </c>
      <c r="AV83" s="1406">
        <v>11104.709408140099</v>
      </c>
      <c r="AW83" s="1406">
        <v>11437.850690384301</v>
      </c>
      <c r="AX83" s="1406">
        <v>11780.9862110959</v>
      </c>
      <c r="AY83" s="1406">
        <v>12134.415797428701</v>
      </c>
      <c r="AZ83" s="144"/>
      <c r="BA83" s="144"/>
      <c r="BB83" s="144"/>
      <c r="BC83" s="119" t="s">
        <v>1100</v>
      </c>
      <c r="BF83" s="953" t="s">
        <v>1093</v>
      </c>
      <c r="BG83" s="953"/>
      <c r="BH83" s="953"/>
      <c r="BI83" s="603"/>
      <c r="BJ83" s="603"/>
    </row>
    <row r="84" spans="1:62" s="72" customFormat="1" ht="14.25" customHeight="1" x14ac:dyDescent="0.15">
      <c r="B84" s="363"/>
      <c r="E84" s="603">
        <v>15</v>
      </c>
      <c r="F84" s="3" t="str" cm="1">
        <f t="array" aca="1" ref="F84" ca="1">OFFSET(E84,-1,1)</f>
        <v>1</v>
      </c>
      <c r="G84" s="71" t="s">
        <v>547</v>
      </c>
      <c r="K84" s="824" t="str">
        <f ca="1">F58&amp;"7komm"</f>
        <v>17komm</v>
      </c>
      <c r="L84" s="828" cm="1">
        <f t="array" ref="L84">BC84</f>
        <v>0</v>
      </c>
      <c r="T84" s="388" t="b" cm="1">
        <f t="array" aca="1" ref="T84" ca="1">T83</f>
        <v>1</v>
      </c>
      <c r="X84" s="1988"/>
      <c r="Z84" s="2090"/>
      <c r="AB84" s="130">
        <v>7</v>
      </c>
      <c r="AC84" s="131" t="s">
        <v>1094</v>
      </c>
      <c r="AD84" s="130" t="s">
        <v>831</v>
      </c>
      <c r="AE84" s="144"/>
      <c r="AF84" s="144"/>
      <c r="AG84" s="144"/>
      <c r="AH84" s="144"/>
      <c r="AI84" s="144"/>
      <c r="AJ84" s="1406"/>
      <c r="AK84" s="1406"/>
      <c r="AL84" s="1406"/>
      <c r="AM84" s="1406"/>
      <c r="AN84" s="1406"/>
      <c r="AO84" s="1406"/>
      <c r="AP84" s="144"/>
      <c r="AQ84" s="144"/>
      <c r="AR84" s="144"/>
      <c r="AS84" s="144"/>
      <c r="AT84" s="1406"/>
      <c r="AU84" s="1406"/>
      <c r="AV84" s="1406"/>
      <c r="AW84" s="1406"/>
      <c r="AX84" s="1406"/>
      <c r="AY84" s="1406"/>
      <c r="AZ84" s="144"/>
      <c r="BA84" s="144"/>
      <c r="BB84" s="144"/>
      <c r="BC84" s="119"/>
      <c r="BF84" s="953" t="s">
        <v>1095</v>
      </c>
      <c r="BG84" s="953"/>
      <c r="BH84" s="953"/>
      <c r="BI84" s="603"/>
      <c r="BJ84" s="603"/>
    </row>
    <row r="85" spans="1:62" s="72" customFormat="1" ht="14.65" customHeight="1" x14ac:dyDescent="0.15">
      <c r="B85" s="363"/>
      <c r="E85" s="603">
        <v>15</v>
      </c>
      <c r="F85" s="3" t="str" cm="1">
        <f t="array" aca="1" ref="F85" ca="1">OFFSET(E85,-1,1)</f>
        <v>1</v>
      </c>
      <c r="G85" s="71" t="s">
        <v>591</v>
      </c>
      <c r="K85" s="824" t="str">
        <f ca="1">F58&amp;"8komm"</f>
        <v>18komm</v>
      </c>
      <c r="L85" s="828" cm="1">
        <f t="array" ref="L85">BC85</f>
        <v>0</v>
      </c>
      <c r="T85" s="388" t="b" cm="1">
        <f t="array" aca="1" ref="T85" ca="1">T84</f>
        <v>1</v>
      </c>
      <c r="X85" s="1988"/>
      <c r="Z85" s="2090"/>
      <c r="AB85" s="130">
        <v>8</v>
      </c>
      <c r="AC85" s="131" t="s">
        <v>1096</v>
      </c>
      <c r="AD85" s="130" t="s">
        <v>831</v>
      </c>
      <c r="AE85" s="144"/>
      <c r="AF85" s="144"/>
      <c r="AG85" s="144"/>
      <c r="AH85" s="144"/>
      <c r="AI85" s="144"/>
      <c r="AJ85" s="1406">
        <v>102.24</v>
      </c>
      <c r="AK85" s="1406">
        <v>106.32</v>
      </c>
      <c r="AL85" s="1406">
        <v>110.58</v>
      </c>
      <c r="AM85" s="1406">
        <v>115</v>
      </c>
      <c r="AN85" s="1406">
        <v>119.6</v>
      </c>
      <c r="AO85" s="1406">
        <v>124.39</v>
      </c>
      <c r="AP85" s="144"/>
      <c r="AQ85" s="144"/>
      <c r="AR85" s="144"/>
      <c r="AS85" s="144"/>
      <c r="AT85" s="1406"/>
      <c r="AU85" s="1406"/>
      <c r="AV85" s="1406"/>
      <c r="AW85" s="1406"/>
      <c r="AX85" s="1406"/>
      <c r="AY85" s="1406"/>
      <c r="AZ85" s="144"/>
      <c r="BA85" s="144"/>
      <c r="BB85" s="144"/>
      <c r="BC85" s="119"/>
      <c r="BF85" s="953" t="s">
        <v>1097</v>
      </c>
      <c r="BG85" s="953"/>
      <c r="BH85" s="953"/>
      <c r="BI85" s="603"/>
      <c r="BJ85" s="603"/>
    </row>
    <row r="86" spans="1:62" s="72" customFormat="1" ht="14.25" customHeight="1" x14ac:dyDescent="0.15">
      <c r="B86" s="363"/>
      <c r="E86" s="603">
        <v>15</v>
      </c>
      <c r="F86" s="3" t="str" cm="1">
        <f t="array" aca="1" ref="F86" ca="1">OFFSET(E86,-1,1)</f>
        <v>1</v>
      </c>
      <c r="G86" s="71"/>
      <c r="K86" s="824" t="str">
        <f ca="1">F58&amp;"9komm"</f>
        <v>19komm</v>
      </c>
      <c r="L86" s="828" cm="1">
        <f t="array" ref="L86">BC86</f>
        <v>0</v>
      </c>
      <c r="T86" s="388" t="b" cm="1">
        <f t="array" aca="1" ref="T86" ca="1">T85</f>
        <v>1</v>
      </c>
      <c r="X86" s="1988"/>
      <c r="Z86" s="2090"/>
      <c r="AB86" s="130">
        <v>9</v>
      </c>
      <c r="AC86" s="131" t="s">
        <v>1098</v>
      </c>
      <c r="AD86" s="130" t="s">
        <v>831</v>
      </c>
      <c r="AE86" s="144"/>
      <c r="AF86" s="144"/>
      <c r="AG86" s="144"/>
      <c r="AH86" s="144"/>
      <c r="AI86" s="144"/>
      <c r="AJ86" s="1406"/>
      <c r="AK86" s="1406"/>
      <c r="AL86" s="1406"/>
      <c r="AM86" s="1406"/>
      <c r="AN86" s="1406"/>
      <c r="AO86" s="1406"/>
      <c r="AP86" s="144"/>
      <c r="AQ86" s="144"/>
      <c r="AR86" s="144"/>
      <c r="AS86" s="144"/>
      <c r="AT86" s="1406"/>
      <c r="AU86" s="1406"/>
      <c r="AV86" s="1406"/>
      <c r="AW86" s="1406"/>
      <c r="AX86" s="1406"/>
      <c r="AY86" s="1406"/>
      <c r="AZ86" s="144"/>
      <c r="BA86" s="144"/>
      <c r="BB86" s="144"/>
      <c r="BC86" s="119"/>
      <c r="BF86" s="953" t="s">
        <v>1099</v>
      </c>
      <c r="BG86" s="953"/>
      <c r="BH86" s="953"/>
      <c r="BI86" s="603"/>
      <c r="BJ86" s="603"/>
    </row>
    <row r="87" spans="1:62" s="1334" customFormat="1" ht="14.25" customHeight="1" x14ac:dyDescent="0.15">
      <c r="A87" s="802"/>
      <c r="B87" s="362"/>
      <c r="C87" s="802"/>
      <c r="D87" s="802"/>
      <c r="E87" s="602">
        <v>15</v>
      </c>
      <c r="F87" s="17" t="str" cm="1">
        <f t="array" ref="F87">X87</f>
        <v>2</v>
      </c>
      <c r="G87" s="802"/>
      <c r="H87" s="802"/>
      <c r="I87" s="802" t="s">
        <v>1059</v>
      </c>
      <c r="J87" s="802"/>
      <c r="K87" s="824"/>
      <c r="L87" s="802"/>
      <c r="M87" s="802"/>
      <c r="N87" s="802"/>
      <c r="O87" s="802"/>
      <c r="P87" s="802"/>
      <c r="Q87" s="802"/>
      <c r="R87" s="802"/>
      <c r="S87" s="802"/>
      <c r="T87" s="388" t="b">
        <f>X87&gt;0</f>
        <v>1</v>
      </c>
      <c r="U87" s="802"/>
      <c r="V87" s="71" t="str" cm="1">
        <f t="array" ref="V87">Аренда!$AB$47</f>
        <v>Тариф 2 (Водоотведение) - тариф на водоотведение</v>
      </c>
      <c r="W87" s="802"/>
      <c r="X87" s="1988" t="s">
        <v>289</v>
      </c>
      <c r="Y87" s="604"/>
      <c r="Z87" s="2090"/>
      <c r="AA87" s="802"/>
      <c r="AB87" s="141" t="str" cm="1">
        <f t="array" ref="AB87">Аренда!$AB$47</f>
        <v>Тариф 2 (Водоотведение) - тариф на водоотведение</v>
      </c>
      <c r="AC87" s="99"/>
      <c r="AD87" s="99"/>
      <c r="AE87" s="223">
        <f t="shared" ref="AE87:BB87" si="13">AE93+AE98+AE103+AE108+AE88+AE113+AE114+AE115+AE116</f>
        <v>826.16</v>
      </c>
      <c r="AF87" s="223">
        <f t="shared" si="13"/>
        <v>629.13</v>
      </c>
      <c r="AG87" s="223">
        <f t="shared" si="13"/>
        <v>538.28</v>
      </c>
      <c r="AH87" s="223">
        <f t="shared" si="13"/>
        <v>866.64184</v>
      </c>
      <c r="AI87" s="223">
        <f t="shared" si="13"/>
        <v>1600.65</v>
      </c>
      <c r="AJ87" s="223">
        <f t="shared" si="13"/>
        <v>0</v>
      </c>
      <c r="AK87" s="223">
        <f t="shared" si="13"/>
        <v>0</v>
      </c>
      <c r="AL87" s="223">
        <f t="shared" si="13"/>
        <v>0</v>
      </c>
      <c r="AM87" s="223">
        <f t="shared" si="13"/>
        <v>0</v>
      </c>
      <c r="AN87" s="223">
        <f t="shared" si="13"/>
        <v>0</v>
      </c>
      <c r="AO87" s="223">
        <f t="shared" si="13"/>
        <v>0</v>
      </c>
      <c r="AP87" s="223">
        <f t="shared" si="13"/>
        <v>0</v>
      </c>
      <c r="AQ87" s="223">
        <f t="shared" si="13"/>
        <v>0</v>
      </c>
      <c r="AR87" s="223">
        <f t="shared" si="13"/>
        <v>0</v>
      </c>
      <c r="AS87" s="223">
        <f t="shared" si="13"/>
        <v>695.96</v>
      </c>
      <c r="AT87" s="223">
        <f t="shared" si="13"/>
        <v>0</v>
      </c>
      <c r="AU87" s="223">
        <f t="shared" si="13"/>
        <v>0</v>
      </c>
      <c r="AV87" s="223">
        <f t="shared" si="13"/>
        <v>0</v>
      </c>
      <c r="AW87" s="223">
        <f t="shared" si="13"/>
        <v>0</v>
      </c>
      <c r="AX87" s="223">
        <f t="shared" si="13"/>
        <v>0</v>
      </c>
      <c r="AY87" s="223">
        <f t="shared" si="13"/>
        <v>0</v>
      </c>
      <c r="AZ87" s="223">
        <f t="shared" si="13"/>
        <v>0</v>
      </c>
      <c r="BA87" s="223">
        <f t="shared" si="13"/>
        <v>0</v>
      </c>
      <c r="BB87" s="223">
        <f t="shared" si="13"/>
        <v>0</v>
      </c>
      <c r="BC87" s="143"/>
      <c r="BD87" s="802"/>
      <c r="BE87" s="802"/>
      <c r="BF87" s="950"/>
      <c r="BG87" s="950"/>
      <c r="BH87" s="950"/>
      <c r="BI87" s="602"/>
      <c r="BJ87" s="602"/>
    </row>
    <row r="88" spans="1:62" s="1334" customFormat="1" ht="14.25" customHeight="1" x14ac:dyDescent="0.15">
      <c r="A88" s="802"/>
      <c r="B88" s="362"/>
      <c r="C88" s="802"/>
      <c r="D88" s="802"/>
      <c r="E88" s="602">
        <v>15</v>
      </c>
      <c r="F88" s="3" t="str" cm="1">
        <f t="array" aca="1" ref="F88" ca="1">OFFSET(E88,-1,1)</f>
        <v>2</v>
      </c>
      <c r="G88" s="71" t="s">
        <v>331</v>
      </c>
      <c r="H88" s="802"/>
      <c r="I88" s="802"/>
      <c r="J88" s="802"/>
      <c r="K88" s="824" t="str">
        <f ca="1">F88&amp;"1komm"</f>
        <v>21komm</v>
      </c>
      <c r="L88" s="828" cm="1">
        <f t="array" ref="L88">BC88</f>
        <v>0</v>
      </c>
      <c r="M88" s="802"/>
      <c r="N88" s="802"/>
      <c r="O88" s="802"/>
      <c r="P88" s="802"/>
      <c r="Q88" s="802"/>
      <c r="R88" s="802"/>
      <c r="S88" s="802"/>
      <c r="T88" s="388" t="b" cm="1">
        <f t="array" ref="T88">T87</f>
        <v>1</v>
      </c>
      <c r="U88" s="802"/>
      <c r="V88" s="802"/>
      <c r="W88" s="802"/>
      <c r="X88" s="1988"/>
      <c r="Y88" s="802"/>
      <c r="Z88" s="2090"/>
      <c r="AA88" s="802"/>
      <c r="AB88" s="130">
        <v>1</v>
      </c>
      <c r="AC88" s="131" t="s">
        <v>1060</v>
      </c>
      <c r="AD88" s="130" t="s">
        <v>831</v>
      </c>
      <c r="AE88" s="132">
        <f>SUMIF(AD90:AD92,AD88,AE90:AE92)</f>
        <v>0</v>
      </c>
      <c r="AF88" s="132">
        <f>SUMIF(AD90:AD92,AD88,AF90:AF92)</f>
        <v>0</v>
      </c>
      <c r="AG88" s="132">
        <f>SUMIF(AD90:AD92,AD88,AG90:AG92)</f>
        <v>0</v>
      </c>
      <c r="AH88" s="132">
        <f>SUMIF(AD90:AD92,AD88,AH90:AH92)</f>
        <v>0</v>
      </c>
      <c r="AI88" s="132">
        <f>SUMIF(AD90:AD92,AD88,AI90:AI92)</f>
        <v>0</v>
      </c>
      <c r="AJ88" s="1325">
        <f>SUMIF(AD90:AD92,AD88,AJ90:AJ92)</f>
        <v>0</v>
      </c>
      <c r="AK88" s="1325">
        <f>SUMIF(AD90:AD92,AD88,AK90:AK92)</f>
        <v>0</v>
      </c>
      <c r="AL88" s="1325">
        <f>SUMIF(AD90:AD92,AD88,AL90:AL92)</f>
        <v>0</v>
      </c>
      <c r="AM88" s="1325">
        <f>SUMIF(AD90:AD92,AD88,AM90:AM92)</f>
        <v>0</v>
      </c>
      <c r="AN88" s="1325">
        <f>SUMIF(AD90:AD92,AD88,AN90:AN92)</f>
        <v>0</v>
      </c>
      <c r="AO88" s="1325">
        <f>SUMIF(AD90:AD92,AD88,AO90:AO92)</f>
        <v>0</v>
      </c>
      <c r="AP88" s="1325">
        <f>SUMIF(AD90:AD92,AD88,AP90:AP92)</f>
        <v>0</v>
      </c>
      <c r="AQ88" s="1325">
        <f>SUMIF(AD90:AD92,AD88,AQ90:AQ92)</f>
        <v>0</v>
      </c>
      <c r="AR88" s="1325">
        <f>SUMIF(AD90:AD92,AD88,AR90:AR92)</f>
        <v>0</v>
      </c>
      <c r="AS88" s="132">
        <f>SUMIF(AD90:AD92,AD88,AS90:AS92)</f>
        <v>0</v>
      </c>
      <c r="AT88" s="1325">
        <f>SUMIF(AD90:AD92,AD88,AT90:AT92)</f>
        <v>0</v>
      </c>
      <c r="AU88" s="1325">
        <f>SUMIF(AD90:AD92,AD88,AU90:AU92)</f>
        <v>0</v>
      </c>
      <c r="AV88" s="1325">
        <f>SUMIF(AD90:AD92,AD88,AV90:AV92)</f>
        <v>0</v>
      </c>
      <c r="AW88" s="1325">
        <f>SUMIF(AD90:AD92,AD88,AW90:AW92)</f>
        <v>0</v>
      </c>
      <c r="AX88" s="1325">
        <f>SUMIF(AD90:AD92,AD88,AX90:AX92)</f>
        <v>0</v>
      </c>
      <c r="AY88" s="1325">
        <f>SUMIF(AD90:AD92,AD88,AY90:AY92)</f>
        <v>0</v>
      </c>
      <c r="AZ88" s="1325">
        <f>SUMIF(AD90:AD92,AD88,AZ90:AZ92)</f>
        <v>0</v>
      </c>
      <c r="BA88" s="1325">
        <f>SUMIF(AD90:AD92,AD88,BA90:BA92)</f>
        <v>0</v>
      </c>
      <c r="BB88" s="1325">
        <f>SUMIF(AD90:AD92,AD88,BB90:BB92)</f>
        <v>0</v>
      </c>
      <c r="BC88" s="119"/>
      <c r="BD88" s="802"/>
      <c r="BE88" s="802"/>
      <c r="BF88" s="950" t="s">
        <v>1061</v>
      </c>
      <c r="BG88" s="950"/>
      <c r="BH88" s="950"/>
      <c r="BI88" s="602"/>
      <c r="BJ88" s="602"/>
    </row>
    <row r="89" spans="1:62" s="1334" customFormat="1" ht="15" hidden="1" customHeight="1" x14ac:dyDescent="0.15">
      <c r="A89" s="802"/>
      <c r="B89" s="362"/>
      <c r="C89" s="802"/>
      <c r="D89" s="802"/>
      <c r="E89" s="602">
        <v>0</v>
      </c>
      <c r="F89" s="3" t="str" cm="1">
        <f t="array" aca="1" ref="F89" ca="1">OFFSET(E89,-1,1)</f>
        <v>2</v>
      </c>
      <c r="G89" s="802"/>
      <c r="H89" s="802"/>
      <c r="I89" s="802"/>
      <c r="J89" s="802"/>
      <c r="K89" s="824"/>
      <c r="L89" s="828"/>
      <c r="M89" s="802"/>
      <c r="N89" s="802"/>
      <c r="O89" s="802"/>
      <c r="P89" s="802"/>
      <c r="Q89" s="802"/>
      <c r="R89" s="802"/>
      <c r="S89" s="802"/>
      <c r="T89" s="388" t="b">
        <v>0</v>
      </c>
      <c r="U89" s="802"/>
      <c r="V89" s="802"/>
      <c r="W89" s="71" t="s">
        <v>172</v>
      </c>
      <c r="X89" s="1988"/>
      <c r="Y89" s="1988">
        <v>0</v>
      </c>
      <c r="Z89" s="2090"/>
      <c r="AA89" s="2091" t="s">
        <v>173</v>
      </c>
      <c r="AB89" s="130"/>
      <c r="AC89" s="131"/>
      <c r="AD89" s="130"/>
      <c r="AE89" s="135" t="b">
        <f t="shared" ref="AE89:BB89" si="14">OR(AND(AE90&lt;&gt;"",AE91=""),AND(AE90="",AE91&lt;&gt;""))</f>
        <v>0</v>
      </c>
      <c r="AF89" s="135" t="b">
        <f t="shared" si="14"/>
        <v>0</v>
      </c>
      <c r="AG89" s="135" t="b">
        <f t="shared" si="14"/>
        <v>0</v>
      </c>
      <c r="AH89" s="135" t="b">
        <f t="shared" si="14"/>
        <v>0</v>
      </c>
      <c r="AI89" s="135" t="b">
        <f t="shared" si="14"/>
        <v>0</v>
      </c>
      <c r="AJ89" s="135" t="b">
        <f t="shared" si="14"/>
        <v>0</v>
      </c>
      <c r="AK89" s="135" t="b">
        <f t="shared" si="14"/>
        <v>0</v>
      </c>
      <c r="AL89" s="135" t="b">
        <f t="shared" si="14"/>
        <v>0</v>
      </c>
      <c r="AM89" s="135" t="b">
        <f t="shared" si="14"/>
        <v>0</v>
      </c>
      <c r="AN89" s="135" t="b">
        <f t="shared" si="14"/>
        <v>0</v>
      </c>
      <c r="AO89" s="135" t="b">
        <f t="shared" si="14"/>
        <v>0</v>
      </c>
      <c r="AP89" s="135" t="b">
        <f t="shared" si="14"/>
        <v>0</v>
      </c>
      <c r="AQ89" s="135" t="b">
        <f t="shared" si="14"/>
        <v>0</v>
      </c>
      <c r="AR89" s="135" t="b">
        <f t="shared" si="14"/>
        <v>0</v>
      </c>
      <c r="AS89" s="135" t="b">
        <f t="shared" si="14"/>
        <v>0</v>
      </c>
      <c r="AT89" s="135" t="b">
        <f t="shared" si="14"/>
        <v>0</v>
      </c>
      <c r="AU89" s="135" t="b">
        <f t="shared" si="14"/>
        <v>0</v>
      </c>
      <c r="AV89" s="135" t="b">
        <f t="shared" si="14"/>
        <v>0</v>
      </c>
      <c r="AW89" s="135" t="b">
        <f t="shared" si="14"/>
        <v>0</v>
      </c>
      <c r="AX89" s="135" t="b">
        <f t="shared" si="14"/>
        <v>0</v>
      </c>
      <c r="AY89" s="135" t="b">
        <f t="shared" si="14"/>
        <v>0</v>
      </c>
      <c r="AZ89" s="135" t="b">
        <f t="shared" si="14"/>
        <v>0</v>
      </c>
      <c r="BA89" s="135" t="b">
        <f t="shared" si="14"/>
        <v>0</v>
      </c>
      <c r="BB89" s="135" t="b">
        <f t="shared" si="14"/>
        <v>0</v>
      </c>
      <c r="BC89" s="883"/>
      <c r="BD89" s="802"/>
      <c r="BE89" s="802"/>
      <c r="BF89" s="950"/>
      <c r="BG89" s="950"/>
      <c r="BH89" s="950"/>
      <c r="BI89" s="602"/>
      <c r="BJ89" s="602"/>
    </row>
    <row r="90" spans="1:62" s="1334" customFormat="1" ht="14.25" hidden="1" customHeight="1" x14ac:dyDescent="0.15">
      <c r="A90" s="802"/>
      <c r="B90" s="362"/>
      <c r="C90" s="802"/>
      <c r="D90" s="802"/>
      <c r="E90" s="602">
        <v>15</v>
      </c>
      <c r="F90" s="3" t="str" cm="1">
        <f t="array" aca="1" ref="F90" ca="1">OFFSET(E90,-1,1)</f>
        <v>2</v>
      </c>
      <c r="G90" s="71" t="s">
        <v>331</v>
      </c>
      <c r="H90" s="74" cm="1">
        <f t="array" ref="H90">AC90</f>
        <v>0</v>
      </c>
      <c r="I90" s="71" t="s">
        <v>1062</v>
      </c>
      <c r="J90" s="802"/>
      <c r="K90" s="824"/>
      <c r="L90" s="802"/>
      <c r="M90" s="802"/>
      <c r="N90" s="802"/>
      <c r="O90" s="802"/>
      <c r="P90" s="802"/>
      <c r="Q90" s="802"/>
      <c r="R90" s="802"/>
      <c r="S90" s="802"/>
      <c r="T90" s="388" t="b">
        <f ca="1">AND(F90&gt;0,Y89&gt;0)</f>
        <v>0</v>
      </c>
      <c r="U90" s="802"/>
      <c r="V90" s="802"/>
      <c r="W90" s="802"/>
      <c r="X90" s="1988"/>
      <c r="Y90" s="1988"/>
      <c r="Z90" s="2090"/>
      <c r="AA90" s="2091"/>
      <c r="AB90" s="7" t="str">
        <f>"1."&amp;Y89</f>
        <v>1.0</v>
      </c>
      <c r="AC90" s="192"/>
      <c r="AD90" s="130" t="s">
        <v>831</v>
      </c>
      <c r="AE90" s="1405"/>
      <c r="AF90" s="1405"/>
      <c r="AG90" s="1405"/>
      <c r="AH90" s="1405"/>
      <c r="AI90" s="1327"/>
      <c r="AJ90" s="1405"/>
      <c r="AK90" s="1405"/>
      <c r="AL90" s="1405"/>
      <c r="AM90" s="1405"/>
      <c r="AN90" s="1405"/>
      <c r="AO90" s="1405"/>
      <c r="AP90" s="1405"/>
      <c r="AQ90" s="1405"/>
      <c r="AR90" s="1405"/>
      <c r="AS90" s="1327"/>
      <c r="AT90" s="1405"/>
      <c r="AU90" s="1405"/>
      <c r="AV90" s="1405"/>
      <c r="AW90" s="1405"/>
      <c r="AX90" s="1405"/>
      <c r="AY90" s="1405"/>
      <c r="AZ90" s="1405"/>
      <c r="BA90" s="1405"/>
      <c r="BB90" s="1405"/>
      <c r="BC90" s="1365"/>
      <c r="BD90" s="802"/>
      <c r="BE90" s="802"/>
      <c r="BF90" s="950" t="s">
        <v>1063</v>
      </c>
      <c r="BG90" s="950" t="s">
        <v>1064</v>
      </c>
      <c r="BH90" s="950" cm="1">
        <f t="array" ref="BH90">AC90</f>
        <v>0</v>
      </c>
      <c r="BI90" s="602"/>
      <c r="BJ90" s="602" t="b">
        <v>1</v>
      </c>
    </row>
    <row r="91" spans="1:62" s="1334" customFormat="1" ht="14.25" hidden="1" customHeight="1" x14ac:dyDescent="0.15">
      <c r="A91" s="802"/>
      <c r="B91" s="362"/>
      <c r="C91" s="802"/>
      <c r="D91" s="802"/>
      <c r="E91" s="602">
        <v>15</v>
      </c>
      <c r="F91" s="3" t="str" cm="1">
        <f t="array" aca="1" ref="F91" ca="1">OFFSET(E91,-1,1)</f>
        <v>2</v>
      </c>
      <c r="G91" s="71" t="s">
        <v>494</v>
      </c>
      <c r="H91" s="74" cm="1">
        <f t="array" ref="H91">H90</f>
        <v>0</v>
      </c>
      <c r="I91" s="71" t="s">
        <v>1062</v>
      </c>
      <c r="J91" s="802"/>
      <c r="K91" s="824"/>
      <c r="L91" s="802"/>
      <c r="M91" s="802"/>
      <c r="N91" s="802"/>
      <c r="O91" s="802"/>
      <c r="P91" s="802"/>
      <c r="Q91" s="802"/>
      <c r="R91" s="802"/>
      <c r="S91" s="802"/>
      <c r="T91" s="388" t="b" cm="1">
        <f t="array" aca="1" ref="T91" ca="1">T90</f>
        <v>0</v>
      </c>
      <c r="U91" s="802"/>
      <c r="V91" s="802"/>
      <c r="W91" s="802"/>
      <c r="X91" s="1988"/>
      <c r="Y91" s="1988"/>
      <c r="Z91" s="2090"/>
      <c r="AA91" s="2091"/>
      <c r="AB91" s="7" t="str">
        <f>AB90&amp;".1"</f>
        <v>1.0.1</v>
      </c>
      <c r="AC91" s="140" t="s">
        <v>1065</v>
      </c>
      <c r="AD91" s="7" t="s">
        <v>563</v>
      </c>
      <c r="AE91" s="1403"/>
      <c r="AF91" s="1403"/>
      <c r="AG91" s="1403"/>
      <c r="AH91" s="1403"/>
      <c r="AI91" s="134"/>
      <c r="AJ91" s="1403"/>
      <c r="AK91" s="1403"/>
      <c r="AL91" s="1403"/>
      <c r="AM91" s="1403"/>
      <c r="AN91" s="1403"/>
      <c r="AO91" s="1403"/>
      <c r="AP91" s="1403"/>
      <c r="AQ91" s="1403"/>
      <c r="AR91" s="1403"/>
      <c r="AS91" s="134"/>
      <c r="AT91" s="1403"/>
      <c r="AU91" s="1403"/>
      <c r="AV91" s="1403"/>
      <c r="AW91" s="1403"/>
      <c r="AX91" s="1403"/>
      <c r="AY91" s="1403"/>
      <c r="AZ91" s="1403"/>
      <c r="BA91" s="1403"/>
      <c r="BB91" s="1403"/>
      <c r="BC91" s="1365"/>
      <c r="BD91" s="802"/>
      <c r="BE91" s="802"/>
      <c r="BF91" s="950" t="s">
        <v>1066</v>
      </c>
      <c r="BG91" s="950" t="s">
        <v>1064</v>
      </c>
      <c r="BH91" s="950" cm="1">
        <f t="array" ref="BH91">BH90</f>
        <v>0</v>
      </c>
      <c r="BI91" s="602"/>
      <c r="BJ91" s="602"/>
    </row>
    <row r="92" spans="1:62" s="1334" customFormat="1" ht="14.25" customHeight="1" x14ac:dyDescent="0.15">
      <c r="A92" s="802"/>
      <c r="B92" s="362"/>
      <c r="C92" s="802"/>
      <c r="D92" s="802"/>
      <c r="E92" s="602">
        <v>15</v>
      </c>
      <c r="F92" s="3" t="str" cm="1">
        <f t="array" aca="1" ref="F92" ca="1">OFFSET(E92,-1,1)</f>
        <v>2</v>
      </c>
      <c r="G92" s="802"/>
      <c r="H92" s="71" t="str">
        <f>"!=='не определено' &amp;&amp; row.l1 !== null"</f>
        <v>!=='не определено' &amp;&amp; row.l1 !== null</v>
      </c>
      <c r="I92" s="802"/>
      <c r="J92" s="802"/>
      <c r="K92" s="824"/>
      <c r="L92" s="802"/>
      <c r="M92" s="802"/>
      <c r="N92" s="802"/>
      <c r="O92" s="802"/>
      <c r="P92" s="802"/>
      <c r="Q92" s="802"/>
      <c r="R92" s="802"/>
      <c r="S92" s="802"/>
      <c r="T92" s="388" t="b">
        <f ca="1">F92&gt;0</f>
        <v>1</v>
      </c>
      <c r="U92" s="802"/>
      <c r="V92" s="802"/>
      <c r="W92" s="609" t="s">
        <v>1067</v>
      </c>
      <c r="X92" s="1988"/>
      <c r="Y92" s="802"/>
      <c r="Z92" s="2090"/>
      <c r="AA92" s="802"/>
      <c r="AB92" s="605"/>
      <c r="AC92" s="151" t="s">
        <v>1068</v>
      </c>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2"/>
      <c r="BD92" s="802"/>
      <c r="BE92" s="802"/>
      <c r="BF92" s="950"/>
      <c r="BG92" s="950"/>
      <c r="BH92" s="950"/>
      <c r="BI92" s="602" t="s">
        <v>1064</v>
      </c>
      <c r="BJ92" s="602"/>
    </row>
    <row r="93" spans="1:62" s="1334" customFormat="1" ht="21.75" customHeight="1" x14ac:dyDescent="0.15">
      <c r="A93" s="802"/>
      <c r="B93" s="362"/>
      <c r="C93" s="802"/>
      <c r="D93" s="802"/>
      <c r="E93" s="602">
        <v>22.5</v>
      </c>
      <c r="F93" s="3" t="str" cm="1">
        <f t="array" aca="1" ref="F93" ca="1">OFFSET(E93,-1,1)</f>
        <v>2</v>
      </c>
      <c r="G93" s="802"/>
      <c r="H93" s="802"/>
      <c r="I93" s="802"/>
      <c r="J93" s="802"/>
      <c r="K93" s="824" t="str">
        <f ca="1">F88&amp;"2komm"</f>
        <v>22komm</v>
      </c>
      <c r="L93" s="828" cm="1">
        <f t="array" ref="L93">BC93</f>
        <v>0</v>
      </c>
      <c r="M93" s="802"/>
      <c r="N93" s="802"/>
      <c r="O93" s="802"/>
      <c r="P93" s="802"/>
      <c r="Q93" s="802"/>
      <c r="R93" s="802"/>
      <c r="S93" s="802"/>
      <c r="T93" s="388" t="b" cm="1">
        <f t="array" aca="1" ref="T93" ca="1">T92</f>
        <v>1</v>
      </c>
      <c r="U93" s="802"/>
      <c r="V93" s="802"/>
      <c r="W93" s="802"/>
      <c r="X93" s="1988"/>
      <c r="Y93" s="608"/>
      <c r="Z93" s="2090"/>
      <c r="AA93" s="802"/>
      <c r="AB93" s="130">
        <v>2</v>
      </c>
      <c r="AC93" s="131" t="s">
        <v>1069</v>
      </c>
      <c r="AD93" s="130" t="s">
        <v>831</v>
      </c>
      <c r="AE93" s="132">
        <f>SUMIF(AD95:AD97,AD93,AE95:AE97)</f>
        <v>0</v>
      </c>
      <c r="AF93" s="132">
        <f>SUMIF(AD95:AD97,AD93,AF95:AF97)</f>
        <v>0</v>
      </c>
      <c r="AG93" s="132">
        <f>SUMIF(AD95:AD97,AD93,AG95:AG97)</f>
        <v>0</v>
      </c>
      <c r="AH93" s="132">
        <f>SUMIF(AD95:AD97,AD93,AH95:AH97)</f>
        <v>0</v>
      </c>
      <c r="AI93" s="132">
        <f>SUMIF(AD95:AD97,AD93,AI95:AI97)</f>
        <v>0</v>
      </c>
      <c r="AJ93" s="1325">
        <f>SUMIF(AD95:AD97,AD93,AJ95:AJ97)</f>
        <v>0</v>
      </c>
      <c r="AK93" s="1325">
        <f>SUMIF(AD95:AD97,AD93,AK95:AK97)</f>
        <v>0</v>
      </c>
      <c r="AL93" s="1325">
        <f>SUMIF(AD95:AD97,AD93,AL95:AL97)</f>
        <v>0</v>
      </c>
      <c r="AM93" s="1325">
        <f>SUMIF(AD95:AD97,AD93,AM95:AM97)</f>
        <v>0</v>
      </c>
      <c r="AN93" s="1325">
        <f>SUMIF(AD95:AD97,AD93,AN95:AN97)</f>
        <v>0</v>
      </c>
      <c r="AO93" s="1325">
        <f>SUMIF(AD95:AD97,AD93,AO95:AO97)</f>
        <v>0</v>
      </c>
      <c r="AP93" s="1325">
        <f>SUMIF(AD95:AD97,AD93,AP95:AP97)</f>
        <v>0</v>
      </c>
      <c r="AQ93" s="1325">
        <f>SUMIF(AD95:AD97,AD93,AQ95:AQ97)</f>
        <v>0</v>
      </c>
      <c r="AR93" s="1325">
        <f>SUMIF(AD95:AD97,AD93,AR95:AR97)</f>
        <v>0</v>
      </c>
      <c r="AS93" s="132">
        <f>SUMIF(AD95:AD97,AD93,AS95:AS97)</f>
        <v>0</v>
      </c>
      <c r="AT93" s="1325">
        <f>SUMIF(AD95:AD97,AD93,AT95:AT97)</f>
        <v>0</v>
      </c>
      <c r="AU93" s="1325">
        <f>SUMIF(AD95:AD97,AD93,AU95:AU97)</f>
        <v>0</v>
      </c>
      <c r="AV93" s="1325">
        <f>SUMIF(AD95:AD97,AD93,AV95:AV97)</f>
        <v>0</v>
      </c>
      <c r="AW93" s="1325">
        <f>SUMIF(AD95:AD97,AD93,AW95:AW97)</f>
        <v>0</v>
      </c>
      <c r="AX93" s="1325">
        <f>SUMIF(AD95:AD97,AD93,AX95:AX97)</f>
        <v>0</v>
      </c>
      <c r="AY93" s="1325">
        <f>SUMIF(AD95:AD97,AD93,AY95:AY97)</f>
        <v>0</v>
      </c>
      <c r="AZ93" s="1325">
        <f>SUMIF(AD95:AD97,AD93,AZ95:AZ97)</f>
        <v>0</v>
      </c>
      <c r="BA93" s="1325">
        <f>SUMIF(AD95:AD97,AD93,BA95:BA97)</f>
        <v>0</v>
      </c>
      <c r="BB93" s="1325">
        <f>SUMIF(AD95:AD97,AD93,BB95:BB97)</f>
        <v>0</v>
      </c>
      <c r="BC93" s="119"/>
      <c r="BD93" s="802"/>
      <c r="BE93" s="802"/>
      <c r="BF93" s="950" t="s">
        <v>1070</v>
      </c>
      <c r="BG93" s="950"/>
      <c r="BH93" s="950"/>
      <c r="BI93" s="602"/>
      <c r="BJ93" s="602"/>
    </row>
    <row r="94" spans="1:62" s="1334" customFormat="1" ht="15" hidden="1" customHeight="1" x14ac:dyDescent="0.15">
      <c r="A94" s="802"/>
      <c r="B94" s="362"/>
      <c r="C94" s="802"/>
      <c r="D94" s="802"/>
      <c r="E94" s="602">
        <v>0</v>
      </c>
      <c r="F94" s="3" t="str" cm="1">
        <f t="array" aca="1" ref="F94" ca="1">OFFSET(E94,-1,1)</f>
        <v>2</v>
      </c>
      <c r="G94" s="71" t="s">
        <v>332</v>
      </c>
      <c r="H94" s="802"/>
      <c r="I94" s="802"/>
      <c r="J94" s="802"/>
      <c r="K94" s="824"/>
      <c r="L94" s="828"/>
      <c r="M94" s="802"/>
      <c r="N94" s="802"/>
      <c r="O94" s="802"/>
      <c r="P94" s="802"/>
      <c r="Q94" s="802"/>
      <c r="R94" s="802"/>
      <c r="S94" s="802"/>
      <c r="T94" s="388" t="b">
        <v>0</v>
      </c>
      <c r="U94" s="802"/>
      <c r="V94" s="802"/>
      <c r="W94" s="71" t="s">
        <v>172</v>
      </c>
      <c r="X94" s="1988"/>
      <c r="Y94" s="1988">
        <v>0</v>
      </c>
      <c r="Z94" s="2090"/>
      <c r="AA94" s="2092" t="s">
        <v>173</v>
      </c>
      <c r="AB94" s="130"/>
      <c r="AC94" s="131"/>
      <c r="AD94" s="130"/>
      <c r="AE94" s="1328" t="b">
        <f t="shared" ref="AE94:BB94" si="15">OR(AND(AE95&lt;&gt;"",AE96=""),AND(AE95="",AE96&lt;&gt;""))</f>
        <v>0</v>
      </c>
      <c r="AF94" s="1328" t="b">
        <f t="shared" si="15"/>
        <v>0</v>
      </c>
      <c r="AG94" s="1328" t="b">
        <f t="shared" si="15"/>
        <v>0</v>
      </c>
      <c r="AH94" s="1328" t="b">
        <f t="shared" si="15"/>
        <v>0</v>
      </c>
      <c r="AI94" s="1328" t="b">
        <f t="shared" si="15"/>
        <v>0</v>
      </c>
      <c r="AJ94" s="1328" t="b">
        <f t="shared" si="15"/>
        <v>0</v>
      </c>
      <c r="AK94" s="1328" t="b">
        <f t="shared" si="15"/>
        <v>0</v>
      </c>
      <c r="AL94" s="1328" t="b">
        <f t="shared" si="15"/>
        <v>0</v>
      </c>
      <c r="AM94" s="1328" t="b">
        <f t="shared" si="15"/>
        <v>0</v>
      </c>
      <c r="AN94" s="1328" t="b">
        <f t="shared" si="15"/>
        <v>0</v>
      </c>
      <c r="AO94" s="1328" t="b">
        <f t="shared" si="15"/>
        <v>0</v>
      </c>
      <c r="AP94" s="1328" t="b">
        <f t="shared" si="15"/>
        <v>0</v>
      </c>
      <c r="AQ94" s="1328" t="b">
        <f t="shared" si="15"/>
        <v>0</v>
      </c>
      <c r="AR94" s="1328" t="b">
        <f t="shared" si="15"/>
        <v>0</v>
      </c>
      <c r="AS94" s="1328" t="b">
        <f t="shared" si="15"/>
        <v>0</v>
      </c>
      <c r="AT94" s="1328" t="b">
        <f t="shared" si="15"/>
        <v>0</v>
      </c>
      <c r="AU94" s="1328" t="b">
        <f t="shared" si="15"/>
        <v>0</v>
      </c>
      <c r="AV94" s="1328" t="b">
        <f t="shared" si="15"/>
        <v>0</v>
      </c>
      <c r="AW94" s="1328" t="b">
        <f t="shared" si="15"/>
        <v>0</v>
      </c>
      <c r="AX94" s="1328" t="b">
        <f t="shared" si="15"/>
        <v>0</v>
      </c>
      <c r="AY94" s="1328" t="b">
        <f t="shared" si="15"/>
        <v>0</v>
      </c>
      <c r="AZ94" s="1328" t="b">
        <f t="shared" si="15"/>
        <v>0</v>
      </c>
      <c r="BA94" s="1328" t="b">
        <f t="shared" si="15"/>
        <v>0</v>
      </c>
      <c r="BB94" s="1328" t="b">
        <f t="shared" si="15"/>
        <v>0</v>
      </c>
      <c r="BC94" s="883"/>
      <c r="BD94" s="802"/>
      <c r="BE94" s="802"/>
      <c r="BF94" s="950"/>
      <c r="BG94" s="950"/>
      <c r="BH94" s="950"/>
      <c r="BI94" s="602"/>
      <c r="BJ94" s="602"/>
    </row>
    <row r="95" spans="1:62" s="1334" customFormat="1" ht="14.25" hidden="1" customHeight="1" x14ac:dyDescent="0.15">
      <c r="A95" s="802"/>
      <c r="B95" s="362"/>
      <c r="C95" s="802"/>
      <c r="D95" s="802"/>
      <c r="E95" s="602">
        <v>15</v>
      </c>
      <c r="F95" s="3" t="str" cm="1">
        <f t="array" aca="1" ref="F95" ca="1">OFFSET(E95,-1,1)</f>
        <v>2</v>
      </c>
      <c r="G95" s="71" t="s">
        <v>332</v>
      </c>
      <c r="H95" s="74" cm="1">
        <f t="array" ref="H95">AC95</f>
        <v>0</v>
      </c>
      <c r="I95" s="71" t="s">
        <v>1071</v>
      </c>
      <c r="J95" s="802"/>
      <c r="K95" s="824"/>
      <c r="L95" s="802"/>
      <c r="M95" s="802"/>
      <c r="N95" s="802"/>
      <c r="O95" s="802"/>
      <c r="P95" s="802"/>
      <c r="Q95" s="802"/>
      <c r="R95" s="802"/>
      <c r="S95" s="802"/>
      <c r="T95" s="388" t="b">
        <f ca="1">AND(F95&gt;0,Y94&gt;0)</f>
        <v>0</v>
      </c>
      <c r="U95" s="802"/>
      <c r="V95" s="802"/>
      <c r="W95" s="802"/>
      <c r="X95" s="1988"/>
      <c r="Y95" s="1988"/>
      <c r="Z95" s="2090"/>
      <c r="AA95" s="2092"/>
      <c r="AB95" s="7" t="str">
        <f>"2."&amp;Y94</f>
        <v>2.0</v>
      </c>
      <c r="AC95" s="192"/>
      <c r="AD95" s="130" t="s">
        <v>831</v>
      </c>
      <c r="AE95" s="1403"/>
      <c r="AF95" s="1403"/>
      <c r="AG95" s="1403"/>
      <c r="AH95" s="1403"/>
      <c r="AI95" s="134"/>
      <c r="AJ95" s="1403"/>
      <c r="AK95" s="1403"/>
      <c r="AL95" s="1403"/>
      <c r="AM95" s="1403"/>
      <c r="AN95" s="1403"/>
      <c r="AO95" s="1403"/>
      <c r="AP95" s="1403"/>
      <c r="AQ95" s="1403"/>
      <c r="AR95" s="1403"/>
      <c r="AS95" s="134"/>
      <c r="AT95" s="1403"/>
      <c r="AU95" s="1403"/>
      <c r="AV95" s="1403"/>
      <c r="AW95" s="1403"/>
      <c r="AX95" s="1403"/>
      <c r="AY95" s="1403"/>
      <c r="AZ95" s="1403"/>
      <c r="BA95" s="1403"/>
      <c r="BB95" s="1403"/>
      <c r="BC95" s="1365"/>
      <c r="BD95" s="802"/>
      <c r="BE95" s="802"/>
      <c r="BF95" s="950" t="s">
        <v>1063</v>
      </c>
      <c r="BG95" s="950" t="s">
        <v>1072</v>
      </c>
      <c r="BH95" s="950" cm="1">
        <f t="array" ref="BH95">AC95</f>
        <v>0</v>
      </c>
      <c r="BI95" s="602"/>
      <c r="BJ95" s="602" t="b">
        <v>1</v>
      </c>
    </row>
    <row r="96" spans="1:62" s="1334" customFormat="1" ht="14.25" hidden="1" customHeight="1" x14ac:dyDescent="0.15">
      <c r="A96" s="802"/>
      <c r="B96" s="362"/>
      <c r="C96" s="802"/>
      <c r="D96" s="802"/>
      <c r="E96" s="602">
        <v>15</v>
      </c>
      <c r="F96" s="3" t="str" cm="1">
        <f t="array" aca="1" ref="F96" ca="1">OFFSET(E96,-1,1)</f>
        <v>2</v>
      </c>
      <c r="G96" s="71" t="s">
        <v>512</v>
      </c>
      <c r="H96" s="74" cm="1">
        <f t="array" ref="H96">H95</f>
        <v>0</v>
      </c>
      <c r="I96" s="71" t="s">
        <v>1071</v>
      </c>
      <c r="J96" s="802"/>
      <c r="K96" s="824"/>
      <c r="L96" s="802"/>
      <c r="M96" s="802"/>
      <c r="N96" s="802"/>
      <c r="O96" s="802"/>
      <c r="P96" s="802"/>
      <c r="Q96" s="802"/>
      <c r="R96" s="802"/>
      <c r="S96" s="802"/>
      <c r="T96" s="388" t="b" cm="1">
        <f t="array" aca="1" ref="T96" ca="1">T95</f>
        <v>0</v>
      </c>
      <c r="U96" s="802"/>
      <c r="V96" s="802"/>
      <c r="W96" s="802"/>
      <c r="X96" s="1988"/>
      <c r="Y96" s="1988"/>
      <c r="Z96" s="2090"/>
      <c r="AA96" s="2092"/>
      <c r="AB96" s="7" t="str">
        <f>AB95&amp;".1"</f>
        <v>2.0.1</v>
      </c>
      <c r="AC96" s="140" t="s">
        <v>1073</v>
      </c>
      <c r="AD96" s="7" t="s">
        <v>563</v>
      </c>
      <c r="AE96" s="1403"/>
      <c r="AF96" s="1403"/>
      <c r="AG96" s="1403"/>
      <c r="AH96" s="1403"/>
      <c r="AI96" s="134"/>
      <c r="AJ96" s="1403"/>
      <c r="AK96" s="1403"/>
      <c r="AL96" s="1403"/>
      <c r="AM96" s="1403"/>
      <c r="AN96" s="1403"/>
      <c r="AO96" s="1403"/>
      <c r="AP96" s="1403"/>
      <c r="AQ96" s="1403"/>
      <c r="AR96" s="1403"/>
      <c r="AS96" s="134"/>
      <c r="AT96" s="1403"/>
      <c r="AU96" s="1403"/>
      <c r="AV96" s="1403"/>
      <c r="AW96" s="1403"/>
      <c r="AX96" s="1403"/>
      <c r="AY96" s="1403"/>
      <c r="AZ96" s="1403"/>
      <c r="BA96" s="1403"/>
      <c r="BB96" s="1403"/>
      <c r="BC96" s="1365"/>
      <c r="BD96" s="802"/>
      <c r="BE96" s="802"/>
      <c r="BF96" s="950" t="s">
        <v>1066</v>
      </c>
      <c r="BG96" s="950" t="s">
        <v>1072</v>
      </c>
      <c r="BH96" s="950" cm="1">
        <f t="array" ref="BH96">BH95</f>
        <v>0</v>
      </c>
      <c r="BI96" s="602"/>
      <c r="BJ96" s="602"/>
    </row>
    <row r="97" spans="1:62" s="1334" customFormat="1" ht="14.25" customHeight="1" x14ac:dyDescent="0.15">
      <c r="A97" s="802"/>
      <c r="B97" s="362"/>
      <c r="C97" s="802"/>
      <c r="D97" s="802"/>
      <c r="E97" s="602">
        <v>15</v>
      </c>
      <c r="F97" s="3" t="str" cm="1">
        <f t="array" aca="1" ref="F97" ca="1">OFFSET(E97,-1,1)</f>
        <v>2</v>
      </c>
      <c r="G97" s="802"/>
      <c r="H97" s="71" t="str">
        <f>"!=='не определено' &amp;&amp; row.l2 !== null"</f>
        <v>!=='не определено' &amp;&amp; row.l2 !== null</v>
      </c>
      <c r="I97" s="802"/>
      <c r="J97" s="802"/>
      <c r="K97" s="824"/>
      <c r="L97" s="802"/>
      <c r="M97" s="802"/>
      <c r="N97" s="802"/>
      <c r="O97" s="802"/>
      <c r="P97" s="802"/>
      <c r="Q97" s="802"/>
      <c r="R97" s="802"/>
      <c r="S97" s="802"/>
      <c r="T97" s="388" t="b">
        <f ca="1">F97&gt;0</f>
        <v>1</v>
      </c>
      <c r="U97" s="802"/>
      <c r="V97" s="802"/>
      <c r="W97" s="609" t="s">
        <v>1067</v>
      </c>
      <c r="X97" s="1988"/>
      <c r="Y97" s="607"/>
      <c r="Z97" s="2090"/>
      <c r="AA97" s="802"/>
      <c r="AB97" s="605"/>
      <c r="AC97" s="151" t="s">
        <v>1068</v>
      </c>
      <c r="AD97" s="151"/>
      <c r="AE97" s="151"/>
      <c r="AF97" s="151"/>
      <c r="AG97" s="151"/>
      <c r="AH97" s="151"/>
      <c r="AI97" s="151"/>
      <c r="AJ97" s="151"/>
      <c r="AK97" s="151"/>
      <c r="AL97" s="151"/>
      <c r="AM97" s="151"/>
      <c r="AN97" s="151"/>
      <c r="AO97" s="151"/>
      <c r="AP97" s="151"/>
      <c r="AQ97" s="151"/>
      <c r="AR97" s="151"/>
      <c r="AS97" s="151"/>
      <c r="AT97" s="151"/>
      <c r="AU97" s="151"/>
      <c r="AV97" s="151"/>
      <c r="AW97" s="151"/>
      <c r="AX97" s="151"/>
      <c r="AY97" s="151"/>
      <c r="AZ97" s="151"/>
      <c r="BA97" s="151"/>
      <c r="BB97" s="151"/>
      <c r="BC97" s="152"/>
      <c r="BD97" s="802"/>
      <c r="BE97" s="802"/>
      <c r="BF97" s="950"/>
      <c r="BG97" s="950"/>
      <c r="BH97" s="950"/>
      <c r="BI97" s="602" t="s">
        <v>1072</v>
      </c>
      <c r="BJ97" s="602"/>
    </row>
    <row r="98" spans="1:62" s="1334" customFormat="1" ht="21.75" customHeight="1" x14ac:dyDescent="0.15">
      <c r="A98" s="802"/>
      <c r="B98" s="362"/>
      <c r="C98" s="802"/>
      <c r="D98" s="802"/>
      <c r="E98" s="602">
        <v>23</v>
      </c>
      <c r="F98" s="3" t="str" cm="1">
        <f t="array" aca="1" ref="F98" ca="1">OFFSET(E98,-1,1)</f>
        <v>2</v>
      </c>
      <c r="G98" s="802"/>
      <c r="H98" s="802"/>
      <c r="I98" s="802"/>
      <c r="J98" s="802"/>
      <c r="K98" s="824" t="str">
        <f ca="1">F88&amp;"3komm"</f>
        <v>23komm</v>
      </c>
      <c r="L98" s="828" cm="1">
        <f t="array" ref="L98">BC98</f>
        <v>0</v>
      </c>
      <c r="M98" s="802"/>
      <c r="N98" s="802"/>
      <c r="O98" s="802"/>
      <c r="P98" s="802"/>
      <c r="Q98" s="802"/>
      <c r="R98" s="802"/>
      <c r="S98" s="802"/>
      <c r="T98" s="388" t="b" cm="1">
        <f t="array" aca="1" ref="T98" ca="1">T97</f>
        <v>1</v>
      </c>
      <c r="U98" s="802"/>
      <c r="V98" s="802"/>
      <c r="W98" s="802"/>
      <c r="X98" s="1988"/>
      <c r="Y98" s="608"/>
      <c r="Z98" s="2090"/>
      <c r="AA98" s="802"/>
      <c r="AB98" s="130">
        <v>3</v>
      </c>
      <c r="AC98" s="131" t="s">
        <v>1074</v>
      </c>
      <c r="AD98" s="130" t="s">
        <v>831</v>
      </c>
      <c r="AE98" s="132">
        <f>SUMIF(AD100:AD102,AD98,AE100:AE102)</f>
        <v>0</v>
      </c>
      <c r="AF98" s="132">
        <f>SUMIF(AD100:AD102,AD98,AF100:AF102)</f>
        <v>0</v>
      </c>
      <c r="AG98" s="132">
        <f>SUMIF(AD100:AD102,AD98,AG100:AG102)</f>
        <v>0</v>
      </c>
      <c r="AH98" s="132">
        <f>SUMIF(AD100:AD102,AD98,AH100:AH102)</f>
        <v>0</v>
      </c>
      <c r="AI98" s="132">
        <f>SUMIF(AD100:AD102,AD98,AI100:AI102)</f>
        <v>0</v>
      </c>
      <c r="AJ98" s="1325">
        <f>SUMIF(AD100:AD102,AD98,AJ100:AJ102)</f>
        <v>0</v>
      </c>
      <c r="AK98" s="1325">
        <f>SUMIF(AD100:AD102,AD98,AK100:AK102)</f>
        <v>0</v>
      </c>
      <c r="AL98" s="1325">
        <f>SUMIF(AD100:AD102,AD98,AL100:AL102)</f>
        <v>0</v>
      </c>
      <c r="AM98" s="1325">
        <f>SUMIF(AD100:AD102,AD98,AM100:AM102)</f>
        <v>0</v>
      </c>
      <c r="AN98" s="1325">
        <f>SUMIF(AD100:AD102,AD98,AN100:AN102)</f>
        <v>0</v>
      </c>
      <c r="AO98" s="1325">
        <f>SUMIF(AD100:AD102,AD98,AO100:AO102)</f>
        <v>0</v>
      </c>
      <c r="AP98" s="1325">
        <f>SUMIF(AD100:AD102,AD98,AP100:AP102)</f>
        <v>0</v>
      </c>
      <c r="AQ98" s="1325">
        <f>SUMIF(AD100:AD102,AD98,AQ100:AQ102)</f>
        <v>0</v>
      </c>
      <c r="AR98" s="1325">
        <f>SUMIF(AD100:AD102,AD98,AR100:AR102)</f>
        <v>0</v>
      </c>
      <c r="AS98" s="132">
        <f>SUMIF(AD100:AD102,AD98,AS100:AS102)</f>
        <v>0</v>
      </c>
      <c r="AT98" s="1325">
        <f>SUMIF(AD100:AD102,AD98,AT100:AT102)</f>
        <v>0</v>
      </c>
      <c r="AU98" s="1325">
        <f>SUMIF(AD100:AD102,AD98,AU100:AU102)</f>
        <v>0</v>
      </c>
      <c r="AV98" s="1325">
        <f>SUMIF(AD100:AD102,AD98,AV100:AV102)</f>
        <v>0</v>
      </c>
      <c r="AW98" s="1325">
        <f>SUMIF(AD100:AD102,AD98,AW100:AW102)</f>
        <v>0</v>
      </c>
      <c r="AX98" s="1325">
        <f>SUMIF(AD100:AD102,AD98,AX100:AX102)</f>
        <v>0</v>
      </c>
      <c r="AY98" s="1325">
        <f>SUMIF(AD100:AD102,AD98,AY100:AY102)</f>
        <v>0</v>
      </c>
      <c r="AZ98" s="1325">
        <f>SUMIF(AD100:AD102,AD98,AZ100:AZ102)</f>
        <v>0</v>
      </c>
      <c r="BA98" s="1325">
        <f>SUMIF(AD100:AD102,AD98,BA100:BA102)</f>
        <v>0</v>
      </c>
      <c r="BB98" s="1325">
        <f>SUMIF(AD100:AD102,AD98,BB100:BB102)</f>
        <v>0</v>
      </c>
      <c r="BC98" s="119"/>
      <c r="BD98" s="802"/>
      <c r="BE98" s="802"/>
      <c r="BF98" s="950" t="s">
        <v>1075</v>
      </c>
      <c r="BG98" s="950"/>
      <c r="BH98" s="950"/>
      <c r="BI98" s="602"/>
      <c r="BJ98" s="602"/>
    </row>
    <row r="99" spans="1:62" s="1334" customFormat="1" ht="15" hidden="1" customHeight="1" x14ac:dyDescent="0.15">
      <c r="A99" s="802"/>
      <c r="B99" s="362"/>
      <c r="C99" s="802"/>
      <c r="D99" s="802"/>
      <c r="E99" s="602">
        <v>0</v>
      </c>
      <c r="F99" s="3" t="str" cm="1">
        <f t="array" aca="1" ref="F99" ca="1">OFFSET(E99,-1,1)</f>
        <v>2</v>
      </c>
      <c r="G99" s="71" t="s">
        <v>333</v>
      </c>
      <c r="H99" s="802"/>
      <c r="I99" s="802"/>
      <c r="J99" s="802"/>
      <c r="K99" s="824"/>
      <c r="L99" s="828"/>
      <c r="M99" s="802"/>
      <c r="N99" s="802"/>
      <c r="O99" s="802"/>
      <c r="P99" s="802"/>
      <c r="Q99" s="802"/>
      <c r="R99" s="802"/>
      <c r="S99" s="802"/>
      <c r="T99" s="388" t="b">
        <v>0</v>
      </c>
      <c r="U99" s="802"/>
      <c r="V99" s="802"/>
      <c r="W99" s="71" t="s">
        <v>172</v>
      </c>
      <c r="X99" s="1988"/>
      <c r="Y99" s="1988">
        <v>0</v>
      </c>
      <c r="Z99" s="2090"/>
      <c r="AA99" s="2092" t="s">
        <v>173</v>
      </c>
      <c r="AB99" s="130"/>
      <c r="AC99" s="131"/>
      <c r="AD99" s="130"/>
      <c r="AE99" s="1328" t="b">
        <f t="shared" ref="AE99:BB99" si="16">OR(AND(AE100&lt;&gt;"",AE101=""),AND(AE100="",AE101&lt;&gt;""))</f>
        <v>0</v>
      </c>
      <c r="AF99" s="1328" t="b">
        <f t="shared" si="16"/>
        <v>0</v>
      </c>
      <c r="AG99" s="1328" t="b">
        <f t="shared" si="16"/>
        <v>0</v>
      </c>
      <c r="AH99" s="1328" t="b">
        <f t="shared" si="16"/>
        <v>0</v>
      </c>
      <c r="AI99" s="1328" t="b">
        <f t="shared" si="16"/>
        <v>0</v>
      </c>
      <c r="AJ99" s="1328" t="b">
        <f t="shared" si="16"/>
        <v>0</v>
      </c>
      <c r="AK99" s="1328" t="b">
        <f t="shared" si="16"/>
        <v>0</v>
      </c>
      <c r="AL99" s="1328" t="b">
        <f t="shared" si="16"/>
        <v>0</v>
      </c>
      <c r="AM99" s="1328" t="b">
        <f t="shared" si="16"/>
        <v>0</v>
      </c>
      <c r="AN99" s="1328" t="b">
        <f t="shared" si="16"/>
        <v>0</v>
      </c>
      <c r="AO99" s="1328" t="b">
        <f t="shared" si="16"/>
        <v>0</v>
      </c>
      <c r="AP99" s="1328" t="b">
        <f t="shared" si="16"/>
        <v>0</v>
      </c>
      <c r="AQ99" s="1328" t="b">
        <f t="shared" si="16"/>
        <v>0</v>
      </c>
      <c r="AR99" s="1328" t="b">
        <f t="shared" si="16"/>
        <v>0</v>
      </c>
      <c r="AS99" s="1328" t="b">
        <f t="shared" si="16"/>
        <v>0</v>
      </c>
      <c r="AT99" s="1328" t="b">
        <f t="shared" si="16"/>
        <v>0</v>
      </c>
      <c r="AU99" s="1328" t="b">
        <f t="shared" si="16"/>
        <v>0</v>
      </c>
      <c r="AV99" s="1328" t="b">
        <f t="shared" si="16"/>
        <v>0</v>
      </c>
      <c r="AW99" s="1328" t="b">
        <f t="shared" si="16"/>
        <v>0</v>
      </c>
      <c r="AX99" s="1328" t="b">
        <f t="shared" si="16"/>
        <v>0</v>
      </c>
      <c r="AY99" s="1328" t="b">
        <f t="shared" si="16"/>
        <v>0</v>
      </c>
      <c r="AZ99" s="1328" t="b">
        <f t="shared" si="16"/>
        <v>0</v>
      </c>
      <c r="BA99" s="1328" t="b">
        <f t="shared" si="16"/>
        <v>0</v>
      </c>
      <c r="BB99" s="1328" t="b">
        <f t="shared" si="16"/>
        <v>0</v>
      </c>
      <c r="BC99" s="883"/>
      <c r="BD99" s="802"/>
      <c r="BE99" s="802"/>
      <c r="BF99" s="950"/>
      <c r="BG99" s="950"/>
      <c r="BH99" s="950"/>
      <c r="BI99" s="602"/>
      <c r="BJ99" s="602"/>
    </row>
    <row r="100" spans="1:62" s="1334" customFormat="1" ht="14.25" hidden="1" customHeight="1" x14ac:dyDescent="0.15">
      <c r="A100" s="802"/>
      <c r="B100" s="362"/>
      <c r="C100" s="802"/>
      <c r="D100" s="802"/>
      <c r="E100" s="602">
        <v>15</v>
      </c>
      <c r="F100" s="3" t="str" cm="1">
        <f t="array" aca="1" ref="F100" ca="1">OFFSET(E100,-1,1)</f>
        <v>2</v>
      </c>
      <c r="G100" s="71" t="s">
        <v>333</v>
      </c>
      <c r="H100" s="74" cm="1">
        <f t="array" ref="H100">AC100</f>
        <v>0</v>
      </c>
      <c r="I100" s="71" t="s">
        <v>1076</v>
      </c>
      <c r="J100" s="802"/>
      <c r="K100" s="824"/>
      <c r="L100" s="802"/>
      <c r="M100" s="802"/>
      <c r="N100" s="802"/>
      <c r="O100" s="802"/>
      <c r="P100" s="802"/>
      <c r="Q100" s="802"/>
      <c r="R100" s="802"/>
      <c r="S100" s="802"/>
      <c r="T100" s="388" t="b">
        <f ca="1">AND(F100&gt;0,Y99&gt;0)</f>
        <v>0</v>
      </c>
      <c r="U100" s="802"/>
      <c r="V100" s="802"/>
      <c r="W100" s="802"/>
      <c r="X100" s="1988"/>
      <c r="Y100" s="1988"/>
      <c r="Z100" s="2090"/>
      <c r="AA100" s="2092"/>
      <c r="AB100" s="7" t="str">
        <f>"3."&amp;Y99</f>
        <v>3.0</v>
      </c>
      <c r="AC100" s="192"/>
      <c r="AD100" s="130" t="s">
        <v>831</v>
      </c>
      <c r="AE100" s="1403"/>
      <c r="AF100" s="1403"/>
      <c r="AG100" s="1403"/>
      <c r="AH100" s="1403"/>
      <c r="AI100" s="134"/>
      <c r="AJ100" s="1403"/>
      <c r="AK100" s="1403"/>
      <c r="AL100" s="1403"/>
      <c r="AM100" s="1403"/>
      <c r="AN100" s="1403"/>
      <c r="AO100" s="1403"/>
      <c r="AP100" s="1403"/>
      <c r="AQ100" s="1403"/>
      <c r="AR100" s="1403"/>
      <c r="AS100" s="134"/>
      <c r="AT100" s="1403"/>
      <c r="AU100" s="1403"/>
      <c r="AV100" s="1403"/>
      <c r="AW100" s="1403"/>
      <c r="AX100" s="1403"/>
      <c r="AY100" s="1403"/>
      <c r="AZ100" s="1403"/>
      <c r="BA100" s="1403"/>
      <c r="BB100" s="1403"/>
      <c r="BC100" s="1365"/>
      <c r="BD100" s="802"/>
      <c r="BE100" s="802"/>
      <c r="BF100" s="950" t="s">
        <v>1063</v>
      </c>
      <c r="BG100" s="950" t="s">
        <v>1077</v>
      </c>
      <c r="BH100" s="950" cm="1">
        <f t="array" ref="BH100">AC100</f>
        <v>0</v>
      </c>
      <c r="BI100" s="602"/>
      <c r="BJ100" s="602" t="b">
        <v>1</v>
      </c>
    </row>
    <row r="101" spans="1:62" s="1334" customFormat="1" ht="14.25" hidden="1" customHeight="1" x14ac:dyDescent="0.15">
      <c r="A101" s="802"/>
      <c r="B101" s="362"/>
      <c r="C101" s="802"/>
      <c r="D101" s="802"/>
      <c r="E101" s="602">
        <v>15</v>
      </c>
      <c r="F101" s="3" t="str" cm="1">
        <f t="array" aca="1" ref="F101" ca="1">OFFSET(E101,-1,1)</f>
        <v>2</v>
      </c>
      <c r="G101" s="71" t="s">
        <v>940</v>
      </c>
      <c r="H101" s="74" cm="1">
        <f t="array" ref="H101">H100</f>
        <v>0</v>
      </c>
      <c r="I101" s="71" t="s">
        <v>1076</v>
      </c>
      <c r="J101" s="802"/>
      <c r="K101" s="824"/>
      <c r="L101" s="802"/>
      <c r="M101" s="802"/>
      <c r="N101" s="802"/>
      <c r="O101" s="802"/>
      <c r="P101" s="802"/>
      <c r="Q101" s="802"/>
      <c r="R101" s="802"/>
      <c r="S101" s="802"/>
      <c r="T101" s="388" t="b" cm="1">
        <f t="array" aca="1" ref="T101" ca="1">T100</f>
        <v>0</v>
      </c>
      <c r="U101" s="802"/>
      <c r="V101" s="802"/>
      <c r="W101" s="802"/>
      <c r="X101" s="1988"/>
      <c r="Y101" s="1988"/>
      <c r="Z101" s="2090"/>
      <c r="AA101" s="2092"/>
      <c r="AB101" s="7" t="str">
        <f>AB100&amp;".1"</f>
        <v>3.0.1</v>
      </c>
      <c r="AC101" s="140" t="s">
        <v>1078</v>
      </c>
      <c r="AD101" s="7" t="s">
        <v>563</v>
      </c>
      <c r="AE101" s="1403"/>
      <c r="AF101" s="1403"/>
      <c r="AG101" s="1403"/>
      <c r="AH101" s="1403"/>
      <c r="AI101" s="134"/>
      <c r="AJ101" s="1403"/>
      <c r="AK101" s="1403"/>
      <c r="AL101" s="1403"/>
      <c r="AM101" s="1403"/>
      <c r="AN101" s="1403"/>
      <c r="AO101" s="1403"/>
      <c r="AP101" s="1403"/>
      <c r="AQ101" s="1403"/>
      <c r="AR101" s="1403"/>
      <c r="AS101" s="134"/>
      <c r="AT101" s="1403"/>
      <c r="AU101" s="1403"/>
      <c r="AV101" s="1403"/>
      <c r="AW101" s="1403"/>
      <c r="AX101" s="1403"/>
      <c r="AY101" s="1403"/>
      <c r="AZ101" s="1403"/>
      <c r="BA101" s="1403"/>
      <c r="BB101" s="1403"/>
      <c r="BC101" s="1365"/>
      <c r="BD101" s="802"/>
      <c r="BE101" s="802"/>
      <c r="BF101" s="950" t="s">
        <v>1066</v>
      </c>
      <c r="BG101" s="950" t="s">
        <v>1077</v>
      </c>
      <c r="BH101" s="950" cm="1">
        <f t="array" ref="BH101">BH100</f>
        <v>0</v>
      </c>
      <c r="BI101" s="602"/>
      <c r="BJ101" s="602"/>
    </row>
    <row r="102" spans="1:62" s="1334" customFormat="1" ht="14.25" customHeight="1" x14ac:dyDescent="0.15">
      <c r="A102" s="802"/>
      <c r="B102" s="362"/>
      <c r="C102" s="802"/>
      <c r="D102" s="802"/>
      <c r="E102" s="602">
        <v>15</v>
      </c>
      <c r="F102" s="3" t="str" cm="1">
        <f t="array" aca="1" ref="F102" ca="1">OFFSET(E102,-1,1)</f>
        <v>2</v>
      </c>
      <c r="G102" s="802"/>
      <c r="H102" s="71" t="str">
        <f>"!=='не определено' &amp;&amp; row.l3 !== null"</f>
        <v>!=='не определено' &amp;&amp; row.l3 !== null</v>
      </c>
      <c r="I102" s="802"/>
      <c r="J102" s="802"/>
      <c r="K102" s="824"/>
      <c r="L102" s="802"/>
      <c r="M102" s="802"/>
      <c r="N102" s="802"/>
      <c r="O102" s="802"/>
      <c r="P102" s="802"/>
      <c r="Q102" s="802"/>
      <c r="R102" s="802"/>
      <c r="S102" s="802"/>
      <c r="T102" s="388" t="b">
        <f ca="1">F102&gt;0</f>
        <v>1</v>
      </c>
      <c r="U102" s="802"/>
      <c r="V102" s="802"/>
      <c r="W102" s="609" t="s">
        <v>1079</v>
      </c>
      <c r="X102" s="1988"/>
      <c r="Y102" s="607"/>
      <c r="Z102" s="2090"/>
      <c r="AA102" s="802"/>
      <c r="AB102" s="605"/>
      <c r="AC102" s="151" t="s">
        <v>1068</v>
      </c>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2"/>
      <c r="BD102" s="802"/>
      <c r="BE102" s="802"/>
      <c r="BF102" s="950"/>
      <c r="BG102" s="950"/>
      <c r="BH102" s="950"/>
      <c r="BI102" s="602" t="s">
        <v>1077</v>
      </c>
      <c r="BJ102" s="602"/>
    </row>
    <row r="103" spans="1:62" s="1334" customFormat="1" ht="21.75" customHeight="1" x14ac:dyDescent="0.15">
      <c r="A103" s="802"/>
      <c r="B103" s="362"/>
      <c r="C103" s="802"/>
      <c r="D103" s="802"/>
      <c r="E103" s="602">
        <v>23</v>
      </c>
      <c r="F103" s="3" t="str" cm="1">
        <f t="array" aca="1" ref="F103" ca="1">OFFSET(E103,-1,1)</f>
        <v>2</v>
      </c>
      <c r="G103" s="802"/>
      <c r="H103" s="802"/>
      <c r="I103" s="802"/>
      <c r="J103" s="802"/>
      <c r="K103" s="824" t="str">
        <f ca="1">F88&amp;"4komm"</f>
        <v>24komm</v>
      </c>
      <c r="L103" s="828" cm="1">
        <f t="array" ref="L103">BC103</f>
        <v>0</v>
      </c>
      <c r="M103" s="802"/>
      <c r="N103" s="802"/>
      <c r="O103" s="802"/>
      <c r="P103" s="802"/>
      <c r="Q103" s="802"/>
      <c r="R103" s="802"/>
      <c r="S103" s="802"/>
      <c r="T103" s="388" t="b" cm="1">
        <f t="array" aca="1" ref="T103" ca="1">T102</f>
        <v>1</v>
      </c>
      <c r="U103" s="802"/>
      <c r="V103" s="802"/>
      <c r="W103" s="802"/>
      <c r="X103" s="1988"/>
      <c r="Y103" s="608"/>
      <c r="Z103" s="2090"/>
      <c r="AA103" s="802"/>
      <c r="AB103" s="130">
        <v>4</v>
      </c>
      <c r="AC103" s="131" t="s">
        <v>1080</v>
      </c>
      <c r="AD103" s="130" t="s">
        <v>831</v>
      </c>
      <c r="AE103" s="132">
        <f>SUMIF(AD105:AD107,AD103,AE105:AE107)</f>
        <v>0</v>
      </c>
      <c r="AF103" s="132">
        <f>SUMIF(AD105:AD107,AD103,AF105:AF107)</f>
        <v>0</v>
      </c>
      <c r="AG103" s="132">
        <f>SUMIF(AD105:AD107,AD103,AG105:AG107)</f>
        <v>0</v>
      </c>
      <c r="AH103" s="132">
        <f>SUMIF(AD105:AD107,AD103,AH105:AH107)</f>
        <v>0</v>
      </c>
      <c r="AI103" s="132">
        <f>SUMIF(AD105:AD107,AD103,AI105:AI107)</f>
        <v>0</v>
      </c>
      <c r="AJ103" s="1325">
        <f>SUMIF(AD105:AD107,AD103,AJ105:AJ107)</f>
        <v>0</v>
      </c>
      <c r="AK103" s="1325">
        <f>SUMIF(AD105:AD107,AD103,AK105:AK107)</f>
        <v>0</v>
      </c>
      <c r="AL103" s="1325">
        <f>SUMIF(AD105:AD107,AD103,AL105:AL107)</f>
        <v>0</v>
      </c>
      <c r="AM103" s="1325">
        <f>SUMIF(AD105:AD107,AD103,AM105:AM107)</f>
        <v>0</v>
      </c>
      <c r="AN103" s="1325">
        <f>SUMIF(AD105:AD107,AD103,AN105:AN107)</f>
        <v>0</v>
      </c>
      <c r="AO103" s="1325">
        <f>SUMIF(AD105:AD107,AD103,AO105:AO107)</f>
        <v>0</v>
      </c>
      <c r="AP103" s="1325">
        <f>SUMIF(AD105:AD107,AD103,AP105:AP107)</f>
        <v>0</v>
      </c>
      <c r="AQ103" s="1325">
        <f>SUMIF(AD105:AD107,AD103,AQ105:AQ107)</f>
        <v>0</v>
      </c>
      <c r="AR103" s="1325">
        <f>SUMIF(AD105:AD107,AD103,AR105:AR107)</f>
        <v>0</v>
      </c>
      <c r="AS103" s="132">
        <f>SUMIF(AD105:AD107,AD103,AS105:AS107)</f>
        <v>0</v>
      </c>
      <c r="AT103" s="1325">
        <f>SUMIF(AD105:AD107,AD103,AT105:AT107)</f>
        <v>0</v>
      </c>
      <c r="AU103" s="1325">
        <f>SUMIF(AD105:AD107,AD103,AU105:AU107)</f>
        <v>0</v>
      </c>
      <c r="AV103" s="1325">
        <f>SUMIF(AD105:AD107,AD103,AV105:AV107)</f>
        <v>0</v>
      </c>
      <c r="AW103" s="1325">
        <f>SUMIF(AD105:AD107,AD103,AW105:AW107)</f>
        <v>0</v>
      </c>
      <c r="AX103" s="1325">
        <f>SUMIF(AD105:AD107,AD103,AX105:AX107)</f>
        <v>0</v>
      </c>
      <c r="AY103" s="1325">
        <f>SUMIF(AD105:AD107,AD103,AY105:AY107)</f>
        <v>0</v>
      </c>
      <c r="AZ103" s="1325">
        <f>SUMIF(AD105:AD107,AD103,AZ105:AZ107)</f>
        <v>0</v>
      </c>
      <c r="BA103" s="1325">
        <f>SUMIF(AD105:AD107,AD103,BA105:BA107)</f>
        <v>0</v>
      </c>
      <c r="BB103" s="1325">
        <f>SUMIF(AD105:AD107,AD103,BB105:BB107)</f>
        <v>0</v>
      </c>
      <c r="BC103" s="119"/>
      <c r="BD103" s="802"/>
      <c r="BE103" s="802"/>
      <c r="BF103" s="950" t="s">
        <v>1081</v>
      </c>
      <c r="BG103" s="950"/>
      <c r="BH103" s="950"/>
      <c r="BI103" s="602"/>
      <c r="BJ103" s="602"/>
    </row>
    <row r="104" spans="1:62" s="1334" customFormat="1" ht="15" hidden="1" customHeight="1" x14ac:dyDescent="0.15">
      <c r="A104" s="802"/>
      <c r="B104" s="362"/>
      <c r="C104" s="802"/>
      <c r="D104" s="802"/>
      <c r="E104" s="602">
        <v>0</v>
      </c>
      <c r="F104" s="3" t="str" cm="1">
        <f t="array" aca="1" ref="F104" ca="1">OFFSET(E104,-1,1)</f>
        <v>2</v>
      </c>
      <c r="G104" s="71" t="s">
        <v>335</v>
      </c>
      <c r="H104" s="802"/>
      <c r="I104" s="802"/>
      <c r="J104" s="802"/>
      <c r="K104" s="824"/>
      <c r="L104" s="828"/>
      <c r="M104" s="802"/>
      <c r="N104" s="802"/>
      <c r="O104" s="802"/>
      <c r="P104" s="802"/>
      <c r="Q104" s="802"/>
      <c r="R104" s="802"/>
      <c r="S104" s="802"/>
      <c r="T104" s="388" t="b">
        <v>0</v>
      </c>
      <c r="U104" s="802"/>
      <c r="V104" s="802"/>
      <c r="W104" s="71" t="s">
        <v>172</v>
      </c>
      <c r="X104" s="1988"/>
      <c r="Y104" s="1988">
        <v>0</v>
      </c>
      <c r="Z104" s="2090"/>
      <c r="AA104" s="2092" t="s">
        <v>173</v>
      </c>
      <c r="AB104" s="130"/>
      <c r="AC104" s="131"/>
      <c r="AD104" s="130"/>
      <c r="AE104" s="1328" t="b">
        <f t="shared" ref="AE104:BB104" si="17">OR(AND(AE105&lt;&gt;"",AE106=""),AND(AE105="",AE106&lt;&gt;""))</f>
        <v>0</v>
      </c>
      <c r="AF104" s="1328" t="b">
        <f t="shared" si="17"/>
        <v>0</v>
      </c>
      <c r="AG104" s="1328" t="b">
        <f t="shared" si="17"/>
        <v>0</v>
      </c>
      <c r="AH104" s="1328" t="b">
        <f t="shared" si="17"/>
        <v>0</v>
      </c>
      <c r="AI104" s="1328" t="b">
        <f t="shared" si="17"/>
        <v>0</v>
      </c>
      <c r="AJ104" s="1328" t="b">
        <f t="shared" si="17"/>
        <v>0</v>
      </c>
      <c r="AK104" s="1328" t="b">
        <f t="shared" si="17"/>
        <v>0</v>
      </c>
      <c r="AL104" s="1328" t="b">
        <f t="shared" si="17"/>
        <v>0</v>
      </c>
      <c r="AM104" s="1328" t="b">
        <f t="shared" si="17"/>
        <v>0</v>
      </c>
      <c r="AN104" s="1328" t="b">
        <f t="shared" si="17"/>
        <v>0</v>
      </c>
      <c r="AO104" s="1328" t="b">
        <f t="shared" si="17"/>
        <v>0</v>
      </c>
      <c r="AP104" s="1328" t="b">
        <f t="shared" si="17"/>
        <v>0</v>
      </c>
      <c r="AQ104" s="1328" t="b">
        <f t="shared" si="17"/>
        <v>0</v>
      </c>
      <c r="AR104" s="1328" t="b">
        <f t="shared" si="17"/>
        <v>0</v>
      </c>
      <c r="AS104" s="1328" t="b">
        <f t="shared" si="17"/>
        <v>0</v>
      </c>
      <c r="AT104" s="1328" t="b">
        <f t="shared" si="17"/>
        <v>0</v>
      </c>
      <c r="AU104" s="1328" t="b">
        <f t="shared" si="17"/>
        <v>0</v>
      </c>
      <c r="AV104" s="1328" t="b">
        <f t="shared" si="17"/>
        <v>0</v>
      </c>
      <c r="AW104" s="1328" t="b">
        <f t="shared" si="17"/>
        <v>0</v>
      </c>
      <c r="AX104" s="1328" t="b">
        <f t="shared" si="17"/>
        <v>0</v>
      </c>
      <c r="AY104" s="1328" t="b">
        <f t="shared" si="17"/>
        <v>0</v>
      </c>
      <c r="AZ104" s="1328" t="b">
        <f t="shared" si="17"/>
        <v>0</v>
      </c>
      <c r="BA104" s="1328" t="b">
        <f t="shared" si="17"/>
        <v>0</v>
      </c>
      <c r="BB104" s="1328" t="b">
        <f t="shared" si="17"/>
        <v>0</v>
      </c>
      <c r="BC104" s="883"/>
      <c r="BD104" s="802"/>
      <c r="BE104" s="802"/>
      <c r="BF104" s="950"/>
      <c r="BG104" s="950"/>
      <c r="BH104" s="950"/>
      <c r="BI104" s="602"/>
      <c r="BJ104" s="602"/>
    </row>
    <row r="105" spans="1:62" s="1334" customFormat="1" ht="14.25" hidden="1" customHeight="1" x14ac:dyDescent="0.15">
      <c r="A105" s="802"/>
      <c r="B105" s="362"/>
      <c r="C105" s="802"/>
      <c r="D105" s="802"/>
      <c r="E105" s="602">
        <v>15</v>
      </c>
      <c r="F105" s="3" t="str" cm="1">
        <f t="array" aca="1" ref="F105" ca="1">OFFSET(E105,-1,1)</f>
        <v>2</v>
      </c>
      <c r="G105" s="71" t="s">
        <v>335</v>
      </c>
      <c r="H105" s="74" cm="1">
        <f t="array" ref="H105">AC105</f>
        <v>0</v>
      </c>
      <c r="I105" s="71" t="s">
        <v>1082</v>
      </c>
      <c r="J105" s="802"/>
      <c r="K105" s="824"/>
      <c r="L105" s="802"/>
      <c r="M105" s="802"/>
      <c r="N105" s="802"/>
      <c r="O105" s="802"/>
      <c r="P105" s="802"/>
      <c r="Q105" s="802"/>
      <c r="R105" s="802"/>
      <c r="S105" s="802"/>
      <c r="T105" s="388" t="b">
        <f ca="1">AND(F105&gt;0,Y104&gt;0)</f>
        <v>0</v>
      </c>
      <c r="U105" s="802"/>
      <c r="V105" s="802"/>
      <c r="W105" s="802"/>
      <c r="X105" s="1988"/>
      <c r="Y105" s="1988"/>
      <c r="Z105" s="2090"/>
      <c r="AA105" s="2092"/>
      <c r="AB105" s="7" t="str">
        <f>"4."&amp;Y104</f>
        <v>4.0</v>
      </c>
      <c r="AC105" s="192"/>
      <c r="AD105" s="130" t="s">
        <v>831</v>
      </c>
      <c r="AE105" s="1403"/>
      <c r="AF105" s="1403"/>
      <c r="AG105" s="1403"/>
      <c r="AH105" s="1403"/>
      <c r="AI105" s="134"/>
      <c r="AJ105" s="1403"/>
      <c r="AK105" s="1403"/>
      <c r="AL105" s="1403"/>
      <c r="AM105" s="1403"/>
      <c r="AN105" s="1403"/>
      <c r="AO105" s="1403"/>
      <c r="AP105" s="1403"/>
      <c r="AQ105" s="1403"/>
      <c r="AR105" s="1403"/>
      <c r="AS105" s="134"/>
      <c r="AT105" s="1403"/>
      <c r="AU105" s="1403"/>
      <c r="AV105" s="1403"/>
      <c r="AW105" s="1403"/>
      <c r="AX105" s="1403"/>
      <c r="AY105" s="1403"/>
      <c r="AZ105" s="1403"/>
      <c r="BA105" s="1403"/>
      <c r="BB105" s="1403"/>
      <c r="BC105" s="1365"/>
      <c r="BD105" s="802"/>
      <c r="BE105" s="802"/>
      <c r="BF105" s="950" t="s">
        <v>1063</v>
      </c>
      <c r="BG105" s="950" t="s">
        <v>1083</v>
      </c>
      <c r="BH105" s="950" cm="1">
        <f t="array" ref="BH105">AC105</f>
        <v>0</v>
      </c>
      <c r="BI105" s="602"/>
      <c r="BJ105" s="602" t="b">
        <v>1</v>
      </c>
    </row>
    <row r="106" spans="1:62" s="1334" customFormat="1" ht="14.25" hidden="1" customHeight="1" x14ac:dyDescent="0.15">
      <c r="A106" s="802"/>
      <c r="B106" s="362"/>
      <c r="C106" s="802"/>
      <c r="D106" s="802"/>
      <c r="E106" s="602">
        <v>15</v>
      </c>
      <c r="F106" s="3" t="str" cm="1">
        <f t="array" aca="1" ref="F106" ca="1">OFFSET(E106,-1,1)</f>
        <v>2</v>
      </c>
      <c r="G106" s="71" t="s">
        <v>565</v>
      </c>
      <c r="H106" s="74" cm="1">
        <f t="array" ref="H106">H105</f>
        <v>0</v>
      </c>
      <c r="I106" s="71" t="s">
        <v>1082</v>
      </c>
      <c r="J106" s="802"/>
      <c r="K106" s="824"/>
      <c r="L106" s="802"/>
      <c r="M106" s="802"/>
      <c r="N106" s="802"/>
      <c r="O106" s="802"/>
      <c r="P106" s="802"/>
      <c r="Q106" s="802"/>
      <c r="R106" s="802"/>
      <c r="S106" s="802"/>
      <c r="T106" s="388" t="b" cm="1">
        <f t="array" aca="1" ref="T106" ca="1">T105</f>
        <v>0</v>
      </c>
      <c r="U106" s="802"/>
      <c r="V106" s="802"/>
      <c r="W106" s="802"/>
      <c r="X106" s="1988"/>
      <c r="Y106" s="1988"/>
      <c r="Z106" s="2090"/>
      <c r="AA106" s="2092"/>
      <c r="AB106" s="7" t="str">
        <f>AB105&amp;".1"</f>
        <v>4.0.1</v>
      </c>
      <c r="AC106" s="140" t="s">
        <v>1084</v>
      </c>
      <c r="AD106" s="7" t="s">
        <v>563</v>
      </c>
      <c r="AE106" s="1403"/>
      <c r="AF106" s="1403"/>
      <c r="AG106" s="1403"/>
      <c r="AH106" s="1403"/>
      <c r="AI106" s="134"/>
      <c r="AJ106" s="1403"/>
      <c r="AK106" s="1403"/>
      <c r="AL106" s="1403"/>
      <c r="AM106" s="1403"/>
      <c r="AN106" s="1403"/>
      <c r="AO106" s="1403"/>
      <c r="AP106" s="1403"/>
      <c r="AQ106" s="1403"/>
      <c r="AR106" s="1403"/>
      <c r="AS106" s="134"/>
      <c r="AT106" s="1403"/>
      <c r="AU106" s="1403"/>
      <c r="AV106" s="1403"/>
      <c r="AW106" s="1403"/>
      <c r="AX106" s="1403"/>
      <c r="AY106" s="1403"/>
      <c r="AZ106" s="1403"/>
      <c r="BA106" s="1403"/>
      <c r="BB106" s="1403"/>
      <c r="BC106" s="1365"/>
      <c r="BD106" s="802"/>
      <c r="BE106" s="802"/>
      <c r="BF106" s="950" t="s">
        <v>1066</v>
      </c>
      <c r="BG106" s="950" t="s">
        <v>1083</v>
      </c>
      <c r="BH106" s="950" cm="1">
        <f t="array" ref="BH106">BH105</f>
        <v>0</v>
      </c>
      <c r="BI106" s="602"/>
      <c r="BJ106" s="602"/>
    </row>
    <row r="107" spans="1:62" s="1334" customFormat="1" ht="14.25" customHeight="1" x14ac:dyDescent="0.15">
      <c r="A107" s="802"/>
      <c r="B107" s="362"/>
      <c r="C107" s="802"/>
      <c r="D107" s="802"/>
      <c r="E107" s="602">
        <v>15</v>
      </c>
      <c r="F107" s="3" t="str" cm="1">
        <f t="array" aca="1" ref="F107" ca="1">OFFSET(E107,-1,1)</f>
        <v>2</v>
      </c>
      <c r="G107" s="802"/>
      <c r="H107" s="71" t="str">
        <f>"!=='не определено' &amp;&amp; row.l4 !== null"</f>
        <v>!=='не определено' &amp;&amp; row.l4 !== null</v>
      </c>
      <c r="I107" s="802"/>
      <c r="J107" s="802"/>
      <c r="K107" s="824"/>
      <c r="L107" s="802"/>
      <c r="M107" s="802"/>
      <c r="N107" s="802"/>
      <c r="O107" s="802"/>
      <c r="P107" s="802"/>
      <c r="Q107" s="802"/>
      <c r="R107" s="802"/>
      <c r="S107" s="802"/>
      <c r="T107" s="388" t="b">
        <f ca="1">F107&gt;0</f>
        <v>1</v>
      </c>
      <c r="U107" s="802"/>
      <c r="V107" s="802"/>
      <c r="W107" s="609" t="s">
        <v>1085</v>
      </c>
      <c r="X107" s="1988"/>
      <c r="Y107" s="607"/>
      <c r="Z107" s="2090"/>
      <c r="AA107" s="802"/>
      <c r="AB107" s="605"/>
      <c r="AC107" s="151" t="s">
        <v>1068</v>
      </c>
      <c r="AD107" s="151"/>
      <c r="AE107" s="151"/>
      <c r="AF107" s="151"/>
      <c r="AG107" s="151"/>
      <c r="AH107" s="151"/>
      <c r="AI107" s="151"/>
      <c r="AJ107" s="151"/>
      <c r="AK107" s="151"/>
      <c r="AL107" s="151"/>
      <c r="AM107" s="151"/>
      <c r="AN107" s="151"/>
      <c r="AO107" s="151"/>
      <c r="AP107" s="151"/>
      <c r="AQ107" s="151"/>
      <c r="AR107" s="151"/>
      <c r="AS107" s="151"/>
      <c r="AT107" s="151"/>
      <c r="AU107" s="151"/>
      <c r="AV107" s="151"/>
      <c r="AW107" s="151"/>
      <c r="AX107" s="151"/>
      <c r="AY107" s="151"/>
      <c r="AZ107" s="151"/>
      <c r="BA107" s="151"/>
      <c r="BB107" s="151"/>
      <c r="BC107" s="152"/>
      <c r="BD107" s="802"/>
      <c r="BE107" s="802"/>
      <c r="BF107" s="950"/>
      <c r="BG107" s="950"/>
      <c r="BH107" s="950"/>
      <c r="BI107" s="602" t="s">
        <v>1083</v>
      </c>
      <c r="BJ107" s="602"/>
    </row>
    <row r="108" spans="1:62" s="1334" customFormat="1" ht="21.75" customHeight="1" x14ac:dyDescent="0.15">
      <c r="A108" s="802"/>
      <c r="B108" s="362"/>
      <c r="C108" s="802"/>
      <c r="D108" s="802"/>
      <c r="E108" s="602">
        <v>23</v>
      </c>
      <c r="F108" s="3" t="str" cm="1">
        <f t="array" aca="1" ref="F108" ca="1">OFFSET(E108,-1,1)</f>
        <v>2</v>
      </c>
      <c r="G108" s="802"/>
      <c r="H108" s="802"/>
      <c r="I108" s="802"/>
      <c r="J108" s="802"/>
      <c r="K108" s="824" t="str">
        <f ca="1">F88&amp;"5komm"</f>
        <v>25komm</v>
      </c>
      <c r="L108" s="828" cm="1">
        <f t="array" ref="L108">BC108</f>
        <v>0</v>
      </c>
      <c r="M108" s="802"/>
      <c r="N108" s="802"/>
      <c r="O108" s="802"/>
      <c r="P108" s="802"/>
      <c r="Q108" s="802"/>
      <c r="R108" s="802"/>
      <c r="S108" s="802"/>
      <c r="T108" s="388" t="b" cm="1">
        <f t="array" aca="1" ref="T108" ca="1">T107</f>
        <v>1</v>
      </c>
      <c r="U108" s="802"/>
      <c r="V108" s="802"/>
      <c r="W108" s="802"/>
      <c r="X108" s="1988"/>
      <c r="Y108" s="608"/>
      <c r="Z108" s="2090"/>
      <c r="AA108" s="802"/>
      <c r="AB108" s="130">
        <v>5</v>
      </c>
      <c r="AC108" s="131" t="s">
        <v>1086</v>
      </c>
      <c r="AD108" s="130" t="s">
        <v>831</v>
      </c>
      <c r="AE108" s="132">
        <f>SUMIF(AD110:AD112,AD108,AE110:AE112)</f>
        <v>0</v>
      </c>
      <c r="AF108" s="132">
        <f>SUMIF(AD110:AD112,AD108,AF110:AF112)</f>
        <v>0</v>
      </c>
      <c r="AG108" s="132">
        <f>SUMIF(AD110:AD112,AD108,AG110:AG112)</f>
        <v>0</v>
      </c>
      <c r="AH108" s="132">
        <f>SUMIF(AD110:AD112,AD108,AH110:AH112)</f>
        <v>0</v>
      </c>
      <c r="AI108" s="132">
        <f>SUMIF(AD110:AD112,AD108,AI110:AI112)</f>
        <v>0</v>
      </c>
      <c r="AJ108" s="1325">
        <f>SUMIF(AD110:AD112,AD108,AJ110:AJ112)</f>
        <v>0</v>
      </c>
      <c r="AK108" s="1325">
        <f>SUMIF(AD110:AD112,AD108,AK110:AK112)</f>
        <v>0</v>
      </c>
      <c r="AL108" s="1325">
        <f>SUMIF(AD110:AD112,AD108,AL110:AL112)</f>
        <v>0</v>
      </c>
      <c r="AM108" s="1325">
        <f>SUMIF(AD110:AD112,AD108,AM110:AM112)</f>
        <v>0</v>
      </c>
      <c r="AN108" s="1325">
        <f>SUMIF(AD110:AD112,AD108,AN110:AN112)</f>
        <v>0</v>
      </c>
      <c r="AO108" s="1325">
        <f>SUMIF(AD110:AD112,AD108,AO110:AO112)</f>
        <v>0</v>
      </c>
      <c r="AP108" s="1325">
        <f>SUMIF(AD110:AD112,AD108,AP110:AP112)</f>
        <v>0</v>
      </c>
      <c r="AQ108" s="1325">
        <f>SUMIF(AD110:AD112,AD108,AQ110:AQ112)</f>
        <v>0</v>
      </c>
      <c r="AR108" s="1325">
        <f>SUMIF(AD110:AD112,AD108,AR110:AR112)</f>
        <v>0</v>
      </c>
      <c r="AS108" s="132">
        <f>SUMIF(AD110:AD112,AD108,AS110:AS112)</f>
        <v>0</v>
      </c>
      <c r="AT108" s="1325">
        <f>SUMIF(AD110:AD112,AD108,AT110:AT112)</f>
        <v>0</v>
      </c>
      <c r="AU108" s="1325">
        <f>SUMIF(AD110:AD112,AD108,AU110:AU112)</f>
        <v>0</v>
      </c>
      <c r="AV108" s="1325">
        <f>SUMIF(AD110:AD112,AD108,AV110:AV112)</f>
        <v>0</v>
      </c>
      <c r="AW108" s="1325">
        <f>SUMIF(AD110:AD112,AD108,AW110:AW112)</f>
        <v>0</v>
      </c>
      <c r="AX108" s="1325">
        <f>SUMIF(AD110:AD112,AD108,AX110:AX112)</f>
        <v>0</v>
      </c>
      <c r="AY108" s="1325">
        <f>SUMIF(AD110:AD112,AD108,AY110:AY112)</f>
        <v>0</v>
      </c>
      <c r="AZ108" s="1325">
        <f>SUMIF(AD110:AD112,AD108,AZ110:AZ112)</f>
        <v>0</v>
      </c>
      <c r="BA108" s="1325">
        <f>SUMIF(AD110:AD112,AD108,BA110:BA112)</f>
        <v>0</v>
      </c>
      <c r="BB108" s="1325">
        <f>SUMIF(AD110:AD112,AD108,BB110:BB112)</f>
        <v>0</v>
      </c>
      <c r="BC108" s="119"/>
      <c r="BD108" s="802"/>
      <c r="BE108" s="802"/>
      <c r="BF108" s="950" t="s">
        <v>1087</v>
      </c>
      <c r="BG108" s="950"/>
      <c r="BH108" s="950"/>
      <c r="BI108" s="602"/>
      <c r="BJ108" s="602"/>
    </row>
    <row r="109" spans="1:62" s="1334" customFormat="1" ht="15" hidden="1" customHeight="1" x14ac:dyDescent="0.15">
      <c r="A109" s="802"/>
      <c r="B109" s="362"/>
      <c r="C109" s="802"/>
      <c r="D109" s="802"/>
      <c r="E109" s="602">
        <v>0</v>
      </c>
      <c r="F109" s="3" t="str" cm="1">
        <f t="array" aca="1" ref="F109" ca="1">OFFSET(E109,-1,1)</f>
        <v>2</v>
      </c>
      <c r="G109" s="71" t="s">
        <v>334</v>
      </c>
      <c r="H109" s="802"/>
      <c r="I109" s="802"/>
      <c r="J109" s="802"/>
      <c r="K109" s="824"/>
      <c r="L109" s="828"/>
      <c r="M109" s="802"/>
      <c r="N109" s="802"/>
      <c r="O109" s="802"/>
      <c r="P109" s="802"/>
      <c r="Q109" s="802"/>
      <c r="R109" s="802"/>
      <c r="S109" s="802"/>
      <c r="T109" s="388" t="b">
        <v>0</v>
      </c>
      <c r="U109" s="802"/>
      <c r="V109" s="802"/>
      <c r="W109" s="71" t="s">
        <v>172</v>
      </c>
      <c r="X109" s="1988"/>
      <c r="Y109" s="1988">
        <v>0</v>
      </c>
      <c r="Z109" s="2090"/>
      <c r="AA109" s="2092" t="s">
        <v>173</v>
      </c>
      <c r="AB109" s="130"/>
      <c r="AC109" s="131"/>
      <c r="AD109" s="130"/>
      <c r="AE109" s="1328" t="b">
        <f t="shared" ref="AE109:BB109" si="18">OR(AND(AE110&lt;&gt;"",AE111=""),AND(AE110="",AE111&lt;&gt;""))</f>
        <v>0</v>
      </c>
      <c r="AF109" s="1328" t="b">
        <f t="shared" si="18"/>
        <v>0</v>
      </c>
      <c r="AG109" s="1328" t="b">
        <f t="shared" si="18"/>
        <v>0</v>
      </c>
      <c r="AH109" s="1328" t="b">
        <f t="shared" si="18"/>
        <v>0</v>
      </c>
      <c r="AI109" s="1328" t="b">
        <f t="shared" si="18"/>
        <v>0</v>
      </c>
      <c r="AJ109" s="1328" t="b">
        <f t="shared" si="18"/>
        <v>0</v>
      </c>
      <c r="AK109" s="1328" t="b">
        <f t="shared" si="18"/>
        <v>0</v>
      </c>
      <c r="AL109" s="1328" t="b">
        <f t="shared" si="18"/>
        <v>0</v>
      </c>
      <c r="AM109" s="1328" t="b">
        <f t="shared" si="18"/>
        <v>0</v>
      </c>
      <c r="AN109" s="1328" t="b">
        <f t="shared" si="18"/>
        <v>0</v>
      </c>
      <c r="AO109" s="1328" t="b">
        <f t="shared" si="18"/>
        <v>0</v>
      </c>
      <c r="AP109" s="1328" t="b">
        <f t="shared" si="18"/>
        <v>0</v>
      </c>
      <c r="AQ109" s="1328" t="b">
        <f t="shared" si="18"/>
        <v>0</v>
      </c>
      <c r="AR109" s="1328" t="b">
        <f t="shared" si="18"/>
        <v>0</v>
      </c>
      <c r="AS109" s="1328" t="b">
        <f t="shared" si="18"/>
        <v>0</v>
      </c>
      <c r="AT109" s="1328" t="b">
        <f t="shared" si="18"/>
        <v>0</v>
      </c>
      <c r="AU109" s="1328" t="b">
        <f t="shared" si="18"/>
        <v>0</v>
      </c>
      <c r="AV109" s="1328" t="b">
        <f t="shared" si="18"/>
        <v>0</v>
      </c>
      <c r="AW109" s="1328" t="b">
        <f t="shared" si="18"/>
        <v>0</v>
      </c>
      <c r="AX109" s="1328" t="b">
        <f t="shared" si="18"/>
        <v>0</v>
      </c>
      <c r="AY109" s="1328" t="b">
        <f t="shared" si="18"/>
        <v>0</v>
      </c>
      <c r="AZ109" s="1328" t="b">
        <f t="shared" si="18"/>
        <v>0</v>
      </c>
      <c r="BA109" s="1328" t="b">
        <f t="shared" si="18"/>
        <v>0</v>
      </c>
      <c r="BB109" s="1328" t="b">
        <f t="shared" si="18"/>
        <v>0</v>
      </c>
      <c r="BC109" s="883"/>
      <c r="BD109" s="802"/>
      <c r="BE109" s="802"/>
      <c r="BF109" s="950"/>
      <c r="BG109" s="950"/>
      <c r="BH109" s="950"/>
      <c r="BI109" s="602"/>
      <c r="BJ109" s="602"/>
    </row>
    <row r="110" spans="1:62" s="1334" customFormat="1" ht="14.25" hidden="1" customHeight="1" x14ac:dyDescent="0.15">
      <c r="A110" s="802"/>
      <c r="B110" s="362"/>
      <c r="C110" s="802"/>
      <c r="D110" s="802"/>
      <c r="E110" s="602">
        <v>15</v>
      </c>
      <c r="F110" s="3" t="str" cm="1">
        <f t="array" aca="1" ref="F110" ca="1">OFFSET(E110,-1,1)</f>
        <v>2</v>
      </c>
      <c r="G110" s="71" t="s">
        <v>334</v>
      </c>
      <c r="H110" s="74" cm="1">
        <f t="array" ref="H110">AC110</f>
        <v>0</v>
      </c>
      <c r="I110" s="71" t="s">
        <v>1088</v>
      </c>
      <c r="J110" s="802"/>
      <c r="K110" s="824"/>
      <c r="L110" s="802"/>
      <c r="M110" s="802"/>
      <c r="N110" s="802"/>
      <c r="O110" s="802"/>
      <c r="P110" s="802"/>
      <c r="Q110" s="802"/>
      <c r="R110" s="802"/>
      <c r="S110" s="802"/>
      <c r="T110" s="388" t="b">
        <f ca="1">AND(F110&gt;0,Y109&gt;0)</f>
        <v>0</v>
      </c>
      <c r="U110" s="802"/>
      <c r="V110" s="802"/>
      <c r="W110" s="802"/>
      <c r="X110" s="1988"/>
      <c r="Y110" s="1988"/>
      <c r="Z110" s="2090"/>
      <c r="AA110" s="2092"/>
      <c r="AB110" s="7" t="str">
        <f>"5."&amp;Y109</f>
        <v>5.0</v>
      </c>
      <c r="AC110" s="192"/>
      <c r="AD110" s="130" t="s">
        <v>831</v>
      </c>
      <c r="AE110" s="1403"/>
      <c r="AF110" s="1403"/>
      <c r="AG110" s="1403"/>
      <c r="AH110" s="1403"/>
      <c r="AI110" s="134"/>
      <c r="AJ110" s="1403"/>
      <c r="AK110" s="1403"/>
      <c r="AL110" s="1403"/>
      <c r="AM110" s="1403"/>
      <c r="AN110" s="1403"/>
      <c r="AO110" s="1403"/>
      <c r="AP110" s="1403"/>
      <c r="AQ110" s="1403"/>
      <c r="AR110" s="1403"/>
      <c r="AS110" s="134"/>
      <c r="AT110" s="1403"/>
      <c r="AU110" s="1403"/>
      <c r="AV110" s="1403"/>
      <c r="AW110" s="1403"/>
      <c r="AX110" s="1403"/>
      <c r="AY110" s="1403"/>
      <c r="AZ110" s="1403"/>
      <c r="BA110" s="1403"/>
      <c r="BB110" s="1403"/>
      <c r="BC110" s="1365"/>
      <c r="BD110" s="802"/>
      <c r="BE110" s="802"/>
      <c r="BF110" s="950" t="s">
        <v>1063</v>
      </c>
      <c r="BG110" s="950" t="s">
        <v>1089</v>
      </c>
      <c r="BH110" s="950" cm="1">
        <f t="array" ref="BH110">AC110</f>
        <v>0</v>
      </c>
      <c r="BI110" s="602"/>
      <c r="BJ110" s="602" t="b">
        <v>1</v>
      </c>
    </row>
    <row r="111" spans="1:62" s="1334" customFormat="1" ht="14.25" hidden="1" customHeight="1" x14ac:dyDescent="0.15">
      <c r="A111" s="802"/>
      <c r="B111" s="362"/>
      <c r="C111" s="802"/>
      <c r="D111" s="802"/>
      <c r="E111" s="602">
        <v>15</v>
      </c>
      <c r="F111" s="3" t="str" cm="1">
        <f t="array" aca="1" ref="F111" ca="1">OFFSET(E111,-1,1)</f>
        <v>2</v>
      </c>
      <c r="G111" s="71" t="s">
        <v>579</v>
      </c>
      <c r="H111" s="74" cm="1">
        <f t="array" ref="H111">H110</f>
        <v>0</v>
      </c>
      <c r="I111" s="71" t="s">
        <v>1088</v>
      </c>
      <c r="J111" s="802"/>
      <c r="K111" s="824"/>
      <c r="L111" s="802"/>
      <c r="M111" s="802"/>
      <c r="N111" s="802"/>
      <c r="O111" s="802"/>
      <c r="P111" s="802"/>
      <c r="Q111" s="802"/>
      <c r="R111" s="802"/>
      <c r="S111" s="802"/>
      <c r="T111" s="388" t="b" cm="1">
        <f t="array" aca="1" ref="T111" ca="1">T110</f>
        <v>0</v>
      </c>
      <c r="U111" s="802"/>
      <c r="V111" s="802"/>
      <c r="W111" s="802"/>
      <c r="X111" s="1988"/>
      <c r="Y111" s="1988"/>
      <c r="Z111" s="2090"/>
      <c r="AA111" s="2092"/>
      <c r="AB111" s="7" t="str">
        <f>AB110&amp;".1"</f>
        <v>5.0.1</v>
      </c>
      <c r="AC111" s="140" t="s">
        <v>1090</v>
      </c>
      <c r="AD111" s="7" t="s">
        <v>563</v>
      </c>
      <c r="AE111" s="1403"/>
      <c r="AF111" s="1403"/>
      <c r="AG111" s="1403"/>
      <c r="AH111" s="1403"/>
      <c r="AI111" s="134"/>
      <c r="AJ111" s="1403"/>
      <c r="AK111" s="1403"/>
      <c r="AL111" s="1403"/>
      <c r="AM111" s="1403"/>
      <c r="AN111" s="1403"/>
      <c r="AO111" s="1403"/>
      <c r="AP111" s="1403"/>
      <c r="AQ111" s="1403"/>
      <c r="AR111" s="1403"/>
      <c r="AS111" s="134"/>
      <c r="AT111" s="1403"/>
      <c r="AU111" s="1403"/>
      <c r="AV111" s="1403"/>
      <c r="AW111" s="1403"/>
      <c r="AX111" s="1403"/>
      <c r="AY111" s="1403"/>
      <c r="AZ111" s="1403"/>
      <c r="BA111" s="1403"/>
      <c r="BB111" s="1403"/>
      <c r="BC111" s="1365"/>
      <c r="BD111" s="802"/>
      <c r="BE111" s="802"/>
      <c r="BF111" s="950" t="s">
        <v>1066</v>
      </c>
      <c r="BG111" s="950" t="s">
        <v>1089</v>
      </c>
      <c r="BH111" s="950" cm="1">
        <f t="array" ref="BH111">BH110</f>
        <v>0</v>
      </c>
      <c r="BI111" s="602"/>
      <c r="BJ111" s="602"/>
    </row>
    <row r="112" spans="1:62" s="1334" customFormat="1" ht="14.25" customHeight="1" x14ac:dyDescent="0.15">
      <c r="A112" s="802"/>
      <c r="B112" s="362"/>
      <c r="C112" s="802"/>
      <c r="D112" s="802"/>
      <c r="E112" s="602">
        <v>15</v>
      </c>
      <c r="F112" s="3" t="str" cm="1">
        <f t="array" aca="1" ref="F112" ca="1">OFFSET(E112,-1,1)</f>
        <v>2</v>
      </c>
      <c r="G112" s="802"/>
      <c r="H112" s="71" t="str">
        <f>"!=='не определено' &amp;&amp; row.l5 !== null"</f>
        <v>!=='не определено' &amp;&amp; row.l5 !== null</v>
      </c>
      <c r="I112" s="802"/>
      <c r="J112" s="802"/>
      <c r="K112" s="824"/>
      <c r="L112" s="802"/>
      <c r="M112" s="802"/>
      <c r="N112" s="802"/>
      <c r="O112" s="802"/>
      <c r="P112" s="802"/>
      <c r="Q112" s="802"/>
      <c r="R112" s="802"/>
      <c r="S112" s="802"/>
      <c r="T112" s="388" t="b">
        <f ca="1">F112&gt;0</f>
        <v>1</v>
      </c>
      <c r="U112" s="802"/>
      <c r="V112" s="802"/>
      <c r="W112" s="609" t="s">
        <v>1091</v>
      </c>
      <c r="X112" s="1988"/>
      <c r="Y112" s="88"/>
      <c r="Z112" s="2090"/>
      <c r="AA112" s="802"/>
      <c r="AB112" s="605"/>
      <c r="AC112" s="151" t="s">
        <v>1068</v>
      </c>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2"/>
      <c r="BD112" s="802"/>
      <c r="BE112" s="802"/>
      <c r="BF112" s="950"/>
      <c r="BG112" s="950"/>
      <c r="BH112" s="950"/>
      <c r="BI112" s="602" t="s">
        <v>1089</v>
      </c>
      <c r="BJ112" s="602"/>
    </row>
    <row r="113" spans="2:62" s="72" customFormat="1" ht="264.75" customHeight="1" x14ac:dyDescent="0.15">
      <c r="B113" s="363"/>
      <c r="E113" s="603">
        <v>15</v>
      </c>
      <c r="F113" s="3" t="str" cm="1">
        <f t="array" aca="1" ref="F113" ca="1">OFFSET(E113,-1,1)</f>
        <v>2</v>
      </c>
      <c r="G113" s="71" t="s">
        <v>544</v>
      </c>
      <c r="K113" s="824" t="str">
        <f ca="1">F88&amp;"6komm"</f>
        <v>26komm</v>
      </c>
      <c r="L113" s="828" t="str" cm="1">
        <f t="array" ref="L113">BC113</f>
        <v>учтено на 2026 год по расчету регулятора  по факту 2024 года в доле на водоотведение 0,06: объемы учтены на основании представленных счет фактур: тепло 2436,85 Гкал, горячая вода - 295,85 м3, тарифы на 2024 год учтены в соответствии с постановлениями РЭК Кузбасса для ООО "ТеплоРесурс" от 19.12.2024 № 721, от 24.07.2025 №216 без НДС: на 9 мес. на уровне установленного постановлением тарифа на 2 пол 2025 года, на 3 мес. 2026 года учтено на уровне 9 мес. 2026 с ИПЦ МИнэкономразвития России на 2026 год 105,1%: тепло 1 пол 2026 - 4292,87 руб/Гкал, 2 пол - 4511,806 руб/Гкал, на горячую воду с неизолированными стояками без полотенцесушителей на 1 полугодие - 318,33 руб./м3., 2 полугодие 334,57 руб./м3, на 1 полугодие для горячей воды   с неизолированными стояками+полотенцесущитель, тариф применен в размере 338,77 руб./м3</v>
      </c>
      <c r="T113" s="388" t="b" cm="1">
        <f t="array" aca="1" ref="T113" ca="1">T112</f>
        <v>1</v>
      </c>
      <c r="X113" s="1988"/>
      <c r="Z113" s="2090"/>
      <c r="AB113" s="130">
        <v>6</v>
      </c>
      <c r="AC113" s="131" t="s">
        <v>1092</v>
      </c>
      <c r="AD113" s="130" t="s">
        <v>831</v>
      </c>
      <c r="AE113" s="144">
        <v>826.16</v>
      </c>
      <c r="AF113" s="144">
        <v>629.13</v>
      </c>
      <c r="AG113" s="144">
        <v>538.28</v>
      </c>
      <c r="AH113" s="144">
        <v>866.64184</v>
      </c>
      <c r="AI113" s="144">
        <v>1600.65</v>
      </c>
      <c r="AJ113" s="1406"/>
      <c r="AK113" s="1406"/>
      <c r="AL113" s="1406"/>
      <c r="AM113" s="1406"/>
      <c r="AN113" s="1406"/>
      <c r="AO113" s="1406"/>
      <c r="AP113" s="144"/>
      <c r="AQ113" s="144"/>
      <c r="AR113" s="144"/>
      <c r="AS113" s="144">
        <v>695.96</v>
      </c>
      <c r="AT113" s="1406"/>
      <c r="AU113" s="1406"/>
      <c r="AV113" s="1406"/>
      <c r="AW113" s="1406"/>
      <c r="AX113" s="1406"/>
      <c r="AY113" s="1406"/>
      <c r="AZ113" s="144"/>
      <c r="BA113" s="144"/>
      <c r="BB113" s="144"/>
      <c r="BC113" s="119" t="s">
        <v>1101</v>
      </c>
      <c r="BF113" s="953" t="s">
        <v>1093</v>
      </c>
      <c r="BG113" s="953"/>
      <c r="BH113" s="953"/>
      <c r="BI113" s="603"/>
      <c r="BJ113" s="603"/>
    </row>
    <row r="114" spans="2:62" s="72" customFormat="1" ht="14.25" customHeight="1" x14ac:dyDescent="0.15">
      <c r="B114" s="363"/>
      <c r="E114" s="603">
        <v>15</v>
      </c>
      <c r="F114" s="3" t="str" cm="1">
        <f t="array" aca="1" ref="F114" ca="1">OFFSET(E114,-1,1)</f>
        <v>2</v>
      </c>
      <c r="G114" s="71" t="s">
        <v>547</v>
      </c>
      <c r="K114" s="824" t="str">
        <f ca="1">F88&amp;"7komm"</f>
        <v>27komm</v>
      </c>
      <c r="L114" s="828" cm="1">
        <f t="array" ref="L114">BC114</f>
        <v>0</v>
      </c>
      <c r="T114" s="388" t="b" cm="1">
        <f t="array" aca="1" ref="T114" ca="1">T113</f>
        <v>1</v>
      </c>
      <c r="X114" s="1988"/>
      <c r="Z114" s="2090"/>
      <c r="AB114" s="130">
        <v>7</v>
      </c>
      <c r="AC114" s="131" t="s">
        <v>1094</v>
      </c>
      <c r="AD114" s="130" t="s">
        <v>831</v>
      </c>
      <c r="AE114" s="144"/>
      <c r="AF114" s="144"/>
      <c r="AG114" s="144"/>
      <c r="AH114" s="144"/>
      <c r="AI114" s="144"/>
      <c r="AJ114" s="1406"/>
      <c r="AK114" s="1406"/>
      <c r="AL114" s="1406"/>
      <c r="AM114" s="1406"/>
      <c r="AN114" s="1406"/>
      <c r="AO114" s="1406"/>
      <c r="AP114" s="144"/>
      <c r="AQ114" s="144"/>
      <c r="AR114" s="144"/>
      <c r="AS114" s="144"/>
      <c r="AT114" s="1406"/>
      <c r="AU114" s="1406"/>
      <c r="AV114" s="1406"/>
      <c r="AW114" s="1406"/>
      <c r="AX114" s="1406"/>
      <c r="AY114" s="1406"/>
      <c r="AZ114" s="144"/>
      <c r="BA114" s="144"/>
      <c r="BB114" s="144"/>
      <c r="BC114" s="119"/>
      <c r="BF114" s="953" t="s">
        <v>1095</v>
      </c>
      <c r="BG114" s="953"/>
      <c r="BH114" s="953"/>
      <c r="BI114" s="603"/>
      <c r="BJ114" s="603"/>
    </row>
    <row r="115" spans="2:62" s="72" customFormat="1" ht="14.25" customHeight="1" x14ac:dyDescent="0.15">
      <c r="B115" s="363"/>
      <c r="E115" s="603">
        <v>15</v>
      </c>
      <c r="F115" s="3" t="str" cm="1">
        <f t="array" aca="1" ref="F115" ca="1">OFFSET(E115,-1,1)</f>
        <v>2</v>
      </c>
      <c r="G115" s="71" t="s">
        <v>591</v>
      </c>
      <c r="K115" s="824" t="str">
        <f ca="1">F88&amp;"8komm"</f>
        <v>28komm</v>
      </c>
      <c r="L115" s="828" cm="1">
        <f t="array" ref="L115">BC115</f>
        <v>0</v>
      </c>
      <c r="T115" s="388" t="b" cm="1">
        <f t="array" aca="1" ref="T115" ca="1">T114</f>
        <v>1</v>
      </c>
      <c r="X115" s="1988"/>
      <c r="Z115" s="2090"/>
      <c r="AB115" s="130">
        <v>8</v>
      </c>
      <c r="AC115" s="131" t="s">
        <v>1096</v>
      </c>
      <c r="AD115" s="130" t="s">
        <v>831</v>
      </c>
      <c r="AE115" s="144"/>
      <c r="AF115" s="144"/>
      <c r="AG115" s="144"/>
      <c r="AH115" s="144"/>
      <c r="AI115" s="144"/>
      <c r="AJ115" s="1406"/>
      <c r="AK115" s="1406"/>
      <c r="AL115" s="1406"/>
      <c r="AM115" s="1406"/>
      <c r="AN115" s="1406"/>
      <c r="AO115" s="1406"/>
      <c r="AP115" s="144"/>
      <c r="AQ115" s="144"/>
      <c r="AR115" s="144"/>
      <c r="AS115" s="144"/>
      <c r="AT115" s="1406"/>
      <c r="AU115" s="1406"/>
      <c r="AV115" s="1406"/>
      <c r="AW115" s="1406"/>
      <c r="AX115" s="1406"/>
      <c r="AY115" s="1406"/>
      <c r="AZ115" s="144"/>
      <c r="BA115" s="144"/>
      <c r="BB115" s="144"/>
      <c r="BC115" s="119"/>
      <c r="BF115" s="953" t="s">
        <v>1097</v>
      </c>
      <c r="BG115" s="953"/>
      <c r="BH115" s="953"/>
      <c r="BI115" s="603"/>
      <c r="BJ115" s="603"/>
    </row>
    <row r="116" spans="2:62" s="72" customFormat="1" ht="14.25" customHeight="1" x14ac:dyDescent="0.15">
      <c r="B116" s="363"/>
      <c r="E116" s="603">
        <v>15</v>
      </c>
      <c r="F116" s="3" t="str" cm="1">
        <f t="array" aca="1" ref="F116" ca="1">OFFSET(E116,-1,1)</f>
        <v>2</v>
      </c>
      <c r="G116" s="71"/>
      <c r="K116" s="824" t="str">
        <f ca="1">F88&amp;"9komm"</f>
        <v>29komm</v>
      </c>
      <c r="L116" s="828" cm="1">
        <f t="array" ref="L116">BC116</f>
        <v>0</v>
      </c>
      <c r="T116" s="388" t="b" cm="1">
        <f t="array" aca="1" ref="T116" ca="1">T115</f>
        <v>1</v>
      </c>
      <c r="X116" s="1988"/>
      <c r="Z116" s="2090"/>
      <c r="AB116" s="130">
        <v>9</v>
      </c>
      <c r="AC116" s="131" t="s">
        <v>1098</v>
      </c>
      <c r="AD116" s="130" t="s">
        <v>831</v>
      </c>
      <c r="AE116" s="144"/>
      <c r="AF116" s="144"/>
      <c r="AG116" s="144"/>
      <c r="AH116" s="144"/>
      <c r="AI116" s="144"/>
      <c r="AJ116" s="1406"/>
      <c r="AK116" s="1406"/>
      <c r="AL116" s="1406"/>
      <c r="AM116" s="1406"/>
      <c r="AN116" s="1406"/>
      <c r="AO116" s="1406"/>
      <c r="AP116" s="144"/>
      <c r="AQ116" s="144"/>
      <c r="AR116" s="144"/>
      <c r="AS116" s="144"/>
      <c r="AT116" s="1406"/>
      <c r="AU116" s="1406"/>
      <c r="AV116" s="1406"/>
      <c r="AW116" s="1406"/>
      <c r="AX116" s="1406"/>
      <c r="AY116" s="1406"/>
      <c r="AZ116" s="144"/>
      <c r="BA116" s="144"/>
      <c r="BB116" s="144"/>
      <c r="BC116" s="119"/>
      <c r="BF116" s="953" t="s">
        <v>1099</v>
      </c>
      <c r="BG116" s="953"/>
      <c r="BH116" s="953"/>
      <c r="BI116" s="603"/>
      <c r="BJ116" s="603"/>
    </row>
    <row r="117" spans="2:62" ht="10.15" customHeight="1" x14ac:dyDescent="0.15">
      <c r="E117" s="602">
        <v>10.5</v>
      </c>
      <c r="U117" s="68" t="s">
        <v>176</v>
      </c>
      <c r="V117" s="59" t="s">
        <v>1102</v>
      </c>
    </row>
    <row r="118" spans="2:62" ht="14.65" customHeight="1" x14ac:dyDescent="0.15">
      <c r="E118" s="602">
        <v>15</v>
      </c>
      <c r="AA118" s="17"/>
      <c r="AB118" s="2035" t="s">
        <v>402</v>
      </c>
      <c r="AC118" s="2035"/>
      <c r="AD118" s="2035"/>
      <c r="AE118" s="2035"/>
      <c r="AF118" s="2035"/>
      <c r="AG118" s="2035"/>
      <c r="AH118" s="2035"/>
      <c r="AI118" s="2068"/>
      <c r="AJ118" s="2068"/>
      <c r="AK118" s="2068"/>
      <c r="AL118" s="2068"/>
      <c r="AM118" s="2068"/>
      <c r="AN118" s="2068"/>
      <c r="AO118" s="2068"/>
      <c r="AP118" s="2068"/>
      <c r="AQ118" s="2068"/>
      <c r="AR118" s="2068"/>
      <c r="AS118" s="2068"/>
      <c r="AT118" s="2068"/>
      <c r="AU118" s="2068"/>
      <c r="AV118" s="2068"/>
      <c r="AW118" s="2068"/>
      <c r="AX118" s="2068"/>
      <c r="AY118" s="2068"/>
      <c r="AZ118" s="2068"/>
      <c r="BA118" s="2068"/>
      <c r="BB118" s="2068"/>
      <c r="BC118" s="2068"/>
      <c r="BD118" s="17"/>
    </row>
    <row r="119" spans="2:62" ht="14.65" customHeight="1" x14ac:dyDescent="0.15">
      <c r="E119" s="602">
        <v>15</v>
      </c>
      <c r="AA119" s="585"/>
      <c r="AB119" s="2069"/>
      <c r="AC119" s="2069"/>
      <c r="AD119" s="2069"/>
      <c r="AE119" s="2069"/>
      <c r="AF119" s="2069"/>
      <c r="AG119" s="2069"/>
      <c r="AH119" s="2069"/>
      <c r="AI119" s="2070"/>
      <c r="AJ119" s="2082"/>
      <c r="AK119" s="2082"/>
      <c r="AL119" s="2082"/>
      <c r="AM119" s="2082"/>
      <c r="AN119" s="2082"/>
      <c r="AO119" s="2082"/>
      <c r="AP119" s="2082"/>
      <c r="AQ119" s="2082"/>
      <c r="AR119" s="2082"/>
      <c r="AS119" s="2070"/>
      <c r="AT119" s="2082"/>
      <c r="AU119" s="2082"/>
      <c r="AV119" s="2082"/>
      <c r="AW119" s="2082"/>
      <c r="AX119" s="2082"/>
      <c r="AY119" s="2082"/>
      <c r="AZ119" s="2082"/>
      <c r="BA119" s="2082"/>
      <c r="BB119" s="2082"/>
      <c r="BC119" s="2070"/>
      <c r="BD119" s="17"/>
    </row>
    <row r="120" spans="2:62" ht="14.65" hidden="1" customHeight="1" x14ac:dyDescent="0.15">
      <c r="E120" s="602">
        <v>15</v>
      </c>
      <c r="T120" s="388" t="b">
        <f>ROW(W120)&gt;ROW(W$120)</f>
        <v>0</v>
      </c>
      <c r="W120" s="677" t="s">
        <v>172</v>
      </c>
      <c r="AA120" s="596" t="s">
        <v>173</v>
      </c>
      <c r="AB120" s="2081" t="s">
        <v>147</v>
      </c>
      <c r="AC120" s="2081"/>
      <c r="AD120" s="2081"/>
      <c r="AE120" s="2081"/>
      <c r="AF120" s="2081"/>
      <c r="AG120" s="2081"/>
      <c r="AH120" s="2081"/>
      <c r="AI120" s="2070"/>
      <c r="AJ120" s="2082"/>
      <c r="AK120" s="2082"/>
      <c r="AL120" s="2082"/>
      <c r="AM120" s="2082"/>
      <c r="AN120" s="2082"/>
      <c r="AO120" s="2082"/>
      <c r="AP120" s="2082"/>
      <c r="AQ120" s="2082"/>
      <c r="AR120" s="2082"/>
      <c r="AS120" s="2070"/>
      <c r="AT120" s="2082"/>
      <c r="AU120" s="2082"/>
      <c r="AV120" s="2082"/>
      <c r="AW120" s="2082"/>
      <c r="AX120" s="2082"/>
      <c r="AY120" s="2082"/>
      <c r="AZ120" s="2082"/>
      <c r="BA120" s="2082"/>
      <c r="BB120" s="2082"/>
      <c r="BC120" s="2082"/>
      <c r="BD120" s="17"/>
    </row>
    <row r="121" spans="2:62" ht="14.65" customHeight="1" x14ac:dyDescent="0.15">
      <c r="E121" s="602">
        <v>15</v>
      </c>
      <c r="W121" s="677" t="s">
        <v>403</v>
      </c>
      <c r="AA121" s="17"/>
      <c r="AB121" s="606"/>
      <c r="AC121" s="437" t="s">
        <v>404</v>
      </c>
      <c r="AD121" s="227"/>
      <c r="AE121" s="227"/>
      <c r="AF121" s="228"/>
      <c r="AG121" s="228"/>
      <c r="AH121" s="228"/>
      <c r="AI121" s="228"/>
      <c r="AJ121" s="228"/>
      <c r="AK121" s="228"/>
      <c r="AL121" s="228"/>
      <c r="AM121" s="228"/>
      <c r="AN121" s="228"/>
      <c r="AO121" s="228"/>
      <c r="AP121" s="228"/>
      <c r="AQ121" s="228"/>
      <c r="AR121" s="228"/>
      <c r="AS121" s="228"/>
      <c r="AT121" s="228"/>
      <c r="AU121" s="228"/>
      <c r="AV121" s="228"/>
      <c r="AW121" s="228"/>
      <c r="AX121" s="228"/>
      <c r="AY121" s="228"/>
      <c r="AZ121" s="228"/>
      <c r="BA121" s="228"/>
      <c r="BB121" s="228"/>
      <c r="BC121" s="229"/>
      <c r="BD121" s="17"/>
    </row>
    <row r="122" spans="2:62" ht="10.9" customHeight="1" x14ac:dyDescent="0.15">
      <c r="E122" s="602">
        <v>11.25</v>
      </c>
      <c r="BD122" s="348"/>
    </row>
  </sheetData>
  <sheetProtection formatColumns="0" formatRows="0" insertRows="0" deleteColumns="0" deleteRows="0" sort="0" autoFilter="0"/>
  <mergeCells count="43">
    <mergeCell ref="X87:X116"/>
    <mergeCell ref="Z87:Z116"/>
    <mergeCell ref="Y89:Y91"/>
    <mergeCell ref="AA89:AA91"/>
    <mergeCell ref="Y94:Y96"/>
    <mergeCell ref="AA94:AA96"/>
    <mergeCell ref="Y99:Y101"/>
    <mergeCell ref="AA99:AA101"/>
    <mergeCell ref="Y104:Y106"/>
    <mergeCell ref="AA104:AA106"/>
    <mergeCell ref="Y109:Y111"/>
    <mergeCell ref="AA109:AA111"/>
    <mergeCell ref="X57:X86"/>
    <mergeCell ref="Z57:Z86"/>
    <mergeCell ref="Y59:Y61"/>
    <mergeCell ref="AA59:AA61"/>
    <mergeCell ref="Y64:Y66"/>
    <mergeCell ref="AA64:AA66"/>
    <mergeCell ref="Y69:Y71"/>
    <mergeCell ref="AA69:AA71"/>
    <mergeCell ref="Y74:Y76"/>
    <mergeCell ref="AA74:AA76"/>
    <mergeCell ref="Y79:Y81"/>
    <mergeCell ref="AA79:AA81"/>
    <mergeCell ref="AB120:BC120"/>
    <mergeCell ref="AB118:BC118"/>
    <mergeCell ref="AB119:BC119"/>
    <mergeCell ref="AB24:AB25"/>
    <mergeCell ref="AC24:AC25"/>
    <mergeCell ref="AD24:AD25"/>
    <mergeCell ref="BC24:BC25"/>
    <mergeCell ref="X27:X56"/>
    <mergeCell ref="Z27:Z56"/>
    <mergeCell ref="Y29:Y31"/>
    <mergeCell ref="AA29:AA31"/>
    <mergeCell ref="Y34:Y36"/>
    <mergeCell ref="AA34:AA36"/>
    <mergeCell ref="Y39:Y41"/>
    <mergeCell ref="AA39:AA41"/>
    <mergeCell ref="Y44:Y46"/>
    <mergeCell ref="AA44:AA46"/>
    <mergeCell ref="Y49:Y51"/>
    <mergeCell ref="AA49:AA51"/>
  </mergeCells>
  <dataValidations count="1">
    <dataValidation type="decimal" allowBlank="1" showErrorMessage="1" errorTitle="Ошибка" error="Допускается ввод только неотрицательных чисел!" sqref="AE35:BB36 AE50:BB51 AE40:BB41 AE45:BB46 AE30:BB31 BB53:BB56 BB60:BB61 BB65:BB66 BB70:BB71 BB75:BB76 BB80:BB81 BB83:BB86 BB90:BB91 BB95:BB96 BB100:BB101 BB105:BB106 BB110:BB111 BB113:BB116 BA53:BA56 BA60:BA61 BA65:BA66 BA70:BA71 BA75:BA76 BA80:BA81 BA83:BA86 BA90:BA91 BA95:BA96 BA100:BA101 BA105:BA106 BA110:BA111 BA113:BA116 AZ53:AZ56 AZ60:AZ61 AZ65:AZ66 AZ70:AZ71 AZ75:AZ76 AZ80:AZ81 AZ83:AZ86 AZ90:AZ91 AZ95:AZ96 AZ100:AZ101 AZ105:AZ106 AZ110:AZ111 AZ113:AZ116 AY53:AY56 AY60:AY61 AY65:AY66 AY70:AY71 AY75:AY76 AY80:AY81 AY83:AY86 AY90:AY91 AY95:AY96 AY100:AY101 AY105:AY106 AY110:AY111 AY113:AY116 AX53:AX56 AX60:AX61 AX65:AX66 AX70:AX71 AX75:AX76 AX80:AX81 AX83:AX86 AX90:AX91 AX95:AX96 AX100:AX101 AX105:AX106 AX110:AX111 AX113:AX116 AW53:AW56 AW60:AW61 AW65:AW66 AW70:AW71 AW75:AW76 AW80:AW81 AW83:AW86 AW90:AW91 AW95:AW96 AW100:AW101 AW105:AW106 AW110:AW111 AW113:AW116 AV53:AV56 AV60:AV61 AV65:AV66 AV70:AV71 AV75:AV76 AV80:AV81 AV83:AV86 AV90:AV91 AV95:AV96 AV100:AV101 AV105:AV106 AV110:AV111 AV113:AV116 AU53:AU56 AU60:AU61 AU65:AU66 AU70:AU71 AU75:AU76 AU80:AU81 AU83:AU86 AU90:AU91 AU95:AU96 AU100:AU101 AU105:AU106 AU110:AU111 AU113:AU116 AT53:AT56 AT60:AT61 AT65:AT66 AT70:AT71 AT75:AT76 AT80:AT81 AT83:AT86 AT90:AT91 AT95:AT96 AT100:AT101 AT105:AT106 AT110:AT111 AT113:AT116 AS53:AS56 AS60:AS61 AS65:AS66 AS70:AS71 AS75:AS76 AS80:AS81 AS83:AS86 AS90:AS91 AS95:AS96 AS100:AS101 AS105:AS106 AS110:AS111 AS113:AS116 AR53:AR56 AR60:AR61 AR65:AR66 AR70:AR71 AR75:AR76 AR80:AR81 AR83:AR86 AR90:AR91 AR95:AR96 AR100:AR101 AR105:AR106 AR110:AR111 AR113:AR116 AQ53:AQ56 AQ60:AQ61 AQ65:AQ66 AQ70:AQ71 AQ75:AQ76 AQ80:AQ81 AQ83:AQ86 AQ90:AQ91 AQ95:AQ96 AQ100:AQ101 AQ105:AQ106 AQ110:AQ111 AQ113:AQ116 AP53:AP56 AP60:AP61 AP65:AP66 AP70:AP71 AP75:AP76 AP80:AP81 AP83:AP86 AP90:AP91 AP95:AP96 AP100:AP101 AP105:AP106 AP110:AP111 AP113:AP116 AO53:AO56 AO60:AO61 AO65:AO66 AO70:AO71 AO75:AO76 AO80:AO81 AO83:AO86 AO90:AO91 AO95:AO96 AO100:AO101 AO105:AO106 AO110:AO111 AO113:AO116 AN53:AN56 AN60:AN61 AN65:AN66 AN70:AN71 AN75:AN76 AN80:AN81 AN83:AN86 AN90:AN91 AN95:AN96 AN100:AN101 AN105:AN106 AN110:AN111 AN113:AN116 AM53:AM56 AM60:AM61 AM65:AM66 AM70:AM71 AM75:AM76 AM80:AM81 AM83:AM86 AM90:AM91 AM95:AM96 AM100:AM101 AM105:AM106 AM110:AM111 AM113:AM116 AL53:AL56 AL60:AL61 AL65:AL66 AL70:AL71 AL75:AL76 AL80:AL81 AL83:AL86 AL90:AL91 AL95:AL96 AL100:AL101 AL105:AL106 AL110:AL111 AL113:AL116 AK53:AK56 AK60:AK61 AK65:AK66 AK70:AK71 AK75:AK76 AK80:AK81 AK83:AK86 AK90:AK91 AK95:AK96 AK100:AK101 AK105:AK106 AK110:AK111 AK113:AK116 AJ53:AJ56 AJ60:AJ61 AJ65:AJ66 AJ70:AJ71 AJ75:AJ76 AJ80:AJ81 AJ83:AJ86 AJ90:AJ91 AJ95:AJ96 AJ100:AJ101 AJ105:AJ106 AJ110:AJ111 AJ113:AJ116 AI53:AI56 AI60:AI61 AI65:AI66 AI70:AI71 AI75:AI76 AI80:AI81 AI83:AI86 AI90:AI91 AI95:AI96 AI100:AI101 AI105:AI106 AI110:AI111 AI113:AI116 AH53:AH56 AH60:AH61 AH65:AH66 AH70:AH71 AH75:AH76 AH80:AH81 AH83:AH86 AH90:AH91 AH95:AH96 AH100:AH101 AH105:AH106 AH110:AH111 AH113:AH116 AG53:AG56 AG60:AG61 AG65:AG66 AG70:AG71 AG75:AG76 AG80:AG81 AG83:AG86 AG90:AG91 AG95:AG96 AG100:AG101 AG105:AG106 AG110:AG111 AG113:AG116 AF53:AF56 AF60:AF61 AF65:AF66 AF70:AF71 AF75:AF76 AF80:AF81 AF83:AF86 AF90:AF91 AF95:AF96 AF100:AF101 AF105:AF106 AF110:AF111 AF113:AF116 AE53:AE56 AE60:AE61 AE65:AE66 AE70:AE71 AE75:AE76 AE80:AE81 AE83:AE86 AE90:AE91 AE95:AE96 AE100:AE101 AE105:AE106 AE110:AE111 AE113:AE116" xr:uid="{00000000-0002-0000-11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C0D85-F7B5-82B9-BFEF-E0A6D9FCD338}">
  <sheetPr>
    <tabColor rgb="FF002060"/>
    <outlinePr summaryBelow="0"/>
    <pageSetUpPr fitToPage="1"/>
  </sheetPr>
  <dimension ref="A1:AR143"/>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214" hidden="1" customWidth="1"/>
    <col min="2" max="2" width="8.5703125" style="1083" hidden="1" customWidth="1"/>
    <col min="3" max="4" width="3.5703125" style="1214" hidden="1" customWidth="1"/>
    <col min="5" max="5" width="3.5703125" style="1215" hidden="1" customWidth="1"/>
    <col min="6" max="6" width="3.5703125" style="1214" hidden="1" customWidth="1"/>
    <col min="7" max="7" width="9.85546875" style="1222" hidden="1" customWidth="1"/>
    <col min="8" max="10" width="3.5703125" style="1214" hidden="1" customWidth="1"/>
    <col min="11" max="11" width="6.42578125" style="1222" hidden="1" customWidth="1"/>
    <col min="12" max="12" width="3.5703125" style="1222" hidden="1" customWidth="1"/>
    <col min="13" max="17" width="3.5703125" style="1214" hidden="1" customWidth="1"/>
    <col min="18" max="18" width="3.5703125" style="1232" hidden="1" customWidth="1"/>
    <col min="19" max="19" width="3.5703125" style="1214" hidden="1" customWidth="1"/>
    <col min="20" max="20" width="11.140625" style="1214" hidden="1" customWidth="1"/>
    <col min="21" max="21" width="5.85546875" style="1214" hidden="1" customWidth="1"/>
    <col min="22" max="23" width="6.140625" style="1214" hidden="1" customWidth="1"/>
    <col min="24" max="25" width="5.5703125" style="1214" hidden="1" customWidth="1"/>
    <col min="26" max="26" width="5.28515625" style="1214" hidden="1" customWidth="1"/>
    <col min="27" max="27" width="3" style="1214" customWidth="1"/>
    <col min="28" max="28" width="11" style="1214" customWidth="1"/>
    <col min="29" max="29" width="56.7109375" style="1214" customWidth="1"/>
    <col min="30" max="30" width="12" style="1214" customWidth="1"/>
    <col min="31" max="36" width="13" style="1214" customWidth="1"/>
    <col min="37" max="37" width="20" style="1214" customWidth="1"/>
    <col min="38" max="38" width="3" style="1214" customWidth="1"/>
    <col min="39" max="39" width="9.140625" style="1214" hidden="1"/>
    <col min="40" max="42" width="9.140625" style="1216" hidden="1"/>
    <col min="43" max="44" width="9.140625" style="1215" hidden="1"/>
  </cols>
  <sheetData>
    <row r="1" spans="1:44" ht="11.25" hidden="1" customHeight="1" x14ac:dyDescent="0.15">
      <c r="E1" s="17"/>
      <c r="F1" s="17" t="s">
        <v>319</v>
      </c>
      <c r="H1" s="17" t="s">
        <v>330</v>
      </c>
      <c r="I1" s="17" t="s">
        <v>354</v>
      </c>
      <c r="T1" s="388" t="s">
        <v>92</v>
      </c>
      <c r="U1" s="388" t="s">
        <v>97</v>
      </c>
      <c r="V1" s="388" t="s">
        <v>93</v>
      </c>
      <c r="W1" s="388" t="s">
        <v>94</v>
      </c>
      <c r="X1" s="388" t="s">
        <v>95</v>
      </c>
      <c r="Y1" s="390" t="s">
        <v>321</v>
      </c>
      <c r="Z1" s="388" t="s">
        <v>99</v>
      </c>
      <c r="AA1" s="390" t="s">
        <v>96</v>
      </c>
      <c r="AB1" s="337"/>
      <c r="AC1" s="389" t="s">
        <v>98</v>
      </c>
      <c r="AN1" s="924" t="s">
        <v>322</v>
      </c>
      <c r="AO1" s="924" t="s">
        <v>323</v>
      </c>
      <c r="AP1" s="924" t="s">
        <v>324</v>
      </c>
      <c r="AQ1" s="556" t="s">
        <v>327</v>
      </c>
      <c r="AR1" s="556" t="s">
        <v>328</v>
      </c>
    </row>
    <row r="2" spans="1:44" s="1083" customFormat="1" ht="11.25" hidden="1" customHeight="1" x14ac:dyDescent="0.15">
      <c r="B2" s="367" t="s">
        <v>18</v>
      </c>
      <c r="G2" s="408"/>
      <c r="K2" s="408"/>
      <c r="L2" s="408"/>
      <c r="AI2" s="368" t="b">
        <f>AI11&lt;=last_year_vis</f>
        <v>1</v>
      </c>
      <c r="AJ2" s="368" t="b">
        <f>AJ11&lt;=last_year_vis</f>
        <v>1</v>
      </c>
      <c r="AN2" s="925"/>
      <c r="AO2" s="925"/>
      <c r="AP2" s="925"/>
      <c r="AQ2" s="938"/>
      <c r="AR2" s="938"/>
    </row>
    <row r="3" spans="1:44" ht="11.25" hidden="1" customHeight="1" x14ac:dyDescent="0.15">
      <c r="E3" s="17"/>
    </row>
    <row r="4" spans="1:44" ht="11.25" hidden="1" customHeight="1" x14ac:dyDescent="0.15">
      <c r="E4" s="17"/>
    </row>
    <row r="5" spans="1:44" s="1215" customFormat="1" ht="11.25" hidden="1" customHeight="1" x14ac:dyDescent="0.15">
      <c r="A5" s="17"/>
      <c r="B5" s="349"/>
      <c r="C5" s="17"/>
      <c r="D5" s="17"/>
      <c r="E5" s="556" t="s">
        <v>19</v>
      </c>
      <c r="G5" s="611"/>
      <c r="K5" s="611"/>
      <c r="L5" s="611"/>
      <c r="R5" s="541"/>
      <c r="AA5" s="556">
        <v>3</v>
      </c>
      <c r="AB5" s="556">
        <v>11</v>
      </c>
      <c r="AC5" s="556">
        <v>56.71</v>
      </c>
      <c r="AD5" s="556">
        <v>12</v>
      </c>
      <c r="AE5" s="556">
        <v>13</v>
      </c>
      <c r="AF5" s="556">
        <v>13</v>
      </c>
      <c r="AG5" s="556">
        <v>13</v>
      </c>
      <c r="AH5" s="556">
        <v>13</v>
      </c>
      <c r="AI5" s="556">
        <v>13</v>
      </c>
      <c r="AJ5" s="556">
        <v>13</v>
      </c>
      <c r="AK5" s="556">
        <v>20</v>
      </c>
      <c r="AL5" s="556">
        <v>3</v>
      </c>
      <c r="AN5" s="924"/>
      <c r="AO5" s="924"/>
      <c r="AP5" s="924"/>
    </row>
    <row r="6" spans="1:44" ht="11.25" hidden="1" customHeight="1" x14ac:dyDescent="0.15"/>
    <row r="7" spans="1:44" s="1216" customFormat="1" ht="11.25" hidden="1" customHeight="1" x14ac:dyDescent="0.15">
      <c r="A7" s="924" t="s">
        <v>362</v>
      </c>
      <c r="B7" s="925"/>
      <c r="G7" s="940"/>
      <c r="K7" s="940"/>
      <c r="L7" s="940"/>
      <c r="R7" s="926"/>
      <c r="AE7" s="924" cm="1">
        <f t="array" ref="AE7">AE11</f>
        <v>2024</v>
      </c>
      <c r="AF7" s="924" cm="1">
        <f t="array" ref="AF7">AF11</f>
        <v>2024</v>
      </c>
      <c r="AG7" s="924" cm="1">
        <f t="array" ref="AG7">AG11</f>
        <v>2024</v>
      </c>
      <c r="AH7" s="924" cm="1">
        <f t="array" ref="AH7">AH11</f>
        <v>2025</v>
      </c>
      <c r="AI7" s="924" cm="1">
        <f t="array" ref="AI7">AI11</f>
        <v>2026</v>
      </c>
      <c r="AJ7" s="924" cm="1">
        <f t="array" ref="AJ7">AJ11</f>
        <v>2026</v>
      </c>
      <c r="AQ7" s="556"/>
      <c r="AR7" s="556"/>
    </row>
    <row r="8" spans="1:44" s="1216" customFormat="1" ht="11.25" hidden="1" customHeight="1" x14ac:dyDescent="0.15">
      <c r="A8" s="924" t="s">
        <v>363</v>
      </c>
      <c r="B8" s="925"/>
      <c r="G8" s="940"/>
      <c r="K8" s="940"/>
      <c r="L8" s="940"/>
      <c r="R8" s="926"/>
      <c r="AE8" s="924" t="str" cm="1">
        <f t="array" ref="AE8">AE25</f>
        <v>Принято органом регулирования</v>
      </c>
      <c r="AF8" s="924" t="str" cm="1">
        <f t="array" ref="AF8">AF25</f>
        <v>Факт по данным организации</v>
      </c>
      <c r="AG8" s="924" t="str" cm="1">
        <f t="array" ref="AG8">AG25</f>
        <v>Факт, принятый органом регулирования</v>
      </c>
      <c r="AH8" s="924" t="str" cm="1">
        <f t="array" ref="AH8">AH25</f>
        <v>Принято органом регулирования</v>
      </c>
      <c r="AI8" s="924" t="str" cm="1">
        <f t="array" ref="AI8">AI25</f>
        <v>Предложение организации</v>
      </c>
      <c r="AJ8" s="924" t="str" cm="1">
        <f t="array" ref="AJ8">AJ25</f>
        <v>Принято органом регулирования</v>
      </c>
      <c r="AQ8" s="556"/>
      <c r="AR8" s="556"/>
    </row>
    <row r="9" spans="1:44" s="1216" customFormat="1" ht="11.25" hidden="1" customHeight="1" x14ac:dyDescent="0.15">
      <c r="A9" s="924" t="s">
        <v>364</v>
      </c>
      <c r="B9" s="925"/>
      <c r="G9" s="940"/>
      <c r="K9" s="940"/>
      <c r="L9" s="940"/>
      <c r="R9" s="926"/>
      <c r="AK9" s="924" t="str" cm="1">
        <f t="array" ref="AK9">AK24</f>
        <v>Ссылка на правовую норму (основание для принятия показателя в расчет тарифа)</v>
      </c>
      <c r="AQ9" s="556"/>
      <c r="AR9" s="556"/>
    </row>
    <row r="10" spans="1:44" s="1216" customFormat="1" ht="11.25" hidden="1" customHeight="1" x14ac:dyDescent="0.15">
      <c r="A10" s="924" t="s">
        <v>337</v>
      </c>
      <c r="B10" s="925"/>
      <c r="G10" s="940"/>
      <c r="K10" s="940"/>
      <c r="L10" s="940"/>
      <c r="R10" s="926"/>
      <c r="AC10" s="924" t="s">
        <v>324</v>
      </c>
      <c r="AQ10" s="556"/>
      <c r="AR10" s="556"/>
    </row>
    <row r="11" spans="1:44" ht="11.25" hidden="1" customHeight="1" x14ac:dyDescent="0.15">
      <c r="A11" s="17" t="s">
        <v>357</v>
      </c>
      <c r="AE11" s="17">
        <f>god-2</f>
        <v>2024</v>
      </c>
      <c r="AF11" s="17">
        <f>god-2</f>
        <v>2024</v>
      </c>
      <c r="AG11" s="17">
        <f>god-2</f>
        <v>2024</v>
      </c>
      <c r="AH11" s="17">
        <f>god-1</f>
        <v>2025</v>
      </c>
      <c r="AI11" s="17" cm="1">
        <f t="array" ref="AI11">god</f>
        <v>2026</v>
      </c>
      <c r="AJ11" s="17" cm="1">
        <f t="array" ref="AJ11">god</f>
        <v>2026</v>
      </c>
      <c r="AK11" s="71"/>
    </row>
    <row r="12" spans="1:44" ht="11.25" hidden="1" customHeight="1" x14ac:dyDescent="0.15">
      <c r="A12" s="17" t="s">
        <v>358</v>
      </c>
      <c r="AE12" s="41" t="str" cm="1">
        <f t="array" ref="AE12">AE25</f>
        <v>Принято органом регулирования</v>
      </c>
      <c r="AF12" s="41" t="str" cm="1">
        <f t="array" ref="AF12">AF25</f>
        <v>Факт по данным организации</v>
      </c>
      <c r="AG12" s="41" t="str" cm="1">
        <f t="array" ref="AG12">AG25</f>
        <v>Факт, принятый органом регулирования</v>
      </c>
      <c r="AH12" s="41" t="str" cm="1">
        <f t="array" ref="AH12">AH25</f>
        <v>Принято органом регулирования</v>
      </c>
      <c r="AI12" s="41" t="str" cm="1">
        <f t="array" ref="AI12">AI25</f>
        <v>Предложение организации</v>
      </c>
      <c r="AJ12" s="41" t="str" cm="1">
        <f t="array" ref="AJ12">AJ25</f>
        <v>Принято органом регулирования</v>
      </c>
    </row>
    <row r="13" spans="1:44" ht="11.25" hidden="1" customHeight="1" x14ac:dyDescent="0.15">
      <c r="AE13" s="41" t="str">
        <f t="shared" ref="AE13:AJ13" si="0">AE11&amp;AE12</f>
        <v>2024Принято органом регулирования</v>
      </c>
      <c r="AF13" s="41" t="str">
        <f t="shared" si="0"/>
        <v>2024Факт по данным организации</v>
      </c>
      <c r="AG13" s="41" t="str">
        <f t="shared" si="0"/>
        <v>2024Факт, принятый органом регулирования</v>
      </c>
      <c r="AH13" s="41" t="str">
        <f t="shared" si="0"/>
        <v>2025Принято органом регулирования</v>
      </c>
      <c r="AI13" s="41" t="str">
        <f t="shared" si="0"/>
        <v>2026Предложение организации</v>
      </c>
      <c r="AJ13" s="41" t="str">
        <f t="shared" si="0"/>
        <v>2026Принято органом регулирования</v>
      </c>
    </row>
    <row r="14" spans="1:44" ht="11.25" hidden="1" customHeight="1" x14ac:dyDescent="0.15"/>
    <row r="15" spans="1:44" ht="11.25" hidden="1" customHeight="1" x14ac:dyDescent="0.15"/>
    <row r="16" spans="1:44" ht="11.25" hidden="1" customHeight="1" x14ac:dyDescent="0.15"/>
    <row r="17" spans="1:44" ht="11.25" hidden="1" customHeight="1" x14ac:dyDescent="0.15">
      <c r="AK17" s="71"/>
    </row>
    <row r="18" spans="1:44" ht="11.25" hidden="1" customHeight="1" x14ac:dyDescent="0.15">
      <c r="A18" s="17" t="s">
        <v>365</v>
      </c>
      <c r="AC18" s="17" t="s">
        <v>194</v>
      </c>
    </row>
    <row r="19" spans="1:44" ht="11.25" hidden="1" customHeight="1" x14ac:dyDescent="0.15"/>
    <row r="20" spans="1:44" ht="11.25" hidden="1" customHeight="1" x14ac:dyDescent="0.15"/>
    <row r="21" spans="1:44" ht="14.65" customHeight="1" x14ac:dyDescent="0.15">
      <c r="E21" s="556">
        <v>15</v>
      </c>
      <c r="AA21" s="581"/>
      <c r="AC21" s="3" t="str" cm="1">
        <f t="array" ref="AC21">tpl_title</f>
        <v>Кемеровская область / 2026 / ООО "Чистая вода" (ИНН:4246023100, КПП:424601001) / ДПР: 2024-2032</v>
      </c>
    </row>
    <row r="22" spans="1:44" s="1249" customFormat="1" ht="19.7" customHeight="1" x14ac:dyDescent="0.15">
      <c r="B22" s="349"/>
      <c r="E22" s="557">
        <v>20.25</v>
      </c>
      <c r="G22" s="407"/>
      <c r="K22" s="407"/>
      <c r="L22" s="407"/>
      <c r="R22" s="3"/>
      <c r="AB22" s="235" t="s">
        <v>1103</v>
      </c>
      <c r="AC22" s="266"/>
      <c r="AD22" s="266"/>
      <c r="AE22" s="266"/>
      <c r="AF22" s="266"/>
      <c r="AG22" s="266"/>
      <c r="AH22" s="266"/>
      <c r="AI22" s="266"/>
      <c r="AJ22" s="266"/>
      <c r="AK22" s="266"/>
      <c r="AN22" s="927"/>
      <c r="AO22" s="927"/>
      <c r="AP22" s="927"/>
      <c r="AQ22" s="557"/>
      <c r="AR22" s="557"/>
    </row>
    <row r="23" spans="1:44" s="1249" customFormat="1" ht="10.9" customHeight="1" x14ac:dyDescent="0.15">
      <c r="B23" s="349"/>
      <c r="C23" s="416"/>
      <c r="D23" s="416"/>
      <c r="E23" s="759">
        <v>11.25</v>
      </c>
      <c r="F23" s="416"/>
      <c r="G23" s="416"/>
      <c r="H23" s="416"/>
      <c r="I23" s="416"/>
      <c r="J23" s="416"/>
      <c r="K23" s="407"/>
      <c r="L23" s="407"/>
      <c r="M23" s="416"/>
      <c r="N23" s="416"/>
      <c r="O23" s="416"/>
      <c r="P23" s="416"/>
      <c r="Q23" s="416"/>
      <c r="R23" s="290"/>
      <c r="S23" s="416"/>
      <c r="T23" s="416"/>
      <c r="U23" s="416"/>
      <c r="V23" s="416"/>
      <c r="W23" s="416"/>
      <c r="X23" s="416"/>
      <c r="Y23" s="416"/>
      <c r="Z23" s="416"/>
      <c r="AA23" s="416"/>
      <c r="AB23" s="780"/>
      <c r="AC23" s="781"/>
      <c r="AD23" s="781"/>
      <c r="AE23" s="781"/>
      <c r="AF23" s="781"/>
      <c r="AG23" s="781"/>
      <c r="AH23" s="781"/>
      <c r="AI23" s="781"/>
      <c r="AJ23" s="781"/>
      <c r="AK23" s="781"/>
      <c r="AN23" s="927"/>
      <c r="AO23" s="927"/>
      <c r="AP23" s="927"/>
      <c r="AQ23" s="557"/>
      <c r="AR23" s="557"/>
    </row>
    <row r="24" spans="1:44" s="1086" customFormat="1" ht="14.65" customHeight="1" x14ac:dyDescent="0.15">
      <c r="B24" s="351"/>
      <c r="C24" s="492"/>
      <c r="D24" s="492"/>
      <c r="E24" s="782">
        <v>15</v>
      </c>
      <c r="F24" s="492"/>
      <c r="G24" s="492"/>
      <c r="H24" s="492"/>
      <c r="I24" s="492"/>
      <c r="J24" s="492"/>
      <c r="K24" s="409"/>
      <c r="L24" s="409"/>
      <c r="M24" s="492"/>
      <c r="N24" s="492"/>
      <c r="O24" s="492"/>
      <c r="P24" s="492"/>
      <c r="Q24" s="492"/>
      <c r="R24" s="290"/>
      <c r="S24" s="492"/>
      <c r="T24" s="492"/>
      <c r="U24" s="492"/>
      <c r="V24" s="492"/>
      <c r="W24" s="492"/>
      <c r="X24" s="492"/>
      <c r="Y24" s="492"/>
      <c r="Z24" s="492"/>
      <c r="AA24" s="492"/>
      <c r="AB24" s="2035" t="s">
        <v>813</v>
      </c>
      <c r="AC24" s="2083" t="s">
        <v>194</v>
      </c>
      <c r="AD24" s="2035" t="s">
        <v>367</v>
      </c>
      <c r="AE24" s="686" t="str">
        <f>god-2&amp;" год"</f>
        <v>2024 год</v>
      </c>
      <c r="AF24" s="1031" t="str">
        <f>god-2&amp;" год"</f>
        <v>2024 год</v>
      </c>
      <c r="AG24" s="686" t="str">
        <f>god-2&amp;" год"</f>
        <v>2024 год</v>
      </c>
      <c r="AH24" s="686" t="str">
        <f>god-1&amp;" год"</f>
        <v>2025 год</v>
      </c>
      <c r="AI24" s="1032" t="str">
        <f>god&amp;" год"</f>
        <v>2026 год</v>
      </c>
      <c r="AJ24" s="783" t="str">
        <f>god&amp;" год"</f>
        <v>2026 год</v>
      </c>
      <c r="AK24" s="2035" t="s">
        <v>558</v>
      </c>
      <c r="AN24" s="922"/>
      <c r="AO24" s="922"/>
      <c r="AP24" s="922"/>
      <c r="AQ24" s="554"/>
      <c r="AR24" s="554"/>
    </row>
    <row r="25" spans="1:44" s="1086" customFormat="1" ht="44.1" customHeight="1" x14ac:dyDescent="0.15">
      <c r="B25" s="351"/>
      <c r="C25" s="492"/>
      <c r="D25" s="492"/>
      <c r="E25" s="782">
        <v>45.25</v>
      </c>
      <c r="F25" s="492"/>
      <c r="G25" s="492"/>
      <c r="H25" s="492"/>
      <c r="I25" s="492"/>
      <c r="J25" s="492"/>
      <c r="K25" s="409"/>
      <c r="L25" s="409"/>
      <c r="M25" s="492"/>
      <c r="N25" s="492"/>
      <c r="O25" s="492"/>
      <c r="P25" s="492"/>
      <c r="Q25" s="492"/>
      <c r="R25" s="290"/>
      <c r="S25" s="492"/>
      <c r="T25" s="492"/>
      <c r="U25" s="492"/>
      <c r="V25" s="492"/>
      <c r="W25" s="492"/>
      <c r="X25" s="492"/>
      <c r="Y25" s="492"/>
      <c r="Z25" s="492"/>
      <c r="AA25" s="492"/>
      <c r="AB25" s="2096"/>
      <c r="AC25" s="2096"/>
      <c r="AD25" s="2096"/>
      <c r="AE25" s="686" t="s">
        <v>359</v>
      </c>
      <c r="AF25" s="1031" t="s">
        <v>484</v>
      </c>
      <c r="AG25" s="686" t="s">
        <v>485</v>
      </c>
      <c r="AH25" s="686" t="s">
        <v>359</v>
      </c>
      <c r="AI25" s="1033" t="s">
        <v>360</v>
      </c>
      <c r="AJ25" s="784" t="s">
        <v>359</v>
      </c>
      <c r="AK25" s="2096"/>
      <c r="AN25" s="922"/>
      <c r="AO25" s="922"/>
      <c r="AP25" s="922"/>
      <c r="AQ25" s="554"/>
      <c r="AR25" s="554"/>
    </row>
    <row r="26" spans="1:44" s="1334" customFormat="1" ht="11.25" hidden="1" customHeight="1" x14ac:dyDescent="0.15">
      <c r="A26" s="392"/>
      <c r="B26" s="582"/>
      <c r="C26" s="405"/>
      <c r="D26" s="405"/>
      <c r="E26" s="785">
        <v>0</v>
      </c>
      <c r="F26" s="405"/>
      <c r="G26" s="405"/>
      <c r="H26" s="405"/>
      <c r="I26" s="405"/>
      <c r="J26" s="405"/>
      <c r="K26" s="827"/>
      <c r="L26" s="827"/>
      <c r="M26" s="405"/>
      <c r="N26" s="405"/>
      <c r="O26" s="405"/>
      <c r="P26" s="405"/>
      <c r="Q26" s="405"/>
      <c r="R26" s="405"/>
      <c r="S26" s="405"/>
      <c r="T26" s="405"/>
      <c r="U26" s="405"/>
      <c r="V26" s="405"/>
      <c r="W26" s="405"/>
      <c r="X26" s="405"/>
      <c r="Y26" s="405"/>
      <c r="Z26" s="405"/>
      <c r="AA26" s="405"/>
      <c r="AB26" s="405"/>
      <c r="AC26" s="405"/>
      <c r="AD26" s="405"/>
      <c r="AE26" s="405"/>
      <c r="AF26" s="405"/>
      <c r="AG26"/>
      <c r="AH26"/>
      <c r="AI26"/>
      <c r="AJ26"/>
      <c r="AK26"/>
      <c r="AN26" s="928"/>
      <c r="AO26" s="928"/>
      <c r="AP26" s="928"/>
      <c r="AQ26" s="916"/>
      <c r="AR26" s="610"/>
    </row>
    <row r="27" spans="1:44" s="1332" customFormat="1" ht="14.65" hidden="1" customHeight="1" x14ac:dyDescent="0.15">
      <c r="B27" s="351"/>
      <c r="C27" s="786"/>
      <c r="D27" s="786"/>
      <c r="E27" s="787">
        <v>15</v>
      </c>
      <c r="F27" s="416" cm="1">
        <f t="array" ref="F27">X27</f>
        <v>0</v>
      </c>
      <c r="G27" s="758" t="s">
        <v>60</v>
      </c>
      <c r="H27" s="758"/>
      <c r="I27" s="758"/>
      <c r="J27" s="786"/>
      <c r="K27" s="406"/>
      <c r="L27" s="406"/>
      <c r="M27" s="786"/>
      <c r="N27" s="786"/>
      <c r="O27" s="786"/>
      <c r="P27" s="786"/>
      <c r="Q27" s="786"/>
      <c r="R27" s="786"/>
      <c r="S27" s="786"/>
      <c r="T27" s="388" t="b">
        <f>X27&gt;0</f>
        <v>0</v>
      </c>
      <c r="U27" s="786"/>
      <c r="V27" s="786" t="s">
        <v>271</v>
      </c>
      <c r="W27" s="786"/>
      <c r="X27" s="2094">
        <v>0</v>
      </c>
      <c r="Y27" s="786"/>
      <c r="Z27" s="2095"/>
      <c r="AA27" s="786"/>
      <c r="AB27" s="161" t="str" cm="1">
        <f t="array" ref="AB27">INDEX('Общие сведения'!$AG$185:$AG$228,MATCH($X27,'Общие сведения'!$Z$185:$Z$228,0))</f>
        <v xml:space="preserve">Тариф 0 () - </v>
      </c>
      <c r="AC27" s="788"/>
      <c r="AD27" s="788"/>
      <c r="AE27" s="789">
        <f t="shared" ref="AE27:AJ27" ca="1" si="1">AE28+AE33+AE34+AE39+AE40+AE45+AE46+AE51</f>
        <v>0</v>
      </c>
      <c r="AF27" s="789">
        <f t="shared" ca="1" si="1"/>
        <v>0</v>
      </c>
      <c r="AG27" s="789">
        <f t="shared" ca="1" si="1"/>
        <v>0</v>
      </c>
      <c r="AH27" s="789">
        <f t="shared" ca="1" si="1"/>
        <v>0</v>
      </c>
      <c r="AI27" s="789">
        <f t="shared" ca="1" si="1"/>
        <v>0</v>
      </c>
      <c r="AJ27" s="789">
        <f t="shared" ca="1" si="1"/>
        <v>0</v>
      </c>
      <c r="AK27" s="789"/>
      <c r="AN27" s="939"/>
      <c r="AO27" s="939"/>
      <c r="AP27" s="939"/>
      <c r="AQ27" s="185"/>
      <c r="AR27" s="185"/>
    </row>
    <row r="28" spans="1:44" s="1332" customFormat="1" ht="21.95" hidden="1" customHeight="1" x14ac:dyDescent="0.15">
      <c r="B28" s="351"/>
      <c r="C28" s="786"/>
      <c r="D28" s="786"/>
      <c r="E28" s="787">
        <v>22.5</v>
      </c>
      <c r="F28" s="3" cm="1">
        <f t="array" aca="1" ref="F28" ca="1">OFFSET(E28,-1,1)</f>
        <v>0</v>
      </c>
      <c r="G28" s="290" t="s">
        <v>1104</v>
      </c>
      <c r="H28" s="758" t="s">
        <v>331</v>
      </c>
      <c r="I28" s="758"/>
      <c r="J28" s="786"/>
      <c r="K28" s="406" t="str">
        <f ca="1">F28&amp;"1komm"</f>
        <v>01komm</v>
      </c>
      <c r="L28" s="830" cm="1">
        <f t="array" ref="L28">AK28</f>
        <v>0</v>
      </c>
      <c r="M28" s="786"/>
      <c r="N28" s="786"/>
      <c r="O28" s="786"/>
      <c r="P28" s="786"/>
      <c r="Q28" s="786"/>
      <c r="R28" s="786"/>
      <c r="S28" s="786"/>
      <c r="T28" s="388" t="b" cm="1">
        <f t="array" ref="T28">T27</f>
        <v>0</v>
      </c>
      <c r="U28" s="786"/>
      <c r="V28" s="786"/>
      <c r="W28" s="786"/>
      <c r="X28" s="2094"/>
      <c r="Y28" s="786"/>
      <c r="Z28" s="2095"/>
      <c r="AA28" s="786"/>
      <c r="AB28" s="613">
        <v>1</v>
      </c>
      <c r="AC28" s="766" t="s">
        <v>1105</v>
      </c>
      <c r="AD28" s="686" t="s">
        <v>831</v>
      </c>
      <c r="AE28" s="1407"/>
      <c r="AF28" s="1407"/>
      <c r="AG28" s="1407"/>
      <c r="AH28" s="1407"/>
      <c r="AI28" s="132">
        <f>SUMIFS(AI29:AI32,$AD29:$AD32,$AD28)</f>
        <v>0</v>
      </c>
      <c r="AJ28" s="132">
        <f>SUMIFS(AJ29:AJ32,$AD29:$AD32,$AD28)</f>
        <v>0</v>
      </c>
      <c r="AK28" s="1362"/>
      <c r="AN28" s="939" t="s">
        <v>1106</v>
      </c>
      <c r="AO28" s="939"/>
      <c r="AP28" s="939"/>
      <c r="AQ28" s="185"/>
      <c r="AR28" s="185"/>
    </row>
    <row r="29" spans="1:44" s="1332" customFormat="1" ht="18.2" hidden="1" customHeight="1" x14ac:dyDescent="0.15">
      <c r="B29" s="351"/>
      <c r="C29" s="786"/>
      <c r="D29" s="786"/>
      <c r="E29" s="787">
        <v>18.75</v>
      </c>
      <c r="F29" s="3" cm="1">
        <f t="array" aca="1" ref="F29" ca="1">OFFSET(E29,-1,1)</f>
        <v>0</v>
      </c>
      <c r="G29" s="758"/>
      <c r="H29" s="758" t="s">
        <v>331</v>
      </c>
      <c r="I29" s="758" cm="1">
        <f t="array" ref="I29">AC29</f>
        <v>0</v>
      </c>
      <c r="J29" s="786"/>
      <c r="K29" s="406"/>
      <c r="L29" s="406"/>
      <c r="M29" s="786"/>
      <c r="N29" s="786"/>
      <c r="O29" s="786"/>
      <c r="P29" s="786"/>
      <c r="Q29" s="786"/>
      <c r="R29" s="786"/>
      <c r="S29" s="786"/>
      <c r="T29" s="388" t="b">
        <f ca="1">AND(F29&gt;0,Y29&gt;0)</f>
        <v>0</v>
      </c>
      <c r="U29" s="786"/>
      <c r="V29" s="786"/>
      <c r="W29" s="786" t="s">
        <v>172</v>
      </c>
      <c r="X29" s="2094"/>
      <c r="Y29" s="2094">
        <v>0</v>
      </c>
      <c r="Z29" s="2095"/>
      <c r="AA29" s="2092" t="s">
        <v>173</v>
      </c>
      <c r="AB29" s="218" t="str">
        <f>"1."&amp;Y29</f>
        <v>1.0</v>
      </c>
      <c r="AC29" s="1408"/>
      <c r="AD29" s="686" t="s">
        <v>831</v>
      </c>
      <c r="AE29" s="1409"/>
      <c r="AF29" s="1409"/>
      <c r="AG29" s="1409"/>
      <c r="AH29" s="1409"/>
      <c r="AI29" s="692">
        <f>AI30*AI31*12/1000</f>
        <v>0</v>
      </c>
      <c r="AJ29" s="692">
        <f>AJ30*AJ31*12/1000</f>
        <v>0</v>
      </c>
      <c r="AK29" s="1362"/>
      <c r="AN29" s="939" t="s">
        <v>1107</v>
      </c>
      <c r="AO29" s="939" t="s">
        <v>1108</v>
      </c>
      <c r="AP29" s="939" cm="1">
        <f t="array" ref="AP29">AC29</f>
        <v>0</v>
      </c>
      <c r="AQ29" s="185"/>
      <c r="AR29" s="185" t="b">
        <v>1</v>
      </c>
    </row>
    <row r="30" spans="1:44" s="1332" customFormat="1" ht="14.65" hidden="1" customHeight="1" x14ac:dyDescent="0.15">
      <c r="B30" s="351"/>
      <c r="C30" s="786"/>
      <c r="D30" s="786"/>
      <c r="E30" s="787">
        <v>15</v>
      </c>
      <c r="F30" s="3" cm="1">
        <f t="array" aca="1" ref="F30" ca="1">OFFSET(E30,-1,1)</f>
        <v>0</v>
      </c>
      <c r="G30" s="790" t="s">
        <v>1109</v>
      </c>
      <c r="H30" s="758" t="str">
        <f>H29&amp;"_1"</f>
        <v>l1_1</v>
      </c>
      <c r="I30" s="758" cm="1">
        <f t="array" ref="I30">I29</f>
        <v>0</v>
      </c>
      <c r="J30" s="786"/>
      <c r="K30" s="406"/>
      <c r="L30" s="406"/>
      <c r="M30" s="786"/>
      <c r="N30" s="786"/>
      <c r="O30" s="786"/>
      <c r="P30" s="786"/>
      <c r="Q30" s="786"/>
      <c r="R30" s="786"/>
      <c r="S30" s="786"/>
      <c r="T30" s="388" t="b" cm="1">
        <f t="array" aca="1" ref="T30" ca="1">T29</f>
        <v>0</v>
      </c>
      <c r="U30" s="786"/>
      <c r="V30" s="786"/>
      <c r="W30" s="786"/>
      <c r="X30" s="2094"/>
      <c r="Y30" s="2094"/>
      <c r="Z30" s="2095"/>
      <c r="AA30" s="2092"/>
      <c r="AB30" s="613" t="str">
        <f>AB29&amp;".1"</f>
        <v>1.0.1</v>
      </c>
      <c r="AC30" s="685" t="s">
        <v>1110</v>
      </c>
      <c r="AD30" s="686" t="s">
        <v>1111</v>
      </c>
      <c r="AE30" s="1409"/>
      <c r="AF30" s="1409"/>
      <c r="AG30" s="1409"/>
      <c r="AH30" s="1409"/>
      <c r="AI30" s="216"/>
      <c r="AJ30" s="216"/>
      <c r="AK30" s="1362"/>
      <c r="AN30" s="939" t="s">
        <v>1112</v>
      </c>
      <c r="AO30" s="939" t="s">
        <v>1108</v>
      </c>
      <c r="AP30" s="939" cm="1">
        <f t="array" ref="AP30">AP29</f>
        <v>0</v>
      </c>
      <c r="AQ30" s="185"/>
      <c r="AR30" s="185"/>
    </row>
    <row r="31" spans="1:44" s="1332" customFormat="1" ht="14.65" hidden="1" customHeight="1" x14ac:dyDescent="0.15">
      <c r="B31" s="351"/>
      <c r="C31" s="786"/>
      <c r="D31" s="786"/>
      <c r="E31" s="787">
        <v>15</v>
      </c>
      <c r="F31" s="3" cm="1">
        <f t="array" aca="1" ref="F31" ca="1">OFFSET(E31,-1,1)</f>
        <v>0</v>
      </c>
      <c r="G31" s="758"/>
      <c r="H31" s="758" t="str">
        <f>H29&amp;"_2"</f>
        <v>l1_2</v>
      </c>
      <c r="I31" s="758" cm="1">
        <f t="array" ref="I31">I30</f>
        <v>0</v>
      </c>
      <c r="J31" s="786"/>
      <c r="K31" s="406"/>
      <c r="L31" s="406"/>
      <c r="M31" s="786"/>
      <c r="N31" s="786"/>
      <c r="O31" s="786"/>
      <c r="P31" s="786"/>
      <c r="Q31" s="786"/>
      <c r="R31" s="786"/>
      <c r="S31" s="786"/>
      <c r="T31" s="388" t="b" cm="1">
        <f t="array" aca="1" ref="T31" ca="1">T30</f>
        <v>0</v>
      </c>
      <c r="U31" s="786"/>
      <c r="V31" s="786"/>
      <c r="W31" s="786"/>
      <c r="X31" s="2094"/>
      <c r="Y31" s="2094"/>
      <c r="Z31" s="2095"/>
      <c r="AA31" s="2092"/>
      <c r="AB31" s="613" t="str">
        <f>AB29&amp;".2"</f>
        <v>1.0.2</v>
      </c>
      <c r="AC31" s="685" t="s">
        <v>1113</v>
      </c>
      <c r="AD31" s="686" t="s">
        <v>1114</v>
      </c>
      <c r="AE31" s="1409"/>
      <c r="AF31" s="1409"/>
      <c r="AG31" s="1409"/>
      <c r="AH31" s="1409"/>
      <c r="AI31" s="216"/>
      <c r="AJ31" s="216"/>
      <c r="AK31" s="1362"/>
      <c r="AN31" s="939" t="s">
        <v>1115</v>
      </c>
      <c r="AO31" s="939" t="s">
        <v>1108</v>
      </c>
      <c r="AP31" s="939" cm="1">
        <f t="array" ref="AP31">AP30</f>
        <v>0</v>
      </c>
      <c r="AQ31" s="185"/>
      <c r="AR31" s="185"/>
    </row>
    <row r="32" spans="1:44" s="1332" customFormat="1" ht="14.65" hidden="1" customHeight="1" x14ac:dyDescent="0.15">
      <c r="B32" s="351"/>
      <c r="C32" s="786"/>
      <c r="D32" s="786"/>
      <c r="E32" s="787">
        <v>15</v>
      </c>
      <c r="F32" s="3" cm="1">
        <f t="array" aca="1" ref="F32" ca="1">OFFSET(E32,-1,1)</f>
        <v>0</v>
      </c>
      <c r="G32" s="290"/>
      <c r="H32" s="758"/>
      <c r="I32" s="71" t="str">
        <f>"!=='не определено' &amp;&amp; row.l1 !== null"</f>
        <v>!=='не определено' &amp;&amp; row.l1 !== null</v>
      </c>
      <c r="J32" s="786"/>
      <c r="K32" s="406"/>
      <c r="L32" s="406"/>
      <c r="M32" s="786"/>
      <c r="N32" s="786"/>
      <c r="O32" s="786"/>
      <c r="P32" s="786"/>
      <c r="Q32" s="786"/>
      <c r="R32" s="786"/>
      <c r="S32" s="786"/>
      <c r="T32" s="388" t="b">
        <f ca="1">F32&gt;0</f>
        <v>0</v>
      </c>
      <c r="U32" s="786"/>
      <c r="V32" s="786"/>
      <c r="W32" s="677" t="s">
        <v>396</v>
      </c>
      <c r="X32" s="2094"/>
      <c r="Y32" s="791"/>
      <c r="Z32" s="2095"/>
      <c r="AA32" s="786"/>
      <c r="AB32" s="792"/>
      <c r="AC32" s="178" t="s">
        <v>176</v>
      </c>
      <c r="AD32" s="696"/>
      <c r="AE32" s="696"/>
      <c r="AF32" s="696"/>
      <c r="AG32" s="696"/>
      <c r="AH32" s="696"/>
      <c r="AI32" s="696"/>
      <c r="AJ32" s="696"/>
      <c r="AK32" s="697"/>
      <c r="AN32" s="939"/>
      <c r="AO32" s="939"/>
      <c r="AP32" s="939"/>
      <c r="AQ32" s="185" t="s">
        <v>1108</v>
      </c>
      <c r="AR32" s="185"/>
    </row>
    <row r="33" spans="2:44" s="1332" customFormat="1" ht="21.95" hidden="1" customHeight="1" x14ac:dyDescent="0.15">
      <c r="B33" s="351"/>
      <c r="C33" s="786"/>
      <c r="D33" s="786"/>
      <c r="E33" s="787">
        <v>22.5</v>
      </c>
      <c r="F33" s="3" cm="1">
        <f t="array" aca="1" ref="F33" ca="1">OFFSET(E33,-1,1)</f>
        <v>0</v>
      </c>
      <c r="G33" s="290" t="s">
        <v>1116</v>
      </c>
      <c r="H33" s="758" t="s">
        <v>332</v>
      </c>
      <c r="I33" s="758"/>
      <c r="J33" s="786"/>
      <c r="K33" s="406" t="str">
        <f ca="1">F33&amp;"2komm"</f>
        <v>02komm</v>
      </c>
      <c r="L33" s="830" cm="1">
        <f t="array" ref="L33">AK33</f>
        <v>0</v>
      </c>
      <c r="M33" s="786"/>
      <c r="N33" s="786"/>
      <c r="O33" s="786"/>
      <c r="P33" s="786"/>
      <c r="Q33" s="786"/>
      <c r="R33" s="786"/>
      <c r="S33" s="786"/>
      <c r="T33" s="388" t="b" cm="1">
        <f t="array" aca="1" ref="T33" ca="1">T32</f>
        <v>0</v>
      </c>
      <c r="U33" s="786"/>
      <c r="V33" s="786"/>
      <c r="W33" s="786"/>
      <c r="X33" s="2094"/>
      <c r="Y33" s="791"/>
      <c r="Z33" s="2095"/>
      <c r="AA33" s="786"/>
      <c r="AB33" s="613" t="s">
        <v>289</v>
      </c>
      <c r="AC33" s="766" t="s">
        <v>1117</v>
      </c>
      <c r="AD33" s="686" t="s">
        <v>831</v>
      </c>
      <c r="AE33" s="1407">
        <f ca="1">AE28*SUMIFS(INDEX(Сценарии!$AE$25:$BF$109,,MATCH(AE$13,Сценарии!$AE$8:$BF$8,0)),Сценарии!$F$25:$F$109,$F33,Сценарии!$G$25:$G$109,"СВФОТ")/100</f>
        <v>0</v>
      </c>
      <c r="AF33" s="1407">
        <f ca="1">AF28*SUMIFS(INDEX(Сценарии!$AE$25:$BF$109,,MATCH(AF$13,Сценарии!$AE$8:$BF$8,0)),Сценарии!$F$25:$F$109,$F33,Сценарии!$G$25:$G$109,"СВФОТ")/100</f>
        <v>0</v>
      </c>
      <c r="AG33" s="1407">
        <f ca="1">AG28*SUMIFS(INDEX(Сценарии!$AE$25:$BF$109,,MATCH(AG$13,Сценарии!$AE$8:$BF$8,0)),Сценарии!$F$25:$F$109,$F33,Сценарии!$G$25:$G$109,"СВФОТ")/100</f>
        <v>0</v>
      </c>
      <c r="AH33" s="1407">
        <f ca="1">AH28*SUMIFS(INDEX(Сценарии!$AE$25:$BF$109,,MATCH(AH$13,Сценарии!$AE$8:$BF$8,0)),Сценарии!$F$25:$F$109,$F33,Сценарии!$G$25:$G$109,"СВФОТ")/100</f>
        <v>0</v>
      </c>
      <c r="AI33" s="216">
        <f ca="1">AI28*SUMIFS(INDEX(Сценарии!$AE$25:$BF$109,,MATCH(AI$13,Сценарии!$AE$8:$BF$8,0)),Сценарии!$F$25:$F$109,$F33,Сценарии!$G$25:$G$109,"СВФОТ")/100</f>
        <v>0</v>
      </c>
      <c r="AJ33" s="216">
        <f ca="1">AJ28*SUMIFS(INDEX(Сценарии!$AE$25:$BF$109,,MATCH(AJ$13,Сценарии!$AE$8:$BF$8,0)),Сценарии!$F$25:$F$109,$F33,Сценарии!$G$25:$G$109,"СВФОТ")/100</f>
        <v>0</v>
      </c>
      <c r="AK33" s="1362"/>
      <c r="AN33" s="939" t="s">
        <v>1118</v>
      </c>
      <c r="AO33" s="939"/>
      <c r="AP33" s="939"/>
      <c r="AQ33" s="185"/>
      <c r="AR33" s="185"/>
    </row>
    <row r="34" spans="2:44" s="1332" customFormat="1" ht="14.65" hidden="1" customHeight="1" x14ac:dyDescent="0.15">
      <c r="B34" s="351"/>
      <c r="C34" s="786"/>
      <c r="D34" s="786"/>
      <c r="E34" s="787">
        <v>15</v>
      </c>
      <c r="F34" s="3" cm="1">
        <f t="array" aca="1" ref="F34" ca="1">OFFSET(E34,-1,1)</f>
        <v>0</v>
      </c>
      <c r="G34" s="290" t="s">
        <v>1119</v>
      </c>
      <c r="H34" s="758" t="s">
        <v>333</v>
      </c>
      <c r="I34" s="758"/>
      <c r="J34" s="786"/>
      <c r="K34" s="406" t="str">
        <f ca="1">F34&amp;"3komm"</f>
        <v>03komm</v>
      </c>
      <c r="L34" s="830" cm="1">
        <f t="array" ref="L34">AK34</f>
        <v>0</v>
      </c>
      <c r="M34" s="786"/>
      <c r="N34" s="786"/>
      <c r="O34" s="786"/>
      <c r="P34" s="786"/>
      <c r="Q34" s="786"/>
      <c r="R34" s="786"/>
      <c r="S34" s="786"/>
      <c r="T34" s="388" t="b" cm="1">
        <f t="array" aca="1" ref="T34" ca="1">T33</f>
        <v>0</v>
      </c>
      <c r="U34" s="786"/>
      <c r="V34" s="786"/>
      <c r="W34" s="786"/>
      <c r="X34" s="2094"/>
      <c r="Y34" s="791"/>
      <c r="Z34" s="2095"/>
      <c r="AA34" s="786"/>
      <c r="AB34" s="613" t="s">
        <v>329</v>
      </c>
      <c r="AC34" s="766" t="s">
        <v>1120</v>
      </c>
      <c r="AD34" s="686" t="s">
        <v>831</v>
      </c>
      <c r="AE34" s="1407"/>
      <c r="AF34" s="1407"/>
      <c r="AG34" s="1407"/>
      <c r="AH34" s="1407"/>
      <c r="AI34" s="132">
        <f>SUMIFS(AI35:AI38,$AD35:$AD38,$AD34)</f>
        <v>0</v>
      </c>
      <c r="AJ34" s="132">
        <f>SUMIFS(AJ35:AJ38,$AD35:$AD38,$AD34)</f>
        <v>0</v>
      </c>
      <c r="AK34" s="1362"/>
      <c r="AN34" s="939" t="s">
        <v>1121</v>
      </c>
      <c r="AO34" s="939"/>
      <c r="AP34" s="939"/>
      <c r="AQ34" s="185"/>
      <c r="AR34" s="185"/>
    </row>
    <row r="35" spans="2:44" s="1332" customFormat="1" ht="18.2" hidden="1" customHeight="1" x14ac:dyDescent="0.15">
      <c r="B35" s="351"/>
      <c r="C35" s="786"/>
      <c r="D35" s="786"/>
      <c r="E35" s="787">
        <v>18.75</v>
      </c>
      <c r="F35" s="3" cm="1">
        <f t="array" aca="1" ref="F35" ca="1">OFFSET(E35,-1,1)</f>
        <v>0</v>
      </c>
      <c r="G35" s="758"/>
      <c r="H35" s="758" t="s">
        <v>333</v>
      </c>
      <c r="I35" s="758" cm="1">
        <f t="array" ref="I35">AC35</f>
        <v>0</v>
      </c>
      <c r="J35" s="786"/>
      <c r="K35" s="406"/>
      <c r="L35" s="406"/>
      <c r="M35" s="786"/>
      <c r="N35" s="786"/>
      <c r="O35" s="786"/>
      <c r="P35" s="786"/>
      <c r="Q35" s="786"/>
      <c r="R35" s="786"/>
      <c r="S35" s="786"/>
      <c r="T35" s="388" t="b">
        <f ca="1">AND(F35&gt;0,Y35&gt;0)</f>
        <v>0</v>
      </c>
      <c r="U35" s="786"/>
      <c r="V35" s="786"/>
      <c r="W35" s="786" t="s">
        <v>172</v>
      </c>
      <c r="X35" s="2094"/>
      <c r="Y35" s="2094">
        <v>0</v>
      </c>
      <c r="Z35" s="2095"/>
      <c r="AA35" s="2092" t="s">
        <v>173</v>
      </c>
      <c r="AB35" s="218" t="str">
        <f>"3."&amp;Y35</f>
        <v>3.0</v>
      </c>
      <c r="AC35" s="1408"/>
      <c r="AD35" s="686" t="s">
        <v>831</v>
      </c>
      <c r="AE35" s="1409"/>
      <c r="AF35" s="1409"/>
      <c r="AG35" s="1409"/>
      <c r="AH35" s="1409"/>
      <c r="AI35" s="692">
        <f>AI36*AI37*12/1000</f>
        <v>0</v>
      </c>
      <c r="AJ35" s="692">
        <f>AJ36*AJ37*12/1000</f>
        <v>0</v>
      </c>
      <c r="AK35" s="1362"/>
      <c r="AN35" s="939" t="s">
        <v>1107</v>
      </c>
      <c r="AO35" s="939" t="s">
        <v>1122</v>
      </c>
      <c r="AP35" s="939" cm="1">
        <f t="array" ref="AP35">AC35</f>
        <v>0</v>
      </c>
      <c r="AQ35" s="185"/>
      <c r="AR35" s="185" t="b">
        <v>1</v>
      </c>
    </row>
    <row r="36" spans="2:44" s="1332" customFormat="1" ht="14.65" hidden="1" customHeight="1" x14ac:dyDescent="0.15">
      <c r="B36" s="351"/>
      <c r="C36" s="786"/>
      <c r="D36" s="786"/>
      <c r="E36" s="787">
        <v>15</v>
      </c>
      <c r="F36" s="3" cm="1">
        <f t="array" aca="1" ref="F36" ca="1">OFFSET(E36,-1,1)</f>
        <v>0</v>
      </c>
      <c r="G36" s="790" t="s">
        <v>1123</v>
      </c>
      <c r="H36" s="758" t="str">
        <f>H35&amp;"_1"</f>
        <v>l3_1</v>
      </c>
      <c r="I36" s="758" cm="1">
        <f t="array" ref="I36">I35</f>
        <v>0</v>
      </c>
      <c r="J36" s="786"/>
      <c r="K36" s="406"/>
      <c r="L36" s="406"/>
      <c r="M36" s="786"/>
      <c r="N36" s="786"/>
      <c r="O36" s="786"/>
      <c r="P36" s="786"/>
      <c r="Q36" s="786"/>
      <c r="R36" s="786"/>
      <c r="S36" s="786"/>
      <c r="T36" s="388" t="b" cm="1">
        <f t="array" aca="1" ref="T36" ca="1">T35</f>
        <v>0</v>
      </c>
      <c r="U36" s="786"/>
      <c r="V36" s="786"/>
      <c r="W36" s="786"/>
      <c r="X36" s="2094"/>
      <c r="Y36" s="2094"/>
      <c r="Z36" s="2095"/>
      <c r="AA36" s="2092"/>
      <c r="AB36" s="613" t="str">
        <f>AB35&amp;".1"</f>
        <v>3.0.1</v>
      </c>
      <c r="AC36" s="685" t="s">
        <v>1110</v>
      </c>
      <c r="AD36" s="686" t="s">
        <v>1111</v>
      </c>
      <c r="AE36" s="1409"/>
      <c r="AF36" s="1409"/>
      <c r="AG36" s="1409"/>
      <c r="AH36" s="1409"/>
      <c r="AI36" s="216"/>
      <c r="AJ36" s="216"/>
      <c r="AK36" s="1362"/>
      <c r="AN36" s="939" t="s">
        <v>1112</v>
      </c>
      <c r="AO36" s="939" t="s">
        <v>1122</v>
      </c>
      <c r="AP36" s="939" cm="1">
        <f t="array" ref="AP36">AP35</f>
        <v>0</v>
      </c>
      <c r="AQ36" s="185"/>
      <c r="AR36" s="185"/>
    </row>
    <row r="37" spans="2:44" s="1332" customFormat="1" ht="14.65" hidden="1" customHeight="1" x14ac:dyDescent="0.15">
      <c r="B37" s="351"/>
      <c r="C37" s="786"/>
      <c r="D37" s="786"/>
      <c r="E37" s="787">
        <v>15</v>
      </c>
      <c r="F37" s="3" cm="1">
        <f t="array" aca="1" ref="F37" ca="1">OFFSET(E37,-1,1)</f>
        <v>0</v>
      </c>
      <c r="G37" s="758"/>
      <c r="H37" s="758" t="str">
        <f>H35&amp;"_2"</f>
        <v>l3_2</v>
      </c>
      <c r="I37" s="758" cm="1">
        <f t="array" ref="I37">I36</f>
        <v>0</v>
      </c>
      <c r="J37" s="786"/>
      <c r="K37" s="406"/>
      <c r="L37" s="406"/>
      <c r="M37" s="786"/>
      <c r="N37" s="786"/>
      <c r="O37" s="786"/>
      <c r="P37" s="786"/>
      <c r="Q37" s="786"/>
      <c r="R37" s="786"/>
      <c r="S37" s="786"/>
      <c r="T37" s="388" t="b" cm="1">
        <f t="array" aca="1" ref="T37" ca="1">T36</f>
        <v>0</v>
      </c>
      <c r="U37" s="786"/>
      <c r="V37" s="786"/>
      <c r="W37" s="786"/>
      <c r="X37" s="2094"/>
      <c r="Y37" s="2094"/>
      <c r="Z37" s="2095"/>
      <c r="AA37" s="2092"/>
      <c r="AB37" s="613" t="str">
        <f>AB35&amp;".2"</f>
        <v>3.0.2</v>
      </c>
      <c r="AC37" s="685" t="s">
        <v>1113</v>
      </c>
      <c r="AD37" s="686" t="s">
        <v>1114</v>
      </c>
      <c r="AE37" s="1409"/>
      <c r="AF37" s="1409"/>
      <c r="AG37" s="1409"/>
      <c r="AH37" s="1409"/>
      <c r="AI37" s="216"/>
      <c r="AJ37" s="216"/>
      <c r="AK37" s="1362"/>
      <c r="AN37" s="939" t="s">
        <v>1115</v>
      </c>
      <c r="AO37" s="939" t="s">
        <v>1122</v>
      </c>
      <c r="AP37" s="939" cm="1">
        <f t="array" ref="AP37">AP36</f>
        <v>0</v>
      </c>
      <c r="AQ37" s="185"/>
      <c r="AR37" s="185"/>
    </row>
    <row r="38" spans="2:44" s="1332" customFormat="1" ht="14.65" hidden="1" customHeight="1" x14ac:dyDescent="0.15">
      <c r="B38" s="351"/>
      <c r="C38" s="786"/>
      <c r="D38" s="786"/>
      <c r="E38" s="787">
        <v>15</v>
      </c>
      <c r="F38" s="3" cm="1">
        <f t="array" aca="1" ref="F38" ca="1">OFFSET(E38,-1,1)</f>
        <v>0</v>
      </c>
      <c r="G38" s="290"/>
      <c r="H38" s="758"/>
      <c r="I38" s="71" t="str">
        <f>"!=='не определено' &amp;&amp; row.l3 !== null"</f>
        <v>!=='не определено' &amp;&amp; row.l3 !== null</v>
      </c>
      <c r="J38" s="786"/>
      <c r="K38" s="406"/>
      <c r="L38" s="406"/>
      <c r="M38" s="786"/>
      <c r="N38" s="786"/>
      <c r="O38" s="786"/>
      <c r="P38" s="786"/>
      <c r="Q38" s="786"/>
      <c r="R38" s="786"/>
      <c r="S38" s="786"/>
      <c r="T38" s="388" t="b">
        <f ca="1">F38&gt;0</f>
        <v>0</v>
      </c>
      <c r="U38" s="786"/>
      <c r="V38" s="786"/>
      <c r="W38" s="677" t="s">
        <v>894</v>
      </c>
      <c r="X38" s="2094"/>
      <c r="Y38" s="791"/>
      <c r="Z38" s="2095"/>
      <c r="AA38" s="786"/>
      <c r="AB38" s="792"/>
      <c r="AC38" s="178" t="s">
        <v>176</v>
      </c>
      <c r="AD38" s="696"/>
      <c r="AE38" s="696"/>
      <c r="AF38" s="696"/>
      <c r="AG38" s="696"/>
      <c r="AH38" s="696"/>
      <c r="AI38" s="696"/>
      <c r="AJ38" s="696"/>
      <c r="AK38" s="697"/>
      <c r="AN38" s="939"/>
      <c r="AO38" s="939"/>
      <c r="AP38" s="939"/>
      <c r="AQ38" s="185" t="s">
        <v>1122</v>
      </c>
      <c r="AR38" s="185"/>
    </row>
    <row r="39" spans="2:44" s="1332" customFormat="1" ht="21.95" hidden="1" customHeight="1" x14ac:dyDescent="0.15">
      <c r="B39" s="351"/>
      <c r="C39" s="786"/>
      <c r="D39" s="786"/>
      <c r="E39" s="787">
        <v>22.5</v>
      </c>
      <c r="F39" s="3" cm="1">
        <f t="array" aca="1" ref="F39" ca="1">OFFSET(E39,-1,1)</f>
        <v>0</v>
      </c>
      <c r="G39" s="290" t="s">
        <v>1124</v>
      </c>
      <c r="H39" s="758" t="s">
        <v>335</v>
      </c>
      <c r="I39" s="758"/>
      <c r="J39" s="786"/>
      <c r="K39" s="406" t="str">
        <f ca="1">F39&amp;"4komm"</f>
        <v>04komm</v>
      </c>
      <c r="L39" s="830" cm="1">
        <f t="array" ref="L39">AK39</f>
        <v>0</v>
      </c>
      <c r="M39" s="786"/>
      <c r="N39" s="786"/>
      <c r="O39" s="786"/>
      <c r="P39" s="786"/>
      <c r="Q39" s="786"/>
      <c r="R39" s="786"/>
      <c r="S39" s="786"/>
      <c r="T39" s="388" t="b" cm="1">
        <f t="array" aca="1" ref="T39" ca="1">T38</f>
        <v>0</v>
      </c>
      <c r="U39" s="786"/>
      <c r="V39" s="786"/>
      <c r="W39" s="786"/>
      <c r="X39" s="2094"/>
      <c r="Y39" s="791"/>
      <c r="Z39" s="2095"/>
      <c r="AA39" s="786"/>
      <c r="AB39" s="613" t="s">
        <v>441</v>
      </c>
      <c r="AC39" s="766" t="s">
        <v>1125</v>
      </c>
      <c r="AD39" s="686" t="s">
        <v>831</v>
      </c>
      <c r="AE39" s="1407">
        <f ca="1">AE34*SUMIFS(INDEX(Сценарии!$AE$25:$BF$109,,MATCH(AE$13,Сценарии!$AE$8:$BF$8,0)),Сценарии!$F$25:$F$109,$F39,Сценарии!$G$25:$G$109,"СВФОТ")/100</f>
        <v>0</v>
      </c>
      <c r="AF39" s="1407">
        <f ca="1">AF34*SUMIFS(INDEX(Сценарии!$AE$25:$BF$109,,MATCH(AF$13,Сценарии!$AE$8:$BF$8,0)),Сценарии!$F$25:$F$109,$F39,Сценарии!$G$25:$G$109,"СВФОТ")/100</f>
        <v>0</v>
      </c>
      <c r="AG39" s="1407">
        <f ca="1">AG34*SUMIFS(INDEX(Сценарии!$AE$25:$BF$109,,MATCH(AG$13,Сценарии!$AE$8:$BF$8,0)),Сценарии!$F$25:$F$109,$F39,Сценарии!$G$25:$G$109,"СВФОТ")/100</f>
        <v>0</v>
      </c>
      <c r="AH39" s="1407">
        <f ca="1">AH34*SUMIFS(INDEX(Сценарии!$AE$25:$BF$109,,MATCH(AH$13,Сценарии!$AE$8:$BF$8,0)),Сценарии!$F$25:$F$109,$F39,Сценарии!$G$25:$G$109,"СВФОТ")/100</f>
        <v>0</v>
      </c>
      <c r="AI39" s="216">
        <f ca="1">AI34*SUMIFS(INDEX(Сценарии!$AE$25:$BF$109,,MATCH(AI$13,Сценарии!$AE$8:$BF$8,0)),Сценарии!$F$25:$F$109,$F39,Сценарии!$G$25:$G$109,"СВФОТ")/100</f>
        <v>0</v>
      </c>
      <c r="AJ39" s="216">
        <f ca="1">AJ34*SUMIFS(INDEX(Сценарии!$AE$25:$BF$109,,MATCH(AJ$13,Сценарии!$AE$8:$BF$8,0)),Сценарии!$F$25:$F$109,$F39,Сценарии!$G$25:$G$109,"СВФОТ")/100</f>
        <v>0</v>
      </c>
      <c r="AK39" s="1362"/>
      <c r="AN39" s="939" t="s">
        <v>1126</v>
      </c>
      <c r="AO39" s="939"/>
      <c r="AP39" s="939"/>
      <c r="AQ39" s="185"/>
      <c r="AR39" s="185"/>
    </row>
    <row r="40" spans="2:44" s="1332" customFormat="1" ht="21.95" hidden="1" customHeight="1" x14ac:dyDescent="0.15">
      <c r="B40" s="351"/>
      <c r="C40" s="786"/>
      <c r="D40" s="786"/>
      <c r="E40" s="787">
        <v>22.5</v>
      </c>
      <c r="F40" s="3" cm="1">
        <f t="array" aca="1" ref="F40" ca="1">OFFSET(E40,-1,1)</f>
        <v>0</v>
      </c>
      <c r="G40" s="290" t="s">
        <v>1127</v>
      </c>
      <c r="H40" s="758" t="s">
        <v>334</v>
      </c>
      <c r="I40" s="758"/>
      <c r="J40" s="786"/>
      <c r="K40" s="406" t="str">
        <f ca="1">F40&amp;"5komm"</f>
        <v>05komm</v>
      </c>
      <c r="L40" s="830" cm="1">
        <f t="array" ref="L40">AK40</f>
        <v>0</v>
      </c>
      <c r="M40" s="786"/>
      <c r="N40" s="786"/>
      <c r="O40" s="786"/>
      <c r="P40" s="786"/>
      <c r="Q40" s="786"/>
      <c r="R40" s="786"/>
      <c r="S40" s="786"/>
      <c r="T40" s="388" t="b" cm="1">
        <f t="array" aca="1" ref="T40" ca="1">T39</f>
        <v>0</v>
      </c>
      <c r="U40" s="786"/>
      <c r="V40" s="786"/>
      <c r="W40" s="786"/>
      <c r="X40" s="2094"/>
      <c r="Y40" s="791"/>
      <c r="Z40" s="2095"/>
      <c r="AA40" s="786"/>
      <c r="AB40" s="613" t="s">
        <v>444</v>
      </c>
      <c r="AC40" s="766" t="s">
        <v>1128</v>
      </c>
      <c r="AD40" s="686" t="s">
        <v>831</v>
      </c>
      <c r="AE40" s="1407"/>
      <c r="AF40" s="1407"/>
      <c r="AG40" s="1407"/>
      <c r="AH40" s="1407"/>
      <c r="AI40" s="132">
        <f>SUMIFS(AI41:AI44,$AD41:$AD44,$AD40)</f>
        <v>0</v>
      </c>
      <c r="AJ40" s="132">
        <f>SUMIFS(AJ41:AJ44,$AD41:$AD44,$AD40)</f>
        <v>0</v>
      </c>
      <c r="AK40" s="1362"/>
      <c r="AN40" s="939" t="s">
        <v>1129</v>
      </c>
      <c r="AO40" s="939"/>
      <c r="AP40" s="939"/>
      <c r="AQ40" s="185"/>
      <c r="AR40" s="185"/>
    </row>
    <row r="41" spans="2:44" s="1332" customFormat="1" ht="18.2" hidden="1" customHeight="1" x14ac:dyDescent="0.15">
      <c r="B41" s="351"/>
      <c r="C41" s="786"/>
      <c r="D41" s="786"/>
      <c r="E41" s="787">
        <v>18.75</v>
      </c>
      <c r="F41" s="3" cm="1">
        <f t="array" aca="1" ref="F41" ca="1">OFFSET(E41,-1,1)</f>
        <v>0</v>
      </c>
      <c r="G41" s="758"/>
      <c r="H41" s="758" t="s">
        <v>334</v>
      </c>
      <c r="I41" s="758" cm="1">
        <f t="array" ref="I41">AC41</f>
        <v>0</v>
      </c>
      <c r="J41" s="786"/>
      <c r="K41" s="406"/>
      <c r="L41" s="406"/>
      <c r="M41" s="786"/>
      <c r="N41" s="786"/>
      <c r="O41" s="786"/>
      <c r="P41" s="786"/>
      <c r="Q41" s="786"/>
      <c r="R41" s="786"/>
      <c r="S41" s="786"/>
      <c r="T41" s="388" t="b">
        <f ca="1">AND(F41&gt;0,Y41&gt;0)</f>
        <v>0</v>
      </c>
      <c r="U41" s="786"/>
      <c r="V41" s="786"/>
      <c r="W41" s="786" t="s">
        <v>172</v>
      </c>
      <c r="X41" s="2094"/>
      <c r="Y41" s="2094">
        <v>0</v>
      </c>
      <c r="Z41" s="2095"/>
      <c r="AA41" s="2092" t="s">
        <v>173</v>
      </c>
      <c r="AB41" s="218" t="str">
        <f>"5."&amp;Y41</f>
        <v>5.0</v>
      </c>
      <c r="AC41" s="1408"/>
      <c r="AD41" s="686" t="s">
        <v>831</v>
      </c>
      <c r="AE41" s="1409"/>
      <c r="AF41" s="1409"/>
      <c r="AG41" s="1409"/>
      <c r="AH41" s="1409"/>
      <c r="AI41" s="692">
        <f>AI42*AI43*12/1000</f>
        <v>0</v>
      </c>
      <c r="AJ41" s="692">
        <f>AJ42*AJ43*12/1000</f>
        <v>0</v>
      </c>
      <c r="AK41" s="1362"/>
      <c r="AN41" s="939" t="s">
        <v>1107</v>
      </c>
      <c r="AO41" s="939" t="s">
        <v>1130</v>
      </c>
      <c r="AP41" s="939" cm="1">
        <f t="array" ref="AP41">AC41</f>
        <v>0</v>
      </c>
      <c r="AQ41" s="185"/>
      <c r="AR41" s="185" t="b">
        <v>1</v>
      </c>
    </row>
    <row r="42" spans="2:44" s="1332" customFormat="1" ht="14.65" hidden="1" customHeight="1" x14ac:dyDescent="0.15">
      <c r="B42" s="351"/>
      <c r="C42" s="786"/>
      <c r="D42" s="786"/>
      <c r="E42" s="787">
        <v>15</v>
      </c>
      <c r="F42" s="3" cm="1">
        <f t="array" aca="1" ref="F42" ca="1">OFFSET(E42,-1,1)</f>
        <v>0</v>
      </c>
      <c r="G42" s="758"/>
      <c r="H42" s="758" t="str">
        <f>H41&amp;"_1"</f>
        <v>l5_1</v>
      </c>
      <c r="I42" s="758" cm="1">
        <f t="array" ref="I42">I41</f>
        <v>0</v>
      </c>
      <c r="J42" s="786"/>
      <c r="K42" s="406"/>
      <c r="L42" s="406"/>
      <c r="M42" s="786"/>
      <c r="N42" s="786"/>
      <c r="O42" s="786"/>
      <c r="P42" s="786"/>
      <c r="Q42" s="786"/>
      <c r="R42" s="786"/>
      <c r="S42" s="786"/>
      <c r="T42" s="388" t="b" cm="1">
        <f t="array" aca="1" ref="T42" ca="1">T41</f>
        <v>0</v>
      </c>
      <c r="U42" s="786"/>
      <c r="V42" s="786"/>
      <c r="W42" s="786"/>
      <c r="X42" s="2094"/>
      <c r="Y42" s="2094"/>
      <c r="Z42" s="2095"/>
      <c r="AA42" s="2092"/>
      <c r="AB42" s="613" t="str">
        <f>AB41&amp;".1"</f>
        <v>5.0.1</v>
      </c>
      <c r="AC42" s="685" t="s">
        <v>1110</v>
      </c>
      <c r="AD42" s="686" t="s">
        <v>1111</v>
      </c>
      <c r="AE42" s="1409"/>
      <c r="AF42" s="1409"/>
      <c r="AG42" s="1409"/>
      <c r="AH42" s="1409"/>
      <c r="AI42" s="216"/>
      <c r="AJ42" s="216"/>
      <c r="AK42" s="1362"/>
      <c r="AN42" s="939" t="s">
        <v>1112</v>
      </c>
      <c r="AO42" s="939" t="s">
        <v>1130</v>
      </c>
      <c r="AP42" s="939" cm="1">
        <f t="array" ref="AP42">AP41</f>
        <v>0</v>
      </c>
      <c r="AQ42" s="185"/>
      <c r="AR42" s="185"/>
    </row>
    <row r="43" spans="2:44" s="1332" customFormat="1" ht="14.65" hidden="1" customHeight="1" x14ac:dyDescent="0.15">
      <c r="B43" s="351"/>
      <c r="C43" s="786"/>
      <c r="D43" s="786"/>
      <c r="E43" s="787">
        <v>15</v>
      </c>
      <c r="F43" s="3" cm="1">
        <f t="array" aca="1" ref="F43" ca="1">OFFSET(E43,-1,1)</f>
        <v>0</v>
      </c>
      <c r="G43" s="758"/>
      <c r="H43" s="758" t="str">
        <f>H41&amp;"_2"</f>
        <v>l5_2</v>
      </c>
      <c r="I43" s="758" cm="1">
        <f t="array" ref="I43">I42</f>
        <v>0</v>
      </c>
      <c r="J43" s="786"/>
      <c r="K43" s="406"/>
      <c r="L43" s="406"/>
      <c r="M43" s="786"/>
      <c r="N43" s="786"/>
      <c r="O43" s="786"/>
      <c r="P43" s="786"/>
      <c r="Q43" s="786"/>
      <c r="R43" s="786"/>
      <c r="S43" s="786"/>
      <c r="T43" s="388" t="b" cm="1">
        <f t="array" aca="1" ref="T43" ca="1">T42</f>
        <v>0</v>
      </c>
      <c r="U43" s="786"/>
      <c r="V43" s="786"/>
      <c r="W43" s="786"/>
      <c r="X43" s="2094"/>
      <c r="Y43" s="2094"/>
      <c r="Z43" s="2095"/>
      <c r="AA43" s="2092"/>
      <c r="AB43" s="613" t="str">
        <f>AB41&amp;".2"</f>
        <v>5.0.2</v>
      </c>
      <c r="AC43" s="685" t="s">
        <v>1113</v>
      </c>
      <c r="AD43" s="686" t="s">
        <v>1114</v>
      </c>
      <c r="AE43" s="1409"/>
      <c r="AF43" s="1409"/>
      <c r="AG43" s="1409"/>
      <c r="AH43" s="1409"/>
      <c r="AI43" s="216"/>
      <c r="AJ43" s="216"/>
      <c r="AK43" s="1362"/>
      <c r="AN43" s="939" t="s">
        <v>1115</v>
      </c>
      <c r="AO43" s="939" t="s">
        <v>1130</v>
      </c>
      <c r="AP43" s="939" cm="1">
        <f t="array" ref="AP43">AP42</f>
        <v>0</v>
      </c>
      <c r="AQ43" s="185"/>
      <c r="AR43" s="185"/>
    </row>
    <row r="44" spans="2:44" s="1332" customFormat="1" ht="14.65" hidden="1" customHeight="1" x14ac:dyDescent="0.15">
      <c r="B44" s="351"/>
      <c r="C44" s="786"/>
      <c r="D44" s="786"/>
      <c r="E44" s="787">
        <v>15</v>
      </c>
      <c r="F44" s="3" cm="1">
        <f t="array" aca="1" ref="F44" ca="1">OFFSET(E44,-1,1)</f>
        <v>0</v>
      </c>
      <c r="G44" s="290"/>
      <c r="H44" s="758"/>
      <c r="I44" s="71" t="str">
        <f>"!=='не определено' &amp;&amp; row.l5 !== null"</f>
        <v>!=='не определено' &amp;&amp; row.l5 !== null</v>
      </c>
      <c r="J44" s="786"/>
      <c r="K44" s="406"/>
      <c r="L44" s="406"/>
      <c r="M44" s="786"/>
      <c r="N44" s="786"/>
      <c r="O44" s="786"/>
      <c r="P44" s="786"/>
      <c r="Q44" s="786"/>
      <c r="R44" s="786"/>
      <c r="S44" s="786"/>
      <c r="T44" s="388" t="b">
        <f ca="1">F44&gt;0</f>
        <v>0</v>
      </c>
      <c r="U44" s="786"/>
      <c r="V44" s="786"/>
      <c r="W44" s="677" t="s">
        <v>1131</v>
      </c>
      <c r="X44" s="2094"/>
      <c r="Y44" s="791"/>
      <c r="Z44" s="2095"/>
      <c r="AA44" s="786"/>
      <c r="AB44" s="792"/>
      <c r="AC44" s="178" t="s">
        <v>176</v>
      </c>
      <c r="AD44" s="696"/>
      <c r="AE44" s="696"/>
      <c r="AF44" s="696"/>
      <c r="AG44" s="696"/>
      <c r="AH44" s="696"/>
      <c r="AI44" s="696"/>
      <c r="AJ44" s="696"/>
      <c r="AK44" s="697"/>
      <c r="AN44" s="939"/>
      <c r="AO44" s="939"/>
      <c r="AP44" s="939"/>
      <c r="AQ44" s="185" t="s">
        <v>1130</v>
      </c>
      <c r="AR44" s="185"/>
    </row>
    <row r="45" spans="2:44" s="1332" customFormat="1" ht="21.95" hidden="1" customHeight="1" x14ac:dyDescent="0.15">
      <c r="B45" s="351"/>
      <c r="C45" s="786"/>
      <c r="D45" s="786"/>
      <c r="E45" s="787">
        <v>22.5</v>
      </c>
      <c r="F45" s="3" cm="1">
        <f t="array" aca="1" ref="F45" ca="1">OFFSET(E45,-1,1)</f>
        <v>0</v>
      </c>
      <c r="G45" s="290" t="s">
        <v>1132</v>
      </c>
      <c r="H45" s="758" t="s">
        <v>544</v>
      </c>
      <c r="I45" s="758"/>
      <c r="J45" s="786"/>
      <c r="K45" s="406" t="str">
        <f ca="1">F45&amp;"6komm"</f>
        <v>06komm</v>
      </c>
      <c r="L45" s="406" cm="1">
        <f t="array" ref="L45">AK45</f>
        <v>0</v>
      </c>
      <c r="M45" s="786"/>
      <c r="N45" s="786"/>
      <c r="O45" s="786"/>
      <c r="P45" s="786"/>
      <c r="Q45" s="786"/>
      <c r="R45" s="786"/>
      <c r="S45" s="786"/>
      <c r="T45" s="388" t="b" cm="1">
        <f t="array" aca="1" ref="T45" ca="1">T44</f>
        <v>0</v>
      </c>
      <c r="U45" s="786"/>
      <c r="V45" s="786"/>
      <c r="W45" s="786"/>
      <c r="X45" s="2094"/>
      <c r="Y45" s="791"/>
      <c r="Z45" s="2095"/>
      <c r="AA45" s="786"/>
      <c r="AB45" s="613" t="s">
        <v>446</v>
      </c>
      <c r="AC45" s="766" t="s">
        <v>1133</v>
      </c>
      <c r="AD45" s="686" t="s">
        <v>831</v>
      </c>
      <c r="AE45" s="1407">
        <f ca="1">AE40*SUMIFS(INDEX(Сценарии!$AE$25:$BF$109,,MATCH(AE$13,Сценарии!$AE$8:$BF$8,0)),Сценарии!$F$25:$F$109,$F45,Сценарии!$G$25:$G$109,"СВФОТ")/100</f>
        <v>0</v>
      </c>
      <c r="AF45" s="1407">
        <f ca="1">AF40*SUMIFS(INDEX(Сценарии!$AE$25:$BF$109,,MATCH(AF$13,Сценарии!$AE$8:$BF$8,0)),Сценарии!$F$25:$F$109,$F45,Сценарии!$G$25:$G$109,"СВФОТ")/100</f>
        <v>0</v>
      </c>
      <c r="AG45" s="1407">
        <f ca="1">AG40*SUMIFS(INDEX(Сценарии!$AE$25:$BF$109,,MATCH(AG$13,Сценарии!$AE$8:$BF$8,0)),Сценарии!$F$25:$F$109,$F45,Сценарии!$G$25:$G$109,"СВФОТ")/100</f>
        <v>0</v>
      </c>
      <c r="AH45" s="1407">
        <f ca="1">AH40*SUMIFS(INDEX(Сценарии!$AE$25:$BF$109,,MATCH(AH$13,Сценарии!$AE$8:$BF$8,0)),Сценарии!$F$25:$F$109,$F45,Сценарии!$G$25:$G$109,"СВФОТ")/100</f>
        <v>0</v>
      </c>
      <c r="AI45" s="216">
        <f ca="1">AI40*SUMIFS(INDEX(Сценарии!$AE$25:$BF$109,,MATCH(AI$13,Сценарии!$AE$8:$BF$8,0)),Сценарии!$F$25:$F$109,$F45,Сценарии!$G$25:$G$109,"СВФОТ")/100</f>
        <v>0</v>
      </c>
      <c r="AJ45" s="216">
        <f ca="1">AJ40*SUMIFS(INDEX(Сценарии!$AE$25:$BF$109,,MATCH(AJ$13,Сценарии!$AE$8:$BF$8,0)),Сценарии!$F$25:$F$109,$F45,Сценарии!$G$25:$G$109,"СВФОТ")/100</f>
        <v>0</v>
      </c>
      <c r="AK45" s="1410"/>
      <c r="AN45" s="939" t="s">
        <v>1134</v>
      </c>
      <c r="AO45" s="939"/>
      <c r="AP45" s="939"/>
      <c r="AQ45" s="185"/>
      <c r="AR45" s="185"/>
    </row>
    <row r="46" spans="2:44" s="1332" customFormat="1" ht="14.65" hidden="1" customHeight="1" x14ac:dyDescent="0.15">
      <c r="B46" s="351"/>
      <c r="C46" s="786"/>
      <c r="D46" s="786"/>
      <c r="E46" s="787">
        <v>15</v>
      </c>
      <c r="F46" s="3" cm="1">
        <f t="array" aca="1" ref="F46" ca="1">OFFSET(E46,-1,1)</f>
        <v>0</v>
      </c>
      <c r="G46" s="290" t="s">
        <v>1135</v>
      </c>
      <c r="H46" s="758" t="s">
        <v>547</v>
      </c>
      <c r="I46" s="758"/>
      <c r="J46" s="786"/>
      <c r="K46" s="406" t="str">
        <f ca="1">F46&amp;"7komm"</f>
        <v>07komm</v>
      </c>
      <c r="L46" s="406" cm="1">
        <f t="array" ref="L46">AK46</f>
        <v>0</v>
      </c>
      <c r="M46" s="786"/>
      <c r="N46" s="786"/>
      <c r="O46" s="786"/>
      <c r="P46" s="786"/>
      <c r="Q46" s="786"/>
      <c r="R46" s="786"/>
      <c r="S46" s="786"/>
      <c r="T46" s="388" t="b" cm="1">
        <f t="array" aca="1" ref="T46" ca="1">T45</f>
        <v>0</v>
      </c>
      <c r="U46" s="786"/>
      <c r="V46" s="786"/>
      <c r="W46" s="786"/>
      <c r="X46" s="2094"/>
      <c r="Y46" s="791"/>
      <c r="Z46" s="2095"/>
      <c r="AA46" s="786"/>
      <c r="AB46" s="613" t="s">
        <v>448</v>
      </c>
      <c r="AC46" s="766" t="s">
        <v>1136</v>
      </c>
      <c r="AD46" s="686" t="s">
        <v>831</v>
      </c>
      <c r="AE46" s="1407"/>
      <c r="AF46" s="1407"/>
      <c r="AG46" s="1407"/>
      <c r="AH46" s="1407"/>
      <c r="AI46" s="132">
        <f>SUMIFS(AI47:AI50,$AD47:$AD50,$AD46)</f>
        <v>0</v>
      </c>
      <c r="AJ46" s="132">
        <f>SUMIFS(AJ47:AJ50,$AD47:$AD50,$AD46)</f>
        <v>0</v>
      </c>
      <c r="AK46" s="1410"/>
      <c r="AN46" s="939" t="s">
        <v>1137</v>
      </c>
      <c r="AO46" s="939"/>
      <c r="AP46" s="939"/>
      <c r="AQ46" s="185"/>
      <c r="AR46" s="185"/>
    </row>
    <row r="47" spans="2:44" s="1332" customFormat="1" ht="18.2" hidden="1" customHeight="1" x14ac:dyDescent="0.15">
      <c r="C47" s="793"/>
      <c r="D47" s="793"/>
      <c r="E47" s="794">
        <v>18.75</v>
      </c>
      <c r="F47" s="3" cm="1">
        <f t="array" aca="1" ref="F47" ca="1">OFFSET(E47,-1,1)</f>
        <v>0</v>
      </c>
      <c r="G47" s="790"/>
      <c r="H47" s="758" t="s">
        <v>547</v>
      </c>
      <c r="I47" s="790" cm="1">
        <f t="array" ref="I47">AC47</f>
        <v>0</v>
      </c>
      <c r="J47" s="793"/>
      <c r="K47" s="829"/>
      <c r="L47" s="829"/>
      <c r="M47" s="793"/>
      <c r="N47" s="793"/>
      <c r="O47" s="793"/>
      <c r="P47" s="793"/>
      <c r="Q47" s="793"/>
      <c r="R47" s="793"/>
      <c r="S47" s="793"/>
      <c r="T47" s="388" t="b">
        <f ca="1">AND(F47&gt;0,Y47&gt;0)</f>
        <v>0</v>
      </c>
      <c r="U47" s="793"/>
      <c r="V47" s="793"/>
      <c r="W47" s="786" t="s">
        <v>172</v>
      </c>
      <c r="X47" s="2094"/>
      <c r="Y47" s="2094">
        <v>0</v>
      </c>
      <c r="Z47" s="2095"/>
      <c r="AA47" s="2092" t="s">
        <v>173</v>
      </c>
      <c r="AB47" s="1129" t="str">
        <f>"7."&amp;Y47</f>
        <v>7.0</v>
      </c>
      <c r="AC47" s="1411"/>
      <c r="AD47" s="796" t="s">
        <v>831</v>
      </c>
      <c r="AE47" s="1412"/>
      <c r="AF47" s="1412"/>
      <c r="AG47" s="1412"/>
      <c r="AH47" s="1412"/>
      <c r="AI47" s="797">
        <f>AI48*AI49*12/1000</f>
        <v>0</v>
      </c>
      <c r="AJ47" s="797">
        <f>AJ48*AJ49*12/1000</f>
        <v>0</v>
      </c>
      <c r="AK47" s="1413"/>
      <c r="AN47" s="939" t="s">
        <v>1107</v>
      </c>
      <c r="AO47" s="955" t="s">
        <v>1138</v>
      </c>
      <c r="AP47" s="939" cm="1">
        <f t="array" ref="AP47">AC47</f>
        <v>0</v>
      </c>
      <c r="AQ47" s="956"/>
      <c r="AR47" s="185" t="b">
        <v>1</v>
      </c>
    </row>
    <row r="48" spans="2:44" s="1332" customFormat="1" ht="14.65" hidden="1" customHeight="1" x14ac:dyDescent="0.15">
      <c r="C48" s="793"/>
      <c r="D48" s="793"/>
      <c r="E48" s="794">
        <v>15</v>
      </c>
      <c r="F48" s="3" cm="1">
        <f t="array" aca="1" ref="F48" ca="1">OFFSET(E48,-1,1)</f>
        <v>0</v>
      </c>
      <c r="G48" s="790"/>
      <c r="H48" s="790" t="str">
        <f>H47&amp;"_1"</f>
        <v>l7_1</v>
      </c>
      <c r="I48" s="790" cm="1">
        <f t="array" ref="I48">I47</f>
        <v>0</v>
      </c>
      <c r="J48" s="793"/>
      <c r="K48" s="829"/>
      <c r="L48" s="829"/>
      <c r="M48" s="793"/>
      <c r="N48" s="793"/>
      <c r="O48" s="793"/>
      <c r="P48" s="793"/>
      <c r="Q48" s="793"/>
      <c r="R48" s="793"/>
      <c r="S48" s="793"/>
      <c r="T48" s="388" t="b" cm="1">
        <f t="array" aca="1" ref="T48" ca="1">T47</f>
        <v>0</v>
      </c>
      <c r="U48" s="793"/>
      <c r="V48" s="793"/>
      <c r="W48" s="793"/>
      <c r="X48" s="2094"/>
      <c r="Y48" s="2094"/>
      <c r="Z48" s="2095"/>
      <c r="AA48" s="2092"/>
      <c r="AB48" s="799" t="str">
        <f>AB47&amp;".1"</f>
        <v>7.0.1</v>
      </c>
      <c r="AC48" s="800" t="s">
        <v>1110</v>
      </c>
      <c r="AD48" s="796" t="s">
        <v>1111</v>
      </c>
      <c r="AE48" s="1412"/>
      <c r="AF48" s="1412"/>
      <c r="AG48" s="1412"/>
      <c r="AH48" s="1412"/>
      <c r="AI48" s="801"/>
      <c r="AJ48" s="801"/>
      <c r="AK48" s="1413"/>
      <c r="AN48" s="939" t="s">
        <v>1112</v>
      </c>
      <c r="AO48" s="955" t="s">
        <v>1138</v>
      </c>
      <c r="AP48" s="939" cm="1">
        <f t="array" ref="AP48">AP47</f>
        <v>0</v>
      </c>
      <c r="AQ48" s="956"/>
      <c r="AR48" s="956"/>
    </row>
    <row r="49" spans="1:44" s="1332" customFormat="1" ht="14.65" hidden="1" customHeight="1" x14ac:dyDescent="0.15">
      <c r="C49" s="793"/>
      <c r="D49" s="793"/>
      <c r="E49" s="794">
        <v>15</v>
      </c>
      <c r="F49" s="3" cm="1">
        <f t="array" aca="1" ref="F49" ca="1">OFFSET(E49,-1,1)</f>
        <v>0</v>
      </c>
      <c r="G49" s="790"/>
      <c r="H49" s="790" t="str">
        <f>H47&amp;"_2"</f>
        <v>l7_2</v>
      </c>
      <c r="I49" s="790" cm="1">
        <f t="array" ref="I49">I48</f>
        <v>0</v>
      </c>
      <c r="J49" s="793"/>
      <c r="K49" s="829"/>
      <c r="L49" s="829"/>
      <c r="M49" s="793"/>
      <c r="N49" s="793"/>
      <c r="O49" s="793"/>
      <c r="P49" s="793"/>
      <c r="Q49" s="793"/>
      <c r="R49" s="793"/>
      <c r="S49" s="793"/>
      <c r="T49" s="388" t="b" cm="1">
        <f t="array" aca="1" ref="T49" ca="1">T48</f>
        <v>0</v>
      </c>
      <c r="U49" s="793"/>
      <c r="V49" s="793"/>
      <c r="W49" s="793"/>
      <c r="X49" s="2094"/>
      <c r="Y49" s="2094"/>
      <c r="Z49" s="2095"/>
      <c r="AA49" s="2092"/>
      <c r="AB49" s="799" t="str">
        <f>AB47&amp;".2"</f>
        <v>7.0.2</v>
      </c>
      <c r="AC49" s="800" t="s">
        <v>1113</v>
      </c>
      <c r="AD49" s="796" t="s">
        <v>1114</v>
      </c>
      <c r="AE49" s="1412"/>
      <c r="AF49" s="1412"/>
      <c r="AG49" s="1412"/>
      <c r="AH49" s="1412"/>
      <c r="AI49" s="801"/>
      <c r="AJ49" s="801"/>
      <c r="AK49" s="1413"/>
      <c r="AN49" s="939" t="s">
        <v>1115</v>
      </c>
      <c r="AO49" s="955" t="s">
        <v>1138</v>
      </c>
      <c r="AP49" s="939" cm="1">
        <f t="array" ref="AP49">AP48</f>
        <v>0</v>
      </c>
      <c r="AQ49" s="956"/>
      <c r="AR49" s="956"/>
    </row>
    <row r="50" spans="1:44" s="1332" customFormat="1" ht="14.65" hidden="1" customHeight="1" x14ac:dyDescent="0.15">
      <c r="B50" s="351"/>
      <c r="C50" s="786"/>
      <c r="D50" s="786"/>
      <c r="E50" s="787">
        <v>15</v>
      </c>
      <c r="F50" s="3" cm="1">
        <f t="array" aca="1" ref="F50" ca="1">OFFSET(E50,-1,1)</f>
        <v>0</v>
      </c>
      <c r="G50" s="290"/>
      <c r="H50" s="758"/>
      <c r="I50" s="71" t="str">
        <f>"!=='не определено' &amp;&amp; row.l7 !== null"</f>
        <v>!=='не определено' &amp;&amp; row.l7 !== null</v>
      </c>
      <c r="J50" s="786"/>
      <c r="K50" s="406"/>
      <c r="L50" s="406"/>
      <c r="M50" s="786"/>
      <c r="N50" s="786"/>
      <c r="O50" s="786"/>
      <c r="P50" s="786"/>
      <c r="Q50" s="786"/>
      <c r="R50" s="786"/>
      <c r="S50" s="786"/>
      <c r="T50" s="388" t="b">
        <f ca="1">F50&gt;0</f>
        <v>0</v>
      </c>
      <c r="U50" s="786"/>
      <c r="V50" s="786"/>
      <c r="W50" s="677" t="s">
        <v>1139</v>
      </c>
      <c r="X50" s="2094"/>
      <c r="Y50" s="786"/>
      <c r="Z50" s="2095"/>
      <c r="AA50" s="786"/>
      <c r="AB50" s="792"/>
      <c r="AC50" s="178" t="s">
        <v>176</v>
      </c>
      <c r="AD50" s="696"/>
      <c r="AE50" s="696"/>
      <c r="AF50" s="696"/>
      <c r="AG50" s="696"/>
      <c r="AH50" s="696"/>
      <c r="AI50" s="696"/>
      <c r="AJ50" s="696"/>
      <c r="AK50" s="697"/>
      <c r="AN50" s="939"/>
      <c r="AO50" s="939"/>
      <c r="AP50" s="939"/>
      <c r="AQ50" s="956" t="s">
        <v>1138</v>
      </c>
      <c r="AR50" s="185"/>
    </row>
    <row r="51" spans="1:44" s="1332" customFormat="1" ht="21.95" hidden="1" customHeight="1" x14ac:dyDescent="0.15">
      <c r="B51" s="351"/>
      <c r="C51" s="786"/>
      <c r="D51" s="786"/>
      <c r="E51" s="787">
        <v>22.5</v>
      </c>
      <c r="F51" s="3" cm="1">
        <f t="array" aca="1" ref="F51" ca="1">OFFSET(E51,-1,1)</f>
        <v>0</v>
      </c>
      <c r="G51" s="290" t="s">
        <v>1140</v>
      </c>
      <c r="H51" s="758" t="s">
        <v>591</v>
      </c>
      <c r="I51" s="758"/>
      <c r="J51" s="786"/>
      <c r="K51" s="406" t="str">
        <f ca="1">F51&amp;"8komm"</f>
        <v>08komm</v>
      </c>
      <c r="L51" s="830" cm="1">
        <f t="array" ref="L51">AK51</f>
        <v>0</v>
      </c>
      <c r="M51" s="786"/>
      <c r="N51" s="786"/>
      <c r="O51" s="786"/>
      <c r="P51" s="786"/>
      <c r="Q51" s="786"/>
      <c r="R51" s="786"/>
      <c r="S51" s="786"/>
      <c r="T51" s="388" t="b" cm="1">
        <f t="array" aca="1" ref="T51" ca="1">T50</f>
        <v>0</v>
      </c>
      <c r="U51" s="786"/>
      <c r="V51" s="786"/>
      <c r="W51" s="786"/>
      <c r="X51" s="2094"/>
      <c r="Y51" s="786"/>
      <c r="Z51" s="2095"/>
      <c r="AA51" s="786"/>
      <c r="AB51" s="613" t="s">
        <v>450</v>
      </c>
      <c r="AC51" s="766" t="s">
        <v>1141</v>
      </c>
      <c r="AD51" s="686" t="s">
        <v>831</v>
      </c>
      <c r="AE51" s="1407">
        <f ca="1">AE46*SUMIFS(INDEX(Сценарии!$AE$25:$BF$109,,MATCH(AE$13,Сценарии!$AE$8:$BF$8,0)),Сценарии!$F$25:$F$109,$F51,Сценарии!$G$25:$G$109,"СВФОТ")/100</f>
        <v>0</v>
      </c>
      <c r="AF51" s="1407">
        <f ca="1">AF46*SUMIFS(INDEX(Сценарии!$AE$25:$BF$109,,MATCH(AF$13,Сценарии!$AE$8:$BF$8,0)),Сценарии!$F$25:$F$109,$F51,Сценарии!$G$25:$G$109,"СВФОТ")/100</f>
        <v>0</v>
      </c>
      <c r="AG51" s="1407">
        <f ca="1">AG46*SUMIFS(INDEX(Сценарии!$AE$25:$BF$109,,MATCH(AG$13,Сценарии!$AE$8:$BF$8,0)),Сценарии!$F$25:$F$109,$F51,Сценарии!$G$25:$G$109,"СВФОТ")/100</f>
        <v>0</v>
      </c>
      <c r="AH51" s="1407">
        <f ca="1">AH46*SUMIFS(INDEX(Сценарии!$AE$25:$BF$109,,MATCH(AH$13,Сценарии!$AE$8:$BF$8,0)),Сценарии!$F$25:$F$109,$F51,Сценарии!$G$25:$G$109,"СВФОТ")/100</f>
        <v>0</v>
      </c>
      <c r="AI51" s="216">
        <f ca="1">AI46*SUMIFS(INDEX(Сценарии!$AE$25:$BF$109,,MATCH(AI$13,Сценарии!$AE$8:$BF$8,0)),Сценарии!$F$25:$F$109,$F51,Сценарии!$G$25:$G$109,"СВФОТ")/100</f>
        <v>0</v>
      </c>
      <c r="AJ51" s="216">
        <f ca="1">AJ46*SUMIFS(INDEX(Сценарии!$AE$25:$BF$109,,MATCH(AJ$13,Сценарии!$AE$8:$BF$8,0)),Сценарии!$F$25:$F$109,$F51,Сценарии!$G$25:$G$109,"СВФОТ")/100</f>
        <v>0</v>
      </c>
      <c r="AK51" s="1362"/>
      <c r="AN51" s="939" t="s">
        <v>1142</v>
      </c>
      <c r="AO51" s="939"/>
      <c r="AP51" s="939"/>
      <c r="AQ51" s="185"/>
      <c r="AR51" s="185"/>
    </row>
    <row r="52" spans="1:44" s="1088" customFormat="1" ht="14.25" customHeight="1" x14ac:dyDescent="0.15">
      <c r="A52" s="1332"/>
      <c r="B52" s="351"/>
      <c r="C52" s="786"/>
      <c r="D52" s="786"/>
      <c r="E52" s="787">
        <v>15</v>
      </c>
      <c r="F52" s="416" t="str" cm="1">
        <f t="array" ref="F52">X52</f>
        <v>1</v>
      </c>
      <c r="G52" s="758" t="s">
        <v>60</v>
      </c>
      <c r="H52" s="758"/>
      <c r="I52" s="758"/>
      <c r="J52" s="786"/>
      <c r="K52" s="406"/>
      <c r="L52" s="406"/>
      <c r="M52" s="786"/>
      <c r="N52" s="786"/>
      <c r="O52" s="786"/>
      <c r="P52" s="786"/>
      <c r="Q52" s="786"/>
      <c r="R52" s="786"/>
      <c r="S52" s="786"/>
      <c r="T52" s="388" t="b">
        <f>X52&gt;0</f>
        <v>1</v>
      </c>
      <c r="U52" s="786"/>
      <c r="V52" s="786" t="str" cm="1">
        <f t="array" ref="V52">Покупка!$AB$57</f>
        <v>Тариф 1 (Водоснабжение) - тариф на питьевую воду</v>
      </c>
      <c r="W52" s="786"/>
      <c r="X52" s="2094" t="s">
        <v>282</v>
      </c>
      <c r="Y52" s="786"/>
      <c r="Z52" s="2095"/>
      <c r="AA52" s="786"/>
      <c r="AB52" s="161" t="str" cm="1">
        <f t="array" ref="AB52">Покупка!$AB$57</f>
        <v>Тариф 1 (Водоснабжение) - тариф на питьевую воду</v>
      </c>
      <c r="AC52" s="788"/>
      <c r="AD52" s="788"/>
      <c r="AE52" s="789">
        <f t="shared" ref="AE52:AJ52" si="2">AE53+AE64+AE65+AE76+AE77+AE85+AE86+AE94</f>
        <v>52952.670646422303</v>
      </c>
      <c r="AF52" s="789">
        <f t="shared" ca="1" si="2"/>
        <v>0</v>
      </c>
      <c r="AG52" s="789">
        <f t="shared" ca="1" si="2"/>
        <v>0</v>
      </c>
      <c r="AH52" s="789">
        <f t="shared" ca="1" si="2"/>
        <v>0</v>
      </c>
      <c r="AI52" s="789">
        <f t="shared" ca="1" si="2"/>
        <v>0</v>
      </c>
      <c r="AJ52" s="789">
        <f t="shared" ca="1" si="2"/>
        <v>0</v>
      </c>
      <c r="AK52" s="789"/>
      <c r="AL52" s="1332"/>
      <c r="AM52" s="1332"/>
      <c r="AN52" s="939"/>
      <c r="AO52" s="939"/>
      <c r="AP52" s="939"/>
      <c r="AQ52" s="185"/>
      <c r="AR52" s="185"/>
    </row>
    <row r="53" spans="1:44" s="1088" customFormat="1" ht="21.95" customHeight="1" x14ac:dyDescent="0.15">
      <c r="A53" s="1332"/>
      <c r="B53" s="351"/>
      <c r="C53" s="786"/>
      <c r="D53" s="786"/>
      <c r="E53" s="787">
        <v>22.5</v>
      </c>
      <c r="F53" s="3" t="str" cm="1">
        <f t="array" aca="1" ref="F53" ca="1">OFFSET(E53,-1,1)</f>
        <v>1</v>
      </c>
      <c r="G53" s="290" t="s">
        <v>1104</v>
      </c>
      <c r="H53" s="758" t="s">
        <v>331</v>
      </c>
      <c r="I53" s="758"/>
      <c r="J53" s="786"/>
      <c r="K53" s="406" t="str">
        <f ca="1">F53&amp;"1komm"</f>
        <v>11komm</v>
      </c>
      <c r="L53" s="830" cm="1">
        <f t="array" ref="L53">AK53</f>
        <v>0</v>
      </c>
      <c r="M53" s="786"/>
      <c r="N53" s="786"/>
      <c r="O53" s="786"/>
      <c r="P53" s="786"/>
      <c r="Q53" s="786"/>
      <c r="R53" s="786"/>
      <c r="S53" s="786"/>
      <c r="T53" s="388" t="b" cm="1">
        <f t="array" ref="T53">T52</f>
        <v>1</v>
      </c>
      <c r="U53" s="786"/>
      <c r="V53" s="786"/>
      <c r="W53" s="786"/>
      <c r="X53" s="2094"/>
      <c r="Y53" s="786"/>
      <c r="Z53" s="2095"/>
      <c r="AA53" s="786"/>
      <c r="AB53" s="613">
        <v>1</v>
      </c>
      <c r="AC53" s="766" t="s">
        <v>1105</v>
      </c>
      <c r="AD53" s="686" t="s">
        <v>831</v>
      </c>
      <c r="AE53" s="216">
        <v>23905.345056959999</v>
      </c>
      <c r="AF53" s="216"/>
      <c r="AG53" s="216"/>
      <c r="AH53" s="216"/>
      <c r="AI53" s="132">
        <f>SUMIFS(AI54:AI63,$AD54:$AD63,$AD53)</f>
        <v>0</v>
      </c>
      <c r="AJ53" s="132">
        <f>SUMIFS(AJ54:AJ63,$AD54:$AD63,$AD53)</f>
        <v>0</v>
      </c>
      <c r="AK53" s="765"/>
      <c r="AL53" s="1332"/>
      <c r="AM53" s="1332"/>
      <c r="AN53" s="939" t="s">
        <v>1106</v>
      </c>
      <c r="AO53" s="939"/>
      <c r="AP53" s="939"/>
      <c r="AQ53" s="185"/>
      <c r="AR53" s="185"/>
    </row>
    <row r="54" spans="1:44" s="1088" customFormat="1" ht="18" hidden="1" customHeight="1" x14ac:dyDescent="0.15">
      <c r="A54" s="1332"/>
      <c r="B54" s="351"/>
      <c r="C54" s="786"/>
      <c r="D54" s="786"/>
      <c r="E54" s="787">
        <v>18.75</v>
      </c>
      <c r="F54" s="3" t="str" cm="1">
        <f t="array" aca="1" ref="F54" ca="1">OFFSET(E54,-1,1)</f>
        <v>1</v>
      </c>
      <c r="G54" s="758"/>
      <c r="H54" s="758" t="s">
        <v>331</v>
      </c>
      <c r="I54" s="758" cm="1">
        <f t="array" ref="I54">AC54</f>
        <v>0</v>
      </c>
      <c r="J54" s="786"/>
      <c r="K54" s="406"/>
      <c r="L54" s="406"/>
      <c r="M54" s="786"/>
      <c r="N54" s="786"/>
      <c r="O54" s="786"/>
      <c r="P54" s="786"/>
      <c r="Q54" s="786"/>
      <c r="R54" s="786"/>
      <c r="S54" s="786"/>
      <c r="T54" s="388" t="b">
        <f ca="1">AND(F54&gt;0,Y54&gt;0)</f>
        <v>0</v>
      </c>
      <c r="U54" s="786"/>
      <c r="V54" s="786"/>
      <c r="W54" s="786" t="s">
        <v>172</v>
      </c>
      <c r="X54" s="2094"/>
      <c r="Y54" s="2094">
        <v>0</v>
      </c>
      <c r="Z54" s="2095"/>
      <c r="AA54" s="2092" t="s">
        <v>173</v>
      </c>
      <c r="AB54" s="218" t="str">
        <f>"1."&amp;Y54</f>
        <v>1.0</v>
      </c>
      <c r="AC54" s="1408"/>
      <c r="AD54" s="686" t="s">
        <v>831</v>
      </c>
      <c r="AE54" s="1409"/>
      <c r="AF54" s="1409"/>
      <c r="AG54" s="1409"/>
      <c r="AH54" s="1409"/>
      <c r="AI54" s="692">
        <f>AI55*AI56*12/1000</f>
        <v>0</v>
      </c>
      <c r="AJ54" s="692">
        <f>AJ55*AJ56*12/1000</f>
        <v>0</v>
      </c>
      <c r="AK54" s="1362"/>
      <c r="AL54" s="1332"/>
      <c r="AM54" s="1332"/>
      <c r="AN54" s="939" t="s">
        <v>1107</v>
      </c>
      <c r="AO54" s="939" t="s">
        <v>1108</v>
      </c>
      <c r="AP54" s="939" cm="1">
        <f t="array" ref="AP54">AC54</f>
        <v>0</v>
      </c>
      <c r="AQ54" s="185"/>
      <c r="AR54" s="185" t="b">
        <v>1</v>
      </c>
    </row>
    <row r="55" spans="1:44" s="1088" customFormat="1" ht="14.25" hidden="1" customHeight="1" x14ac:dyDescent="0.15">
      <c r="A55" s="1332"/>
      <c r="B55" s="351"/>
      <c r="C55" s="786"/>
      <c r="D55" s="786"/>
      <c r="E55" s="787">
        <v>15</v>
      </c>
      <c r="F55" s="3" t="str" cm="1">
        <f t="array" aca="1" ref="F55" ca="1">OFFSET(E55,-1,1)</f>
        <v>1</v>
      </c>
      <c r="G55" s="790" t="s">
        <v>1109</v>
      </c>
      <c r="H55" s="758" t="str">
        <f>H54&amp;"_1"</f>
        <v>l1_1</v>
      </c>
      <c r="I55" s="758" cm="1">
        <f t="array" ref="I55">I54</f>
        <v>0</v>
      </c>
      <c r="J55" s="786"/>
      <c r="K55" s="406"/>
      <c r="L55" s="406"/>
      <c r="M55" s="786"/>
      <c r="N55" s="786"/>
      <c r="O55" s="786"/>
      <c r="P55" s="786"/>
      <c r="Q55" s="786"/>
      <c r="R55" s="786"/>
      <c r="S55" s="786"/>
      <c r="T55" s="388" t="b" cm="1">
        <f t="array" aca="1" ref="T55" ca="1">T54</f>
        <v>0</v>
      </c>
      <c r="U55" s="786"/>
      <c r="V55" s="786"/>
      <c r="W55" s="786"/>
      <c r="X55" s="2094"/>
      <c r="Y55" s="2094"/>
      <c r="Z55" s="2095"/>
      <c r="AA55" s="2092"/>
      <c r="AB55" s="613" t="str">
        <f>AB54&amp;".1"</f>
        <v>1.0.1</v>
      </c>
      <c r="AC55" s="685" t="s">
        <v>1110</v>
      </c>
      <c r="AD55" s="686" t="s">
        <v>1111</v>
      </c>
      <c r="AE55" s="1409"/>
      <c r="AF55" s="1409"/>
      <c r="AG55" s="1409"/>
      <c r="AH55" s="1409"/>
      <c r="AI55" s="216"/>
      <c r="AJ55" s="216"/>
      <c r="AK55" s="1362"/>
      <c r="AL55" s="1332"/>
      <c r="AM55" s="1332"/>
      <c r="AN55" s="939" t="s">
        <v>1112</v>
      </c>
      <c r="AO55" s="939" t="s">
        <v>1108</v>
      </c>
      <c r="AP55" s="939" cm="1">
        <f t="array" ref="AP55">AP54</f>
        <v>0</v>
      </c>
      <c r="AQ55" s="185"/>
      <c r="AR55" s="185"/>
    </row>
    <row r="56" spans="1:44" s="1088" customFormat="1" ht="14.25" hidden="1" customHeight="1" x14ac:dyDescent="0.15">
      <c r="A56" s="1332"/>
      <c r="B56" s="351"/>
      <c r="C56" s="786"/>
      <c r="D56" s="786"/>
      <c r="E56" s="787">
        <v>15</v>
      </c>
      <c r="F56" s="3" t="str" cm="1">
        <f t="array" aca="1" ref="F56" ca="1">OFFSET(E56,-1,1)</f>
        <v>1</v>
      </c>
      <c r="G56" s="758"/>
      <c r="H56" s="758" t="str">
        <f>H54&amp;"_2"</f>
        <v>l1_2</v>
      </c>
      <c r="I56" s="758" cm="1">
        <f t="array" ref="I56">I55</f>
        <v>0</v>
      </c>
      <c r="J56" s="786"/>
      <c r="K56" s="406"/>
      <c r="L56" s="406"/>
      <c r="M56" s="786"/>
      <c r="N56" s="786"/>
      <c r="O56" s="786"/>
      <c r="P56" s="786"/>
      <c r="Q56" s="786"/>
      <c r="R56" s="786"/>
      <c r="S56" s="786"/>
      <c r="T56" s="388" t="b" cm="1">
        <f t="array" aca="1" ref="T56" ca="1">T55</f>
        <v>0</v>
      </c>
      <c r="U56" s="786"/>
      <c r="V56" s="786"/>
      <c r="W56" s="786"/>
      <c r="X56" s="2094"/>
      <c r="Y56" s="2094"/>
      <c r="Z56" s="2095"/>
      <c r="AA56" s="2092"/>
      <c r="AB56" s="613" t="str">
        <f>AB54&amp;".2"</f>
        <v>1.0.2</v>
      </c>
      <c r="AC56" s="685" t="s">
        <v>1113</v>
      </c>
      <c r="AD56" s="686" t="s">
        <v>1114</v>
      </c>
      <c r="AE56" s="1409"/>
      <c r="AF56" s="1409"/>
      <c r="AG56" s="1409"/>
      <c r="AH56" s="1409"/>
      <c r="AI56" s="216"/>
      <c r="AJ56" s="216"/>
      <c r="AK56" s="1362"/>
      <c r="AL56" s="1332"/>
      <c r="AM56" s="1332"/>
      <c r="AN56" s="939" t="s">
        <v>1115</v>
      </c>
      <c r="AO56" s="939" t="s">
        <v>1108</v>
      </c>
      <c r="AP56" s="939" cm="1">
        <f t="array" ref="AP56">AP55</f>
        <v>0</v>
      </c>
      <c r="AQ56" s="185"/>
      <c r="AR56" s="185"/>
    </row>
    <row r="57" spans="1:44" s="1088" customFormat="1" ht="18" customHeight="1" x14ac:dyDescent="0.15">
      <c r="A57" s="1332"/>
      <c r="B57" s="351"/>
      <c r="C57" s="786"/>
      <c r="D57" s="786"/>
      <c r="E57" s="787">
        <v>18.75</v>
      </c>
      <c r="F57" s="3" t="str" cm="1">
        <f t="array" aca="1" ref="F57" ca="1">OFFSET(E57,-1,1)</f>
        <v>1</v>
      </c>
      <c r="G57" s="758"/>
      <c r="H57" s="758" t="s">
        <v>331</v>
      </c>
      <c r="I57" s="758" t="str" cm="1">
        <f t="array" ref="I57">AC57</f>
        <v>основной персонала</v>
      </c>
      <c r="J57" s="786"/>
      <c r="K57" s="406"/>
      <c r="L57" s="406"/>
      <c r="M57" s="786"/>
      <c r="N57" s="786"/>
      <c r="O57" s="786"/>
      <c r="P57" s="786"/>
      <c r="Q57" s="786"/>
      <c r="R57" s="786"/>
      <c r="S57" s="786"/>
      <c r="T57" s="388" t="b">
        <f ca="1">AND(F57&gt;0,Y57&gt;0)</f>
        <v>1</v>
      </c>
      <c r="U57" s="786"/>
      <c r="V57" s="786"/>
      <c r="W57" s="786"/>
      <c r="X57" s="2094"/>
      <c r="Y57" s="2094" t="s">
        <v>282</v>
      </c>
      <c r="Z57" s="2095"/>
      <c r="AA57" s="2092" t="s">
        <v>173</v>
      </c>
      <c r="AB57" s="218" t="str">
        <f>"1."&amp;Y57</f>
        <v>1.1</v>
      </c>
      <c r="AC57" s="375" t="s">
        <v>1143</v>
      </c>
      <c r="AD57" s="686" t="s">
        <v>831</v>
      </c>
      <c r="AE57" s="1409"/>
      <c r="AF57" s="1409"/>
      <c r="AG57" s="1409"/>
      <c r="AH57" s="1409"/>
      <c r="AI57" s="692">
        <f>AI58*AI59*12/1000</f>
        <v>0</v>
      </c>
      <c r="AJ57" s="692">
        <f>AJ58*AJ59*12/1000</f>
        <v>0</v>
      </c>
      <c r="AK57" s="765"/>
      <c r="AL57" s="1332"/>
      <c r="AM57" s="1332"/>
      <c r="AN57" s="939" t="s">
        <v>1107</v>
      </c>
      <c r="AO57" s="939" t="s">
        <v>1108</v>
      </c>
      <c r="AP57" s="939" t="str" cm="1">
        <f t="array" ref="AP57">AC57</f>
        <v>основной персонала</v>
      </c>
      <c r="AQ57" s="185"/>
      <c r="AR57" s="185" t="b">
        <v>1</v>
      </c>
    </row>
    <row r="58" spans="1:44" s="1088" customFormat="1" ht="44.25" customHeight="1" x14ac:dyDescent="0.15">
      <c r="A58" s="1332"/>
      <c r="B58" s="351"/>
      <c r="C58" s="786"/>
      <c r="D58" s="786"/>
      <c r="E58" s="787">
        <v>15</v>
      </c>
      <c r="F58" s="3" t="str" cm="1">
        <f t="array" aca="1" ref="F58" ca="1">OFFSET(E58,-1,1)</f>
        <v>1</v>
      </c>
      <c r="G58" s="790" t="s">
        <v>1109</v>
      </c>
      <c r="H58" s="758" t="str">
        <f>H57&amp;"_1"</f>
        <v>l1_1</v>
      </c>
      <c r="I58" s="758" t="str" cm="1">
        <f t="array" ref="I58">I57</f>
        <v>основной персонала</v>
      </c>
      <c r="J58" s="786"/>
      <c r="K58" s="406"/>
      <c r="L58" s="406"/>
      <c r="M58" s="786"/>
      <c r="N58" s="786"/>
      <c r="O58" s="786"/>
      <c r="P58" s="786"/>
      <c r="Q58" s="786"/>
      <c r="R58" s="786"/>
      <c r="S58" s="786"/>
      <c r="T58" s="388" t="b" cm="1">
        <f t="array" aca="1" ref="T58" ca="1">T57</f>
        <v>1</v>
      </c>
      <c r="U58" s="786"/>
      <c r="V58" s="786"/>
      <c r="W58" s="786"/>
      <c r="X58" s="2094"/>
      <c r="Y58" s="2094"/>
      <c r="Z58" s="2095"/>
      <c r="AA58" s="2092"/>
      <c r="AB58" s="613" t="str">
        <f>AB57&amp;".1"</f>
        <v>1.1.1</v>
      </c>
      <c r="AC58" s="685" t="s">
        <v>1110</v>
      </c>
      <c r="AD58" s="686" t="s">
        <v>1111</v>
      </c>
      <c r="AE58" s="1409"/>
      <c r="AF58" s="1409"/>
      <c r="AG58" s="1409"/>
      <c r="AH58" s="1409"/>
      <c r="AI58" s="216"/>
      <c r="AJ58" s="216"/>
      <c r="AK58" s="765" t="s">
        <v>1144</v>
      </c>
      <c r="AL58" s="1332"/>
      <c r="AM58" s="1332"/>
      <c r="AN58" s="939" t="s">
        <v>1112</v>
      </c>
      <c r="AO58" s="939" t="s">
        <v>1108</v>
      </c>
      <c r="AP58" s="939" t="str" cm="1">
        <f t="array" ref="AP58">AP57</f>
        <v>основной персонала</v>
      </c>
      <c r="AQ58" s="185"/>
      <c r="AR58" s="185"/>
    </row>
    <row r="59" spans="1:44" s="1088" customFormat="1" ht="54.75" customHeight="1" x14ac:dyDescent="0.15">
      <c r="A59" s="1332"/>
      <c r="B59" s="351"/>
      <c r="C59" s="786"/>
      <c r="D59" s="786"/>
      <c r="E59" s="787">
        <v>15</v>
      </c>
      <c r="F59" s="3" t="str" cm="1">
        <f t="array" aca="1" ref="F59" ca="1">OFFSET(E59,-1,1)</f>
        <v>1</v>
      </c>
      <c r="G59" s="758"/>
      <c r="H59" s="758" t="str">
        <f>H57&amp;"_2"</f>
        <v>l1_2</v>
      </c>
      <c r="I59" s="758" t="str" cm="1">
        <f t="array" ref="I59">I58</f>
        <v>основной персонала</v>
      </c>
      <c r="J59" s="786"/>
      <c r="K59" s="406"/>
      <c r="L59" s="406"/>
      <c r="M59" s="786"/>
      <c r="N59" s="786"/>
      <c r="O59" s="786"/>
      <c r="P59" s="786"/>
      <c r="Q59" s="786"/>
      <c r="R59" s="786"/>
      <c r="S59" s="786"/>
      <c r="T59" s="388" t="b" cm="1">
        <f t="array" aca="1" ref="T59" ca="1">T58</f>
        <v>1</v>
      </c>
      <c r="U59" s="786"/>
      <c r="V59" s="786"/>
      <c r="W59" s="786"/>
      <c r="X59" s="2094"/>
      <c r="Y59" s="2094"/>
      <c r="Z59" s="2095"/>
      <c r="AA59" s="2092"/>
      <c r="AB59" s="613" t="str">
        <f>AB57&amp;".2"</f>
        <v>1.1.2</v>
      </c>
      <c r="AC59" s="685" t="s">
        <v>1113</v>
      </c>
      <c r="AD59" s="686" t="s">
        <v>1114</v>
      </c>
      <c r="AE59" s="1409"/>
      <c r="AF59" s="1409"/>
      <c r="AG59" s="1409"/>
      <c r="AH59" s="1409"/>
      <c r="AI59" s="216"/>
      <c r="AJ59" s="216"/>
      <c r="AK59" s="765" t="s">
        <v>1145</v>
      </c>
      <c r="AL59" s="1332"/>
      <c r="AM59" s="1332"/>
      <c r="AN59" s="939" t="s">
        <v>1115</v>
      </c>
      <c r="AO59" s="939" t="s">
        <v>1108</v>
      </c>
      <c r="AP59" s="939" t="str" cm="1">
        <f t="array" ref="AP59">AP58</f>
        <v>основной персонала</v>
      </c>
      <c r="AQ59" s="185"/>
      <c r="AR59" s="185"/>
    </row>
    <row r="60" spans="1:44" s="1088" customFormat="1" ht="18" customHeight="1" x14ac:dyDescent="0.15">
      <c r="A60" s="1332"/>
      <c r="B60" s="351"/>
      <c r="C60" s="786"/>
      <c r="D60" s="786"/>
      <c r="E60" s="787">
        <v>18.75</v>
      </c>
      <c r="F60" s="3" t="str" cm="1">
        <f t="array" aca="1" ref="F60" ca="1">OFFSET(E60,-1,1)</f>
        <v>1</v>
      </c>
      <c r="G60" s="758"/>
      <c r="H60" s="758" t="s">
        <v>331</v>
      </c>
      <c r="I60" s="758" t="str" cm="1">
        <f t="array" ref="I60">AC60</f>
        <v>цеховый персонал</v>
      </c>
      <c r="J60" s="786"/>
      <c r="K60" s="406"/>
      <c r="L60" s="406"/>
      <c r="M60" s="786"/>
      <c r="N60" s="786"/>
      <c r="O60" s="786"/>
      <c r="P60" s="786"/>
      <c r="Q60" s="786"/>
      <c r="R60" s="786"/>
      <c r="S60" s="786"/>
      <c r="T60" s="388" t="b">
        <f ca="1">AND(F60&gt;0,Y60&gt;0)</f>
        <v>1</v>
      </c>
      <c r="U60" s="786"/>
      <c r="V60" s="786"/>
      <c r="W60" s="786"/>
      <c r="X60" s="2094"/>
      <c r="Y60" s="2094" t="s">
        <v>289</v>
      </c>
      <c r="Z60" s="2095"/>
      <c r="AA60" s="2092" t="s">
        <v>173</v>
      </c>
      <c r="AB60" s="218" t="str">
        <f>"1."&amp;Y60</f>
        <v>1.2</v>
      </c>
      <c r="AC60" s="375" t="s">
        <v>1146</v>
      </c>
      <c r="AD60" s="686" t="s">
        <v>831</v>
      </c>
      <c r="AE60" s="1409"/>
      <c r="AF60" s="1409"/>
      <c r="AG60" s="1409"/>
      <c r="AH60" s="1409"/>
      <c r="AI60" s="692">
        <f>AI61*AI62*12/1000</f>
        <v>0</v>
      </c>
      <c r="AJ60" s="692">
        <f>AJ61*AJ62*12/1000</f>
        <v>0</v>
      </c>
      <c r="AK60" s="765"/>
      <c r="AL60" s="1332"/>
      <c r="AM60" s="1332"/>
      <c r="AN60" s="939" t="s">
        <v>1107</v>
      </c>
      <c r="AO60" s="939" t="s">
        <v>1108</v>
      </c>
      <c r="AP60" s="939" t="str" cm="1">
        <f t="array" ref="AP60">AC60</f>
        <v>цеховый персонал</v>
      </c>
      <c r="AQ60" s="185"/>
      <c r="AR60" s="185" t="b">
        <v>1</v>
      </c>
    </row>
    <row r="61" spans="1:44" s="1088" customFormat="1" ht="44.25" customHeight="1" x14ac:dyDescent="0.15">
      <c r="A61" s="1332"/>
      <c r="B61" s="351"/>
      <c r="C61" s="786"/>
      <c r="D61" s="786"/>
      <c r="E61" s="787">
        <v>15</v>
      </c>
      <c r="F61" s="3" t="str" cm="1">
        <f t="array" aca="1" ref="F61" ca="1">OFFSET(E61,-1,1)</f>
        <v>1</v>
      </c>
      <c r="G61" s="790" t="s">
        <v>1109</v>
      </c>
      <c r="H61" s="758" t="str">
        <f>H60&amp;"_1"</f>
        <v>l1_1</v>
      </c>
      <c r="I61" s="758" t="str" cm="1">
        <f t="array" ref="I61">I60</f>
        <v>цеховый персонал</v>
      </c>
      <c r="J61" s="786"/>
      <c r="K61" s="406"/>
      <c r="L61" s="406"/>
      <c r="M61" s="786"/>
      <c r="N61" s="786"/>
      <c r="O61" s="786"/>
      <c r="P61" s="786"/>
      <c r="Q61" s="786"/>
      <c r="R61" s="786"/>
      <c r="S61" s="786"/>
      <c r="T61" s="388" t="b" cm="1">
        <f t="array" aca="1" ref="T61" ca="1">T60</f>
        <v>1</v>
      </c>
      <c r="U61" s="786"/>
      <c r="V61" s="786"/>
      <c r="W61" s="786"/>
      <c r="X61" s="2094"/>
      <c r="Y61" s="2094"/>
      <c r="Z61" s="2095"/>
      <c r="AA61" s="2092"/>
      <c r="AB61" s="613" t="str">
        <f>AB60&amp;".1"</f>
        <v>1.2.1</v>
      </c>
      <c r="AC61" s="685" t="s">
        <v>1110</v>
      </c>
      <c r="AD61" s="686" t="s">
        <v>1111</v>
      </c>
      <c r="AE61" s="1409"/>
      <c r="AF61" s="1409"/>
      <c r="AG61" s="1409"/>
      <c r="AH61" s="1409"/>
      <c r="AI61" s="216"/>
      <c r="AJ61" s="216"/>
      <c r="AK61" s="765" t="s">
        <v>1144</v>
      </c>
      <c r="AL61" s="1332"/>
      <c r="AM61" s="1332"/>
      <c r="AN61" s="939" t="s">
        <v>1112</v>
      </c>
      <c r="AO61" s="939" t="s">
        <v>1108</v>
      </c>
      <c r="AP61" s="939" t="str" cm="1">
        <f t="array" ref="AP61">AP60</f>
        <v>цеховый персонал</v>
      </c>
      <c r="AQ61" s="185"/>
      <c r="AR61" s="185"/>
    </row>
    <row r="62" spans="1:44" s="1088" customFormat="1" ht="54.75" customHeight="1" x14ac:dyDescent="0.15">
      <c r="A62" s="1332"/>
      <c r="B62" s="351"/>
      <c r="C62" s="786"/>
      <c r="D62" s="786"/>
      <c r="E62" s="787">
        <v>15</v>
      </c>
      <c r="F62" s="3" t="str" cm="1">
        <f t="array" aca="1" ref="F62" ca="1">OFFSET(E62,-1,1)</f>
        <v>1</v>
      </c>
      <c r="G62" s="758"/>
      <c r="H62" s="758" t="str">
        <f>H60&amp;"_2"</f>
        <v>l1_2</v>
      </c>
      <c r="I62" s="758" t="str" cm="1">
        <f t="array" ref="I62">I61</f>
        <v>цеховый персонал</v>
      </c>
      <c r="J62" s="786"/>
      <c r="K62" s="406"/>
      <c r="L62" s="406"/>
      <c r="M62" s="786"/>
      <c r="N62" s="786"/>
      <c r="O62" s="786"/>
      <c r="P62" s="786"/>
      <c r="Q62" s="786"/>
      <c r="R62" s="786"/>
      <c r="S62" s="786"/>
      <c r="T62" s="388" t="b" cm="1">
        <f t="array" aca="1" ref="T62" ca="1">T61</f>
        <v>1</v>
      </c>
      <c r="U62" s="786"/>
      <c r="V62" s="786"/>
      <c r="W62" s="786"/>
      <c r="X62" s="2094"/>
      <c r="Y62" s="2094"/>
      <c r="Z62" s="2095"/>
      <c r="AA62" s="2092"/>
      <c r="AB62" s="613" t="str">
        <f>AB60&amp;".2"</f>
        <v>1.2.2</v>
      </c>
      <c r="AC62" s="685" t="s">
        <v>1113</v>
      </c>
      <c r="AD62" s="686" t="s">
        <v>1114</v>
      </c>
      <c r="AE62" s="1409"/>
      <c r="AF62" s="1409"/>
      <c r="AG62" s="1409"/>
      <c r="AH62" s="1409"/>
      <c r="AI62" s="216"/>
      <c r="AJ62" s="216"/>
      <c r="AK62" s="765" t="s">
        <v>1145</v>
      </c>
      <c r="AL62" s="1332"/>
      <c r="AM62" s="1332"/>
      <c r="AN62" s="939" t="s">
        <v>1115</v>
      </c>
      <c r="AO62" s="939" t="s">
        <v>1108</v>
      </c>
      <c r="AP62" s="939" t="str" cm="1">
        <f t="array" ref="AP62">AP61</f>
        <v>цеховый персонал</v>
      </c>
      <c r="AQ62" s="185"/>
      <c r="AR62" s="185"/>
    </row>
    <row r="63" spans="1:44" s="1088" customFormat="1" ht="14.25" customHeight="1" x14ac:dyDescent="0.15">
      <c r="A63" s="1332"/>
      <c r="B63" s="351"/>
      <c r="C63" s="786"/>
      <c r="D63" s="786"/>
      <c r="E63" s="787">
        <v>15</v>
      </c>
      <c r="F63" s="3" t="str" cm="1">
        <f t="array" aca="1" ref="F63" ca="1">OFFSET(E63,-1,1)</f>
        <v>1</v>
      </c>
      <c r="G63" s="290"/>
      <c r="H63" s="758"/>
      <c r="I63" s="71" t="str">
        <f>"!=='не определено' &amp;&amp; row.l1 !== null"</f>
        <v>!=='не определено' &amp;&amp; row.l1 !== null</v>
      </c>
      <c r="J63" s="786"/>
      <c r="K63" s="406"/>
      <c r="L63" s="406"/>
      <c r="M63" s="786"/>
      <c r="N63" s="786"/>
      <c r="O63" s="786"/>
      <c r="P63" s="786"/>
      <c r="Q63" s="786"/>
      <c r="R63" s="786"/>
      <c r="S63" s="786"/>
      <c r="T63" s="388" t="b">
        <f ca="1">F63&gt;0</f>
        <v>1</v>
      </c>
      <c r="U63" s="786"/>
      <c r="V63" s="786"/>
      <c r="W63" s="677" t="s">
        <v>396</v>
      </c>
      <c r="X63" s="2094"/>
      <c r="Y63" s="791"/>
      <c r="Z63" s="2095"/>
      <c r="AA63" s="786"/>
      <c r="AB63" s="792"/>
      <c r="AC63" s="178" t="s">
        <v>176</v>
      </c>
      <c r="AD63" s="696"/>
      <c r="AE63" s="696"/>
      <c r="AF63" s="696"/>
      <c r="AG63" s="696"/>
      <c r="AH63" s="696"/>
      <c r="AI63" s="696"/>
      <c r="AJ63" s="696"/>
      <c r="AK63" s="697"/>
      <c r="AL63" s="1332"/>
      <c r="AM63" s="1332"/>
      <c r="AN63" s="939"/>
      <c r="AO63" s="939"/>
      <c r="AP63" s="939"/>
      <c r="AQ63" s="185" t="s">
        <v>1108</v>
      </c>
      <c r="AR63" s="185"/>
    </row>
    <row r="64" spans="1:44" s="1088" customFormat="1" ht="107.25" customHeight="1" x14ac:dyDescent="0.15">
      <c r="A64" s="1332"/>
      <c r="B64" s="351"/>
      <c r="C64" s="786"/>
      <c r="D64" s="786"/>
      <c r="E64" s="787">
        <v>22.5</v>
      </c>
      <c r="F64" s="3" t="str" cm="1">
        <f t="array" aca="1" ref="F64" ca="1">OFFSET(E64,-1,1)</f>
        <v>1</v>
      </c>
      <c r="G64" s="290" t="s">
        <v>1116</v>
      </c>
      <c r="H64" s="758" t="s">
        <v>332</v>
      </c>
      <c r="I64" s="758"/>
      <c r="J64" s="786"/>
      <c r="K64" s="406" t="str">
        <f ca="1">F64&amp;"2komm"</f>
        <v>12komm</v>
      </c>
      <c r="L64" s="830" t="str" cm="1">
        <f t="array" ref="L64">AK64</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M64" s="786"/>
      <c r="N64" s="786"/>
      <c r="O64" s="786"/>
      <c r="P64" s="786"/>
      <c r="Q64" s="786"/>
      <c r="R64" s="786"/>
      <c r="S64" s="786"/>
      <c r="T64" s="388" t="b" cm="1">
        <f t="array" aca="1" ref="T64" ca="1">T63</f>
        <v>1</v>
      </c>
      <c r="U64" s="786"/>
      <c r="V64" s="786"/>
      <c r="W64" s="786"/>
      <c r="X64" s="2094"/>
      <c r="Y64" s="791"/>
      <c r="Z64" s="2095"/>
      <c r="AA64" s="786"/>
      <c r="AB64" s="613" t="s">
        <v>289</v>
      </c>
      <c r="AC64" s="766" t="s">
        <v>1117</v>
      </c>
      <c r="AD64" s="686" t="s">
        <v>831</v>
      </c>
      <c r="AE64" s="216">
        <v>7219.4142072019004</v>
      </c>
      <c r="AF64" s="216">
        <f ca="1">AF53*SUMIFS(INDEX(Сценарии!$AE$25:$BF$109,,MATCH(AF$13,Сценарии!$AE$8:$BF$8,0)),Сценарии!$F$25:$F$109,$F64,Сценарии!$G$25:$G$109,"СВФОТ")/100</f>
        <v>0</v>
      </c>
      <c r="AG64" s="216">
        <f ca="1">AG53*SUMIFS(INDEX(Сценарии!$AE$25:$BF$109,,MATCH(AG$13,Сценарии!$AE$8:$BF$8,0)),Сценарии!$F$25:$F$109,$F64,Сценарии!$G$25:$G$109,"СВФОТ")/100</f>
        <v>0</v>
      </c>
      <c r="AH64" s="216">
        <f ca="1">AH53*SUMIFS(INDEX(Сценарии!$AE$25:$BF$109,,MATCH(AH$13,Сценарии!$AE$8:$BF$8,0)),Сценарии!$F$25:$F$109,$F64,Сценарии!$G$25:$G$109,"СВФОТ")/100</f>
        <v>0</v>
      </c>
      <c r="AI64" s="216">
        <f ca="1">AI53*SUMIFS(INDEX(Сценарии!$AE$25:$BF$109,,MATCH(AI$13,Сценарии!$AE$8:$BF$8,0)),Сценарии!$F$25:$F$109,$F64,Сценарии!$G$25:$G$109,"СВФОТ")/100</f>
        <v>0</v>
      </c>
      <c r="AJ64" s="216">
        <f ca="1">AJ53*SUMIFS(INDEX(Сценарии!$AE$25:$BF$109,,MATCH(AJ$13,Сценарии!$AE$8:$BF$8,0)),Сценарии!$F$25:$F$109,$F64,Сценарии!$G$25:$G$109,"СВФОТ")/100</f>
        <v>0</v>
      </c>
      <c r="AK64" s="765" t="s">
        <v>1147</v>
      </c>
      <c r="AL64" s="1332"/>
      <c r="AM64" s="1332"/>
      <c r="AN64" s="939" t="s">
        <v>1118</v>
      </c>
      <c r="AO64" s="939"/>
      <c r="AP64" s="939"/>
      <c r="AQ64" s="185"/>
      <c r="AR64" s="185"/>
    </row>
    <row r="65" spans="1:44" s="1088" customFormat="1" ht="14.65" customHeight="1" x14ac:dyDescent="0.15">
      <c r="A65" s="1332"/>
      <c r="B65" s="351"/>
      <c r="C65" s="786"/>
      <c r="D65" s="786"/>
      <c r="E65" s="787">
        <v>15</v>
      </c>
      <c r="F65" s="3" t="str" cm="1">
        <f t="array" aca="1" ref="F65" ca="1">OFFSET(E65,-1,1)</f>
        <v>1</v>
      </c>
      <c r="G65" s="290" t="s">
        <v>1119</v>
      </c>
      <c r="H65" s="758" t="s">
        <v>333</v>
      </c>
      <c r="I65" s="758"/>
      <c r="J65" s="786"/>
      <c r="K65" s="406" t="str">
        <f ca="1">F65&amp;"3komm"</f>
        <v>13komm</v>
      </c>
      <c r="L65" s="830" cm="1">
        <f t="array" ref="L65">AK65</f>
        <v>0</v>
      </c>
      <c r="M65" s="786"/>
      <c r="N65" s="786"/>
      <c r="O65" s="786"/>
      <c r="P65" s="786"/>
      <c r="Q65" s="786"/>
      <c r="R65" s="786"/>
      <c r="S65" s="786"/>
      <c r="T65" s="388" t="b" cm="1">
        <f t="array" aca="1" ref="T65" ca="1">T64</f>
        <v>1</v>
      </c>
      <c r="U65" s="786"/>
      <c r="V65" s="786"/>
      <c r="W65" s="786"/>
      <c r="X65" s="2094"/>
      <c r="Y65" s="791"/>
      <c r="Z65" s="2095"/>
      <c r="AA65" s="786"/>
      <c r="AB65" s="613" t="s">
        <v>329</v>
      </c>
      <c r="AC65" s="766" t="s">
        <v>1120</v>
      </c>
      <c r="AD65" s="686" t="s">
        <v>831</v>
      </c>
      <c r="AE65" s="216">
        <v>7289.7152541976002</v>
      </c>
      <c r="AF65" s="216"/>
      <c r="AG65" s="216"/>
      <c r="AH65" s="216"/>
      <c r="AI65" s="132">
        <f>SUMIFS(AI66:AI75,$AD66:$AD75,$AD65)</f>
        <v>0</v>
      </c>
      <c r="AJ65" s="132">
        <f>SUMIFS(AJ66:AJ75,$AD66:$AD75,$AD65)</f>
        <v>0</v>
      </c>
      <c r="AK65" s="765"/>
      <c r="AL65" s="1332"/>
      <c r="AM65" s="1332"/>
      <c r="AN65" s="939" t="s">
        <v>1121</v>
      </c>
      <c r="AO65" s="939"/>
      <c r="AP65" s="939"/>
      <c r="AQ65" s="185"/>
      <c r="AR65" s="185"/>
    </row>
    <row r="66" spans="1:44" s="1088" customFormat="1" ht="18" hidden="1" customHeight="1" x14ac:dyDescent="0.15">
      <c r="A66" s="1332"/>
      <c r="B66" s="351"/>
      <c r="C66" s="786"/>
      <c r="D66" s="786"/>
      <c r="E66" s="787">
        <v>18.75</v>
      </c>
      <c r="F66" s="3" t="str" cm="1">
        <f t="array" aca="1" ref="F66" ca="1">OFFSET(E66,-1,1)</f>
        <v>1</v>
      </c>
      <c r="G66" s="758"/>
      <c r="H66" s="758" t="s">
        <v>333</v>
      </c>
      <c r="I66" s="758" cm="1">
        <f t="array" ref="I66">AC66</f>
        <v>0</v>
      </c>
      <c r="J66" s="786"/>
      <c r="K66" s="406"/>
      <c r="L66" s="406"/>
      <c r="M66" s="786"/>
      <c r="N66" s="786"/>
      <c r="O66" s="786"/>
      <c r="P66" s="786"/>
      <c r="Q66" s="786"/>
      <c r="R66" s="786"/>
      <c r="S66" s="786"/>
      <c r="T66" s="388" t="b">
        <f ca="1">AND(F66&gt;0,Y66&gt;0)</f>
        <v>0</v>
      </c>
      <c r="U66" s="786"/>
      <c r="V66" s="786"/>
      <c r="W66" s="786" t="s">
        <v>172</v>
      </c>
      <c r="X66" s="2094"/>
      <c r="Y66" s="2094">
        <v>0</v>
      </c>
      <c r="Z66" s="2095"/>
      <c r="AA66" s="2092" t="s">
        <v>173</v>
      </c>
      <c r="AB66" s="218" t="str">
        <f>"3."&amp;Y66</f>
        <v>3.0</v>
      </c>
      <c r="AC66" s="1408"/>
      <c r="AD66" s="686" t="s">
        <v>831</v>
      </c>
      <c r="AE66" s="1409"/>
      <c r="AF66" s="1409"/>
      <c r="AG66" s="1409"/>
      <c r="AH66" s="1409"/>
      <c r="AI66" s="692">
        <f>AI67*AI68*12/1000</f>
        <v>0</v>
      </c>
      <c r="AJ66" s="692">
        <f>AJ67*AJ68*12/1000</f>
        <v>0</v>
      </c>
      <c r="AK66" s="1362"/>
      <c r="AL66" s="1332"/>
      <c r="AM66" s="1332"/>
      <c r="AN66" s="939" t="s">
        <v>1107</v>
      </c>
      <c r="AO66" s="939" t="s">
        <v>1122</v>
      </c>
      <c r="AP66" s="939" cm="1">
        <f t="array" ref="AP66">AC66</f>
        <v>0</v>
      </c>
      <c r="AQ66" s="185"/>
      <c r="AR66" s="185" t="b">
        <v>1</v>
      </c>
    </row>
    <row r="67" spans="1:44" s="1088" customFormat="1" ht="14.25" hidden="1" customHeight="1" x14ac:dyDescent="0.15">
      <c r="A67" s="1332"/>
      <c r="B67" s="351"/>
      <c r="C67" s="786"/>
      <c r="D67" s="786"/>
      <c r="E67" s="787">
        <v>15</v>
      </c>
      <c r="F67" s="3" t="str" cm="1">
        <f t="array" aca="1" ref="F67" ca="1">OFFSET(E67,-1,1)</f>
        <v>1</v>
      </c>
      <c r="G67" s="790" t="s">
        <v>1123</v>
      </c>
      <c r="H67" s="758" t="str">
        <f>H66&amp;"_1"</f>
        <v>l3_1</v>
      </c>
      <c r="I67" s="758" cm="1">
        <f t="array" ref="I67">I66</f>
        <v>0</v>
      </c>
      <c r="J67" s="786"/>
      <c r="K67" s="406"/>
      <c r="L67" s="406"/>
      <c r="M67" s="786"/>
      <c r="N67" s="786"/>
      <c r="O67" s="786"/>
      <c r="P67" s="786"/>
      <c r="Q67" s="786"/>
      <c r="R67" s="786"/>
      <c r="S67" s="786"/>
      <c r="T67" s="388" t="b" cm="1">
        <f t="array" aca="1" ref="T67" ca="1">T66</f>
        <v>0</v>
      </c>
      <c r="U67" s="786"/>
      <c r="V67" s="786"/>
      <c r="W67" s="786"/>
      <c r="X67" s="2094"/>
      <c r="Y67" s="2094"/>
      <c r="Z67" s="2095"/>
      <c r="AA67" s="2092"/>
      <c r="AB67" s="613" t="str">
        <f>AB66&amp;".1"</f>
        <v>3.0.1</v>
      </c>
      <c r="AC67" s="685" t="s">
        <v>1110</v>
      </c>
      <c r="AD67" s="686" t="s">
        <v>1111</v>
      </c>
      <c r="AE67" s="1409"/>
      <c r="AF67" s="1409"/>
      <c r="AG67" s="1409"/>
      <c r="AH67" s="1409"/>
      <c r="AI67" s="216"/>
      <c r="AJ67" s="216"/>
      <c r="AK67" s="1362"/>
      <c r="AL67" s="1332"/>
      <c r="AM67" s="1332"/>
      <c r="AN67" s="939" t="s">
        <v>1112</v>
      </c>
      <c r="AO67" s="939" t="s">
        <v>1122</v>
      </c>
      <c r="AP67" s="939" cm="1">
        <f t="array" ref="AP67">AP66</f>
        <v>0</v>
      </c>
      <c r="AQ67" s="185"/>
      <c r="AR67" s="185"/>
    </row>
    <row r="68" spans="1:44" s="1088" customFormat="1" ht="14.25" hidden="1" customHeight="1" x14ac:dyDescent="0.15">
      <c r="A68" s="1332"/>
      <c r="B68" s="351"/>
      <c r="C68" s="786"/>
      <c r="D68" s="786"/>
      <c r="E68" s="787">
        <v>15</v>
      </c>
      <c r="F68" s="3" t="str" cm="1">
        <f t="array" aca="1" ref="F68" ca="1">OFFSET(E68,-1,1)</f>
        <v>1</v>
      </c>
      <c r="G68" s="758"/>
      <c r="H68" s="758" t="str">
        <f>H66&amp;"_2"</f>
        <v>l3_2</v>
      </c>
      <c r="I68" s="758" cm="1">
        <f t="array" ref="I68">I67</f>
        <v>0</v>
      </c>
      <c r="J68" s="786"/>
      <c r="K68" s="406"/>
      <c r="L68" s="406"/>
      <c r="M68" s="786"/>
      <c r="N68" s="786"/>
      <c r="O68" s="786"/>
      <c r="P68" s="786"/>
      <c r="Q68" s="786"/>
      <c r="R68" s="786"/>
      <c r="S68" s="786"/>
      <c r="T68" s="388" t="b" cm="1">
        <f t="array" aca="1" ref="T68" ca="1">T67</f>
        <v>0</v>
      </c>
      <c r="U68" s="786"/>
      <c r="V68" s="786"/>
      <c r="W68" s="786"/>
      <c r="X68" s="2094"/>
      <c r="Y68" s="2094"/>
      <c r="Z68" s="2095"/>
      <c r="AA68" s="2092"/>
      <c r="AB68" s="613" t="str">
        <f>AB66&amp;".2"</f>
        <v>3.0.2</v>
      </c>
      <c r="AC68" s="685" t="s">
        <v>1113</v>
      </c>
      <c r="AD68" s="686" t="s">
        <v>1114</v>
      </c>
      <c r="AE68" s="1409"/>
      <c r="AF68" s="1409"/>
      <c r="AG68" s="1409"/>
      <c r="AH68" s="1409"/>
      <c r="AI68" s="216"/>
      <c r="AJ68" s="216"/>
      <c r="AK68" s="1362"/>
      <c r="AL68" s="1332"/>
      <c r="AM68" s="1332"/>
      <c r="AN68" s="939" t="s">
        <v>1115</v>
      </c>
      <c r="AO68" s="939" t="s">
        <v>1122</v>
      </c>
      <c r="AP68" s="939" cm="1">
        <f t="array" ref="AP68">AP67</f>
        <v>0</v>
      </c>
      <c r="AQ68" s="185"/>
      <c r="AR68" s="185"/>
    </row>
    <row r="69" spans="1:44" s="1088" customFormat="1" ht="18" customHeight="1" x14ac:dyDescent="0.15">
      <c r="A69" s="1332"/>
      <c r="B69" s="351"/>
      <c r="C69" s="786"/>
      <c r="D69" s="786"/>
      <c r="E69" s="787">
        <v>18.75</v>
      </c>
      <c r="F69" s="3" t="str" cm="1">
        <f t="array" aca="1" ref="F69" ca="1">OFFSET(E69,-1,1)</f>
        <v>1</v>
      </c>
      <c r="G69" s="758"/>
      <c r="H69" s="758" t="s">
        <v>333</v>
      </c>
      <c r="I69" s="758" t="str" cm="1">
        <f t="array" ref="I69">AC69</f>
        <v>АВР</v>
      </c>
      <c r="J69" s="786"/>
      <c r="K69" s="406"/>
      <c r="L69" s="406"/>
      <c r="M69" s="786"/>
      <c r="N69" s="786"/>
      <c r="O69" s="786"/>
      <c r="P69" s="786"/>
      <c r="Q69" s="786"/>
      <c r="R69" s="786"/>
      <c r="S69" s="786"/>
      <c r="T69" s="388" t="b">
        <f ca="1">AND(F69&gt;0,Y69&gt;0)</f>
        <v>1</v>
      </c>
      <c r="U69" s="786"/>
      <c r="V69" s="786"/>
      <c r="W69" s="786"/>
      <c r="X69" s="2094"/>
      <c r="Y69" s="2094" t="s">
        <v>282</v>
      </c>
      <c r="Z69" s="2095"/>
      <c r="AA69" s="2092" t="s">
        <v>173</v>
      </c>
      <c r="AB69" s="218" t="str">
        <f>"3."&amp;Y69</f>
        <v>3.1</v>
      </c>
      <c r="AC69" s="375" t="s">
        <v>1148</v>
      </c>
      <c r="AD69" s="686" t="s">
        <v>831</v>
      </c>
      <c r="AE69" s="1409"/>
      <c r="AF69" s="1409"/>
      <c r="AG69" s="1409"/>
      <c r="AH69" s="1409"/>
      <c r="AI69" s="692">
        <f>AI70*AI71*12/1000</f>
        <v>0</v>
      </c>
      <c r="AJ69" s="692">
        <f>AJ70*AJ71*12/1000</f>
        <v>0</v>
      </c>
      <c r="AK69" s="765"/>
      <c r="AL69" s="1332"/>
      <c r="AM69" s="1332"/>
      <c r="AN69" s="939" t="s">
        <v>1107</v>
      </c>
      <c r="AO69" s="939" t="s">
        <v>1122</v>
      </c>
      <c r="AP69" s="939" t="str" cm="1">
        <f t="array" ref="AP69">AC69</f>
        <v>АВР</v>
      </c>
      <c r="AQ69" s="185"/>
      <c r="AR69" s="185" t="b">
        <v>1</v>
      </c>
    </row>
    <row r="70" spans="1:44" s="1088" customFormat="1" ht="44.25" customHeight="1" x14ac:dyDescent="0.15">
      <c r="A70" s="1332"/>
      <c r="B70" s="351"/>
      <c r="C70" s="786"/>
      <c r="D70" s="786"/>
      <c r="E70" s="787">
        <v>15</v>
      </c>
      <c r="F70" s="3" t="str" cm="1">
        <f t="array" aca="1" ref="F70" ca="1">OFFSET(E70,-1,1)</f>
        <v>1</v>
      </c>
      <c r="G70" s="790" t="s">
        <v>1123</v>
      </c>
      <c r="H70" s="758" t="str">
        <f>H69&amp;"_1"</f>
        <v>l3_1</v>
      </c>
      <c r="I70" s="758" t="str" cm="1">
        <f t="array" ref="I70">I69</f>
        <v>АВР</v>
      </c>
      <c r="J70" s="786"/>
      <c r="K70" s="406"/>
      <c r="L70" s="406"/>
      <c r="M70" s="786"/>
      <c r="N70" s="786"/>
      <c r="O70" s="786"/>
      <c r="P70" s="786"/>
      <c r="Q70" s="786"/>
      <c r="R70" s="786"/>
      <c r="S70" s="786"/>
      <c r="T70" s="388" t="b" cm="1">
        <f t="array" aca="1" ref="T70" ca="1">T69</f>
        <v>1</v>
      </c>
      <c r="U70" s="786"/>
      <c r="V70" s="786"/>
      <c r="W70" s="786"/>
      <c r="X70" s="2094"/>
      <c r="Y70" s="2094"/>
      <c r="Z70" s="2095"/>
      <c r="AA70" s="2092"/>
      <c r="AB70" s="613" t="str">
        <f>AB69&amp;".1"</f>
        <v>3.1.1</v>
      </c>
      <c r="AC70" s="685" t="s">
        <v>1110</v>
      </c>
      <c r="AD70" s="686" t="s">
        <v>1111</v>
      </c>
      <c r="AE70" s="1409"/>
      <c r="AF70" s="1409"/>
      <c r="AG70" s="1409"/>
      <c r="AH70" s="1409"/>
      <c r="AI70" s="216"/>
      <c r="AJ70" s="216"/>
      <c r="AK70" s="765" t="s">
        <v>1144</v>
      </c>
      <c r="AL70" s="1332"/>
      <c r="AM70" s="1332"/>
      <c r="AN70" s="939" t="s">
        <v>1112</v>
      </c>
      <c r="AO70" s="939" t="s">
        <v>1122</v>
      </c>
      <c r="AP70" s="939" t="str" cm="1">
        <f t="array" ref="AP70">AP69</f>
        <v>АВР</v>
      </c>
      <c r="AQ70" s="185"/>
      <c r="AR70" s="185"/>
    </row>
    <row r="71" spans="1:44" s="1088" customFormat="1" ht="54.75" customHeight="1" x14ac:dyDescent="0.15">
      <c r="A71" s="1332"/>
      <c r="B71" s="351"/>
      <c r="C71" s="786"/>
      <c r="D71" s="786"/>
      <c r="E71" s="787">
        <v>15</v>
      </c>
      <c r="F71" s="3" t="str" cm="1">
        <f t="array" aca="1" ref="F71" ca="1">OFFSET(E71,-1,1)</f>
        <v>1</v>
      </c>
      <c r="G71" s="758"/>
      <c r="H71" s="758" t="str">
        <f>H69&amp;"_2"</f>
        <v>l3_2</v>
      </c>
      <c r="I71" s="758" t="str" cm="1">
        <f t="array" ref="I71">I70</f>
        <v>АВР</v>
      </c>
      <c r="J71" s="786"/>
      <c r="K71" s="406"/>
      <c r="L71" s="406"/>
      <c r="M71" s="786"/>
      <c r="N71" s="786"/>
      <c r="O71" s="786"/>
      <c r="P71" s="786"/>
      <c r="Q71" s="786"/>
      <c r="R71" s="786"/>
      <c r="S71" s="786"/>
      <c r="T71" s="388" t="b" cm="1">
        <f t="array" aca="1" ref="T71" ca="1">T70</f>
        <v>1</v>
      </c>
      <c r="U71" s="786"/>
      <c r="V71" s="786"/>
      <c r="W71" s="786"/>
      <c r="X71" s="2094"/>
      <c r="Y71" s="2094"/>
      <c r="Z71" s="2095"/>
      <c r="AA71" s="2092"/>
      <c r="AB71" s="613" t="str">
        <f>AB69&amp;".2"</f>
        <v>3.1.2</v>
      </c>
      <c r="AC71" s="685" t="s">
        <v>1113</v>
      </c>
      <c r="AD71" s="686" t="s">
        <v>1114</v>
      </c>
      <c r="AE71" s="1409"/>
      <c r="AF71" s="1409"/>
      <c r="AG71" s="1409"/>
      <c r="AH71" s="1409"/>
      <c r="AI71" s="216"/>
      <c r="AJ71" s="216"/>
      <c r="AK71" s="765" t="s">
        <v>1145</v>
      </c>
      <c r="AL71" s="1332"/>
      <c r="AM71" s="1332"/>
      <c r="AN71" s="939" t="s">
        <v>1115</v>
      </c>
      <c r="AO71" s="939" t="s">
        <v>1122</v>
      </c>
      <c r="AP71" s="939" t="str" cm="1">
        <f t="array" ref="AP71">AP70</f>
        <v>АВР</v>
      </c>
      <c r="AQ71" s="185"/>
      <c r="AR71" s="185"/>
    </row>
    <row r="72" spans="1:44" s="1088" customFormat="1" ht="18" customHeight="1" x14ac:dyDescent="0.15">
      <c r="A72" s="1332"/>
      <c r="B72" s="351"/>
      <c r="C72" s="786"/>
      <c r="D72" s="786"/>
      <c r="E72" s="787">
        <v>18.75</v>
      </c>
      <c r="F72" s="3" t="str" cm="1">
        <f t="array" aca="1" ref="F72" ca="1">OFFSET(E72,-1,1)</f>
        <v>1</v>
      </c>
      <c r="G72" s="758"/>
      <c r="H72" s="758" t="s">
        <v>333</v>
      </c>
      <c r="I72" s="758" t="str" cm="1">
        <f t="array" ref="I72">AC72</f>
        <v>Ремонтный персонал</v>
      </c>
      <c r="J72" s="786"/>
      <c r="K72" s="406"/>
      <c r="L72" s="406"/>
      <c r="M72" s="786"/>
      <c r="N72" s="786"/>
      <c r="O72" s="786"/>
      <c r="P72" s="786"/>
      <c r="Q72" s="786"/>
      <c r="R72" s="786"/>
      <c r="S72" s="786"/>
      <c r="T72" s="388" t="b">
        <f ca="1">AND(F72&gt;0,Y72&gt;0)</f>
        <v>1</v>
      </c>
      <c r="U72" s="786"/>
      <c r="V72" s="786"/>
      <c r="W72" s="786"/>
      <c r="X72" s="2094"/>
      <c r="Y72" s="2094" t="s">
        <v>289</v>
      </c>
      <c r="Z72" s="2095"/>
      <c r="AA72" s="2092" t="s">
        <v>173</v>
      </c>
      <c r="AB72" s="218" t="str">
        <f>"3."&amp;Y72</f>
        <v>3.2</v>
      </c>
      <c r="AC72" s="375" t="s">
        <v>1149</v>
      </c>
      <c r="AD72" s="686" t="s">
        <v>831</v>
      </c>
      <c r="AE72" s="1409"/>
      <c r="AF72" s="1409"/>
      <c r="AG72" s="1409"/>
      <c r="AH72" s="1409"/>
      <c r="AI72" s="692">
        <f>AI73*AI74*12/1000</f>
        <v>0</v>
      </c>
      <c r="AJ72" s="692">
        <f>AJ73*AJ74*12/1000</f>
        <v>0</v>
      </c>
      <c r="AK72" s="765"/>
      <c r="AL72" s="1332"/>
      <c r="AM72" s="1332"/>
      <c r="AN72" s="939" t="s">
        <v>1107</v>
      </c>
      <c r="AO72" s="939" t="s">
        <v>1122</v>
      </c>
      <c r="AP72" s="939" t="str" cm="1">
        <f t="array" ref="AP72">AC72</f>
        <v>Ремонтный персонал</v>
      </c>
      <c r="AQ72" s="185"/>
      <c r="AR72" s="185" t="b">
        <v>1</v>
      </c>
    </row>
    <row r="73" spans="1:44" s="1088" customFormat="1" ht="44.25" customHeight="1" x14ac:dyDescent="0.15">
      <c r="A73" s="1332"/>
      <c r="B73" s="351"/>
      <c r="C73" s="786"/>
      <c r="D73" s="786"/>
      <c r="E73" s="787">
        <v>15</v>
      </c>
      <c r="F73" s="3" t="str" cm="1">
        <f t="array" aca="1" ref="F73" ca="1">OFFSET(E73,-1,1)</f>
        <v>1</v>
      </c>
      <c r="G73" s="790" t="s">
        <v>1123</v>
      </c>
      <c r="H73" s="758" t="str">
        <f>H72&amp;"_1"</f>
        <v>l3_1</v>
      </c>
      <c r="I73" s="758" t="str" cm="1">
        <f t="array" ref="I73">I72</f>
        <v>Ремонтный персонал</v>
      </c>
      <c r="J73" s="786"/>
      <c r="K73" s="406"/>
      <c r="L73" s="406"/>
      <c r="M73" s="786"/>
      <c r="N73" s="786"/>
      <c r="O73" s="786"/>
      <c r="P73" s="786"/>
      <c r="Q73" s="786"/>
      <c r="R73" s="786"/>
      <c r="S73" s="786"/>
      <c r="T73" s="388" t="b" cm="1">
        <f t="array" aca="1" ref="T73" ca="1">T72</f>
        <v>1</v>
      </c>
      <c r="U73" s="786"/>
      <c r="V73" s="786"/>
      <c r="W73" s="786"/>
      <c r="X73" s="2094"/>
      <c r="Y73" s="2094"/>
      <c r="Z73" s="2095"/>
      <c r="AA73" s="2092"/>
      <c r="AB73" s="613" t="str">
        <f>AB72&amp;".1"</f>
        <v>3.2.1</v>
      </c>
      <c r="AC73" s="685" t="s">
        <v>1110</v>
      </c>
      <c r="AD73" s="686" t="s">
        <v>1111</v>
      </c>
      <c r="AE73" s="1409"/>
      <c r="AF73" s="1409"/>
      <c r="AG73" s="1409"/>
      <c r="AH73" s="1409"/>
      <c r="AI73" s="216"/>
      <c r="AJ73" s="216"/>
      <c r="AK73" s="765" t="s">
        <v>1144</v>
      </c>
      <c r="AL73" s="1332"/>
      <c r="AM73" s="1332"/>
      <c r="AN73" s="939" t="s">
        <v>1112</v>
      </c>
      <c r="AO73" s="939" t="s">
        <v>1122</v>
      </c>
      <c r="AP73" s="939" t="str" cm="1">
        <f t="array" ref="AP73">AP72</f>
        <v>Ремонтный персонал</v>
      </c>
      <c r="AQ73" s="185"/>
      <c r="AR73" s="185"/>
    </row>
    <row r="74" spans="1:44" s="1088" customFormat="1" ht="54.75" customHeight="1" x14ac:dyDescent="0.15">
      <c r="A74" s="1332"/>
      <c r="B74" s="351"/>
      <c r="C74" s="786"/>
      <c r="D74" s="786"/>
      <c r="E74" s="787">
        <v>15</v>
      </c>
      <c r="F74" s="3" t="str" cm="1">
        <f t="array" aca="1" ref="F74" ca="1">OFFSET(E74,-1,1)</f>
        <v>1</v>
      </c>
      <c r="G74" s="758"/>
      <c r="H74" s="758" t="str">
        <f>H72&amp;"_2"</f>
        <v>l3_2</v>
      </c>
      <c r="I74" s="758" t="str" cm="1">
        <f t="array" ref="I74">I73</f>
        <v>Ремонтный персонал</v>
      </c>
      <c r="J74" s="786"/>
      <c r="K74" s="406"/>
      <c r="L74" s="406"/>
      <c r="M74" s="786"/>
      <c r="N74" s="786"/>
      <c r="O74" s="786"/>
      <c r="P74" s="786"/>
      <c r="Q74" s="786"/>
      <c r="R74" s="786"/>
      <c r="S74" s="786"/>
      <c r="T74" s="388" t="b" cm="1">
        <f t="array" aca="1" ref="T74" ca="1">T73</f>
        <v>1</v>
      </c>
      <c r="U74" s="786"/>
      <c r="V74" s="786"/>
      <c r="W74" s="786"/>
      <c r="X74" s="2094"/>
      <c r="Y74" s="2094"/>
      <c r="Z74" s="2095"/>
      <c r="AA74" s="2092"/>
      <c r="AB74" s="613" t="str">
        <f>AB72&amp;".2"</f>
        <v>3.2.2</v>
      </c>
      <c r="AC74" s="685" t="s">
        <v>1113</v>
      </c>
      <c r="AD74" s="686" t="s">
        <v>1114</v>
      </c>
      <c r="AE74" s="1409"/>
      <c r="AF74" s="1409"/>
      <c r="AG74" s="1409"/>
      <c r="AH74" s="1409"/>
      <c r="AI74" s="216"/>
      <c r="AJ74" s="216"/>
      <c r="AK74" s="765" t="s">
        <v>1145</v>
      </c>
      <c r="AL74" s="1332"/>
      <c r="AM74" s="1332"/>
      <c r="AN74" s="939" t="s">
        <v>1115</v>
      </c>
      <c r="AO74" s="939" t="s">
        <v>1122</v>
      </c>
      <c r="AP74" s="939" t="str" cm="1">
        <f t="array" ref="AP74">AP73</f>
        <v>Ремонтный персонал</v>
      </c>
      <c r="AQ74" s="185"/>
      <c r="AR74" s="185"/>
    </row>
    <row r="75" spans="1:44" s="1088" customFormat="1" ht="14.25" customHeight="1" x14ac:dyDescent="0.15">
      <c r="A75" s="1332"/>
      <c r="B75" s="351"/>
      <c r="C75" s="786"/>
      <c r="D75" s="786"/>
      <c r="E75" s="787">
        <v>15</v>
      </c>
      <c r="F75" s="3" t="str" cm="1">
        <f t="array" aca="1" ref="F75" ca="1">OFFSET(E75,-1,1)</f>
        <v>1</v>
      </c>
      <c r="G75" s="290"/>
      <c r="H75" s="758"/>
      <c r="I75" s="71" t="str">
        <f>"!=='не определено' &amp;&amp; row.l3 !== null"</f>
        <v>!=='не определено' &amp;&amp; row.l3 !== null</v>
      </c>
      <c r="J75" s="786"/>
      <c r="K75" s="406"/>
      <c r="L75" s="406"/>
      <c r="M75" s="786"/>
      <c r="N75" s="786"/>
      <c r="O75" s="786"/>
      <c r="P75" s="786"/>
      <c r="Q75" s="786"/>
      <c r="R75" s="786"/>
      <c r="S75" s="786"/>
      <c r="T75" s="388" t="b">
        <f ca="1">F75&gt;0</f>
        <v>1</v>
      </c>
      <c r="U75" s="786"/>
      <c r="V75" s="786"/>
      <c r="W75" s="677" t="s">
        <v>894</v>
      </c>
      <c r="X75" s="2094"/>
      <c r="Y75" s="791"/>
      <c r="Z75" s="2095"/>
      <c r="AA75" s="786"/>
      <c r="AB75" s="792"/>
      <c r="AC75" s="178" t="s">
        <v>176</v>
      </c>
      <c r="AD75" s="696"/>
      <c r="AE75" s="696"/>
      <c r="AF75" s="696"/>
      <c r="AG75" s="696"/>
      <c r="AH75" s="696"/>
      <c r="AI75" s="696"/>
      <c r="AJ75" s="696"/>
      <c r="AK75" s="697"/>
      <c r="AL75" s="1332"/>
      <c r="AM75" s="1332"/>
      <c r="AN75" s="939"/>
      <c r="AO75" s="939"/>
      <c r="AP75" s="939"/>
      <c r="AQ75" s="185" t="s">
        <v>1122</v>
      </c>
      <c r="AR75" s="185"/>
    </row>
    <row r="76" spans="1:44" s="1088" customFormat="1" ht="107.25" customHeight="1" x14ac:dyDescent="0.15">
      <c r="A76" s="1332"/>
      <c r="B76" s="351"/>
      <c r="C76" s="786"/>
      <c r="D76" s="786"/>
      <c r="E76" s="787">
        <v>22.5</v>
      </c>
      <c r="F76" s="3" t="str" cm="1">
        <f t="array" aca="1" ref="F76" ca="1">OFFSET(E76,-1,1)</f>
        <v>1</v>
      </c>
      <c r="G76" s="290" t="s">
        <v>1124</v>
      </c>
      <c r="H76" s="758" t="s">
        <v>335</v>
      </c>
      <c r="I76" s="758"/>
      <c r="J76" s="786"/>
      <c r="K76" s="406" t="str">
        <f ca="1">F76&amp;"4komm"</f>
        <v>14komm</v>
      </c>
      <c r="L76" s="830" t="str" cm="1">
        <f t="array" ref="L76">AK76</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M76" s="786"/>
      <c r="N76" s="786"/>
      <c r="O76" s="786"/>
      <c r="P76" s="786"/>
      <c r="Q76" s="786"/>
      <c r="R76" s="786"/>
      <c r="S76" s="786"/>
      <c r="T76" s="388" t="b" cm="1">
        <f t="array" aca="1" ref="T76" ca="1">T75</f>
        <v>1</v>
      </c>
      <c r="U76" s="786"/>
      <c r="V76" s="786"/>
      <c r="W76" s="786"/>
      <c r="X76" s="2094"/>
      <c r="Y76" s="791"/>
      <c r="Z76" s="2095"/>
      <c r="AA76" s="786"/>
      <c r="AB76" s="613" t="s">
        <v>441</v>
      </c>
      <c r="AC76" s="766" t="s">
        <v>1125</v>
      </c>
      <c r="AD76" s="686" t="s">
        <v>831</v>
      </c>
      <c r="AE76" s="216">
        <v>2201.4940067676998</v>
      </c>
      <c r="AF76" s="216">
        <f ca="1">AF65*SUMIFS(INDEX(Сценарии!$AE$25:$BF$109,,MATCH(AF$13,Сценарии!$AE$8:$BF$8,0)),Сценарии!$F$25:$F$109,$F76,Сценарии!$G$25:$G$109,"СВФОТ")/100</f>
        <v>0</v>
      </c>
      <c r="AG76" s="216">
        <f ca="1">AG65*SUMIFS(INDEX(Сценарии!$AE$25:$BF$109,,MATCH(AG$13,Сценарии!$AE$8:$BF$8,0)),Сценарии!$F$25:$F$109,$F76,Сценарии!$G$25:$G$109,"СВФОТ")/100</f>
        <v>0</v>
      </c>
      <c r="AH76" s="216">
        <f ca="1">AH65*SUMIFS(INDEX(Сценарии!$AE$25:$BF$109,,MATCH(AH$13,Сценарии!$AE$8:$BF$8,0)),Сценарии!$F$25:$F$109,$F76,Сценарии!$G$25:$G$109,"СВФОТ")/100</f>
        <v>0</v>
      </c>
      <c r="AI76" s="216">
        <f ca="1">AI65*SUMIFS(INDEX(Сценарии!$AE$25:$BF$109,,MATCH(AI$13,Сценарии!$AE$8:$BF$8,0)),Сценарии!$F$25:$F$109,$F76,Сценарии!$G$25:$G$109,"СВФОТ")/100</f>
        <v>0</v>
      </c>
      <c r="AJ76" s="216">
        <f ca="1">AJ65*SUMIFS(INDEX(Сценарии!$AE$25:$BF$109,,MATCH(AJ$13,Сценарии!$AE$8:$BF$8,0)),Сценарии!$F$25:$F$109,$F76,Сценарии!$G$25:$G$109,"СВФОТ")/100</f>
        <v>0</v>
      </c>
      <c r="AK76" s="765" t="s">
        <v>1147</v>
      </c>
      <c r="AL76" s="1332"/>
      <c r="AM76" s="1332"/>
      <c r="AN76" s="939" t="s">
        <v>1126</v>
      </c>
      <c r="AO76" s="939"/>
      <c r="AP76" s="939"/>
      <c r="AQ76" s="185"/>
      <c r="AR76" s="185"/>
    </row>
    <row r="77" spans="1:44" s="1088" customFormat="1" ht="23.25" customHeight="1" x14ac:dyDescent="0.15">
      <c r="A77" s="1332"/>
      <c r="B77" s="351"/>
      <c r="C77" s="786"/>
      <c r="D77" s="786"/>
      <c r="E77" s="787">
        <v>22.5</v>
      </c>
      <c r="F77" s="3" t="str" cm="1">
        <f t="array" aca="1" ref="F77" ca="1">OFFSET(E77,-1,1)</f>
        <v>1</v>
      </c>
      <c r="G77" s="290" t="s">
        <v>1127</v>
      </c>
      <c r="H77" s="758" t="s">
        <v>334</v>
      </c>
      <c r="I77" s="758"/>
      <c r="J77" s="786"/>
      <c r="K77" s="406" t="str">
        <f ca="1">F77&amp;"5komm"</f>
        <v>15komm</v>
      </c>
      <c r="L77" s="830" cm="1">
        <f t="array" ref="L77">AK77</f>
        <v>0</v>
      </c>
      <c r="M77" s="786"/>
      <c r="N77" s="786"/>
      <c r="O77" s="786"/>
      <c r="P77" s="786"/>
      <c r="Q77" s="786"/>
      <c r="R77" s="786"/>
      <c r="S77" s="786"/>
      <c r="T77" s="388" t="b" cm="1">
        <f t="array" aca="1" ref="T77" ca="1">T76</f>
        <v>1</v>
      </c>
      <c r="U77" s="786"/>
      <c r="V77" s="786"/>
      <c r="W77" s="786"/>
      <c r="X77" s="2094"/>
      <c r="Y77" s="791"/>
      <c r="Z77" s="2095"/>
      <c r="AA77" s="786"/>
      <c r="AB77" s="613" t="s">
        <v>444</v>
      </c>
      <c r="AC77" s="766" t="s">
        <v>1128</v>
      </c>
      <c r="AD77" s="686" t="s">
        <v>831</v>
      </c>
      <c r="AE77" s="216">
        <v>6531.2134177600001</v>
      </c>
      <c r="AF77" s="216"/>
      <c r="AG77" s="216"/>
      <c r="AH77" s="216"/>
      <c r="AI77" s="132">
        <f>SUMIFS(AI78:AI84,$AD78:$AD84,$AD77)</f>
        <v>0</v>
      </c>
      <c r="AJ77" s="132">
        <f>SUMIFS(AJ78:AJ84,$AD78:$AD84,$AD77)</f>
        <v>0</v>
      </c>
      <c r="AK77" s="765"/>
      <c r="AL77" s="1332"/>
      <c r="AM77" s="1332"/>
      <c r="AN77" s="939" t="s">
        <v>1129</v>
      </c>
      <c r="AO77" s="939"/>
      <c r="AP77" s="939"/>
      <c r="AQ77" s="185"/>
      <c r="AR77" s="185"/>
    </row>
    <row r="78" spans="1:44" s="1088" customFormat="1" ht="18" hidden="1" customHeight="1" x14ac:dyDescent="0.15">
      <c r="A78" s="1332"/>
      <c r="B78" s="351"/>
      <c r="C78" s="786"/>
      <c r="D78" s="786"/>
      <c r="E78" s="787">
        <v>18.75</v>
      </c>
      <c r="F78" s="3" t="str" cm="1">
        <f t="array" aca="1" ref="F78" ca="1">OFFSET(E78,-1,1)</f>
        <v>1</v>
      </c>
      <c r="G78" s="758"/>
      <c r="H78" s="758" t="s">
        <v>334</v>
      </c>
      <c r="I78" s="758" cm="1">
        <f t="array" ref="I78">AC78</f>
        <v>0</v>
      </c>
      <c r="J78" s="786"/>
      <c r="K78" s="406"/>
      <c r="L78" s="406"/>
      <c r="M78" s="786"/>
      <c r="N78" s="786"/>
      <c r="O78" s="786"/>
      <c r="P78" s="786"/>
      <c r="Q78" s="786"/>
      <c r="R78" s="786"/>
      <c r="S78" s="786"/>
      <c r="T78" s="388" t="b">
        <f ca="1">AND(F78&gt;0,Y78&gt;0)</f>
        <v>0</v>
      </c>
      <c r="U78" s="786"/>
      <c r="V78" s="786"/>
      <c r="W78" s="786" t="s">
        <v>172</v>
      </c>
      <c r="X78" s="2094"/>
      <c r="Y78" s="2094">
        <v>0</v>
      </c>
      <c r="Z78" s="2095"/>
      <c r="AA78" s="2092" t="s">
        <v>173</v>
      </c>
      <c r="AB78" s="218" t="str">
        <f>"5."&amp;Y78</f>
        <v>5.0</v>
      </c>
      <c r="AC78" s="1408"/>
      <c r="AD78" s="686" t="s">
        <v>831</v>
      </c>
      <c r="AE78" s="1409"/>
      <c r="AF78" s="1409"/>
      <c r="AG78" s="1409"/>
      <c r="AH78" s="1409"/>
      <c r="AI78" s="692">
        <f>AI79*AI80*12/1000</f>
        <v>0</v>
      </c>
      <c r="AJ78" s="692">
        <f>AJ79*AJ80*12/1000</f>
        <v>0</v>
      </c>
      <c r="AK78" s="1362"/>
      <c r="AL78" s="1332"/>
      <c r="AM78" s="1332"/>
      <c r="AN78" s="939" t="s">
        <v>1107</v>
      </c>
      <c r="AO78" s="939" t="s">
        <v>1130</v>
      </c>
      <c r="AP78" s="939" cm="1">
        <f t="array" ref="AP78">AC78</f>
        <v>0</v>
      </c>
      <c r="AQ78" s="185"/>
      <c r="AR78" s="185" t="b">
        <v>1</v>
      </c>
    </row>
    <row r="79" spans="1:44" s="1088" customFormat="1" ht="14.25" hidden="1" customHeight="1" x14ac:dyDescent="0.15">
      <c r="A79" s="1332"/>
      <c r="B79" s="351"/>
      <c r="C79" s="786"/>
      <c r="D79" s="786"/>
      <c r="E79" s="787">
        <v>15</v>
      </c>
      <c r="F79" s="3" t="str" cm="1">
        <f t="array" aca="1" ref="F79" ca="1">OFFSET(E79,-1,1)</f>
        <v>1</v>
      </c>
      <c r="G79" s="758"/>
      <c r="H79" s="758" t="str">
        <f>H78&amp;"_1"</f>
        <v>l5_1</v>
      </c>
      <c r="I79" s="758" cm="1">
        <f t="array" ref="I79">I78</f>
        <v>0</v>
      </c>
      <c r="J79" s="786"/>
      <c r="K79" s="406"/>
      <c r="L79" s="406"/>
      <c r="M79" s="786"/>
      <c r="N79" s="786"/>
      <c r="O79" s="786"/>
      <c r="P79" s="786"/>
      <c r="Q79" s="786"/>
      <c r="R79" s="786"/>
      <c r="S79" s="786"/>
      <c r="T79" s="388" t="b" cm="1">
        <f t="array" aca="1" ref="T79" ca="1">T78</f>
        <v>0</v>
      </c>
      <c r="U79" s="786"/>
      <c r="V79" s="786"/>
      <c r="W79" s="786"/>
      <c r="X79" s="2094"/>
      <c r="Y79" s="2094"/>
      <c r="Z79" s="2095"/>
      <c r="AA79" s="2092"/>
      <c r="AB79" s="613" t="str">
        <f>AB78&amp;".1"</f>
        <v>5.0.1</v>
      </c>
      <c r="AC79" s="685" t="s">
        <v>1110</v>
      </c>
      <c r="AD79" s="686" t="s">
        <v>1111</v>
      </c>
      <c r="AE79" s="1409"/>
      <c r="AF79" s="1409"/>
      <c r="AG79" s="1409"/>
      <c r="AH79" s="1409"/>
      <c r="AI79" s="216"/>
      <c r="AJ79" s="216"/>
      <c r="AK79" s="1362"/>
      <c r="AL79" s="1332"/>
      <c r="AM79" s="1332"/>
      <c r="AN79" s="939" t="s">
        <v>1112</v>
      </c>
      <c r="AO79" s="939" t="s">
        <v>1130</v>
      </c>
      <c r="AP79" s="939" cm="1">
        <f t="array" ref="AP79">AP78</f>
        <v>0</v>
      </c>
      <c r="AQ79" s="185"/>
      <c r="AR79" s="185"/>
    </row>
    <row r="80" spans="1:44" s="1088" customFormat="1" ht="14.25" hidden="1" customHeight="1" x14ac:dyDescent="0.15">
      <c r="A80" s="1332"/>
      <c r="B80" s="351"/>
      <c r="C80" s="786"/>
      <c r="D80" s="786"/>
      <c r="E80" s="787">
        <v>15</v>
      </c>
      <c r="F80" s="3" t="str" cm="1">
        <f t="array" aca="1" ref="F80" ca="1">OFFSET(E80,-1,1)</f>
        <v>1</v>
      </c>
      <c r="G80" s="758"/>
      <c r="H80" s="758" t="str">
        <f>H78&amp;"_2"</f>
        <v>l5_2</v>
      </c>
      <c r="I80" s="758" cm="1">
        <f t="array" ref="I80">I79</f>
        <v>0</v>
      </c>
      <c r="J80" s="786"/>
      <c r="K80" s="406"/>
      <c r="L80" s="406"/>
      <c r="M80" s="786"/>
      <c r="N80" s="786"/>
      <c r="O80" s="786"/>
      <c r="P80" s="786"/>
      <c r="Q80" s="786"/>
      <c r="R80" s="786"/>
      <c r="S80" s="786"/>
      <c r="T80" s="388" t="b" cm="1">
        <f t="array" aca="1" ref="T80" ca="1">T79</f>
        <v>0</v>
      </c>
      <c r="U80" s="786"/>
      <c r="V80" s="786"/>
      <c r="W80" s="786"/>
      <c r="X80" s="2094"/>
      <c r="Y80" s="2094"/>
      <c r="Z80" s="2095"/>
      <c r="AA80" s="2092"/>
      <c r="AB80" s="613" t="str">
        <f>AB78&amp;".2"</f>
        <v>5.0.2</v>
      </c>
      <c r="AC80" s="685" t="s">
        <v>1113</v>
      </c>
      <c r="AD80" s="686" t="s">
        <v>1114</v>
      </c>
      <c r="AE80" s="1409"/>
      <c r="AF80" s="1409"/>
      <c r="AG80" s="1409"/>
      <c r="AH80" s="1409"/>
      <c r="AI80" s="216"/>
      <c r="AJ80" s="216"/>
      <c r="AK80" s="1362"/>
      <c r="AL80" s="1332"/>
      <c r="AM80" s="1332"/>
      <c r="AN80" s="939" t="s">
        <v>1115</v>
      </c>
      <c r="AO80" s="939" t="s">
        <v>1130</v>
      </c>
      <c r="AP80" s="939" cm="1">
        <f t="array" ref="AP80">AP79</f>
        <v>0</v>
      </c>
      <c r="AQ80" s="185"/>
      <c r="AR80" s="185"/>
    </row>
    <row r="81" spans="1:44" s="1088" customFormat="1" ht="18" customHeight="1" x14ac:dyDescent="0.15">
      <c r="A81" s="1332"/>
      <c r="B81" s="351"/>
      <c r="C81" s="786"/>
      <c r="D81" s="786"/>
      <c r="E81" s="787">
        <v>18.75</v>
      </c>
      <c r="F81" s="3" t="str" cm="1">
        <f t="array" aca="1" ref="F81" ca="1">OFFSET(E81,-1,1)</f>
        <v>1</v>
      </c>
      <c r="G81" s="758"/>
      <c r="H81" s="758" t="s">
        <v>334</v>
      </c>
      <c r="I81" s="758" t="str" cm="1">
        <f t="array" ref="I81">AC81</f>
        <v>АУП</v>
      </c>
      <c r="J81" s="786"/>
      <c r="K81" s="406"/>
      <c r="L81" s="406"/>
      <c r="M81" s="786"/>
      <c r="N81" s="786"/>
      <c r="O81" s="786"/>
      <c r="P81" s="786"/>
      <c r="Q81" s="786"/>
      <c r="R81" s="786"/>
      <c r="S81" s="786"/>
      <c r="T81" s="388" t="b">
        <f ca="1">AND(F81&gt;0,Y81&gt;0)</f>
        <v>1</v>
      </c>
      <c r="U81" s="786"/>
      <c r="V81" s="786"/>
      <c r="W81" s="786"/>
      <c r="X81" s="2094"/>
      <c r="Y81" s="2094" t="s">
        <v>282</v>
      </c>
      <c r="Z81" s="2095"/>
      <c r="AA81" s="2092" t="s">
        <v>173</v>
      </c>
      <c r="AB81" s="218" t="str">
        <f>"5."&amp;Y81</f>
        <v>5.1</v>
      </c>
      <c r="AC81" s="375" t="s">
        <v>1127</v>
      </c>
      <c r="AD81" s="686" t="s">
        <v>831</v>
      </c>
      <c r="AE81" s="1409"/>
      <c r="AF81" s="1409"/>
      <c r="AG81" s="1409"/>
      <c r="AH81" s="1409"/>
      <c r="AI81" s="692">
        <f>AI82*AI83*12/1000</f>
        <v>0</v>
      </c>
      <c r="AJ81" s="692">
        <f>AJ82*AJ83*12/1000</f>
        <v>0</v>
      </c>
      <c r="AK81" s="765"/>
      <c r="AL81" s="1332"/>
      <c r="AM81" s="1332"/>
      <c r="AN81" s="939" t="s">
        <v>1107</v>
      </c>
      <c r="AO81" s="939" t="s">
        <v>1130</v>
      </c>
      <c r="AP81" s="939" t="str" cm="1">
        <f t="array" ref="AP81">AC81</f>
        <v>АУП</v>
      </c>
      <c r="AQ81" s="185"/>
      <c r="AR81" s="185" t="b">
        <v>1</v>
      </c>
    </row>
    <row r="82" spans="1:44" s="1088" customFormat="1" ht="44.25" customHeight="1" x14ac:dyDescent="0.15">
      <c r="A82" s="1332"/>
      <c r="B82" s="351"/>
      <c r="C82" s="786"/>
      <c r="D82" s="786"/>
      <c r="E82" s="787">
        <v>15</v>
      </c>
      <c r="F82" s="3" t="str" cm="1">
        <f t="array" aca="1" ref="F82" ca="1">OFFSET(E82,-1,1)</f>
        <v>1</v>
      </c>
      <c r="G82" s="758"/>
      <c r="H82" s="758" t="str">
        <f>H81&amp;"_1"</f>
        <v>l5_1</v>
      </c>
      <c r="I82" s="758" t="str" cm="1">
        <f t="array" ref="I82">I81</f>
        <v>АУП</v>
      </c>
      <c r="J82" s="786"/>
      <c r="K82" s="406"/>
      <c r="L82" s="406"/>
      <c r="M82" s="786"/>
      <c r="N82" s="786"/>
      <c r="O82" s="786"/>
      <c r="P82" s="786"/>
      <c r="Q82" s="786"/>
      <c r="R82" s="786"/>
      <c r="S82" s="786"/>
      <c r="T82" s="388" t="b" cm="1">
        <f t="array" aca="1" ref="T82" ca="1">T81</f>
        <v>1</v>
      </c>
      <c r="U82" s="786"/>
      <c r="V82" s="786"/>
      <c r="W82" s="786"/>
      <c r="X82" s="2094"/>
      <c r="Y82" s="2094"/>
      <c r="Z82" s="2095"/>
      <c r="AA82" s="2092"/>
      <c r="AB82" s="613" t="str">
        <f>AB81&amp;".1"</f>
        <v>5.1.1</v>
      </c>
      <c r="AC82" s="685" t="s">
        <v>1110</v>
      </c>
      <c r="AD82" s="686" t="s">
        <v>1111</v>
      </c>
      <c r="AE82" s="1409"/>
      <c r="AF82" s="1409"/>
      <c r="AG82" s="1409"/>
      <c r="AH82" s="1409"/>
      <c r="AI82" s="216"/>
      <c r="AJ82" s="216"/>
      <c r="AK82" s="765" t="s">
        <v>1144</v>
      </c>
      <c r="AL82" s="1332"/>
      <c r="AM82" s="1332"/>
      <c r="AN82" s="939" t="s">
        <v>1112</v>
      </c>
      <c r="AO82" s="939" t="s">
        <v>1130</v>
      </c>
      <c r="AP82" s="939" t="str" cm="1">
        <f t="array" ref="AP82">AP81</f>
        <v>АУП</v>
      </c>
      <c r="AQ82" s="185"/>
      <c r="AR82" s="185"/>
    </row>
    <row r="83" spans="1:44" s="1088" customFormat="1" ht="54.75" customHeight="1" x14ac:dyDescent="0.15">
      <c r="A83" s="1332"/>
      <c r="B83" s="351"/>
      <c r="C83" s="786"/>
      <c r="D83" s="786"/>
      <c r="E83" s="787">
        <v>15</v>
      </c>
      <c r="F83" s="3" t="str" cm="1">
        <f t="array" aca="1" ref="F83" ca="1">OFFSET(E83,-1,1)</f>
        <v>1</v>
      </c>
      <c r="G83" s="758"/>
      <c r="H83" s="758" t="str">
        <f>H81&amp;"_2"</f>
        <v>l5_2</v>
      </c>
      <c r="I83" s="758" t="str" cm="1">
        <f t="array" ref="I83">I82</f>
        <v>АУП</v>
      </c>
      <c r="J83" s="786"/>
      <c r="K83" s="406"/>
      <c r="L83" s="406"/>
      <c r="M83" s="786"/>
      <c r="N83" s="786"/>
      <c r="O83" s="786"/>
      <c r="P83" s="786"/>
      <c r="Q83" s="786"/>
      <c r="R83" s="786"/>
      <c r="S83" s="786"/>
      <c r="T83" s="388" t="b" cm="1">
        <f t="array" aca="1" ref="T83" ca="1">T82</f>
        <v>1</v>
      </c>
      <c r="U83" s="786"/>
      <c r="V83" s="786"/>
      <c r="W83" s="786"/>
      <c r="X83" s="2094"/>
      <c r="Y83" s="2094"/>
      <c r="Z83" s="2095"/>
      <c r="AA83" s="2092"/>
      <c r="AB83" s="613" t="str">
        <f>AB81&amp;".2"</f>
        <v>5.1.2</v>
      </c>
      <c r="AC83" s="685" t="s">
        <v>1113</v>
      </c>
      <c r="AD83" s="686" t="s">
        <v>1114</v>
      </c>
      <c r="AE83" s="1409"/>
      <c r="AF83" s="1409"/>
      <c r="AG83" s="1409"/>
      <c r="AH83" s="1409"/>
      <c r="AI83" s="216"/>
      <c r="AJ83" s="216"/>
      <c r="AK83" s="765" t="s">
        <v>1145</v>
      </c>
      <c r="AL83" s="1332"/>
      <c r="AM83" s="1332"/>
      <c r="AN83" s="939" t="s">
        <v>1115</v>
      </c>
      <c r="AO83" s="939" t="s">
        <v>1130</v>
      </c>
      <c r="AP83" s="939" t="str" cm="1">
        <f t="array" ref="AP83">AP82</f>
        <v>АУП</v>
      </c>
      <c r="AQ83" s="185"/>
      <c r="AR83" s="185"/>
    </row>
    <row r="84" spans="1:44" s="1088" customFormat="1" ht="14.25" customHeight="1" x14ac:dyDescent="0.15">
      <c r="A84" s="1332"/>
      <c r="B84" s="351"/>
      <c r="C84" s="786"/>
      <c r="D84" s="786"/>
      <c r="E84" s="787">
        <v>15</v>
      </c>
      <c r="F84" s="3" t="str" cm="1">
        <f t="array" aca="1" ref="F84" ca="1">OFFSET(E84,-1,1)</f>
        <v>1</v>
      </c>
      <c r="G84" s="290"/>
      <c r="H84" s="758"/>
      <c r="I84" s="71" t="str">
        <f>"!=='не определено' &amp;&amp; row.l5 !== null"</f>
        <v>!=='не определено' &amp;&amp; row.l5 !== null</v>
      </c>
      <c r="J84" s="786"/>
      <c r="K84" s="406"/>
      <c r="L84" s="406"/>
      <c r="M84" s="786"/>
      <c r="N84" s="786"/>
      <c r="O84" s="786"/>
      <c r="P84" s="786"/>
      <c r="Q84" s="786"/>
      <c r="R84" s="786"/>
      <c r="S84" s="786"/>
      <c r="T84" s="388" t="b">
        <f ca="1">F84&gt;0</f>
        <v>1</v>
      </c>
      <c r="U84" s="786"/>
      <c r="V84" s="786"/>
      <c r="W84" s="677" t="s">
        <v>1131</v>
      </c>
      <c r="X84" s="2094"/>
      <c r="Y84" s="791"/>
      <c r="Z84" s="2095"/>
      <c r="AA84" s="786"/>
      <c r="AB84" s="792"/>
      <c r="AC84" s="178" t="s">
        <v>176</v>
      </c>
      <c r="AD84" s="696"/>
      <c r="AE84" s="696"/>
      <c r="AF84" s="696"/>
      <c r="AG84" s="696"/>
      <c r="AH84" s="696"/>
      <c r="AI84" s="696"/>
      <c r="AJ84" s="696"/>
      <c r="AK84" s="697"/>
      <c r="AL84" s="1332"/>
      <c r="AM84" s="1332"/>
      <c r="AN84" s="939"/>
      <c r="AO84" s="939"/>
      <c r="AP84" s="939"/>
      <c r="AQ84" s="185" t="s">
        <v>1130</v>
      </c>
      <c r="AR84" s="185"/>
    </row>
    <row r="85" spans="1:44" s="1088" customFormat="1" ht="107.25" customHeight="1" x14ac:dyDescent="0.15">
      <c r="A85" s="1332"/>
      <c r="B85" s="351"/>
      <c r="C85" s="786"/>
      <c r="D85" s="786"/>
      <c r="E85" s="787">
        <v>22.5</v>
      </c>
      <c r="F85" s="3" t="str" cm="1">
        <f t="array" aca="1" ref="F85" ca="1">OFFSET(E85,-1,1)</f>
        <v>1</v>
      </c>
      <c r="G85" s="290" t="s">
        <v>1132</v>
      </c>
      <c r="H85" s="758" t="s">
        <v>544</v>
      </c>
      <c r="I85" s="758"/>
      <c r="J85" s="786"/>
      <c r="K85" s="406" t="str">
        <f ca="1">F85&amp;"6komm"</f>
        <v>16komm</v>
      </c>
      <c r="L85" s="406" t="str" cm="1">
        <f t="array" ref="L85">AK85</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M85" s="786"/>
      <c r="N85" s="786"/>
      <c r="O85" s="786"/>
      <c r="P85" s="786"/>
      <c r="Q85" s="786"/>
      <c r="R85" s="786"/>
      <c r="S85" s="786"/>
      <c r="T85" s="388" t="b" cm="1">
        <f t="array" aca="1" ref="T85" ca="1">T84</f>
        <v>1</v>
      </c>
      <c r="U85" s="786"/>
      <c r="V85" s="786"/>
      <c r="W85" s="786"/>
      <c r="X85" s="2094"/>
      <c r="Y85" s="791"/>
      <c r="Z85" s="2095"/>
      <c r="AA85" s="786"/>
      <c r="AB85" s="613" t="s">
        <v>446</v>
      </c>
      <c r="AC85" s="766" t="s">
        <v>1133</v>
      </c>
      <c r="AD85" s="686" t="s">
        <v>831</v>
      </c>
      <c r="AE85" s="216">
        <v>1972.4264521635</v>
      </c>
      <c r="AF85" s="216">
        <f ca="1">AF77*SUMIFS(INDEX(Сценарии!$AE$25:$BF$109,,MATCH(AF$13,Сценарии!$AE$8:$BF$8,0)),Сценарии!$F$25:$F$109,$F85,Сценарии!$G$25:$G$109,"СВФОТ")/100</f>
        <v>0</v>
      </c>
      <c r="AG85" s="216">
        <f ca="1">AG77*SUMIFS(INDEX(Сценарии!$AE$25:$BF$109,,MATCH(AG$13,Сценарии!$AE$8:$BF$8,0)),Сценарии!$F$25:$F$109,$F85,Сценарии!$G$25:$G$109,"СВФОТ")/100</f>
        <v>0</v>
      </c>
      <c r="AH85" s="216">
        <f ca="1">AH77*SUMIFS(INDEX(Сценарии!$AE$25:$BF$109,,MATCH(AH$13,Сценарии!$AE$8:$BF$8,0)),Сценарии!$F$25:$F$109,$F85,Сценарии!$G$25:$G$109,"СВФОТ")/100</f>
        <v>0</v>
      </c>
      <c r="AI85" s="216">
        <f ca="1">AI77*SUMIFS(INDEX(Сценарии!$AE$25:$BF$109,,MATCH(AI$13,Сценарии!$AE$8:$BF$8,0)),Сценарии!$F$25:$F$109,$F85,Сценарии!$G$25:$G$109,"СВФОТ")/100</f>
        <v>0</v>
      </c>
      <c r="AJ85" s="216">
        <f ca="1">AJ77*SUMIFS(INDEX(Сценарии!$AE$25:$BF$109,,MATCH(AJ$13,Сценарии!$AE$8:$BF$8,0)),Сценарии!$F$25:$F$109,$F85,Сценарии!$G$25:$G$109,"СВФОТ")/100</f>
        <v>0</v>
      </c>
      <c r="AK85" s="831" t="s">
        <v>1147</v>
      </c>
      <c r="AL85" s="1332"/>
      <c r="AM85" s="1332"/>
      <c r="AN85" s="939" t="s">
        <v>1134</v>
      </c>
      <c r="AO85" s="939"/>
      <c r="AP85" s="939"/>
      <c r="AQ85" s="185"/>
      <c r="AR85" s="185"/>
    </row>
    <row r="86" spans="1:44" s="1088" customFormat="1" ht="14.65" customHeight="1" x14ac:dyDescent="0.15">
      <c r="A86" s="1332"/>
      <c r="B86" s="351"/>
      <c r="C86" s="786"/>
      <c r="D86" s="786"/>
      <c r="E86" s="787">
        <v>15</v>
      </c>
      <c r="F86" s="3" t="str" cm="1">
        <f t="array" aca="1" ref="F86" ca="1">OFFSET(E86,-1,1)</f>
        <v>1</v>
      </c>
      <c r="G86" s="290" t="s">
        <v>1135</v>
      </c>
      <c r="H86" s="758" t="s">
        <v>547</v>
      </c>
      <c r="I86" s="758"/>
      <c r="J86" s="786"/>
      <c r="K86" s="406" t="str">
        <f ca="1">F86&amp;"7komm"</f>
        <v>17komm</v>
      </c>
      <c r="L86" s="406" cm="1">
        <f t="array" ref="L86">AK86</f>
        <v>0</v>
      </c>
      <c r="M86" s="786"/>
      <c r="N86" s="786"/>
      <c r="O86" s="786"/>
      <c r="P86" s="786"/>
      <c r="Q86" s="786"/>
      <c r="R86" s="786"/>
      <c r="S86" s="786"/>
      <c r="T86" s="388" t="b" cm="1">
        <f t="array" aca="1" ref="T86" ca="1">T85</f>
        <v>1</v>
      </c>
      <c r="U86" s="786"/>
      <c r="V86" s="786"/>
      <c r="W86" s="786"/>
      <c r="X86" s="2094"/>
      <c r="Y86" s="791"/>
      <c r="Z86" s="2095"/>
      <c r="AA86" s="786"/>
      <c r="AB86" s="613" t="s">
        <v>448</v>
      </c>
      <c r="AC86" s="766" t="s">
        <v>1136</v>
      </c>
      <c r="AD86" s="686" t="s">
        <v>831</v>
      </c>
      <c r="AE86" s="216">
        <v>2943.9802237877002</v>
      </c>
      <c r="AF86" s="216"/>
      <c r="AG86" s="216"/>
      <c r="AH86" s="216"/>
      <c r="AI86" s="132">
        <f>SUMIFS(AI87:AI93,$AD87:$AD93,$AD86)</f>
        <v>0</v>
      </c>
      <c r="AJ86" s="132">
        <f>SUMIFS(AJ87:AJ93,$AD87:$AD93,$AD86)</f>
        <v>0</v>
      </c>
      <c r="AK86" s="831"/>
      <c r="AL86" s="1332"/>
      <c r="AM86" s="1332"/>
      <c r="AN86" s="939" t="s">
        <v>1137</v>
      </c>
      <c r="AO86" s="939"/>
      <c r="AP86" s="939"/>
      <c r="AQ86" s="185"/>
      <c r="AR86" s="185"/>
    </row>
    <row r="87" spans="1:44" s="1088" customFormat="1" ht="18" hidden="1" customHeight="1" x14ac:dyDescent="0.15">
      <c r="A87" s="1332"/>
      <c r="B87" s="1332"/>
      <c r="C87" s="793"/>
      <c r="D87" s="793"/>
      <c r="E87" s="794">
        <v>18.75</v>
      </c>
      <c r="F87" s="3" t="str" cm="1">
        <f t="array" aca="1" ref="F87" ca="1">OFFSET(E87,-1,1)</f>
        <v>1</v>
      </c>
      <c r="G87" s="790"/>
      <c r="H87" s="758" t="s">
        <v>547</v>
      </c>
      <c r="I87" s="790" cm="1">
        <f t="array" ref="I87">AC87</f>
        <v>0</v>
      </c>
      <c r="J87" s="793"/>
      <c r="K87" s="829"/>
      <c r="L87" s="829"/>
      <c r="M87" s="793"/>
      <c r="N87" s="793"/>
      <c r="O87" s="793"/>
      <c r="P87" s="793"/>
      <c r="Q87" s="793"/>
      <c r="R87" s="793"/>
      <c r="S87" s="793"/>
      <c r="T87" s="388" t="b">
        <f ca="1">AND(F87&gt;0,Y87&gt;0)</f>
        <v>0</v>
      </c>
      <c r="U87" s="793"/>
      <c r="V87" s="793"/>
      <c r="W87" s="786" t="s">
        <v>172</v>
      </c>
      <c r="X87" s="2094"/>
      <c r="Y87" s="2094">
        <v>0</v>
      </c>
      <c r="Z87" s="2095"/>
      <c r="AA87" s="2092" t="s">
        <v>173</v>
      </c>
      <c r="AB87" s="1129" t="str">
        <f>"7."&amp;Y87</f>
        <v>7.0</v>
      </c>
      <c r="AC87" s="1411"/>
      <c r="AD87" s="796" t="s">
        <v>831</v>
      </c>
      <c r="AE87" s="1412"/>
      <c r="AF87" s="1412"/>
      <c r="AG87" s="1412"/>
      <c r="AH87" s="1412"/>
      <c r="AI87" s="797">
        <f>AI88*AI89*12/1000</f>
        <v>0</v>
      </c>
      <c r="AJ87" s="797">
        <f>AJ88*AJ89*12/1000</f>
        <v>0</v>
      </c>
      <c r="AK87" s="1413"/>
      <c r="AL87" s="1332"/>
      <c r="AM87" s="1332"/>
      <c r="AN87" s="939" t="s">
        <v>1107</v>
      </c>
      <c r="AO87" s="955" t="s">
        <v>1138</v>
      </c>
      <c r="AP87" s="939" cm="1">
        <f t="array" ref="AP87">AC87</f>
        <v>0</v>
      </c>
      <c r="AQ87" s="956"/>
      <c r="AR87" s="185" t="b">
        <v>1</v>
      </c>
    </row>
    <row r="88" spans="1:44" s="1088" customFormat="1" ht="14.25" hidden="1" customHeight="1" x14ac:dyDescent="0.15">
      <c r="A88" s="1332"/>
      <c r="B88" s="1332"/>
      <c r="C88" s="793"/>
      <c r="D88" s="793"/>
      <c r="E88" s="794">
        <v>15</v>
      </c>
      <c r="F88" s="3" t="str" cm="1">
        <f t="array" aca="1" ref="F88" ca="1">OFFSET(E88,-1,1)</f>
        <v>1</v>
      </c>
      <c r="G88" s="790"/>
      <c r="H88" s="790" t="str">
        <f>H87&amp;"_1"</f>
        <v>l7_1</v>
      </c>
      <c r="I88" s="790" cm="1">
        <f t="array" ref="I88">I87</f>
        <v>0</v>
      </c>
      <c r="J88" s="793"/>
      <c r="K88" s="829"/>
      <c r="L88" s="829"/>
      <c r="M88" s="793"/>
      <c r="N88" s="793"/>
      <c r="O88" s="793"/>
      <c r="P88" s="793"/>
      <c r="Q88" s="793"/>
      <c r="R88" s="793"/>
      <c r="S88" s="793"/>
      <c r="T88" s="388" t="b" cm="1">
        <f t="array" aca="1" ref="T88" ca="1">T87</f>
        <v>0</v>
      </c>
      <c r="U88" s="793"/>
      <c r="V88" s="793"/>
      <c r="W88" s="793"/>
      <c r="X88" s="2094"/>
      <c r="Y88" s="2094"/>
      <c r="Z88" s="2095"/>
      <c r="AA88" s="2092"/>
      <c r="AB88" s="799" t="str">
        <f>AB87&amp;".1"</f>
        <v>7.0.1</v>
      </c>
      <c r="AC88" s="800" t="s">
        <v>1110</v>
      </c>
      <c r="AD88" s="796" t="s">
        <v>1111</v>
      </c>
      <c r="AE88" s="1412"/>
      <c r="AF88" s="1412"/>
      <c r="AG88" s="1412"/>
      <c r="AH88" s="1412"/>
      <c r="AI88" s="801"/>
      <c r="AJ88" s="801"/>
      <c r="AK88" s="1413"/>
      <c r="AL88" s="1332"/>
      <c r="AM88" s="1332"/>
      <c r="AN88" s="939" t="s">
        <v>1112</v>
      </c>
      <c r="AO88" s="955" t="s">
        <v>1138</v>
      </c>
      <c r="AP88" s="939" cm="1">
        <f t="array" ref="AP88">AP87</f>
        <v>0</v>
      </c>
      <c r="AQ88" s="956"/>
      <c r="AR88" s="956"/>
    </row>
    <row r="89" spans="1:44" s="1088" customFormat="1" ht="14.25" hidden="1" customHeight="1" x14ac:dyDescent="0.15">
      <c r="A89" s="1332"/>
      <c r="B89" s="1332"/>
      <c r="C89" s="793"/>
      <c r="D89" s="793"/>
      <c r="E89" s="794">
        <v>15</v>
      </c>
      <c r="F89" s="3" t="str" cm="1">
        <f t="array" aca="1" ref="F89" ca="1">OFFSET(E89,-1,1)</f>
        <v>1</v>
      </c>
      <c r="G89" s="790"/>
      <c r="H89" s="790" t="str">
        <f>H87&amp;"_2"</f>
        <v>l7_2</v>
      </c>
      <c r="I89" s="790" cm="1">
        <f t="array" ref="I89">I88</f>
        <v>0</v>
      </c>
      <c r="J89" s="793"/>
      <c r="K89" s="829"/>
      <c r="L89" s="829"/>
      <c r="M89" s="793"/>
      <c r="N89" s="793"/>
      <c r="O89" s="793"/>
      <c r="P89" s="793"/>
      <c r="Q89" s="793"/>
      <c r="R89" s="793"/>
      <c r="S89" s="793"/>
      <c r="T89" s="388" t="b" cm="1">
        <f t="array" aca="1" ref="T89" ca="1">T88</f>
        <v>0</v>
      </c>
      <c r="U89" s="793"/>
      <c r="V89" s="793"/>
      <c r="W89" s="793"/>
      <c r="X89" s="2094"/>
      <c r="Y89" s="2094"/>
      <c r="Z89" s="2095"/>
      <c r="AA89" s="2092"/>
      <c r="AB89" s="799" t="str">
        <f>AB87&amp;".2"</f>
        <v>7.0.2</v>
      </c>
      <c r="AC89" s="800" t="s">
        <v>1113</v>
      </c>
      <c r="AD89" s="796" t="s">
        <v>1114</v>
      </c>
      <c r="AE89" s="1412"/>
      <c r="AF89" s="1412"/>
      <c r="AG89" s="1412"/>
      <c r="AH89" s="1412"/>
      <c r="AI89" s="801"/>
      <c r="AJ89" s="801"/>
      <c r="AK89" s="1413"/>
      <c r="AL89" s="1332"/>
      <c r="AM89" s="1332"/>
      <c r="AN89" s="939" t="s">
        <v>1115</v>
      </c>
      <c r="AO89" s="955" t="s">
        <v>1138</v>
      </c>
      <c r="AP89" s="939" cm="1">
        <f t="array" ref="AP89">AP88</f>
        <v>0</v>
      </c>
      <c r="AQ89" s="956"/>
      <c r="AR89" s="956"/>
    </row>
    <row r="90" spans="1:44" s="1088" customFormat="1" ht="18" customHeight="1" x14ac:dyDescent="0.15">
      <c r="A90" s="1332"/>
      <c r="B90" s="1332"/>
      <c r="C90" s="793"/>
      <c r="D90" s="793"/>
      <c r="E90" s="794">
        <v>18.75</v>
      </c>
      <c r="F90" s="3" t="str" cm="1">
        <f t="array" aca="1" ref="F90" ca="1">OFFSET(E90,-1,1)</f>
        <v>1</v>
      </c>
      <c r="G90" s="790"/>
      <c r="H90" s="758" t="s">
        <v>547</v>
      </c>
      <c r="I90" s="790" t="str" cm="1">
        <f t="array" ref="I90">AC90</f>
        <v>Абоненский отдел</v>
      </c>
      <c r="J90" s="793"/>
      <c r="K90" s="829"/>
      <c r="L90" s="829"/>
      <c r="M90" s="793"/>
      <c r="N90" s="793"/>
      <c r="O90" s="793"/>
      <c r="P90" s="793"/>
      <c r="Q90" s="793"/>
      <c r="R90" s="793"/>
      <c r="S90" s="793"/>
      <c r="T90" s="388" t="b">
        <f ca="1">AND(F90&gt;0,Y90&gt;0)</f>
        <v>1</v>
      </c>
      <c r="U90" s="793"/>
      <c r="V90" s="793"/>
      <c r="W90" s="786"/>
      <c r="X90" s="2094"/>
      <c r="Y90" s="2094" t="s">
        <v>282</v>
      </c>
      <c r="Z90" s="2095"/>
      <c r="AA90" s="2092" t="s">
        <v>173</v>
      </c>
      <c r="AB90" s="1129" t="str">
        <f>"7."&amp;Y90</f>
        <v>7.1</v>
      </c>
      <c r="AC90" s="795" t="s">
        <v>1150</v>
      </c>
      <c r="AD90" s="796" t="s">
        <v>831</v>
      </c>
      <c r="AE90" s="1412"/>
      <c r="AF90" s="1412"/>
      <c r="AG90" s="1412"/>
      <c r="AH90" s="1412"/>
      <c r="AI90" s="797">
        <f>AI91*AI92*12/1000</f>
        <v>0</v>
      </c>
      <c r="AJ90" s="797">
        <f>AJ91*AJ92*12/1000</f>
        <v>0</v>
      </c>
      <c r="AK90" s="798"/>
      <c r="AL90" s="1332"/>
      <c r="AM90" s="1332"/>
      <c r="AN90" s="939" t="s">
        <v>1107</v>
      </c>
      <c r="AO90" s="955" t="s">
        <v>1138</v>
      </c>
      <c r="AP90" s="939" t="str" cm="1">
        <f t="array" ref="AP90">AC90</f>
        <v>Абоненский отдел</v>
      </c>
      <c r="AQ90" s="956"/>
      <c r="AR90" s="185" t="b">
        <v>1</v>
      </c>
    </row>
    <row r="91" spans="1:44" s="1088" customFormat="1" ht="86.25" customHeight="1" x14ac:dyDescent="0.15">
      <c r="A91" s="1332"/>
      <c r="B91" s="1332"/>
      <c r="C91" s="793"/>
      <c r="D91" s="793"/>
      <c r="E91" s="794">
        <v>15</v>
      </c>
      <c r="F91" s="3" t="str" cm="1">
        <f t="array" aca="1" ref="F91" ca="1">OFFSET(E91,-1,1)</f>
        <v>1</v>
      </c>
      <c r="G91" s="790"/>
      <c r="H91" s="790" t="str">
        <f>H90&amp;"_1"</f>
        <v>l7_1</v>
      </c>
      <c r="I91" s="790" t="str" cm="1">
        <f t="array" ref="I91">I90</f>
        <v>Абоненский отдел</v>
      </c>
      <c r="J91" s="793"/>
      <c r="K91" s="829"/>
      <c r="L91" s="829"/>
      <c r="M91" s="793"/>
      <c r="N91" s="793"/>
      <c r="O91" s="793"/>
      <c r="P91" s="793"/>
      <c r="Q91" s="793"/>
      <c r="R91" s="793"/>
      <c r="S91" s="793"/>
      <c r="T91" s="388" t="b" cm="1">
        <f t="array" aca="1" ref="T91" ca="1">T90</f>
        <v>1</v>
      </c>
      <c r="U91" s="793"/>
      <c r="V91" s="793"/>
      <c r="W91" s="793"/>
      <c r="X91" s="2094"/>
      <c r="Y91" s="2094"/>
      <c r="Z91" s="2095"/>
      <c r="AA91" s="2092"/>
      <c r="AB91" s="799" t="str">
        <f>AB90&amp;".1"</f>
        <v>7.1.1</v>
      </c>
      <c r="AC91" s="800" t="s">
        <v>1110</v>
      </c>
      <c r="AD91" s="796" t="s">
        <v>1111</v>
      </c>
      <c r="AE91" s="1412"/>
      <c r="AF91" s="1412"/>
      <c r="AG91" s="1412"/>
      <c r="AH91" s="1412"/>
      <c r="AI91" s="801"/>
      <c r="AJ91" s="801"/>
      <c r="AK91" s="798" t="s">
        <v>1151</v>
      </c>
      <c r="AL91" s="1332"/>
      <c r="AM91" s="1332"/>
      <c r="AN91" s="939" t="s">
        <v>1112</v>
      </c>
      <c r="AO91" s="955" t="s">
        <v>1138</v>
      </c>
      <c r="AP91" s="939" t="str" cm="1">
        <f t="array" ref="AP91">AP90</f>
        <v>Абоненский отдел</v>
      </c>
      <c r="AQ91" s="956"/>
      <c r="AR91" s="956"/>
    </row>
    <row r="92" spans="1:44" s="1088" customFormat="1" ht="54.75" customHeight="1" x14ac:dyDescent="0.15">
      <c r="A92" s="1332"/>
      <c r="B92" s="1332"/>
      <c r="C92" s="793"/>
      <c r="D92" s="793"/>
      <c r="E92" s="794">
        <v>15</v>
      </c>
      <c r="F92" s="3" t="str" cm="1">
        <f t="array" aca="1" ref="F92" ca="1">OFFSET(E92,-1,1)</f>
        <v>1</v>
      </c>
      <c r="G92" s="790"/>
      <c r="H92" s="790" t="str">
        <f>H90&amp;"_2"</f>
        <v>l7_2</v>
      </c>
      <c r="I92" s="790" t="str" cm="1">
        <f t="array" ref="I92">I91</f>
        <v>Абоненский отдел</v>
      </c>
      <c r="J92" s="793"/>
      <c r="K92" s="829"/>
      <c r="L92" s="829"/>
      <c r="M92" s="793"/>
      <c r="N92" s="793"/>
      <c r="O92" s="793"/>
      <c r="P92" s="793"/>
      <c r="Q92" s="793"/>
      <c r="R92" s="793"/>
      <c r="S92" s="793"/>
      <c r="T92" s="388" t="b" cm="1">
        <f t="array" aca="1" ref="T92" ca="1">T91</f>
        <v>1</v>
      </c>
      <c r="U92" s="793"/>
      <c r="V92" s="793"/>
      <c r="W92" s="793"/>
      <c r="X92" s="2094"/>
      <c r="Y92" s="2094"/>
      <c r="Z92" s="2095"/>
      <c r="AA92" s="2092"/>
      <c r="AB92" s="799" t="str">
        <f>AB90&amp;".2"</f>
        <v>7.1.2</v>
      </c>
      <c r="AC92" s="800" t="s">
        <v>1113</v>
      </c>
      <c r="AD92" s="796" t="s">
        <v>1114</v>
      </c>
      <c r="AE92" s="1412"/>
      <c r="AF92" s="1412"/>
      <c r="AG92" s="1412"/>
      <c r="AH92" s="1412"/>
      <c r="AI92" s="801"/>
      <c r="AJ92" s="801"/>
      <c r="AK92" s="798" t="s">
        <v>1145</v>
      </c>
      <c r="AL92" s="1332"/>
      <c r="AM92" s="1332"/>
      <c r="AN92" s="939" t="s">
        <v>1115</v>
      </c>
      <c r="AO92" s="955" t="s">
        <v>1138</v>
      </c>
      <c r="AP92" s="939" t="str" cm="1">
        <f t="array" ref="AP92">AP91</f>
        <v>Абоненский отдел</v>
      </c>
      <c r="AQ92" s="956"/>
      <c r="AR92" s="956"/>
    </row>
    <row r="93" spans="1:44" s="1088" customFormat="1" ht="14.25" customHeight="1" x14ac:dyDescent="0.15">
      <c r="A93" s="1332"/>
      <c r="B93" s="351"/>
      <c r="C93" s="786"/>
      <c r="D93" s="786"/>
      <c r="E93" s="787">
        <v>15</v>
      </c>
      <c r="F93" s="3" t="str" cm="1">
        <f t="array" aca="1" ref="F93" ca="1">OFFSET(E93,-1,1)</f>
        <v>1</v>
      </c>
      <c r="G93" s="290"/>
      <c r="H93" s="758"/>
      <c r="I93" s="71" t="str">
        <f>"!=='не определено' &amp;&amp; row.l7 !== null"</f>
        <v>!=='не определено' &amp;&amp; row.l7 !== null</v>
      </c>
      <c r="J93" s="786"/>
      <c r="K93" s="406"/>
      <c r="L93" s="406"/>
      <c r="M93" s="786"/>
      <c r="N93" s="786"/>
      <c r="O93" s="786"/>
      <c r="P93" s="786"/>
      <c r="Q93" s="786"/>
      <c r="R93" s="786"/>
      <c r="S93" s="786"/>
      <c r="T93" s="388" t="b">
        <f ca="1">F93&gt;0</f>
        <v>1</v>
      </c>
      <c r="U93" s="786"/>
      <c r="V93" s="786"/>
      <c r="W93" s="677" t="s">
        <v>1139</v>
      </c>
      <c r="X93" s="2094"/>
      <c r="Y93" s="786"/>
      <c r="Z93" s="2095"/>
      <c r="AA93" s="786"/>
      <c r="AB93" s="792"/>
      <c r="AC93" s="178" t="s">
        <v>176</v>
      </c>
      <c r="AD93" s="696"/>
      <c r="AE93" s="696"/>
      <c r="AF93" s="696"/>
      <c r="AG93" s="696"/>
      <c r="AH93" s="696"/>
      <c r="AI93" s="696"/>
      <c r="AJ93" s="696"/>
      <c r="AK93" s="697"/>
      <c r="AL93" s="1332"/>
      <c r="AM93" s="1332"/>
      <c r="AN93" s="939"/>
      <c r="AO93" s="939"/>
      <c r="AP93" s="939"/>
      <c r="AQ93" s="956" t="s">
        <v>1138</v>
      </c>
      <c r="AR93" s="185"/>
    </row>
    <row r="94" spans="1:44" s="1088" customFormat="1" ht="107.25" customHeight="1" x14ac:dyDescent="0.15">
      <c r="A94" s="1332"/>
      <c r="B94" s="351"/>
      <c r="C94" s="786"/>
      <c r="D94" s="786"/>
      <c r="E94" s="787">
        <v>22.5</v>
      </c>
      <c r="F94" s="3" t="str" cm="1">
        <f t="array" aca="1" ref="F94" ca="1">OFFSET(E94,-1,1)</f>
        <v>1</v>
      </c>
      <c r="G94" s="290" t="s">
        <v>1140</v>
      </c>
      <c r="H94" s="758" t="s">
        <v>591</v>
      </c>
      <c r="I94" s="758"/>
      <c r="J94" s="786"/>
      <c r="K94" s="406" t="str">
        <f ca="1">F94&amp;"8komm"</f>
        <v>18komm</v>
      </c>
      <c r="L94" s="830" t="str" cm="1">
        <f t="array" ref="L94">AK94</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M94" s="786"/>
      <c r="N94" s="786"/>
      <c r="O94" s="786"/>
      <c r="P94" s="786"/>
      <c r="Q94" s="786"/>
      <c r="R94" s="786"/>
      <c r="S94" s="786"/>
      <c r="T94" s="388" t="b" cm="1">
        <f t="array" aca="1" ref="T94" ca="1">T93</f>
        <v>1</v>
      </c>
      <c r="U94" s="786"/>
      <c r="V94" s="786"/>
      <c r="W94" s="786"/>
      <c r="X94" s="2094"/>
      <c r="Y94" s="786"/>
      <c r="Z94" s="2095"/>
      <c r="AA94" s="786"/>
      <c r="AB94" s="613" t="s">
        <v>450</v>
      </c>
      <c r="AC94" s="766" t="s">
        <v>1141</v>
      </c>
      <c r="AD94" s="686" t="s">
        <v>831</v>
      </c>
      <c r="AE94" s="216">
        <v>889.08202758389996</v>
      </c>
      <c r="AF94" s="216">
        <f ca="1">AF86*SUMIFS(INDEX(Сценарии!$AE$25:$BF$109,,MATCH(AF$13,Сценарии!$AE$8:$BF$8,0)),Сценарии!$F$25:$F$109,$F94,Сценарии!$G$25:$G$109,"СВФОТ")/100</f>
        <v>0</v>
      </c>
      <c r="AG94" s="216">
        <f ca="1">AG86*SUMIFS(INDEX(Сценарии!$AE$25:$BF$109,,MATCH(AG$13,Сценарии!$AE$8:$BF$8,0)),Сценарии!$F$25:$F$109,$F94,Сценарии!$G$25:$G$109,"СВФОТ")/100</f>
        <v>0</v>
      </c>
      <c r="AH94" s="216">
        <f ca="1">AH86*SUMIFS(INDEX(Сценарии!$AE$25:$BF$109,,MATCH(AH$13,Сценарии!$AE$8:$BF$8,0)),Сценарии!$F$25:$F$109,$F94,Сценарии!$G$25:$G$109,"СВФОТ")/100</f>
        <v>0</v>
      </c>
      <c r="AI94" s="216">
        <f ca="1">AI86*SUMIFS(INDEX(Сценарии!$AE$25:$BF$109,,MATCH(AI$13,Сценарии!$AE$8:$BF$8,0)),Сценарии!$F$25:$F$109,$F94,Сценарии!$G$25:$G$109,"СВФОТ")/100</f>
        <v>0</v>
      </c>
      <c r="AJ94" s="216">
        <f ca="1">AJ86*SUMIFS(INDEX(Сценарии!$AE$25:$BF$109,,MATCH(AJ$13,Сценарии!$AE$8:$BF$8,0)),Сценарии!$F$25:$F$109,$F94,Сценарии!$G$25:$G$109,"СВФОТ")/100</f>
        <v>0</v>
      </c>
      <c r="AK94" s="765" t="s">
        <v>1147</v>
      </c>
      <c r="AL94" s="1332"/>
      <c r="AM94" s="1332"/>
      <c r="AN94" s="939" t="s">
        <v>1142</v>
      </c>
      <c r="AO94" s="939"/>
      <c r="AP94" s="939"/>
      <c r="AQ94" s="185"/>
      <c r="AR94" s="185"/>
    </row>
    <row r="95" spans="1:44" s="1088" customFormat="1" ht="14.25" customHeight="1" x14ac:dyDescent="0.15">
      <c r="A95" s="1332"/>
      <c r="B95" s="351"/>
      <c r="C95" s="786"/>
      <c r="D95" s="786"/>
      <c r="E95" s="787">
        <v>15</v>
      </c>
      <c r="F95" s="416" t="str" cm="1">
        <f t="array" ref="F95">X95</f>
        <v>2</v>
      </c>
      <c r="G95" s="758" t="s">
        <v>60</v>
      </c>
      <c r="H95" s="758"/>
      <c r="I95" s="758"/>
      <c r="J95" s="786"/>
      <c r="K95" s="406"/>
      <c r="L95" s="406"/>
      <c r="M95" s="786"/>
      <c r="N95" s="786"/>
      <c r="O95" s="786"/>
      <c r="P95" s="786"/>
      <c r="Q95" s="786"/>
      <c r="R95" s="786"/>
      <c r="S95" s="786"/>
      <c r="T95" s="388" t="b">
        <f>X95&gt;0</f>
        <v>1</v>
      </c>
      <c r="U95" s="786"/>
      <c r="V95" s="786" t="str" cm="1">
        <f t="array" ref="V95">Покупка!$AB$87</f>
        <v>Тариф 2 (Водоотведение) - тариф на водоотведение</v>
      </c>
      <c r="W95" s="786"/>
      <c r="X95" s="2094" t="s">
        <v>289</v>
      </c>
      <c r="Y95" s="786"/>
      <c r="Z95" s="2095"/>
      <c r="AA95" s="786"/>
      <c r="AB95" s="161" t="str" cm="1">
        <f t="array" ref="AB95">Покупка!$AB$87</f>
        <v>Тариф 2 (Водоотведение) - тариф на водоотведение</v>
      </c>
      <c r="AC95" s="788"/>
      <c r="AD95" s="788"/>
      <c r="AE95" s="789">
        <f t="shared" ref="AE95:AJ95" si="3">AE96+AE107+AE108+AE119+AE120+AE128+AE129+AE137</f>
        <v>67739.76866725611</v>
      </c>
      <c r="AF95" s="789">
        <f t="shared" ca="1" si="3"/>
        <v>0</v>
      </c>
      <c r="AG95" s="789">
        <f t="shared" ca="1" si="3"/>
        <v>0</v>
      </c>
      <c r="AH95" s="789">
        <f t="shared" ca="1" si="3"/>
        <v>0</v>
      </c>
      <c r="AI95" s="789">
        <f t="shared" ca="1" si="3"/>
        <v>0</v>
      </c>
      <c r="AJ95" s="789">
        <f t="shared" ca="1" si="3"/>
        <v>0</v>
      </c>
      <c r="AK95" s="789"/>
      <c r="AL95" s="1332"/>
      <c r="AM95" s="1332"/>
      <c r="AN95" s="939"/>
      <c r="AO95" s="939"/>
      <c r="AP95" s="939"/>
      <c r="AQ95" s="185"/>
      <c r="AR95" s="185"/>
    </row>
    <row r="96" spans="1:44" s="1088" customFormat="1" ht="21.95" customHeight="1" x14ac:dyDescent="0.15">
      <c r="A96" s="1332"/>
      <c r="B96" s="351"/>
      <c r="C96" s="786"/>
      <c r="D96" s="786"/>
      <c r="E96" s="787">
        <v>22.5</v>
      </c>
      <c r="F96" s="3" t="str" cm="1">
        <f t="array" aca="1" ref="F96" ca="1">OFFSET(E96,-1,1)</f>
        <v>2</v>
      </c>
      <c r="G96" s="290" t="s">
        <v>1104</v>
      </c>
      <c r="H96" s="758" t="s">
        <v>331</v>
      </c>
      <c r="I96" s="758"/>
      <c r="J96" s="786"/>
      <c r="K96" s="406" t="str">
        <f ca="1">F96&amp;"1komm"</f>
        <v>21komm</v>
      </c>
      <c r="L96" s="830" cm="1">
        <f t="array" ref="L96">AK96</f>
        <v>0</v>
      </c>
      <c r="M96" s="786"/>
      <c r="N96" s="786"/>
      <c r="O96" s="786"/>
      <c r="P96" s="786"/>
      <c r="Q96" s="786"/>
      <c r="R96" s="786"/>
      <c r="S96" s="786"/>
      <c r="T96" s="388" t="b" cm="1">
        <f t="array" ref="T96">T95</f>
        <v>1</v>
      </c>
      <c r="U96" s="786"/>
      <c r="V96" s="786"/>
      <c r="W96" s="786"/>
      <c r="X96" s="2094"/>
      <c r="Y96" s="786"/>
      <c r="Z96" s="2095"/>
      <c r="AA96" s="786"/>
      <c r="AB96" s="613">
        <v>1</v>
      </c>
      <c r="AC96" s="766" t="s">
        <v>1105</v>
      </c>
      <c r="AD96" s="686" t="s">
        <v>831</v>
      </c>
      <c r="AE96" s="216">
        <v>33382.407410239997</v>
      </c>
      <c r="AF96" s="216"/>
      <c r="AG96" s="216"/>
      <c r="AH96" s="216"/>
      <c r="AI96" s="132">
        <f>SUMIFS(AI97:AI106,$AD97:$AD106,$AD96)</f>
        <v>0</v>
      </c>
      <c r="AJ96" s="132">
        <f>SUMIFS(AJ97:AJ106,$AD97:$AD106,$AD96)</f>
        <v>0</v>
      </c>
      <c r="AK96" s="765"/>
      <c r="AL96" s="1332"/>
      <c r="AM96" s="1332"/>
      <c r="AN96" s="939" t="s">
        <v>1106</v>
      </c>
      <c r="AO96" s="939"/>
      <c r="AP96" s="939"/>
      <c r="AQ96" s="185"/>
      <c r="AR96" s="185"/>
    </row>
    <row r="97" spans="1:44" s="1088" customFormat="1" ht="18" hidden="1" customHeight="1" x14ac:dyDescent="0.15">
      <c r="A97" s="1332"/>
      <c r="B97" s="351"/>
      <c r="C97" s="786"/>
      <c r="D97" s="786"/>
      <c r="E97" s="787">
        <v>18.75</v>
      </c>
      <c r="F97" s="3" t="str" cm="1">
        <f t="array" aca="1" ref="F97" ca="1">OFFSET(E97,-1,1)</f>
        <v>2</v>
      </c>
      <c r="G97" s="758"/>
      <c r="H97" s="758" t="s">
        <v>331</v>
      </c>
      <c r="I97" s="758" cm="1">
        <f t="array" ref="I97">AC97</f>
        <v>0</v>
      </c>
      <c r="J97" s="786"/>
      <c r="K97" s="406"/>
      <c r="L97" s="406"/>
      <c r="M97" s="786"/>
      <c r="N97" s="786"/>
      <c r="O97" s="786"/>
      <c r="P97" s="786"/>
      <c r="Q97" s="786"/>
      <c r="R97" s="786"/>
      <c r="S97" s="786"/>
      <c r="T97" s="388" t="b">
        <f ca="1">AND(F97&gt;0,Y97&gt;0)</f>
        <v>0</v>
      </c>
      <c r="U97" s="786"/>
      <c r="V97" s="786"/>
      <c r="W97" s="786" t="s">
        <v>172</v>
      </c>
      <c r="X97" s="2094"/>
      <c r="Y97" s="2094">
        <v>0</v>
      </c>
      <c r="Z97" s="2095"/>
      <c r="AA97" s="2092" t="s">
        <v>173</v>
      </c>
      <c r="AB97" s="218" t="str">
        <f>"1."&amp;Y97</f>
        <v>1.0</v>
      </c>
      <c r="AC97" s="1408"/>
      <c r="AD97" s="686" t="s">
        <v>831</v>
      </c>
      <c r="AE97" s="1409"/>
      <c r="AF97" s="1409"/>
      <c r="AG97" s="1409"/>
      <c r="AH97" s="1409"/>
      <c r="AI97" s="692">
        <f>AI98*AI99*12/1000</f>
        <v>0</v>
      </c>
      <c r="AJ97" s="692">
        <f>AJ98*AJ99*12/1000</f>
        <v>0</v>
      </c>
      <c r="AK97" s="1362"/>
      <c r="AL97" s="1332"/>
      <c r="AM97" s="1332"/>
      <c r="AN97" s="939" t="s">
        <v>1107</v>
      </c>
      <c r="AO97" s="939" t="s">
        <v>1108</v>
      </c>
      <c r="AP97" s="939" cm="1">
        <f t="array" ref="AP97">AC97</f>
        <v>0</v>
      </c>
      <c r="AQ97" s="185"/>
      <c r="AR97" s="185" t="b">
        <v>1</v>
      </c>
    </row>
    <row r="98" spans="1:44" s="1088" customFormat="1" ht="14.25" hidden="1" customHeight="1" x14ac:dyDescent="0.15">
      <c r="A98" s="1332"/>
      <c r="B98" s="351"/>
      <c r="C98" s="786"/>
      <c r="D98" s="786"/>
      <c r="E98" s="787">
        <v>15</v>
      </c>
      <c r="F98" s="3" t="str" cm="1">
        <f t="array" aca="1" ref="F98" ca="1">OFFSET(E98,-1,1)</f>
        <v>2</v>
      </c>
      <c r="G98" s="790" t="s">
        <v>1109</v>
      </c>
      <c r="H98" s="758" t="str">
        <f>H97&amp;"_1"</f>
        <v>l1_1</v>
      </c>
      <c r="I98" s="758" cm="1">
        <f t="array" ref="I98">I97</f>
        <v>0</v>
      </c>
      <c r="J98" s="786"/>
      <c r="K98" s="406"/>
      <c r="L98" s="406"/>
      <c r="M98" s="786"/>
      <c r="N98" s="786"/>
      <c r="O98" s="786"/>
      <c r="P98" s="786"/>
      <c r="Q98" s="786"/>
      <c r="R98" s="786"/>
      <c r="S98" s="786"/>
      <c r="T98" s="388" t="b" cm="1">
        <f t="array" aca="1" ref="T98" ca="1">T97</f>
        <v>0</v>
      </c>
      <c r="U98" s="786"/>
      <c r="V98" s="786"/>
      <c r="W98" s="786"/>
      <c r="X98" s="2094"/>
      <c r="Y98" s="2094"/>
      <c r="Z98" s="2095"/>
      <c r="AA98" s="2092"/>
      <c r="AB98" s="613" t="str">
        <f>AB97&amp;".1"</f>
        <v>1.0.1</v>
      </c>
      <c r="AC98" s="685" t="s">
        <v>1110</v>
      </c>
      <c r="AD98" s="686" t="s">
        <v>1111</v>
      </c>
      <c r="AE98" s="1409"/>
      <c r="AF98" s="1409"/>
      <c r="AG98" s="1409"/>
      <c r="AH98" s="1409"/>
      <c r="AI98" s="216"/>
      <c r="AJ98" s="216"/>
      <c r="AK98" s="1362"/>
      <c r="AL98" s="1332"/>
      <c r="AM98" s="1332"/>
      <c r="AN98" s="939" t="s">
        <v>1112</v>
      </c>
      <c r="AO98" s="939" t="s">
        <v>1108</v>
      </c>
      <c r="AP98" s="939" cm="1">
        <f t="array" ref="AP98">AP97</f>
        <v>0</v>
      </c>
      <c r="AQ98" s="185"/>
      <c r="AR98" s="185"/>
    </row>
    <row r="99" spans="1:44" s="1088" customFormat="1" ht="14.25" hidden="1" customHeight="1" x14ac:dyDescent="0.15">
      <c r="A99" s="1332"/>
      <c r="B99" s="351"/>
      <c r="C99" s="786"/>
      <c r="D99" s="786"/>
      <c r="E99" s="787">
        <v>15</v>
      </c>
      <c r="F99" s="3" t="str" cm="1">
        <f t="array" aca="1" ref="F99" ca="1">OFFSET(E99,-1,1)</f>
        <v>2</v>
      </c>
      <c r="G99" s="758"/>
      <c r="H99" s="758" t="str">
        <f>H97&amp;"_2"</f>
        <v>l1_2</v>
      </c>
      <c r="I99" s="758" cm="1">
        <f t="array" ref="I99">I98</f>
        <v>0</v>
      </c>
      <c r="J99" s="786"/>
      <c r="K99" s="406"/>
      <c r="L99" s="406"/>
      <c r="M99" s="786"/>
      <c r="N99" s="786"/>
      <c r="O99" s="786"/>
      <c r="P99" s="786"/>
      <c r="Q99" s="786"/>
      <c r="R99" s="786"/>
      <c r="S99" s="786"/>
      <c r="T99" s="388" t="b" cm="1">
        <f t="array" aca="1" ref="T99" ca="1">T98</f>
        <v>0</v>
      </c>
      <c r="U99" s="786"/>
      <c r="V99" s="786"/>
      <c r="W99" s="786"/>
      <c r="X99" s="2094"/>
      <c r="Y99" s="2094"/>
      <c r="Z99" s="2095"/>
      <c r="AA99" s="2092"/>
      <c r="AB99" s="613" t="str">
        <f>AB97&amp;".2"</f>
        <v>1.0.2</v>
      </c>
      <c r="AC99" s="685" t="s">
        <v>1113</v>
      </c>
      <c r="AD99" s="686" t="s">
        <v>1114</v>
      </c>
      <c r="AE99" s="1409"/>
      <c r="AF99" s="1409"/>
      <c r="AG99" s="1409"/>
      <c r="AH99" s="1409"/>
      <c r="AI99" s="216"/>
      <c r="AJ99" s="216"/>
      <c r="AK99" s="1362"/>
      <c r="AL99" s="1332"/>
      <c r="AM99" s="1332"/>
      <c r="AN99" s="939" t="s">
        <v>1115</v>
      </c>
      <c r="AO99" s="939" t="s">
        <v>1108</v>
      </c>
      <c r="AP99" s="939" cm="1">
        <f t="array" ref="AP99">AP98</f>
        <v>0</v>
      </c>
      <c r="AQ99" s="185"/>
      <c r="AR99" s="185"/>
    </row>
    <row r="100" spans="1:44" s="1088" customFormat="1" ht="18" customHeight="1" x14ac:dyDescent="0.15">
      <c r="A100" s="1332"/>
      <c r="B100" s="351"/>
      <c r="C100" s="786"/>
      <c r="D100" s="786"/>
      <c r="E100" s="787">
        <v>18.75</v>
      </c>
      <c r="F100" s="3" t="str" cm="1">
        <f t="array" aca="1" ref="F100" ca="1">OFFSET(E100,-1,1)</f>
        <v>2</v>
      </c>
      <c r="G100" s="758"/>
      <c r="H100" s="758" t="s">
        <v>331</v>
      </c>
      <c r="I100" s="758" t="str" cm="1">
        <f t="array" ref="I100">AC100</f>
        <v>цеховый персонал</v>
      </c>
      <c r="J100" s="786"/>
      <c r="K100" s="406"/>
      <c r="L100" s="406"/>
      <c r="M100" s="786"/>
      <c r="N100" s="786"/>
      <c r="O100" s="786"/>
      <c r="P100" s="786"/>
      <c r="Q100" s="786"/>
      <c r="R100" s="786"/>
      <c r="S100" s="786"/>
      <c r="T100" s="388" t="b">
        <f ca="1">AND(F100&gt;0,Y100&gt;0)</f>
        <v>1</v>
      </c>
      <c r="U100" s="786"/>
      <c r="V100" s="786"/>
      <c r="W100" s="786"/>
      <c r="X100" s="2094"/>
      <c r="Y100" s="2094" t="s">
        <v>282</v>
      </c>
      <c r="Z100" s="2095"/>
      <c r="AA100" s="2092" t="s">
        <v>173</v>
      </c>
      <c r="AB100" s="218" t="str">
        <f>"1."&amp;Y100</f>
        <v>1.1</v>
      </c>
      <c r="AC100" s="375" t="s">
        <v>1146</v>
      </c>
      <c r="AD100" s="686" t="s">
        <v>831</v>
      </c>
      <c r="AE100" s="1409"/>
      <c r="AF100" s="1409"/>
      <c r="AG100" s="1409"/>
      <c r="AH100" s="1409"/>
      <c r="AI100" s="692">
        <f>AI101*AI102*12/1000</f>
        <v>0</v>
      </c>
      <c r="AJ100" s="692">
        <f>AJ101*AJ102*12/1000</f>
        <v>0</v>
      </c>
      <c r="AK100" s="765"/>
      <c r="AL100" s="1332"/>
      <c r="AM100" s="1332"/>
      <c r="AN100" s="939" t="s">
        <v>1107</v>
      </c>
      <c r="AO100" s="939" t="s">
        <v>1108</v>
      </c>
      <c r="AP100" s="939" t="str" cm="1">
        <f t="array" ref="AP100">AC100</f>
        <v>цеховый персонал</v>
      </c>
      <c r="AQ100" s="185"/>
      <c r="AR100" s="185" t="b">
        <v>1</v>
      </c>
    </row>
    <row r="101" spans="1:44" s="1088" customFormat="1" ht="44.25" customHeight="1" x14ac:dyDescent="0.15">
      <c r="A101" s="1332"/>
      <c r="B101" s="351"/>
      <c r="C101" s="786"/>
      <c r="D101" s="786"/>
      <c r="E101" s="787">
        <v>15</v>
      </c>
      <c r="F101" s="3" t="str" cm="1">
        <f t="array" aca="1" ref="F101" ca="1">OFFSET(E101,-1,1)</f>
        <v>2</v>
      </c>
      <c r="G101" s="790" t="s">
        <v>1109</v>
      </c>
      <c r="H101" s="758" t="str">
        <f>H100&amp;"_1"</f>
        <v>l1_1</v>
      </c>
      <c r="I101" s="758" t="str" cm="1">
        <f t="array" ref="I101">I100</f>
        <v>цеховый персонал</v>
      </c>
      <c r="J101" s="786"/>
      <c r="K101" s="406"/>
      <c r="L101" s="406"/>
      <c r="M101" s="786"/>
      <c r="N101" s="786"/>
      <c r="O101" s="786"/>
      <c r="P101" s="786"/>
      <c r="Q101" s="786"/>
      <c r="R101" s="786"/>
      <c r="S101" s="786"/>
      <c r="T101" s="388" t="b" cm="1">
        <f t="array" aca="1" ref="T101" ca="1">T100</f>
        <v>1</v>
      </c>
      <c r="U101" s="786"/>
      <c r="V101" s="786"/>
      <c r="W101" s="786"/>
      <c r="X101" s="2094"/>
      <c r="Y101" s="2094"/>
      <c r="Z101" s="2095"/>
      <c r="AA101" s="2092"/>
      <c r="AB101" s="613" t="str">
        <f>AB100&amp;".1"</f>
        <v>1.1.1</v>
      </c>
      <c r="AC101" s="685" t="s">
        <v>1110</v>
      </c>
      <c r="AD101" s="686" t="s">
        <v>1111</v>
      </c>
      <c r="AE101" s="1409"/>
      <c r="AF101" s="1409"/>
      <c r="AG101" s="1409"/>
      <c r="AH101" s="1409"/>
      <c r="AI101" s="216"/>
      <c r="AJ101" s="216"/>
      <c r="AK101" s="765" t="s">
        <v>1144</v>
      </c>
      <c r="AL101" s="1332"/>
      <c r="AM101" s="1332"/>
      <c r="AN101" s="939" t="s">
        <v>1112</v>
      </c>
      <c r="AO101" s="939" t="s">
        <v>1108</v>
      </c>
      <c r="AP101" s="939" t="str" cm="1">
        <f t="array" ref="AP101">AP100</f>
        <v>цеховый персонал</v>
      </c>
      <c r="AQ101" s="185"/>
      <c r="AR101" s="185"/>
    </row>
    <row r="102" spans="1:44" s="1088" customFormat="1" ht="54.75" customHeight="1" x14ac:dyDescent="0.15">
      <c r="A102" s="1332"/>
      <c r="B102" s="351"/>
      <c r="C102" s="786"/>
      <c r="D102" s="786"/>
      <c r="E102" s="787">
        <v>15</v>
      </c>
      <c r="F102" s="3" t="str" cm="1">
        <f t="array" aca="1" ref="F102" ca="1">OFFSET(E102,-1,1)</f>
        <v>2</v>
      </c>
      <c r="G102" s="758"/>
      <c r="H102" s="758" t="str">
        <f>H100&amp;"_2"</f>
        <v>l1_2</v>
      </c>
      <c r="I102" s="758" t="str" cm="1">
        <f t="array" ref="I102">I101</f>
        <v>цеховый персонал</v>
      </c>
      <c r="J102" s="786"/>
      <c r="K102" s="406"/>
      <c r="L102" s="406"/>
      <c r="M102" s="786"/>
      <c r="N102" s="786"/>
      <c r="O102" s="786"/>
      <c r="P102" s="786"/>
      <c r="Q102" s="786"/>
      <c r="R102" s="786"/>
      <c r="S102" s="786"/>
      <c r="T102" s="388" t="b" cm="1">
        <f t="array" aca="1" ref="T102" ca="1">T101</f>
        <v>1</v>
      </c>
      <c r="U102" s="786"/>
      <c r="V102" s="786"/>
      <c r="W102" s="786"/>
      <c r="X102" s="2094"/>
      <c r="Y102" s="2094"/>
      <c r="Z102" s="2095"/>
      <c r="AA102" s="2092"/>
      <c r="AB102" s="613" t="str">
        <f>AB100&amp;".2"</f>
        <v>1.1.2</v>
      </c>
      <c r="AC102" s="685" t="s">
        <v>1113</v>
      </c>
      <c r="AD102" s="686" t="s">
        <v>1114</v>
      </c>
      <c r="AE102" s="1409"/>
      <c r="AF102" s="1409"/>
      <c r="AG102" s="1409"/>
      <c r="AH102" s="1409"/>
      <c r="AI102" s="216"/>
      <c r="AJ102" s="216"/>
      <c r="AK102" s="765" t="s">
        <v>1145</v>
      </c>
      <c r="AL102" s="1332"/>
      <c r="AM102" s="1332"/>
      <c r="AN102" s="939" t="s">
        <v>1115</v>
      </c>
      <c r="AO102" s="939" t="s">
        <v>1108</v>
      </c>
      <c r="AP102" s="939" t="str" cm="1">
        <f t="array" ref="AP102">AP101</f>
        <v>цеховый персонал</v>
      </c>
      <c r="AQ102" s="185"/>
      <c r="AR102" s="185"/>
    </row>
    <row r="103" spans="1:44" s="1088" customFormat="1" ht="18" customHeight="1" x14ac:dyDescent="0.15">
      <c r="A103" s="1332"/>
      <c r="B103" s="351"/>
      <c r="C103" s="786"/>
      <c r="D103" s="786"/>
      <c r="E103" s="787">
        <v>18.75</v>
      </c>
      <c r="F103" s="3" t="str" cm="1">
        <f t="array" aca="1" ref="F103" ca="1">OFFSET(E103,-1,1)</f>
        <v>2</v>
      </c>
      <c r="G103" s="758"/>
      <c r="H103" s="758" t="s">
        <v>331</v>
      </c>
      <c r="I103" s="758" t="str" cm="1">
        <f t="array" ref="I103">AC103</f>
        <v>основной персонала</v>
      </c>
      <c r="J103" s="786"/>
      <c r="K103" s="406"/>
      <c r="L103" s="406"/>
      <c r="M103" s="786"/>
      <c r="N103" s="786"/>
      <c r="O103" s="786"/>
      <c r="P103" s="786"/>
      <c r="Q103" s="786"/>
      <c r="R103" s="786"/>
      <c r="S103" s="786"/>
      <c r="T103" s="388" t="b">
        <f ca="1">AND(F103&gt;0,Y103&gt;0)</f>
        <v>1</v>
      </c>
      <c r="U103" s="786"/>
      <c r="V103" s="786"/>
      <c r="W103" s="786"/>
      <c r="X103" s="2094"/>
      <c r="Y103" s="2094" t="s">
        <v>289</v>
      </c>
      <c r="Z103" s="2095"/>
      <c r="AA103" s="2092" t="s">
        <v>173</v>
      </c>
      <c r="AB103" s="218" t="str">
        <f>"1."&amp;Y103</f>
        <v>1.2</v>
      </c>
      <c r="AC103" s="375" t="s">
        <v>1143</v>
      </c>
      <c r="AD103" s="686" t="s">
        <v>831</v>
      </c>
      <c r="AE103" s="1409"/>
      <c r="AF103" s="1409"/>
      <c r="AG103" s="1409"/>
      <c r="AH103" s="1409"/>
      <c r="AI103" s="692">
        <f>AI104*AI105*12/1000</f>
        <v>0</v>
      </c>
      <c r="AJ103" s="692">
        <f>AJ104*AJ105*12/1000</f>
        <v>0</v>
      </c>
      <c r="AK103" s="765"/>
      <c r="AL103" s="1332"/>
      <c r="AM103" s="1332"/>
      <c r="AN103" s="939" t="s">
        <v>1107</v>
      </c>
      <c r="AO103" s="939" t="s">
        <v>1108</v>
      </c>
      <c r="AP103" s="939" t="str" cm="1">
        <f t="array" ref="AP103">AC103</f>
        <v>основной персонала</v>
      </c>
      <c r="AQ103" s="185"/>
      <c r="AR103" s="185" t="b">
        <v>1</v>
      </c>
    </row>
    <row r="104" spans="1:44" s="1088" customFormat="1" ht="44.25" customHeight="1" x14ac:dyDescent="0.15">
      <c r="A104" s="1332"/>
      <c r="B104" s="351"/>
      <c r="C104" s="786"/>
      <c r="D104" s="786"/>
      <c r="E104" s="787">
        <v>15</v>
      </c>
      <c r="F104" s="3" t="str" cm="1">
        <f t="array" aca="1" ref="F104" ca="1">OFFSET(E104,-1,1)</f>
        <v>2</v>
      </c>
      <c r="G104" s="790" t="s">
        <v>1109</v>
      </c>
      <c r="H104" s="758" t="str">
        <f>H103&amp;"_1"</f>
        <v>l1_1</v>
      </c>
      <c r="I104" s="758" t="str" cm="1">
        <f t="array" ref="I104">I103</f>
        <v>основной персонала</v>
      </c>
      <c r="J104" s="786"/>
      <c r="K104" s="406"/>
      <c r="L104" s="406"/>
      <c r="M104" s="786"/>
      <c r="N104" s="786"/>
      <c r="O104" s="786"/>
      <c r="P104" s="786"/>
      <c r="Q104" s="786"/>
      <c r="R104" s="786"/>
      <c r="S104" s="786"/>
      <c r="T104" s="388" t="b" cm="1">
        <f t="array" aca="1" ref="T104" ca="1">T103</f>
        <v>1</v>
      </c>
      <c r="U104" s="786"/>
      <c r="V104" s="786"/>
      <c r="W104" s="786"/>
      <c r="X104" s="2094"/>
      <c r="Y104" s="2094"/>
      <c r="Z104" s="2095"/>
      <c r="AA104" s="2092"/>
      <c r="AB104" s="613" t="str">
        <f>AB103&amp;".1"</f>
        <v>1.2.1</v>
      </c>
      <c r="AC104" s="685" t="s">
        <v>1110</v>
      </c>
      <c r="AD104" s="686" t="s">
        <v>1111</v>
      </c>
      <c r="AE104" s="1409"/>
      <c r="AF104" s="1409"/>
      <c r="AG104" s="1409"/>
      <c r="AH104" s="1409"/>
      <c r="AI104" s="216"/>
      <c r="AJ104" s="216"/>
      <c r="AK104" s="765" t="s">
        <v>1144</v>
      </c>
      <c r="AL104" s="1332"/>
      <c r="AM104" s="1332"/>
      <c r="AN104" s="939" t="s">
        <v>1112</v>
      </c>
      <c r="AO104" s="939" t="s">
        <v>1108</v>
      </c>
      <c r="AP104" s="939" t="str" cm="1">
        <f t="array" ref="AP104">AP103</f>
        <v>основной персонала</v>
      </c>
      <c r="AQ104" s="185"/>
      <c r="AR104" s="185"/>
    </row>
    <row r="105" spans="1:44" s="1088" customFormat="1" ht="54.75" customHeight="1" x14ac:dyDescent="0.15">
      <c r="A105" s="1332"/>
      <c r="B105" s="351"/>
      <c r="C105" s="786"/>
      <c r="D105" s="786"/>
      <c r="E105" s="787">
        <v>15</v>
      </c>
      <c r="F105" s="3" t="str" cm="1">
        <f t="array" aca="1" ref="F105" ca="1">OFFSET(E105,-1,1)</f>
        <v>2</v>
      </c>
      <c r="G105" s="758"/>
      <c r="H105" s="758" t="str">
        <f>H103&amp;"_2"</f>
        <v>l1_2</v>
      </c>
      <c r="I105" s="758" t="str" cm="1">
        <f t="array" ref="I105">I104</f>
        <v>основной персонала</v>
      </c>
      <c r="J105" s="786"/>
      <c r="K105" s="406"/>
      <c r="L105" s="406"/>
      <c r="M105" s="786"/>
      <c r="N105" s="786"/>
      <c r="O105" s="786"/>
      <c r="P105" s="786"/>
      <c r="Q105" s="786"/>
      <c r="R105" s="786"/>
      <c r="S105" s="786"/>
      <c r="T105" s="388" t="b" cm="1">
        <f t="array" aca="1" ref="T105" ca="1">T104</f>
        <v>1</v>
      </c>
      <c r="U105" s="786"/>
      <c r="V105" s="786"/>
      <c r="W105" s="786"/>
      <c r="X105" s="2094"/>
      <c r="Y105" s="2094"/>
      <c r="Z105" s="2095"/>
      <c r="AA105" s="2092"/>
      <c r="AB105" s="613" t="str">
        <f>AB103&amp;".2"</f>
        <v>1.2.2</v>
      </c>
      <c r="AC105" s="685" t="s">
        <v>1113</v>
      </c>
      <c r="AD105" s="686" t="s">
        <v>1114</v>
      </c>
      <c r="AE105" s="1409"/>
      <c r="AF105" s="1409"/>
      <c r="AG105" s="1409"/>
      <c r="AH105" s="1409"/>
      <c r="AI105" s="216"/>
      <c r="AJ105" s="216"/>
      <c r="AK105" s="765" t="s">
        <v>1145</v>
      </c>
      <c r="AL105" s="1332"/>
      <c r="AM105" s="1332"/>
      <c r="AN105" s="939" t="s">
        <v>1115</v>
      </c>
      <c r="AO105" s="939" t="s">
        <v>1108</v>
      </c>
      <c r="AP105" s="939" t="str" cm="1">
        <f t="array" ref="AP105">AP104</f>
        <v>основной персонала</v>
      </c>
      <c r="AQ105" s="185"/>
      <c r="AR105" s="185"/>
    </row>
    <row r="106" spans="1:44" s="1088" customFormat="1" ht="14.25" customHeight="1" x14ac:dyDescent="0.15">
      <c r="A106" s="1332"/>
      <c r="B106" s="351"/>
      <c r="C106" s="786"/>
      <c r="D106" s="786"/>
      <c r="E106" s="787">
        <v>15</v>
      </c>
      <c r="F106" s="3" t="str" cm="1">
        <f t="array" aca="1" ref="F106" ca="1">OFFSET(E106,-1,1)</f>
        <v>2</v>
      </c>
      <c r="G106" s="290"/>
      <c r="H106" s="758"/>
      <c r="I106" s="71" t="str">
        <f>"!=='не определено' &amp;&amp; row.l1 !== null"</f>
        <v>!=='не определено' &amp;&amp; row.l1 !== null</v>
      </c>
      <c r="J106" s="786"/>
      <c r="K106" s="406"/>
      <c r="L106" s="406"/>
      <c r="M106" s="786"/>
      <c r="N106" s="786"/>
      <c r="O106" s="786"/>
      <c r="P106" s="786"/>
      <c r="Q106" s="786"/>
      <c r="R106" s="786"/>
      <c r="S106" s="786"/>
      <c r="T106" s="388" t="b">
        <f ca="1">F106&gt;0</f>
        <v>1</v>
      </c>
      <c r="U106" s="786"/>
      <c r="V106" s="786"/>
      <c r="W106" s="677" t="s">
        <v>396</v>
      </c>
      <c r="X106" s="2094"/>
      <c r="Y106" s="791"/>
      <c r="Z106" s="2095"/>
      <c r="AA106" s="786"/>
      <c r="AB106" s="792"/>
      <c r="AC106" s="178" t="s">
        <v>176</v>
      </c>
      <c r="AD106" s="696"/>
      <c r="AE106" s="696"/>
      <c r="AF106" s="696"/>
      <c r="AG106" s="696"/>
      <c r="AH106" s="696"/>
      <c r="AI106" s="696"/>
      <c r="AJ106" s="696"/>
      <c r="AK106" s="697"/>
      <c r="AL106" s="1332"/>
      <c r="AM106" s="1332"/>
      <c r="AN106" s="939"/>
      <c r="AO106" s="939"/>
      <c r="AP106" s="939"/>
      <c r="AQ106" s="185" t="s">
        <v>1108</v>
      </c>
      <c r="AR106" s="185"/>
    </row>
    <row r="107" spans="1:44" s="1088" customFormat="1" ht="107.25" customHeight="1" x14ac:dyDescent="0.15">
      <c r="A107" s="1332"/>
      <c r="B107" s="351"/>
      <c r="C107" s="786"/>
      <c r="D107" s="786"/>
      <c r="E107" s="787">
        <v>22.5</v>
      </c>
      <c r="F107" s="3" t="str" cm="1">
        <f t="array" aca="1" ref="F107" ca="1">OFFSET(E107,-1,1)</f>
        <v>2</v>
      </c>
      <c r="G107" s="290" t="s">
        <v>1116</v>
      </c>
      <c r="H107" s="758" t="s">
        <v>332</v>
      </c>
      <c r="I107" s="758"/>
      <c r="J107" s="786"/>
      <c r="K107" s="406" t="str">
        <f ca="1">F107&amp;"2komm"</f>
        <v>22komm</v>
      </c>
      <c r="L107" s="830" t="str" cm="1">
        <f t="array" ref="L107">AK107</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M107" s="786"/>
      <c r="N107" s="786"/>
      <c r="O107" s="786"/>
      <c r="P107" s="786"/>
      <c r="Q107" s="786"/>
      <c r="R107" s="786"/>
      <c r="S107" s="786"/>
      <c r="T107" s="388" t="b" cm="1">
        <f t="array" aca="1" ref="T107" ca="1">T106</f>
        <v>1</v>
      </c>
      <c r="U107" s="786"/>
      <c r="V107" s="786"/>
      <c r="W107" s="786"/>
      <c r="X107" s="2094"/>
      <c r="Y107" s="791"/>
      <c r="Z107" s="2095"/>
      <c r="AA107" s="786"/>
      <c r="AB107" s="613" t="s">
        <v>289</v>
      </c>
      <c r="AC107" s="766" t="s">
        <v>1117</v>
      </c>
      <c r="AD107" s="686" t="s">
        <v>831</v>
      </c>
      <c r="AE107" s="216">
        <v>10081.487037892501</v>
      </c>
      <c r="AF107" s="216">
        <f ca="1">AF96*SUMIFS(INDEX(Сценарии!$AE$25:$BF$109,,MATCH(AF$13,Сценарии!$AE$8:$BF$8,0)),Сценарии!$F$25:$F$109,$F107,Сценарии!$G$25:$G$109,"СВФОТ")/100</f>
        <v>0</v>
      </c>
      <c r="AG107" s="216">
        <f ca="1">AG96*SUMIFS(INDEX(Сценарии!$AE$25:$BF$109,,MATCH(AG$13,Сценарии!$AE$8:$BF$8,0)),Сценарии!$F$25:$F$109,$F107,Сценарии!$G$25:$G$109,"СВФОТ")/100</f>
        <v>0</v>
      </c>
      <c r="AH107" s="216">
        <f ca="1">AH96*SUMIFS(INDEX(Сценарии!$AE$25:$BF$109,,MATCH(AH$13,Сценарии!$AE$8:$BF$8,0)),Сценарии!$F$25:$F$109,$F107,Сценарии!$G$25:$G$109,"СВФОТ")/100</f>
        <v>0</v>
      </c>
      <c r="AI107" s="216">
        <f ca="1">AI96*SUMIFS(INDEX(Сценарии!$AE$25:$BF$109,,MATCH(AI$13,Сценарии!$AE$8:$BF$8,0)),Сценарии!$F$25:$F$109,$F107,Сценарии!$G$25:$G$109,"СВФОТ")/100</f>
        <v>0</v>
      </c>
      <c r="AJ107" s="216">
        <f ca="1">AJ96*SUMIFS(INDEX(Сценарии!$AE$25:$BF$109,,MATCH(AJ$13,Сценарии!$AE$8:$BF$8,0)),Сценарии!$F$25:$F$109,$F107,Сценарии!$G$25:$G$109,"СВФОТ")/100</f>
        <v>0</v>
      </c>
      <c r="AK107" s="765" t="s">
        <v>1147</v>
      </c>
      <c r="AL107" s="1332"/>
      <c r="AM107" s="1332"/>
      <c r="AN107" s="939" t="s">
        <v>1118</v>
      </c>
      <c r="AO107" s="939"/>
      <c r="AP107" s="939"/>
      <c r="AQ107" s="185"/>
      <c r="AR107" s="185"/>
    </row>
    <row r="108" spans="1:44" s="1088" customFormat="1" ht="14.65" customHeight="1" x14ac:dyDescent="0.15">
      <c r="A108" s="1332"/>
      <c r="B108" s="351"/>
      <c r="C108" s="786"/>
      <c r="D108" s="786"/>
      <c r="E108" s="787">
        <v>15</v>
      </c>
      <c r="F108" s="3" t="str" cm="1">
        <f t="array" aca="1" ref="F108" ca="1">OFFSET(E108,-1,1)</f>
        <v>2</v>
      </c>
      <c r="G108" s="290" t="s">
        <v>1119</v>
      </c>
      <c r="H108" s="758" t="s">
        <v>333</v>
      </c>
      <c r="I108" s="758"/>
      <c r="J108" s="786"/>
      <c r="K108" s="406" t="str">
        <f ca="1">F108&amp;"3komm"</f>
        <v>23komm</v>
      </c>
      <c r="L108" s="830" cm="1">
        <f t="array" ref="L108">AK108</f>
        <v>0</v>
      </c>
      <c r="M108" s="786"/>
      <c r="N108" s="786"/>
      <c r="O108" s="786"/>
      <c r="P108" s="786"/>
      <c r="Q108" s="786"/>
      <c r="R108" s="786"/>
      <c r="S108" s="786"/>
      <c r="T108" s="388" t="b" cm="1">
        <f t="array" aca="1" ref="T108" ca="1">T107</f>
        <v>1</v>
      </c>
      <c r="U108" s="786"/>
      <c r="V108" s="786"/>
      <c r="W108" s="786"/>
      <c r="X108" s="2094"/>
      <c r="Y108" s="791"/>
      <c r="Z108" s="2095"/>
      <c r="AA108" s="786"/>
      <c r="AB108" s="613" t="s">
        <v>329</v>
      </c>
      <c r="AC108" s="766" t="s">
        <v>1120</v>
      </c>
      <c r="AD108" s="686" t="s">
        <v>831</v>
      </c>
      <c r="AE108" s="216">
        <v>7290.0342256688</v>
      </c>
      <c r="AF108" s="216"/>
      <c r="AG108" s="216"/>
      <c r="AH108" s="216"/>
      <c r="AI108" s="132">
        <f>SUMIFS(AI109:AI118,$AD109:$AD118,$AD108)</f>
        <v>0</v>
      </c>
      <c r="AJ108" s="132">
        <f>SUMIFS(AJ109:AJ118,$AD109:$AD118,$AD108)</f>
        <v>0</v>
      </c>
      <c r="AK108" s="765"/>
      <c r="AL108" s="1332"/>
      <c r="AM108" s="1332"/>
      <c r="AN108" s="939" t="s">
        <v>1121</v>
      </c>
      <c r="AO108" s="939"/>
      <c r="AP108" s="939"/>
      <c r="AQ108" s="185"/>
      <c r="AR108" s="185"/>
    </row>
    <row r="109" spans="1:44" s="1088" customFormat="1" ht="18" hidden="1" customHeight="1" x14ac:dyDescent="0.15">
      <c r="A109" s="1332"/>
      <c r="B109" s="351"/>
      <c r="C109" s="786"/>
      <c r="D109" s="786"/>
      <c r="E109" s="787">
        <v>18.75</v>
      </c>
      <c r="F109" s="3" t="str" cm="1">
        <f t="array" aca="1" ref="F109" ca="1">OFFSET(E109,-1,1)</f>
        <v>2</v>
      </c>
      <c r="G109" s="758"/>
      <c r="H109" s="758" t="s">
        <v>333</v>
      </c>
      <c r="I109" s="758" cm="1">
        <f t="array" ref="I109">AC109</f>
        <v>0</v>
      </c>
      <c r="J109" s="786"/>
      <c r="K109" s="406"/>
      <c r="L109" s="406"/>
      <c r="M109" s="786"/>
      <c r="N109" s="786"/>
      <c r="O109" s="786"/>
      <c r="P109" s="786"/>
      <c r="Q109" s="786"/>
      <c r="R109" s="786"/>
      <c r="S109" s="786"/>
      <c r="T109" s="388" t="b">
        <f ca="1">AND(F109&gt;0,Y109&gt;0)</f>
        <v>0</v>
      </c>
      <c r="U109" s="786"/>
      <c r="V109" s="786"/>
      <c r="W109" s="786" t="s">
        <v>172</v>
      </c>
      <c r="X109" s="2094"/>
      <c r="Y109" s="2094">
        <v>0</v>
      </c>
      <c r="Z109" s="2095"/>
      <c r="AA109" s="2092" t="s">
        <v>173</v>
      </c>
      <c r="AB109" s="218" t="str">
        <f>"3."&amp;Y109</f>
        <v>3.0</v>
      </c>
      <c r="AC109" s="1408"/>
      <c r="AD109" s="686" t="s">
        <v>831</v>
      </c>
      <c r="AE109" s="1409"/>
      <c r="AF109" s="1409"/>
      <c r="AG109" s="1409"/>
      <c r="AH109" s="1409"/>
      <c r="AI109" s="692">
        <f>AI110*AI111*12/1000</f>
        <v>0</v>
      </c>
      <c r="AJ109" s="692">
        <f>AJ110*AJ111*12/1000</f>
        <v>0</v>
      </c>
      <c r="AK109" s="1362"/>
      <c r="AL109" s="1332"/>
      <c r="AM109" s="1332"/>
      <c r="AN109" s="939" t="s">
        <v>1107</v>
      </c>
      <c r="AO109" s="939" t="s">
        <v>1122</v>
      </c>
      <c r="AP109" s="939" cm="1">
        <f t="array" ref="AP109">AC109</f>
        <v>0</v>
      </c>
      <c r="AQ109" s="185"/>
      <c r="AR109" s="185" t="b">
        <v>1</v>
      </c>
    </row>
    <row r="110" spans="1:44" s="1088" customFormat="1" ht="14.25" hidden="1" customHeight="1" x14ac:dyDescent="0.15">
      <c r="A110" s="1332"/>
      <c r="B110" s="351"/>
      <c r="C110" s="786"/>
      <c r="D110" s="786"/>
      <c r="E110" s="787">
        <v>15</v>
      </c>
      <c r="F110" s="3" t="str" cm="1">
        <f t="array" aca="1" ref="F110" ca="1">OFFSET(E110,-1,1)</f>
        <v>2</v>
      </c>
      <c r="G110" s="790" t="s">
        <v>1123</v>
      </c>
      <c r="H110" s="758" t="str">
        <f>H109&amp;"_1"</f>
        <v>l3_1</v>
      </c>
      <c r="I110" s="758" cm="1">
        <f t="array" ref="I110">I109</f>
        <v>0</v>
      </c>
      <c r="J110" s="786"/>
      <c r="K110" s="406"/>
      <c r="L110" s="406"/>
      <c r="M110" s="786"/>
      <c r="N110" s="786"/>
      <c r="O110" s="786"/>
      <c r="P110" s="786"/>
      <c r="Q110" s="786"/>
      <c r="R110" s="786"/>
      <c r="S110" s="786"/>
      <c r="T110" s="388" t="b" cm="1">
        <f t="array" aca="1" ref="T110" ca="1">T109</f>
        <v>0</v>
      </c>
      <c r="U110" s="786"/>
      <c r="V110" s="786"/>
      <c r="W110" s="786"/>
      <c r="X110" s="2094"/>
      <c r="Y110" s="2094"/>
      <c r="Z110" s="2095"/>
      <c r="AA110" s="2092"/>
      <c r="AB110" s="613" t="str">
        <f>AB109&amp;".1"</f>
        <v>3.0.1</v>
      </c>
      <c r="AC110" s="685" t="s">
        <v>1110</v>
      </c>
      <c r="AD110" s="686" t="s">
        <v>1111</v>
      </c>
      <c r="AE110" s="1409"/>
      <c r="AF110" s="1409"/>
      <c r="AG110" s="1409"/>
      <c r="AH110" s="1409"/>
      <c r="AI110" s="216"/>
      <c r="AJ110" s="216"/>
      <c r="AK110" s="1362"/>
      <c r="AL110" s="1332"/>
      <c r="AM110" s="1332"/>
      <c r="AN110" s="939" t="s">
        <v>1112</v>
      </c>
      <c r="AO110" s="939" t="s">
        <v>1122</v>
      </c>
      <c r="AP110" s="939" cm="1">
        <f t="array" ref="AP110">AP109</f>
        <v>0</v>
      </c>
      <c r="AQ110" s="185"/>
      <c r="AR110" s="185"/>
    </row>
    <row r="111" spans="1:44" s="1088" customFormat="1" ht="14.25" hidden="1" customHeight="1" x14ac:dyDescent="0.15">
      <c r="A111" s="1332"/>
      <c r="B111" s="351"/>
      <c r="C111" s="786"/>
      <c r="D111" s="786"/>
      <c r="E111" s="787">
        <v>15</v>
      </c>
      <c r="F111" s="3" t="str" cm="1">
        <f t="array" aca="1" ref="F111" ca="1">OFFSET(E111,-1,1)</f>
        <v>2</v>
      </c>
      <c r="G111" s="758"/>
      <c r="H111" s="758" t="str">
        <f>H109&amp;"_2"</f>
        <v>l3_2</v>
      </c>
      <c r="I111" s="758" cm="1">
        <f t="array" ref="I111">I110</f>
        <v>0</v>
      </c>
      <c r="J111" s="786"/>
      <c r="K111" s="406"/>
      <c r="L111" s="406"/>
      <c r="M111" s="786"/>
      <c r="N111" s="786"/>
      <c r="O111" s="786"/>
      <c r="P111" s="786"/>
      <c r="Q111" s="786"/>
      <c r="R111" s="786"/>
      <c r="S111" s="786"/>
      <c r="T111" s="388" t="b" cm="1">
        <f t="array" aca="1" ref="T111" ca="1">T110</f>
        <v>0</v>
      </c>
      <c r="U111" s="786"/>
      <c r="V111" s="786"/>
      <c r="W111" s="786"/>
      <c r="X111" s="2094"/>
      <c r="Y111" s="2094"/>
      <c r="Z111" s="2095"/>
      <c r="AA111" s="2092"/>
      <c r="AB111" s="613" t="str">
        <f>AB109&amp;".2"</f>
        <v>3.0.2</v>
      </c>
      <c r="AC111" s="685" t="s">
        <v>1113</v>
      </c>
      <c r="AD111" s="686" t="s">
        <v>1114</v>
      </c>
      <c r="AE111" s="1409"/>
      <c r="AF111" s="1409"/>
      <c r="AG111" s="1409"/>
      <c r="AH111" s="1409"/>
      <c r="AI111" s="216"/>
      <c r="AJ111" s="216"/>
      <c r="AK111" s="1362"/>
      <c r="AL111" s="1332"/>
      <c r="AM111" s="1332"/>
      <c r="AN111" s="939" t="s">
        <v>1115</v>
      </c>
      <c r="AO111" s="939" t="s">
        <v>1122</v>
      </c>
      <c r="AP111" s="939" cm="1">
        <f t="array" ref="AP111">AP110</f>
        <v>0</v>
      </c>
      <c r="AQ111" s="185"/>
      <c r="AR111" s="185"/>
    </row>
    <row r="112" spans="1:44" s="1088" customFormat="1" ht="18" customHeight="1" x14ac:dyDescent="0.15">
      <c r="A112" s="1332"/>
      <c r="B112" s="351"/>
      <c r="C112" s="786"/>
      <c r="D112" s="786"/>
      <c r="E112" s="787">
        <v>18.75</v>
      </c>
      <c r="F112" s="3" t="str" cm="1">
        <f t="array" aca="1" ref="F112" ca="1">OFFSET(E112,-1,1)</f>
        <v>2</v>
      </c>
      <c r="G112" s="758"/>
      <c r="H112" s="758" t="s">
        <v>333</v>
      </c>
      <c r="I112" s="758" t="str" cm="1">
        <f t="array" ref="I112">AC112</f>
        <v>АВР</v>
      </c>
      <c r="J112" s="786"/>
      <c r="K112" s="406"/>
      <c r="L112" s="406"/>
      <c r="M112" s="786"/>
      <c r="N112" s="786"/>
      <c r="O112" s="786"/>
      <c r="P112" s="786"/>
      <c r="Q112" s="786"/>
      <c r="R112" s="786"/>
      <c r="S112" s="786"/>
      <c r="T112" s="388" t="b">
        <f ca="1">AND(F112&gt;0,Y112&gt;0)</f>
        <v>1</v>
      </c>
      <c r="U112" s="786"/>
      <c r="V112" s="786"/>
      <c r="W112" s="786"/>
      <c r="X112" s="2094"/>
      <c r="Y112" s="2094" t="s">
        <v>282</v>
      </c>
      <c r="Z112" s="2095"/>
      <c r="AA112" s="2092" t="s">
        <v>173</v>
      </c>
      <c r="AB112" s="218" t="str">
        <f>"3."&amp;Y112</f>
        <v>3.1</v>
      </c>
      <c r="AC112" s="375" t="s">
        <v>1148</v>
      </c>
      <c r="AD112" s="686" t="s">
        <v>831</v>
      </c>
      <c r="AE112" s="1409"/>
      <c r="AF112" s="1409"/>
      <c r="AG112" s="1409"/>
      <c r="AH112" s="1409"/>
      <c r="AI112" s="692">
        <f>AI113*AI114*12/1000</f>
        <v>0</v>
      </c>
      <c r="AJ112" s="692">
        <f>AJ113*AJ114*12/1000</f>
        <v>0</v>
      </c>
      <c r="AK112" s="765"/>
      <c r="AL112" s="1332"/>
      <c r="AM112" s="1332"/>
      <c r="AN112" s="939" t="s">
        <v>1107</v>
      </c>
      <c r="AO112" s="939" t="s">
        <v>1122</v>
      </c>
      <c r="AP112" s="939" t="str" cm="1">
        <f t="array" ref="AP112">AC112</f>
        <v>АВР</v>
      </c>
      <c r="AQ112" s="185"/>
      <c r="AR112" s="185" t="b">
        <v>1</v>
      </c>
    </row>
    <row r="113" spans="1:44" s="1088" customFormat="1" ht="44.25" customHeight="1" x14ac:dyDescent="0.15">
      <c r="A113" s="1332"/>
      <c r="B113" s="351"/>
      <c r="C113" s="786"/>
      <c r="D113" s="786"/>
      <c r="E113" s="787">
        <v>15</v>
      </c>
      <c r="F113" s="3" t="str" cm="1">
        <f t="array" aca="1" ref="F113" ca="1">OFFSET(E113,-1,1)</f>
        <v>2</v>
      </c>
      <c r="G113" s="790" t="s">
        <v>1123</v>
      </c>
      <c r="H113" s="758" t="str">
        <f>H112&amp;"_1"</f>
        <v>l3_1</v>
      </c>
      <c r="I113" s="758" t="str" cm="1">
        <f t="array" ref="I113">I112</f>
        <v>АВР</v>
      </c>
      <c r="J113" s="786"/>
      <c r="K113" s="406"/>
      <c r="L113" s="406"/>
      <c r="M113" s="786"/>
      <c r="N113" s="786"/>
      <c r="O113" s="786"/>
      <c r="P113" s="786"/>
      <c r="Q113" s="786"/>
      <c r="R113" s="786"/>
      <c r="S113" s="786"/>
      <c r="T113" s="388" t="b" cm="1">
        <f t="array" aca="1" ref="T113" ca="1">T112</f>
        <v>1</v>
      </c>
      <c r="U113" s="786"/>
      <c r="V113" s="786"/>
      <c r="W113" s="786"/>
      <c r="X113" s="2094"/>
      <c r="Y113" s="2094"/>
      <c r="Z113" s="2095"/>
      <c r="AA113" s="2092"/>
      <c r="AB113" s="613" t="str">
        <f>AB112&amp;".1"</f>
        <v>3.1.1</v>
      </c>
      <c r="AC113" s="685" t="s">
        <v>1110</v>
      </c>
      <c r="AD113" s="686" t="s">
        <v>1111</v>
      </c>
      <c r="AE113" s="1409"/>
      <c r="AF113" s="1409"/>
      <c r="AG113" s="1409"/>
      <c r="AH113" s="1409"/>
      <c r="AI113" s="216"/>
      <c r="AJ113" s="216"/>
      <c r="AK113" s="765" t="s">
        <v>1144</v>
      </c>
      <c r="AL113" s="1332"/>
      <c r="AM113" s="1332"/>
      <c r="AN113" s="939" t="s">
        <v>1112</v>
      </c>
      <c r="AO113" s="939" t="s">
        <v>1122</v>
      </c>
      <c r="AP113" s="939" t="str" cm="1">
        <f t="array" ref="AP113">AP112</f>
        <v>АВР</v>
      </c>
      <c r="AQ113" s="185"/>
      <c r="AR113" s="185"/>
    </row>
    <row r="114" spans="1:44" s="1088" customFormat="1" ht="54.75" customHeight="1" x14ac:dyDescent="0.15">
      <c r="A114" s="1332"/>
      <c r="B114" s="351"/>
      <c r="C114" s="786"/>
      <c r="D114" s="786"/>
      <c r="E114" s="787">
        <v>15</v>
      </c>
      <c r="F114" s="3" t="str" cm="1">
        <f t="array" aca="1" ref="F114" ca="1">OFFSET(E114,-1,1)</f>
        <v>2</v>
      </c>
      <c r="G114" s="758"/>
      <c r="H114" s="758" t="str">
        <f>H112&amp;"_2"</f>
        <v>l3_2</v>
      </c>
      <c r="I114" s="758" t="str" cm="1">
        <f t="array" ref="I114">I113</f>
        <v>АВР</v>
      </c>
      <c r="J114" s="786"/>
      <c r="K114" s="406"/>
      <c r="L114" s="406"/>
      <c r="M114" s="786"/>
      <c r="N114" s="786"/>
      <c r="O114" s="786"/>
      <c r="P114" s="786"/>
      <c r="Q114" s="786"/>
      <c r="R114" s="786"/>
      <c r="S114" s="786"/>
      <c r="T114" s="388" t="b" cm="1">
        <f t="array" aca="1" ref="T114" ca="1">T113</f>
        <v>1</v>
      </c>
      <c r="U114" s="786"/>
      <c r="V114" s="786"/>
      <c r="W114" s="786"/>
      <c r="X114" s="2094"/>
      <c r="Y114" s="2094"/>
      <c r="Z114" s="2095"/>
      <c r="AA114" s="2092"/>
      <c r="AB114" s="613" t="str">
        <f>AB112&amp;".2"</f>
        <v>3.1.2</v>
      </c>
      <c r="AC114" s="685" t="s">
        <v>1113</v>
      </c>
      <c r="AD114" s="686" t="s">
        <v>1114</v>
      </c>
      <c r="AE114" s="1409"/>
      <c r="AF114" s="1409"/>
      <c r="AG114" s="1409"/>
      <c r="AH114" s="1409"/>
      <c r="AI114" s="216"/>
      <c r="AJ114" s="216"/>
      <c r="AK114" s="765" t="s">
        <v>1145</v>
      </c>
      <c r="AL114" s="1332"/>
      <c r="AM114" s="1332"/>
      <c r="AN114" s="939" t="s">
        <v>1115</v>
      </c>
      <c r="AO114" s="939" t="s">
        <v>1122</v>
      </c>
      <c r="AP114" s="939" t="str" cm="1">
        <f t="array" ref="AP114">AP113</f>
        <v>АВР</v>
      </c>
      <c r="AQ114" s="185"/>
      <c r="AR114" s="185"/>
    </row>
    <row r="115" spans="1:44" s="1088" customFormat="1" ht="18" customHeight="1" x14ac:dyDescent="0.15">
      <c r="A115" s="1332"/>
      <c r="B115" s="351"/>
      <c r="C115" s="786"/>
      <c r="D115" s="786"/>
      <c r="E115" s="787">
        <v>18.75</v>
      </c>
      <c r="F115" s="3" t="str" cm="1">
        <f t="array" aca="1" ref="F115" ca="1">OFFSET(E115,-1,1)</f>
        <v>2</v>
      </c>
      <c r="G115" s="758"/>
      <c r="H115" s="758" t="s">
        <v>333</v>
      </c>
      <c r="I115" s="758" t="str" cm="1">
        <f t="array" ref="I115">AC115</f>
        <v>Ремонтный персонал</v>
      </c>
      <c r="J115" s="786"/>
      <c r="K115" s="406"/>
      <c r="L115" s="406"/>
      <c r="M115" s="786"/>
      <c r="N115" s="786"/>
      <c r="O115" s="786"/>
      <c r="P115" s="786"/>
      <c r="Q115" s="786"/>
      <c r="R115" s="786"/>
      <c r="S115" s="786"/>
      <c r="T115" s="388" t="b">
        <f ca="1">AND(F115&gt;0,Y115&gt;0)</f>
        <v>1</v>
      </c>
      <c r="U115" s="786"/>
      <c r="V115" s="786"/>
      <c r="W115" s="786"/>
      <c r="X115" s="2094"/>
      <c r="Y115" s="2094" t="s">
        <v>289</v>
      </c>
      <c r="Z115" s="2095"/>
      <c r="AA115" s="2092" t="s">
        <v>173</v>
      </c>
      <c r="AB115" s="218" t="str">
        <f>"3."&amp;Y115</f>
        <v>3.2</v>
      </c>
      <c r="AC115" s="375" t="s">
        <v>1149</v>
      </c>
      <c r="AD115" s="686" t="s">
        <v>831</v>
      </c>
      <c r="AE115" s="1409"/>
      <c r="AF115" s="1409"/>
      <c r="AG115" s="1409"/>
      <c r="AH115" s="1409"/>
      <c r="AI115" s="692">
        <f>AI116*AI117*12/1000</f>
        <v>0</v>
      </c>
      <c r="AJ115" s="692">
        <f>AJ116*AJ117*12/1000</f>
        <v>0</v>
      </c>
      <c r="AK115" s="765"/>
      <c r="AL115" s="1332"/>
      <c r="AM115" s="1332"/>
      <c r="AN115" s="939" t="s">
        <v>1107</v>
      </c>
      <c r="AO115" s="939" t="s">
        <v>1122</v>
      </c>
      <c r="AP115" s="939" t="str" cm="1">
        <f t="array" ref="AP115">AC115</f>
        <v>Ремонтный персонал</v>
      </c>
      <c r="AQ115" s="185"/>
      <c r="AR115" s="185" t="b">
        <v>1</v>
      </c>
    </row>
    <row r="116" spans="1:44" s="1088" customFormat="1" ht="44.25" customHeight="1" x14ac:dyDescent="0.15">
      <c r="A116" s="1332"/>
      <c r="B116" s="351"/>
      <c r="C116" s="786"/>
      <c r="D116" s="786"/>
      <c r="E116" s="787">
        <v>15</v>
      </c>
      <c r="F116" s="3" t="str" cm="1">
        <f t="array" aca="1" ref="F116" ca="1">OFFSET(E116,-1,1)</f>
        <v>2</v>
      </c>
      <c r="G116" s="790" t="s">
        <v>1123</v>
      </c>
      <c r="H116" s="758" t="str">
        <f>H115&amp;"_1"</f>
        <v>l3_1</v>
      </c>
      <c r="I116" s="758" t="str" cm="1">
        <f t="array" ref="I116">I115</f>
        <v>Ремонтный персонал</v>
      </c>
      <c r="J116" s="786"/>
      <c r="K116" s="406"/>
      <c r="L116" s="406"/>
      <c r="M116" s="786"/>
      <c r="N116" s="786"/>
      <c r="O116" s="786"/>
      <c r="P116" s="786"/>
      <c r="Q116" s="786"/>
      <c r="R116" s="786"/>
      <c r="S116" s="786"/>
      <c r="T116" s="388" t="b" cm="1">
        <f t="array" aca="1" ref="T116" ca="1">T115</f>
        <v>1</v>
      </c>
      <c r="U116" s="786"/>
      <c r="V116" s="786"/>
      <c r="W116" s="786"/>
      <c r="X116" s="2094"/>
      <c r="Y116" s="2094"/>
      <c r="Z116" s="2095"/>
      <c r="AA116" s="2092"/>
      <c r="AB116" s="613" t="str">
        <f>AB115&amp;".1"</f>
        <v>3.2.1</v>
      </c>
      <c r="AC116" s="685" t="s">
        <v>1110</v>
      </c>
      <c r="AD116" s="686" t="s">
        <v>1111</v>
      </c>
      <c r="AE116" s="1409"/>
      <c r="AF116" s="1409"/>
      <c r="AG116" s="1409"/>
      <c r="AH116" s="1409"/>
      <c r="AI116" s="216"/>
      <c r="AJ116" s="216"/>
      <c r="AK116" s="765" t="s">
        <v>1144</v>
      </c>
      <c r="AL116" s="1332"/>
      <c r="AM116" s="1332"/>
      <c r="AN116" s="939" t="s">
        <v>1112</v>
      </c>
      <c r="AO116" s="939" t="s">
        <v>1122</v>
      </c>
      <c r="AP116" s="939" t="str" cm="1">
        <f t="array" ref="AP116">AP115</f>
        <v>Ремонтный персонал</v>
      </c>
      <c r="AQ116" s="185"/>
      <c r="AR116" s="185"/>
    </row>
    <row r="117" spans="1:44" s="1088" customFormat="1" ht="54.75" customHeight="1" x14ac:dyDescent="0.15">
      <c r="A117" s="1332"/>
      <c r="B117" s="351"/>
      <c r="C117" s="786"/>
      <c r="D117" s="786"/>
      <c r="E117" s="787">
        <v>15</v>
      </c>
      <c r="F117" s="3" t="str" cm="1">
        <f t="array" aca="1" ref="F117" ca="1">OFFSET(E117,-1,1)</f>
        <v>2</v>
      </c>
      <c r="G117" s="758"/>
      <c r="H117" s="758" t="str">
        <f>H115&amp;"_2"</f>
        <v>l3_2</v>
      </c>
      <c r="I117" s="758" t="str" cm="1">
        <f t="array" ref="I117">I116</f>
        <v>Ремонтный персонал</v>
      </c>
      <c r="J117" s="786"/>
      <c r="K117" s="406"/>
      <c r="L117" s="406"/>
      <c r="M117" s="786"/>
      <c r="N117" s="786"/>
      <c r="O117" s="786"/>
      <c r="P117" s="786"/>
      <c r="Q117" s="786"/>
      <c r="R117" s="786"/>
      <c r="S117" s="786"/>
      <c r="T117" s="388" t="b" cm="1">
        <f t="array" aca="1" ref="T117" ca="1">T116</f>
        <v>1</v>
      </c>
      <c r="U117" s="786"/>
      <c r="V117" s="786"/>
      <c r="W117" s="786"/>
      <c r="X117" s="2094"/>
      <c r="Y117" s="2094"/>
      <c r="Z117" s="2095"/>
      <c r="AA117" s="2092"/>
      <c r="AB117" s="613" t="str">
        <f>AB115&amp;".2"</f>
        <v>3.2.2</v>
      </c>
      <c r="AC117" s="685" t="s">
        <v>1113</v>
      </c>
      <c r="AD117" s="686" t="s">
        <v>1114</v>
      </c>
      <c r="AE117" s="1409"/>
      <c r="AF117" s="1409"/>
      <c r="AG117" s="1409"/>
      <c r="AH117" s="1409"/>
      <c r="AI117" s="216"/>
      <c r="AJ117" s="216"/>
      <c r="AK117" s="765" t="s">
        <v>1145</v>
      </c>
      <c r="AL117" s="1332"/>
      <c r="AM117" s="1332"/>
      <c r="AN117" s="939" t="s">
        <v>1115</v>
      </c>
      <c r="AO117" s="939" t="s">
        <v>1122</v>
      </c>
      <c r="AP117" s="939" t="str" cm="1">
        <f t="array" ref="AP117">AP116</f>
        <v>Ремонтный персонал</v>
      </c>
      <c r="AQ117" s="185"/>
      <c r="AR117" s="185"/>
    </row>
    <row r="118" spans="1:44" s="1088" customFormat="1" ht="14.25" customHeight="1" x14ac:dyDescent="0.15">
      <c r="A118" s="1332"/>
      <c r="B118" s="351"/>
      <c r="C118" s="786"/>
      <c r="D118" s="786"/>
      <c r="E118" s="787">
        <v>15</v>
      </c>
      <c r="F118" s="3" t="str" cm="1">
        <f t="array" aca="1" ref="F118" ca="1">OFFSET(E118,-1,1)</f>
        <v>2</v>
      </c>
      <c r="G118" s="290"/>
      <c r="H118" s="758"/>
      <c r="I118" s="71" t="str">
        <f>"!=='не определено' &amp;&amp; row.l3 !== null"</f>
        <v>!=='не определено' &amp;&amp; row.l3 !== null</v>
      </c>
      <c r="J118" s="786"/>
      <c r="K118" s="406"/>
      <c r="L118" s="406"/>
      <c r="M118" s="786"/>
      <c r="N118" s="786"/>
      <c r="O118" s="786"/>
      <c r="P118" s="786"/>
      <c r="Q118" s="786"/>
      <c r="R118" s="786"/>
      <c r="S118" s="786"/>
      <c r="T118" s="388" t="b">
        <f ca="1">F118&gt;0</f>
        <v>1</v>
      </c>
      <c r="U118" s="786"/>
      <c r="V118" s="786"/>
      <c r="W118" s="677" t="s">
        <v>894</v>
      </c>
      <c r="X118" s="2094"/>
      <c r="Y118" s="791"/>
      <c r="Z118" s="2095"/>
      <c r="AA118" s="786"/>
      <c r="AB118" s="792"/>
      <c r="AC118" s="178" t="s">
        <v>176</v>
      </c>
      <c r="AD118" s="696"/>
      <c r="AE118" s="696"/>
      <c r="AF118" s="696"/>
      <c r="AG118" s="696"/>
      <c r="AH118" s="696"/>
      <c r="AI118" s="696"/>
      <c r="AJ118" s="696"/>
      <c r="AK118" s="697"/>
      <c r="AL118" s="1332"/>
      <c r="AM118" s="1332"/>
      <c r="AN118" s="939"/>
      <c r="AO118" s="939"/>
      <c r="AP118" s="939"/>
      <c r="AQ118" s="185" t="s">
        <v>1122</v>
      </c>
      <c r="AR118" s="185"/>
    </row>
    <row r="119" spans="1:44" s="1088" customFormat="1" ht="107.25" customHeight="1" x14ac:dyDescent="0.15">
      <c r="A119" s="1332"/>
      <c r="B119" s="351"/>
      <c r="C119" s="786"/>
      <c r="D119" s="786"/>
      <c r="E119" s="787">
        <v>22.5</v>
      </c>
      <c r="F119" s="3" t="str" cm="1">
        <f t="array" aca="1" ref="F119" ca="1">OFFSET(E119,-1,1)</f>
        <v>2</v>
      </c>
      <c r="G119" s="290" t="s">
        <v>1124</v>
      </c>
      <c r="H119" s="758" t="s">
        <v>335</v>
      </c>
      <c r="I119" s="758"/>
      <c r="J119" s="786"/>
      <c r="K119" s="406" t="str">
        <f ca="1">F119&amp;"4komm"</f>
        <v>24komm</v>
      </c>
      <c r="L119" s="830" t="str" cm="1">
        <f t="array" ref="L119">AK119</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M119" s="786"/>
      <c r="N119" s="786"/>
      <c r="O119" s="786"/>
      <c r="P119" s="786"/>
      <c r="Q119" s="786"/>
      <c r="R119" s="786"/>
      <c r="S119" s="786"/>
      <c r="T119" s="388" t="b" cm="1">
        <f t="array" aca="1" ref="T119" ca="1">T118</f>
        <v>1</v>
      </c>
      <c r="U119" s="786"/>
      <c r="V119" s="786"/>
      <c r="W119" s="786"/>
      <c r="X119" s="2094"/>
      <c r="Y119" s="791"/>
      <c r="Z119" s="2095"/>
      <c r="AA119" s="786"/>
      <c r="AB119" s="613" t="s">
        <v>441</v>
      </c>
      <c r="AC119" s="766" t="s">
        <v>1125</v>
      </c>
      <c r="AD119" s="686" t="s">
        <v>831</v>
      </c>
      <c r="AE119" s="216">
        <v>2201.590336152</v>
      </c>
      <c r="AF119" s="216">
        <f ca="1">AF108*SUMIFS(INDEX(Сценарии!$AE$25:$BF$109,,MATCH(AF$13,Сценарии!$AE$8:$BF$8,0)),Сценарии!$F$25:$F$109,$F119,Сценарии!$G$25:$G$109,"СВФОТ")/100</f>
        <v>0</v>
      </c>
      <c r="AG119" s="216">
        <f ca="1">AG108*SUMIFS(INDEX(Сценарии!$AE$25:$BF$109,,MATCH(AG$13,Сценарии!$AE$8:$BF$8,0)),Сценарии!$F$25:$F$109,$F119,Сценарии!$G$25:$G$109,"СВФОТ")/100</f>
        <v>0</v>
      </c>
      <c r="AH119" s="216">
        <f ca="1">AH108*SUMIFS(INDEX(Сценарии!$AE$25:$BF$109,,MATCH(AH$13,Сценарии!$AE$8:$BF$8,0)),Сценарии!$F$25:$F$109,$F119,Сценарии!$G$25:$G$109,"СВФОТ")/100</f>
        <v>0</v>
      </c>
      <c r="AI119" s="216">
        <f ca="1">AI108*SUMIFS(INDEX(Сценарии!$AE$25:$BF$109,,MATCH(AI$13,Сценарии!$AE$8:$BF$8,0)),Сценарии!$F$25:$F$109,$F119,Сценарии!$G$25:$G$109,"СВФОТ")/100</f>
        <v>0</v>
      </c>
      <c r="AJ119" s="216">
        <f ca="1">AJ108*SUMIFS(INDEX(Сценарии!$AE$25:$BF$109,,MATCH(AJ$13,Сценарии!$AE$8:$BF$8,0)),Сценарии!$F$25:$F$109,$F119,Сценарии!$G$25:$G$109,"СВФОТ")/100</f>
        <v>0</v>
      </c>
      <c r="AK119" s="765" t="s">
        <v>1147</v>
      </c>
      <c r="AL119" s="1332"/>
      <c r="AM119" s="1332"/>
      <c r="AN119" s="939" t="s">
        <v>1126</v>
      </c>
      <c r="AO119" s="939"/>
      <c r="AP119" s="939"/>
      <c r="AQ119" s="185"/>
      <c r="AR119" s="185"/>
    </row>
    <row r="120" spans="1:44" s="1088" customFormat="1" ht="23.25" customHeight="1" x14ac:dyDescent="0.15">
      <c r="A120" s="1332"/>
      <c r="B120" s="351"/>
      <c r="C120" s="786"/>
      <c r="D120" s="786"/>
      <c r="E120" s="787">
        <v>22.5</v>
      </c>
      <c r="F120" s="3" t="str" cm="1">
        <f t="array" aca="1" ref="F120" ca="1">OFFSET(E120,-1,1)</f>
        <v>2</v>
      </c>
      <c r="G120" s="290" t="s">
        <v>1127</v>
      </c>
      <c r="H120" s="758" t="s">
        <v>334</v>
      </c>
      <c r="I120" s="758"/>
      <c r="J120" s="786"/>
      <c r="K120" s="406" t="str">
        <f ca="1">F120&amp;"5komm"</f>
        <v>25komm</v>
      </c>
      <c r="L120" s="830" cm="1">
        <f t="array" ref="L120">AK120</f>
        <v>0</v>
      </c>
      <c r="M120" s="786"/>
      <c r="N120" s="786"/>
      <c r="O120" s="786"/>
      <c r="P120" s="786"/>
      <c r="Q120" s="786"/>
      <c r="R120" s="786"/>
      <c r="S120" s="786"/>
      <c r="T120" s="388" t="b" cm="1">
        <f t="array" aca="1" ref="T120" ca="1">T119</f>
        <v>1</v>
      </c>
      <c r="U120" s="786"/>
      <c r="V120" s="786"/>
      <c r="W120" s="786"/>
      <c r="X120" s="2094"/>
      <c r="Y120" s="791"/>
      <c r="Z120" s="2095"/>
      <c r="AA120" s="786"/>
      <c r="AB120" s="613" t="s">
        <v>444</v>
      </c>
      <c r="AC120" s="766" t="s">
        <v>1128</v>
      </c>
      <c r="AD120" s="686" t="s">
        <v>831</v>
      </c>
      <c r="AE120" s="216">
        <v>7917.3273094400001</v>
      </c>
      <c r="AF120" s="216"/>
      <c r="AG120" s="216"/>
      <c r="AH120" s="216"/>
      <c r="AI120" s="132">
        <f>SUMIFS(AI121:AI127,$AD121:$AD127,$AD120)</f>
        <v>0</v>
      </c>
      <c r="AJ120" s="132">
        <f>SUMIFS(AJ121:AJ127,$AD121:$AD127,$AD120)</f>
        <v>0</v>
      </c>
      <c r="AK120" s="765"/>
      <c r="AL120" s="1332"/>
      <c r="AM120" s="1332"/>
      <c r="AN120" s="939" t="s">
        <v>1129</v>
      </c>
      <c r="AO120" s="939"/>
      <c r="AP120" s="939"/>
      <c r="AQ120" s="185"/>
      <c r="AR120" s="185"/>
    </row>
    <row r="121" spans="1:44" s="1088" customFormat="1" ht="18" hidden="1" customHeight="1" x14ac:dyDescent="0.15">
      <c r="A121" s="1332"/>
      <c r="B121" s="351"/>
      <c r="C121" s="786"/>
      <c r="D121" s="786"/>
      <c r="E121" s="787">
        <v>18.75</v>
      </c>
      <c r="F121" s="3" t="str" cm="1">
        <f t="array" aca="1" ref="F121" ca="1">OFFSET(E121,-1,1)</f>
        <v>2</v>
      </c>
      <c r="G121" s="758"/>
      <c r="H121" s="758" t="s">
        <v>334</v>
      </c>
      <c r="I121" s="758" cm="1">
        <f t="array" ref="I121">AC121</f>
        <v>0</v>
      </c>
      <c r="J121" s="786"/>
      <c r="K121" s="406"/>
      <c r="L121" s="406"/>
      <c r="M121" s="786"/>
      <c r="N121" s="786"/>
      <c r="O121" s="786"/>
      <c r="P121" s="786"/>
      <c r="Q121" s="786"/>
      <c r="R121" s="786"/>
      <c r="S121" s="786"/>
      <c r="T121" s="388" t="b">
        <f ca="1">AND(F121&gt;0,Y121&gt;0)</f>
        <v>0</v>
      </c>
      <c r="U121" s="786"/>
      <c r="V121" s="786"/>
      <c r="W121" s="786" t="s">
        <v>172</v>
      </c>
      <c r="X121" s="2094"/>
      <c r="Y121" s="2094">
        <v>0</v>
      </c>
      <c r="Z121" s="2095"/>
      <c r="AA121" s="2092" t="s">
        <v>173</v>
      </c>
      <c r="AB121" s="218" t="str">
        <f>"5."&amp;Y121</f>
        <v>5.0</v>
      </c>
      <c r="AC121" s="1408"/>
      <c r="AD121" s="686" t="s">
        <v>831</v>
      </c>
      <c r="AE121" s="1409"/>
      <c r="AF121" s="1409"/>
      <c r="AG121" s="1409"/>
      <c r="AH121" s="1409"/>
      <c r="AI121" s="692">
        <f>AI122*AI123*12/1000</f>
        <v>0</v>
      </c>
      <c r="AJ121" s="692">
        <f>AJ122*AJ123*12/1000</f>
        <v>0</v>
      </c>
      <c r="AK121" s="1362"/>
      <c r="AL121" s="1332"/>
      <c r="AM121" s="1332"/>
      <c r="AN121" s="939" t="s">
        <v>1107</v>
      </c>
      <c r="AO121" s="939" t="s">
        <v>1130</v>
      </c>
      <c r="AP121" s="939" cm="1">
        <f t="array" ref="AP121">AC121</f>
        <v>0</v>
      </c>
      <c r="AQ121" s="185"/>
      <c r="AR121" s="185" t="b">
        <v>1</v>
      </c>
    </row>
    <row r="122" spans="1:44" s="1088" customFormat="1" ht="14.25" hidden="1" customHeight="1" x14ac:dyDescent="0.15">
      <c r="A122" s="1332"/>
      <c r="B122" s="351"/>
      <c r="C122" s="786"/>
      <c r="D122" s="786"/>
      <c r="E122" s="787">
        <v>15</v>
      </c>
      <c r="F122" s="3" t="str" cm="1">
        <f t="array" aca="1" ref="F122" ca="1">OFFSET(E122,-1,1)</f>
        <v>2</v>
      </c>
      <c r="G122" s="758"/>
      <c r="H122" s="758" t="str">
        <f>H121&amp;"_1"</f>
        <v>l5_1</v>
      </c>
      <c r="I122" s="758" cm="1">
        <f t="array" ref="I122">I121</f>
        <v>0</v>
      </c>
      <c r="J122" s="786"/>
      <c r="K122" s="406"/>
      <c r="L122" s="406"/>
      <c r="M122" s="786"/>
      <c r="N122" s="786"/>
      <c r="O122" s="786"/>
      <c r="P122" s="786"/>
      <c r="Q122" s="786"/>
      <c r="R122" s="786"/>
      <c r="S122" s="786"/>
      <c r="T122" s="388" t="b" cm="1">
        <f t="array" aca="1" ref="T122" ca="1">T121</f>
        <v>0</v>
      </c>
      <c r="U122" s="786"/>
      <c r="V122" s="786"/>
      <c r="W122" s="786"/>
      <c r="X122" s="2094"/>
      <c r="Y122" s="2094"/>
      <c r="Z122" s="2095"/>
      <c r="AA122" s="2092"/>
      <c r="AB122" s="613" t="str">
        <f>AB121&amp;".1"</f>
        <v>5.0.1</v>
      </c>
      <c r="AC122" s="685" t="s">
        <v>1110</v>
      </c>
      <c r="AD122" s="686" t="s">
        <v>1111</v>
      </c>
      <c r="AE122" s="1409"/>
      <c r="AF122" s="1409"/>
      <c r="AG122" s="1409"/>
      <c r="AH122" s="1409"/>
      <c r="AI122" s="216"/>
      <c r="AJ122" s="216"/>
      <c r="AK122" s="1362"/>
      <c r="AL122" s="1332"/>
      <c r="AM122" s="1332"/>
      <c r="AN122" s="939" t="s">
        <v>1112</v>
      </c>
      <c r="AO122" s="939" t="s">
        <v>1130</v>
      </c>
      <c r="AP122" s="939" cm="1">
        <f t="array" ref="AP122">AP121</f>
        <v>0</v>
      </c>
      <c r="AQ122" s="185"/>
      <c r="AR122" s="185"/>
    </row>
    <row r="123" spans="1:44" s="1088" customFormat="1" ht="14.25" hidden="1" customHeight="1" x14ac:dyDescent="0.15">
      <c r="A123" s="1332"/>
      <c r="B123" s="351"/>
      <c r="C123" s="786"/>
      <c r="D123" s="786"/>
      <c r="E123" s="787">
        <v>15</v>
      </c>
      <c r="F123" s="3" t="str" cm="1">
        <f t="array" aca="1" ref="F123" ca="1">OFFSET(E123,-1,1)</f>
        <v>2</v>
      </c>
      <c r="G123" s="758"/>
      <c r="H123" s="758" t="str">
        <f>H121&amp;"_2"</f>
        <v>l5_2</v>
      </c>
      <c r="I123" s="758" cm="1">
        <f t="array" ref="I123">I122</f>
        <v>0</v>
      </c>
      <c r="J123" s="786"/>
      <c r="K123" s="406"/>
      <c r="L123" s="406"/>
      <c r="M123" s="786"/>
      <c r="N123" s="786"/>
      <c r="O123" s="786"/>
      <c r="P123" s="786"/>
      <c r="Q123" s="786"/>
      <c r="R123" s="786"/>
      <c r="S123" s="786"/>
      <c r="T123" s="388" t="b" cm="1">
        <f t="array" aca="1" ref="T123" ca="1">T122</f>
        <v>0</v>
      </c>
      <c r="U123" s="786"/>
      <c r="V123" s="786"/>
      <c r="W123" s="786"/>
      <c r="X123" s="2094"/>
      <c r="Y123" s="2094"/>
      <c r="Z123" s="2095"/>
      <c r="AA123" s="2092"/>
      <c r="AB123" s="613" t="str">
        <f>AB121&amp;".2"</f>
        <v>5.0.2</v>
      </c>
      <c r="AC123" s="685" t="s">
        <v>1113</v>
      </c>
      <c r="AD123" s="686" t="s">
        <v>1114</v>
      </c>
      <c r="AE123" s="1409"/>
      <c r="AF123" s="1409"/>
      <c r="AG123" s="1409"/>
      <c r="AH123" s="1409"/>
      <c r="AI123" s="216"/>
      <c r="AJ123" s="216"/>
      <c r="AK123" s="1362"/>
      <c r="AL123" s="1332"/>
      <c r="AM123" s="1332"/>
      <c r="AN123" s="939" t="s">
        <v>1115</v>
      </c>
      <c r="AO123" s="939" t="s">
        <v>1130</v>
      </c>
      <c r="AP123" s="939" cm="1">
        <f t="array" ref="AP123">AP122</f>
        <v>0</v>
      </c>
      <c r="AQ123" s="185"/>
      <c r="AR123" s="185"/>
    </row>
    <row r="124" spans="1:44" s="1088" customFormat="1" ht="18" customHeight="1" x14ac:dyDescent="0.15">
      <c r="A124" s="1332"/>
      <c r="B124" s="351"/>
      <c r="C124" s="786"/>
      <c r="D124" s="786"/>
      <c r="E124" s="787">
        <v>18.75</v>
      </c>
      <c r="F124" s="3" t="str" cm="1">
        <f t="array" aca="1" ref="F124" ca="1">OFFSET(E124,-1,1)</f>
        <v>2</v>
      </c>
      <c r="G124" s="758"/>
      <c r="H124" s="758" t="s">
        <v>334</v>
      </c>
      <c r="I124" s="758" t="str" cm="1">
        <f t="array" ref="I124">AC124</f>
        <v>АУП</v>
      </c>
      <c r="J124" s="786"/>
      <c r="K124" s="406"/>
      <c r="L124" s="406"/>
      <c r="M124" s="786"/>
      <c r="N124" s="786"/>
      <c r="O124" s="786"/>
      <c r="P124" s="786"/>
      <c r="Q124" s="786"/>
      <c r="R124" s="786"/>
      <c r="S124" s="786"/>
      <c r="T124" s="388" t="b">
        <f ca="1">AND(F124&gt;0,Y124&gt;0)</f>
        <v>1</v>
      </c>
      <c r="U124" s="786"/>
      <c r="V124" s="786"/>
      <c r="W124" s="786"/>
      <c r="X124" s="2094"/>
      <c r="Y124" s="2094" t="s">
        <v>282</v>
      </c>
      <c r="Z124" s="2095"/>
      <c r="AA124" s="2092" t="s">
        <v>173</v>
      </c>
      <c r="AB124" s="218" t="str">
        <f>"5."&amp;Y124</f>
        <v>5.1</v>
      </c>
      <c r="AC124" s="375" t="s">
        <v>1127</v>
      </c>
      <c r="AD124" s="686" t="s">
        <v>831</v>
      </c>
      <c r="AE124" s="1409"/>
      <c r="AF124" s="1409"/>
      <c r="AG124" s="1409"/>
      <c r="AH124" s="1409"/>
      <c r="AI124" s="692">
        <f>AI125*AI126*12/1000</f>
        <v>0</v>
      </c>
      <c r="AJ124" s="692">
        <f>AJ125*AJ126*12/1000</f>
        <v>0</v>
      </c>
      <c r="AK124" s="765"/>
      <c r="AL124" s="1332"/>
      <c r="AM124" s="1332"/>
      <c r="AN124" s="939" t="s">
        <v>1107</v>
      </c>
      <c r="AO124" s="939" t="s">
        <v>1130</v>
      </c>
      <c r="AP124" s="939" t="str" cm="1">
        <f t="array" ref="AP124">AC124</f>
        <v>АУП</v>
      </c>
      <c r="AQ124" s="185"/>
      <c r="AR124" s="185" t="b">
        <v>1</v>
      </c>
    </row>
    <row r="125" spans="1:44" s="1088" customFormat="1" ht="44.25" customHeight="1" x14ac:dyDescent="0.15">
      <c r="A125" s="1332"/>
      <c r="B125" s="351"/>
      <c r="C125" s="786"/>
      <c r="D125" s="786"/>
      <c r="E125" s="787">
        <v>15</v>
      </c>
      <c r="F125" s="3" t="str" cm="1">
        <f t="array" aca="1" ref="F125" ca="1">OFFSET(E125,-1,1)</f>
        <v>2</v>
      </c>
      <c r="G125" s="758"/>
      <c r="H125" s="758" t="str">
        <f>H124&amp;"_1"</f>
        <v>l5_1</v>
      </c>
      <c r="I125" s="758" t="str" cm="1">
        <f t="array" ref="I125">I124</f>
        <v>АУП</v>
      </c>
      <c r="J125" s="786"/>
      <c r="K125" s="406"/>
      <c r="L125" s="406"/>
      <c r="M125" s="786"/>
      <c r="N125" s="786"/>
      <c r="O125" s="786"/>
      <c r="P125" s="786"/>
      <c r="Q125" s="786"/>
      <c r="R125" s="786"/>
      <c r="S125" s="786"/>
      <c r="T125" s="388" t="b" cm="1">
        <f t="array" aca="1" ref="T125" ca="1">T124</f>
        <v>1</v>
      </c>
      <c r="U125" s="786"/>
      <c r="V125" s="786"/>
      <c r="W125" s="786"/>
      <c r="X125" s="2094"/>
      <c r="Y125" s="2094"/>
      <c r="Z125" s="2095"/>
      <c r="AA125" s="2092"/>
      <c r="AB125" s="613" t="str">
        <f>AB124&amp;".1"</f>
        <v>5.1.1</v>
      </c>
      <c r="AC125" s="685" t="s">
        <v>1110</v>
      </c>
      <c r="AD125" s="686" t="s">
        <v>1111</v>
      </c>
      <c r="AE125" s="1409"/>
      <c r="AF125" s="1409"/>
      <c r="AG125" s="1409"/>
      <c r="AH125" s="1409"/>
      <c r="AI125" s="216"/>
      <c r="AJ125" s="216"/>
      <c r="AK125" s="765" t="s">
        <v>1144</v>
      </c>
      <c r="AL125" s="1332"/>
      <c r="AM125" s="1332"/>
      <c r="AN125" s="939" t="s">
        <v>1112</v>
      </c>
      <c r="AO125" s="939" t="s">
        <v>1130</v>
      </c>
      <c r="AP125" s="939" t="str" cm="1">
        <f t="array" ref="AP125">AP124</f>
        <v>АУП</v>
      </c>
      <c r="AQ125" s="185"/>
      <c r="AR125" s="185"/>
    </row>
    <row r="126" spans="1:44" s="1088" customFormat="1" ht="54.75" customHeight="1" x14ac:dyDescent="0.15">
      <c r="A126" s="1332"/>
      <c r="B126" s="351"/>
      <c r="C126" s="786"/>
      <c r="D126" s="786"/>
      <c r="E126" s="787">
        <v>15</v>
      </c>
      <c r="F126" s="3" t="str" cm="1">
        <f t="array" aca="1" ref="F126" ca="1">OFFSET(E126,-1,1)</f>
        <v>2</v>
      </c>
      <c r="G126" s="758"/>
      <c r="H126" s="758" t="str">
        <f>H124&amp;"_2"</f>
        <v>l5_2</v>
      </c>
      <c r="I126" s="758" t="str" cm="1">
        <f t="array" ref="I126">I125</f>
        <v>АУП</v>
      </c>
      <c r="J126" s="786"/>
      <c r="K126" s="406"/>
      <c r="L126" s="406"/>
      <c r="M126" s="786"/>
      <c r="N126" s="786"/>
      <c r="O126" s="786"/>
      <c r="P126" s="786"/>
      <c r="Q126" s="786"/>
      <c r="R126" s="786"/>
      <c r="S126" s="786"/>
      <c r="T126" s="388" t="b" cm="1">
        <f t="array" aca="1" ref="T126" ca="1">T125</f>
        <v>1</v>
      </c>
      <c r="U126" s="786"/>
      <c r="V126" s="786"/>
      <c r="W126" s="786"/>
      <c r="X126" s="2094"/>
      <c r="Y126" s="2094"/>
      <c r="Z126" s="2095"/>
      <c r="AA126" s="2092"/>
      <c r="AB126" s="613" t="str">
        <f>AB124&amp;".2"</f>
        <v>5.1.2</v>
      </c>
      <c r="AC126" s="685" t="s">
        <v>1113</v>
      </c>
      <c r="AD126" s="686" t="s">
        <v>1114</v>
      </c>
      <c r="AE126" s="1409"/>
      <c r="AF126" s="1409"/>
      <c r="AG126" s="1409"/>
      <c r="AH126" s="1409"/>
      <c r="AI126" s="216"/>
      <c r="AJ126" s="216"/>
      <c r="AK126" s="765" t="s">
        <v>1145</v>
      </c>
      <c r="AL126" s="1332"/>
      <c r="AM126" s="1332"/>
      <c r="AN126" s="939" t="s">
        <v>1115</v>
      </c>
      <c r="AO126" s="939" t="s">
        <v>1130</v>
      </c>
      <c r="AP126" s="939" t="str" cm="1">
        <f t="array" ref="AP126">AP125</f>
        <v>АУП</v>
      </c>
      <c r="AQ126" s="185"/>
      <c r="AR126" s="185"/>
    </row>
    <row r="127" spans="1:44" s="1088" customFormat="1" ht="14.25" customHeight="1" x14ac:dyDescent="0.15">
      <c r="A127" s="1332"/>
      <c r="B127" s="351"/>
      <c r="C127" s="786"/>
      <c r="D127" s="786"/>
      <c r="E127" s="787">
        <v>15</v>
      </c>
      <c r="F127" s="3" t="str" cm="1">
        <f t="array" aca="1" ref="F127" ca="1">OFFSET(E127,-1,1)</f>
        <v>2</v>
      </c>
      <c r="G127" s="290"/>
      <c r="H127" s="758"/>
      <c r="I127" s="71" t="str">
        <f>"!=='не определено' &amp;&amp; row.l5 !== null"</f>
        <v>!=='не определено' &amp;&amp; row.l5 !== null</v>
      </c>
      <c r="J127" s="786"/>
      <c r="K127" s="406"/>
      <c r="L127" s="406"/>
      <c r="M127" s="786"/>
      <c r="N127" s="786"/>
      <c r="O127" s="786"/>
      <c r="P127" s="786"/>
      <c r="Q127" s="786"/>
      <c r="R127" s="786"/>
      <c r="S127" s="786"/>
      <c r="T127" s="388" t="b">
        <f ca="1">F127&gt;0</f>
        <v>1</v>
      </c>
      <c r="U127" s="786"/>
      <c r="V127" s="786"/>
      <c r="W127" s="677" t="s">
        <v>1131</v>
      </c>
      <c r="X127" s="2094"/>
      <c r="Y127" s="791"/>
      <c r="Z127" s="2095"/>
      <c r="AA127" s="786"/>
      <c r="AB127" s="792"/>
      <c r="AC127" s="178" t="s">
        <v>176</v>
      </c>
      <c r="AD127" s="696"/>
      <c r="AE127" s="696"/>
      <c r="AF127" s="696"/>
      <c r="AG127" s="696"/>
      <c r="AH127" s="696"/>
      <c r="AI127" s="696"/>
      <c r="AJ127" s="696"/>
      <c r="AK127" s="697"/>
      <c r="AL127" s="1332"/>
      <c r="AM127" s="1332"/>
      <c r="AN127" s="939"/>
      <c r="AO127" s="939"/>
      <c r="AP127" s="939"/>
      <c r="AQ127" s="185" t="s">
        <v>1130</v>
      </c>
      <c r="AR127" s="185"/>
    </row>
    <row r="128" spans="1:44" s="1088" customFormat="1" ht="107.25" customHeight="1" x14ac:dyDescent="0.15">
      <c r="A128" s="1332"/>
      <c r="B128" s="351"/>
      <c r="C128" s="786"/>
      <c r="D128" s="786"/>
      <c r="E128" s="787">
        <v>22.5</v>
      </c>
      <c r="F128" s="3" t="str" cm="1">
        <f t="array" aca="1" ref="F128" ca="1">OFFSET(E128,-1,1)</f>
        <v>2</v>
      </c>
      <c r="G128" s="290" t="s">
        <v>1132</v>
      </c>
      <c r="H128" s="758" t="s">
        <v>544</v>
      </c>
      <c r="I128" s="758"/>
      <c r="J128" s="786"/>
      <c r="K128" s="406" t="str">
        <f ca="1">F128&amp;"6komm"</f>
        <v>26komm</v>
      </c>
      <c r="L128" s="406" t="str" cm="1">
        <f t="array" ref="L128">AK128</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M128" s="786"/>
      <c r="N128" s="786"/>
      <c r="O128" s="786"/>
      <c r="P128" s="786"/>
      <c r="Q128" s="786"/>
      <c r="R128" s="786"/>
      <c r="S128" s="786"/>
      <c r="T128" s="388" t="b" cm="1">
        <f t="array" aca="1" ref="T128" ca="1">T127</f>
        <v>1</v>
      </c>
      <c r="U128" s="786"/>
      <c r="V128" s="786"/>
      <c r="W128" s="786"/>
      <c r="X128" s="2094"/>
      <c r="Y128" s="791"/>
      <c r="Z128" s="2095"/>
      <c r="AA128" s="786"/>
      <c r="AB128" s="613" t="s">
        <v>446</v>
      </c>
      <c r="AC128" s="766" t="s">
        <v>1133</v>
      </c>
      <c r="AD128" s="686" t="s">
        <v>831</v>
      </c>
      <c r="AE128" s="216">
        <v>2391.0328474509001</v>
      </c>
      <c r="AF128" s="216">
        <f ca="1">AF120*SUMIFS(INDEX(Сценарии!$AE$25:$BF$109,,MATCH(AF$13,Сценарии!$AE$8:$BF$8,0)),Сценарии!$F$25:$F$109,$F128,Сценарии!$G$25:$G$109,"СВФОТ")/100</f>
        <v>0</v>
      </c>
      <c r="AG128" s="216">
        <f ca="1">AG120*SUMIFS(INDEX(Сценарии!$AE$25:$BF$109,,MATCH(AG$13,Сценарии!$AE$8:$BF$8,0)),Сценарии!$F$25:$F$109,$F128,Сценарии!$G$25:$G$109,"СВФОТ")/100</f>
        <v>0</v>
      </c>
      <c r="AH128" s="216">
        <f ca="1">AH120*SUMIFS(INDEX(Сценарии!$AE$25:$BF$109,,MATCH(AH$13,Сценарии!$AE$8:$BF$8,0)),Сценарии!$F$25:$F$109,$F128,Сценарии!$G$25:$G$109,"СВФОТ")/100</f>
        <v>0</v>
      </c>
      <c r="AI128" s="216">
        <f ca="1">AI120*SUMIFS(INDEX(Сценарии!$AE$25:$BF$109,,MATCH(AI$13,Сценарии!$AE$8:$BF$8,0)),Сценарии!$F$25:$F$109,$F128,Сценарии!$G$25:$G$109,"СВФОТ")/100</f>
        <v>0</v>
      </c>
      <c r="AJ128" s="216">
        <f ca="1">AJ120*SUMIFS(INDEX(Сценарии!$AE$25:$BF$109,,MATCH(AJ$13,Сценарии!$AE$8:$BF$8,0)),Сценарии!$F$25:$F$109,$F128,Сценарии!$G$25:$G$109,"СВФОТ")/100</f>
        <v>0</v>
      </c>
      <c r="AK128" s="831" t="s">
        <v>1147</v>
      </c>
      <c r="AL128" s="1332"/>
      <c r="AM128" s="1332"/>
      <c r="AN128" s="939" t="s">
        <v>1134</v>
      </c>
      <c r="AO128" s="939"/>
      <c r="AP128" s="939"/>
      <c r="AQ128" s="185"/>
      <c r="AR128" s="185"/>
    </row>
    <row r="129" spans="1:44" s="1088" customFormat="1" ht="14.65" customHeight="1" x14ac:dyDescent="0.15">
      <c r="A129" s="1332"/>
      <c r="B129" s="351"/>
      <c r="C129" s="786"/>
      <c r="D129" s="786"/>
      <c r="E129" s="787">
        <v>15</v>
      </c>
      <c r="F129" s="3" t="str" cm="1">
        <f t="array" aca="1" ref="F129" ca="1">OFFSET(E129,-1,1)</f>
        <v>2</v>
      </c>
      <c r="G129" s="290" t="s">
        <v>1135</v>
      </c>
      <c r="H129" s="758" t="s">
        <v>547</v>
      </c>
      <c r="I129" s="758"/>
      <c r="J129" s="786"/>
      <c r="K129" s="406" t="str">
        <f ca="1">F129&amp;"7komm"</f>
        <v>27komm</v>
      </c>
      <c r="L129" s="406" cm="1">
        <f t="array" ref="L129">AK129</f>
        <v>0</v>
      </c>
      <c r="M129" s="786"/>
      <c r="N129" s="786"/>
      <c r="O129" s="786"/>
      <c r="P129" s="786"/>
      <c r="Q129" s="786"/>
      <c r="R129" s="786"/>
      <c r="S129" s="786"/>
      <c r="T129" s="388" t="b" cm="1">
        <f t="array" aca="1" ref="T129" ca="1">T128</f>
        <v>1</v>
      </c>
      <c r="U129" s="786"/>
      <c r="V129" s="786"/>
      <c r="W129" s="786"/>
      <c r="X129" s="2094"/>
      <c r="Y129" s="791"/>
      <c r="Z129" s="2095"/>
      <c r="AA129" s="786"/>
      <c r="AB129" s="613" t="s">
        <v>448</v>
      </c>
      <c r="AC129" s="766" t="s">
        <v>1136</v>
      </c>
      <c r="AD129" s="686" t="s">
        <v>831</v>
      </c>
      <c r="AE129" s="216">
        <v>3437.7031493179002</v>
      </c>
      <c r="AF129" s="216"/>
      <c r="AG129" s="216"/>
      <c r="AH129" s="216"/>
      <c r="AI129" s="132">
        <f>SUMIFS(AI130:AI136,$AD130:$AD136,$AD129)</f>
        <v>0</v>
      </c>
      <c r="AJ129" s="132">
        <f>SUMIFS(AJ130:AJ136,$AD130:$AD136,$AD129)</f>
        <v>0</v>
      </c>
      <c r="AK129" s="831"/>
      <c r="AL129" s="1332"/>
      <c r="AM129" s="1332"/>
      <c r="AN129" s="939" t="s">
        <v>1137</v>
      </c>
      <c r="AO129" s="939"/>
      <c r="AP129" s="939"/>
      <c r="AQ129" s="185"/>
      <c r="AR129" s="185"/>
    </row>
    <row r="130" spans="1:44" s="1088" customFormat="1" ht="18" hidden="1" customHeight="1" x14ac:dyDescent="0.15">
      <c r="A130" s="1332"/>
      <c r="B130" s="1332"/>
      <c r="C130" s="793"/>
      <c r="D130" s="793"/>
      <c r="E130" s="794">
        <v>18.75</v>
      </c>
      <c r="F130" s="3" t="str" cm="1">
        <f t="array" aca="1" ref="F130" ca="1">OFFSET(E130,-1,1)</f>
        <v>2</v>
      </c>
      <c r="G130" s="790"/>
      <c r="H130" s="758" t="s">
        <v>547</v>
      </c>
      <c r="I130" s="790" cm="1">
        <f t="array" ref="I130">AC130</f>
        <v>0</v>
      </c>
      <c r="J130" s="793"/>
      <c r="K130" s="829"/>
      <c r="L130" s="829"/>
      <c r="M130" s="793"/>
      <c r="N130" s="793"/>
      <c r="O130" s="793"/>
      <c r="P130" s="793"/>
      <c r="Q130" s="793"/>
      <c r="R130" s="793"/>
      <c r="S130" s="793"/>
      <c r="T130" s="388" t="b">
        <f ca="1">AND(F130&gt;0,Y130&gt;0)</f>
        <v>0</v>
      </c>
      <c r="U130" s="793"/>
      <c r="V130" s="793"/>
      <c r="W130" s="786" t="s">
        <v>172</v>
      </c>
      <c r="X130" s="2094"/>
      <c r="Y130" s="2094">
        <v>0</v>
      </c>
      <c r="Z130" s="2095"/>
      <c r="AA130" s="2092" t="s">
        <v>173</v>
      </c>
      <c r="AB130" s="1129" t="str">
        <f>"7."&amp;Y130</f>
        <v>7.0</v>
      </c>
      <c r="AC130" s="1411"/>
      <c r="AD130" s="796" t="s">
        <v>831</v>
      </c>
      <c r="AE130" s="1412"/>
      <c r="AF130" s="1412"/>
      <c r="AG130" s="1412"/>
      <c r="AH130" s="1412"/>
      <c r="AI130" s="797">
        <f>AI131*AI132*12/1000</f>
        <v>0</v>
      </c>
      <c r="AJ130" s="797">
        <f>AJ131*AJ132*12/1000</f>
        <v>0</v>
      </c>
      <c r="AK130" s="1413"/>
      <c r="AL130" s="1332"/>
      <c r="AM130" s="1332"/>
      <c r="AN130" s="939" t="s">
        <v>1107</v>
      </c>
      <c r="AO130" s="955" t="s">
        <v>1138</v>
      </c>
      <c r="AP130" s="939" cm="1">
        <f t="array" ref="AP130">AC130</f>
        <v>0</v>
      </c>
      <c r="AQ130" s="956"/>
      <c r="AR130" s="185" t="b">
        <v>1</v>
      </c>
    </row>
    <row r="131" spans="1:44" s="1088" customFormat="1" ht="14.25" hidden="1" customHeight="1" x14ac:dyDescent="0.15">
      <c r="A131" s="1332"/>
      <c r="B131" s="1332"/>
      <c r="C131" s="793"/>
      <c r="D131" s="793"/>
      <c r="E131" s="794">
        <v>15</v>
      </c>
      <c r="F131" s="3" t="str" cm="1">
        <f t="array" aca="1" ref="F131" ca="1">OFFSET(E131,-1,1)</f>
        <v>2</v>
      </c>
      <c r="G131" s="790"/>
      <c r="H131" s="790" t="str">
        <f>H130&amp;"_1"</f>
        <v>l7_1</v>
      </c>
      <c r="I131" s="790" cm="1">
        <f t="array" ref="I131">I130</f>
        <v>0</v>
      </c>
      <c r="J131" s="793"/>
      <c r="K131" s="829"/>
      <c r="L131" s="829"/>
      <c r="M131" s="793"/>
      <c r="N131" s="793"/>
      <c r="O131" s="793"/>
      <c r="P131" s="793"/>
      <c r="Q131" s="793"/>
      <c r="R131" s="793"/>
      <c r="S131" s="793"/>
      <c r="T131" s="388" t="b" cm="1">
        <f t="array" aca="1" ref="T131" ca="1">T130</f>
        <v>0</v>
      </c>
      <c r="U131" s="793"/>
      <c r="V131" s="793"/>
      <c r="W131" s="793"/>
      <c r="X131" s="2094"/>
      <c r="Y131" s="2094"/>
      <c r="Z131" s="2095"/>
      <c r="AA131" s="2092"/>
      <c r="AB131" s="799" t="str">
        <f>AB130&amp;".1"</f>
        <v>7.0.1</v>
      </c>
      <c r="AC131" s="800" t="s">
        <v>1110</v>
      </c>
      <c r="AD131" s="796" t="s">
        <v>1111</v>
      </c>
      <c r="AE131" s="1412"/>
      <c r="AF131" s="1412"/>
      <c r="AG131" s="1412"/>
      <c r="AH131" s="1412"/>
      <c r="AI131" s="801"/>
      <c r="AJ131" s="801"/>
      <c r="AK131" s="1413"/>
      <c r="AL131" s="1332"/>
      <c r="AM131" s="1332"/>
      <c r="AN131" s="939" t="s">
        <v>1112</v>
      </c>
      <c r="AO131" s="955" t="s">
        <v>1138</v>
      </c>
      <c r="AP131" s="939" cm="1">
        <f t="array" ref="AP131">AP130</f>
        <v>0</v>
      </c>
      <c r="AQ131" s="956"/>
      <c r="AR131" s="956"/>
    </row>
    <row r="132" spans="1:44" s="1088" customFormat="1" ht="14.25" hidden="1" customHeight="1" x14ac:dyDescent="0.15">
      <c r="A132" s="1332"/>
      <c r="B132" s="1332"/>
      <c r="C132" s="793"/>
      <c r="D132" s="793"/>
      <c r="E132" s="794">
        <v>15</v>
      </c>
      <c r="F132" s="3" t="str" cm="1">
        <f t="array" aca="1" ref="F132" ca="1">OFFSET(E132,-1,1)</f>
        <v>2</v>
      </c>
      <c r="G132" s="790"/>
      <c r="H132" s="790" t="str">
        <f>H130&amp;"_2"</f>
        <v>l7_2</v>
      </c>
      <c r="I132" s="790" cm="1">
        <f t="array" ref="I132">I131</f>
        <v>0</v>
      </c>
      <c r="J132" s="793"/>
      <c r="K132" s="829"/>
      <c r="L132" s="829"/>
      <c r="M132" s="793"/>
      <c r="N132" s="793"/>
      <c r="O132" s="793"/>
      <c r="P132" s="793"/>
      <c r="Q132" s="793"/>
      <c r="R132" s="793"/>
      <c r="S132" s="793"/>
      <c r="T132" s="388" t="b" cm="1">
        <f t="array" aca="1" ref="T132" ca="1">T131</f>
        <v>0</v>
      </c>
      <c r="U132" s="793"/>
      <c r="V132" s="793"/>
      <c r="W132" s="793"/>
      <c r="X132" s="2094"/>
      <c r="Y132" s="2094"/>
      <c r="Z132" s="2095"/>
      <c r="AA132" s="2092"/>
      <c r="AB132" s="799" t="str">
        <f>AB130&amp;".2"</f>
        <v>7.0.2</v>
      </c>
      <c r="AC132" s="800" t="s">
        <v>1113</v>
      </c>
      <c r="AD132" s="796" t="s">
        <v>1114</v>
      </c>
      <c r="AE132" s="1412"/>
      <c r="AF132" s="1412"/>
      <c r="AG132" s="1412"/>
      <c r="AH132" s="1412"/>
      <c r="AI132" s="801"/>
      <c r="AJ132" s="801"/>
      <c r="AK132" s="1413"/>
      <c r="AL132" s="1332"/>
      <c r="AM132" s="1332"/>
      <c r="AN132" s="939" t="s">
        <v>1115</v>
      </c>
      <c r="AO132" s="955" t="s">
        <v>1138</v>
      </c>
      <c r="AP132" s="939" cm="1">
        <f t="array" ref="AP132">AP131</f>
        <v>0</v>
      </c>
      <c r="AQ132" s="956"/>
      <c r="AR132" s="956"/>
    </row>
    <row r="133" spans="1:44" s="1088" customFormat="1" ht="18" customHeight="1" x14ac:dyDescent="0.15">
      <c r="A133" s="1332"/>
      <c r="B133" s="1332"/>
      <c r="C133" s="793"/>
      <c r="D133" s="793"/>
      <c r="E133" s="794">
        <v>18.75</v>
      </c>
      <c r="F133" s="3" t="str" cm="1">
        <f t="array" aca="1" ref="F133" ca="1">OFFSET(E133,-1,1)</f>
        <v>2</v>
      </c>
      <c r="G133" s="790"/>
      <c r="H133" s="758" t="s">
        <v>547</v>
      </c>
      <c r="I133" s="790" t="str" cm="1">
        <f t="array" ref="I133">AC133</f>
        <v>Абоненский отдел</v>
      </c>
      <c r="J133" s="793"/>
      <c r="K133" s="829"/>
      <c r="L133" s="829"/>
      <c r="M133" s="793"/>
      <c r="N133" s="793"/>
      <c r="O133" s="793"/>
      <c r="P133" s="793"/>
      <c r="Q133" s="793"/>
      <c r="R133" s="793"/>
      <c r="S133" s="793"/>
      <c r="T133" s="388" t="b">
        <f ca="1">AND(F133&gt;0,Y133&gt;0)</f>
        <v>1</v>
      </c>
      <c r="U133" s="793"/>
      <c r="V133" s="793"/>
      <c r="W133" s="786"/>
      <c r="X133" s="2094"/>
      <c r="Y133" s="2094" t="s">
        <v>282</v>
      </c>
      <c r="Z133" s="2095"/>
      <c r="AA133" s="2092" t="s">
        <v>173</v>
      </c>
      <c r="AB133" s="1129" t="str">
        <f>"7."&amp;Y133</f>
        <v>7.1</v>
      </c>
      <c r="AC133" s="795" t="s">
        <v>1150</v>
      </c>
      <c r="AD133" s="796" t="s">
        <v>831</v>
      </c>
      <c r="AE133" s="1412"/>
      <c r="AF133" s="1412"/>
      <c r="AG133" s="1412"/>
      <c r="AH133" s="1412"/>
      <c r="AI133" s="797">
        <f>AI134*AI135*12/1000</f>
        <v>0</v>
      </c>
      <c r="AJ133" s="797">
        <f>AJ134*AJ135*12/1000</f>
        <v>0</v>
      </c>
      <c r="AK133" s="798"/>
      <c r="AL133" s="1332"/>
      <c r="AM133" s="1332"/>
      <c r="AN133" s="939" t="s">
        <v>1107</v>
      </c>
      <c r="AO133" s="955" t="s">
        <v>1138</v>
      </c>
      <c r="AP133" s="939" t="str" cm="1">
        <f t="array" ref="AP133">AC133</f>
        <v>Абоненский отдел</v>
      </c>
      <c r="AQ133" s="956"/>
      <c r="AR133" s="185" t="b">
        <v>1</v>
      </c>
    </row>
    <row r="134" spans="1:44" s="1088" customFormat="1" ht="86.25" customHeight="1" x14ac:dyDescent="0.15">
      <c r="A134" s="1332"/>
      <c r="B134" s="1332"/>
      <c r="C134" s="793"/>
      <c r="D134" s="793"/>
      <c r="E134" s="794">
        <v>15</v>
      </c>
      <c r="F134" s="3" t="str" cm="1">
        <f t="array" aca="1" ref="F134" ca="1">OFFSET(E134,-1,1)</f>
        <v>2</v>
      </c>
      <c r="G134" s="790"/>
      <c r="H134" s="790" t="str">
        <f>H133&amp;"_1"</f>
        <v>l7_1</v>
      </c>
      <c r="I134" s="790" t="str" cm="1">
        <f t="array" ref="I134">I133</f>
        <v>Абоненский отдел</v>
      </c>
      <c r="J134" s="793"/>
      <c r="K134" s="829"/>
      <c r="L134" s="829"/>
      <c r="M134" s="793"/>
      <c r="N134" s="793"/>
      <c r="O134" s="793"/>
      <c r="P134" s="793"/>
      <c r="Q134" s="793"/>
      <c r="R134" s="793"/>
      <c r="S134" s="793"/>
      <c r="T134" s="388" t="b" cm="1">
        <f t="array" aca="1" ref="T134" ca="1">T133</f>
        <v>1</v>
      </c>
      <c r="U134" s="793"/>
      <c r="V134" s="793"/>
      <c r="W134" s="793"/>
      <c r="X134" s="2094"/>
      <c r="Y134" s="2094"/>
      <c r="Z134" s="2095"/>
      <c r="AA134" s="2092"/>
      <c r="AB134" s="799" t="str">
        <f>AB133&amp;".1"</f>
        <v>7.1.1</v>
      </c>
      <c r="AC134" s="800" t="s">
        <v>1110</v>
      </c>
      <c r="AD134" s="796" t="s">
        <v>1111</v>
      </c>
      <c r="AE134" s="1412"/>
      <c r="AF134" s="1412"/>
      <c r="AG134" s="1412"/>
      <c r="AH134" s="1412"/>
      <c r="AI134" s="801"/>
      <c r="AJ134" s="801"/>
      <c r="AK134" s="798" t="s">
        <v>1152</v>
      </c>
      <c r="AL134" s="1332"/>
      <c r="AM134" s="1332"/>
      <c r="AN134" s="939" t="s">
        <v>1112</v>
      </c>
      <c r="AO134" s="955" t="s">
        <v>1138</v>
      </c>
      <c r="AP134" s="939" t="str" cm="1">
        <f t="array" ref="AP134">AP133</f>
        <v>Абоненский отдел</v>
      </c>
      <c r="AQ134" s="956"/>
      <c r="AR134" s="956"/>
    </row>
    <row r="135" spans="1:44" s="1088" customFormat="1" ht="54.75" customHeight="1" x14ac:dyDescent="0.15">
      <c r="A135" s="1332"/>
      <c r="B135" s="1332"/>
      <c r="C135" s="793"/>
      <c r="D135" s="793"/>
      <c r="E135" s="794">
        <v>15</v>
      </c>
      <c r="F135" s="3" t="str" cm="1">
        <f t="array" aca="1" ref="F135" ca="1">OFFSET(E135,-1,1)</f>
        <v>2</v>
      </c>
      <c r="G135" s="790"/>
      <c r="H135" s="790" t="str">
        <f>H133&amp;"_2"</f>
        <v>l7_2</v>
      </c>
      <c r="I135" s="790" t="str" cm="1">
        <f t="array" ref="I135">I134</f>
        <v>Абоненский отдел</v>
      </c>
      <c r="J135" s="793"/>
      <c r="K135" s="829"/>
      <c r="L135" s="829"/>
      <c r="M135" s="793"/>
      <c r="N135" s="793"/>
      <c r="O135" s="793"/>
      <c r="P135" s="793"/>
      <c r="Q135" s="793"/>
      <c r="R135" s="793"/>
      <c r="S135" s="793"/>
      <c r="T135" s="388" t="b" cm="1">
        <f t="array" aca="1" ref="T135" ca="1">T134</f>
        <v>1</v>
      </c>
      <c r="U135" s="793"/>
      <c r="V135" s="793"/>
      <c r="W135" s="793"/>
      <c r="X135" s="2094"/>
      <c r="Y135" s="2094"/>
      <c r="Z135" s="2095"/>
      <c r="AA135" s="2092"/>
      <c r="AB135" s="799" t="str">
        <f>AB133&amp;".2"</f>
        <v>7.1.2</v>
      </c>
      <c r="AC135" s="800" t="s">
        <v>1113</v>
      </c>
      <c r="AD135" s="796" t="s">
        <v>1114</v>
      </c>
      <c r="AE135" s="1412"/>
      <c r="AF135" s="1412"/>
      <c r="AG135" s="1412"/>
      <c r="AH135" s="1412"/>
      <c r="AI135" s="801"/>
      <c r="AJ135" s="801"/>
      <c r="AK135" s="798" t="s">
        <v>1145</v>
      </c>
      <c r="AL135" s="1332"/>
      <c r="AM135" s="1332"/>
      <c r="AN135" s="939" t="s">
        <v>1115</v>
      </c>
      <c r="AO135" s="955" t="s">
        <v>1138</v>
      </c>
      <c r="AP135" s="939" t="str" cm="1">
        <f t="array" ref="AP135">AP134</f>
        <v>Абоненский отдел</v>
      </c>
      <c r="AQ135" s="956"/>
      <c r="AR135" s="956"/>
    </row>
    <row r="136" spans="1:44" s="1088" customFormat="1" ht="14.25" customHeight="1" x14ac:dyDescent="0.15">
      <c r="A136" s="1332"/>
      <c r="B136" s="351"/>
      <c r="C136" s="786"/>
      <c r="D136" s="786"/>
      <c r="E136" s="787">
        <v>15</v>
      </c>
      <c r="F136" s="3" t="str" cm="1">
        <f t="array" aca="1" ref="F136" ca="1">OFFSET(E136,-1,1)</f>
        <v>2</v>
      </c>
      <c r="G136" s="290"/>
      <c r="H136" s="758"/>
      <c r="I136" s="71" t="str">
        <f>"!=='не определено' &amp;&amp; row.l7 !== null"</f>
        <v>!=='не определено' &amp;&amp; row.l7 !== null</v>
      </c>
      <c r="J136" s="786"/>
      <c r="K136" s="406"/>
      <c r="L136" s="406"/>
      <c r="M136" s="786"/>
      <c r="N136" s="786"/>
      <c r="O136" s="786"/>
      <c r="P136" s="786"/>
      <c r="Q136" s="786"/>
      <c r="R136" s="786"/>
      <c r="S136" s="786"/>
      <c r="T136" s="388" t="b">
        <f ca="1">F136&gt;0</f>
        <v>1</v>
      </c>
      <c r="U136" s="786"/>
      <c r="V136" s="786"/>
      <c r="W136" s="677" t="s">
        <v>1139</v>
      </c>
      <c r="X136" s="2094"/>
      <c r="Y136" s="786"/>
      <c r="Z136" s="2095"/>
      <c r="AA136" s="786"/>
      <c r="AB136" s="792"/>
      <c r="AC136" s="178" t="s">
        <v>176</v>
      </c>
      <c r="AD136" s="696"/>
      <c r="AE136" s="696"/>
      <c r="AF136" s="696"/>
      <c r="AG136" s="696"/>
      <c r="AH136" s="696"/>
      <c r="AI136" s="696"/>
      <c r="AJ136" s="696"/>
      <c r="AK136" s="697"/>
      <c r="AL136" s="1332"/>
      <c r="AM136" s="1332"/>
      <c r="AN136" s="939"/>
      <c r="AO136" s="939"/>
      <c r="AP136" s="939"/>
      <c r="AQ136" s="956" t="s">
        <v>1138</v>
      </c>
      <c r="AR136" s="185"/>
    </row>
    <row r="137" spans="1:44" s="1088" customFormat="1" ht="107.25" customHeight="1" x14ac:dyDescent="0.15">
      <c r="A137" s="1332"/>
      <c r="B137" s="351"/>
      <c r="C137" s="786"/>
      <c r="D137" s="786"/>
      <c r="E137" s="787">
        <v>22.5</v>
      </c>
      <c r="F137" s="3" t="str" cm="1">
        <f t="array" aca="1" ref="F137" ca="1">OFFSET(E137,-1,1)</f>
        <v>2</v>
      </c>
      <c r="G137" s="290" t="s">
        <v>1140</v>
      </c>
      <c r="H137" s="758" t="s">
        <v>591</v>
      </c>
      <c r="I137" s="758"/>
      <c r="J137" s="786"/>
      <c r="K137" s="406" t="str">
        <f ca="1">F137&amp;"8komm"</f>
        <v>28komm</v>
      </c>
      <c r="L137" s="830" t="str" cm="1">
        <f t="array" ref="L137">AK137</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M137" s="786"/>
      <c r="N137" s="786"/>
      <c r="O137" s="786"/>
      <c r="P137" s="786"/>
      <c r="Q137" s="786"/>
      <c r="R137" s="786"/>
      <c r="S137" s="786"/>
      <c r="T137" s="388" t="b" cm="1">
        <f t="array" aca="1" ref="T137" ca="1">T136</f>
        <v>1</v>
      </c>
      <c r="U137" s="786"/>
      <c r="V137" s="786"/>
      <c r="W137" s="786"/>
      <c r="X137" s="2094"/>
      <c r="Y137" s="786"/>
      <c r="Z137" s="2095"/>
      <c r="AA137" s="786"/>
      <c r="AB137" s="613" t="s">
        <v>450</v>
      </c>
      <c r="AC137" s="766" t="s">
        <v>1141</v>
      </c>
      <c r="AD137" s="686" t="s">
        <v>831</v>
      </c>
      <c r="AE137" s="216">
        <v>1038.186351094</v>
      </c>
      <c r="AF137" s="216">
        <f ca="1">AF129*SUMIFS(INDEX(Сценарии!$AE$25:$BF$109,,MATCH(AF$13,Сценарии!$AE$8:$BF$8,0)),Сценарии!$F$25:$F$109,$F137,Сценарии!$G$25:$G$109,"СВФОТ")/100</f>
        <v>0</v>
      </c>
      <c r="AG137" s="216">
        <f ca="1">AG129*SUMIFS(INDEX(Сценарии!$AE$25:$BF$109,,MATCH(AG$13,Сценарии!$AE$8:$BF$8,0)),Сценарии!$F$25:$F$109,$F137,Сценарии!$G$25:$G$109,"СВФОТ")/100</f>
        <v>0</v>
      </c>
      <c r="AH137" s="216">
        <f ca="1">AH129*SUMIFS(INDEX(Сценарии!$AE$25:$BF$109,,MATCH(AH$13,Сценарии!$AE$8:$BF$8,0)),Сценарии!$F$25:$F$109,$F137,Сценарии!$G$25:$G$109,"СВФОТ")/100</f>
        <v>0</v>
      </c>
      <c r="AI137" s="216">
        <f ca="1">AI129*SUMIFS(INDEX(Сценарии!$AE$25:$BF$109,,MATCH(AI$13,Сценарии!$AE$8:$BF$8,0)),Сценарии!$F$25:$F$109,$F137,Сценарии!$G$25:$G$109,"СВФОТ")/100</f>
        <v>0</v>
      </c>
      <c r="AJ137" s="216">
        <f ca="1">AJ129*SUMIFS(INDEX(Сценарии!$AE$25:$BF$109,,MATCH(AJ$13,Сценарии!$AE$8:$BF$8,0)),Сценарии!$F$25:$F$109,$F137,Сценарии!$G$25:$G$109,"СВФОТ")/100</f>
        <v>0</v>
      </c>
      <c r="AK137" s="765" t="s">
        <v>1147</v>
      </c>
      <c r="AL137" s="1332"/>
      <c r="AM137" s="1332"/>
      <c r="AN137" s="939" t="s">
        <v>1142</v>
      </c>
      <c r="AO137" s="939"/>
      <c r="AP137" s="939"/>
      <c r="AQ137" s="185"/>
      <c r="AR137" s="185"/>
    </row>
    <row r="138" spans="1:44" s="1334" customFormat="1" ht="10.9" customHeight="1" x14ac:dyDescent="0.15">
      <c r="A138" s="392"/>
      <c r="B138" s="582"/>
      <c r="C138" s="405"/>
      <c r="D138" s="405"/>
      <c r="E138" s="785">
        <v>11.25</v>
      </c>
      <c r="F138" s="405"/>
      <c r="G138" s="405"/>
      <c r="H138" s="405"/>
      <c r="I138" s="405"/>
      <c r="J138" s="405"/>
      <c r="K138" s="827"/>
      <c r="L138" s="827"/>
      <c r="M138" s="405"/>
      <c r="N138" s="405"/>
      <c r="O138" s="405"/>
      <c r="P138" s="405"/>
      <c r="Q138" s="405"/>
      <c r="R138" s="405"/>
      <c r="S138" s="405"/>
      <c r="T138" s="405"/>
      <c r="U138" s="405" t="s">
        <v>176</v>
      </c>
      <c r="V138" s="768" t="s">
        <v>1153</v>
      </c>
      <c r="W138" s="405"/>
      <c r="X138" s="405"/>
      <c r="Y138" s="405"/>
      <c r="Z138" s="405"/>
      <c r="AA138" s="405"/>
      <c r="AB138" s="405"/>
      <c r="AC138" s="405"/>
      <c r="AD138" s="405"/>
      <c r="AE138" s="405"/>
      <c r="AF138" s="405"/>
      <c r="AG138"/>
      <c r="AH138"/>
      <c r="AI138"/>
      <c r="AJ138"/>
      <c r="AK138"/>
      <c r="AN138" s="928"/>
      <c r="AO138" s="928"/>
      <c r="AP138" s="928"/>
      <c r="AQ138" s="610"/>
      <c r="AR138" s="610"/>
    </row>
    <row r="139" spans="1:44" ht="14.65" customHeight="1" x14ac:dyDescent="0.15">
      <c r="C139" s="416"/>
      <c r="D139" s="416"/>
      <c r="E139" s="759">
        <v>15</v>
      </c>
      <c r="F139" s="416"/>
      <c r="G139" s="416"/>
      <c r="H139" s="416"/>
      <c r="I139" s="416"/>
      <c r="J139" s="416"/>
      <c r="M139" s="416"/>
      <c r="N139" s="416"/>
      <c r="O139" s="416"/>
      <c r="P139" s="416"/>
      <c r="Q139" s="416"/>
      <c r="R139" s="290"/>
      <c r="S139" s="416"/>
      <c r="T139" s="416"/>
      <c r="U139" s="416"/>
      <c r="V139" s="416"/>
      <c r="W139" s="416"/>
      <c r="X139" s="416"/>
      <c r="Y139" s="416"/>
      <c r="Z139" s="416"/>
      <c r="AA139" s="416"/>
      <c r="AB139" s="2035" t="s">
        <v>402</v>
      </c>
      <c r="AC139" s="2035"/>
      <c r="AD139" s="2035"/>
      <c r="AE139" s="2035"/>
      <c r="AF139" s="2035"/>
      <c r="AG139" s="2035"/>
      <c r="AH139" s="2035"/>
      <c r="AI139" s="2097"/>
      <c r="AJ139" s="2097"/>
      <c r="AK139" s="2097"/>
    </row>
    <row r="140" spans="1:44" ht="14.65" customHeight="1" x14ac:dyDescent="0.15">
      <c r="E140" s="556">
        <v>15</v>
      </c>
      <c r="AA140" s="585"/>
      <c r="AB140" s="2069"/>
      <c r="AC140" s="2069"/>
      <c r="AD140" s="2069"/>
      <c r="AE140" s="2069"/>
      <c r="AF140" s="2069"/>
      <c r="AG140" s="2069"/>
      <c r="AH140" s="2069"/>
      <c r="AI140" s="2070"/>
      <c r="AJ140" s="2070"/>
      <c r="AK140" s="2070"/>
    </row>
    <row r="141" spans="1:44" ht="14.65" hidden="1" customHeight="1" x14ac:dyDescent="0.15">
      <c r="E141" s="556">
        <v>15</v>
      </c>
      <c r="T141" s="388" t="b">
        <f>ROW(W141)&gt;ROW(W$141)</f>
        <v>0</v>
      </c>
      <c r="W141" s="677" t="s">
        <v>172</v>
      </c>
      <c r="AA141" s="586" t="s">
        <v>173</v>
      </c>
      <c r="AB141" s="2081" t="s">
        <v>147</v>
      </c>
      <c r="AC141" s="2081"/>
      <c r="AD141" s="2081"/>
      <c r="AE141" s="2081"/>
      <c r="AF141" s="2081"/>
      <c r="AG141" s="2081"/>
      <c r="AH141" s="2081"/>
      <c r="AI141" s="2070"/>
      <c r="AJ141" s="2070"/>
      <c r="AK141" s="2082"/>
    </row>
    <row r="142" spans="1:44" ht="14.65" customHeight="1" x14ac:dyDescent="0.15">
      <c r="E142" s="556">
        <v>15</v>
      </c>
      <c r="W142" s="677" t="s">
        <v>403</v>
      </c>
      <c r="AB142" s="606"/>
      <c r="AC142" s="437" t="s">
        <v>404</v>
      </c>
      <c r="AD142" s="227"/>
      <c r="AE142" s="227"/>
      <c r="AF142" s="228"/>
      <c r="AG142" s="228"/>
      <c r="AH142" s="228"/>
      <c r="AI142" s="228"/>
      <c r="AJ142" s="228"/>
      <c r="AK142" s="229"/>
    </row>
    <row r="143" spans="1:44" ht="10.7" customHeight="1" x14ac:dyDescent="0.15">
      <c r="E143" s="556">
        <v>11</v>
      </c>
      <c r="AL143" s="348"/>
    </row>
  </sheetData>
  <sheetProtection formatColumns="0" formatRows="0" insertRows="0" deleteColumns="0" deleteRows="0" sort="0" autoFilter="0"/>
  <mergeCells count="61">
    <mergeCell ref="AA115:AA117"/>
    <mergeCell ref="Y115:Y117"/>
    <mergeCell ref="AA100:AA102"/>
    <mergeCell ref="Y100:Y102"/>
    <mergeCell ref="AA103:AA105"/>
    <mergeCell ref="Y103:Y105"/>
    <mergeCell ref="X95:X137"/>
    <mergeCell ref="Z95:Z137"/>
    <mergeCell ref="AA97:AA99"/>
    <mergeCell ref="AA109:AA111"/>
    <mergeCell ref="AA121:AA123"/>
    <mergeCell ref="AA130:AA132"/>
    <mergeCell ref="Y97:Y99"/>
    <mergeCell ref="Y109:Y111"/>
    <mergeCell ref="Y121:Y123"/>
    <mergeCell ref="Y130:Y132"/>
    <mergeCell ref="AA133:AA135"/>
    <mergeCell ref="Y133:Y135"/>
    <mergeCell ref="AA124:AA126"/>
    <mergeCell ref="Y124:Y126"/>
    <mergeCell ref="AA112:AA114"/>
    <mergeCell ref="Y112:Y114"/>
    <mergeCell ref="AA72:AA74"/>
    <mergeCell ref="Y72:Y74"/>
    <mergeCell ref="AA57:AA59"/>
    <mergeCell ref="Y57:Y59"/>
    <mergeCell ref="AA60:AA62"/>
    <mergeCell ref="Y60:Y62"/>
    <mergeCell ref="X52:X94"/>
    <mergeCell ref="Z52:Z94"/>
    <mergeCell ref="AA54:AA56"/>
    <mergeCell ref="AA66:AA68"/>
    <mergeCell ref="AA78:AA80"/>
    <mergeCell ref="AA87:AA89"/>
    <mergeCell ref="Y54:Y56"/>
    <mergeCell ref="Y66:Y68"/>
    <mergeCell ref="Y78:Y80"/>
    <mergeCell ref="Y87:Y89"/>
    <mergeCell ref="AA90:AA92"/>
    <mergeCell ref="Y90:Y92"/>
    <mergeCell ref="AA81:AA83"/>
    <mergeCell ref="Y81:Y83"/>
    <mergeCell ref="AA69:AA71"/>
    <mergeCell ref="Y69:Y71"/>
    <mergeCell ref="AB24:AB25"/>
    <mergeCell ref="AC24:AC25"/>
    <mergeCell ref="AD24:AD25"/>
    <mergeCell ref="AK24:AK25"/>
    <mergeCell ref="AB141:AK141"/>
    <mergeCell ref="AB139:AK139"/>
    <mergeCell ref="AB140:AK140"/>
    <mergeCell ref="X27:X51"/>
    <mergeCell ref="Z27:Z51"/>
    <mergeCell ref="AA29:AA31"/>
    <mergeCell ref="AA35:AA37"/>
    <mergeCell ref="AA41:AA43"/>
    <mergeCell ref="AA47:AA49"/>
    <mergeCell ref="Y29:Y31"/>
    <mergeCell ref="Y35:Y37"/>
    <mergeCell ref="Y41:Y43"/>
    <mergeCell ref="Y47:Y49"/>
  </mergeCells>
  <dataValidations count="1">
    <dataValidation type="decimal" allowBlank="1" showErrorMessage="1" errorTitle="Ошибка" error="Допускается ввод только неотрицательных чисел!" sqref="AJ51 AJ54:AJ62 AJ64 AJ66:AJ74 AJ76 AJ78:AJ83 AJ85 AJ87:AJ92 AJ94 AJ97:AJ105 AJ107 AJ109:AJ117 AJ119 AJ121:AJ126 AJ128 AJ130:AJ135 AJ137 AI51 AI54:AI62 AI64 AI66:AI74 AI76 AI78:AI83 AI85 AI87:AI92 AI94 AI97:AI105 AI107 AI109:AI117 AI119 AI121:AI126 AI128 AI130:AI135 AI137 AH51 AH53 AH64:AH65 AH76:AH77 AH85:AH86 AH94 AH96 AH107:AH108 AH119:AH120 AH128:AH129 AH137 AG51 AG53 AG64:AG65 AG76:AG77 AG85:AG86 AG94 AG96 AG107:AG108 AG119:AG120 AG128:AG129 AG137 AF51 AF53 AF64:AF65 AF76:AF77 AF85:AF86 AF94 AF96 AF107:AF108 AF119:AF120 AF128:AF129 AF137 AE51 AE53 AE64:AE65 AE76:AE77 AE85:AE86 AE94 AE96 AE107:AE108 AE119:AE120 AE128:AE129 AE137 AI47:AJ49 AE46:AH46 AE45:AJ45 AI41:AJ43 AE40:AH40 AE39:AJ39 AI35:AJ37 AE34:AH34 AE33:AJ33 AI29:AJ31 AE28:AH28" xr:uid="{00000000-0002-0000-12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18609-E2F8-A983-A575-1C3909CB42B8}">
  <dimension ref="A1:AA17"/>
  <sheetViews>
    <sheetView showGridLines="0" showRowColHeaders="0" workbookViewId="0"/>
  </sheetViews>
  <sheetFormatPr defaultColWidth="10.42578125" defaultRowHeight="12.6" customHeight="1" x14ac:dyDescent="0.2"/>
  <cols>
    <col min="1" max="1" width="5.140625" style="1074" customWidth="1"/>
    <col min="2" max="2" width="8.5703125" style="359" customWidth="1"/>
    <col min="3" max="3" width="15.5703125" style="1074" customWidth="1"/>
    <col min="4" max="25" width="6" style="1074" customWidth="1"/>
    <col min="26" max="27" width="10.42578125" style="1074"/>
  </cols>
  <sheetData>
    <row r="1" spans="1:27" ht="15.75" customHeight="1" x14ac:dyDescent="0.2">
      <c r="A1" s="1042"/>
      <c r="B1" s="358"/>
      <c r="C1" s="1043"/>
      <c r="D1" s="1043"/>
      <c r="E1" s="1043"/>
      <c r="F1" s="1043"/>
      <c r="G1" s="1043"/>
      <c r="H1" s="1043"/>
      <c r="I1" s="1043"/>
      <c r="J1" s="1043"/>
      <c r="K1" s="1043"/>
      <c r="L1" s="1043"/>
      <c r="M1" s="1043"/>
      <c r="N1" s="1043"/>
      <c r="O1" s="1043"/>
      <c r="P1" s="1043"/>
      <c r="Q1" s="1043"/>
      <c r="R1" s="1043"/>
      <c r="S1" s="1043"/>
      <c r="T1" s="1043"/>
      <c r="U1" s="1043"/>
      <c r="V1" s="1043"/>
      <c r="W1" s="1043"/>
      <c r="X1" s="1043"/>
      <c r="Y1" s="1044"/>
      <c r="Z1" s="1043"/>
      <c r="AA1" s="1045" t="s">
        <v>3</v>
      </c>
    </row>
    <row r="2" spans="1:27" s="359" customFormat="1" ht="17.25" customHeight="1" x14ac:dyDescent="0.35">
      <c r="A2" s="1046"/>
      <c r="B2" s="1938" t="s">
        <v>4</v>
      </c>
      <c r="C2" s="1938"/>
      <c r="D2" s="1938"/>
      <c r="E2" s="1938"/>
      <c r="F2" s="1938"/>
      <c r="G2" s="1938"/>
      <c r="H2" s="1938"/>
      <c r="I2" s="1938"/>
      <c r="J2" s="1938"/>
      <c r="K2" s="1938"/>
      <c r="L2" s="1938"/>
      <c r="M2" s="1938"/>
      <c r="N2" s="1938"/>
      <c r="O2" s="1938"/>
      <c r="P2" s="1938"/>
      <c r="Q2" s="1047"/>
      <c r="R2" s="1047"/>
      <c r="S2" s="1047"/>
      <c r="T2" s="1047"/>
      <c r="U2" s="1047"/>
      <c r="V2" s="1048"/>
      <c r="W2" s="1047"/>
      <c r="X2" s="1047"/>
      <c r="Y2" s="1049"/>
      <c r="Z2" s="1046"/>
      <c r="AA2" s="1046"/>
    </row>
    <row r="3" spans="1:27" ht="15.75" customHeight="1" x14ac:dyDescent="0.35">
      <c r="A3" s="1043"/>
      <c r="B3" s="1939" t="s">
        <v>5</v>
      </c>
      <c r="C3" s="1939"/>
      <c r="D3" s="1939"/>
      <c r="E3" s="1939"/>
      <c r="F3" s="1939"/>
      <c r="G3" s="1939"/>
      <c r="H3" s="1939"/>
      <c r="I3" s="1939"/>
      <c r="J3" s="1939"/>
      <c r="K3" s="1939"/>
      <c r="L3" s="1939"/>
      <c r="M3" s="1939"/>
      <c r="N3" s="1939"/>
      <c r="O3" s="1939"/>
      <c r="P3" s="1939"/>
      <c r="Q3" s="1050"/>
      <c r="R3" s="1050"/>
      <c r="S3" s="1051"/>
      <c r="T3" s="1051"/>
      <c r="U3" s="1051"/>
      <c r="V3" s="1050"/>
      <c r="W3" s="1050"/>
      <c r="X3" s="1050"/>
      <c r="Y3" s="1050"/>
      <c r="Z3" s="1043"/>
      <c r="AA3" s="344"/>
    </row>
    <row r="4" spans="1:27" ht="16.5" customHeight="1" x14ac:dyDescent="0.35">
      <c r="A4" s="1043"/>
      <c r="B4" s="360"/>
      <c r="C4" s="1043"/>
      <c r="D4" s="1050"/>
      <c r="E4" s="1050"/>
      <c r="F4" s="1050"/>
      <c r="G4" s="1050"/>
      <c r="H4" s="1050"/>
      <c r="I4" s="1050"/>
      <c r="J4" s="1050"/>
      <c r="K4" s="1050"/>
      <c r="L4" s="1050"/>
      <c r="M4" s="1050"/>
      <c r="N4" s="1050"/>
      <c r="O4" s="1050"/>
      <c r="P4" s="1050"/>
      <c r="Q4" s="1050"/>
      <c r="R4" s="1050"/>
      <c r="S4" s="1050"/>
      <c r="T4" s="1050"/>
      <c r="U4" s="1050"/>
      <c r="V4" s="1050"/>
      <c r="W4" s="1050"/>
      <c r="X4" s="1050"/>
      <c r="Y4" s="1050"/>
      <c r="Z4" s="1043"/>
      <c r="AA4" s="344"/>
    </row>
    <row r="5" spans="1:27" ht="22.5" customHeight="1" x14ac:dyDescent="0.2">
      <c r="A5" s="1052"/>
      <c r="B5" s="1940"/>
      <c r="C5" s="1941"/>
      <c r="D5" s="1941"/>
      <c r="E5" s="1941"/>
      <c r="F5" s="1941"/>
      <c r="G5" s="1941"/>
      <c r="H5" s="1941"/>
      <c r="I5" s="1941"/>
      <c r="J5" s="1941"/>
      <c r="K5" s="1941"/>
      <c r="L5" s="1941"/>
      <c r="M5" s="1941"/>
      <c r="N5" s="1941"/>
      <c r="O5" s="1941"/>
      <c r="P5" s="1941"/>
      <c r="Q5" s="1941"/>
      <c r="R5" s="1941"/>
      <c r="S5" s="1941"/>
      <c r="T5" s="1941"/>
      <c r="U5" s="1941"/>
      <c r="V5" s="1941"/>
      <c r="W5" s="1941"/>
      <c r="X5" s="1941"/>
      <c r="Y5" s="1942"/>
      <c r="Z5" s="1052"/>
      <c r="AA5" s="344"/>
    </row>
    <row r="6" spans="1:27" ht="13.5" customHeight="1" x14ac:dyDescent="0.2">
      <c r="A6" s="1053"/>
      <c r="B6" s="1943" t="s">
        <v>6</v>
      </c>
      <c r="C6" s="1944"/>
      <c r="D6" s="1054"/>
      <c r="E6" s="1054"/>
      <c r="F6" s="1054"/>
      <c r="G6" s="1054"/>
      <c r="H6" s="1054"/>
      <c r="I6" s="1054"/>
      <c r="J6" s="1054"/>
      <c r="K6" s="1054"/>
      <c r="L6" s="1054"/>
      <c r="M6" s="1054"/>
      <c r="N6" s="1054"/>
      <c r="O6" s="1054"/>
      <c r="P6" s="1054"/>
      <c r="Q6" s="1054"/>
      <c r="R6" s="1054"/>
      <c r="S6" s="1054"/>
      <c r="T6" s="1054"/>
      <c r="U6" s="1054"/>
      <c r="V6" s="1054"/>
      <c r="W6" s="1054"/>
      <c r="X6" s="1054"/>
      <c r="Y6" s="1055"/>
      <c r="Z6" s="1056"/>
      <c r="AA6" s="1057"/>
    </row>
    <row r="7" spans="1:27" ht="13.5" customHeight="1" x14ac:dyDescent="0.2">
      <c r="A7" s="1053"/>
      <c r="B7" s="1943"/>
      <c r="C7" s="1944"/>
      <c r="D7" s="1054"/>
      <c r="E7" s="1054"/>
      <c r="F7" s="1058"/>
      <c r="G7" s="1058"/>
      <c r="H7" s="1058"/>
      <c r="I7" s="1058"/>
      <c r="J7" s="1058"/>
      <c r="K7" s="1058"/>
      <c r="L7" s="1058"/>
      <c r="M7" s="1058"/>
      <c r="N7" s="1058"/>
      <c r="O7" s="1054"/>
      <c r="P7" s="1058"/>
      <c r="Q7" s="1058"/>
      <c r="R7" s="1058"/>
      <c r="S7" s="1058"/>
      <c r="T7" s="1058"/>
      <c r="U7" s="1058"/>
      <c r="V7" s="1058"/>
      <c r="W7" s="1058"/>
      <c r="X7" s="1058"/>
      <c r="Y7" s="1055"/>
      <c r="Z7" s="1056"/>
      <c r="AA7" s="1057"/>
    </row>
    <row r="8" spans="1:27" ht="13.5" customHeight="1" x14ac:dyDescent="0.2">
      <c r="A8" s="1053"/>
      <c r="B8" s="1943"/>
      <c r="C8" s="1944"/>
      <c r="D8" s="1059"/>
      <c r="E8" s="1060" t="s">
        <v>7</v>
      </c>
      <c r="F8" s="1946" t="s">
        <v>8</v>
      </c>
      <c r="G8" s="1947"/>
      <c r="H8" s="1947"/>
      <c r="I8" s="1947"/>
      <c r="J8" s="1947"/>
      <c r="K8" s="1947"/>
      <c r="L8" s="1947"/>
      <c r="M8" s="1947"/>
      <c r="N8" s="1059"/>
      <c r="O8" s="1061" t="s">
        <v>7</v>
      </c>
      <c r="P8" s="1948" t="s">
        <v>9</v>
      </c>
      <c r="Q8" s="1949"/>
      <c r="R8" s="1949"/>
      <c r="S8" s="1949"/>
      <c r="T8" s="1949"/>
      <c r="U8" s="1949"/>
      <c r="V8" s="1949"/>
      <c r="W8" s="1949"/>
      <c r="X8" s="1949"/>
      <c r="Y8" s="1055"/>
      <c r="Z8" s="1056"/>
      <c r="AA8" s="1057"/>
    </row>
    <row r="9" spans="1:27" ht="13.5" customHeight="1" x14ac:dyDescent="0.2">
      <c r="A9" s="1053"/>
      <c r="B9" s="1943"/>
      <c r="C9" s="1944"/>
      <c r="D9" s="1059"/>
      <c r="E9" s="1062" t="s">
        <v>7</v>
      </c>
      <c r="F9" s="1946" t="s">
        <v>10</v>
      </c>
      <c r="G9" s="1947"/>
      <c r="H9" s="1947"/>
      <c r="I9" s="1947"/>
      <c r="J9" s="1947"/>
      <c r="K9" s="1947"/>
      <c r="L9" s="1947"/>
      <c r="M9" s="1947"/>
      <c r="N9" s="1059"/>
      <c r="O9" s="1063" t="s">
        <v>7</v>
      </c>
      <c r="P9" s="1948" t="s">
        <v>11</v>
      </c>
      <c r="Q9" s="1949"/>
      <c r="R9" s="1949"/>
      <c r="S9" s="1949"/>
      <c r="T9" s="1949"/>
      <c r="U9" s="1949"/>
      <c r="V9" s="1949"/>
      <c r="W9" s="1949"/>
      <c r="X9" s="1949"/>
      <c r="Y9" s="1055"/>
      <c r="Z9" s="1056"/>
      <c r="AA9" s="1057"/>
    </row>
    <row r="10" spans="1:27" ht="13.5" customHeight="1" x14ac:dyDescent="0.2">
      <c r="A10" s="1053"/>
      <c r="B10" s="1943"/>
      <c r="C10" s="1945"/>
      <c r="D10" s="1059"/>
      <c r="E10" s="1064" t="s">
        <v>7</v>
      </c>
      <c r="F10" s="1949" t="s">
        <v>12</v>
      </c>
      <c r="G10" s="1950"/>
      <c r="H10" s="1950"/>
      <c r="I10" s="1950"/>
      <c r="J10" s="1950"/>
      <c r="K10" s="1950"/>
      <c r="L10" s="1950"/>
      <c r="M10" s="1950"/>
      <c r="N10" s="1950"/>
      <c r="O10" s="1065" t="s">
        <v>7</v>
      </c>
      <c r="P10" s="1949" t="s">
        <v>13</v>
      </c>
      <c r="Q10" s="1950"/>
      <c r="R10" s="1950"/>
      <c r="S10" s="1950"/>
      <c r="T10" s="1950"/>
      <c r="U10" s="1950"/>
      <c r="V10" s="1950"/>
      <c r="W10" s="1950"/>
      <c r="X10" s="1950"/>
      <c r="Y10" s="1055"/>
      <c r="Z10" s="1056"/>
      <c r="AA10" s="1057"/>
    </row>
    <row r="11" spans="1:27" ht="30" customHeight="1" x14ac:dyDescent="0.2">
      <c r="A11" s="1053"/>
      <c r="B11" s="1943"/>
      <c r="C11" s="1945"/>
      <c r="D11" s="1066"/>
      <c r="E11" s="1067"/>
      <c r="F11" s="1058"/>
      <c r="G11" s="1058"/>
      <c r="H11" s="1058"/>
      <c r="I11" s="1058"/>
      <c r="J11" s="1058"/>
      <c r="K11" s="1058"/>
      <c r="L11" s="1058"/>
      <c r="M11" s="1058"/>
      <c r="N11" s="1058"/>
      <c r="O11" s="1067"/>
      <c r="P11" s="1058"/>
      <c r="Q11" s="1058"/>
      <c r="R11" s="1058"/>
      <c r="S11" s="1058"/>
      <c r="T11" s="1058"/>
      <c r="U11" s="1058"/>
      <c r="V11" s="1058"/>
      <c r="W11" s="1058"/>
      <c r="X11" s="1058"/>
      <c r="Y11" s="1055"/>
      <c r="Z11" s="1056"/>
      <c r="AA11" s="1057"/>
    </row>
    <row r="12" spans="1:27" ht="19.5" customHeight="1" x14ac:dyDescent="0.2">
      <c r="A12" s="1053"/>
      <c r="B12" s="1951" t="s">
        <v>14</v>
      </c>
      <c r="C12" s="1952"/>
      <c r="D12" s="1059"/>
      <c r="E12" s="1068"/>
      <c r="F12" s="1068"/>
      <c r="G12" s="1068"/>
      <c r="H12" s="1068"/>
      <c r="I12" s="1068"/>
      <c r="J12" s="1068"/>
      <c r="K12" s="1068"/>
      <c r="L12" s="1068"/>
      <c r="M12" s="1068"/>
      <c r="N12" s="1068"/>
      <c r="O12" s="1068"/>
      <c r="P12" s="1068"/>
      <c r="Q12" s="1068"/>
      <c r="R12" s="1068"/>
      <c r="S12" s="1068"/>
      <c r="T12" s="1068"/>
      <c r="U12" s="1068"/>
      <c r="V12" s="1068"/>
      <c r="W12" s="1068"/>
      <c r="X12" s="1068"/>
      <c r="Y12" s="1055"/>
      <c r="Z12" s="1056"/>
      <c r="AA12" s="1057"/>
    </row>
    <row r="13" spans="1:27" ht="68.25" customHeight="1" x14ac:dyDescent="0.2">
      <c r="A13" s="1053"/>
      <c r="B13" s="1943"/>
      <c r="C13" s="1945"/>
      <c r="D13" s="1069"/>
      <c r="E13" s="1947" t="s">
        <v>15</v>
      </c>
      <c r="F13" s="1947"/>
      <c r="G13" s="1947"/>
      <c r="H13" s="1947"/>
      <c r="I13" s="1947"/>
      <c r="J13" s="1947"/>
      <c r="K13" s="1947"/>
      <c r="L13" s="1947"/>
      <c r="M13" s="1947"/>
      <c r="N13" s="1947"/>
      <c r="O13" s="1947"/>
      <c r="P13" s="1947"/>
      <c r="Q13" s="1947"/>
      <c r="R13" s="1947"/>
      <c r="S13" s="1947"/>
      <c r="T13" s="1947"/>
      <c r="U13" s="1947"/>
      <c r="V13" s="1947"/>
      <c r="W13" s="1947"/>
      <c r="X13" s="1947"/>
      <c r="Y13" s="1055"/>
      <c r="Z13" s="1056"/>
      <c r="AA13" s="1057"/>
    </row>
    <row r="14" spans="1:27" ht="13.5" customHeight="1" x14ac:dyDescent="0.2">
      <c r="A14" s="1053"/>
      <c r="B14" s="1951" t="s">
        <v>16</v>
      </c>
      <c r="C14" s="1952"/>
      <c r="D14" s="1054"/>
      <c r="E14" s="1068"/>
      <c r="F14" s="1068"/>
      <c r="G14" s="1068"/>
      <c r="H14" s="1068"/>
      <c r="I14" s="1068"/>
      <c r="J14" s="1068"/>
      <c r="K14" s="1068"/>
      <c r="L14" s="1068"/>
      <c r="M14" s="1068"/>
      <c r="N14" s="1068"/>
      <c r="O14" s="1068"/>
      <c r="P14" s="1068"/>
      <c r="Q14" s="1068"/>
      <c r="R14" s="1068"/>
      <c r="S14" s="1068"/>
      <c r="T14" s="1068"/>
      <c r="U14" s="1068"/>
      <c r="V14" s="1068"/>
      <c r="W14" s="1068"/>
      <c r="X14" s="1068"/>
      <c r="Y14" s="1055"/>
      <c r="Z14" s="1056"/>
      <c r="AA14" s="1057"/>
    </row>
    <row r="15" spans="1:27" ht="65.25" customHeight="1" x14ac:dyDescent="0.2">
      <c r="A15" s="1053"/>
      <c r="B15" s="1943"/>
      <c r="C15" s="1944"/>
      <c r="D15" s="1059"/>
      <c r="E15" s="1955" t="s">
        <v>17</v>
      </c>
      <c r="F15" s="1955"/>
      <c r="G15" s="1955"/>
      <c r="H15" s="1955"/>
      <c r="I15" s="1955"/>
      <c r="J15" s="1955"/>
      <c r="K15" s="1955"/>
      <c r="L15" s="1955"/>
      <c r="M15" s="1955"/>
      <c r="N15" s="1955"/>
      <c r="O15" s="1955"/>
      <c r="P15" s="1955"/>
      <c r="Q15" s="1955"/>
      <c r="R15" s="1955"/>
      <c r="S15" s="1955"/>
      <c r="T15" s="1955"/>
      <c r="U15" s="1955"/>
      <c r="V15" s="1955"/>
      <c r="W15" s="1955"/>
      <c r="X15" s="1955"/>
      <c r="Y15" s="1055"/>
      <c r="Z15" s="1056"/>
      <c r="AA15" s="1057"/>
    </row>
    <row r="16" spans="1:27" ht="16.5" customHeight="1" x14ac:dyDescent="0.2">
      <c r="A16" s="1053"/>
      <c r="B16" s="1953"/>
      <c r="C16" s="1954"/>
      <c r="D16" s="1070"/>
      <c r="E16" s="1071"/>
      <c r="F16" s="1071"/>
      <c r="G16" s="1071"/>
      <c r="H16" s="1071"/>
      <c r="I16" s="1071"/>
      <c r="J16" s="1071"/>
      <c r="K16" s="1071"/>
      <c r="L16" s="1071"/>
      <c r="M16" s="1071"/>
      <c r="N16" s="1071"/>
      <c r="O16" s="1071"/>
      <c r="P16" s="1071"/>
      <c r="Q16" s="1071"/>
      <c r="R16" s="1071"/>
      <c r="S16" s="1071"/>
      <c r="T16" s="1071"/>
      <c r="U16" s="1071"/>
      <c r="V16" s="1071"/>
      <c r="W16" s="1071"/>
      <c r="X16" s="1071"/>
      <c r="Y16" s="1072"/>
      <c r="Z16" s="1056"/>
      <c r="AA16" s="1073"/>
    </row>
    <row r="17" spans="1:27" ht="95.25" customHeight="1" x14ac:dyDescent="0.2">
      <c r="A17" s="1043"/>
      <c r="B17" s="1955"/>
      <c r="C17" s="1956"/>
      <c r="D17" s="1956"/>
      <c r="E17" s="1956"/>
      <c r="F17" s="1956"/>
      <c r="G17" s="1956"/>
      <c r="H17" s="1956"/>
      <c r="I17" s="1956"/>
      <c r="J17" s="1956"/>
      <c r="K17" s="1956"/>
      <c r="L17" s="1956"/>
      <c r="M17" s="1956"/>
      <c r="N17" s="1956"/>
      <c r="O17" s="1956"/>
      <c r="P17" s="1956"/>
      <c r="Q17" s="1956"/>
      <c r="R17" s="1956"/>
      <c r="S17" s="1956"/>
      <c r="T17" s="1956"/>
      <c r="U17" s="1956"/>
      <c r="V17" s="1956"/>
      <c r="W17" s="1956"/>
      <c r="X17" s="1956"/>
      <c r="Y17" s="1956"/>
      <c r="Z17" s="1043"/>
      <c r="AA17" s="344"/>
    </row>
  </sheetData>
  <sheetProtection insertRows="0" deleteColumns="0" deleteRows="0" sort="0" autoFilter="0"/>
  <mergeCells count="15">
    <mergeCell ref="B12:C13"/>
    <mergeCell ref="E13:X13"/>
    <mergeCell ref="B14:C16"/>
    <mergeCell ref="E15:X15"/>
    <mergeCell ref="B17:Y17"/>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443B9-8BDC-6568-6CF2-CA409A188914}">
  <sheetPr>
    <tabColor rgb="FF002060"/>
    <outlinePr summaryBelow="0"/>
    <pageSetUpPr fitToPage="1"/>
  </sheetPr>
  <dimension ref="A1:AN89"/>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214" hidden="1" customWidth="1"/>
    <col min="2" max="2" width="8.5703125" style="1083" hidden="1" customWidth="1"/>
    <col min="3" max="4" width="3.5703125" style="1214" hidden="1" customWidth="1"/>
    <col min="5" max="5" width="3.5703125" style="1215" hidden="1" customWidth="1"/>
    <col min="6" max="7" width="3.5703125" style="1214" hidden="1" customWidth="1"/>
    <col min="8" max="8" width="2.28515625" style="1214" hidden="1" customWidth="1"/>
    <col min="9" max="10" width="3.5703125" style="1214" hidden="1" customWidth="1"/>
    <col min="11" max="11" width="6.140625" style="1214" hidden="1" customWidth="1"/>
    <col min="12" max="12" width="8.5703125" style="1214" hidden="1" customWidth="1"/>
    <col min="13" max="17" width="3.5703125" style="1214" hidden="1" customWidth="1"/>
    <col min="18" max="18" width="3.5703125" style="1232" hidden="1" customWidth="1"/>
    <col min="19" max="19" width="3.5703125" style="1214" hidden="1" customWidth="1"/>
    <col min="20" max="20" width="9.5703125" style="1214" hidden="1" customWidth="1"/>
    <col min="21" max="21" width="5.85546875" style="1214" hidden="1" customWidth="1"/>
    <col min="22" max="23" width="6.140625" style="1214" hidden="1" customWidth="1"/>
    <col min="24" max="25" width="5.5703125" style="1214" hidden="1" customWidth="1"/>
    <col min="26" max="26" width="5.28515625" style="1214" hidden="1" customWidth="1"/>
    <col min="27" max="27" width="3" style="1214" customWidth="1"/>
    <col min="28" max="28" width="11" style="1214" customWidth="1"/>
    <col min="29" max="29" width="55" style="1214" customWidth="1"/>
    <col min="30" max="30" width="12" style="1214" customWidth="1"/>
    <col min="31" max="36" width="13" style="1214" customWidth="1"/>
    <col min="37" max="37" width="20" style="1214" customWidth="1"/>
    <col min="38" max="38" width="3" style="1214" customWidth="1"/>
    <col min="39" max="39" width="9.140625" style="1214" hidden="1"/>
    <col min="40" max="40" width="9.140625" style="1216" hidden="1"/>
  </cols>
  <sheetData>
    <row r="1" spans="1:40" ht="11.25" hidden="1" customHeight="1" x14ac:dyDescent="0.15">
      <c r="E1" s="17"/>
      <c r="F1" s="17" t="s">
        <v>319</v>
      </c>
      <c r="H1" s="17" t="s">
        <v>330</v>
      </c>
      <c r="T1" s="388" t="s">
        <v>92</v>
      </c>
      <c r="U1" s="388" t="s">
        <v>97</v>
      </c>
      <c r="V1" s="388" t="s">
        <v>93</v>
      </c>
      <c r="W1" s="388" t="s">
        <v>94</v>
      </c>
      <c r="X1" s="388" t="s">
        <v>95</v>
      </c>
      <c r="Y1" s="390" t="s">
        <v>321</v>
      </c>
      <c r="Z1" s="388" t="s">
        <v>99</v>
      </c>
      <c r="AA1" s="389" t="s">
        <v>96</v>
      </c>
      <c r="AB1" s="4"/>
      <c r="AC1" s="389" t="s">
        <v>98</v>
      </c>
      <c r="AN1" s="924" t="s">
        <v>322</v>
      </c>
    </row>
    <row r="2" spans="1:40" s="1083" customFormat="1" ht="11.25" hidden="1" customHeight="1" x14ac:dyDescent="0.15">
      <c r="B2" s="367" t="s">
        <v>18</v>
      </c>
      <c r="AI2" s="368" t="b">
        <f>AI6&lt;=last_year_vis</f>
        <v>1</v>
      </c>
      <c r="AJ2" s="368" t="b">
        <f>AJ6&lt;=last_year_vis</f>
        <v>1</v>
      </c>
      <c r="AN2" s="925"/>
    </row>
    <row r="3" spans="1:40" ht="11.25" hidden="1" customHeight="1" x14ac:dyDescent="0.15">
      <c r="E3" s="17"/>
    </row>
    <row r="4" spans="1:40" ht="11.25" hidden="1" customHeight="1" x14ac:dyDescent="0.15">
      <c r="E4" s="17"/>
    </row>
    <row r="5" spans="1:40" s="1215" customFormat="1" ht="11.25" hidden="1" customHeight="1" x14ac:dyDescent="0.15">
      <c r="A5" s="17"/>
      <c r="B5" s="349"/>
      <c r="C5" s="17"/>
      <c r="D5" s="17"/>
      <c r="E5" s="556" t="s">
        <v>19</v>
      </c>
      <c r="R5" s="541"/>
      <c r="AA5" s="556">
        <v>3</v>
      </c>
      <c r="AB5" s="556">
        <v>11</v>
      </c>
      <c r="AC5" s="556">
        <v>55</v>
      </c>
      <c r="AD5" s="556">
        <v>12</v>
      </c>
      <c r="AE5" s="556">
        <v>13</v>
      </c>
      <c r="AF5" s="556">
        <v>13</v>
      </c>
      <c r="AG5" s="556">
        <v>13</v>
      </c>
      <c r="AH5" s="556">
        <v>13</v>
      </c>
      <c r="AI5" s="556">
        <v>13</v>
      </c>
      <c r="AJ5" s="556">
        <v>13</v>
      </c>
      <c r="AK5" s="556">
        <v>20</v>
      </c>
      <c r="AL5" s="556">
        <v>3</v>
      </c>
      <c r="AN5" s="924"/>
    </row>
    <row r="6" spans="1:40" ht="11.25" hidden="1" customHeight="1" x14ac:dyDescent="0.15">
      <c r="A6" s="17" t="s">
        <v>357</v>
      </c>
      <c r="AE6" s="17">
        <f>god-2</f>
        <v>2024</v>
      </c>
      <c r="AF6" s="17">
        <f>god-2</f>
        <v>2024</v>
      </c>
      <c r="AG6" s="17">
        <f>god-2</f>
        <v>2024</v>
      </c>
      <c r="AH6" s="17">
        <f>god-1</f>
        <v>2025</v>
      </c>
      <c r="AI6" s="17" cm="1">
        <f t="array" ref="AI6">god</f>
        <v>2026</v>
      </c>
      <c r="AJ6" s="17" cm="1">
        <f t="array" ref="AJ6">god</f>
        <v>2026</v>
      </c>
    </row>
    <row r="7" spans="1:40" ht="11.25" hidden="1" customHeight="1" x14ac:dyDescent="0.15">
      <c r="A7" s="17" t="s">
        <v>358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Принято органом регулирования</v>
      </c>
    </row>
    <row r="8" spans="1:40" ht="11.25" hidden="1" customHeight="1" x14ac:dyDescent="0.15"/>
    <row r="9" spans="1:40" s="1216" customFormat="1" ht="11.25" hidden="1" customHeight="1" x14ac:dyDescent="0.15">
      <c r="A9" s="924" t="s">
        <v>362</v>
      </c>
      <c r="B9" s="925"/>
      <c r="R9" s="926"/>
      <c r="AE9" s="924" cm="1">
        <f t="array" ref="AE9">AE6</f>
        <v>2024</v>
      </c>
      <c r="AF9" s="924" cm="1">
        <f t="array" ref="AF9">AF6</f>
        <v>2024</v>
      </c>
      <c r="AG9" s="924" cm="1">
        <f t="array" ref="AG9">AG6</f>
        <v>2024</v>
      </c>
      <c r="AH9" s="924" cm="1">
        <f t="array" ref="AH9">AH6</f>
        <v>2025</v>
      </c>
      <c r="AI9" s="924" cm="1">
        <f t="array" ref="AI9">AI6</f>
        <v>2026</v>
      </c>
      <c r="AJ9" s="924" cm="1">
        <f t="array" ref="AJ9">AJ6</f>
        <v>2026</v>
      </c>
    </row>
    <row r="10" spans="1:40" s="1216" customFormat="1" ht="11.25" hidden="1" customHeight="1" x14ac:dyDescent="0.15">
      <c r="A10" s="924" t="s">
        <v>363</v>
      </c>
      <c r="B10" s="925"/>
      <c r="R10" s="926"/>
      <c r="AE10" s="924" t="str" cm="1">
        <f t="array" ref="AE10">AE25</f>
        <v>Принято органом регулирования</v>
      </c>
      <c r="AF10" s="924" t="str" cm="1">
        <f t="array" ref="AF10">AF25</f>
        <v>Факт по данным организации</v>
      </c>
      <c r="AG10" s="924" t="str" cm="1">
        <f t="array" ref="AG10">AG25</f>
        <v>Факт, принятый органом регулирования</v>
      </c>
      <c r="AH10" s="924" t="str" cm="1">
        <f t="array" ref="AH10">AH25</f>
        <v>Принято органом регулирования</v>
      </c>
      <c r="AI10" s="924" t="str" cm="1">
        <f t="array" ref="AI10">AI25</f>
        <v>Предложение организации</v>
      </c>
      <c r="AJ10" s="924" t="str" cm="1">
        <f t="array" ref="AJ10">AJ25</f>
        <v>Принято органом регулирования</v>
      </c>
    </row>
    <row r="11" spans="1:40" s="1216" customFormat="1" ht="11.25" hidden="1" customHeight="1" x14ac:dyDescent="0.15">
      <c r="A11" s="924" t="s">
        <v>364</v>
      </c>
      <c r="B11" s="925"/>
      <c r="R11" s="926"/>
      <c r="AK11" s="950" t="str" cm="1">
        <f t="array" ref="AK11">AK24</f>
        <v>Ссылка на правовую норму (основание для принятия показателя в расчет тарифа)</v>
      </c>
    </row>
    <row r="12" spans="1:40" ht="11.25" hidden="1" customHeight="1" x14ac:dyDescent="0.15"/>
    <row r="13" spans="1:40" ht="11.25" hidden="1" customHeight="1" x14ac:dyDescent="0.15"/>
    <row r="14" spans="1:40" ht="11.25" hidden="1" customHeight="1" x14ac:dyDescent="0.15"/>
    <row r="15" spans="1:40" ht="11.25" hidden="1" customHeight="1" x14ac:dyDescent="0.15"/>
    <row r="16" spans="1:40" ht="11.25" hidden="1" customHeight="1" x14ac:dyDescent="0.15"/>
    <row r="17" spans="2:40" ht="11.25" hidden="1" customHeight="1" x14ac:dyDescent="0.15">
      <c r="AK17" s="71"/>
    </row>
    <row r="18" spans="2:40" ht="11.25" hidden="1" customHeight="1" x14ac:dyDescent="0.15"/>
    <row r="19" spans="2:40" ht="11.25" hidden="1" customHeight="1" x14ac:dyDescent="0.15"/>
    <row r="20" spans="2:40" ht="11.25" hidden="1" customHeight="1" x14ac:dyDescent="0.15"/>
    <row r="21" spans="2:40" ht="14.65" customHeight="1" x14ac:dyDescent="0.15">
      <c r="E21" s="556">
        <v>15</v>
      </c>
      <c r="AA21" s="347"/>
      <c r="AC21" s="3" t="str" cm="1">
        <f t="array" ref="AC21">tpl_title</f>
        <v>Кемеровская область / 2026 / ООО "Чистая вода" (ИНН:4246023100, КПП:424601001) / ДПР: 2024-2032</v>
      </c>
    </row>
    <row r="22" spans="2:40" s="1249" customFormat="1" ht="19.7" customHeight="1" x14ac:dyDescent="0.15">
      <c r="B22" s="349"/>
      <c r="E22" s="557">
        <v>20.25</v>
      </c>
      <c r="R22" s="3"/>
      <c r="AB22" s="236" t="s">
        <v>63</v>
      </c>
      <c r="AC22" s="266"/>
      <c r="AD22" s="266"/>
      <c r="AE22" s="266"/>
      <c r="AF22" s="266"/>
      <c r="AG22" s="266"/>
      <c r="AH22" s="266"/>
      <c r="AI22" s="266"/>
      <c r="AJ22" s="266"/>
      <c r="AK22" s="266"/>
      <c r="AN22" s="927"/>
    </row>
    <row r="23" spans="2:40" s="1249" customFormat="1" ht="10.9" customHeight="1" x14ac:dyDescent="0.15">
      <c r="B23" s="349"/>
      <c r="E23" s="557">
        <v>11.25</v>
      </c>
      <c r="R23" s="3"/>
      <c r="AB23" s="267"/>
      <c r="AC23" s="121"/>
      <c r="AD23" s="121"/>
      <c r="AE23" s="121"/>
      <c r="AF23" s="121"/>
      <c r="AG23" s="121"/>
      <c r="AH23" s="121"/>
      <c r="AI23" s="121"/>
      <c r="AJ23" s="121"/>
      <c r="AK23" s="121"/>
      <c r="AN23" s="927"/>
    </row>
    <row r="24" spans="2:40" s="1086" customFormat="1" ht="14.65" customHeight="1" x14ac:dyDescent="0.15">
      <c r="B24" s="351"/>
      <c r="E24" s="554">
        <v>15</v>
      </c>
      <c r="R24" s="265"/>
      <c r="AB24" s="2035" t="s">
        <v>813</v>
      </c>
      <c r="AC24" s="2083" t="s">
        <v>194</v>
      </c>
      <c r="AD24" s="2035" t="s">
        <v>367</v>
      </c>
      <c r="AE24" s="10" t="str">
        <f>god-2&amp;" год"</f>
        <v>2024 год</v>
      </c>
      <c r="AF24" s="1028" t="str">
        <f>god-2&amp;" год"</f>
        <v>2024 год</v>
      </c>
      <c r="AG24" s="10" t="str">
        <f>god-2&amp;" год"</f>
        <v>2024 год</v>
      </c>
      <c r="AH24" s="10" t="str">
        <f>god-1&amp;" год"</f>
        <v>2025 год</v>
      </c>
      <c r="AI24" s="1026" t="str">
        <f>god&amp;" год"</f>
        <v>2026 год</v>
      </c>
      <c r="AJ24" s="11" t="str">
        <f>god&amp;" год"</f>
        <v>2026 год</v>
      </c>
      <c r="AK24" s="2060" t="s">
        <v>558</v>
      </c>
      <c r="AN24" s="922"/>
    </row>
    <row r="25" spans="2:40" s="1086" customFormat="1" ht="44.1" customHeight="1" x14ac:dyDescent="0.15">
      <c r="B25" s="351"/>
      <c r="E25" s="554">
        <v>45.25</v>
      </c>
      <c r="R25" s="265"/>
      <c r="AB25" s="2093"/>
      <c r="AC25" s="2093"/>
      <c r="AD25" s="2093"/>
      <c r="AE25" s="10" t="s">
        <v>359</v>
      </c>
      <c r="AF25" s="1028" t="s">
        <v>484</v>
      </c>
      <c r="AG25" s="10" t="s">
        <v>485</v>
      </c>
      <c r="AH25" s="10" t="s">
        <v>359</v>
      </c>
      <c r="AI25" s="1030" t="s">
        <v>360</v>
      </c>
      <c r="AJ25" s="276" t="s">
        <v>359</v>
      </c>
      <c r="AK25" s="2093"/>
      <c r="AN25" s="922"/>
    </row>
    <row r="26" spans="2:40" ht="15" hidden="1" customHeight="1" x14ac:dyDescent="0.15">
      <c r="C26"/>
      <c r="D26"/>
      <c r="E26" s="185">
        <v>0</v>
      </c>
      <c r="F26" s="4"/>
      <c r="G26"/>
      <c r="H26"/>
      <c r="I26"/>
      <c r="J26"/>
      <c r="K26"/>
      <c r="L26"/>
      <c r="M26"/>
      <c r="N26"/>
      <c r="O26"/>
      <c r="P26"/>
      <c r="Q26"/>
      <c r="R26"/>
      <c r="S26"/>
      <c r="T26"/>
      <c r="U26"/>
      <c r="V26"/>
      <c r="W26"/>
      <c r="X26"/>
      <c r="Y26"/>
      <c r="Z26"/>
      <c r="AA26"/>
      <c r="AB26"/>
      <c r="AC26" s="19"/>
      <c r="AD26" s="19"/>
      <c r="AE26" s="19"/>
      <c r="AF26" s="19"/>
      <c r="AG26"/>
      <c r="AH26"/>
      <c r="AI26"/>
      <c r="AJ26"/>
      <c r="AK26"/>
      <c r="AL26"/>
    </row>
    <row r="27" spans="2:40" ht="10.9" hidden="1" customHeight="1" x14ac:dyDescent="0.15">
      <c r="C27" s="65"/>
      <c r="D27" s="65"/>
      <c r="E27" s="185">
        <v>11.25</v>
      </c>
      <c r="F27" s="17" cm="1">
        <f t="array" ref="F27">X27</f>
        <v>0</v>
      </c>
      <c r="G27" s="65"/>
      <c r="H27" s="65"/>
      <c r="I27" s="65"/>
      <c r="J27" s="65"/>
      <c r="K27" s="65"/>
      <c r="L27" s="65"/>
      <c r="M27" s="65"/>
      <c r="N27" s="65"/>
      <c r="O27" s="65"/>
      <c r="P27" s="65"/>
      <c r="Q27" s="65"/>
      <c r="R27" s="65"/>
      <c r="S27" s="65"/>
      <c r="T27" s="388" t="b">
        <f>X27&gt;0</f>
        <v>0</v>
      </c>
      <c r="U27" s="65"/>
      <c r="V27" s="65" t="s">
        <v>271</v>
      </c>
      <c r="W27" s="65"/>
      <c r="X27" s="2009">
        <v>0</v>
      </c>
      <c r="Y27" s="65"/>
      <c r="Z27" s="2034"/>
      <c r="AA27" s="65"/>
      <c r="AB27" s="161" t="str" cm="1">
        <f t="array" ref="AB27">INDEX('Общие сведения'!$AG$185:$AG$228,MATCH($X27,'Общие сведения'!$Z$185:$Z$228,0))</f>
        <v xml:space="preserve">Тариф 0 () - </v>
      </c>
      <c r="AC27" s="99"/>
      <c r="AD27" s="99"/>
      <c r="AE27" s="223">
        <f t="shared" ref="AE27:AJ27" ca="1" si="0">AE28+AE29+AE30+AE38+AE39+AE40+AE41+AE42</f>
        <v>0</v>
      </c>
      <c r="AF27" s="223">
        <f t="shared" ca="1" si="0"/>
        <v>0</v>
      </c>
      <c r="AG27" s="223">
        <f t="shared" ca="1" si="0"/>
        <v>0</v>
      </c>
      <c r="AH27" s="223">
        <f t="shared" ca="1" si="0"/>
        <v>0</v>
      </c>
      <c r="AI27" s="223">
        <f t="shared" ca="1" si="0"/>
        <v>0</v>
      </c>
      <c r="AJ27" s="223">
        <f t="shared" ca="1" si="0"/>
        <v>0</v>
      </c>
      <c r="AK27" s="93"/>
      <c r="AL27" s="65"/>
    </row>
    <row r="28" spans="2:40" ht="21.95" hidden="1" customHeight="1" x14ac:dyDescent="0.15">
      <c r="C28" s="65"/>
      <c r="D28" s="65"/>
      <c r="E28" s="185">
        <v>22.5</v>
      </c>
      <c r="F28" s="3" cm="1">
        <f t="array" aca="1" ref="F28" ca="1">OFFSET(E28,-1,1)</f>
        <v>0</v>
      </c>
      <c r="G28" s="65"/>
      <c r="H28" s="45" t="s">
        <v>331</v>
      </c>
      <c r="I28" s="65"/>
      <c r="J28" s="65"/>
      <c r="K28" s="65"/>
      <c r="L28" s="65"/>
      <c r="M28" s="65"/>
      <c r="N28" s="65"/>
      <c r="O28" s="65"/>
      <c r="P28" s="65"/>
      <c r="Q28" s="65"/>
      <c r="R28" s="65"/>
      <c r="S28" s="65"/>
      <c r="T28" s="388" t="b" cm="1">
        <f t="array" ref="T28">T27</f>
        <v>0</v>
      </c>
      <c r="U28" s="65"/>
      <c r="V28" s="65"/>
      <c r="W28" s="65"/>
      <c r="X28" s="2009"/>
      <c r="Y28" s="65"/>
      <c r="Z28" s="2034"/>
      <c r="AA28" s="65"/>
      <c r="AB28" s="268">
        <v>1</v>
      </c>
      <c r="AC28" s="257" t="s">
        <v>1128</v>
      </c>
      <c r="AD28" s="9" t="s">
        <v>831</v>
      </c>
      <c r="AE28" s="808">
        <f ca="1">SUMIFS(ФОТ!AE$25:AE$138,ФОТ!$F$25:$F$138,$F28,ФОТ!$AC$25:$AC$138,$AC28)</f>
        <v>0</v>
      </c>
      <c r="AF28" s="808">
        <f ca="1">SUMIFS(ФОТ!AF$25:AF$138,ФОТ!$F$25:$F$138,$F28,ФОТ!$AC$25:$AC$138,$AC28)</f>
        <v>0</v>
      </c>
      <c r="AG28" s="808">
        <f ca="1">SUMIFS(ФОТ!AG$25:AG$138,ФОТ!$F$25:$F$138,$F28,ФОТ!$AC$25:$AC$138,$AC28)</f>
        <v>0</v>
      </c>
      <c r="AH28" s="808">
        <f ca="1">SUMIFS(ФОТ!AH$25:AH$138,ФОТ!$F$25:$F$138,$F28,ФОТ!$AC$25:$AC$138,$AC28)</f>
        <v>0</v>
      </c>
      <c r="AI28" s="808">
        <f ca="1">SUMIFS(ФОТ!AI$25:AI$138,ФОТ!$F$25:$F$138,$F28,ФОТ!$AC$25:$AC$138,$AC28)</f>
        <v>0</v>
      </c>
      <c r="AJ28" s="808">
        <f ca="1">SUMIFS(ФОТ!AJ$25:AJ$138,ФОТ!$F$25:$F$138,$F28,ФОТ!$AC$25:$AC$138,$AC28)</f>
        <v>0</v>
      </c>
      <c r="AK28" s="1370"/>
      <c r="AL28" s="65"/>
      <c r="AN28" s="924" t="s">
        <v>1154</v>
      </c>
    </row>
    <row r="29" spans="2:40" ht="21.95" hidden="1" customHeight="1" x14ac:dyDescent="0.15">
      <c r="C29" s="65"/>
      <c r="D29" s="65"/>
      <c r="E29" s="185">
        <v>22.5</v>
      </c>
      <c r="F29" s="3" cm="1">
        <f t="array" aca="1" ref="F29" ca="1">OFFSET(E29,-1,1)</f>
        <v>0</v>
      </c>
      <c r="G29" s="65"/>
      <c r="H29" s="45" t="s">
        <v>332</v>
      </c>
      <c r="I29" s="65"/>
      <c r="J29" s="406"/>
      <c r="K29" s="406"/>
      <c r="L29" s="406"/>
      <c r="M29" s="65"/>
      <c r="N29" s="65"/>
      <c r="O29" s="65"/>
      <c r="P29" s="65"/>
      <c r="Q29" s="65"/>
      <c r="R29" s="65"/>
      <c r="S29" s="65"/>
      <c r="T29" s="388" t="b" cm="1">
        <f t="array" ref="T29">T28</f>
        <v>0</v>
      </c>
      <c r="U29" s="65"/>
      <c r="V29" s="65"/>
      <c r="W29" s="65"/>
      <c r="X29" s="2009"/>
      <c r="Y29" s="65"/>
      <c r="Z29" s="2034"/>
      <c r="AA29" s="65"/>
      <c r="AB29" s="268" t="s">
        <v>289</v>
      </c>
      <c r="AC29" s="257" t="s">
        <v>1133</v>
      </c>
      <c r="AD29" s="9" t="s">
        <v>831</v>
      </c>
      <c r="AE29" s="808">
        <f ca="1">SUMIFS(ФОТ!AE$25:AE$138,ФОТ!$F$25:$F$138,$F29,ФОТ!$AC$25:$AC$138,$AC29)</f>
        <v>0</v>
      </c>
      <c r="AF29" s="808">
        <f ca="1">SUMIFS(ФОТ!AF$25:AF$138,ФОТ!$F$25:$F$138,$F29,ФОТ!$AC$25:$AC$138,$AC29)</f>
        <v>0</v>
      </c>
      <c r="AG29" s="808">
        <f ca="1">SUMIFS(ФОТ!AG$25:AG$138,ФОТ!$F$25:$F$138,$F29,ФОТ!$AC$25:$AC$138,$AC29)</f>
        <v>0</v>
      </c>
      <c r="AH29" s="808">
        <f ca="1">SUMIFS(ФОТ!AH$25:AH$138,ФОТ!$F$25:$F$138,$F29,ФОТ!$AC$25:$AC$138,$AC29)</f>
        <v>0</v>
      </c>
      <c r="AI29" s="808">
        <f ca="1">SUMIFS(ФОТ!AI$25:AI$138,ФОТ!$F$25:$F$138,$F29,ФОТ!$AC$25:$AC$138,$AC29)</f>
        <v>0</v>
      </c>
      <c r="AJ29" s="808">
        <f ca="1">SUMIFS(ФОТ!AJ$25:AJ$138,ФОТ!$F$25:$F$138,$F29,ФОТ!$AC$25:$AC$138,$AC29)</f>
        <v>0</v>
      </c>
      <c r="AK29" s="1370"/>
      <c r="AL29" s="65"/>
      <c r="AN29" s="924" t="s">
        <v>1134</v>
      </c>
    </row>
    <row r="30" spans="2:40" ht="32.85" hidden="1" customHeight="1" x14ac:dyDescent="0.15">
      <c r="C30" s="65"/>
      <c r="D30" s="65"/>
      <c r="E30" s="185">
        <v>33.75</v>
      </c>
      <c r="F30" s="3" cm="1">
        <f t="array" aca="1" ref="F30" ca="1">OFFSET(E30,-1,1)</f>
        <v>0</v>
      </c>
      <c r="G30" s="265" t="s">
        <v>1155</v>
      </c>
      <c r="H30" s="45" t="s">
        <v>333</v>
      </c>
      <c r="I30" s="65"/>
      <c r="J30" s="406"/>
      <c r="K30" s="406" t="str">
        <f ca="1">F30&amp;"17komm"</f>
        <v>017komm</v>
      </c>
      <c r="L30" s="830" cm="1">
        <f t="array" ref="L30">AK30</f>
        <v>0</v>
      </c>
      <c r="M30" s="65"/>
      <c r="N30" s="65"/>
      <c r="O30" s="65"/>
      <c r="P30" s="65"/>
      <c r="Q30" s="65"/>
      <c r="R30" s="65"/>
      <c r="S30" s="65"/>
      <c r="T30" s="388" t="b" cm="1">
        <f t="array" ref="T30">T29</f>
        <v>0</v>
      </c>
      <c r="U30" s="65"/>
      <c r="V30" s="65"/>
      <c r="W30" s="65"/>
      <c r="X30" s="2009"/>
      <c r="Y30" s="65"/>
      <c r="Z30" s="2034"/>
      <c r="AA30" s="65"/>
      <c r="AB30" s="268" t="s">
        <v>329</v>
      </c>
      <c r="AC30" s="257" t="s">
        <v>1156</v>
      </c>
      <c r="AD30" s="9" t="s">
        <v>831</v>
      </c>
      <c r="AE30" s="157">
        <f t="shared" ref="AE30:AJ30" si="1">SUM(AE31:AE37)</f>
        <v>0</v>
      </c>
      <c r="AF30" s="157">
        <f t="shared" si="1"/>
        <v>0</v>
      </c>
      <c r="AG30" s="157">
        <f t="shared" si="1"/>
        <v>0</v>
      </c>
      <c r="AH30" s="157">
        <f t="shared" si="1"/>
        <v>0</v>
      </c>
      <c r="AI30" s="157">
        <f t="shared" si="1"/>
        <v>0</v>
      </c>
      <c r="AJ30" s="157">
        <f t="shared" si="1"/>
        <v>0</v>
      </c>
      <c r="AK30" s="1370"/>
      <c r="AL30" s="65"/>
      <c r="AN30" s="924" t="s">
        <v>1157</v>
      </c>
    </row>
    <row r="31" spans="2:40" s="1334" customFormat="1" ht="14.65" hidden="1" customHeight="1" x14ac:dyDescent="0.15">
      <c r="B31" s="352"/>
      <c r="C31" s="65"/>
      <c r="D31" s="65"/>
      <c r="E31" s="185">
        <v>15</v>
      </c>
      <c r="F31" s="1090" cm="1">
        <f t="array" aca="1" ref="F31" ca="1">OFFSET(E31,-1,1)</f>
        <v>0</v>
      </c>
      <c r="G31" s="77" t="s">
        <v>1158</v>
      </c>
      <c r="H31" s="45" t="s">
        <v>940</v>
      </c>
      <c r="I31" s="65"/>
      <c r="J31" s="406"/>
      <c r="K31" s="406" t="str">
        <f ca="1">F31&amp;"18komm"</f>
        <v>018komm</v>
      </c>
      <c r="L31" s="830" cm="1">
        <f t="array" ref="L31">AK31</f>
        <v>0</v>
      </c>
      <c r="M31" s="65"/>
      <c r="N31" s="65"/>
      <c r="O31" s="65"/>
      <c r="P31" s="65"/>
      <c r="Q31" s="65"/>
      <c r="R31" s="65"/>
      <c r="S31" s="65"/>
      <c r="T31" s="388" t="b" cm="1">
        <f t="array" ref="T31">T30</f>
        <v>0</v>
      </c>
      <c r="U31" s="65"/>
      <c r="V31" s="65"/>
      <c r="W31" s="65"/>
      <c r="X31" s="2009"/>
      <c r="Y31" s="65"/>
      <c r="Z31" s="2034"/>
      <c r="AA31" s="65"/>
      <c r="AB31" s="268" t="s">
        <v>580</v>
      </c>
      <c r="AC31" s="133" t="s">
        <v>1159</v>
      </c>
      <c r="AD31" s="9" t="s">
        <v>831</v>
      </c>
      <c r="AE31" s="1414"/>
      <c r="AF31" s="1414"/>
      <c r="AG31" s="1414"/>
      <c r="AH31" s="1414"/>
      <c r="AI31" s="148"/>
      <c r="AJ31" s="148"/>
      <c r="AK31" s="1370"/>
      <c r="AL31" s="65"/>
      <c r="AN31" s="928" t="s">
        <v>1160</v>
      </c>
    </row>
    <row r="32" spans="2:40" s="1332" customFormat="1" ht="14.65" hidden="1" customHeight="1" x14ac:dyDescent="0.15">
      <c r="B32" s="351"/>
      <c r="E32" s="185">
        <v>15</v>
      </c>
      <c r="F32" s="3" cm="1">
        <f t="array" aca="1" ref="F32" ca="1">OFFSET(E32,-1,1)</f>
        <v>0</v>
      </c>
      <c r="G32" s="77" t="s">
        <v>1161</v>
      </c>
      <c r="H32" s="45" t="s">
        <v>942</v>
      </c>
      <c r="J32" s="406"/>
      <c r="K32" s="406" t="str">
        <f ca="1">F32&amp;"11komm"</f>
        <v>011komm</v>
      </c>
      <c r="L32" s="830" cm="1">
        <f t="array" ref="L32">AK32</f>
        <v>0</v>
      </c>
      <c r="T32" s="388" t="b" cm="1">
        <f t="array" ref="T32">T31</f>
        <v>0</v>
      </c>
      <c r="X32" s="2009"/>
      <c r="Z32" s="2034"/>
      <c r="AB32" s="268" t="s">
        <v>584</v>
      </c>
      <c r="AC32" s="133" t="s">
        <v>1162</v>
      </c>
      <c r="AD32" s="9" t="s">
        <v>831</v>
      </c>
      <c r="AE32" s="1414"/>
      <c r="AF32" s="1414"/>
      <c r="AG32" s="1414"/>
      <c r="AH32" s="1414"/>
      <c r="AI32" s="148"/>
      <c r="AJ32" s="148"/>
      <c r="AK32" s="1370"/>
      <c r="AN32" s="939" t="s">
        <v>1163</v>
      </c>
    </row>
    <row r="33" spans="1:40" s="1332" customFormat="1" ht="14.65" hidden="1" customHeight="1" x14ac:dyDescent="0.15">
      <c r="B33" s="351"/>
      <c r="E33" s="185">
        <v>15</v>
      </c>
      <c r="F33" s="3" cm="1">
        <f t="array" aca="1" ref="F33" ca="1">OFFSET(E33,-1,1)</f>
        <v>0</v>
      </c>
      <c r="G33" s="77" t="s">
        <v>1164</v>
      </c>
      <c r="H33" s="45" t="s">
        <v>944</v>
      </c>
      <c r="J33" s="406"/>
      <c r="K33" s="406" t="str">
        <f ca="1">F33&amp;"12komm"</f>
        <v>012komm</v>
      </c>
      <c r="L33" s="830" cm="1">
        <f t="array" ref="L33">AK33</f>
        <v>0</v>
      </c>
      <c r="T33" s="388" t="b" cm="1">
        <f t="array" ref="T33">T32</f>
        <v>0</v>
      </c>
      <c r="X33" s="2009"/>
      <c r="Z33" s="2034"/>
      <c r="AB33" s="268" t="s">
        <v>796</v>
      </c>
      <c r="AC33" s="133" t="s">
        <v>1165</v>
      </c>
      <c r="AD33" s="9" t="s">
        <v>831</v>
      </c>
      <c r="AE33" s="1414"/>
      <c r="AF33" s="1414"/>
      <c r="AG33" s="1414"/>
      <c r="AH33" s="1414"/>
      <c r="AI33" s="148"/>
      <c r="AJ33" s="148"/>
      <c r="AK33" s="1370"/>
      <c r="AN33" s="939" t="s">
        <v>1166</v>
      </c>
    </row>
    <row r="34" spans="1:40" s="1332" customFormat="1" ht="14.65" hidden="1" customHeight="1" x14ac:dyDescent="0.15">
      <c r="B34" s="351"/>
      <c r="E34" s="185">
        <v>15</v>
      </c>
      <c r="F34" s="3" cm="1">
        <f t="array" aca="1" ref="F34" ca="1">OFFSET(E34,-1,1)</f>
        <v>0</v>
      </c>
      <c r="G34" s="77" t="s">
        <v>1167</v>
      </c>
      <c r="H34" s="45" t="s">
        <v>946</v>
      </c>
      <c r="J34" s="406"/>
      <c r="K34" s="406" t="str">
        <f ca="1">F34&amp;"13komm"</f>
        <v>013komm</v>
      </c>
      <c r="L34" s="830" cm="1">
        <f t="array" ref="L34">AK34</f>
        <v>0</v>
      </c>
      <c r="T34" s="388" t="b" cm="1">
        <f t="array" ref="T34">T33</f>
        <v>0</v>
      </c>
      <c r="X34" s="2009"/>
      <c r="Z34" s="2034"/>
      <c r="AB34" s="268" t="s">
        <v>947</v>
      </c>
      <c r="AC34" s="133" t="s">
        <v>1168</v>
      </c>
      <c r="AD34" s="9" t="s">
        <v>831</v>
      </c>
      <c r="AE34" s="1414"/>
      <c r="AF34" s="1414"/>
      <c r="AG34" s="1414"/>
      <c r="AH34" s="1414"/>
      <c r="AI34" s="148"/>
      <c r="AJ34" s="148"/>
      <c r="AK34" s="1370"/>
      <c r="AN34" s="939" t="s">
        <v>1169</v>
      </c>
    </row>
    <row r="35" spans="1:40" s="1332" customFormat="1" ht="14.65" hidden="1" customHeight="1" x14ac:dyDescent="0.15">
      <c r="B35" s="351"/>
      <c r="E35" s="185">
        <v>15</v>
      </c>
      <c r="F35" s="3" cm="1">
        <f t="array" aca="1" ref="F35" ca="1">OFFSET(E35,-1,1)</f>
        <v>0</v>
      </c>
      <c r="G35" s="77" t="s">
        <v>1170</v>
      </c>
      <c r="H35" s="45" t="s">
        <v>949</v>
      </c>
      <c r="J35" s="406"/>
      <c r="K35" s="406" t="str">
        <f ca="1">F35&amp;"14komm"</f>
        <v>014komm</v>
      </c>
      <c r="L35" s="830" cm="1">
        <f t="array" ref="L35">AK35</f>
        <v>0</v>
      </c>
      <c r="T35" s="388" t="b" cm="1">
        <f t="array" ref="T35">T34</f>
        <v>0</v>
      </c>
      <c r="X35" s="2009"/>
      <c r="Z35" s="2034"/>
      <c r="AB35" s="268" t="s">
        <v>950</v>
      </c>
      <c r="AC35" s="133" t="s">
        <v>1171</v>
      </c>
      <c r="AD35" s="9" t="s">
        <v>831</v>
      </c>
      <c r="AE35" s="1414"/>
      <c r="AF35" s="1414"/>
      <c r="AG35" s="1414"/>
      <c r="AH35" s="1414"/>
      <c r="AI35" s="148"/>
      <c r="AJ35" s="148"/>
      <c r="AK35" s="1370"/>
      <c r="AN35" s="939" t="s">
        <v>1172</v>
      </c>
    </row>
    <row r="36" spans="1:40" s="1332" customFormat="1" ht="14.65" hidden="1" customHeight="1" x14ac:dyDescent="0.15">
      <c r="B36" s="351"/>
      <c r="E36" s="185">
        <v>15</v>
      </c>
      <c r="F36" s="3" cm="1">
        <f t="array" aca="1" ref="F36" ca="1">OFFSET(E36,-1,1)</f>
        <v>0</v>
      </c>
      <c r="G36" s="77" t="s">
        <v>1173</v>
      </c>
      <c r="H36" s="45" t="s">
        <v>1174</v>
      </c>
      <c r="J36" s="406"/>
      <c r="K36" s="406" t="str">
        <f ca="1">F36&amp;"15komm"</f>
        <v>015komm</v>
      </c>
      <c r="L36" s="830" cm="1">
        <f t="array" ref="L36">AK36</f>
        <v>0</v>
      </c>
      <c r="T36" s="388" t="b" cm="1">
        <f t="array" ref="T36">T35</f>
        <v>0</v>
      </c>
      <c r="X36" s="2009"/>
      <c r="Z36" s="2034"/>
      <c r="AB36" s="268" t="s">
        <v>1175</v>
      </c>
      <c r="AC36" s="133" t="s">
        <v>1176</v>
      </c>
      <c r="AD36" s="9" t="s">
        <v>831</v>
      </c>
      <c r="AE36" s="1414"/>
      <c r="AF36" s="1414"/>
      <c r="AG36" s="1414"/>
      <c r="AH36" s="1414"/>
      <c r="AI36" s="148"/>
      <c r="AJ36" s="148"/>
      <c r="AK36" s="1370"/>
      <c r="AN36" s="939" t="s">
        <v>1177</v>
      </c>
    </row>
    <row r="37" spans="1:40" s="1332" customFormat="1" ht="14.65" hidden="1" customHeight="1" x14ac:dyDescent="0.15">
      <c r="B37" s="351"/>
      <c r="E37" s="185">
        <v>15</v>
      </c>
      <c r="F37" s="3" cm="1">
        <f t="array" aca="1" ref="F37" ca="1">OFFSET(E37,-1,1)</f>
        <v>0</v>
      </c>
      <c r="G37" s="77" t="s">
        <v>1178</v>
      </c>
      <c r="H37" s="45" t="s">
        <v>1179</v>
      </c>
      <c r="J37" s="406"/>
      <c r="K37" s="406" t="str">
        <f ca="1">F37&amp;"16komm"</f>
        <v>016komm</v>
      </c>
      <c r="L37" s="830" cm="1">
        <f t="array" ref="L37">AK37</f>
        <v>0</v>
      </c>
      <c r="T37" s="388" t="b" cm="1">
        <f t="array" ref="T37">T36</f>
        <v>0</v>
      </c>
      <c r="X37" s="2009"/>
      <c r="Z37" s="2034"/>
      <c r="AB37" s="268" t="s">
        <v>1180</v>
      </c>
      <c r="AC37" s="133" t="s">
        <v>1181</v>
      </c>
      <c r="AD37" s="9" t="s">
        <v>831</v>
      </c>
      <c r="AE37" s="1414"/>
      <c r="AF37" s="1414"/>
      <c r="AG37" s="1414"/>
      <c r="AH37" s="1414"/>
      <c r="AI37" s="148"/>
      <c r="AJ37" s="148"/>
      <c r="AK37" s="1370"/>
      <c r="AN37" s="939" t="s">
        <v>1182</v>
      </c>
    </row>
    <row r="38" spans="1:40" s="1332" customFormat="1" ht="32.85" hidden="1" customHeight="1" x14ac:dyDescent="0.15">
      <c r="B38" s="351"/>
      <c r="E38" s="185">
        <v>33.75</v>
      </c>
      <c r="F38" s="3" cm="1">
        <f t="array" aca="1" ref="F38" ca="1">OFFSET(E38,-1,1)</f>
        <v>0</v>
      </c>
      <c r="G38" s="265" t="s">
        <v>1183</v>
      </c>
      <c r="H38" s="45" t="s">
        <v>335</v>
      </c>
      <c r="J38" s="406"/>
      <c r="K38" s="406" t="str">
        <f ca="1">F38&amp;"2komm"</f>
        <v>02komm</v>
      </c>
      <c r="L38" s="830" cm="1">
        <f t="array" ref="L38">AK38</f>
        <v>0</v>
      </c>
      <c r="T38" s="388" t="b" cm="1">
        <f t="array" ref="T38">T37</f>
        <v>0</v>
      </c>
      <c r="X38" s="2009"/>
      <c r="Z38" s="2034"/>
      <c r="AB38" s="268" t="s">
        <v>441</v>
      </c>
      <c r="AC38" s="257" t="s">
        <v>1184</v>
      </c>
      <c r="AD38" s="9" t="s">
        <v>831</v>
      </c>
      <c r="AE38" s="1414"/>
      <c r="AF38" s="1414"/>
      <c r="AG38" s="1414"/>
      <c r="AH38" s="1414"/>
      <c r="AI38" s="148"/>
      <c r="AJ38" s="148"/>
      <c r="AK38" s="1370"/>
      <c r="AN38" s="939" t="s">
        <v>1185</v>
      </c>
    </row>
    <row r="39" spans="1:40" s="1332" customFormat="1" ht="14.65" hidden="1" customHeight="1" x14ac:dyDescent="0.15">
      <c r="B39" s="351"/>
      <c r="E39" s="185">
        <v>15</v>
      </c>
      <c r="F39" s="3" cm="1">
        <f t="array" aca="1" ref="F39" ca="1">OFFSET(E39,-1,1)</f>
        <v>0</v>
      </c>
      <c r="G39" s="265" t="s">
        <v>1186</v>
      </c>
      <c r="H39" s="45" t="s">
        <v>334</v>
      </c>
      <c r="J39" s="406"/>
      <c r="K39" s="406" t="str">
        <f ca="1">F39&amp;"3komm"</f>
        <v>03komm</v>
      </c>
      <c r="L39" s="830" cm="1">
        <f t="array" ref="L39">AK39</f>
        <v>0</v>
      </c>
      <c r="T39" s="388" t="b" cm="1">
        <f t="array" ref="T39">T38</f>
        <v>0</v>
      </c>
      <c r="X39" s="2009"/>
      <c r="Z39" s="2034"/>
      <c r="AB39" s="268" t="s">
        <v>444</v>
      </c>
      <c r="AC39" s="257" t="s">
        <v>1187</v>
      </c>
      <c r="AD39" s="9" t="s">
        <v>831</v>
      </c>
      <c r="AE39" s="1414"/>
      <c r="AF39" s="1414"/>
      <c r="AG39" s="1414"/>
      <c r="AH39" s="1414"/>
      <c r="AI39" s="148"/>
      <c r="AJ39" s="148"/>
      <c r="AK39" s="1370"/>
      <c r="AN39" s="939" t="s">
        <v>1188</v>
      </c>
    </row>
    <row r="40" spans="1:40" s="1332" customFormat="1" ht="14.65" hidden="1" customHeight="1" x14ac:dyDescent="0.15">
      <c r="B40" s="351"/>
      <c r="E40" s="185">
        <v>15</v>
      </c>
      <c r="F40" s="3" cm="1">
        <f t="array" aca="1" ref="F40" ca="1">OFFSET(E40,-1,1)</f>
        <v>0</v>
      </c>
      <c r="G40" s="265" t="s">
        <v>1189</v>
      </c>
      <c r="H40" s="45" t="s">
        <v>544</v>
      </c>
      <c r="K40" s="406" t="str">
        <f ca="1">F40&amp;"4komm"</f>
        <v>04komm</v>
      </c>
      <c r="L40" s="830" cm="1">
        <f t="array" ref="L40">AK40</f>
        <v>0</v>
      </c>
      <c r="T40" s="388" t="b" cm="1">
        <f t="array" ref="T40">T39</f>
        <v>0</v>
      </c>
      <c r="X40" s="2009"/>
      <c r="Z40" s="2034"/>
      <c r="AB40" s="268" t="s">
        <v>446</v>
      </c>
      <c r="AC40" s="257" t="s">
        <v>1190</v>
      </c>
      <c r="AD40" s="9" t="s">
        <v>831</v>
      </c>
      <c r="AE40" s="1414"/>
      <c r="AF40" s="1414"/>
      <c r="AG40" s="1414"/>
      <c r="AH40" s="1414"/>
      <c r="AI40" s="148"/>
      <c r="AJ40" s="148"/>
      <c r="AK40" s="1370"/>
      <c r="AN40" s="939" t="s">
        <v>1191</v>
      </c>
    </row>
    <row r="41" spans="1:40" s="1332" customFormat="1" ht="14.65" hidden="1" customHeight="1" x14ac:dyDescent="0.15">
      <c r="B41" s="351"/>
      <c r="E41" s="185">
        <v>15</v>
      </c>
      <c r="F41" s="3" cm="1">
        <f t="array" aca="1" ref="F41" ca="1">OFFSET(E41,-1,1)</f>
        <v>0</v>
      </c>
      <c r="G41" s="265" t="s">
        <v>1192</v>
      </c>
      <c r="H41" s="45" t="s">
        <v>547</v>
      </c>
      <c r="K41" s="406" t="str">
        <f ca="1">F41&amp;"5komm"</f>
        <v>05komm</v>
      </c>
      <c r="L41" s="830" cm="1">
        <f t="array" ref="L41">AK41</f>
        <v>0</v>
      </c>
      <c r="T41" s="388" t="b" cm="1">
        <f t="array" ref="T41">T40</f>
        <v>0</v>
      </c>
      <c r="X41" s="2009"/>
      <c r="Z41" s="2034"/>
      <c r="AB41" s="268" t="s">
        <v>448</v>
      </c>
      <c r="AC41" s="257" t="s">
        <v>1193</v>
      </c>
      <c r="AD41" s="9" t="s">
        <v>831</v>
      </c>
      <c r="AE41" s="1414"/>
      <c r="AF41" s="1414"/>
      <c r="AG41" s="1414"/>
      <c r="AH41" s="1414"/>
      <c r="AI41" s="148"/>
      <c r="AJ41" s="148"/>
      <c r="AK41" s="1370"/>
      <c r="AN41" s="939" t="s">
        <v>1194</v>
      </c>
    </row>
    <row r="42" spans="1:40" s="1332" customFormat="1" ht="14.65" hidden="1" customHeight="1" x14ac:dyDescent="0.15">
      <c r="B42" s="351"/>
      <c r="E42" s="185">
        <v>15</v>
      </c>
      <c r="F42" s="3" cm="1">
        <f t="array" aca="1" ref="F42" ca="1">OFFSET(E42,-1,1)</f>
        <v>0</v>
      </c>
      <c r="G42" s="265" t="s">
        <v>1195</v>
      </c>
      <c r="H42" s="45" t="s">
        <v>591</v>
      </c>
      <c r="K42" s="406" t="str">
        <f ca="1">F42&amp;"6komm"</f>
        <v>06komm</v>
      </c>
      <c r="L42" s="830" cm="1">
        <f t="array" ref="L42">AK42</f>
        <v>0</v>
      </c>
      <c r="T42" s="388" t="b" cm="1">
        <f t="array" ref="T42">T41</f>
        <v>0</v>
      </c>
      <c r="X42" s="2009"/>
      <c r="Z42" s="2034"/>
      <c r="AB42" s="268" t="s">
        <v>450</v>
      </c>
      <c r="AC42" s="257" t="s">
        <v>1196</v>
      </c>
      <c r="AD42" s="9" t="s">
        <v>831</v>
      </c>
      <c r="AE42" s="269">
        <f t="shared" ref="AE42:AJ42" si="2">SUM(AE43:AE45)</f>
        <v>0</v>
      </c>
      <c r="AF42" s="269">
        <f t="shared" si="2"/>
        <v>0</v>
      </c>
      <c r="AG42" s="269">
        <f t="shared" si="2"/>
        <v>0</v>
      </c>
      <c r="AH42" s="269">
        <f t="shared" si="2"/>
        <v>0</v>
      </c>
      <c r="AI42" s="269">
        <f t="shared" si="2"/>
        <v>0</v>
      </c>
      <c r="AJ42" s="269">
        <f t="shared" si="2"/>
        <v>0</v>
      </c>
      <c r="AK42" s="1370"/>
      <c r="AN42" s="939" t="s">
        <v>393</v>
      </c>
    </row>
    <row r="43" spans="1:40" s="1332" customFormat="1" ht="14.65" hidden="1" customHeight="1" x14ac:dyDescent="0.15">
      <c r="B43" s="351"/>
      <c r="E43" s="185">
        <v>15</v>
      </c>
      <c r="F43" s="3" cm="1">
        <f t="array" aca="1" ref="F43" ca="1">OFFSET(E43,-1,1)</f>
        <v>0</v>
      </c>
      <c r="G43" s="265" t="s">
        <v>1197</v>
      </c>
      <c r="H43" s="45" t="s">
        <v>594</v>
      </c>
      <c r="K43" s="406" t="str">
        <f ca="1">F43&amp;"7komm"</f>
        <v>07komm</v>
      </c>
      <c r="L43" s="830" cm="1">
        <f t="array" ref="L43">AK43</f>
        <v>0</v>
      </c>
      <c r="T43" s="388" t="b" cm="1">
        <f t="array" ref="T43">T42</f>
        <v>0</v>
      </c>
      <c r="X43" s="2009"/>
      <c r="Z43" s="2034"/>
      <c r="AB43" s="268" t="s">
        <v>617</v>
      </c>
      <c r="AC43" s="133" t="s">
        <v>1198</v>
      </c>
      <c r="AD43" s="9" t="s">
        <v>831</v>
      </c>
      <c r="AE43" s="1414"/>
      <c r="AF43" s="1414"/>
      <c r="AG43" s="1414"/>
      <c r="AH43" s="1414"/>
      <c r="AI43" s="148"/>
      <c r="AJ43" s="148"/>
      <c r="AK43" s="1370"/>
      <c r="AN43" s="939" t="s">
        <v>1199</v>
      </c>
    </row>
    <row r="44" spans="1:40" s="1332" customFormat="1" ht="43.9" hidden="1" customHeight="1" x14ac:dyDescent="0.15">
      <c r="B44" s="351"/>
      <c r="E44" s="185">
        <v>45</v>
      </c>
      <c r="F44" s="3" cm="1">
        <f t="array" aca="1" ref="F44" ca="1">OFFSET(E44,-1,1)</f>
        <v>0</v>
      </c>
      <c r="G44" s="265" t="s">
        <v>1200</v>
      </c>
      <c r="H44" s="45" t="s">
        <v>598</v>
      </c>
      <c r="K44" s="406" t="str">
        <f ca="1">F44&amp;"8komm"</f>
        <v>08komm</v>
      </c>
      <c r="L44" s="830" cm="1">
        <f t="array" ref="L44">AK44</f>
        <v>0</v>
      </c>
      <c r="T44" s="388" t="b" cm="1">
        <f t="array" ref="T44">T43</f>
        <v>0</v>
      </c>
      <c r="X44" s="2009"/>
      <c r="Z44" s="2034"/>
      <c r="AB44" s="268" t="s">
        <v>634</v>
      </c>
      <c r="AC44" s="682" t="s">
        <v>1201</v>
      </c>
      <c r="AD44" s="9" t="s">
        <v>831</v>
      </c>
      <c r="AE44" s="1414"/>
      <c r="AF44" s="1414"/>
      <c r="AG44" s="1414"/>
      <c r="AH44" s="1414"/>
      <c r="AI44" s="148"/>
      <c r="AJ44" s="148"/>
      <c r="AK44" s="1370"/>
      <c r="AN44" s="939" t="s">
        <v>1202</v>
      </c>
    </row>
    <row r="45" spans="1:40" s="1332" customFormat="1" ht="14.65" hidden="1" customHeight="1" x14ac:dyDescent="0.15">
      <c r="B45" s="351"/>
      <c r="E45" s="185">
        <v>15</v>
      </c>
      <c r="F45" s="3" cm="1">
        <f t="array" aca="1" ref="F45" ca="1">OFFSET(E45,-1,1)</f>
        <v>0</v>
      </c>
      <c r="G45" s="77" t="s">
        <v>1203</v>
      </c>
      <c r="H45" s="45" t="s">
        <v>602</v>
      </c>
      <c r="K45" s="406" t="str">
        <f ca="1">F45&amp;"9komm"</f>
        <v>09komm</v>
      </c>
      <c r="L45" s="830" cm="1">
        <f t="array" ref="L45">AK45</f>
        <v>0</v>
      </c>
      <c r="T45" s="388" t="b" cm="1">
        <f t="array" ref="T45">T44</f>
        <v>0</v>
      </c>
      <c r="X45" s="2009"/>
      <c r="Z45" s="2034"/>
      <c r="AB45" s="268" t="s">
        <v>646</v>
      </c>
      <c r="AC45" s="133" t="s">
        <v>1204</v>
      </c>
      <c r="AD45" s="9" t="s">
        <v>831</v>
      </c>
      <c r="AE45" s="1414"/>
      <c r="AF45" s="1414"/>
      <c r="AG45" s="1414"/>
      <c r="AH45" s="1414"/>
      <c r="AI45" s="1262"/>
      <c r="AJ45" s="1262"/>
      <c r="AK45" s="1370"/>
      <c r="AN45" s="939" t="s">
        <v>1205</v>
      </c>
    </row>
    <row r="46" spans="1:40" s="1334" customFormat="1" ht="10.5" customHeight="1" x14ac:dyDescent="0.15">
      <c r="A46" s="1214"/>
      <c r="B46" s="1083"/>
      <c r="C46" s="65"/>
      <c r="D46" s="65"/>
      <c r="E46" s="185">
        <v>11.25</v>
      </c>
      <c r="F46" s="17" t="str" cm="1">
        <f t="array" ref="F46">X46</f>
        <v>1</v>
      </c>
      <c r="G46" s="65"/>
      <c r="H46" s="65"/>
      <c r="I46" s="65"/>
      <c r="J46" s="65"/>
      <c r="K46" s="65"/>
      <c r="L46" s="65"/>
      <c r="M46" s="65"/>
      <c r="N46" s="65"/>
      <c r="O46" s="65"/>
      <c r="P46" s="65"/>
      <c r="Q46" s="65"/>
      <c r="R46" s="65"/>
      <c r="S46" s="65"/>
      <c r="T46" s="388" t="b">
        <f>X46&gt;0</f>
        <v>1</v>
      </c>
      <c r="U46" s="65"/>
      <c r="V46" s="65" t="str" cm="1">
        <f t="array" ref="V46">ФОТ!$AB$52</f>
        <v>Тариф 1 (Водоснабжение) - тариф на питьевую воду</v>
      </c>
      <c r="W46" s="65"/>
      <c r="X46" s="2009" t="s">
        <v>282</v>
      </c>
      <c r="Y46" s="65"/>
      <c r="Z46" s="2034"/>
      <c r="AA46" s="65"/>
      <c r="AB46" s="161" t="str" cm="1">
        <f t="array" ref="AB46">ФОТ!$AB$52</f>
        <v>Тариф 1 (Водоснабжение) - тариф на питьевую воду</v>
      </c>
      <c r="AC46" s="99"/>
      <c r="AD46" s="99"/>
      <c r="AE46" s="223">
        <f t="shared" ref="AE46:AJ46" ca="1" si="3">AE47+AE48+AE49+AE57+AE58+AE59+AE60+AE61</f>
        <v>9306.5487244234992</v>
      </c>
      <c r="AF46" s="223">
        <f t="shared" ca="1" si="3"/>
        <v>0</v>
      </c>
      <c r="AG46" s="223">
        <f t="shared" ca="1" si="3"/>
        <v>0</v>
      </c>
      <c r="AH46" s="223">
        <f t="shared" ca="1" si="3"/>
        <v>0</v>
      </c>
      <c r="AI46" s="223">
        <f t="shared" ca="1" si="3"/>
        <v>0</v>
      </c>
      <c r="AJ46" s="223">
        <f t="shared" ca="1" si="3"/>
        <v>0</v>
      </c>
      <c r="AK46" s="93"/>
      <c r="AL46" s="65"/>
      <c r="AM46" s="1214"/>
      <c r="AN46" s="1216"/>
    </row>
    <row r="47" spans="1:40" s="1334" customFormat="1" ht="23.25" customHeight="1" x14ac:dyDescent="0.15">
      <c r="A47" s="1214"/>
      <c r="B47" s="1083"/>
      <c r="C47" s="65"/>
      <c r="D47" s="65"/>
      <c r="E47" s="185">
        <v>22.5</v>
      </c>
      <c r="F47" s="3" t="str" cm="1">
        <f t="array" aca="1" ref="F47" ca="1">OFFSET(E47,-1,1)</f>
        <v>1</v>
      </c>
      <c r="G47" s="65"/>
      <c r="H47" s="45" t="s">
        <v>331</v>
      </c>
      <c r="I47" s="65"/>
      <c r="J47" s="65"/>
      <c r="K47" s="65"/>
      <c r="L47" s="65"/>
      <c r="M47" s="65"/>
      <c r="N47" s="65"/>
      <c r="O47" s="65"/>
      <c r="P47" s="65"/>
      <c r="Q47" s="65"/>
      <c r="R47" s="65"/>
      <c r="S47" s="65"/>
      <c r="T47" s="388" t="b" cm="1">
        <f t="array" ref="T47">T46</f>
        <v>1</v>
      </c>
      <c r="U47" s="65"/>
      <c r="V47" s="65"/>
      <c r="W47" s="65"/>
      <c r="X47" s="2009"/>
      <c r="Y47" s="65"/>
      <c r="Z47" s="2034"/>
      <c r="AA47" s="65"/>
      <c r="AB47" s="268">
        <v>1</v>
      </c>
      <c r="AC47" s="257" t="s">
        <v>1128</v>
      </c>
      <c r="AD47" s="9" t="s">
        <v>831</v>
      </c>
      <c r="AE47" s="808">
        <f ca="1">SUMIFS(ФОТ!AE$25:AE$138,ФОТ!$F$25:$F$138,$F47,ФОТ!$AC$25:$AC$138,$AC47)</f>
        <v>6531.2134177600001</v>
      </c>
      <c r="AF47" s="808">
        <f ca="1">SUMIFS(ФОТ!AF$25:AF$138,ФОТ!$F$25:$F$138,$F47,ФОТ!$AC$25:$AC$138,$AC47)</f>
        <v>0</v>
      </c>
      <c r="AG47" s="808">
        <f ca="1">SUMIFS(ФОТ!AG$25:AG$138,ФОТ!$F$25:$F$138,$F47,ФОТ!$AC$25:$AC$138,$AC47)</f>
        <v>0</v>
      </c>
      <c r="AH47" s="808">
        <f ca="1">SUMIFS(ФОТ!AH$25:AH$138,ФОТ!$F$25:$F$138,$F47,ФОТ!$AC$25:$AC$138,$AC47)</f>
        <v>0</v>
      </c>
      <c r="AI47" s="808">
        <f ca="1">SUMIFS(ФОТ!AI$25:AI$138,ФОТ!$F$25:$F$138,$F47,ФОТ!$AC$25:$AC$138,$AC47)</f>
        <v>0</v>
      </c>
      <c r="AJ47" s="808">
        <f ca="1">SUMIFS(ФОТ!AJ$25:AJ$138,ФОТ!$F$25:$F$138,$F47,ФОТ!$AC$25:$AC$138,$AC47)</f>
        <v>0</v>
      </c>
      <c r="AK47" s="226" t="s">
        <v>1206</v>
      </c>
      <c r="AL47" s="65"/>
      <c r="AM47" s="1214"/>
      <c r="AN47" s="924" t="s">
        <v>1154</v>
      </c>
    </row>
    <row r="48" spans="1:40" s="1334" customFormat="1" ht="23.25" customHeight="1" x14ac:dyDescent="0.15">
      <c r="A48" s="1214"/>
      <c r="B48" s="1083"/>
      <c r="C48" s="65"/>
      <c r="D48" s="65"/>
      <c r="E48" s="185">
        <v>22.5</v>
      </c>
      <c r="F48" s="3" t="str" cm="1">
        <f t="array" aca="1" ref="F48" ca="1">OFFSET(E48,-1,1)</f>
        <v>1</v>
      </c>
      <c r="G48" s="65"/>
      <c r="H48" s="45" t="s">
        <v>332</v>
      </c>
      <c r="I48" s="65"/>
      <c r="J48" s="406"/>
      <c r="K48" s="406"/>
      <c r="L48" s="406"/>
      <c r="M48" s="65"/>
      <c r="N48" s="65"/>
      <c r="O48" s="65"/>
      <c r="P48" s="65"/>
      <c r="Q48" s="65"/>
      <c r="R48" s="65"/>
      <c r="S48" s="65"/>
      <c r="T48" s="388" t="b" cm="1">
        <f t="array" ref="T48">T47</f>
        <v>1</v>
      </c>
      <c r="U48" s="65"/>
      <c r="V48" s="65"/>
      <c r="W48" s="65"/>
      <c r="X48" s="2009"/>
      <c r="Y48" s="65"/>
      <c r="Z48" s="2034"/>
      <c r="AA48" s="65"/>
      <c r="AB48" s="268" t="s">
        <v>289</v>
      </c>
      <c r="AC48" s="257" t="s">
        <v>1133</v>
      </c>
      <c r="AD48" s="9" t="s">
        <v>831</v>
      </c>
      <c r="AE48" s="808">
        <f ca="1">SUMIFS(ФОТ!AE$25:AE$138,ФОТ!$F$25:$F$138,$F48,ФОТ!$AC$25:$AC$138,$AC48)</f>
        <v>1972.4264521635</v>
      </c>
      <c r="AF48" s="808">
        <f ca="1">SUMIFS(ФОТ!AF$25:AF$138,ФОТ!$F$25:$F$138,$F48,ФОТ!$AC$25:$AC$138,$AC48)</f>
        <v>0</v>
      </c>
      <c r="AG48" s="808">
        <f ca="1">SUMIFS(ФОТ!AG$25:AG$138,ФОТ!$F$25:$F$138,$F48,ФОТ!$AC$25:$AC$138,$AC48)</f>
        <v>0</v>
      </c>
      <c r="AH48" s="808">
        <f ca="1">SUMIFS(ФОТ!AH$25:AH$138,ФОТ!$F$25:$F$138,$F48,ФОТ!$AC$25:$AC$138,$AC48)</f>
        <v>0</v>
      </c>
      <c r="AI48" s="808">
        <f ca="1">SUMIFS(ФОТ!AI$25:AI$138,ФОТ!$F$25:$F$138,$F48,ФОТ!$AC$25:$AC$138,$AC48)</f>
        <v>0</v>
      </c>
      <c r="AJ48" s="808">
        <f ca="1">SUMIFS(ФОТ!AJ$25:AJ$138,ФОТ!$F$25:$F$138,$F48,ФОТ!$AC$25:$AC$138,$AC48)</f>
        <v>0</v>
      </c>
      <c r="AK48" s="226" t="s">
        <v>1206</v>
      </c>
      <c r="AL48" s="65"/>
      <c r="AM48" s="1214"/>
      <c r="AN48" s="924" t="s">
        <v>1134</v>
      </c>
    </row>
    <row r="49" spans="1:40" s="1334" customFormat="1" ht="32.25" customHeight="1" x14ac:dyDescent="0.15">
      <c r="A49" s="1214"/>
      <c r="B49" s="1083"/>
      <c r="C49" s="65"/>
      <c r="D49" s="65"/>
      <c r="E49" s="185">
        <v>33.75</v>
      </c>
      <c r="F49" s="3" t="str" cm="1">
        <f t="array" aca="1" ref="F49" ca="1">OFFSET(E49,-1,1)</f>
        <v>1</v>
      </c>
      <c r="G49" s="265" t="s">
        <v>1155</v>
      </c>
      <c r="H49" s="45" t="s">
        <v>333</v>
      </c>
      <c r="I49" s="65"/>
      <c r="J49" s="406"/>
      <c r="K49" s="406" t="str">
        <f ca="1">F49&amp;"17komm"</f>
        <v>117komm</v>
      </c>
      <c r="L49" s="830" cm="1">
        <f t="array" ref="L49">AK49</f>
        <v>0</v>
      </c>
      <c r="M49" s="65"/>
      <c r="N49" s="65"/>
      <c r="O49" s="65"/>
      <c r="P49" s="65"/>
      <c r="Q49" s="65"/>
      <c r="R49" s="65"/>
      <c r="S49" s="65"/>
      <c r="T49" s="388" t="b" cm="1">
        <f t="array" ref="T49">T48</f>
        <v>1</v>
      </c>
      <c r="U49" s="65"/>
      <c r="V49" s="65"/>
      <c r="W49" s="65"/>
      <c r="X49" s="2009"/>
      <c r="Y49" s="65"/>
      <c r="Z49" s="2034"/>
      <c r="AA49" s="65"/>
      <c r="AB49" s="268" t="s">
        <v>329</v>
      </c>
      <c r="AC49" s="257" t="s">
        <v>1156</v>
      </c>
      <c r="AD49" s="9" t="s">
        <v>831</v>
      </c>
      <c r="AE49" s="157">
        <f t="shared" ref="AE49:AJ49" si="4">SUM(AE50:AE56)</f>
        <v>0</v>
      </c>
      <c r="AF49" s="157">
        <f t="shared" si="4"/>
        <v>0</v>
      </c>
      <c r="AG49" s="157">
        <f t="shared" si="4"/>
        <v>0</v>
      </c>
      <c r="AH49" s="157">
        <f t="shared" si="4"/>
        <v>0</v>
      </c>
      <c r="AI49" s="157">
        <f t="shared" si="4"/>
        <v>0</v>
      </c>
      <c r="AJ49" s="157">
        <f t="shared" si="4"/>
        <v>0</v>
      </c>
      <c r="AK49" s="226"/>
      <c r="AL49" s="65"/>
      <c r="AM49" s="1214"/>
      <c r="AN49" s="924" t="s">
        <v>1157</v>
      </c>
    </row>
    <row r="50" spans="1:40" s="1334" customFormat="1" ht="14.25" customHeight="1" x14ac:dyDescent="0.15">
      <c r="B50" s="352"/>
      <c r="C50" s="65"/>
      <c r="D50" s="65"/>
      <c r="E50" s="185">
        <v>15</v>
      </c>
      <c r="F50" s="1090" t="str" cm="1">
        <f t="array" aca="1" ref="F50" ca="1">OFFSET(E50,-1,1)</f>
        <v>1</v>
      </c>
      <c r="G50" s="77" t="s">
        <v>1158</v>
      </c>
      <c r="H50" s="45" t="s">
        <v>940</v>
      </c>
      <c r="I50" s="65"/>
      <c r="J50" s="406"/>
      <c r="K50" s="406" t="str">
        <f ca="1">F50&amp;"18komm"</f>
        <v>118komm</v>
      </c>
      <c r="L50" s="830" cm="1">
        <f t="array" ref="L50">AK50</f>
        <v>0</v>
      </c>
      <c r="M50" s="65"/>
      <c r="N50" s="65"/>
      <c r="O50" s="65"/>
      <c r="P50" s="65"/>
      <c r="Q50" s="65"/>
      <c r="R50" s="65"/>
      <c r="S50" s="65"/>
      <c r="T50" s="388" t="b" cm="1">
        <f t="array" ref="T50">T49</f>
        <v>1</v>
      </c>
      <c r="U50" s="65"/>
      <c r="V50" s="65"/>
      <c r="W50" s="65"/>
      <c r="X50" s="2009"/>
      <c r="Y50" s="65"/>
      <c r="Z50" s="2034"/>
      <c r="AA50" s="65"/>
      <c r="AB50" s="268" t="s">
        <v>580</v>
      </c>
      <c r="AC50" s="133" t="s">
        <v>1159</v>
      </c>
      <c r="AD50" s="9" t="s">
        <v>831</v>
      </c>
      <c r="AE50" s="148"/>
      <c r="AF50" s="148"/>
      <c r="AG50" s="148"/>
      <c r="AH50" s="148"/>
      <c r="AI50" s="148"/>
      <c r="AJ50" s="148"/>
      <c r="AK50" s="226"/>
      <c r="AL50" s="65"/>
      <c r="AN50" s="928" t="s">
        <v>1160</v>
      </c>
    </row>
    <row r="51" spans="1:40" s="1088" customFormat="1" ht="14.25" customHeight="1" x14ac:dyDescent="0.15">
      <c r="A51" s="1332"/>
      <c r="B51" s="351"/>
      <c r="C51" s="1332"/>
      <c r="D51" s="1332"/>
      <c r="E51" s="185">
        <v>15</v>
      </c>
      <c r="F51" s="3" t="str" cm="1">
        <f t="array" aca="1" ref="F51" ca="1">OFFSET(E51,-1,1)</f>
        <v>1</v>
      </c>
      <c r="G51" s="77" t="s">
        <v>1161</v>
      </c>
      <c r="H51" s="45" t="s">
        <v>942</v>
      </c>
      <c r="I51" s="1332"/>
      <c r="J51" s="406"/>
      <c r="K51" s="406" t="str">
        <f ca="1">F51&amp;"11komm"</f>
        <v>111komm</v>
      </c>
      <c r="L51" s="830" cm="1">
        <f t="array" ref="L51">AK51</f>
        <v>0</v>
      </c>
      <c r="M51" s="1332"/>
      <c r="N51" s="1332"/>
      <c r="O51" s="1332"/>
      <c r="P51" s="1332"/>
      <c r="Q51" s="1332"/>
      <c r="R51" s="1332"/>
      <c r="S51" s="1332"/>
      <c r="T51" s="388" t="b" cm="1">
        <f t="array" ref="T51">T50</f>
        <v>1</v>
      </c>
      <c r="U51" s="1332"/>
      <c r="V51" s="1332"/>
      <c r="W51" s="1332"/>
      <c r="X51" s="2009"/>
      <c r="Y51" s="1332"/>
      <c r="Z51" s="2034"/>
      <c r="AA51" s="1332"/>
      <c r="AB51" s="268" t="s">
        <v>584</v>
      </c>
      <c r="AC51" s="133" t="s">
        <v>1162</v>
      </c>
      <c r="AD51" s="9" t="s">
        <v>831</v>
      </c>
      <c r="AE51" s="148"/>
      <c r="AF51" s="148"/>
      <c r="AG51" s="148"/>
      <c r="AH51" s="148"/>
      <c r="AI51" s="148"/>
      <c r="AJ51" s="148"/>
      <c r="AK51" s="226"/>
      <c r="AL51" s="1332"/>
      <c r="AM51" s="1332"/>
      <c r="AN51" s="939" t="s">
        <v>1163</v>
      </c>
    </row>
    <row r="52" spans="1:40" s="1088" customFormat="1" ht="14.25" customHeight="1" x14ac:dyDescent="0.15">
      <c r="A52" s="1332"/>
      <c r="B52" s="351"/>
      <c r="C52" s="1332"/>
      <c r="D52" s="1332"/>
      <c r="E52" s="185">
        <v>15</v>
      </c>
      <c r="F52" s="3" t="str" cm="1">
        <f t="array" aca="1" ref="F52" ca="1">OFFSET(E52,-1,1)</f>
        <v>1</v>
      </c>
      <c r="G52" s="77" t="s">
        <v>1164</v>
      </c>
      <c r="H52" s="45" t="s">
        <v>944</v>
      </c>
      <c r="I52" s="1332"/>
      <c r="J52" s="406"/>
      <c r="K52" s="406" t="str">
        <f ca="1">F52&amp;"12komm"</f>
        <v>112komm</v>
      </c>
      <c r="L52" s="830" cm="1">
        <f t="array" ref="L52">AK52</f>
        <v>0</v>
      </c>
      <c r="M52" s="1332"/>
      <c r="N52" s="1332"/>
      <c r="O52" s="1332"/>
      <c r="P52" s="1332"/>
      <c r="Q52" s="1332"/>
      <c r="R52" s="1332"/>
      <c r="S52" s="1332"/>
      <c r="T52" s="388" t="b" cm="1">
        <f t="array" ref="T52">T51</f>
        <v>1</v>
      </c>
      <c r="U52" s="1332"/>
      <c r="V52" s="1332"/>
      <c r="W52" s="1332"/>
      <c r="X52" s="2009"/>
      <c r="Y52" s="1332"/>
      <c r="Z52" s="2034"/>
      <c r="AA52" s="1332"/>
      <c r="AB52" s="268" t="s">
        <v>796</v>
      </c>
      <c r="AC52" s="133" t="s">
        <v>1165</v>
      </c>
      <c r="AD52" s="9" t="s">
        <v>831</v>
      </c>
      <c r="AE52" s="148"/>
      <c r="AF52" s="148"/>
      <c r="AG52" s="148"/>
      <c r="AH52" s="148"/>
      <c r="AI52" s="148"/>
      <c r="AJ52" s="148"/>
      <c r="AK52" s="226"/>
      <c r="AL52" s="1332"/>
      <c r="AM52" s="1332"/>
      <c r="AN52" s="939" t="s">
        <v>1166</v>
      </c>
    </row>
    <row r="53" spans="1:40" s="1088" customFormat="1" ht="14.25" customHeight="1" x14ac:dyDescent="0.15">
      <c r="A53" s="1332"/>
      <c r="B53" s="351"/>
      <c r="C53" s="1332"/>
      <c r="D53" s="1332"/>
      <c r="E53" s="185">
        <v>15</v>
      </c>
      <c r="F53" s="3" t="str" cm="1">
        <f t="array" aca="1" ref="F53" ca="1">OFFSET(E53,-1,1)</f>
        <v>1</v>
      </c>
      <c r="G53" s="77" t="s">
        <v>1167</v>
      </c>
      <c r="H53" s="45" t="s">
        <v>946</v>
      </c>
      <c r="I53" s="1332"/>
      <c r="J53" s="406"/>
      <c r="K53" s="406" t="str">
        <f ca="1">F53&amp;"13komm"</f>
        <v>113komm</v>
      </c>
      <c r="L53" s="830" cm="1">
        <f t="array" ref="L53">AK53</f>
        <v>0</v>
      </c>
      <c r="M53" s="1332"/>
      <c r="N53" s="1332"/>
      <c r="O53" s="1332"/>
      <c r="P53" s="1332"/>
      <c r="Q53" s="1332"/>
      <c r="R53" s="1332"/>
      <c r="S53" s="1332"/>
      <c r="T53" s="388" t="b" cm="1">
        <f t="array" ref="T53">T52</f>
        <v>1</v>
      </c>
      <c r="U53" s="1332"/>
      <c r="V53" s="1332"/>
      <c r="W53" s="1332"/>
      <c r="X53" s="2009"/>
      <c r="Y53" s="1332"/>
      <c r="Z53" s="2034"/>
      <c r="AA53" s="1332"/>
      <c r="AB53" s="268" t="s">
        <v>947</v>
      </c>
      <c r="AC53" s="133" t="s">
        <v>1168</v>
      </c>
      <c r="AD53" s="9" t="s">
        <v>831</v>
      </c>
      <c r="AE53" s="148"/>
      <c r="AF53" s="148"/>
      <c r="AG53" s="148"/>
      <c r="AH53" s="148"/>
      <c r="AI53" s="148"/>
      <c r="AJ53" s="148"/>
      <c r="AK53" s="226"/>
      <c r="AL53" s="1332"/>
      <c r="AM53" s="1332"/>
      <c r="AN53" s="939" t="s">
        <v>1169</v>
      </c>
    </row>
    <row r="54" spans="1:40" s="1088" customFormat="1" ht="14.25" customHeight="1" x14ac:dyDescent="0.15">
      <c r="A54" s="1332"/>
      <c r="B54" s="351"/>
      <c r="C54" s="1332"/>
      <c r="D54" s="1332"/>
      <c r="E54" s="185">
        <v>15</v>
      </c>
      <c r="F54" s="3" t="str" cm="1">
        <f t="array" aca="1" ref="F54" ca="1">OFFSET(E54,-1,1)</f>
        <v>1</v>
      </c>
      <c r="G54" s="77" t="s">
        <v>1170</v>
      </c>
      <c r="H54" s="45" t="s">
        <v>949</v>
      </c>
      <c r="I54" s="1332"/>
      <c r="J54" s="406"/>
      <c r="K54" s="406" t="str">
        <f ca="1">F54&amp;"14komm"</f>
        <v>114komm</v>
      </c>
      <c r="L54" s="830" cm="1">
        <f t="array" ref="L54">AK54</f>
        <v>0</v>
      </c>
      <c r="M54" s="1332"/>
      <c r="N54" s="1332"/>
      <c r="O54" s="1332"/>
      <c r="P54" s="1332"/>
      <c r="Q54" s="1332"/>
      <c r="R54" s="1332"/>
      <c r="S54" s="1332"/>
      <c r="T54" s="388" t="b" cm="1">
        <f t="array" ref="T54">T53</f>
        <v>1</v>
      </c>
      <c r="U54" s="1332"/>
      <c r="V54" s="1332"/>
      <c r="W54" s="1332"/>
      <c r="X54" s="2009"/>
      <c r="Y54" s="1332"/>
      <c r="Z54" s="2034"/>
      <c r="AA54" s="1332"/>
      <c r="AB54" s="268" t="s">
        <v>950</v>
      </c>
      <c r="AC54" s="133" t="s">
        <v>1171</v>
      </c>
      <c r="AD54" s="9" t="s">
        <v>831</v>
      </c>
      <c r="AE54" s="148"/>
      <c r="AF54" s="148"/>
      <c r="AG54" s="148"/>
      <c r="AH54" s="148"/>
      <c r="AI54" s="148"/>
      <c r="AJ54" s="148"/>
      <c r="AK54" s="226"/>
      <c r="AL54" s="1332"/>
      <c r="AM54" s="1332"/>
      <c r="AN54" s="939" t="s">
        <v>1172</v>
      </c>
    </row>
    <row r="55" spans="1:40" s="1088" customFormat="1" ht="14.25" customHeight="1" x14ac:dyDescent="0.15">
      <c r="A55" s="1332"/>
      <c r="B55" s="351"/>
      <c r="C55" s="1332"/>
      <c r="D55" s="1332"/>
      <c r="E55" s="185">
        <v>15</v>
      </c>
      <c r="F55" s="3" t="str" cm="1">
        <f t="array" aca="1" ref="F55" ca="1">OFFSET(E55,-1,1)</f>
        <v>1</v>
      </c>
      <c r="G55" s="77" t="s">
        <v>1173</v>
      </c>
      <c r="H55" s="45" t="s">
        <v>1174</v>
      </c>
      <c r="I55" s="1332"/>
      <c r="J55" s="406"/>
      <c r="K55" s="406" t="str">
        <f ca="1">F55&amp;"15komm"</f>
        <v>115komm</v>
      </c>
      <c r="L55" s="830" cm="1">
        <f t="array" ref="L55">AK55</f>
        <v>0</v>
      </c>
      <c r="M55" s="1332"/>
      <c r="N55" s="1332"/>
      <c r="O55" s="1332"/>
      <c r="P55" s="1332"/>
      <c r="Q55" s="1332"/>
      <c r="R55" s="1332"/>
      <c r="S55" s="1332"/>
      <c r="T55" s="388" t="b" cm="1">
        <f t="array" ref="T55">T54</f>
        <v>1</v>
      </c>
      <c r="U55" s="1332"/>
      <c r="V55" s="1332"/>
      <c r="W55" s="1332"/>
      <c r="X55" s="2009"/>
      <c r="Y55" s="1332"/>
      <c r="Z55" s="2034"/>
      <c r="AA55" s="1332"/>
      <c r="AB55" s="268" t="s">
        <v>1175</v>
      </c>
      <c r="AC55" s="133" t="s">
        <v>1176</v>
      </c>
      <c r="AD55" s="9" t="s">
        <v>831</v>
      </c>
      <c r="AE55" s="148"/>
      <c r="AF55" s="148"/>
      <c r="AG55" s="148"/>
      <c r="AH55" s="148"/>
      <c r="AI55" s="148"/>
      <c r="AJ55" s="148"/>
      <c r="AK55" s="226"/>
      <c r="AL55" s="1332"/>
      <c r="AM55" s="1332"/>
      <c r="AN55" s="939" t="s">
        <v>1177</v>
      </c>
    </row>
    <row r="56" spans="1:40" s="1088" customFormat="1" ht="14.25" customHeight="1" x14ac:dyDescent="0.15">
      <c r="A56" s="1332"/>
      <c r="B56" s="351"/>
      <c r="C56" s="1332"/>
      <c r="D56" s="1332"/>
      <c r="E56" s="185">
        <v>15</v>
      </c>
      <c r="F56" s="3" t="str" cm="1">
        <f t="array" aca="1" ref="F56" ca="1">OFFSET(E56,-1,1)</f>
        <v>1</v>
      </c>
      <c r="G56" s="77" t="s">
        <v>1178</v>
      </c>
      <c r="H56" s="45" t="s">
        <v>1179</v>
      </c>
      <c r="I56" s="1332"/>
      <c r="J56" s="406"/>
      <c r="K56" s="406" t="str">
        <f ca="1">F56&amp;"16komm"</f>
        <v>116komm</v>
      </c>
      <c r="L56" s="830" cm="1">
        <f t="array" ref="L56">AK56</f>
        <v>0</v>
      </c>
      <c r="M56" s="1332"/>
      <c r="N56" s="1332"/>
      <c r="O56" s="1332"/>
      <c r="P56" s="1332"/>
      <c r="Q56" s="1332"/>
      <c r="R56" s="1332"/>
      <c r="S56" s="1332"/>
      <c r="T56" s="388" t="b" cm="1">
        <f t="array" ref="T56">T55</f>
        <v>1</v>
      </c>
      <c r="U56" s="1332"/>
      <c r="V56" s="1332"/>
      <c r="W56" s="1332"/>
      <c r="X56" s="2009"/>
      <c r="Y56" s="1332"/>
      <c r="Z56" s="2034"/>
      <c r="AA56" s="1332"/>
      <c r="AB56" s="268" t="s">
        <v>1180</v>
      </c>
      <c r="AC56" s="133" t="s">
        <v>1181</v>
      </c>
      <c r="AD56" s="9" t="s">
        <v>831</v>
      </c>
      <c r="AE56" s="148"/>
      <c r="AF56" s="148"/>
      <c r="AG56" s="148"/>
      <c r="AH56" s="148"/>
      <c r="AI56" s="148"/>
      <c r="AJ56" s="148"/>
      <c r="AK56" s="226"/>
      <c r="AL56" s="1332"/>
      <c r="AM56" s="1332"/>
      <c r="AN56" s="939" t="s">
        <v>1182</v>
      </c>
    </row>
    <row r="57" spans="1:40" s="1088" customFormat="1" ht="32.25" customHeight="1" x14ac:dyDescent="0.15">
      <c r="A57" s="1332"/>
      <c r="B57" s="351"/>
      <c r="C57" s="1332"/>
      <c r="D57" s="1332"/>
      <c r="E57" s="185">
        <v>33.75</v>
      </c>
      <c r="F57" s="3" t="str" cm="1">
        <f t="array" aca="1" ref="F57" ca="1">OFFSET(E57,-1,1)</f>
        <v>1</v>
      </c>
      <c r="G57" s="265" t="s">
        <v>1183</v>
      </c>
      <c r="H57" s="45" t="s">
        <v>335</v>
      </c>
      <c r="I57" s="1332"/>
      <c r="J57" s="406"/>
      <c r="K57" s="406" t="str">
        <f ca="1">F57&amp;"2komm"</f>
        <v>12komm</v>
      </c>
      <c r="L57" s="830" cm="1">
        <f t="array" ref="L57">AK57</f>
        <v>0</v>
      </c>
      <c r="M57" s="1332"/>
      <c r="N57" s="1332"/>
      <c r="O57" s="1332"/>
      <c r="P57" s="1332"/>
      <c r="Q57" s="1332"/>
      <c r="R57" s="1332"/>
      <c r="S57" s="1332"/>
      <c r="T57" s="388" t="b" cm="1">
        <f t="array" ref="T57">T56</f>
        <v>1</v>
      </c>
      <c r="U57" s="1332"/>
      <c r="V57" s="1332"/>
      <c r="W57" s="1332"/>
      <c r="X57" s="2009"/>
      <c r="Y57" s="1332"/>
      <c r="Z57" s="2034"/>
      <c r="AA57" s="1332"/>
      <c r="AB57" s="268" t="s">
        <v>441</v>
      </c>
      <c r="AC57" s="257" t="s">
        <v>1184</v>
      </c>
      <c r="AD57" s="9" t="s">
        <v>831</v>
      </c>
      <c r="AE57" s="148"/>
      <c r="AF57" s="148"/>
      <c r="AG57" s="148"/>
      <c r="AH57" s="148"/>
      <c r="AI57" s="148"/>
      <c r="AJ57" s="148"/>
      <c r="AK57" s="226"/>
      <c r="AL57" s="1332"/>
      <c r="AM57" s="1332"/>
      <c r="AN57" s="939" t="s">
        <v>1185</v>
      </c>
    </row>
    <row r="58" spans="1:40" s="1088" customFormat="1" ht="14.25" customHeight="1" x14ac:dyDescent="0.15">
      <c r="A58" s="1332"/>
      <c r="B58" s="351"/>
      <c r="C58" s="1332"/>
      <c r="D58" s="1332"/>
      <c r="E58" s="185">
        <v>15</v>
      </c>
      <c r="F58" s="3" t="str" cm="1">
        <f t="array" aca="1" ref="F58" ca="1">OFFSET(E58,-1,1)</f>
        <v>1</v>
      </c>
      <c r="G58" s="265" t="s">
        <v>1186</v>
      </c>
      <c r="H58" s="45" t="s">
        <v>334</v>
      </c>
      <c r="I58" s="1332"/>
      <c r="J58" s="406"/>
      <c r="K58" s="406" t="str">
        <f ca="1">F58&amp;"3komm"</f>
        <v>13komm</v>
      </c>
      <c r="L58" s="830" cm="1">
        <f t="array" ref="L58">AK58</f>
        <v>0</v>
      </c>
      <c r="M58" s="1332"/>
      <c r="N58" s="1332"/>
      <c r="O58" s="1332"/>
      <c r="P58" s="1332"/>
      <c r="Q58" s="1332"/>
      <c r="R58" s="1332"/>
      <c r="S58" s="1332"/>
      <c r="T58" s="388" t="b" cm="1">
        <f t="array" ref="T58">T57</f>
        <v>1</v>
      </c>
      <c r="U58" s="1332"/>
      <c r="V58" s="1332"/>
      <c r="W58" s="1332"/>
      <c r="X58" s="2009"/>
      <c r="Y58" s="1332"/>
      <c r="Z58" s="2034"/>
      <c r="AA58" s="1332"/>
      <c r="AB58" s="268" t="s">
        <v>444</v>
      </c>
      <c r="AC58" s="257" t="s">
        <v>1187</v>
      </c>
      <c r="AD58" s="9" t="s">
        <v>831</v>
      </c>
      <c r="AE58" s="148"/>
      <c r="AF58" s="148"/>
      <c r="AG58" s="148"/>
      <c r="AH58" s="148"/>
      <c r="AI58" s="148"/>
      <c r="AJ58" s="148"/>
      <c r="AK58" s="226"/>
      <c r="AL58" s="1332"/>
      <c r="AM58" s="1332"/>
      <c r="AN58" s="939" t="s">
        <v>1188</v>
      </c>
    </row>
    <row r="59" spans="1:40" s="1088" customFormat="1" ht="14.25" customHeight="1" x14ac:dyDescent="0.15">
      <c r="A59" s="1332"/>
      <c r="B59" s="351"/>
      <c r="C59" s="1332"/>
      <c r="D59" s="1332"/>
      <c r="E59" s="185">
        <v>15</v>
      </c>
      <c r="F59" s="3" t="str" cm="1">
        <f t="array" aca="1" ref="F59" ca="1">OFFSET(E59,-1,1)</f>
        <v>1</v>
      </c>
      <c r="G59" s="265" t="s">
        <v>1189</v>
      </c>
      <c r="H59" s="45" t="s">
        <v>544</v>
      </c>
      <c r="I59" s="1332"/>
      <c r="J59" s="1332"/>
      <c r="K59" s="406" t="str">
        <f ca="1">F59&amp;"4komm"</f>
        <v>14komm</v>
      </c>
      <c r="L59" s="830" cm="1">
        <f t="array" ref="L59">AK59</f>
        <v>0</v>
      </c>
      <c r="M59" s="1332"/>
      <c r="N59" s="1332"/>
      <c r="O59" s="1332"/>
      <c r="P59" s="1332"/>
      <c r="Q59" s="1332"/>
      <c r="R59" s="1332"/>
      <c r="S59" s="1332"/>
      <c r="T59" s="388" t="b" cm="1">
        <f t="array" ref="T59">T58</f>
        <v>1</v>
      </c>
      <c r="U59" s="1332"/>
      <c r="V59" s="1332"/>
      <c r="W59" s="1332"/>
      <c r="X59" s="2009"/>
      <c r="Y59" s="1332"/>
      <c r="Z59" s="2034"/>
      <c r="AA59" s="1332"/>
      <c r="AB59" s="268" t="s">
        <v>446</v>
      </c>
      <c r="AC59" s="257" t="s">
        <v>1190</v>
      </c>
      <c r="AD59" s="9" t="s">
        <v>831</v>
      </c>
      <c r="AE59" s="148"/>
      <c r="AF59" s="148"/>
      <c r="AG59" s="148"/>
      <c r="AH59" s="148"/>
      <c r="AI59" s="148"/>
      <c r="AJ59" s="148"/>
      <c r="AK59" s="226"/>
      <c r="AL59" s="1332"/>
      <c r="AM59" s="1332"/>
      <c r="AN59" s="939" t="s">
        <v>1191</v>
      </c>
    </row>
    <row r="60" spans="1:40" s="1088" customFormat="1" ht="14.25" customHeight="1" x14ac:dyDescent="0.15">
      <c r="A60" s="1332"/>
      <c r="B60" s="351"/>
      <c r="C60" s="1332"/>
      <c r="D60" s="1332"/>
      <c r="E60" s="185">
        <v>15</v>
      </c>
      <c r="F60" s="3" t="str" cm="1">
        <f t="array" aca="1" ref="F60" ca="1">OFFSET(E60,-1,1)</f>
        <v>1</v>
      </c>
      <c r="G60" s="265" t="s">
        <v>1192</v>
      </c>
      <c r="H60" s="45" t="s">
        <v>547</v>
      </c>
      <c r="I60" s="1332"/>
      <c r="J60" s="1332"/>
      <c r="K60" s="406" t="str">
        <f ca="1">F60&amp;"5komm"</f>
        <v>15komm</v>
      </c>
      <c r="L60" s="830" cm="1">
        <f t="array" ref="L60">AK60</f>
        <v>0</v>
      </c>
      <c r="M60" s="1332"/>
      <c r="N60" s="1332"/>
      <c r="O60" s="1332"/>
      <c r="P60" s="1332"/>
      <c r="Q60" s="1332"/>
      <c r="R60" s="1332"/>
      <c r="S60" s="1332"/>
      <c r="T60" s="388" t="b" cm="1">
        <f t="array" ref="T60">T59</f>
        <v>1</v>
      </c>
      <c r="U60" s="1332"/>
      <c r="V60" s="1332"/>
      <c r="W60" s="1332"/>
      <c r="X60" s="2009"/>
      <c r="Y60" s="1332"/>
      <c r="Z60" s="2034"/>
      <c r="AA60" s="1332"/>
      <c r="AB60" s="268" t="s">
        <v>448</v>
      </c>
      <c r="AC60" s="257" t="s">
        <v>1193</v>
      </c>
      <c r="AD60" s="9" t="s">
        <v>831</v>
      </c>
      <c r="AE60" s="148"/>
      <c r="AF60" s="148"/>
      <c r="AG60" s="148"/>
      <c r="AH60" s="148"/>
      <c r="AI60" s="148"/>
      <c r="AJ60" s="148"/>
      <c r="AK60" s="226"/>
      <c r="AL60" s="1332"/>
      <c r="AM60" s="1332"/>
      <c r="AN60" s="939" t="s">
        <v>1194</v>
      </c>
    </row>
    <row r="61" spans="1:40" s="1088" customFormat="1" ht="14.25" customHeight="1" x14ac:dyDescent="0.15">
      <c r="A61" s="1332"/>
      <c r="B61" s="351"/>
      <c r="C61" s="1332"/>
      <c r="D61" s="1332"/>
      <c r="E61" s="185">
        <v>15</v>
      </c>
      <c r="F61" s="3" t="str" cm="1">
        <f t="array" aca="1" ref="F61" ca="1">OFFSET(E61,-1,1)</f>
        <v>1</v>
      </c>
      <c r="G61" s="265" t="s">
        <v>1195</v>
      </c>
      <c r="H61" s="45" t="s">
        <v>591</v>
      </c>
      <c r="I61" s="1332"/>
      <c r="J61" s="1332"/>
      <c r="K61" s="406" t="str">
        <f ca="1">F61&amp;"6komm"</f>
        <v>16komm</v>
      </c>
      <c r="L61" s="830" cm="1">
        <f t="array" ref="L61">AK61</f>
        <v>0</v>
      </c>
      <c r="M61" s="1332"/>
      <c r="N61" s="1332"/>
      <c r="O61" s="1332"/>
      <c r="P61" s="1332"/>
      <c r="Q61" s="1332"/>
      <c r="R61" s="1332"/>
      <c r="S61" s="1332"/>
      <c r="T61" s="388" t="b" cm="1">
        <f t="array" ref="T61">T60</f>
        <v>1</v>
      </c>
      <c r="U61" s="1332"/>
      <c r="V61" s="1332"/>
      <c r="W61" s="1332"/>
      <c r="X61" s="2009"/>
      <c r="Y61" s="1332"/>
      <c r="Z61" s="2034"/>
      <c r="AA61" s="1332"/>
      <c r="AB61" s="268" t="s">
        <v>450</v>
      </c>
      <c r="AC61" s="257" t="s">
        <v>1196</v>
      </c>
      <c r="AD61" s="9" t="s">
        <v>831</v>
      </c>
      <c r="AE61" s="269">
        <f t="shared" ref="AE61:AJ61" si="5">SUM(AE62:AE64)</f>
        <v>802.90885449999996</v>
      </c>
      <c r="AF61" s="269">
        <f t="shared" si="5"/>
        <v>0</v>
      </c>
      <c r="AG61" s="269">
        <f t="shared" si="5"/>
        <v>0</v>
      </c>
      <c r="AH61" s="269">
        <f t="shared" si="5"/>
        <v>0</v>
      </c>
      <c r="AI61" s="269">
        <f t="shared" si="5"/>
        <v>0</v>
      </c>
      <c r="AJ61" s="269">
        <f t="shared" si="5"/>
        <v>0</v>
      </c>
      <c r="AK61" s="226"/>
      <c r="AL61" s="1332"/>
      <c r="AM61" s="1332"/>
      <c r="AN61" s="939" t="s">
        <v>393</v>
      </c>
    </row>
    <row r="62" spans="1:40" s="1088" customFormat="1" ht="14.25" customHeight="1" x14ac:dyDescent="0.15">
      <c r="A62" s="1332"/>
      <c r="B62" s="351"/>
      <c r="C62" s="1332"/>
      <c r="D62" s="1332"/>
      <c r="E62" s="185">
        <v>15</v>
      </c>
      <c r="F62" s="3" t="str" cm="1">
        <f t="array" aca="1" ref="F62" ca="1">OFFSET(E62,-1,1)</f>
        <v>1</v>
      </c>
      <c r="G62" s="265" t="s">
        <v>1197</v>
      </c>
      <c r="H62" s="45" t="s">
        <v>594</v>
      </c>
      <c r="I62" s="1332"/>
      <c r="J62" s="1332"/>
      <c r="K62" s="406" t="str">
        <f ca="1">F62&amp;"7komm"</f>
        <v>17komm</v>
      </c>
      <c r="L62" s="830" cm="1">
        <f t="array" ref="L62">AK62</f>
        <v>0</v>
      </c>
      <c r="M62" s="1332"/>
      <c r="N62" s="1332"/>
      <c r="O62" s="1332"/>
      <c r="P62" s="1332"/>
      <c r="Q62" s="1332"/>
      <c r="R62" s="1332"/>
      <c r="S62" s="1332"/>
      <c r="T62" s="388" t="b" cm="1">
        <f t="array" ref="T62">T61</f>
        <v>1</v>
      </c>
      <c r="U62" s="1332"/>
      <c r="V62" s="1332"/>
      <c r="W62" s="1332"/>
      <c r="X62" s="2009"/>
      <c r="Y62" s="1332"/>
      <c r="Z62" s="2034"/>
      <c r="AA62" s="1332"/>
      <c r="AB62" s="268" t="s">
        <v>617</v>
      </c>
      <c r="AC62" s="133" t="s">
        <v>1198</v>
      </c>
      <c r="AD62" s="9" t="s">
        <v>831</v>
      </c>
      <c r="AE62" s="148"/>
      <c r="AF62" s="148"/>
      <c r="AG62" s="148"/>
      <c r="AH62" s="148"/>
      <c r="AI62" s="148"/>
      <c r="AJ62" s="148"/>
      <c r="AK62" s="226"/>
      <c r="AL62" s="1332"/>
      <c r="AM62" s="1332"/>
      <c r="AN62" s="939" t="s">
        <v>1199</v>
      </c>
    </row>
    <row r="63" spans="1:40" s="1088" customFormat="1" ht="43.5" customHeight="1" x14ac:dyDescent="0.15">
      <c r="A63" s="1332"/>
      <c r="B63" s="351"/>
      <c r="C63" s="1332"/>
      <c r="D63" s="1332"/>
      <c r="E63" s="185">
        <v>45</v>
      </c>
      <c r="F63" s="3" t="str" cm="1">
        <f t="array" aca="1" ref="F63" ca="1">OFFSET(E63,-1,1)</f>
        <v>1</v>
      </c>
      <c r="G63" s="265" t="s">
        <v>1200</v>
      </c>
      <c r="H63" s="45" t="s">
        <v>598</v>
      </c>
      <c r="I63" s="1332"/>
      <c r="J63" s="1332"/>
      <c r="K63" s="406" t="str">
        <f ca="1">F63&amp;"8komm"</f>
        <v>18komm</v>
      </c>
      <c r="L63" s="830" cm="1">
        <f t="array" ref="L63">AK63</f>
        <v>0</v>
      </c>
      <c r="M63" s="1332"/>
      <c r="N63" s="1332"/>
      <c r="O63" s="1332"/>
      <c r="P63" s="1332"/>
      <c r="Q63" s="1332"/>
      <c r="R63" s="1332"/>
      <c r="S63" s="1332"/>
      <c r="T63" s="388" t="b" cm="1">
        <f t="array" ref="T63">T62</f>
        <v>1</v>
      </c>
      <c r="U63" s="1332"/>
      <c r="V63" s="1332"/>
      <c r="W63" s="1332"/>
      <c r="X63" s="2009"/>
      <c r="Y63" s="1332"/>
      <c r="Z63" s="2034"/>
      <c r="AA63" s="1332"/>
      <c r="AB63" s="268" t="s">
        <v>634</v>
      </c>
      <c r="AC63" s="682" t="s">
        <v>1201</v>
      </c>
      <c r="AD63" s="9" t="s">
        <v>831</v>
      </c>
      <c r="AE63" s="148"/>
      <c r="AF63" s="148"/>
      <c r="AG63" s="148"/>
      <c r="AH63" s="148"/>
      <c r="AI63" s="148"/>
      <c r="AJ63" s="148"/>
      <c r="AK63" s="226"/>
      <c r="AL63" s="1332"/>
      <c r="AM63" s="1332"/>
      <c r="AN63" s="939" t="s">
        <v>1202</v>
      </c>
    </row>
    <row r="64" spans="1:40" s="1088" customFormat="1" ht="23.25" customHeight="1" x14ac:dyDescent="0.15">
      <c r="A64" s="1332"/>
      <c r="B64" s="351"/>
      <c r="C64" s="1332"/>
      <c r="D64" s="1332"/>
      <c r="E64" s="185">
        <v>15</v>
      </c>
      <c r="F64" s="3" t="str" cm="1">
        <f t="array" aca="1" ref="F64" ca="1">OFFSET(E64,-1,1)</f>
        <v>1</v>
      </c>
      <c r="G64" s="77" t="s">
        <v>1203</v>
      </c>
      <c r="H64" s="45" t="s">
        <v>602</v>
      </c>
      <c r="I64" s="1332"/>
      <c r="J64" s="1332"/>
      <c r="K64" s="406" t="str">
        <f ca="1">F64&amp;"9komm"</f>
        <v>19komm</v>
      </c>
      <c r="L64" s="830" t="str" cm="1">
        <f t="array" ref="L64">AK64</f>
        <v>Подробное описание смотреть в комментарии</v>
      </c>
      <c r="M64" s="1332"/>
      <c r="N64" s="1332"/>
      <c r="O64" s="1332"/>
      <c r="P64" s="1332"/>
      <c r="Q64" s="1332"/>
      <c r="R64" s="1332"/>
      <c r="S64" s="1332"/>
      <c r="T64" s="388" t="b" cm="1">
        <f t="array" ref="T64">T63</f>
        <v>1</v>
      </c>
      <c r="U64" s="1332"/>
      <c r="V64" s="1332"/>
      <c r="W64" s="1332"/>
      <c r="X64" s="2009"/>
      <c r="Y64" s="1332"/>
      <c r="Z64" s="2034"/>
      <c r="AA64" s="1332"/>
      <c r="AB64" s="268" t="s">
        <v>646</v>
      </c>
      <c r="AC64" s="133" t="s">
        <v>1204</v>
      </c>
      <c r="AD64" s="9" t="s">
        <v>831</v>
      </c>
      <c r="AE64" s="148">
        <v>802.90885449999996</v>
      </c>
      <c r="AF64" s="148"/>
      <c r="AG64" s="148"/>
      <c r="AH64" s="148"/>
      <c r="AI64" s="1262"/>
      <c r="AJ64" s="1262"/>
      <c r="AK64" s="226" t="s">
        <v>1207</v>
      </c>
      <c r="AL64" s="1332"/>
      <c r="AM64" s="1332"/>
      <c r="AN64" s="939" t="s">
        <v>1205</v>
      </c>
    </row>
    <row r="65" spans="1:40" s="1334" customFormat="1" ht="10.5" customHeight="1" x14ac:dyDescent="0.15">
      <c r="A65" s="1214"/>
      <c r="B65" s="1083"/>
      <c r="C65" s="65"/>
      <c r="D65" s="65"/>
      <c r="E65" s="185">
        <v>11.25</v>
      </c>
      <c r="F65" s="17" t="str" cm="1">
        <f t="array" ref="F65">X65</f>
        <v>2</v>
      </c>
      <c r="G65" s="65"/>
      <c r="H65" s="65"/>
      <c r="I65" s="65"/>
      <c r="J65" s="65"/>
      <c r="K65" s="65"/>
      <c r="L65" s="65"/>
      <c r="M65" s="65"/>
      <c r="N65" s="65"/>
      <c r="O65" s="65"/>
      <c r="P65" s="65"/>
      <c r="Q65" s="65"/>
      <c r="R65" s="65"/>
      <c r="S65" s="65"/>
      <c r="T65" s="388" t="b">
        <f>X65&gt;0</f>
        <v>1</v>
      </c>
      <c r="U65" s="65"/>
      <c r="V65" s="65" t="str" cm="1">
        <f t="array" ref="V65">ФОТ!$AB$95</f>
        <v>Тариф 2 (Водоотведение) - тариф на водоотведение</v>
      </c>
      <c r="W65" s="65"/>
      <c r="X65" s="2009" t="s">
        <v>289</v>
      </c>
      <c r="Y65" s="65"/>
      <c r="Z65" s="2034"/>
      <c r="AA65" s="65"/>
      <c r="AB65" s="161" t="str" cm="1">
        <f t="array" ref="AB65">ФОТ!$AB$95</f>
        <v>Тариф 2 (Водоотведение) - тариф на водоотведение</v>
      </c>
      <c r="AC65" s="99"/>
      <c r="AD65" s="99"/>
      <c r="AE65" s="223">
        <f t="shared" ref="AE65:AJ65" ca="1" si="6">AE66+AE67+AE68+AE76+AE77+AE78+AE79+AE80</f>
        <v>11111.801299130901</v>
      </c>
      <c r="AF65" s="223">
        <f t="shared" ca="1" si="6"/>
        <v>0</v>
      </c>
      <c r="AG65" s="223">
        <f t="shared" ca="1" si="6"/>
        <v>0</v>
      </c>
      <c r="AH65" s="223">
        <f t="shared" ca="1" si="6"/>
        <v>0</v>
      </c>
      <c r="AI65" s="223">
        <f t="shared" ca="1" si="6"/>
        <v>0</v>
      </c>
      <c r="AJ65" s="223">
        <f t="shared" ca="1" si="6"/>
        <v>0</v>
      </c>
      <c r="AK65" s="93"/>
      <c r="AL65" s="65"/>
      <c r="AM65" s="1214"/>
      <c r="AN65" s="1216"/>
    </row>
    <row r="66" spans="1:40" s="1334" customFormat="1" ht="23.25" customHeight="1" x14ac:dyDescent="0.15">
      <c r="A66" s="1214"/>
      <c r="B66" s="1083"/>
      <c r="C66" s="65"/>
      <c r="D66" s="65"/>
      <c r="E66" s="185">
        <v>22.5</v>
      </c>
      <c r="F66" s="3" t="str" cm="1">
        <f t="array" aca="1" ref="F66" ca="1">OFFSET(E66,-1,1)</f>
        <v>2</v>
      </c>
      <c r="G66" s="65"/>
      <c r="H66" s="45" t="s">
        <v>331</v>
      </c>
      <c r="I66" s="65"/>
      <c r="J66" s="65"/>
      <c r="K66" s="65"/>
      <c r="L66" s="65"/>
      <c r="M66" s="65"/>
      <c r="N66" s="65"/>
      <c r="O66" s="65"/>
      <c r="P66" s="65"/>
      <c r="Q66" s="65"/>
      <c r="R66" s="65"/>
      <c r="S66" s="65"/>
      <c r="T66" s="388" t="b" cm="1">
        <f t="array" ref="T66">T65</f>
        <v>1</v>
      </c>
      <c r="U66" s="65"/>
      <c r="V66" s="65"/>
      <c r="W66" s="65"/>
      <c r="X66" s="2009"/>
      <c r="Y66" s="65"/>
      <c r="Z66" s="2034"/>
      <c r="AA66" s="65"/>
      <c r="AB66" s="268">
        <v>1</v>
      </c>
      <c r="AC66" s="257" t="s">
        <v>1128</v>
      </c>
      <c r="AD66" s="9" t="s">
        <v>831</v>
      </c>
      <c r="AE66" s="808">
        <f ca="1">SUMIFS(ФОТ!AE$25:AE$138,ФОТ!$F$25:$F$138,$F66,ФОТ!$AC$25:$AC$138,$AC66)</f>
        <v>7917.3273094400001</v>
      </c>
      <c r="AF66" s="808">
        <f ca="1">SUMIFS(ФОТ!AF$25:AF$138,ФОТ!$F$25:$F$138,$F66,ФОТ!$AC$25:$AC$138,$AC66)</f>
        <v>0</v>
      </c>
      <c r="AG66" s="808">
        <f ca="1">SUMIFS(ФОТ!AG$25:AG$138,ФОТ!$F$25:$F$138,$F66,ФОТ!$AC$25:$AC$138,$AC66)</f>
        <v>0</v>
      </c>
      <c r="AH66" s="808">
        <f ca="1">SUMIFS(ФОТ!AH$25:AH$138,ФОТ!$F$25:$F$138,$F66,ФОТ!$AC$25:$AC$138,$AC66)</f>
        <v>0</v>
      </c>
      <c r="AI66" s="808">
        <f ca="1">SUMIFS(ФОТ!AI$25:AI$138,ФОТ!$F$25:$F$138,$F66,ФОТ!$AC$25:$AC$138,$AC66)</f>
        <v>0</v>
      </c>
      <c r="AJ66" s="808">
        <f ca="1">SUMIFS(ФОТ!AJ$25:AJ$138,ФОТ!$F$25:$F$138,$F66,ФОТ!$AC$25:$AC$138,$AC66)</f>
        <v>0</v>
      </c>
      <c r="AK66" s="226" t="s">
        <v>1206</v>
      </c>
      <c r="AL66" s="65"/>
      <c r="AM66" s="1214"/>
      <c r="AN66" s="924" t="s">
        <v>1154</v>
      </c>
    </row>
    <row r="67" spans="1:40" s="1334" customFormat="1" ht="23.25" customHeight="1" x14ac:dyDescent="0.15">
      <c r="A67" s="1214"/>
      <c r="B67" s="1083"/>
      <c r="C67" s="65"/>
      <c r="D67" s="65"/>
      <c r="E67" s="185">
        <v>22.5</v>
      </c>
      <c r="F67" s="3" t="str" cm="1">
        <f t="array" aca="1" ref="F67" ca="1">OFFSET(E67,-1,1)</f>
        <v>2</v>
      </c>
      <c r="G67" s="65"/>
      <c r="H67" s="45" t="s">
        <v>332</v>
      </c>
      <c r="I67" s="65"/>
      <c r="J67" s="406"/>
      <c r="K67" s="406"/>
      <c r="L67" s="406"/>
      <c r="M67" s="65"/>
      <c r="N67" s="65"/>
      <c r="O67" s="65"/>
      <c r="P67" s="65"/>
      <c r="Q67" s="65"/>
      <c r="R67" s="65"/>
      <c r="S67" s="65"/>
      <c r="T67" s="388" t="b" cm="1">
        <f t="array" ref="T67">T66</f>
        <v>1</v>
      </c>
      <c r="U67" s="65"/>
      <c r="V67" s="65"/>
      <c r="W67" s="65"/>
      <c r="X67" s="2009"/>
      <c r="Y67" s="65"/>
      <c r="Z67" s="2034"/>
      <c r="AA67" s="65"/>
      <c r="AB67" s="268" t="s">
        <v>289</v>
      </c>
      <c r="AC67" s="257" t="s">
        <v>1133</v>
      </c>
      <c r="AD67" s="9" t="s">
        <v>831</v>
      </c>
      <c r="AE67" s="808">
        <f ca="1">SUMIFS(ФОТ!AE$25:AE$138,ФОТ!$F$25:$F$138,$F67,ФОТ!$AC$25:$AC$138,$AC67)</f>
        <v>2391.0328474509001</v>
      </c>
      <c r="AF67" s="808">
        <f ca="1">SUMIFS(ФОТ!AF$25:AF$138,ФОТ!$F$25:$F$138,$F67,ФОТ!$AC$25:$AC$138,$AC67)</f>
        <v>0</v>
      </c>
      <c r="AG67" s="808">
        <f ca="1">SUMIFS(ФОТ!AG$25:AG$138,ФОТ!$F$25:$F$138,$F67,ФОТ!$AC$25:$AC$138,$AC67)</f>
        <v>0</v>
      </c>
      <c r="AH67" s="808">
        <f ca="1">SUMIFS(ФОТ!AH$25:AH$138,ФОТ!$F$25:$F$138,$F67,ФОТ!$AC$25:$AC$138,$AC67)</f>
        <v>0</v>
      </c>
      <c r="AI67" s="808">
        <f ca="1">SUMIFS(ФОТ!AI$25:AI$138,ФОТ!$F$25:$F$138,$F67,ФОТ!$AC$25:$AC$138,$AC67)</f>
        <v>0</v>
      </c>
      <c r="AJ67" s="808">
        <f ca="1">SUMIFS(ФОТ!AJ$25:AJ$138,ФОТ!$F$25:$F$138,$F67,ФОТ!$AC$25:$AC$138,$AC67)</f>
        <v>0</v>
      </c>
      <c r="AK67" s="226" t="s">
        <v>1206</v>
      </c>
      <c r="AL67" s="65"/>
      <c r="AM67" s="1214"/>
      <c r="AN67" s="924" t="s">
        <v>1134</v>
      </c>
    </row>
    <row r="68" spans="1:40" s="1334" customFormat="1" ht="32.25" customHeight="1" x14ac:dyDescent="0.15">
      <c r="A68" s="1214"/>
      <c r="B68" s="1083"/>
      <c r="C68" s="65"/>
      <c r="D68" s="65"/>
      <c r="E68" s="185">
        <v>33.75</v>
      </c>
      <c r="F68" s="3" t="str" cm="1">
        <f t="array" aca="1" ref="F68" ca="1">OFFSET(E68,-1,1)</f>
        <v>2</v>
      </c>
      <c r="G68" s="265" t="s">
        <v>1155</v>
      </c>
      <c r="H68" s="45" t="s">
        <v>333</v>
      </c>
      <c r="I68" s="65"/>
      <c r="J68" s="406"/>
      <c r="K68" s="406" t="str">
        <f ca="1">F68&amp;"17komm"</f>
        <v>217komm</v>
      </c>
      <c r="L68" s="830" cm="1">
        <f t="array" ref="L68">AK68</f>
        <v>0</v>
      </c>
      <c r="M68" s="65"/>
      <c r="N68" s="65"/>
      <c r="O68" s="65"/>
      <c r="P68" s="65"/>
      <c r="Q68" s="65"/>
      <c r="R68" s="65"/>
      <c r="S68" s="65"/>
      <c r="T68" s="388" t="b" cm="1">
        <f t="array" ref="T68">T67</f>
        <v>1</v>
      </c>
      <c r="U68" s="65"/>
      <c r="V68" s="65"/>
      <c r="W68" s="65"/>
      <c r="X68" s="2009"/>
      <c r="Y68" s="65"/>
      <c r="Z68" s="2034"/>
      <c r="AA68" s="65"/>
      <c r="AB68" s="268" t="s">
        <v>329</v>
      </c>
      <c r="AC68" s="257" t="s">
        <v>1156</v>
      </c>
      <c r="AD68" s="9" t="s">
        <v>831</v>
      </c>
      <c r="AE68" s="157">
        <f t="shared" ref="AE68:AJ68" si="7">SUM(AE69:AE75)</f>
        <v>0</v>
      </c>
      <c r="AF68" s="157">
        <f t="shared" si="7"/>
        <v>0</v>
      </c>
      <c r="AG68" s="157">
        <f t="shared" si="7"/>
        <v>0</v>
      </c>
      <c r="AH68" s="157">
        <f t="shared" si="7"/>
        <v>0</v>
      </c>
      <c r="AI68" s="157">
        <f t="shared" si="7"/>
        <v>0</v>
      </c>
      <c r="AJ68" s="157">
        <f t="shared" si="7"/>
        <v>0</v>
      </c>
      <c r="AK68" s="226"/>
      <c r="AL68" s="65"/>
      <c r="AM68" s="1214"/>
      <c r="AN68" s="924" t="s">
        <v>1157</v>
      </c>
    </row>
    <row r="69" spans="1:40" s="1334" customFormat="1" ht="14.25" customHeight="1" x14ac:dyDescent="0.15">
      <c r="B69" s="352"/>
      <c r="C69" s="65"/>
      <c r="D69" s="65"/>
      <c r="E69" s="185">
        <v>15</v>
      </c>
      <c r="F69" s="1090" t="str" cm="1">
        <f t="array" aca="1" ref="F69" ca="1">OFFSET(E69,-1,1)</f>
        <v>2</v>
      </c>
      <c r="G69" s="77" t="s">
        <v>1158</v>
      </c>
      <c r="H69" s="45" t="s">
        <v>940</v>
      </c>
      <c r="I69" s="65"/>
      <c r="J69" s="406"/>
      <c r="K69" s="406" t="str">
        <f ca="1">F69&amp;"18komm"</f>
        <v>218komm</v>
      </c>
      <c r="L69" s="830" cm="1">
        <f t="array" ref="L69">AK69</f>
        <v>0</v>
      </c>
      <c r="M69" s="65"/>
      <c r="N69" s="65"/>
      <c r="O69" s="65"/>
      <c r="P69" s="65"/>
      <c r="Q69" s="65"/>
      <c r="R69" s="65"/>
      <c r="S69" s="65"/>
      <c r="T69" s="388" t="b" cm="1">
        <f t="array" ref="T69">T68</f>
        <v>1</v>
      </c>
      <c r="U69" s="65"/>
      <c r="V69" s="65"/>
      <c r="W69" s="65"/>
      <c r="X69" s="2009"/>
      <c r="Y69" s="65"/>
      <c r="Z69" s="2034"/>
      <c r="AA69" s="65"/>
      <c r="AB69" s="268" t="s">
        <v>580</v>
      </c>
      <c r="AC69" s="133" t="s">
        <v>1159</v>
      </c>
      <c r="AD69" s="9" t="s">
        <v>831</v>
      </c>
      <c r="AE69" s="148"/>
      <c r="AF69" s="148"/>
      <c r="AG69" s="148"/>
      <c r="AH69" s="148"/>
      <c r="AI69" s="148"/>
      <c r="AJ69" s="148"/>
      <c r="AK69" s="226"/>
      <c r="AL69" s="65"/>
      <c r="AN69" s="928" t="s">
        <v>1160</v>
      </c>
    </row>
    <row r="70" spans="1:40" s="1088" customFormat="1" ht="14.25" customHeight="1" x14ac:dyDescent="0.15">
      <c r="A70" s="1332"/>
      <c r="B70" s="351"/>
      <c r="C70" s="1332"/>
      <c r="D70" s="1332"/>
      <c r="E70" s="185">
        <v>15</v>
      </c>
      <c r="F70" s="3" t="str" cm="1">
        <f t="array" aca="1" ref="F70" ca="1">OFFSET(E70,-1,1)</f>
        <v>2</v>
      </c>
      <c r="G70" s="77" t="s">
        <v>1161</v>
      </c>
      <c r="H70" s="45" t="s">
        <v>942</v>
      </c>
      <c r="I70" s="1332"/>
      <c r="J70" s="406"/>
      <c r="K70" s="406" t="str">
        <f ca="1">F70&amp;"11komm"</f>
        <v>211komm</v>
      </c>
      <c r="L70" s="830" cm="1">
        <f t="array" ref="L70">AK70</f>
        <v>0</v>
      </c>
      <c r="M70" s="1332"/>
      <c r="N70" s="1332"/>
      <c r="O70" s="1332"/>
      <c r="P70" s="1332"/>
      <c r="Q70" s="1332"/>
      <c r="R70" s="1332"/>
      <c r="S70" s="1332"/>
      <c r="T70" s="388" t="b" cm="1">
        <f t="array" ref="T70">T69</f>
        <v>1</v>
      </c>
      <c r="U70" s="1332"/>
      <c r="V70" s="1332"/>
      <c r="W70" s="1332"/>
      <c r="X70" s="2009"/>
      <c r="Y70" s="1332"/>
      <c r="Z70" s="2034"/>
      <c r="AA70" s="1332"/>
      <c r="AB70" s="268" t="s">
        <v>584</v>
      </c>
      <c r="AC70" s="133" t="s">
        <v>1162</v>
      </c>
      <c r="AD70" s="9" t="s">
        <v>831</v>
      </c>
      <c r="AE70" s="148"/>
      <c r="AF70" s="148"/>
      <c r="AG70" s="148"/>
      <c r="AH70" s="148"/>
      <c r="AI70" s="148"/>
      <c r="AJ70" s="148"/>
      <c r="AK70" s="226"/>
      <c r="AL70" s="1332"/>
      <c r="AM70" s="1332"/>
      <c r="AN70" s="939" t="s">
        <v>1163</v>
      </c>
    </row>
    <row r="71" spans="1:40" s="1088" customFormat="1" ht="14.25" customHeight="1" x14ac:dyDescent="0.15">
      <c r="A71" s="1332"/>
      <c r="B71" s="351"/>
      <c r="C71" s="1332"/>
      <c r="D71" s="1332"/>
      <c r="E71" s="185">
        <v>15</v>
      </c>
      <c r="F71" s="3" t="str" cm="1">
        <f t="array" aca="1" ref="F71" ca="1">OFFSET(E71,-1,1)</f>
        <v>2</v>
      </c>
      <c r="G71" s="77" t="s">
        <v>1164</v>
      </c>
      <c r="H71" s="45" t="s">
        <v>944</v>
      </c>
      <c r="I71" s="1332"/>
      <c r="J71" s="406"/>
      <c r="K71" s="406" t="str">
        <f ca="1">F71&amp;"12komm"</f>
        <v>212komm</v>
      </c>
      <c r="L71" s="830" cm="1">
        <f t="array" ref="L71">AK71</f>
        <v>0</v>
      </c>
      <c r="M71" s="1332"/>
      <c r="N71" s="1332"/>
      <c r="O71" s="1332"/>
      <c r="P71" s="1332"/>
      <c r="Q71" s="1332"/>
      <c r="R71" s="1332"/>
      <c r="S71" s="1332"/>
      <c r="T71" s="388" t="b" cm="1">
        <f t="array" ref="T71">T70</f>
        <v>1</v>
      </c>
      <c r="U71" s="1332"/>
      <c r="V71" s="1332"/>
      <c r="W71" s="1332"/>
      <c r="X71" s="2009"/>
      <c r="Y71" s="1332"/>
      <c r="Z71" s="2034"/>
      <c r="AA71" s="1332"/>
      <c r="AB71" s="268" t="s">
        <v>796</v>
      </c>
      <c r="AC71" s="133" t="s">
        <v>1165</v>
      </c>
      <c r="AD71" s="9" t="s">
        <v>831</v>
      </c>
      <c r="AE71" s="148"/>
      <c r="AF71" s="148"/>
      <c r="AG71" s="148"/>
      <c r="AH71" s="148"/>
      <c r="AI71" s="148"/>
      <c r="AJ71" s="148"/>
      <c r="AK71" s="226"/>
      <c r="AL71" s="1332"/>
      <c r="AM71" s="1332"/>
      <c r="AN71" s="939" t="s">
        <v>1166</v>
      </c>
    </row>
    <row r="72" spans="1:40" s="1088" customFormat="1" ht="14.25" customHeight="1" x14ac:dyDescent="0.15">
      <c r="A72" s="1332"/>
      <c r="B72" s="351"/>
      <c r="C72" s="1332"/>
      <c r="D72" s="1332"/>
      <c r="E72" s="185">
        <v>15</v>
      </c>
      <c r="F72" s="3" t="str" cm="1">
        <f t="array" aca="1" ref="F72" ca="1">OFFSET(E72,-1,1)</f>
        <v>2</v>
      </c>
      <c r="G72" s="77" t="s">
        <v>1167</v>
      </c>
      <c r="H72" s="45" t="s">
        <v>946</v>
      </c>
      <c r="I72" s="1332"/>
      <c r="J72" s="406"/>
      <c r="K72" s="406" t="str">
        <f ca="1">F72&amp;"13komm"</f>
        <v>213komm</v>
      </c>
      <c r="L72" s="830" cm="1">
        <f t="array" ref="L72">AK72</f>
        <v>0</v>
      </c>
      <c r="M72" s="1332"/>
      <c r="N72" s="1332"/>
      <c r="O72" s="1332"/>
      <c r="P72" s="1332"/>
      <c r="Q72" s="1332"/>
      <c r="R72" s="1332"/>
      <c r="S72" s="1332"/>
      <c r="T72" s="388" t="b" cm="1">
        <f t="array" ref="T72">T71</f>
        <v>1</v>
      </c>
      <c r="U72" s="1332"/>
      <c r="V72" s="1332"/>
      <c r="W72" s="1332"/>
      <c r="X72" s="2009"/>
      <c r="Y72" s="1332"/>
      <c r="Z72" s="2034"/>
      <c r="AA72" s="1332"/>
      <c r="AB72" s="268" t="s">
        <v>947</v>
      </c>
      <c r="AC72" s="133" t="s">
        <v>1168</v>
      </c>
      <c r="AD72" s="9" t="s">
        <v>831</v>
      </c>
      <c r="AE72" s="148"/>
      <c r="AF72" s="148"/>
      <c r="AG72" s="148"/>
      <c r="AH72" s="148"/>
      <c r="AI72" s="148"/>
      <c r="AJ72" s="148"/>
      <c r="AK72" s="226"/>
      <c r="AL72" s="1332"/>
      <c r="AM72" s="1332"/>
      <c r="AN72" s="939" t="s">
        <v>1169</v>
      </c>
    </row>
    <row r="73" spans="1:40" s="1088" customFormat="1" ht="14.25" customHeight="1" x14ac:dyDescent="0.15">
      <c r="A73" s="1332"/>
      <c r="B73" s="351"/>
      <c r="C73" s="1332"/>
      <c r="D73" s="1332"/>
      <c r="E73" s="185">
        <v>15</v>
      </c>
      <c r="F73" s="3" t="str" cm="1">
        <f t="array" aca="1" ref="F73" ca="1">OFFSET(E73,-1,1)</f>
        <v>2</v>
      </c>
      <c r="G73" s="77" t="s">
        <v>1170</v>
      </c>
      <c r="H73" s="45" t="s">
        <v>949</v>
      </c>
      <c r="I73" s="1332"/>
      <c r="J73" s="406"/>
      <c r="K73" s="406" t="str">
        <f ca="1">F73&amp;"14komm"</f>
        <v>214komm</v>
      </c>
      <c r="L73" s="830" cm="1">
        <f t="array" ref="L73">AK73</f>
        <v>0</v>
      </c>
      <c r="M73" s="1332"/>
      <c r="N73" s="1332"/>
      <c r="O73" s="1332"/>
      <c r="P73" s="1332"/>
      <c r="Q73" s="1332"/>
      <c r="R73" s="1332"/>
      <c r="S73" s="1332"/>
      <c r="T73" s="388" t="b" cm="1">
        <f t="array" ref="T73">T72</f>
        <v>1</v>
      </c>
      <c r="U73" s="1332"/>
      <c r="V73" s="1332"/>
      <c r="W73" s="1332"/>
      <c r="X73" s="2009"/>
      <c r="Y73" s="1332"/>
      <c r="Z73" s="2034"/>
      <c r="AA73" s="1332"/>
      <c r="AB73" s="268" t="s">
        <v>950</v>
      </c>
      <c r="AC73" s="133" t="s">
        <v>1171</v>
      </c>
      <c r="AD73" s="9" t="s">
        <v>831</v>
      </c>
      <c r="AE73" s="148"/>
      <c r="AF73" s="148"/>
      <c r="AG73" s="148"/>
      <c r="AH73" s="148"/>
      <c r="AI73" s="148"/>
      <c r="AJ73" s="148"/>
      <c r="AK73" s="226"/>
      <c r="AL73" s="1332"/>
      <c r="AM73" s="1332"/>
      <c r="AN73" s="939" t="s">
        <v>1172</v>
      </c>
    </row>
    <row r="74" spans="1:40" s="1088" customFormat="1" ht="14.25" customHeight="1" x14ac:dyDescent="0.15">
      <c r="A74" s="1332"/>
      <c r="B74" s="351"/>
      <c r="C74" s="1332"/>
      <c r="D74" s="1332"/>
      <c r="E74" s="185">
        <v>15</v>
      </c>
      <c r="F74" s="3" t="str" cm="1">
        <f t="array" aca="1" ref="F74" ca="1">OFFSET(E74,-1,1)</f>
        <v>2</v>
      </c>
      <c r="G74" s="77" t="s">
        <v>1173</v>
      </c>
      <c r="H74" s="45" t="s">
        <v>1174</v>
      </c>
      <c r="I74" s="1332"/>
      <c r="J74" s="406"/>
      <c r="K74" s="406" t="str">
        <f ca="1">F74&amp;"15komm"</f>
        <v>215komm</v>
      </c>
      <c r="L74" s="830" cm="1">
        <f t="array" ref="L74">AK74</f>
        <v>0</v>
      </c>
      <c r="M74" s="1332"/>
      <c r="N74" s="1332"/>
      <c r="O74" s="1332"/>
      <c r="P74" s="1332"/>
      <c r="Q74" s="1332"/>
      <c r="R74" s="1332"/>
      <c r="S74" s="1332"/>
      <c r="T74" s="388" t="b" cm="1">
        <f t="array" ref="T74">T73</f>
        <v>1</v>
      </c>
      <c r="U74" s="1332"/>
      <c r="V74" s="1332"/>
      <c r="W74" s="1332"/>
      <c r="X74" s="2009"/>
      <c r="Y74" s="1332"/>
      <c r="Z74" s="2034"/>
      <c r="AA74" s="1332"/>
      <c r="AB74" s="268" t="s">
        <v>1175</v>
      </c>
      <c r="AC74" s="133" t="s">
        <v>1176</v>
      </c>
      <c r="AD74" s="9" t="s">
        <v>831</v>
      </c>
      <c r="AE74" s="148"/>
      <c r="AF74" s="148"/>
      <c r="AG74" s="148"/>
      <c r="AH74" s="148"/>
      <c r="AI74" s="148"/>
      <c r="AJ74" s="148"/>
      <c r="AK74" s="226"/>
      <c r="AL74" s="1332"/>
      <c r="AM74" s="1332"/>
      <c r="AN74" s="939" t="s">
        <v>1177</v>
      </c>
    </row>
    <row r="75" spans="1:40" s="1088" customFormat="1" ht="14.25" customHeight="1" x14ac:dyDescent="0.15">
      <c r="A75" s="1332"/>
      <c r="B75" s="351"/>
      <c r="C75" s="1332"/>
      <c r="D75" s="1332"/>
      <c r="E75" s="185">
        <v>15</v>
      </c>
      <c r="F75" s="3" t="str" cm="1">
        <f t="array" aca="1" ref="F75" ca="1">OFFSET(E75,-1,1)</f>
        <v>2</v>
      </c>
      <c r="G75" s="77" t="s">
        <v>1178</v>
      </c>
      <c r="H75" s="45" t="s">
        <v>1179</v>
      </c>
      <c r="I75" s="1332"/>
      <c r="J75" s="406"/>
      <c r="K75" s="406" t="str">
        <f ca="1">F75&amp;"16komm"</f>
        <v>216komm</v>
      </c>
      <c r="L75" s="830" cm="1">
        <f t="array" ref="L75">AK75</f>
        <v>0</v>
      </c>
      <c r="M75" s="1332"/>
      <c r="N75" s="1332"/>
      <c r="O75" s="1332"/>
      <c r="P75" s="1332"/>
      <c r="Q75" s="1332"/>
      <c r="R75" s="1332"/>
      <c r="S75" s="1332"/>
      <c r="T75" s="388" t="b" cm="1">
        <f t="array" ref="T75">T74</f>
        <v>1</v>
      </c>
      <c r="U75" s="1332"/>
      <c r="V75" s="1332"/>
      <c r="W75" s="1332"/>
      <c r="X75" s="2009"/>
      <c r="Y75" s="1332"/>
      <c r="Z75" s="2034"/>
      <c r="AA75" s="1332"/>
      <c r="AB75" s="268" t="s">
        <v>1180</v>
      </c>
      <c r="AC75" s="133" t="s">
        <v>1181</v>
      </c>
      <c r="AD75" s="9" t="s">
        <v>831</v>
      </c>
      <c r="AE75" s="148"/>
      <c r="AF75" s="148"/>
      <c r="AG75" s="148"/>
      <c r="AH75" s="148"/>
      <c r="AI75" s="148"/>
      <c r="AJ75" s="148"/>
      <c r="AK75" s="226"/>
      <c r="AL75" s="1332"/>
      <c r="AM75" s="1332"/>
      <c r="AN75" s="939" t="s">
        <v>1182</v>
      </c>
    </row>
    <row r="76" spans="1:40" s="1088" customFormat="1" ht="32.25" customHeight="1" x14ac:dyDescent="0.15">
      <c r="A76" s="1332"/>
      <c r="B76" s="351"/>
      <c r="C76" s="1332"/>
      <c r="D76" s="1332"/>
      <c r="E76" s="185">
        <v>33.75</v>
      </c>
      <c r="F76" s="3" t="str" cm="1">
        <f t="array" aca="1" ref="F76" ca="1">OFFSET(E76,-1,1)</f>
        <v>2</v>
      </c>
      <c r="G76" s="265" t="s">
        <v>1183</v>
      </c>
      <c r="H76" s="45" t="s">
        <v>335</v>
      </c>
      <c r="I76" s="1332"/>
      <c r="J76" s="406"/>
      <c r="K76" s="406" t="str">
        <f ca="1">F76&amp;"2komm"</f>
        <v>22komm</v>
      </c>
      <c r="L76" s="830" cm="1">
        <f t="array" ref="L76">AK76</f>
        <v>0</v>
      </c>
      <c r="M76" s="1332"/>
      <c r="N76" s="1332"/>
      <c r="O76" s="1332"/>
      <c r="P76" s="1332"/>
      <c r="Q76" s="1332"/>
      <c r="R76" s="1332"/>
      <c r="S76" s="1332"/>
      <c r="T76" s="388" t="b" cm="1">
        <f t="array" ref="T76">T75</f>
        <v>1</v>
      </c>
      <c r="U76" s="1332"/>
      <c r="V76" s="1332"/>
      <c r="W76" s="1332"/>
      <c r="X76" s="2009"/>
      <c r="Y76" s="1332"/>
      <c r="Z76" s="2034"/>
      <c r="AA76" s="1332"/>
      <c r="AB76" s="268" t="s">
        <v>441</v>
      </c>
      <c r="AC76" s="257" t="s">
        <v>1184</v>
      </c>
      <c r="AD76" s="9" t="s">
        <v>831</v>
      </c>
      <c r="AE76" s="148"/>
      <c r="AF76" s="148"/>
      <c r="AG76" s="148"/>
      <c r="AH76" s="148"/>
      <c r="AI76" s="148"/>
      <c r="AJ76" s="148"/>
      <c r="AK76" s="226"/>
      <c r="AL76" s="1332"/>
      <c r="AM76" s="1332"/>
      <c r="AN76" s="939" t="s">
        <v>1185</v>
      </c>
    </row>
    <row r="77" spans="1:40" s="1088" customFormat="1" ht="14.25" customHeight="1" x14ac:dyDescent="0.15">
      <c r="A77" s="1332"/>
      <c r="B77" s="351"/>
      <c r="C77" s="1332"/>
      <c r="D77" s="1332"/>
      <c r="E77" s="185">
        <v>15</v>
      </c>
      <c r="F77" s="3" t="str" cm="1">
        <f t="array" aca="1" ref="F77" ca="1">OFFSET(E77,-1,1)</f>
        <v>2</v>
      </c>
      <c r="G77" s="265" t="s">
        <v>1186</v>
      </c>
      <c r="H77" s="45" t="s">
        <v>334</v>
      </c>
      <c r="I77" s="1332"/>
      <c r="J77" s="406"/>
      <c r="K77" s="406" t="str">
        <f ca="1">F77&amp;"3komm"</f>
        <v>23komm</v>
      </c>
      <c r="L77" s="830" cm="1">
        <f t="array" ref="L77">AK77</f>
        <v>0</v>
      </c>
      <c r="M77" s="1332"/>
      <c r="N77" s="1332"/>
      <c r="O77" s="1332"/>
      <c r="P77" s="1332"/>
      <c r="Q77" s="1332"/>
      <c r="R77" s="1332"/>
      <c r="S77" s="1332"/>
      <c r="T77" s="388" t="b" cm="1">
        <f t="array" ref="T77">T76</f>
        <v>1</v>
      </c>
      <c r="U77" s="1332"/>
      <c r="V77" s="1332"/>
      <c r="W77" s="1332"/>
      <c r="X77" s="2009"/>
      <c r="Y77" s="1332"/>
      <c r="Z77" s="2034"/>
      <c r="AA77" s="1332"/>
      <c r="AB77" s="268" t="s">
        <v>444</v>
      </c>
      <c r="AC77" s="257" t="s">
        <v>1187</v>
      </c>
      <c r="AD77" s="9" t="s">
        <v>831</v>
      </c>
      <c r="AE77" s="148"/>
      <c r="AF77" s="148"/>
      <c r="AG77" s="148"/>
      <c r="AH77" s="148"/>
      <c r="AI77" s="148"/>
      <c r="AJ77" s="148"/>
      <c r="AK77" s="226"/>
      <c r="AL77" s="1332"/>
      <c r="AM77" s="1332"/>
      <c r="AN77" s="939" t="s">
        <v>1188</v>
      </c>
    </row>
    <row r="78" spans="1:40" s="1088" customFormat="1" ht="14.25" customHeight="1" x14ac:dyDescent="0.15">
      <c r="A78" s="1332"/>
      <c r="B78" s="351"/>
      <c r="C78" s="1332"/>
      <c r="D78" s="1332"/>
      <c r="E78" s="185">
        <v>15</v>
      </c>
      <c r="F78" s="3" t="str" cm="1">
        <f t="array" aca="1" ref="F78" ca="1">OFFSET(E78,-1,1)</f>
        <v>2</v>
      </c>
      <c r="G78" s="265" t="s">
        <v>1189</v>
      </c>
      <c r="H78" s="45" t="s">
        <v>544</v>
      </c>
      <c r="I78" s="1332"/>
      <c r="J78" s="1332"/>
      <c r="K78" s="406" t="str">
        <f ca="1">F78&amp;"4komm"</f>
        <v>24komm</v>
      </c>
      <c r="L78" s="830" cm="1">
        <f t="array" ref="L78">AK78</f>
        <v>0</v>
      </c>
      <c r="M78" s="1332"/>
      <c r="N78" s="1332"/>
      <c r="O78" s="1332"/>
      <c r="P78" s="1332"/>
      <c r="Q78" s="1332"/>
      <c r="R78" s="1332"/>
      <c r="S78" s="1332"/>
      <c r="T78" s="388" t="b" cm="1">
        <f t="array" ref="T78">T77</f>
        <v>1</v>
      </c>
      <c r="U78" s="1332"/>
      <c r="V78" s="1332"/>
      <c r="W78" s="1332"/>
      <c r="X78" s="2009"/>
      <c r="Y78" s="1332"/>
      <c r="Z78" s="2034"/>
      <c r="AA78" s="1332"/>
      <c r="AB78" s="268" t="s">
        <v>446</v>
      </c>
      <c r="AC78" s="257" t="s">
        <v>1190</v>
      </c>
      <c r="AD78" s="9" t="s">
        <v>831</v>
      </c>
      <c r="AE78" s="148"/>
      <c r="AF78" s="148"/>
      <c r="AG78" s="148"/>
      <c r="AH78" s="148"/>
      <c r="AI78" s="148"/>
      <c r="AJ78" s="148"/>
      <c r="AK78" s="226"/>
      <c r="AL78" s="1332"/>
      <c r="AM78" s="1332"/>
      <c r="AN78" s="939" t="s">
        <v>1191</v>
      </c>
    </row>
    <row r="79" spans="1:40" s="1088" customFormat="1" ht="14.25" customHeight="1" x14ac:dyDescent="0.15">
      <c r="A79" s="1332"/>
      <c r="B79" s="351"/>
      <c r="C79" s="1332"/>
      <c r="D79" s="1332"/>
      <c r="E79" s="185">
        <v>15</v>
      </c>
      <c r="F79" s="3" t="str" cm="1">
        <f t="array" aca="1" ref="F79" ca="1">OFFSET(E79,-1,1)</f>
        <v>2</v>
      </c>
      <c r="G79" s="265" t="s">
        <v>1192</v>
      </c>
      <c r="H79" s="45" t="s">
        <v>547</v>
      </c>
      <c r="I79" s="1332"/>
      <c r="J79" s="1332"/>
      <c r="K79" s="406" t="str">
        <f ca="1">F79&amp;"5komm"</f>
        <v>25komm</v>
      </c>
      <c r="L79" s="830" cm="1">
        <f t="array" ref="L79">AK79</f>
        <v>0</v>
      </c>
      <c r="M79" s="1332"/>
      <c r="N79" s="1332"/>
      <c r="O79" s="1332"/>
      <c r="P79" s="1332"/>
      <c r="Q79" s="1332"/>
      <c r="R79" s="1332"/>
      <c r="S79" s="1332"/>
      <c r="T79" s="388" t="b" cm="1">
        <f t="array" ref="T79">T78</f>
        <v>1</v>
      </c>
      <c r="U79" s="1332"/>
      <c r="V79" s="1332"/>
      <c r="W79" s="1332"/>
      <c r="X79" s="2009"/>
      <c r="Y79" s="1332"/>
      <c r="Z79" s="2034"/>
      <c r="AA79" s="1332"/>
      <c r="AB79" s="268" t="s">
        <v>448</v>
      </c>
      <c r="AC79" s="257" t="s">
        <v>1193</v>
      </c>
      <c r="AD79" s="9" t="s">
        <v>831</v>
      </c>
      <c r="AE79" s="148"/>
      <c r="AF79" s="148"/>
      <c r="AG79" s="148"/>
      <c r="AH79" s="148"/>
      <c r="AI79" s="148"/>
      <c r="AJ79" s="148"/>
      <c r="AK79" s="226"/>
      <c r="AL79" s="1332"/>
      <c r="AM79" s="1332"/>
      <c r="AN79" s="939" t="s">
        <v>1194</v>
      </c>
    </row>
    <row r="80" spans="1:40" s="1088" customFormat="1" ht="14.25" customHeight="1" x14ac:dyDescent="0.15">
      <c r="A80" s="1332"/>
      <c r="B80" s="351"/>
      <c r="C80" s="1332"/>
      <c r="D80" s="1332"/>
      <c r="E80" s="185">
        <v>15</v>
      </c>
      <c r="F80" s="3" t="str" cm="1">
        <f t="array" aca="1" ref="F80" ca="1">OFFSET(E80,-1,1)</f>
        <v>2</v>
      </c>
      <c r="G80" s="265" t="s">
        <v>1195</v>
      </c>
      <c r="H80" s="45" t="s">
        <v>591</v>
      </c>
      <c r="I80" s="1332"/>
      <c r="J80" s="1332"/>
      <c r="K80" s="406" t="str">
        <f ca="1">F80&amp;"6komm"</f>
        <v>26komm</v>
      </c>
      <c r="L80" s="830" cm="1">
        <f t="array" ref="L80">AK80</f>
        <v>0</v>
      </c>
      <c r="M80" s="1332"/>
      <c r="N80" s="1332"/>
      <c r="O80" s="1332"/>
      <c r="P80" s="1332"/>
      <c r="Q80" s="1332"/>
      <c r="R80" s="1332"/>
      <c r="S80" s="1332"/>
      <c r="T80" s="388" t="b" cm="1">
        <f t="array" ref="T80">T79</f>
        <v>1</v>
      </c>
      <c r="U80" s="1332"/>
      <c r="V80" s="1332"/>
      <c r="W80" s="1332"/>
      <c r="X80" s="2009"/>
      <c r="Y80" s="1332"/>
      <c r="Z80" s="2034"/>
      <c r="AA80" s="1332"/>
      <c r="AB80" s="268" t="s">
        <v>450</v>
      </c>
      <c r="AC80" s="257" t="s">
        <v>1196</v>
      </c>
      <c r="AD80" s="9" t="s">
        <v>831</v>
      </c>
      <c r="AE80" s="269">
        <f t="shared" ref="AE80:AJ80" si="8">SUM(AE81:AE83)</f>
        <v>803.44114223999998</v>
      </c>
      <c r="AF80" s="269">
        <f t="shared" si="8"/>
        <v>0</v>
      </c>
      <c r="AG80" s="269">
        <f t="shared" si="8"/>
        <v>0</v>
      </c>
      <c r="AH80" s="269">
        <f t="shared" si="8"/>
        <v>0</v>
      </c>
      <c r="AI80" s="269">
        <f t="shared" si="8"/>
        <v>0</v>
      </c>
      <c r="AJ80" s="269">
        <f t="shared" si="8"/>
        <v>0</v>
      </c>
      <c r="AK80" s="226"/>
      <c r="AL80" s="1332"/>
      <c r="AM80" s="1332"/>
      <c r="AN80" s="939" t="s">
        <v>393</v>
      </c>
    </row>
    <row r="81" spans="1:40" s="1088" customFormat="1" ht="14.25" customHeight="1" x14ac:dyDescent="0.15">
      <c r="A81" s="1332"/>
      <c r="B81" s="351"/>
      <c r="C81" s="1332"/>
      <c r="D81" s="1332"/>
      <c r="E81" s="185">
        <v>15</v>
      </c>
      <c r="F81" s="3" t="str" cm="1">
        <f t="array" aca="1" ref="F81" ca="1">OFFSET(E81,-1,1)</f>
        <v>2</v>
      </c>
      <c r="G81" s="265" t="s">
        <v>1197</v>
      </c>
      <c r="H81" s="45" t="s">
        <v>594</v>
      </c>
      <c r="I81" s="1332"/>
      <c r="J81" s="1332"/>
      <c r="K81" s="406" t="str">
        <f ca="1">F81&amp;"7komm"</f>
        <v>27komm</v>
      </c>
      <c r="L81" s="830" cm="1">
        <f t="array" ref="L81">AK81</f>
        <v>0</v>
      </c>
      <c r="M81" s="1332"/>
      <c r="N81" s="1332"/>
      <c r="O81" s="1332"/>
      <c r="P81" s="1332"/>
      <c r="Q81" s="1332"/>
      <c r="R81" s="1332"/>
      <c r="S81" s="1332"/>
      <c r="T81" s="388" t="b" cm="1">
        <f t="array" ref="T81">T80</f>
        <v>1</v>
      </c>
      <c r="U81" s="1332"/>
      <c r="V81" s="1332"/>
      <c r="W81" s="1332"/>
      <c r="X81" s="2009"/>
      <c r="Y81" s="1332"/>
      <c r="Z81" s="2034"/>
      <c r="AA81" s="1332"/>
      <c r="AB81" s="268" t="s">
        <v>617</v>
      </c>
      <c r="AC81" s="133" t="s">
        <v>1198</v>
      </c>
      <c r="AD81" s="9" t="s">
        <v>831</v>
      </c>
      <c r="AE81" s="148"/>
      <c r="AF81" s="148"/>
      <c r="AG81" s="148"/>
      <c r="AH81" s="148"/>
      <c r="AI81" s="148"/>
      <c r="AJ81" s="148"/>
      <c r="AK81" s="226"/>
      <c r="AL81" s="1332"/>
      <c r="AM81" s="1332"/>
      <c r="AN81" s="939" t="s">
        <v>1199</v>
      </c>
    </row>
    <row r="82" spans="1:40" s="1088" customFormat="1" ht="43.5" customHeight="1" x14ac:dyDescent="0.15">
      <c r="A82" s="1332"/>
      <c r="B82" s="351"/>
      <c r="C82" s="1332"/>
      <c r="D82" s="1332"/>
      <c r="E82" s="185">
        <v>45</v>
      </c>
      <c r="F82" s="3" t="str" cm="1">
        <f t="array" aca="1" ref="F82" ca="1">OFFSET(E82,-1,1)</f>
        <v>2</v>
      </c>
      <c r="G82" s="265" t="s">
        <v>1200</v>
      </c>
      <c r="H82" s="45" t="s">
        <v>598</v>
      </c>
      <c r="I82" s="1332"/>
      <c r="J82" s="1332"/>
      <c r="K82" s="406" t="str">
        <f ca="1">F82&amp;"8komm"</f>
        <v>28komm</v>
      </c>
      <c r="L82" s="830" cm="1">
        <f t="array" ref="L82">AK82</f>
        <v>0</v>
      </c>
      <c r="M82" s="1332"/>
      <c r="N82" s="1332"/>
      <c r="O82" s="1332"/>
      <c r="P82" s="1332"/>
      <c r="Q82" s="1332"/>
      <c r="R82" s="1332"/>
      <c r="S82" s="1332"/>
      <c r="T82" s="388" t="b" cm="1">
        <f t="array" ref="T82">T81</f>
        <v>1</v>
      </c>
      <c r="U82" s="1332"/>
      <c r="V82" s="1332"/>
      <c r="W82" s="1332"/>
      <c r="X82" s="2009"/>
      <c r="Y82" s="1332"/>
      <c r="Z82" s="2034"/>
      <c r="AA82" s="1332"/>
      <c r="AB82" s="268" t="s">
        <v>634</v>
      </c>
      <c r="AC82" s="682" t="s">
        <v>1201</v>
      </c>
      <c r="AD82" s="9" t="s">
        <v>831</v>
      </c>
      <c r="AE82" s="148"/>
      <c r="AF82" s="148"/>
      <c r="AG82" s="148"/>
      <c r="AH82" s="148"/>
      <c r="AI82" s="148"/>
      <c r="AJ82" s="148"/>
      <c r="AK82" s="226"/>
      <c r="AL82" s="1332"/>
      <c r="AM82" s="1332"/>
      <c r="AN82" s="939" t="s">
        <v>1202</v>
      </c>
    </row>
    <row r="83" spans="1:40" s="1088" customFormat="1" ht="23.25" customHeight="1" x14ac:dyDescent="0.15">
      <c r="A83" s="1332"/>
      <c r="B83" s="351"/>
      <c r="C83" s="1332"/>
      <c r="D83" s="1332"/>
      <c r="E83" s="185">
        <v>15</v>
      </c>
      <c r="F83" s="3" t="str" cm="1">
        <f t="array" aca="1" ref="F83" ca="1">OFFSET(E83,-1,1)</f>
        <v>2</v>
      </c>
      <c r="G83" s="77" t="s">
        <v>1203</v>
      </c>
      <c r="H83" s="45" t="s">
        <v>602</v>
      </c>
      <c r="I83" s="1332"/>
      <c r="J83" s="1332"/>
      <c r="K83" s="406" t="str">
        <f ca="1">F83&amp;"9komm"</f>
        <v>29komm</v>
      </c>
      <c r="L83" s="830" t="str" cm="1">
        <f t="array" ref="L83">AK83</f>
        <v>Подробное описание смотреть в комментарии</v>
      </c>
      <c r="M83" s="1332"/>
      <c r="N83" s="1332"/>
      <c r="O83" s="1332"/>
      <c r="P83" s="1332"/>
      <c r="Q83" s="1332"/>
      <c r="R83" s="1332"/>
      <c r="S83" s="1332"/>
      <c r="T83" s="388" t="b" cm="1">
        <f t="array" ref="T83">T82</f>
        <v>1</v>
      </c>
      <c r="U83" s="1332"/>
      <c r="V83" s="1332"/>
      <c r="W83" s="1332"/>
      <c r="X83" s="2009"/>
      <c r="Y83" s="1332"/>
      <c r="Z83" s="2034"/>
      <c r="AA83" s="1332"/>
      <c r="AB83" s="268" t="s">
        <v>646</v>
      </c>
      <c r="AC83" s="133" t="s">
        <v>1204</v>
      </c>
      <c r="AD83" s="9" t="s">
        <v>831</v>
      </c>
      <c r="AE83" s="148">
        <v>803.44114223999998</v>
      </c>
      <c r="AF83" s="148"/>
      <c r="AG83" s="148"/>
      <c r="AH83" s="148"/>
      <c r="AI83" s="1262"/>
      <c r="AJ83" s="1262"/>
      <c r="AK83" s="226" t="s">
        <v>1207</v>
      </c>
      <c r="AL83" s="1332"/>
      <c r="AM83" s="1332"/>
      <c r="AN83" s="939" t="s">
        <v>1205</v>
      </c>
    </row>
    <row r="84" spans="1:40" s="1332" customFormat="1" ht="10.9" customHeight="1" x14ac:dyDescent="0.15">
      <c r="B84" s="351"/>
      <c r="C84"/>
      <c r="D84"/>
      <c r="E84" s="185">
        <v>11.25</v>
      </c>
      <c r="F84" s="4"/>
      <c r="G84"/>
      <c r="H84"/>
      <c r="I84"/>
      <c r="J84"/>
      <c r="K84"/>
      <c r="L84"/>
      <c r="M84"/>
      <c r="N84"/>
      <c r="O84"/>
      <c r="P84"/>
      <c r="Q84"/>
      <c r="R84"/>
      <c r="S84"/>
      <c r="T84"/>
      <c r="U84" t="s">
        <v>176</v>
      </c>
      <c r="V84" s="59" t="s">
        <v>1208</v>
      </c>
      <c r="W84"/>
      <c r="X84"/>
      <c r="Y84"/>
      <c r="Z84"/>
      <c r="AA84"/>
      <c r="AB84"/>
      <c r="AC84" s="19"/>
      <c r="AD84" s="19"/>
      <c r="AE84" s="270"/>
      <c r="AF84" s="270"/>
      <c r="AG84" s="271"/>
      <c r="AH84" s="271"/>
      <c r="AI84" s="271"/>
      <c r="AJ84"/>
      <c r="AK84"/>
      <c r="AL84"/>
      <c r="AN84" s="939"/>
    </row>
    <row r="85" spans="1:40" s="1332" customFormat="1" ht="14.65" customHeight="1" x14ac:dyDescent="0.15">
      <c r="B85" s="351"/>
      <c r="C85" s="17"/>
      <c r="D85" s="17"/>
      <c r="E85" s="556">
        <v>15</v>
      </c>
      <c r="F85" s="17"/>
      <c r="G85" s="17"/>
      <c r="H85" s="17"/>
      <c r="I85" s="17"/>
      <c r="J85" s="17"/>
      <c r="K85" s="17"/>
      <c r="L85" s="17"/>
      <c r="M85" s="17"/>
      <c r="N85" s="17"/>
      <c r="O85" s="17"/>
      <c r="P85" s="17"/>
      <c r="Q85" s="17"/>
      <c r="R85" s="265"/>
      <c r="S85" s="17"/>
      <c r="T85" s="17"/>
      <c r="U85" s="17"/>
      <c r="V85" s="17"/>
      <c r="W85" s="17"/>
      <c r="X85" s="17"/>
      <c r="Y85" s="17"/>
      <c r="Z85" s="17"/>
      <c r="AA85" s="17"/>
      <c r="AB85" s="2035" t="s">
        <v>402</v>
      </c>
      <c r="AC85" s="2035"/>
      <c r="AD85" s="2035"/>
      <c r="AE85" s="2035"/>
      <c r="AF85" s="2035"/>
      <c r="AG85" s="2035"/>
      <c r="AH85" s="2035"/>
      <c r="AI85" s="2068"/>
      <c r="AJ85" s="2068"/>
      <c r="AK85" s="2068"/>
      <c r="AL85" s="17"/>
      <c r="AN85" s="939"/>
    </row>
    <row r="86" spans="1:40" s="1332" customFormat="1" ht="14.65" customHeight="1" x14ac:dyDescent="0.15">
      <c r="B86" s="351"/>
      <c r="C86" s="17"/>
      <c r="D86" s="17"/>
      <c r="E86" s="556">
        <v>15</v>
      </c>
      <c r="F86" s="17"/>
      <c r="G86" s="17"/>
      <c r="H86" s="17"/>
      <c r="I86" s="17"/>
      <c r="J86" s="17"/>
      <c r="K86" s="17"/>
      <c r="L86" s="17"/>
      <c r="M86" s="17"/>
      <c r="N86" s="17"/>
      <c r="O86" s="17"/>
      <c r="P86" s="17"/>
      <c r="Q86" s="17"/>
      <c r="R86" s="265"/>
      <c r="S86" s="17"/>
      <c r="U86" s="17"/>
      <c r="V86" s="17"/>
      <c r="W86" s="17"/>
      <c r="X86" s="17"/>
      <c r="Y86" s="17"/>
      <c r="Z86" s="17"/>
      <c r="AA86" s="92"/>
      <c r="AB86" s="2069"/>
      <c r="AC86" s="2069"/>
      <c r="AD86" s="2069"/>
      <c r="AE86" s="2069"/>
      <c r="AF86" s="2069"/>
      <c r="AG86" s="2069"/>
      <c r="AH86" s="2069"/>
      <c r="AI86" s="2070"/>
      <c r="AJ86" s="2070"/>
      <c r="AK86" s="2070"/>
      <c r="AL86" s="17"/>
      <c r="AN86" s="939"/>
    </row>
    <row r="87" spans="1:40" s="1332" customFormat="1" ht="14.65" hidden="1" customHeight="1" x14ac:dyDescent="0.15">
      <c r="B87" s="351"/>
      <c r="C87" s="17"/>
      <c r="D87" s="17"/>
      <c r="E87" s="556">
        <v>15</v>
      </c>
      <c r="F87" s="17"/>
      <c r="G87" s="17"/>
      <c r="H87" s="17"/>
      <c r="I87" s="17"/>
      <c r="J87" s="17"/>
      <c r="K87" s="17"/>
      <c r="L87" s="17"/>
      <c r="M87" s="17"/>
      <c r="N87" s="17"/>
      <c r="O87" s="17"/>
      <c r="P87" s="17"/>
      <c r="Q87" s="17"/>
      <c r="R87" s="265"/>
      <c r="S87" s="17"/>
      <c r="T87" s="388" t="b">
        <f>ROW(W87)&gt;ROW(W$87)</f>
        <v>0</v>
      </c>
      <c r="U87" s="17"/>
      <c r="V87" s="17"/>
      <c r="W87" s="677" t="s">
        <v>172</v>
      </c>
      <c r="X87" s="17"/>
      <c r="Y87" s="17"/>
      <c r="Z87" s="17"/>
      <c r="AA87" s="342" t="s">
        <v>173</v>
      </c>
      <c r="AB87" s="2081" t="s">
        <v>147</v>
      </c>
      <c r="AC87" s="2081"/>
      <c r="AD87" s="2081"/>
      <c r="AE87" s="2081"/>
      <c r="AF87" s="2081"/>
      <c r="AG87" s="2081"/>
      <c r="AH87" s="2081"/>
      <c r="AI87" s="2070"/>
      <c r="AJ87" s="2070"/>
      <c r="AK87" s="2082"/>
      <c r="AL87" s="17"/>
      <c r="AN87" s="939"/>
    </row>
    <row r="88" spans="1:40" s="1332" customFormat="1" ht="14.65" customHeight="1" x14ac:dyDescent="0.15">
      <c r="B88" s="351"/>
      <c r="C88" s="17"/>
      <c r="D88" s="17"/>
      <c r="E88" s="556">
        <v>15</v>
      </c>
      <c r="F88" s="17"/>
      <c r="G88" s="17"/>
      <c r="H88" s="17"/>
      <c r="I88" s="17"/>
      <c r="J88" s="17"/>
      <c r="K88" s="17"/>
      <c r="L88" s="17"/>
      <c r="M88" s="17"/>
      <c r="N88" s="17"/>
      <c r="O88" s="17"/>
      <c r="P88" s="17"/>
      <c r="Q88" s="17"/>
      <c r="R88" s="265"/>
      <c r="S88" s="17"/>
      <c r="T88" s="17"/>
      <c r="U88" s="17"/>
      <c r="V88" s="17"/>
      <c r="W88" s="677" t="s">
        <v>403</v>
      </c>
      <c r="X88" s="17"/>
      <c r="Y88" s="17"/>
      <c r="Z88" s="17"/>
      <c r="AA88" s="17"/>
      <c r="AB88" s="571"/>
      <c r="AC88" s="437" t="s">
        <v>1209</v>
      </c>
      <c r="AD88" s="227"/>
      <c r="AE88" s="227"/>
      <c r="AF88" s="228"/>
      <c r="AG88" s="228"/>
      <c r="AH88" s="228"/>
      <c r="AI88" s="228"/>
      <c r="AJ88" s="228"/>
      <c r="AK88" s="229"/>
      <c r="AL88" s="17"/>
      <c r="AN88" s="939"/>
    </row>
    <row r="89" spans="1:40" s="1334" customFormat="1" ht="11.25" customHeight="1" x14ac:dyDescent="0.15">
      <c r="B89" s="352"/>
      <c r="E89" s="610" t="s">
        <v>475</v>
      </c>
      <c r="F89" s="4"/>
      <c r="AC89" s="19"/>
      <c r="AD89" s="19"/>
      <c r="AE89" s="270"/>
      <c r="AF89" s="270"/>
      <c r="AG89" s="271"/>
      <c r="AH89" s="271"/>
      <c r="AI89" s="271"/>
      <c r="AL89"/>
      <c r="AN89" s="928"/>
    </row>
  </sheetData>
  <sheetProtection formatColumns="0" formatRows="0" insertRows="0" deleteColumns="0" deleteRows="0" sort="0" autoFilter="0"/>
  <mergeCells count="13">
    <mergeCell ref="X27:X45"/>
    <mergeCell ref="Z27:Z45"/>
    <mergeCell ref="AB85:AK85"/>
    <mergeCell ref="AB86:AK86"/>
    <mergeCell ref="X46:X64"/>
    <mergeCell ref="Z46:Z64"/>
    <mergeCell ref="X65:X83"/>
    <mergeCell ref="Z65:Z83"/>
    <mergeCell ref="AB24:AB25"/>
    <mergeCell ref="AC24:AC25"/>
    <mergeCell ref="AD24:AD25"/>
    <mergeCell ref="AK24:AK25"/>
    <mergeCell ref="AB87:AK87"/>
  </mergeCells>
  <dataValidations count="1">
    <dataValidation type="decimal" allowBlank="1" showErrorMessage="1" errorTitle="Ошибка" error="Допускается ввод только неотрицательных чисел!" sqref="AH45 AH50:AH60 AH62:AH64 AH69:AH79 AH81:AH83 AG45 AG50:AG60 AG62:AG64 AG69:AG79 AG81:AG83 AF45 AF50:AF60 AF62:AF64 AF69:AF79 AF81:AF83 AE45 AE50:AE60 AE62:AE64 AE69:AE79 AE81:AE83 AE43:AJ44 AE31:AJ41 AI50 AJ50 AI51 AJ51 AI52 AJ52 AI53 AJ53 AI54 AJ54 AI55 AJ55 AI56 AJ56 AI57 AJ57 AI58 AJ58 AI59 AJ59 AI60 AJ60 AI62 AJ62 AI63 AJ63 AI69 AJ69 AI70 AJ70 AI71 AJ71 AI72 AJ72 AI73 AJ73 AI74 AJ74 AI75 AJ75 AI76 AJ76 AI77 AJ77 AI78 AJ78 AI79 AJ79 AI81 AJ81 AI82 AJ82" xr:uid="{00000000-0002-0000-13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D9E88-98A8-C768-ADD8-5A3595F16F18}">
  <sheetPr>
    <tabColor rgb="FF002060"/>
    <outlinePr summaryBelow="0"/>
  </sheetPr>
  <dimension ref="A1:AR71"/>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4.25" customHeight="1" x14ac:dyDescent="0.2"/>
  <cols>
    <col min="1" max="1" width="3.5703125" style="1217" hidden="1" customWidth="1"/>
    <col min="2" max="2" width="8.5703125" style="1111" hidden="1" customWidth="1"/>
    <col min="3" max="4" width="3.5703125" style="1217" hidden="1" customWidth="1"/>
    <col min="5" max="5" width="3.5703125" style="1080" hidden="1" customWidth="1"/>
    <col min="6" max="6" width="3.5703125" style="1217" hidden="1" customWidth="1"/>
    <col min="7" max="7" width="9.28515625" style="1217" hidden="1" customWidth="1"/>
    <col min="8" max="19" width="3.5703125" style="1217" hidden="1" customWidth="1"/>
    <col min="20" max="20" width="10.42578125" style="1217" hidden="1" customWidth="1"/>
    <col min="21" max="21" width="5.85546875" style="1217" hidden="1" customWidth="1"/>
    <col min="22" max="23" width="6.140625" style="1217" hidden="1" customWidth="1"/>
    <col min="24" max="25" width="5.5703125" style="1217" hidden="1" customWidth="1"/>
    <col min="26" max="26" width="5.28515625" style="1217" hidden="1" customWidth="1"/>
    <col min="27" max="27" width="3" style="370" customWidth="1"/>
    <col min="28" max="28" width="11" style="370" customWidth="1"/>
    <col min="29" max="29" width="50.140625" style="370" customWidth="1"/>
    <col min="30" max="30" width="10.28515625" style="370" customWidth="1"/>
    <col min="31" max="36" width="13" style="370" customWidth="1"/>
    <col min="37" max="37" width="20" style="370" customWidth="1"/>
    <col min="38" max="38" width="3" style="370" customWidth="1"/>
    <col min="39" max="39" width="9.140625" style="370" hidden="1"/>
    <col min="40" max="42" width="9.140625" style="1133" hidden="1"/>
    <col min="43" max="44" width="9.140625" style="1080" hidden="1"/>
  </cols>
  <sheetData>
    <row r="1" spans="1:44" s="1217" customFormat="1" ht="11.25" hidden="1" customHeight="1" x14ac:dyDescent="0.15">
      <c r="B1" s="350"/>
      <c r="F1" s="41" t="s">
        <v>319</v>
      </c>
      <c r="G1" s="41" t="s">
        <v>330</v>
      </c>
      <c r="H1" s="41" t="s">
        <v>354</v>
      </c>
      <c r="T1" s="388" t="s">
        <v>92</v>
      </c>
      <c r="U1" s="388" t="s">
        <v>97</v>
      </c>
      <c r="V1" s="388" t="s">
        <v>93</v>
      </c>
      <c r="W1" s="388" t="s">
        <v>94</v>
      </c>
      <c r="X1" s="388" t="s">
        <v>95</v>
      </c>
      <c r="Y1" s="390" t="s">
        <v>321</v>
      </c>
      <c r="Z1" s="388" t="s">
        <v>99</v>
      </c>
      <c r="AA1" s="389" t="s">
        <v>96</v>
      </c>
      <c r="AB1" s="4"/>
      <c r="AC1" s="389" t="s">
        <v>98</v>
      </c>
      <c r="AN1" s="906" t="s">
        <v>322</v>
      </c>
      <c r="AO1" s="906" t="s">
        <v>323</v>
      </c>
      <c r="AP1" s="906" t="s">
        <v>324</v>
      </c>
      <c r="AQ1" s="542" t="s">
        <v>327</v>
      </c>
      <c r="AR1" s="542" t="s">
        <v>328</v>
      </c>
    </row>
    <row r="2" spans="1:44" s="1111" customFormat="1" ht="11.25" hidden="1" customHeight="1" x14ac:dyDescent="0.15">
      <c r="B2" s="368" t="s">
        <v>18</v>
      </c>
      <c r="AI2" s="368" t="b">
        <f>AI6&lt;=last_year_vis</f>
        <v>1</v>
      </c>
      <c r="AJ2" s="368" t="b">
        <f>AJ6&lt;=last_year_vis</f>
        <v>1</v>
      </c>
      <c r="AN2" s="918"/>
      <c r="AO2" s="918"/>
      <c r="AP2" s="918"/>
      <c r="AQ2" s="923"/>
      <c r="AR2" s="923"/>
    </row>
    <row r="3" spans="1:44" s="1217" customFormat="1" ht="11.25" hidden="1" customHeight="1" x14ac:dyDescent="0.15">
      <c r="B3" s="350"/>
      <c r="AN3" s="906"/>
      <c r="AO3" s="906"/>
      <c r="AP3" s="906"/>
      <c r="AQ3" s="542"/>
      <c r="AR3" s="542"/>
    </row>
    <row r="4" spans="1:44" s="1217" customFormat="1" ht="11.25" hidden="1" customHeight="1" x14ac:dyDescent="0.15">
      <c r="B4" s="350"/>
      <c r="AN4" s="906"/>
      <c r="AO4" s="906"/>
      <c r="AP4" s="906"/>
      <c r="AQ4" s="542"/>
      <c r="AR4" s="542"/>
    </row>
    <row r="5" spans="1:44" s="1080" customFormat="1" ht="11.25" hidden="1" customHeight="1" x14ac:dyDescent="0.15">
      <c r="A5" s="41"/>
      <c r="B5" s="350"/>
      <c r="C5" s="41"/>
      <c r="D5" s="41"/>
      <c r="E5" s="542" t="s">
        <v>19</v>
      </c>
      <c r="AA5" s="542">
        <v>3</v>
      </c>
      <c r="AB5" s="542">
        <v>11</v>
      </c>
      <c r="AC5" s="542">
        <v>50.14</v>
      </c>
      <c r="AD5" s="542">
        <v>10.29</v>
      </c>
      <c r="AE5" s="542">
        <v>13</v>
      </c>
      <c r="AF5" s="542">
        <v>13</v>
      </c>
      <c r="AG5" s="542">
        <v>13</v>
      </c>
      <c r="AH5" s="542">
        <v>13</v>
      </c>
      <c r="AI5" s="542">
        <v>13</v>
      </c>
      <c r="AJ5" s="542">
        <v>13</v>
      </c>
      <c r="AK5" s="542">
        <v>20</v>
      </c>
      <c r="AL5" s="542">
        <v>3</v>
      </c>
      <c r="AN5" s="906"/>
      <c r="AO5" s="906"/>
      <c r="AP5" s="906"/>
    </row>
    <row r="6" spans="1:44" s="1217" customFormat="1" ht="11.25" hidden="1" customHeight="1" x14ac:dyDescent="0.15">
      <c r="A6" s="41" t="s">
        <v>357</v>
      </c>
      <c r="B6" s="350"/>
      <c r="E6" s="542"/>
      <c r="AE6" s="41">
        <f>god-2</f>
        <v>2024</v>
      </c>
      <c r="AF6" s="41">
        <f>god-2</f>
        <v>2024</v>
      </c>
      <c r="AG6" s="41">
        <f>god-2</f>
        <v>2024</v>
      </c>
      <c r="AH6" s="41">
        <f>god-1</f>
        <v>2025</v>
      </c>
      <c r="AI6" s="17" cm="1">
        <f t="array" ref="AI6">god</f>
        <v>2026</v>
      </c>
      <c r="AJ6" s="17" cm="1">
        <f t="array" ref="AJ6">god</f>
        <v>2026</v>
      </c>
      <c r="AN6" s="906"/>
      <c r="AO6" s="906"/>
      <c r="AP6" s="906"/>
      <c r="AQ6" s="542"/>
      <c r="AR6" s="542"/>
    </row>
    <row r="7" spans="1:44" s="1217" customFormat="1" ht="11.25" hidden="1" customHeight="1" x14ac:dyDescent="0.15">
      <c r="A7" s="41" t="s">
        <v>358</v>
      </c>
      <c r="B7" s="350"/>
      <c r="E7" s="542"/>
      <c r="AE7" s="41" t="str" cm="1">
        <f t="array" ref="AE7">AE25</f>
        <v>Принято органом регулирования</v>
      </c>
      <c r="AF7" s="41" t="str" cm="1">
        <f t="array" ref="AF7">AF25</f>
        <v>Факт по данным организации</v>
      </c>
      <c r="AG7" s="41" t="str" cm="1">
        <f t="array" ref="AG7">AG25</f>
        <v>Факт, принятый органом регулирования</v>
      </c>
      <c r="AH7" s="41" t="str" cm="1">
        <f t="array" ref="AH7">AH25</f>
        <v>Принято органом регулирования</v>
      </c>
      <c r="AI7" s="41" t="str" cm="1">
        <f t="array" ref="AI7">AI25</f>
        <v>Предложение организации</v>
      </c>
      <c r="AJ7" s="41" t="str" cm="1">
        <f t="array" ref="AJ7">AJ25</f>
        <v>Принято органом регулирования</v>
      </c>
      <c r="AN7" s="906"/>
      <c r="AO7" s="906"/>
      <c r="AP7" s="906"/>
      <c r="AQ7" s="542"/>
      <c r="AR7" s="542"/>
    </row>
    <row r="8" spans="1:44" s="1217" customFormat="1" ht="11.25" hidden="1" customHeight="1" x14ac:dyDescent="0.15">
      <c r="B8" s="350"/>
      <c r="E8" s="542"/>
      <c r="AN8" s="906"/>
      <c r="AO8" s="906"/>
      <c r="AP8" s="906"/>
      <c r="AQ8" s="542"/>
      <c r="AR8" s="542"/>
    </row>
    <row r="9" spans="1:44" s="1133" customFormat="1" ht="11.25" hidden="1" customHeight="1" x14ac:dyDescent="0.15">
      <c r="A9" s="906" t="s">
        <v>362</v>
      </c>
      <c r="B9" s="918"/>
      <c r="AE9" s="906" cm="1">
        <f t="array" ref="AE9">AE6</f>
        <v>2024</v>
      </c>
      <c r="AF9" s="906" cm="1">
        <f t="array" ref="AF9">AF6</f>
        <v>2024</v>
      </c>
      <c r="AG9" s="906" cm="1">
        <f t="array" ref="AG9">AG6</f>
        <v>2024</v>
      </c>
      <c r="AH9" s="906" cm="1">
        <f t="array" ref="AH9">AH6</f>
        <v>2025</v>
      </c>
      <c r="AI9" s="906" cm="1">
        <f t="array" ref="AI9">AI6</f>
        <v>2026</v>
      </c>
      <c r="AJ9" s="906" cm="1">
        <f t="array" ref="AJ9">AJ6</f>
        <v>2026</v>
      </c>
      <c r="AQ9" s="542"/>
      <c r="AR9" s="542"/>
    </row>
    <row r="10" spans="1:44" s="1133" customFormat="1" ht="11.25" hidden="1" customHeight="1" x14ac:dyDescent="0.15">
      <c r="A10" s="906" t="s">
        <v>363</v>
      </c>
      <c r="B10" s="918"/>
      <c r="AE10" s="906" t="str" cm="1">
        <f t="array" ref="AE10">AE25</f>
        <v>Принято органом регулирования</v>
      </c>
      <c r="AF10" s="906" t="str" cm="1">
        <f t="array" ref="AF10">AF25</f>
        <v>Факт по данным организации</v>
      </c>
      <c r="AG10" s="906" t="str" cm="1">
        <f t="array" ref="AG10">AG25</f>
        <v>Факт, принятый органом регулирования</v>
      </c>
      <c r="AH10" s="906" t="str" cm="1">
        <f t="array" ref="AH10">AH25</f>
        <v>Принято органом регулирования</v>
      </c>
      <c r="AI10" s="906" t="str" cm="1">
        <f t="array" ref="AI10">AI25</f>
        <v>Предложение организации</v>
      </c>
      <c r="AJ10" s="906" t="str" cm="1">
        <f t="array" ref="AJ10">AJ25</f>
        <v>Принято органом регулирования</v>
      </c>
      <c r="AQ10" s="542"/>
      <c r="AR10" s="542"/>
    </row>
    <row r="11" spans="1:44" s="1133" customFormat="1" ht="11.25" hidden="1" customHeight="1" x14ac:dyDescent="0.15">
      <c r="A11" s="906" t="s">
        <v>364</v>
      </c>
      <c r="B11" s="918"/>
      <c r="AK11" s="941" t="str" cm="1">
        <f t="array" ref="AK11">AK24</f>
        <v>Ссылка на правовую норму (основание для принятия показателя в расчет тарифа)</v>
      </c>
      <c r="AQ11" s="542"/>
      <c r="AR11" s="542"/>
    </row>
    <row r="12" spans="1:44" s="1133" customFormat="1" ht="11.25" hidden="1" customHeight="1" x14ac:dyDescent="0.15">
      <c r="A12" s="906" t="s">
        <v>337</v>
      </c>
      <c r="B12" s="918"/>
      <c r="AC12" s="906" t="s">
        <v>324</v>
      </c>
      <c r="AQ12" s="542"/>
      <c r="AR12" s="542"/>
    </row>
    <row r="13" spans="1:44" s="1217" customFormat="1" ht="11.25" hidden="1" customHeight="1" x14ac:dyDescent="0.15">
      <c r="B13" s="350"/>
      <c r="E13" s="542"/>
      <c r="AN13" s="906"/>
      <c r="AO13" s="906"/>
      <c r="AP13" s="906"/>
      <c r="AQ13" s="542"/>
      <c r="AR13" s="542"/>
    </row>
    <row r="14" spans="1:44" s="1217" customFormat="1" ht="11.25" hidden="1" customHeight="1" x14ac:dyDescent="0.15">
      <c r="B14" s="350"/>
      <c r="E14" s="542"/>
      <c r="AN14" s="906"/>
      <c r="AO14" s="906"/>
      <c r="AP14" s="906"/>
      <c r="AQ14" s="542"/>
      <c r="AR14" s="542"/>
    </row>
    <row r="15" spans="1:44" s="1217" customFormat="1" ht="11.25" hidden="1" customHeight="1" x14ac:dyDescent="0.15">
      <c r="B15" s="350"/>
      <c r="E15" s="542"/>
      <c r="AN15" s="906"/>
      <c r="AO15" s="906"/>
      <c r="AP15" s="906"/>
      <c r="AQ15" s="542"/>
      <c r="AR15" s="542"/>
    </row>
    <row r="16" spans="1:44" s="1217" customFormat="1" ht="11.25" hidden="1" customHeight="1" x14ac:dyDescent="0.15">
      <c r="B16" s="350"/>
      <c r="E16" s="542"/>
      <c r="AN16" s="906"/>
      <c r="AO16" s="906"/>
      <c r="AP16" s="906"/>
      <c r="AQ16" s="542"/>
      <c r="AR16" s="542"/>
    </row>
    <row r="17" spans="1:44" s="1217" customFormat="1" ht="11.25" hidden="1" customHeight="1" x14ac:dyDescent="0.15">
      <c r="B17" s="350"/>
      <c r="E17" s="542"/>
      <c r="AE17" s="17"/>
      <c r="AF17" s="17"/>
      <c r="AG17" s="17"/>
      <c r="AH17" s="17"/>
      <c r="AK17" s="348"/>
      <c r="AN17" s="906"/>
      <c r="AO17" s="906"/>
      <c r="AP17" s="906"/>
      <c r="AQ17" s="542"/>
      <c r="AR17" s="542"/>
    </row>
    <row r="18" spans="1:44" s="1217" customFormat="1" ht="11.25" hidden="1" customHeight="1" x14ac:dyDescent="0.15">
      <c r="A18" s="41" t="s">
        <v>365</v>
      </c>
      <c r="B18" s="350"/>
      <c r="E18" s="542"/>
      <c r="AC18" s="41" t="s">
        <v>366</v>
      </c>
      <c r="AN18" s="906"/>
      <c r="AO18" s="906"/>
      <c r="AP18" s="906"/>
      <c r="AQ18" s="542"/>
      <c r="AR18" s="542"/>
    </row>
    <row r="19" spans="1:44" s="1217" customFormat="1" ht="11.25" hidden="1" customHeight="1" x14ac:dyDescent="0.15">
      <c r="B19" s="350"/>
      <c r="E19" s="542"/>
      <c r="AN19" s="906"/>
      <c r="AO19" s="906"/>
      <c r="AP19" s="906"/>
      <c r="AQ19" s="542"/>
      <c r="AR19" s="542"/>
    </row>
    <row r="20" spans="1:44" s="1217" customFormat="1" ht="11.25" hidden="1" customHeight="1" x14ac:dyDescent="0.15">
      <c r="B20" s="350"/>
      <c r="E20" s="542"/>
      <c r="AN20" s="906"/>
      <c r="AO20" s="906"/>
      <c r="AP20" s="906"/>
      <c r="AQ20" s="542"/>
      <c r="AR20" s="542"/>
    </row>
    <row r="21" spans="1:44" ht="14.65" customHeight="1" x14ac:dyDescent="0.2">
      <c r="E21" s="542">
        <v>15</v>
      </c>
      <c r="AA21" s="371"/>
      <c r="AC21" s="290" t="str" cm="1">
        <f t="array" ref="AC21">tpl_title</f>
        <v>Кемеровская область / 2026 / ООО "Чистая вода" (ИНН:4246023100, КПП:424601001) / ДПР: 2024-2032</v>
      </c>
    </row>
    <row r="22" spans="1:44" ht="19.5" customHeight="1" x14ac:dyDescent="0.2">
      <c r="E22" s="542">
        <v>20</v>
      </c>
      <c r="AB22" s="236" t="s">
        <v>65</v>
      </c>
      <c r="AC22" s="145"/>
      <c r="AD22" s="145"/>
      <c r="AE22" s="145"/>
      <c r="AF22" s="145"/>
      <c r="AG22" s="145"/>
      <c r="AH22" s="145"/>
      <c r="AI22" s="145"/>
      <c r="AJ22" s="145"/>
      <c r="AK22" s="372"/>
    </row>
    <row r="23" spans="1:44" ht="13.9" customHeight="1" x14ac:dyDescent="0.2">
      <c r="E23" s="542">
        <v>14.25</v>
      </c>
      <c r="AB23" s="68"/>
      <c r="AC23" s="68"/>
      <c r="AD23" s="68"/>
      <c r="AE23" s="68"/>
      <c r="AF23" s="68"/>
      <c r="AG23" s="68"/>
      <c r="AH23" s="68"/>
      <c r="AI23" s="68"/>
      <c r="AJ23" s="68"/>
      <c r="AK23" s="68"/>
    </row>
    <row r="24" spans="1:44" ht="14.65" customHeight="1" x14ac:dyDescent="0.2">
      <c r="E24" s="542">
        <v>15</v>
      </c>
      <c r="AB24" s="2035" t="s">
        <v>21</v>
      </c>
      <c r="AC24" s="2035" t="s">
        <v>366</v>
      </c>
      <c r="AD24" s="2035" t="s">
        <v>1009</v>
      </c>
      <c r="AE24" s="10" t="str">
        <f>god-2&amp;" год"</f>
        <v>2024 год</v>
      </c>
      <c r="AF24" s="1028" t="str">
        <f>god-2&amp;" год"</f>
        <v>2024 год</v>
      </c>
      <c r="AG24" s="10" t="str">
        <f>god-2&amp;" год"</f>
        <v>2024 год</v>
      </c>
      <c r="AH24" s="10" t="str">
        <f>god-1&amp;" год"</f>
        <v>2025 год</v>
      </c>
      <c r="AI24" s="1026" t="str">
        <f>god&amp;" год"</f>
        <v>2026 год</v>
      </c>
      <c r="AJ24" s="11" t="str">
        <f>god&amp;" год"</f>
        <v>2026 год</v>
      </c>
      <c r="AK24" s="2098" t="s">
        <v>558</v>
      </c>
    </row>
    <row r="25" spans="1:44" ht="44.1" customHeight="1" x14ac:dyDescent="0.2">
      <c r="E25" s="542">
        <v>45.25</v>
      </c>
      <c r="AB25" s="2035"/>
      <c r="AC25" s="2035"/>
      <c r="AD25" s="2035"/>
      <c r="AE25" s="10" t="s">
        <v>359</v>
      </c>
      <c r="AF25" s="1028" t="s">
        <v>484</v>
      </c>
      <c r="AG25" s="10" t="s">
        <v>485</v>
      </c>
      <c r="AH25" s="10" t="s">
        <v>359</v>
      </c>
      <c r="AI25" s="1030" t="s">
        <v>360</v>
      </c>
      <c r="AJ25" s="276" t="s">
        <v>359</v>
      </c>
      <c r="AK25" s="2098"/>
    </row>
    <row r="26" spans="1:44" ht="12" hidden="1" customHeight="1" x14ac:dyDescent="0.2">
      <c r="E26" s="542">
        <v>0</v>
      </c>
      <c r="AB26" s="655"/>
      <c r="AC26" s="655"/>
      <c r="AD26" s="655"/>
      <c r="AE26" s="656"/>
      <c r="AF26" s="656"/>
      <c r="AG26" s="656"/>
      <c r="AH26" s="656"/>
      <c r="AI26" s="642"/>
      <c r="AJ26" s="642"/>
      <c r="AK26" s="657"/>
    </row>
    <row r="27" spans="1:44" ht="14.65" hidden="1" customHeight="1" x14ac:dyDescent="0.2">
      <c r="E27" s="542">
        <v>15</v>
      </c>
      <c r="F27" s="17" cm="1">
        <f t="array" ref="F27">X27</f>
        <v>0</v>
      </c>
      <c r="G27" s="41" t="s">
        <v>1210</v>
      </c>
      <c r="T27" s="388" t="b">
        <f>X27&gt;0</f>
        <v>0</v>
      </c>
      <c r="V27" s="41" t="s">
        <v>271</v>
      </c>
      <c r="X27" s="2032">
        <v>0</v>
      </c>
      <c r="Z27" s="2012"/>
      <c r="AB27" s="141" t="str" cm="1">
        <f t="array" ref="AB27">INDEX('Общие сведения'!$AG$185:$AG$228,MATCH($X27,'Общие сведения'!$Z$185:$Z$228,0))</f>
        <v xml:space="preserve">Тариф 0 () - </v>
      </c>
      <c r="AC27" s="99"/>
      <c r="AD27" s="99"/>
      <c r="AE27" s="223">
        <f t="shared" ref="AE27:AJ27" ca="1" si="0">SUM(AE28:AE36)</f>
        <v>0</v>
      </c>
      <c r="AF27" s="223">
        <f t="shared" ca="1" si="0"/>
        <v>0</v>
      </c>
      <c r="AG27" s="223">
        <f t="shared" ca="1" si="0"/>
        <v>0</v>
      </c>
      <c r="AH27" s="223">
        <f t="shared" ca="1" si="0"/>
        <v>0</v>
      </c>
      <c r="AI27" s="223">
        <f t="shared" ca="1" si="0"/>
        <v>0</v>
      </c>
      <c r="AJ27" s="223">
        <f t="shared" ca="1" si="0"/>
        <v>0</v>
      </c>
      <c r="AK27" s="143"/>
    </row>
    <row r="28" spans="1:44" ht="21.95" hidden="1" customHeight="1" x14ac:dyDescent="0.2">
      <c r="E28" s="542">
        <v>22.5</v>
      </c>
      <c r="F28" s="3" cm="1">
        <f t="array" aca="1" ref="F28" ca="1">OFFSET(E28,-1,1)</f>
        <v>0</v>
      </c>
      <c r="G28" s="41" t="s">
        <v>331</v>
      </c>
      <c r="K28" s="43" t="str">
        <f ca="1">F28&amp;"komm"</f>
        <v>0komm</v>
      </c>
      <c r="L28" s="832" cm="1">
        <f t="array" ref="L28">AK28</f>
        <v>0</v>
      </c>
      <c r="T28" s="388" t="b" cm="1">
        <f t="array" ref="T28">T27</f>
        <v>0</v>
      </c>
      <c r="X28" s="2032"/>
      <c r="Z28" s="2012"/>
      <c r="AB28" s="217" t="s">
        <v>282</v>
      </c>
      <c r="AC28" s="374" t="s">
        <v>1211</v>
      </c>
      <c r="AD28" s="218" t="s">
        <v>831</v>
      </c>
      <c r="AE28" s="1407"/>
      <c r="AF28" s="1414"/>
      <c r="AG28" s="1414"/>
      <c r="AH28" s="1414"/>
      <c r="AI28" s="148"/>
      <c r="AJ28" s="148"/>
      <c r="AK28" s="1365"/>
      <c r="AN28" s="906" t="s">
        <v>1212</v>
      </c>
    </row>
    <row r="29" spans="1:44" ht="21.95" hidden="1" customHeight="1" x14ac:dyDescent="0.2">
      <c r="E29" s="542">
        <v>22.5</v>
      </c>
      <c r="F29" s="3" cm="1">
        <f t="array" aca="1" ref="F29" ca="1">OFFSET(E29,-1,1)</f>
        <v>0</v>
      </c>
      <c r="G29" s="41" t="s">
        <v>332</v>
      </c>
      <c r="T29" s="388" t="b" cm="1">
        <f t="array" ref="T29">T28</f>
        <v>0</v>
      </c>
      <c r="X29" s="2032"/>
      <c r="Z29" s="2012"/>
      <c r="AB29" s="217" t="s">
        <v>289</v>
      </c>
      <c r="AC29" s="374" t="s">
        <v>1213</v>
      </c>
      <c r="AD29" s="218" t="s">
        <v>831</v>
      </c>
      <c r="AE29" s="1407"/>
      <c r="AF29" s="1414"/>
      <c r="AG29" s="1414"/>
      <c r="AH29" s="1414"/>
      <c r="AI29" s="148"/>
      <c r="AJ29" s="148"/>
      <c r="AK29" s="1365"/>
      <c r="AN29" s="906" t="s">
        <v>1214</v>
      </c>
    </row>
    <row r="30" spans="1:44" ht="21.95" hidden="1" customHeight="1" x14ac:dyDescent="0.2">
      <c r="E30" s="542">
        <v>22.5</v>
      </c>
      <c r="F30" s="3" cm="1">
        <f t="array" aca="1" ref="F30" ca="1">OFFSET(E30,-1,1)</f>
        <v>0</v>
      </c>
      <c r="G30" s="41" t="s">
        <v>333</v>
      </c>
      <c r="T30" s="388" t="b" cm="1">
        <f t="array" ref="T30">T29</f>
        <v>0</v>
      </c>
      <c r="X30" s="2032"/>
      <c r="Z30" s="2012"/>
      <c r="AB30" s="217" t="s">
        <v>329</v>
      </c>
      <c r="AC30" s="374" t="s">
        <v>1215</v>
      </c>
      <c r="AD30" s="218" t="s">
        <v>831</v>
      </c>
      <c r="AE30" s="1407"/>
      <c r="AF30" s="1414"/>
      <c r="AG30" s="1414"/>
      <c r="AH30" s="1414"/>
      <c r="AI30" s="148"/>
      <c r="AJ30" s="148"/>
      <c r="AK30" s="1365"/>
      <c r="AN30" s="906" t="s">
        <v>1216</v>
      </c>
    </row>
    <row r="31" spans="1:44" s="1334" customFormat="1" ht="32.85" hidden="1" customHeight="1" x14ac:dyDescent="0.2">
      <c r="A31" s="41"/>
      <c r="B31" s="350"/>
      <c r="C31" s="41"/>
      <c r="D31" s="41"/>
      <c r="E31" s="542">
        <v>33.75</v>
      </c>
      <c r="F31" s="1090" cm="1">
        <f t="array" aca="1" ref="F31" ca="1">OFFSET(E31,-1,1)</f>
        <v>0</v>
      </c>
      <c r="G31" s="41" t="s">
        <v>335</v>
      </c>
      <c r="H31" s="41"/>
      <c r="I31" s="41"/>
      <c r="J31" s="41"/>
      <c r="K31" s="41"/>
      <c r="L31" s="41"/>
      <c r="M31" s="41"/>
      <c r="N31" s="41"/>
      <c r="O31" s="41"/>
      <c r="P31" s="41"/>
      <c r="Q31" s="41"/>
      <c r="R31" s="41"/>
      <c r="S31" s="41"/>
      <c r="T31" s="388" t="b" cm="1">
        <f t="array" ref="T31">T30</f>
        <v>0</v>
      </c>
      <c r="U31" s="41"/>
      <c r="V31" s="41"/>
      <c r="W31" s="41"/>
      <c r="X31" s="2032"/>
      <c r="Y31" s="41"/>
      <c r="Z31" s="2012"/>
      <c r="AA31" s="370"/>
      <c r="AB31" s="803">
        <v>4</v>
      </c>
      <c r="AC31" s="374" t="s">
        <v>1217</v>
      </c>
      <c r="AD31" s="218" t="s">
        <v>831</v>
      </c>
      <c r="AE31" s="693">
        <f ca="1">SUMIFS(ФОТ!AE$25:AE$138,ФОТ!$F$25:$F$138,$F31,ФОТ!$G$25:$G$138,"СП")+SUMIFS(ФОТ!AE$25:AE$138,ФОТ!$F$25:$F$138,$F31,ФОТ!$G$25:$G$138,"СОЦ_СП")</f>
        <v>0</v>
      </c>
      <c r="AF31" s="693">
        <f ca="1">SUMIFS(ФОТ!AF$25:AF$138,ФОТ!$F$25:$F$138,$F31,ФОТ!$G$25:$G$138,"СП")+SUMIFS(ФОТ!AF$25:AF$138,ФОТ!$F$25:$F$138,$F31,ФОТ!$G$25:$G$138,"СОЦ_СП")</f>
        <v>0</v>
      </c>
      <c r="AG31" s="693">
        <f ca="1">SUMIFS(ФОТ!AG$25:AG$138,ФОТ!$F$25:$F$138,$F31,ФОТ!$G$25:$G$138,"СП")+SUMIFS(ФОТ!AG$25:AG$138,ФОТ!$F$25:$F$138,$F31,ФОТ!$G$25:$G$138,"СОЦ_СП")</f>
        <v>0</v>
      </c>
      <c r="AH31" s="693">
        <f ca="1">SUMIFS(ФОТ!AH$25:AH$138,ФОТ!$F$25:$F$138,$F31,ФОТ!$G$25:$G$138,"СП")+SUMIFS(ФОТ!AH$25:AH$138,ФОТ!$F$25:$F$138,$F31,ФОТ!$G$25:$G$138,"СОЦ_СП")</f>
        <v>0</v>
      </c>
      <c r="AI31" s="693">
        <f ca="1">SUMIFS(ФОТ!AI$25:AI$138,ФОТ!$F$25:$F$138,$F31,ФОТ!$G$25:$G$138,"СП")+SUMIFS(ФОТ!AI$25:AI$138,ФОТ!$F$25:$F$138,$F31,ФОТ!$G$25:$G$138,"СОЦ_СП")</f>
        <v>0</v>
      </c>
      <c r="AJ31" s="693">
        <f ca="1">SUMIFS(ФОТ!AJ$25:AJ$138,ФОТ!$F$25:$F$138,$F31,ФОТ!$G$25:$G$138,"СП")+SUMIFS(ФОТ!AJ$25:AJ$138,ФОТ!$F$25:$F$138,$F31,ФОТ!$G$25:$G$138,"СОЦ_СП")</f>
        <v>0</v>
      </c>
      <c r="AK31" s="1365"/>
      <c r="AL31" s="370"/>
      <c r="AN31" s="957" t="s">
        <v>1218</v>
      </c>
      <c r="AO31" s="957"/>
      <c r="AP31" s="957"/>
      <c r="AQ31" s="595"/>
      <c r="AR31" s="595"/>
    </row>
    <row r="32" spans="1:44" ht="32.85" hidden="1" customHeight="1" x14ac:dyDescent="0.2">
      <c r="E32" s="542">
        <v>33.75</v>
      </c>
      <c r="F32" s="3" cm="1">
        <f t="array" aca="1" ref="F32" ca="1">OFFSET(E32,-1,1)</f>
        <v>0</v>
      </c>
      <c r="G32" s="41" t="s">
        <v>334</v>
      </c>
      <c r="T32" s="388" t="b" cm="1">
        <f t="array" ref="T32">T31</f>
        <v>0</v>
      </c>
      <c r="X32" s="2032"/>
      <c r="Z32" s="2012"/>
      <c r="AB32" s="217" t="s">
        <v>444</v>
      </c>
      <c r="AC32" s="374" t="s">
        <v>1219</v>
      </c>
      <c r="AD32" s="218" t="s">
        <v>831</v>
      </c>
      <c r="AE32" s="1407"/>
      <c r="AF32" s="1407"/>
      <c r="AG32" s="1407"/>
      <c r="AH32" s="1407"/>
      <c r="AI32" s="216"/>
      <c r="AJ32" s="216"/>
      <c r="AK32" s="1365"/>
      <c r="AN32" s="906" t="s">
        <v>1199</v>
      </c>
    </row>
    <row r="33" spans="1:44" ht="21.95" hidden="1" customHeight="1" x14ac:dyDescent="0.2">
      <c r="E33" s="542">
        <v>22.5</v>
      </c>
      <c r="F33" s="3" cm="1">
        <f t="array" aca="1" ref="F33" ca="1">OFFSET(E33,-1,1)</f>
        <v>0</v>
      </c>
      <c r="G33" s="41" t="s">
        <v>544</v>
      </c>
      <c r="T33" s="388" t="b" cm="1">
        <f t="array" ref="T33">T32</f>
        <v>0</v>
      </c>
      <c r="X33" s="2032"/>
      <c r="Z33" s="2012"/>
      <c r="AB33" s="217" t="s">
        <v>446</v>
      </c>
      <c r="AC33" s="374" t="s">
        <v>1220</v>
      </c>
      <c r="AD33" s="218" t="s">
        <v>831</v>
      </c>
      <c r="AE33" s="1407"/>
      <c r="AF33" s="1407"/>
      <c r="AG33" s="1407"/>
      <c r="AH33" s="1407"/>
      <c r="AI33" s="216"/>
      <c r="AJ33" s="216"/>
      <c r="AK33" s="1365"/>
      <c r="AN33" s="906" t="s">
        <v>1185</v>
      </c>
    </row>
    <row r="34" spans="1:44" ht="43.9" hidden="1" customHeight="1" x14ac:dyDescent="0.2">
      <c r="E34" s="542">
        <v>45</v>
      </c>
      <c r="F34" s="3" cm="1">
        <f t="array" aca="1" ref="F34" ca="1">OFFSET(E34,-1,1)</f>
        <v>0</v>
      </c>
      <c r="G34" s="41" t="s">
        <v>547</v>
      </c>
      <c r="T34" s="388" t="b" cm="1">
        <f t="array" ref="T34">T33</f>
        <v>0</v>
      </c>
      <c r="X34" s="2032"/>
      <c r="Z34" s="2012"/>
      <c r="AB34" s="217" t="s">
        <v>448</v>
      </c>
      <c r="AC34" s="374" t="s">
        <v>1221</v>
      </c>
      <c r="AD34" s="218" t="s">
        <v>831</v>
      </c>
      <c r="AE34" s="1407"/>
      <c r="AF34" s="1407"/>
      <c r="AG34" s="1407"/>
      <c r="AH34" s="1407"/>
      <c r="AI34" s="216"/>
      <c r="AJ34" s="216"/>
      <c r="AK34" s="1365"/>
      <c r="AN34" s="906" t="s">
        <v>1222</v>
      </c>
    </row>
    <row r="35" spans="1:44" ht="43.9" hidden="1" customHeight="1" x14ac:dyDescent="0.2">
      <c r="E35" s="542">
        <v>45</v>
      </c>
      <c r="F35" s="3" cm="1">
        <f t="array" aca="1" ref="F35" ca="1">OFFSET(E35,-1,1)</f>
        <v>0</v>
      </c>
      <c r="G35" s="41" t="s">
        <v>591</v>
      </c>
      <c r="T35" s="388" t="b" cm="1">
        <f t="array" ref="T35">T34</f>
        <v>0</v>
      </c>
      <c r="X35" s="2032"/>
      <c r="Z35" s="2012"/>
      <c r="AB35" s="217" t="s">
        <v>450</v>
      </c>
      <c r="AC35" s="374" t="s">
        <v>1223</v>
      </c>
      <c r="AD35" s="218" t="s">
        <v>831</v>
      </c>
      <c r="AE35" s="1407"/>
      <c r="AF35" s="1407"/>
      <c r="AG35" s="1407"/>
      <c r="AH35" s="1407"/>
      <c r="AI35" s="216"/>
      <c r="AJ35" s="216"/>
      <c r="AK35" s="1365"/>
      <c r="AN35" s="906" t="s">
        <v>1224</v>
      </c>
    </row>
    <row r="36" spans="1:44" ht="14.65" hidden="1" customHeight="1" x14ac:dyDescent="0.2">
      <c r="E36" s="542">
        <v>15</v>
      </c>
      <c r="F36" s="3" cm="1">
        <f t="array" aca="1" ref="F36" ca="1">OFFSET(E36,-1,1)</f>
        <v>0</v>
      </c>
      <c r="G36" s="41" t="s">
        <v>606</v>
      </c>
      <c r="T36" s="388" t="b" cm="1">
        <f t="array" ref="T36">T35</f>
        <v>0</v>
      </c>
      <c r="X36" s="2032"/>
      <c r="Z36" s="2012"/>
      <c r="AB36" s="272">
        <v>9</v>
      </c>
      <c r="AC36" s="374" t="s">
        <v>1225</v>
      </c>
      <c r="AD36" s="218" t="s">
        <v>831</v>
      </c>
      <c r="AE36" s="154">
        <f t="shared" ref="AE36:AJ36" si="1">SUM(AE37:AE38)</f>
        <v>0</v>
      </c>
      <c r="AF36" s="154">
        <f t="shared" si="1"/>
        <v>0</v>
      </c>
      <c r="AG36" s="154">
        <f t="shared" si="1"/>
        <v>0</v>
      </c>
      <c r="AH36" s="154">
        <f t="shared" si="1"/>
        <v>0</v>
      </c>
      <c r="AI36" s="154">
        <f t="shared" si="1"/>
        <v>0</v>
      </c>
      <c r="AJ36" s="154">
        <f t="shared" si="1"/>
        <v>0</v>
      </c>
      <c r="AK36" s="1365"/>
      <c r="AN36" s="906" t="s">
        <v>393</v>
      </c>
    </row>
    <row r="37" spans="1:44" ht="14.65" hidden="1" customHeight="1" x14ac:dyDescent="0.2">
      <c r="E37" s="542">
        <v>15</v>
      </c>
      <c r="F37" s="3" cm="1">
        <f t="array" aca="1" ref="F37" ca="1">OFFSET(E37,-1,1)</f>
        <v>0</v>
      </c>
      <c r="G37" s="41" t="s">
        <v>606</v>
      </c>
      <c r="H37" s="41" cm="1">
        <f t="array" ref="H37">AC37</f>
        <v>0</v>
      </c>
      <c r="T37" s="388" t="b">
        <f ca="1">AND(F37&gt;0,Y37&gt;0)</f>
        <v>0</v>
      </c>
      <c r="W37" s="677" t="s">
        <v>172</v>
      </c>
      <c r="X37" s="2032"/>
      <c r="Y37" s="41">
        <v>0</v>
      </c>
      <c r="Z37" s="2012"/>
      <c r="AA37" s="342" t="s">
        <v>173</v>
      </c>
      <c r="AB37" s="613" t="str">
        <f>"9."&amp;Y37</f>
        <v>9.0</v>
      </c>
      <c r="AC37" s="1408"/>
      <c r="AD37" s="218" t="s">
        <v>831</v>
      </c>
      <c r="AE37" s="1407"/>
      <c r="AF37" s="1407"/>
      <c r="AG37" s="1407"/>
      <c r="AH37" s="1407"/>
      <c r="AI37" s="216"/>
      <c r="AJ37" s="216"/>
      <c r="AK37" s="1365"/>
      <c r="AN37" s="906" t="s">
        <v>393</v>
      </c>
      <c r="AO37" s="906" t="s">
        <v>1226</v>
      </c>
      <c r="AP37" s="906" cm="1">
        <f t="array" ref="AP37">AC37</f>
        <v>0</v>
      </c>
      <c r="AR37" s="542" t="b">
        <v>1</v>
      </c>
    </row>
    <row r="38" spans="1:44" ht="14.65" hidden="1" customHeight="1" x14ac:dyDescent="0.2">
      <c r="A38" s="65"/>
      <c r="B38" s="351"/>
      <c r="C38" s="65"/>
      <c r="D38" s="65"/>
      <c r="E38" s="185">
        <v>15</v>
      </c>
      <c r="F38" s="3" cm="1">
        <f t="array" aca="1" ref="F38" ca="1">OFFSET(E38,-1,1)</f>
        <v>0</v>
      </c>
      <c r="G38" s="65"/>
      <c r="H38" s="71" t="str">
        <f>"!=='не определено'"</f>
        <v>!=='не определено'</v>
      </c>
      <c r="I38" s="65"/>
      <c r="J38" s="65"/>
      <c r="K38" s="65"/>
      <c r="L38" s="65"/>
      <c r="M38" s="65"/>
      <c r="N38" s="65"/>
      <c r="O38" s="65"/>
      <c r="P38" s="65"/>
      <c r="Q38" s="65"/>
      <c r="R38" s="65"/>
      <c r="S38" s="65"/>
      <c r="T38" s="388" t="b">
        <f ca="1">F38&gt;0</f>
        <v>0</v>
      </c>
      <c r="U38" s="65"/>
      <c r="V38" s="65"/>
      <c r="W38" s="677" t="s">
        <v>827</v>
      </c>
      <c r="X38" s="2032"/>
      <c r="Y38" s="65"/>
      <c r="Z38" s="2012"/>
      <c r="AA38" s="65"/>
      <c r="AB38" s="150"/>
      <c r="AC38" s="151" t="s">
        <v>176</v>
      </c>
      <c r="AD38" s="151"/>
      <c r="AE38" s="151"/>
      <c r="AF38" s="151"/>
      <c r="AG38" s="151"/>
      <c r="AH38" s="151"/>
      <c r="AI38" s="151"/>
      <c r="AJ38" s="151"/>
      <c r="AK38" s="152"/>
      <c r="AL38" s="65"/>
      <c r="AQ38" s="542" t="s">
        <v>1226</v>
      </c>
    </row>
    <row r="39" spans="1:44" s="1334" customFormat="1" ht="14.25" customHeight="1" x14ac:dyDescent="0.2">
      <c r="A39" s="1217"/>
      <c r="B39" s="1111"/>
      <c r="C39" s="1217"/>
      <c r="D39" s="1217"/>
      <c r="E39" s="542">
        <v>15</v>
      </c>
      <c r="F39" s="17" t="str" cm="1">
        <f t="array" ref="F39">X39</f>
        <v>1</v>
      </c>
      <c r="G39" s="41" t="s">
        <v>1210</v>
      </c>
      <c r="H39" s="1217"/>
      <c r="I39" s="1217"/>
      <c r="J39" s="1217"/>
      <c r="K39" s="1217"/>
      <c r="L39" s="1217"/>
      <c r="M39" s="1217"/>
      <c r="N39" s="1217"/>
      <c r="O39" s="1217"/>
      <c r="P39" s="1217"/>
      <c r="Q39" s="1217"/>
      <c r="R39" s="1217"/>
      <c r="S39" s="1217"/>
      <c r="T39" s="388" t="b">
        <f>X39&gt;0</f>
        <v>1</v>
      </c>
      <c r="U39" s="1217"/>
      <c r="V39" s="41" t="str" cm="1">
        <f t="array" ref="V39">Административные!$AB$46</f>
        <v>Тариф 1 (Водоснабжение) - тариф на питьевую воду</v>
      </c>
      <c r="W39" s="1217"/>
      <c r="X39" s="2032" t="s">
        <v>282</v>
      </c>
      <c r="Y39" s="1217"/>
      <c r="Z39" s="2012"/>
      <c r="AA39" s="370"/>
      <c r="AB39" s="141" t="str" cm="1">
        <f t="array" ref="AB39">Административные!$AB$46</f>
        <v>Тариф 1 (Водоснабжение) - тариф на питьевую воду</v>
      </c>
      <c r="AC39" s="99"/>
      <c r="AD39" s="99"/>
      <c r="AE39" s="223">
        <f t="shared" ref="AE39:AJ39" ca="1" si="2">SUM(AE40:AE48)</f>
        <v>3833.0622513716003</v>
      </c>
      <c r="AF39" s="223">
        <f t="shared" ca="1" si="2"/>
        <v>0</v>
      </c>
      <c r="AG39" s="223">
        <f t="shared" ca="1" si="2"/>
        <v>0</v>
      </c>
      <c r="AH39" s="223">
        <f t="shared" ca="1" si="2"/>
        <v>0</v>
      </c>
      <c r="AI39" s="223">
        <f t="shared" ca="1" si="2"/>
        <v>0</v>
      </c>
      <c r="AJ39" s="223">
        <f t="shared" ca="1" si="2"/>
        <v>0</v>
      </c>
      <c r="AK39" s="143"/>
      <c r="AL39" s="370"/>
      <c r="AM39" s="370"/>
      <c r="AN39" s="1133"/>
      <c r="AO39" s="1133"/>
      <c r="AP39" s="1133"/>
      <c r="AQ39" s="1080"/>
      <c r="AR39" s="1080"/>
    </row>
    <row r="40" spans="1:44" s="1334" customFormat="1" ht="21.75" customHeight="1" x14ac:dyDescent="0.2">
      <c r="A40" s="1217"/>
      <c r="B40" s="1111"/>
      <c r="C40" s="1217"/>
      <c r="D40" s="1217"/>
      <c r="E40" s="542">
        <v>22.5</v>
      </c>
      <c r="F40" s="3" t="str" cm="1">
        <f t="array" aca="1" ref="F40" ca="1">OFFSET(E40,-1,1)</f>
        <v>1</v>
      </c>
      <c r="G40" s="41" t="s">
        <v>331</v>
      </c>
      <c r="H40" s="1217"/>
      <c r="I40" s="1217"/>
      <c r="J40" s="1217"/>
      <c r="K40" s="43" t="str">
        <f ca="1">F40&amp;"komm"</f>
        <v>1komm</v>
      </c>
      <c r="L40" s="832" cm="1">
        <f t="array" ref="L40">AK40</f>
        <v>0</v>
      </c>
      <c r="M40" s="1217"/>
      <c r="N40" s="1217"/>
      <c r="O40" s="1217"/>
      <c r="P40" s="1217"/>
      <c r="Q40" s="1217"/>
      <c r="R40" s="1217"/>
      <c r="S40" s="1217"/>
      <c r="T40" s="388" t="b" cm="1">
        <f t="array" ref="T40">T39</f>
        <v>1</v>
      </c>
      <c r="U40" s="1217"/>
      <c r="V40" s="1217"/>
      <c r="W40" s="1217"/>
      <c r="X40" s="2032"/>
      <c r="Y40" s="1217"/>
      <c r="Z40" s="2012"/>
      <c r="AA40" s="370"/>
      <c r="AB40" s="217" t="s">
        <v>282</v>
      </c>
      <c r="AC40" s="374" t="s">
        <v>1211</v>
      </c>
      <c r="AD40" s="218" t="s">
        <v>831</v>
      </c>
      <c r="AE40" s="216"/>
      <c r="AF40" s="148"/>
      <c r="AG40" s="148"/>
      <c r="AH40" s="148"/>
      <c r="AI40" s="148"/>
      <c r="AJ40" s="148"/>
      <c r="AK40" s="119"/>
      <c r="AL40" s="370"/>
      <c r="AM40" s="370"/>
      <c r="AN40" s="906" t="s">
        <v>1212</v>
      </c>
      <c r="AO40" s="1133"/>
      <c r="AP40" s="1133"/>
      <c r="AQ40" s="1080"/>
      <c r="AR40" s="1080"/>
    </row>
    <row r="41" spans="1:44" s="1334" customFormat="1" ht="21.75" customHeight="1" x14ac:dyDescent="0.2">
      <c r="A41" s="1217"/>
      <c r="B41" s="1111"/>
      <c r="C41" s="1217"/>
      <c r="D41" s="1217"/>
      <c r="E41" s="542">
        <v>22.5</v>
      </c>
      <c r="F41" s="3" t="str" cm="1">
        <f t="array" aca="1" ref="F41" ca="1">OFFSET(E41,-1,1)</f>
        <v>1</v>
      </c>
      <c r="G41" s="41" t="s">
        <v>332</v>
      </c>
      <c r="H41" s="1217"/>
      <c r="I41" s="1217"/>
      <c r="J41" s="1217"/>
      <c r="K41" s="1217"/>
      <c r="L41" s="1217"/>
      <c r="M41" s="1217"/>
      <c r="N41" s="1217"/>
      <c r="O41" s="1217"/>
      <c r="P41" s="1217"/>
      <c r="Q41" s="1217"/>
      <c r="R41" s="1217"/>
      <c r="S41" s="1217"/>
      <c r="T41" s="388" t="b" cm="1">
        <f t="array" ref="T41">T40</f>
        <v>1</v>
      </c>
      <c r="U41" s="1217"/>
      <c r="V41" s="1217"/>
      <c r="W41" s="1217"/>
      <c r="X41" s="2032"/>
      <c r="Y41" s="1217"/>
      <c r="Z41" s="2012"/>
      <c r="AA41" s="370"/>
      <c r="AB41" s="217" t="s">
        <v>289</v>
      </c>
      <c r="AC41" s="374" t="s">
        <v>1213</v>
      </c>
      <c r="AD41" s="218" t="s">
        <v>831</v>
      </c>
      <c r="AE41" s="216"/>
      <c r="AF41" s="148"/>
      <c r="AG41" s="148"/>
      <c r="AH41" s="148"/>
      <c r="AI41" s="148"/>
      <c r="AJ41" s="148"/>
      <c r="AK41" s="119"/>
      <c r="AL41" s="370"/>
      <c r="AM41" s="370"/>
      <c r="AN41" s="906" t="s">
        <v>1214</v>
      </c>
      <c r="AO41" s="1133"/>
      <c r="AP41" s="1133"/>
      <c r="AQ41" s="1080"/>
      <c r="AR41" s="1080"/>
    </row>
    <row r="42" spans="1:44" s="1334" customFormat="1" ht="21.75" customHeight="1" x14ac:dyDescent="0.2">
      <c r="A42" s="1217"/>
      <c r="B42" s="1111"/>
      <c r="C42" s="1217"/>
      <c r="D42" s="1217"/>
      <c r="E42" s="542">
        <v>22.5</v>
      </c>
      <c r="F42" s="3" t="str" cm="1">
        <f t="array" aca="1" ref="F42" ca="1">OFFSET(E42,-1,1)</f>
        <v>1</v>
      </c>
      <c r="G42" s="41" t="s">
        <v>333</v>
      </c>
      <c r="H42" s="1217"/>
      <c r="I42" s="1217"/>
      <c r="J42" s="1217"/>
      <c r="K42" s="1217"/>
      <c r="L42" s="1217"/>
      <c r="M42" s="1217"/>
      <c r="N42" s="1217"/>
      <c r="O42" s="1217"/>
      <c r="P42" s="1217"/>
      <c r="Q42" s="1217"/>
      <c r="R42" s="1217"/>
      <c r="S42" s="1217"/>
      <c r="T42" s="388" t="b" cm="1">
        <f t="array" ref="T42">T41</f>
        <v>1</v>
      </c>
      <c r="U42" s="1217"/>
      <c r="V42" s="1217"/>
      <c r="W42" s="1217"/>
      <c r="X42" s="2032"/>
      <c r="Y42" s="1217"/>
      <c r="Z42" s="2012"/>
      <c r="AA42" s="370"/>
      <c r="AB42" s="217" t="s">
        <v>329</v>
      </c>
      <c r="AC42" s="374" t="s">
        <v>1215</v>
      </c>
      <c r="AD42" s="218" t="s">
        <v>831</v>
      </c>
      <c r="AE42" s="216"/>
      <c r="AF42" s="148"/>
      <c r="AG42" s="148"/>
      <c r="AH42" s="148"/>
      <c r="AI42" s="148"/>
      <c r="AJ42" s="148"/>
      <c r="AK42" s="119"/>
      <c r="AL42" s="370"/>
      <c r="AM42" s="370"/>
      <c r="AN42" s="906" t="s">
        <v>1216</v>
      </c>
      <c r="AO42" s="1133"/>
      <c r="AP42" s="1133"/>
      <c r="AQ42" s="1080"/>
      <c r="AR42" s="1080"/>
    </row>
    <row r="43" spans="1:44" s="1334" customFormat="1" ht="33.75" customHeight="1" x14ac:dyDescent="0.2">
      <c r="A43" s="41"/>
      <c r="B43" s="350"/>
      <c r="C43" s="41"/>
      <c r="D43" s="41"/>
      <c r="E43" s="542">
        <v>33.75</v>
      </c>
      <c r="F43" s="1090" t="str" cm="1">
        <f t="array" aca="1" ref="F43" ca="1">OFFSET(E43,-1,1)</f>
        <v>1</v>
      </c>
      <c r="G43" s="41" t="s">
        <v>335</v>
      </c>
      <c r="H43" s="41"/>
      <c r="I43" s="41"/>
      <c r="J43" s="41"/>
      <c r="K43" s="41"/>
      <c r="L43" s="41"/>
      <c r="M43" s="41"/>
      <c r="N43" s="41"/>
      <c r="O43" s="41"/>
      <c r="P43" s="41"/>
      <c r="Q43" s="41"/>
      <c r="R43" s="41"/>
      <c r="S43" s="41"/>
      <c r="T43" s="388" t="b" cm="1">
        <f t="array" ref="T43">T42</f>
        <v>1</v>
      </c>
      <c r="U43" s="41"/>
      <c r="V43" s="41"/>
      <c r="W43" s="41"/>
      <c r="X43" s="2032"/>
      <c r="Y43" s="41"/>
      <c r="Z43" s="2012"/>
      <c r="AA43" s="370"/>
      <c r="AB43" s="803">
        <v>4</v>
      </c>
      <c r="AC43" s="374" t="s">
        <v>1217</v>
      </c>
      <c r="AD43" s="218" t="s">
        <v>831</v>
      </c>
      <c r="AE43" s="693">
        <f ca="1">SUMIFS(ФОТ!AE$25:AE$138,ФОТ!$F$25:$F$138,$F43,ФОТ!$G$25:$G$138,"СП")+SUMIFS(ФОТ!AE$25:AE$138,ФОТ!$F$25:$F$138,$F43,ФОТ!$G$25:$G$138,"СОЦ_СП")</f>
        <v>3833.0622513716003</v>
      </c>
      <c r="AF43" s="693">
        <f ca="1">SUMIFS(ФОТ!AF$25:AF$138,ФОТ!$F$25:$F$138,$F43,ФОТ!$G$25:$G$138,"СП")+SUMIFS(ФОТ!AF$25:AF$138,ФОТ!$F$25:$F$138,$F43,ФОТ!$G$25:$G$138,"СОЦ_СП")</f>
        <v>0</v>
      </c>
      <c r="AG43" s="693">
        <f ca="1">SUMIFS(ФОТ!AG$25:AG$138,ФОТ!$F$25:$F$138,$F43,ФОТ!$G$25:$G$138,"СП")+SUMIFS(ФОТ!AG$25:AG$138,ФОТ!$F$25:$F$138,$F43,ФОТ!$G$25:$G$138,"СОЦ_СП")</f>
        <v>0</v>
      </c>
      <c r="AH43" s="693">
        <f ca="1">SUMIFS(ФОТ!AH$25:AH$138,ФОТ!$F$25:$F$138,$F43,ФОТ!$G$25:$G$138,"СП")+SUMIFS(ФОТ!AH$25:AH$138,ФОТ!$F$25:$F$138,$F43,ФОТ!$G$25:$G$138,"СОЦ_СП")</f>
        <v>0</v>
      </c>
      <c r="AI43" s="693">
        <f ca="1">SUMIFS(ФОТ!AI$25:AI$138,ФОТ!$F$25:$F$138,$F43,ФОТ!$G$25:$G$138,"СП")+SUMIFS(ФОТ!AI$25:AI$138,ФОТ!$F$25:$F$138,$F43,ФОТ!$G$25:$G$138,"СОЦ_СП")</f>
        <v>0</v>
      </c>
      <c r="AJ43" s="693">
        <f ca="1">SUMIFS(ФОТ!AJ$25:AJ$138,ФОТ!$F$25:$F$138,$F43,ФОТ!$G$25:$G$138,"СП")+SUMIFS(ФОТ!AJ$25:AJ$138,ФОТ!$F$25:$F$138,$F43,ФОТ!$G$25:$G$138,"СОЦ_СП")</f>
        <v>0</v>
      </c>
      <c r="AK43" s="119" t="s">
        <v>1206</v>
      </c>
      <c r="AL43" s="370"/>
      <c r="AN43" s="957" t="s">
        <v>1218</v>
      </c>
      <c r="AO43" s="957"/>
      <c r="AP43" s="957"/>
      <c r="AQ43" s="595"/>
      <c r="AR43" s="595"/>
    </row>
    <row r="44" spans="1:44" s="1334" customFormat="1" ht="32.25" customHeight="1" x14ac:dyDescent="0.2">
      <c r="A44" s="1217"/>
      <c r="B44" s="1111"/>
      <c r="C44" s="1217"/>
      <c r="D44" s="1217"/>
      <c r="E44" s="542">
        <v>33.75</v>
      </c>
      <c r="F44" s="3" t="str" cm="1">
        <f t="array" aca="1" ref="F44" ca="1">OFFSET(E44,-1,1)</f>
        <v>1</v>
      </c>
      <c r="G44" s="41" t="s">
        <v>334</v>
      </c>
      <c r="H44" s="1217"/>
      <c r="I44" s="1217"/>
      <c r="J44" s="1217"/>
      <c r="K44" s="1217"/>
      <c r="L44" s="1217"/>
      <c r="M44" s="1217"/>
      <c r="N44" s="1217"/>
      <c r="O44" s="1217"/>
      <c r="P44" s="1217"/>
      <c r="Q44" s="1217"/>
      <c r="R44" s="1217"/>
      <c r="S44" s="1217"/>
      <c r="T44" s="388" t="b" cm="1">
        <f t="array" ref="T44">T43</f>
        <v>1</v>
      </c>
      <c r="U44" s="1217"/>
      <c r="V44" s="1217"/>
      <c r="W44" s="1217"/>
      <c r="X44" s="2032"/>
      <c r="Y44" s="1217"/>
      <c r="Z44" s="2012"/>
      <c r="AA44" s="370"/>
      <c r="AB44" s="217" t="s">
        <v>444</v>
      </c>
      <c r="AC44" s="374" t="s">
        <v>1219</v>
      </c>
      <c r="AD44" s="218" t="s">
        <v>831</v>
      </c>
      <c r="AE44" s="216"/>
      <c r="AF44" s="216"/>
      <c r="AG44" s="216"/>
      <c r="AH44" s="216"/>
      <c r="AI44" s="216"/>
      <c r="AJ44" s="216"/>
      <c r="AK44" s="119"/>
      <c r="AL44" s="370"/>
      <c r="AM44" s="370"/>
      <c r="AN44" s="906" t="s">
        <v>1199</v>
      </c>
      <c r="AO44" s="1133"/>
      <c r="AP44" s="1133"/>
      <c r="AQ44" s="1080"/>
      <c r="AR44" s="1080"/>
    </row>
    <row r="45" spans="1:44" s="1334" customFormat="1" ht="201.75" customHeight="1" x14ac:dyDescent="0.2">
      <c r="A45" s="1217"/>
      <c r="B45" s="1111"/>
      <c r="C45" s="1217"/>
      <c r="D45" s="1217"/>
      <c r="E45" s="542">
        <v>22.5</v>
      </c>
      <c r="F45" s="3" t="str" cm="1">
        <f t="array" aca="1" ref="F45" ca="1">OFFSET(E45,-1,1)</f>
        <v>1</v>
      </c>
      <c r="G45" s="41" t="s">
        <v>544</v>
      </c>
      <c r="H45" s="1217"/>
      <c r="I45" s="1217"/>
      <c r="J45" s="1217"/>
      <c r="K45" s="1217"/>
      <c r="L45" s="1217"/>
      <c r="M45" s="1217"/>
      <c r="N45" s="1217"/>
      <c r="O45" s="1217"/>
      <c r="P45" s="1217"/>
      <c r="Q45" s="1217"/>
      <c r="R45" s="1217"/>
      <c r="S45" s="1217"/>
      <c r="T45" s="388" t="b" cm="1">
        <f t="array" ref="T45">T44</f>
        <v>1</v>
      </c>
      <c r="U45" s="1217"/>
      <c r="V45" s="1217"/>
      <c r="W45" s="1217"/>
      <c r="X45" s="2032"/>
      <c r="Y45" s="1217"/>
      <c r="Z45" s="2012"/>
      <c r="AA45" s="370"/>
      <c r="AB45" s="217" t="s">
        <v>446</v>
      </c>
      <c r="AC45" s="374" t="s">
        <v>1220</v>
      </c>
      <c r="AD45" s="218" t="s">
        <v>831</v>
      </c>
      <c r="AE45" s="216">
        <v>0</v>
      </c>
      <c r="AF45" s="216"/>
      <c r="AG45" s="216"/>
      <c r="AH45" s="216"/>
      <c r="AI45" s="216"/>
      <c r="AJ45" s="216"/>
      <c r="AK45" s="119" t="s">
        <v>1227</v>
      </c>
      <c r="AL45" s="370"/>
      <c r="AM45" s="370"/>
      <c r="AN45" s="906" t="s">
        <v>1185</v>
      </c>
      <c r="AO45" s="1133"/>
      <c r="AP45" s="1133"/>
      <c r="AQ45" s="1080"/>
      <c r="AR45" s="1080"/>
    </row>
    <row r="46" spans="1:44" s="1334" customFormat="1" ht="43.5" customHeight="1" x14ac:dyDescent="0.2">
      <c r="A46" s="1217"/>
      <c r="B46" s="1111"/>
      <c r="C46" s="1217"/>
      <c r="D46" s="1217"/>
      <c r="E46" s="542">
        <v>45</v>
      </c>
      <c r="F46" s="3" t="str" cm="1">
        <f t="array" aca="1" ref="F46" ca="1">OFFSET(E46,-1,1)</f>
        <v>1</v>
      </c>
      <c r="G46" s="41" t="s">
        <v>547</v>
      </c>
      <c r="H46" s="1217"/>
      <c r="I46" s="1217"/>
      <c r="J46" s="1217"/>
      <c r="K46" s="1217"/>
      <c r="L46" s="1217"/>
      <c r="M46" s="1217"/>
      <c r="N46" s="1217"/>
      <c r="O46" s="1217"/>
      <c r="P46" s="1217"/>
      <c r="Q46" s="1217"/>
      <c r="R46" s="1217"/>
      <c r="S46" s="1217"/>
      <c r="T46" s="388" t="b" cm="1">
        <f t="array" ref="T46">T45</f>
        <v>1</v>
      </c>
      <c r="U46" s="1217"/>
      <c r="V46" s="1217"/>
      <c r="W46" s="1217"/>
      <c r="X46" s="2032"/>
      <c r="Y46" s="1217"/>
      <c r="Z46" s="2012"/>
      <c r="AA46" s="370"/>
      <c r="AB46" s="217" t="s">
        <v>448</v>
      </c>
      <c r="AC46" s="374" t="s">
        <v>1221</v>
      </c>
      <c r="AD46" s="218" t="s">
        <v>831</v>
      </c>
      <c r="AE46" s="216"/>
      <c r="AF46" s="216"/>
      <c r="AG46" s="216"/>
      <c r="AH46" s="216"/>
      <c r="AI46" s="216"/>
      <c r="AJ46" s="216"/>
      <c r="AK46" s="119"/>
      <c r="AL46" s="370"/>
      <c r="AM46" s="370"/>
      <c r="AN46" s="906" t="s">
        <v>1222</v>
      </c>
      <c r="AO46" s="1133"/>
      <c r="AP46" s="1133"/>
      <c r="AQ46" s="1080"/>
      <c r="AR46" s="1080"/>
    </row>
    <row r="47" spans="1:44" s="1334" customFormat="1" ht="43.5" customHeight="1" x14ac:dyDescent="0.2">
      <c r="A47" s="1217"/>
      <c r="B47" s="1111"/>
      <c r="C47" s="1217"/>
      <c r="D47" s="1217"/>
      <c r="E47" s="542">
        <v>45</v>
      </c>
      <c r="F47" s="3" t="str" cm="1">
        <f t="array" aca="1" ref="F47" ca="1">OFFSET(E47,-1,1)</f>
        <v>1</v>
      </c>
      <c r="G47" s="41" t="s">
        <v>591</v>
      </c>
      <c r="H47" s="1217"/>
      <c r="I47" s="1217"/>
      <c r="J47" s="1217"/>
      <c r="K47" s="1217"/>
      <c r="L47" s="1217"/>
      <c r="M47" s="1217"/>
      <c r="N47" s="1217"/>
      <c r="O47" s="1217"/>
      <c r="P47" s="1217"/>
      <c r="Q47" s="1217"/>
      <c r="R47" s="1217"/>
      <c r="S47" s="1217"/>
      <c r="T47" s="388" t="b" cm="1">
        <f t="array" ref="T47">T46</f>
        <v>1</v>
      </c>
      <c r="U47" s="1217"/>
      <c r="V47" s="1217"/>
      <c r="W47" s="1217"/>
      <c r="X47" s="2032"/>
      <c r="Y47" s="1217"/>
      <c r="Z47" s="2012"/>
      <c r="AA47" s="370"/>
      <c r="AB47" s="217" t="s">
        <v>450</v>
      </c>
      <c r="AC47" s="374" t="s">
        <v>1223</v>
      </c>
      <c r="AD47" s="218" t="s">
        <v>831</v>
      </c>
      <c r="AE47" s="216"/>
      <c r="AF47" s="216"/>
      <c r="AG47" s="216"/>
      <c r="AH47" s="216"/>
      <c r="AI47" s="216"/>
      <c r="AJ47" s="216"/>
      <c r="AK47" s="119"/>
      <c r="AL47" s="370"/>
      <c r="AM47" s="370"/>
      <c r="AN47" s="906" t="s">
        <v>1224</v>
      </c>
      <c r="AO47" s="1133"/>
      <c r="AP47" s="1133"/>
      <c r="AQ47" s="1080"/>
      <c r="AR47" s="1080"/>
    </row>
    <row r="48" spans="1:44" s="1334" customFormat="1" ht="14.25" customHeight="1" x14ac:dyDescent="0.2">
      <c r="A48" s="1217"/>
      <c r="B48" s="1111"/>
      <c r="C48" s="1217"/>
      <c r="D48" s="1217"/>
      <c r="E48" s="542">
        <v>15</v>
      </c>
      <c r="F48" s="3" t="str" cm="1">
        <f t="array" aca="1" ref="F48" ca="1">OFFSET(E48,-1,1)</f>
        <v>1</v>
      </c>
      <c r="G48" s="41" t="s">
        <v>606</v>
      </c>
      <c r="H48" s="1217"/>
      <c r="I48" s="1217"/>
      <c r="J48" s="1217"/>
      <c r="K48" s="1217"/>
      <c r="L48" s="1217"/>
      <c r="M48" s="1217"/>
      <c r="N48" s="1217"/>
      <c r="O48" s="1217"/>
      <c r="P48" s="1217"/>
      <c r="Q48" s="1217"/>
      <c r="R48" s="1217"/>
      <c r="S48" s="1217"/>
      <c r="T48" s="388" t="b" cm="1">
        <f t="array" ref="T48">T47</f>
        <v>1</v>
      </c>
      <c r="U48" s="1217"/>
      <c r="V48" s="1217"/>
      <c r="W48" s="1217"/>
      <c r="X48" s="2032"/>
      <c r="Y48" s="1217"/>
      <c r="Z48" s="2012"/>
      <c r="AA48" s="370"/>
      <c r="AB48" s="272">
        <v>9</v>
      </c>
      <c r="AC48" s="374" t="s">
        <v>1225</v>
      </c>
      <c r="AD48" s="218" t="s">
        <v>831</v>
      </c>
      <c r="AE48" s="154">
        <f t="shared" ref="AE48:AJ48" si="3">SUM(AE49:AE52)</f>
        <v>0</v>
      </c>
      <c r="AF48" s="154">
        <f t="shared" si="3"/>
        <v>0</v>
      </c>
      <c r="AG48" s="154">
        <f t="shared" si="3"/>
        <v>0</v>
      </c>
      <c r="AH48" s="154">
        <f t="shared" si="3"/>
        <v>0</v>
      </c>
      <c r="AI48" s="154">
        <f t="shared" si="3"/>
        <v>0</v>
      </c>
      <c r="AJ48" s="154">
        <f t="shared" si="3"/>
        <v>0</v>
      </c>
      <c r="AK48" s="119"/>
      <c r="AL48" s="370"/>
      <c r="AM48" s="370"/>
      <c r="AN48" s="906" t="s">
        <v>393</v>
      </c>
      <c r="AO48" s="1133"/>
      <c r="AP48" s="1133"/>
      <c r="AQ48" s="1080"/>
      <c r="AR48" s="1080"/>
    </row>
    <row r="49" spans="1:44" s="1334" customFormat="1" ht="14.25" hidden="1" customHeight="1" x14ac:dyDescent="0.2">
      <c r="A49" s="1217"/>
      <c r="B49" s="1111"/>
      <c r="C49" s="1217"/>
      <c r="D49" s="1217"/>
      <c r="E49" s="542">
        <v>15</v>
      </c>
      <c r="F49" s="3" t="str" cm="1">
        <f t="array" aca="1" ref="F49" ca="1">OFFSET(E49,-1,1)</f>
        <v>1</v>
      </c>
      <c r="G49" s="41" t="s">
        <v>606</v>
      </c>
      <c r="H49" s="41" cm="1">
        <f t="array" ref="H49">AC49</f>
        <v>0</v>
      </c>
      <c r="I49" s="1217"/>
      <c r="J49" s="1217"/>
      <c r="K49" s="1217"/>
      <c r="L49" s="1217"/>
      <c r="M49" s="1217"/>
      <c r="N49" s="1217"/>
      <c r="O49" s="1217"/>
      <c r="P49" s="1217"/>
      <c r="Q49" s="1217"/>
      <c r="R49" s="1217"/>
      <c r="S49" s="1217"/>
      <c r="T49" s="388" t="b">
        <f ca="1">AND(F49&gt;0,Y49&gt;0)</f>
        <v>0</v>
      </c>
      <c r="U49" s="1217"/>
      <c r="V49" s="1217"/>
      <c r="W49" s="677" t="s">
        <v>172</v>
      </c>
      <c r="X49" s="2032"/>
      <c r="Y49" s="41">
        <v>0</v>
      </c>
      <c r="Z49" s="2012"/>
      <c r="AA49" s="342" t="s">
        <v>173</v>
      </c>
      <c r="AB49" s="613" t="str">
        <f>"9."&amp;Y49</f>
        <v>9.0</v>
      </c>
      <c r="AC49" s="1408"/>
      <c r="AD49" s="218" t="s">
        <v>831</v>
      </c>
      <c r="AE49" s="1407"/>
      <c r="AF49" s="1407"/>
      <c r="AG49" s="1407"/>
      <c r="AH49" s="1407"/>
      <c r="AI49" s="216"/>
      <c r="AJ49" s="216"/>
      <c r="AK49" s="1365"/>
      <c r="AL49" s="370"/>
      <c r="AM49" s="370"/>
      <c r="AN49" s="906" t="s">
        <v>393</v>
      </c>
      <c r="AO49" s="906" t="s">
        <v>1226</v>
      </c>
      <c r="AP49" s="906" cm="1">
        <f t="array" ref="AP49">AC49</f>
        <v>0</v>
      </c>
      <c r="AQ49" s="1080"/>
      <c r="AR49" s="542" t="b">
        <v>1</v>
      </c>
    </row>
    <row r="50" spans="1:44" s="1334" customFormat="1" ht="14.25" customHeight="1" x14ac:dyDescent="0.2">
      <c r="A50" s="1217"/>
      <c r="B50" s="1111"/>
      <c r="C50" s="1217"/>
      <c r="D50" s="1217"/>
      <c r="E50" s="542">
        <v>15</v>
      </c>
      <c r="F50" s="3" t="str" cm="1">
        <f t="array" aca="1" ref="F50" ca="1">OFFSET(E50,-1,1)</f>
        <v>1</v>
      </c>
      <c r="G50" s="41" t="s">
        <v>606</v>
      </c>
      <c r="H50" s="41" cm="1">
        <f t="array" ref="H50">AC50</f>
        <v>0</v>
      </c>
      <c r="I50" s="1217"/>
      <c r="J50" s="1217"/>
      <c r="K50" s="1217"/>
      <c r="L50" s="1217"/>
      <c r="M50" s="1217"/>
      <c r="N50" s="1217"/>
      <c r="O50" s="1217"/>
      <c r="P50" s="1217"/>
      <c r="Q50" s="1217"/>
      <c r="R50" s="1217"/>
      <c r="S50" s="1217"/>
      <c r="T50" s="388" t="b">
        <f ca="1">AND(F50&gt;0,Y50&gt;0)</f>
        <v>1</v>
      </c>
      <c r="U50" s="1217"/>
      <c r="V50" s="1217"/>
      <c r="W50" s="677"/>
      <c r="X50" s="2032"/>
      <c r="Y50" s="41" t="s">
        <v>282</v>
      </c>
      <c r="Z50" s="2012"/>
      <c r="AA50" s="342" t="s">
        <v>173</v>
      </c>
      <c r="AB50" s="613" t="str">
        <f>"9."&amp;Y50</f>
        <v>9.1</v>
      </c>
      <c r="AC50" s="375"/>
      <c r="AD50" s="218" t="s">
        <v>831</v>
      </c>
      <c r="AE50" s="216"/>
      <c r="AF50" s="216"/>
      <c r="AG50" s="216"/>
      <c r="AH50" s="216"/>
      <c r="AI50" s="216"/>
      <c r="AJ50" s="216"/>
      <c r="AK50" s="119"/>
      <c r="AL50" s="370"/>
      <c r="AM50" s="370"/>
      <c r="AN50" s="906" t="s">
        <v>393</v>
      </c>
      <c r="AO50" s="906" t="s">
        <v>1226</v>
      </c>
      <c r="AP50" s="906" cm="1">
        <f t="array" ref="AP50">AC50</f>
        <v>0</v>
      </c>
      <c r="AQ50" s="1080"/>
      <c r="AR50" s="542" t="b">
        <v>1</v>
      </c>
    </row>
    <row r="51" spans="1:44" s="1334" customFormat="1" ht="14.25" customHeight="1" x14ac:dyDescent="0.2">
      <c r="A51" s="1217"/>
      <c r="B51" s="1111"/>
      <c r="C51" s="1217"/>
      <c r="D51" s="1217"/>
      <c r="E51" s="542">
        <v>15</v>
      </c>
      <c r="F51" s="3" t="str" cm="1">
        <f t="array" aca="1" ref="F51" ca="1">OFFSET(E51,-1,1)</f>
        <v>1</v>
      </c>
      <c r="G51" s="41" t="s">
        <v>606</v>
      </c>
      <c r="H51" s="41" cm="1">
        <f t="array" ref="H51">AC51</f>
        <v>0</v>
      </c>
      <c r="I51" s="1217"/>
      <c r="J51" s="1217"/>
      <c r="K51" s="1217"/>
      <c r="L51" s="1217"/>
      <c r="M51" s="1217"/>
      <c r="N51" s="1217"/>
      <c r="O51" s="1217"/>
      <c r="P51" s="1217"/>
      <c r="Q51" s="1217"/>
      <c r="R51" s="1217"/>
      <c r="S51" s="1217"/>
      <c r="T51" s="388" t="b">
        <f ca="1">AND(F51&gt;0,Y51&gt;0)</f>
        <v>1</v>
      </c>
      <c r="U51" s="1217"/>
      <c r="V51" s="1217"/>
      <c r="W51" s="677"/>
      <c r="X51" s="2032"/>
      <c r="Y51" s="41" t="s">
        <v>289</v>
      </c>
      <c r="Z51" s="2012"/>
      <c r="AA51" s="342" t="s">
        <v>173</v>
      </c>
      <c r="AB51" s="613" t="str">
        <f>"9."&amp;Y51</f>
        <v>9.2</v>
      </c>
      <c r="AC51" s="375"/>
      <c r="AD51" s="218" t="s">
        <v>831</v>
      </c>
      <c r="AE51" s="216"/>
      <c r="AF51" s="216"/>
      <c r="AG51" s="216"/>
      <c r="AH51" s="216"/>
      <c r="AI51" s="216"/>
      <c r="AJ51" s="216"/>
      <c r="AK51" s="119"/>
      <c r="AL51" s="370"/>
      <c r="AM51" s="370"/>
      <c r="AN51" s="906" t="s">
        <v>393</v>
      </c>
      <c r="AO51" s="906" t="s">
        <v>1226</v>
      </c>
      <c r="AP51" s="906" cm="1">
        <f t="array" ref="AP51">AC51</f>
        <v>0</v>
      </c>
      <c r="AQ51" s="1080"/>
      <c r="AR51" s="542" t="b">
        <v>1</v>
      </c>
    </row>
    <row r="52" spans="1:44" s="1334" customFormat="1" ht="14.25" customHeight="1" x14ac:dyDescent="0.2">
      <c r="A52" s="65"/>
      <c r="B52" s="351"/>
      <c r="C52" s="65"/>
      <c r="D52" s="65"/>
      <c r="E52" s="185">
        <v>15</v>
      </c>
      <c r="F52" s="3" t="str" cm="1">
        <f t="array" aca="1" ref="F52" ca="1">OFFSET(E52,-1,1)</f>
        <v>1</v>
      </c>
      <c r="G52" s="65"/>
      <c r="H52" s="71" t="str">
        <f>"!=='не определено'"</f>
        <v>!=='не определено'</v>
      </c>
      <c r="I52" s="65"/>
      <c r="J52" s="65"/>
      <c r="K52" s="65"/>
      <c r="L52" s="65"/>
      <c r="M52" s="65"/>
      <c r="N52" s="65"/>
      <c r="O52" s="65"/>
      <c r="P52" s="65"/>
      <c r="Q52" s="65"/>
      <c r="R52" s="65"/>
      <c r="S52" s="65"/>
      <c r="T52" s="388" t="b">
        <f ca="1">F52&gt;0</f>
        <v>1</v>
      </c>
      <c r="U52" s="65"/>
      <c r="V52" s="65"/>
      <c r="W52" s="677" t="s">
        <v>827</v>
      </c>
      <c r="X52" s="2032"/>
      <c r="Y52" s="65"/>
      <c r="Z52" s="2012"/>
      <c r="AA52" s="65"/>
      <c r="AB52" s="150"/>
      <c r="AC52" s="151" t="s">
        <v>176</v>
      </c>
      <c r="AD52" s="151"/>
      <c r="AE52" s="151"/>
      <c r="AF52" s="151"/>
      <c r="AG52" s="151"/>
      <c r="AH52" s="151"/>
      <c r="AI52" s="151"/>
      <c r="AJ52" s="151"/>
      <c r="AK52" s="152"/>
      <c r="AL52" s="65"/>
      <c r="AM52" s="370"/>
      <c r="AN52" s="1133"/>
      <c r="AO52" s="1133"/>
      <c r="AP52" s="1133"/>
      <c r="AQ52" s="542" t="s">
        <v>1226</v>
      </c>
      <c r="AR52" s="1080"/>
    </row>
    <row r="53" spans="1:44" s="1334" customFormat="1" ht="14.25" customHeight="1" x14ac:dyDescent="0.2">
      <c r="A53" s="1217"/>
      <c r="B53" s="1111"/>
      <c r="C53" s="1217"/>
      <c r="D53" s="1217"/>
      <c r="E53" s="542">
        <v>15</v>
      </c>
      <c r="F53" s="17" t="str" cm="1">
        <f t="array" ref="F53">X53</f>
        <v>2</v>
      </c>
      <c r="G53" s="41" t="s">
        <v>1210</v>
      </c>
      <c r="H53" s="1217"/>
      <c r="I53" s="1217"/>
      <c r="J53" s="1217"/>
      <c r="K53" s="1217"/>
      <c r="L53" s="1217"/>
      <c r="M53" s="1217"/>
      <c r="N53" s="1217"/>
      <c r="O53" s="1217"/>
      <c r="P53" s="1217"/>
      <c r="Q53" s="1217"/>
      <c r="R53" s="1217"/>
      <c r="S53" s="1217"/>
      <c r="T53" s="388" t="b">
        <f>X53&gt;0</f>
        <v>1</v>
      </c>
      <c r="U53" s="1217"/>
      <c r="V53" s="41" t="str" cm="1">
        <f t="array" ref="V53">Административные!$AB$65</f>
        <v>Тариф 2 (Водоотведение) - тариф на водоотведение</v>
      </c>
      <c r="W53" s="1217"/>
      <c r="X53" s="2032" t="s">
        <v>289</v>
      </c>
      <c r="Y53" s="1217"/>
      <c r="Z53" s="2012"/>
      <c r="AA53" s="370"/>
      <c r="AB53" s="141" t="str" cm="1">
        <f t="array" ref="AB53">Административные!$AB$65</f>
        <v>Тариф 2 (Водоотведение) - тариф на водоотведение</v>
      </c>
      <c r="AC53" s="99"/>
      <c r="AD53" s="99"/>
      <c r="AE53" s="223">
        <f t="shared" ref="AE53:AJ53" ca="1" si="4">SUM(AE54:AE62)</f>
        <v>4753.6013594519009</v>
      </c>
      <c r="AF53" s="223">
        <f t="shared" ca="1" si="4"/>
        <v>0</v>
      </c>
      <c r="AG53" s="223">
        <f t="shared" ca="1" si="4"/>
        <v>0</v>
      </c>
      <c r="AH53" s="223">
        <f t="shared" ca="1" si="4"/>
        <v>0</v>
      </c>
      <c r="AI53" s="223">
        <f t="shared" ca="1" si="4"/>
        <v>0</v>
      </c>
      <c r="AJ53" s="223">
        <f t="shared" ca="1" si="4"/>
        <v>0</v>
      </c>
      <c r="AK53" s="143"/>
      <c r="AL53" s="370"/>
      <c r="AM53" s="370"/>
      <c r="AN53" s="1133"/>
      <c r="AO53" s="1133"/>
      <c r="AP53" s="1133"/>
      <c r="AQ53" s="1080"/>
      <c r="AR53" s="1080"/>
    </row>
    <row r="54" spans="1:44" s="1334" customFormat="1" ht="21.75" customHeight="1" x14ac:dyDescent="0.2">
      <c r="A54" s="1217"/>
      <c r="B54" s="1111"/>
      <c r="C54" s="1217"/>
      <c r="D54" s="1217"/>
      <c r="E54" s="542">
        <v>22.5</v>
      </c>
      <c r="F54" s="3" t="str" cm="1">
        <f t="array" aca="1" ref="F54" ca="1">OFFSET(E54,-1,1)</f>
        <v>2</v>
      </c>
      <c r="G54" s="41" t="s">
        <v>331</v>
      </c>
      <c r="H54" s="1217"/>
      <c r="I54" s="1217"/>
      <c r="J54" s="1217"/>
      <c r="K54" s="43" t="str">
        <f ca="1">F54&amp;"komm"</f>
        <v>2komm</v>
      </c>
      <c r="L54" s="832" cm="1">
        <f t="array" ref="L54">AK54</f>
        <v>0</v>
      </c>
      <c r="M54" s="1217"/>
      <c r="N54" s="1217"/>
      <c r="O54" s="1217"/>
      <c r="P54" s="1217"/>
      <c r="Q54" s="1217"/>
      <c r="R54" s="1217"/>
      <c r="S54" s="1217"/>
      <c r="T54" s="388" t="b" cm="1">
        <f t="array" ref="T54">T53</f>
        <v>1</v>
      </c>
      <c r="U54" s="1217"/>
      <c r="V54" s="1217"/>
      <c r="W54" s="1217"/>
      <c r="X54" s="2032"/>
      <c r="Y54" s="1217"/>
      <c r="Z54" s="2012"/>
      <c r="AA54" s="370"/>
      <c r="AB54" s="217" t="s">
        <v>282</v>
      </c>
      <c r="AC54" s="374" t="s">
        <v>1211</v>
      </c>
      <c r="AD54" s="218" t="s">
        <v>831</v>
      </c>
      <c r="AE54" s="216"/>
      <c r="AF54" s="148"/>
      <c r="AG54" s="148"/>
      <c r="AH54" s="148"/>
      <c r="AI54" s="148"/>
      <c r="AJ54" s="148"/>
      <c r="AK54" s="119"/>
      <c r="AL54" s="370"/>
      <c r="AM54" s="370"/>
      <c r="AN54" s="906" t="s">
        <v>1212</v>
      </c>
      <c r="AO54" s="1133"/>
      <c r="AP54" s="1133"/>
      <c r="AQ54" s="1080"/>
      <c r="AR54" s="1080"/>
    </row>
    <row r="55" spans="1:44" s="1334" customFormat="1" ht="75.75" customHeight="1" x14ac:dyDescent="0.2">
      <c r="A55" s="1217"/>
      <c r="B55" s="1111"/>
      <c r="C55" s="1217"/>
      <c r="D55" s="1217"/>
      <c r="E55" s="542">
        <v>22.5</v>
      </c>
      <c r="F55" s="3" t="str" cm="1">
        <f t="array" aca="1" ref="F55" ca="1">OFFSET(E55,-1,1)</f>
        <v>2</v>
      </c>
      <c r="G55" s="41" t="s">
        <v>332</v>
      </c>
      <c r="H55" s="1217"/>
      <c r="I55" s="1217"/>
      <c r="J55" s="1217"/>
      <c r="K55" s="1217"/>
      <c r="L55" s="1217"/>
      <c r="M55" s="1217"/>
      <c r="N55" s="1217"/>
      <c r="O55" s="1217"/>
      <c r="P55" s="1217"/>
      <c r="Q55" s="1217"/>
      <c r="R55" s="1217"/>
      <c r="S55" s="1217"/>
      <c r="T55" s="388" t="b" cm="1">
        <f t="array" ref="T55">T54</f>
        <v>1</v>
      </c>
      <c r="U55" s="1217"/>
      <c r="V55" s="1217"/>
      <c r="W55" s="1217"/>
      <c r="X55" s="2032"/>
      <c r="Y55" s="1217"/>
      <c r="Z55" s="2012"/>
      <c r="AA55" s="370"/>
      <c r="AB55" s="217" t="s">
        <v>289</v>
      </c>
      <c r="AC55" s="374" t="s">
        <v>1213</v>
      </c>
      <c r="AD55" s="218" t="s">
        <v>831</v>
      </c>
      <c r="AE55" s="216">
        <v>220.39641424000001</v>
      </c>
      <c r="AF55" s="148"/>
      <c r="AG55" s="148"/>
      <c r="AH55" s="148"/>
      <c r="AI55" s="148"/>
      <c r="AJ55" s="148"/>
      <c r="AK55" s="119" t="s">
        <v>1228</v>
      </c>
      <c r="AL55" s="370"/>
      <c r="AM55" s="370"/>
      <c r="AN55" s="906" t="s">
        <v>1214</v>
      </c>
      <c r="AO55" s="1133"/>
      <c r="AP55" s="1133"/>
      <c r="AQ55" s="1080"/>
      <c r="AR55" s="1080"/>
    </row>
    <row r="56" spans="1:44" s="1334" customFormat="1" ht="222.75" customHeight="1" x14ac:dyDescent="0.2">
      <c r="A56" s="1217"/>
      <c r="B56" s="1111"/>
      <c r="C56" s="1217"/>
      <c r="D56" s="1217"/>
      <c r="E56" s="542">
        <v>22.5</v>
      </c>
      <c r="F56" s="3" t="str" cm="1">
        <f t="array" aca="1" ref="F56" ca="1">OFFSET(E56,-1,1)</f>
        <v>2</v>
      </c>
      <c r="G56" s="41" t="s">
        <v>333</v>
      </c>
      <c r="H56" s="1217"/>
      <c r="I56" s="1217"/>
      <c r="J56" s="1217"/>
      <c r="K56" s="1217"/>
      <c r="L56" s="1217"/>
      <c r="M56" s="1217"/>
      <c r="N56" s="1217"/>
      <c r="O56" s="1217"/>
      <c r="P56" s="1217"/>
      <c r="Q56" s="1217"/>
      <c r="R56" s="1217"/>
      <c r="S56" s="1217"/>
      <c r="T56" s="388" t="b" cm="1">
        <f t="array" ref="T56">T55</f>
        <v>1</v>
      </c>
      <c r="U56" s="1217"/>
      <c r="V56" s="1217"/>
      <c r="W56" s="1217"/>
      <c r="X56" s="2032"/>
      <c r="Y56" s="1217"/>
      <c r="Z56" s="2012"/>
      <c r="AA56" s="370"/>
      <c r="AB56" s="217" t="s">
        <v>329</v>
      </c>
      <c r="AC56" s="374" t="s">
        <v>1215</v>
      </c>
      <c r="AD56" s="218" t="s">
        <v>831</v>
      </c>
      <c r="AE56" s="216">
        <v>57.315444800000002</v>
      </c>
      <c r="AF56" s="148"/>
      <c r="AG56" s="148"/>
      <c r="AH56" s="148"/>
      <c r="AI56" s="148"/>
      <c r="AJ56" s="148"/>
      <c r="AK56" s="119" t="s">
        <v>1229</v>
      </c>
      <c r="AL56" s="370"/>
      <c r="AM56" s="370"/>
      <c r="AN56" s="906" t="s">
        <v>1216</v>
      </c>
      <c r="AO56" s="1133"/>
      <c r="AP56" s="1133"/>
      <c r="AQ56" s="1080"/>
      <c r="AR56" s="1080"/>
    </row>
    <row r="57" spans="1:44" s="1334" customFormat="1" ht="33.75" customHeight="1" x14ac:dyDescent="0.2">
      <c r="A57" s="41"/>
      <c r="B57" s="350"/>
      <c r="C57" s="41"/>
      <c r="D57" s="41"/>
      <c r="E57" s="542">
        <v>33.75</v>
      </c>
      <c r="F57" s="1090" t="str" cm="1">
        <f t="array" aca="1" ref="F57" ca="1">OFFSET(E57,-1,1)</f>
        <v>2</v>
      </c>
      <c r="G57" s="41" t="s">
        <v>335</v>
      </c>
      <c r="H57" s="41"/>
      <c r="I57" s="41"/>
      <c r="J57" s="41"/>
      <c r="K57" s="41"/>
      <c r="L57" s="41"/>
      <c r="M57" s="41"/>
      <c r="N57" s="41"/>
      <c r="O57" s="41"/>
      <c r="P57" s="41"/>
      <c r="Q57" s="41"/>
      <c r="R57" s="41"/>
      <c r="S57" s="41"/>
      <c r="T57" s="388" t="b" cm="1">
        <f t="array" ref="T57">T56</f>
        <v>1</v>
      </c>
      <c r="U57" s="41"/>
      <c r="V57" s="41"/>
      <c r="W57" s="41"/>
      <c r="X57" s="2032"/>
      <c r="Y57" s="41"/>
      <c r="Z57" s="2012"/>
      <c r="AA57" s="370"/>
      <c r="AB57" s="803">
        <v>4</v>
      </c>
      <c r="AC57" s="374" t="s">
        <v>1217</v>
      </c>
      <c r="AD57" s="218" t="s">
        <v>831</v>
      </c>
      <c r="AE57" s="693">
        <f ca="1">SUMIFS(ФОТ!AE$25:AE$138,ФОТ!$F$25:$F$138,$F57,ФОТ!$G$25:$G$138,"СП")+SUMIFS(ФОТ!AE$25:AE$138,ФОТ!$F$25:$F$138,$F57,ФОТ!$G$25:$G$138,"СОЦ_СП")</f>
        <v>4475.8895004119004</v>
      </c>
      <c r="AF57" s="693">
        <f ca="1">SUMIFS(ФОТ!AF$25:AF$138,ФОТ!$F$25:$F$138,$F57,ФОТ!$G$25:$G$138,"СП")+SUMIFS(ФОТ!AF$25:AF$138,ФОТ!$F$25:$F$138,$F57,ФОТ!$G$25:$G$138,"СОЦ_СП")</f>
        <v>0</v>
      </c>
      <c r="AG57" s="693">
        <f ca="1">SUMIFS(ФОТ!AG$25:AG$138,ФОТ!$F$25:$F$138,$F57,ФОТ!$G$25:$G$138,"СП")+SUMIFS(ФОТ!AG$25:AG$138,ФОТ!$F$25:$F$138,$F57,ФОТ!$G$25:$G$138,"СОЦ_СП")</f>
        <v>0</v>
      </c>
      <c r="AH57" s="693">
        <f ca="1">SUMIFS(ФОТ!AH$25:AH$138,ФОТ!$F$25:$F$138,$F57,ФОТ!$G$25:$G$138,"СП")+SUMIFS(ФОТ!AH$25:AH$138,ФОТ!$F$25:$F$138,$F57,ФОТ!$G$25:$G$138,"СОЦ_СП")</f>
        <v>0</v>
      </c>
      <c r="AI57" s="693">
        <f ca="1">SUMIFS(ФОТ!AI$25:AI$138,ФОТ!$F$25:$F$138,$F57,ФОТ!$G$25:$G$138,"СП")+SUMIFS(ФОТ!AI$25:AI$138,ФОТ!$F$25:$F$138,$F57,ФОТ!$G$25:$G$138,"СОЦ_СП")</f>
        <v>0</v>
      </c>
      <c r="AJ57" s="693">
        <f ca="1">SUMIFS(ФОТ!AJ$25:AJ$138,ФОТ!$F$25:$F$138,$F57,ФОТ!$G$25:$G$138,"СП")+SUMIFS(ФОТ!AJ$25:AJ$138,ФОТ!$F$25:$F$138,$F57,ФОТ!$G$25:$G$138,"СОЦ_СП")</f>
        <v>0</v>
      </c>
      <c r="AK57" s="119" t="s">
        <v>1206</v>
      </c>
      <c r="AL57" s="370"/>
      <c r="AN57" s="957" t="s">
        <v>1218</v>
      </c>
      <c r="AO57" s="957"/>
      <c r="AP57" s="957"/>
      <c r="AQ57" s="595"/>
      <c r="AR57" s="595"/>
    </row>
    <row r="58" spans="1:44" s="1334" customFormat="1" ht="33.75" customHeight="1" x14ac:dyDescent="0.2">
      <c r="A58" s="1217"/>
      <c r="B58" s="1111"/>
      <c r="C58" s="1217"/>
      <c r="D58" s="1217"/>
      <c r="E58" s="542">
        <v>33.75</v>
      </c>
      <c r="F58" s="3" t="str" cm="1">
        <f t="array" aca="1" ref="F58" ca="1">OFFSET(E58,-1,1)</f>
        <v>2</v>
      </c>
      <c r="G58" s="41" t="s">
        <v>334</v>
      </c>
      <c r="H58" s="1217"/>
      <c r="I58" s="1217"/>
      <c r="J58" s="1217"/>
      <c r="K58" s="1217"/>
      <c r="L58" s="1217"/>
      <c r="M58" s="1217"/>
      <c r="N58" s="1217"/>
      <c r="O58" s="1217"/>
      <c r="P58" s="1217"/>
      <c r="Q58" s="1217"/>
      <c r="R58" s="1217"/>
      <c r="S58" s="1217"/>
      <c r="T58" s="388" t="b" cm="1">
        <f t="array" ref="T58">T57</f>
        <v>1</v>
      </c>
      <c r="U58" s="1217"/>
      <c r="V58" s="1217"/>
      <c r="W58" s="1217"/>
      <c r="X58" s="2032"/>
      <c r="Y58" s="1217"/>
      <c r="Z58" s="2012"/>
      <c r="AA58" s="370"/>
      <c r="AB58" s="217" t="s">
        <v>444</v>
      </c>
      <c r="AC58" s="374" t="s">
        <v>1219</v>
      </c>
      <c r="AD58" s="218" t="s">
        <v>831</v>
      </c>
      <c r="AE58" s="216"/>
      <c r="AF58" s="216"/>
      <c r="AG58" s="216"/>
      <c r="AH58" s="216"/>
      <c r="AI58" s="216"/>
      <c r="AJ58" s="216"/>
      <c r="AK58" s="119" t="s">
        <v>1230</v>
      </c>
      <c r="AL58" s="370"/>
      <c r="AM58" s="370"/>
      <c r="AN58" s="906" t="s">
        <v>1199</v>
      </c>
      <c r="AO58" s="1133"/>
      <c r="AP58" s="1133"/>
      <c r="AQ58" s="1080"/>
      <c r="AR58" s="1080"/>
    </row>
    <row r="59" spans="1:44" s="1334" customFormat="1" ht="21.75" customHeight="1" x14ac:dyDescent="0.2">
      <c r="A59" s="1217"/>
      <c r="B59" s="1111"/>
      <c r="C59" s="1217"/>
      <c r="D59" s="1217"/>
      <c r="E59" s="542">
        <v>22.5</v>
      </c>
      <c r="F59" s="3" t="str" cm="1">
        <f t="array" aca="1" ref="F59" ca="1">OFFSET(E59,-1,1)</f>
        <v>2</v>
      </c>
      <c r="G59" s="41" t="s">
        <v>544</v>
      </c>
      <c r="H59" s="1217"/>
      <c r="I59" s="1217"/>
      <c r="J59" s="1217"/>
      <c r="K59" s="1217"/>
      <c r="L59" s="1217"/>
      <c r="M59" s="1217"/>
      <c r="N59" s="1217"/>
      <c r="O59" s="1217"/>
      <c r="P59" s="1217"/>
      <c r="Q59" s="1217"/>
      <c r="R59" s="1217"/>
      <c r="S59" s="1217"/>
      <c r="T59" s="388" t="b" cm="1">
        <f t="array" ref="T59">T58</f>
        <v>1</v>
      </c>
      <c r="U59" s="1217"/>
      <c r="V59" s="1217"/>
      <c r="W59" s="1217"/>
      <c r="X59" s="2032"/>
      <c r="Y59" s="1217"/>
      <c r="Z59" s="2012"/>
      <c r="AA59" s="370"/>
      <c r="AB59" s="217" t="s">
        <v>446</v>
      </c>
      <c r="AC59" s="374" t="s">
        <v>1220</v>
      </c>
      <c r="AD59" s="218" t="s">
        <v>831</v>
      </c>
      <c r="AE59" s="216"/>
      <c r="AF59" s="216"/>
      <c r="AG59" s="216"/>
      <c r="AH59" s="216"/>
      <c r="AI59" s="216"/>
      <c r="AJ59" s="216"/>
      <c r="AK59" s="119"/>
      <c r="AL59" s="370"/>
      <c r="AM59" s="370"/>
      <c r="AN59" s="906" t="s">
        <v>1185</v>
      </c>
      <c r="AO59" s="1133"/>
      <c r="AP59" s="1133"/>
      <c r="AQ59" s="1080"/>
      <c r="AR59" s="1080"/>
    </row>
    <row r="60" spans="1:44" s="1334" customFormat="1" ht="43.5" customHeight="1" x14ac:dyDescent="0.2">
      <c r="A60" s="1217"/>
      <c r="B60" s="1111"/>
      <c r="C60" s="1217"/>
      <c r="D60" s="1217"/>
      <c r="E60" s="542">
        <v>45</v>
      </c>
      <c r="F60" s="3" t="str" cm="1">
        <f t="array" aca="1" ref="F60" ca="1">OFFSET(E60,-1,1)</f>
        <v>2</v>
      </c>
      <c r="G60" s="41" t="s">
        <v>547</v>
      </c>
      <c r="H60" s="1217"/>
      <c r="I60" s="1217"/>
      <c r="J60" s="1217"/>
      <c r="K60" s="1217"/>
      <c r="L60" s="1217"/>
      <c r="M60" s="1217"/>
      <c r="N60" s="1217"/>
      <c r="O60" s="1217"/>
      <c r="P60" s="1217"/>
      <c r="Q60" s="1217"/>
      <c r="R60" s="1217"/>
      <c r="S60" s="1217"/>
      <c r="T60" s="388" t="b" cm="1">
        <f t="array" ref="T60">T59</f>
        <v>1</v>
      </c>
      <c r="U60" s="1217"/>
      <c r="V60" s="1217"/>
      <c r="W60" s="1217"/>
      <c r="X60" s="2032"/>
      <c r="Y60" s="1217"/>
      <c r="Z60" s="2012"/>
      <c r="AA60" s="370"/>
      <c r="AB60" s="217" t="s">
        <v>448</v>
      </c>
      <c r="AC60" s="374" t="s">
        <v>1221</v>
      </c>
      <c r="AD60" s="218" t="s">
        <v>831</v>
      </c>
      <c r="AE60" s="216"/>
      <c r="AF60" s="216"/>
      <c r="AG60" s="216"/>
      <c r="AH60" s="216"/>
      <c r="AI60" s="216"/>
      <c r="AJ60" s="216"/>
      <c r="AK60" s="119"/>
      <c r="AL60" s="370"/>
      <c r="AM60" s="370"/>
      <c r="AN60" s="906" t="s">
        <v>1222</v>
      </c>
      <c r="AO60" s="1133"/>
      <c r="AP60" s="1133"/>
      <c r="AQ60" s="1080"/>
      <c r="AR60" s="1080"/>
    </row>
    <row r="61" spans="1:44" s="1334" customFormat="1" ht="43.5" customHeight="1" x14ac:dyDescent="0.2">
      <c r="A61" s="1217"/>
      <c r="B61" s="1111"/>
      <c r="C61" s="1217"/>
      <c r="D61" s="1217"/>
      <c r="E61" s="542">
        <v>45</v>
      </c>
      <c r="F61" s="3" t="str" cm="1">
        <f t="array" aca="1" ref="F61" ca="1">OFFSET(E61,-1,1)</f>
        <v>2</v>
      </c>
      <c r="G61" s="41" t="s">
        <v>591</v>
      </c>
      <c r="H61" s="1217"/>
      <c r="I61" s="1217"/>
      <c r="J61" s="1217"/>
      <c r="K61" s="1217"/>
      <c r="L61" s="1217"/>
      <c r="M61" s="1217"/>
      <c r="N61" s="1217"/>
      <c r="O61" s="1217"/>
      <c r="P61" s="1217"/>
      <c r="Q61" s="1217"/>
      <c r="R61" s="1217"/>
      <c r="S61" s="1217"/>
      <c r="T61" s="388" t="b" cm="1">
        <f t="array" ref="T61">T60</f>
        <v>1</v>
      </c>
      <c r="U61" s="1217"/>
      <c r="V61" s="1217"/>
      <c r="W61" s="1217"/>
      <c r="X61" s="2032"/>
      <c r="Y61" s="1217"/>
      <c r="Z61" s="2012"/>
      <c r="AA61" s="370"/>
      <c r="AB61" s="217" t="s">
        <v>450</v>
      </c>
      <c r="AC61" s="374" t="s">
        <v>1223</v>
      </c>
      <c r="AD61" s="218" t="s">
        <v>831</v>
      </c>
      <c r="AE61" s="216"/>
      <c r="AF61" s="216"/>
      <c r="AG61" s="216"/>
      <c r="AH61" s="216"/>
      <c r="AI61" s="216"/>
      <c r="AJ61" s="216"/>
      <c r="AK61" s="119"/>
      <c r="AL61" s="370"/>
      <c r="AM61" s="370"/>
      <c r="AN61" s="906" t="s">
        <v>1224</v>
      </c>
      <c r="AO61" s="1133"/>
      <c r="AP61" s="1133"/>
      <c r="AQ61" s="1080"/>
      <c r="AR61" s="1080"/>
    </row>
    <row r="62" spans="1:44" s="1334" customFormat="1" ht="14.25" customHeight="1" x14ac:dyDescent="0.2">
      <c r="A62" s="1217"/>
      <c r="B62" s="1111"/>
      <c r="C62" s="1217"/>
      <c r="D62" s="1217"/>
      <c r="E62" s="542">
        <v>15</v>
      </c>
      <c r="F62" s="3" t="str" cm="1">
        <f t="array" aca="1" ref="F62" ca="1">OFFSET(E62,-1,1)</f>
        <v>2</v>
      </c>
      <c r="G62" s="41" t="s">
        <v>606</v>
      </c>
      <c r="H62" s="1217"/>
      <c r="I62" s="1217"/>
      <c r="J62" s="1217"/>
      <c r="K62" s="1217"/>
      <c r="L62" s="1217"/>
      <c r="M62" s="1217"/>
      <c r="N62" s="1217"/>
      <c r="O62" s="1217"/>
      <c r="P62" s="1217"/>
      <c r="Q62" s="1217"/>
      <c r="R62" s="1217"/>
      <c r="S62" s="1217"/>
      <c r="T62" s="388" t="b" cm="1">
        <f t="array" ref="T62">T61</f>
        <v>1</v>
      </c>
      <c r="U62" s="1217"/>
      <c r="V62" s="1217"/>
      <c r="W62" s="1217"/>
      <c r="X62" s="2032"/>
      <c r="Y62" s="1217"/>
      <c r="Z62" s="2012"/>
      <c r="AA62" s="370"/>
      <c r="AB62" s="272">
        <v>9</v>
      </c>
      <c r="AC62" s="374" t="s">
        <v>1225</v>
      </c>
      <c r="AD62" s="218" t="s">
        <v>831</v>
      </c>
      <c r="AE62" s="154">
        <f t="shared" ref="AE62:AJ62" si="5">SUM(AE63:AE64)</f>
        <v>0</v>
      </c>
      <c r="AF62" s="154">
        <f t="shared" si="5"/>
        <v>0</v>
      </c>
      <c r="AG62" s="154">
        <f t="shared" si="5"/>
        <v>0</v>
      </c>
      <c r="AH62" s="154">
        <f t="shared" si="5"/>
        <v>0</v>
      </c>
      <c r="AI62" s="154">
        <f t="shared" si="5"/>
        <v>0</v>
      </c>
      <c r="AJ62" s="154">
        <f t="shared" si="5"/>
        <v>0</v>
      </c>
      <c r="AK62" s="119"/>
      <c r="AL62" s="370"/>
      <c r="AM62" s="370"/>
      <c r="AN62" s="906" t="s">
        <v>393</v>
      </c>
      <c r="AO62" s="1133"/>
      <c r="AP62" s="1133"/>
      <c r="AQ62" s="1080"/>
      <c r="AR62" s="1080"/>
    </row>
    <row r="63" spans="1:44" s="1334" customFormat="1" ht="14.25" hidden="1" customHeight="1" x14ac:dyDescent="0.2">
      <c r="A63" s="1217"/>
      <c r="B63" s="1111"/>
      <c r="C63" s="1217"/>
      <c r="D63" s="1217"/>
      <c r="E63" s="542">
        <v>15</v>
      </c>
      <c r="F63" s="3" t="str" cm="1">
        <f t="array" aca="1" ref="F63" ca="1">OFFSET(E63,-1,1)</f>
        <v>2</v>
      </c>
      <c r="G63" s="41" t="s">
        <v>606</v>
      </c>
      <c r="H63" s="41" cm="1">
        <f t="array" ref="H63">AC63</f>
        <v>0</v>
      </c>
      <c r="I63" s="1217"/>
      <c r="J63" s="1217"/>
      <c r="K63" s="1217"/>
      <c r="L63" s="1217"/>
      <c r="M63" s="1217"/>
      <c r="N63" s="1217"/>
      <c r="O63" s="1217"/>
      <c r="P63" s="1217"/>
      <c r="Q63" s="1217"/>
      <c r="R63" s="1217"/>
      <c r="S63" s="1217"/>
      <c r="T63" s="388" t="b">
        <f ca="1">AND(F63&gt;0,Y63&gt;0)</f>
        <v>0</v>
      </c>
      <c r="U63" s="1217"/>
      <c r="V63" s="1217"/>
      <c r="W63" s="677" t="s">
        <v>172</v>
      </c>
      <c r="X63" s="2032"/>
      <c r="Y63" s="41">
        <v>0</v>
      </c>
      <c r="Z63" s="2012"/>
      <c r="AA63" s="342" t="s">
        <v>173</v>
      </c>
      <c r="AB63" s="613" t="str">
        <f>"9."&amp;Y63</f>
        <v>9.0</v>
      </c>
      <c r="AC63" s="1408"/>
      <c r="AD63" s="218" t="s">
        <v>831</v>
      </c>
      <c r="AE63" s="1407"/>
      <c r="AF63" s="1407"/>
      <c r="AG63" s="1407"/>
      <c r="AH63" s="1407"/>
      <c r="AI63" s="216"/>
      <c r="AJ63" s="216"/>
      <c r="AK63" s="1365"/>
      <c r="AL63" s="370"/>
      <c r="AM63" s="370"/>
      <c r="AN63" s="906" t="s">
        <v>393</v>
      </c>
      <c r="AO63" s="906" t="s">
        <v>1226</v>
      </c>
      <c r="AP63" s="906" cm="1">
        <f t="array" ref="AP63">AC63</f>
        <v>0</v>
      </c>
      <c r="AQ63" s="1080"/>
      <c r="AR63" s="542" t="b">
        <v>1</v>
      </c>
    </row>
    <row r="64" spans="1:44" s="1334" customFormat="1" ht="14.25" customHeight="1" x14ac:dyDescent="0.2">
      <c r="A64" s="65"/>
      <c r="B64" s="351"/>
      <c r="C64" s="65"/>
      <c r="D64" s="65"/>
      <c r="E64" s="185">
        <v>15</v>
      </c>
      <c r="F64" s="3" t="str" cm="1">
        <f t="array" aca="1" ref="F64" ca="1">OFFSET(E64,-1,1)</f>
        <v>2</v>
      </c>
      <c r="G64" s="65"/>
      <c r="H64" s="71" t="str">
        <f>"!=='не определено'"</f>
        <v>!=='не определено'</v>
      </c>
      <c r="I64" s="65"/>
      <c r="J64" s="65"/>
      <c r="K64" s="65"/>
      <c r="L64" s="65"/>
      <c r="M64" s="65"/>
      <c r="N64" s="65"/>
      <c r="O64" s="65"/>
      <c r="P64" s="65"/>
      <c r="Q64" s="65"/>
      <c r="R64" s="65"/>
      <c r="S64" s="65"/>
      <c r="T64" s="388" t="b">
        <f ca="1">F64&gt;0</f>
        <v>1</v>
      </c>
      <c r="U64" s="65"/>
      <c r="V64" s="65"/>
      <c r="W64" s="677" t="s">
        <v>827</v>
      </c>
      <c r="X64" s="2032"/>
      <c r="Y64" s="65"/>
      <c r="Z64" s="2012"/>
      <c r="AA64" s="65"/>
      <c r="AB64" s="150"/>
      <c r="AC64" s="151" t="s">
        <v>176</v>
      </c>
      <c r="AD64" s="151"/>
      <c r="AE64" s="151"/>
      <c r="AF64" s="151"/>
      <c r="AG64" s="151"/>
      <c r="AH64" s="151"/>
      <c r="AI64" s="151"/>
      <c r="AJ64" s="151"/>
      <c r="AK64" s="152"/>
      <c r="AL64" s="65"/>
      <c r="AM64" s="370"/>
      <c r="AN64" s="1133"/>
      <c r="AO64" s="1133"/>
      <c r="AP64" s="1133"/>
      <c r="AQ64" s="542" t="s">
        <v>1226</v>
      </c>
      <c r="AR64" s="1080"/>
    </row>
    <row r="65" spans="1:44" ht="10.7" customHeight="1" x14ac:dyDescent="0.2">
      <c r="A65"/>
      <c r="B65" s="352"/>
      <c r="C65"/>
      <c r="D65"/>
      <c r="E65" s="542">
        <v>11</v>
      </c>
      <c r="F65" s="4"/>
      <c r="G65"/>
      <c r="H65"/>
      <c r="I65"/>
      <c r="J65"/>
      <c r="K65"/>
      <c r="L65"/>
      <c r="M65"/>
      <c r="N65"/>
      <c r="O65"/>
      <c r="P65"/>
      <c r="Q65"/>
      <c r="R65"/>
      <c r="S65"/>
      <c r="T65"/>
      <c r="U65" t="s">
        <v>176</v>
      </c>
      <c r="V65" s="59" t="s">
        <v>1231</v>
      </c>
      <c r="W65"/>
      <c r="X65"/>
      <c r="Y65"/>
      <c r="Z65"/>
      <c r="AA65"/>
      <c r="AB65"/>
      <c r="AC65" s="19"/>
      <c r="AD65" s="19"/>
      <c r="AE65" s="19"/>
      <c r="AF65" s="19"/>
      <c r="AG65"/>
      <c r="AH65"/>
      <c r="AI65"/>
      <c r="AJ65"/>
      <c r="AK65"/>
      <c r="AL65"/>
    </row>
    <row r="66" spans="1:44" ht="14.65" customHeight="1" x14ac:dyDescent="0.2">
      <c r="A66" s="17"/>
      <c r="B66" s="349"/>
      <c r="C66" s="17"/>
      <c r="D66" s="17"/>
      <c r="E66" s="556">
        <v>15</v>
      </c>
      <c r="F66" s="17"/>
      <c r="G66" s="17"/>
      <c r="H66" s="17"/>
      <c r="I66" s="17"/>
      <c r="J66" s="17"/>
      <c r="K66" s="17"/>
      <c r="L66" s="17"/>
      <c r="M66" s="17"/>
      <c r="N66" s="17"/>
      <c r="O66" s="17"/>
      <c r="P66" s="17"/>
      <c r="Q66" s="17"/>
      <c r="R66" s="17"/>
      <c r="S66" s="17"/>
      <c r="T66" s="17"/>
      <c r="U66" s="17"/>
      <c r="V66" s="17"/>
      <c r="W66" s="17"/>
      <c r="X66" s="17"/>
      <c r="Y66" s="17"/>
      <c r="Z66" s="17"/>
      <c r="AA66" s="17"/>
      <c r="AB66" s="2035" t="s">
        <v>402</v>
      </c>
      <c r="AC66" s="2035"/>
      <c r="AD66" s="2035"/>
      <c r="AE66" s="2035"/>
      <c r="AF66" s="2035"/>
      <c r="AG66" s="2035"/>
      <c r="AH66" s="2035"/>
      <c r="AI66" s="2101"/>
      <c r="AJ66" s="2101"/>
      <c r="AK66" s="2101"/>
      <c r="AL66" s="17"/>
    </row>
    <row r="67" spans="1:44" ht="14.65" customHeight="1" x14ac:dyDescent="0.2">
      <c r="A67" s="17"/>
      <c r="B67" s="349"/>
      <c r="C67" s="17"/>
      <c r="D67" s="17"/>
      <c r="E67" s="556">
        <v>15</v>
      </c>
      <c r="F67" s="17"/>
      <c r="G67" s="17"/>
      <c r="H67" s="17"/>
      <c r="I67" s="17"/>
      <c r="J67" s="17"/>
      <c r="K67" s="17"/>
      <c r="L67" s="17"/>
      <c r="M67" s="17"/>
      <c r="N67" s="17"/>
      <c r="O67" s="17"/>
      <c r="P67" s="17"/>
      <c r="Q67" s="17"/>
      <c r="R67" s="17"/>
      <c r="S67" s="17"/>
      <c r="U67" s="17"/>
      <c r="V67" s="17"/>
      <c r="W67" s="17"/>
      <c r="X67" s="17"/>
      <c r="Y67" s="17"/>
      <c r="Z67" s="17"/>
      <c r="AA67" s="373"/>
      <c r="AB67" s="2069"/>
      <c r="AC67" s="2069"/>
      <c r="AD67" s="2069"/>
      <c r="AE67" s="2069"/>
      <c r="AF67" s="2069"/>
      <c r="AG67" s="2069"/>
      <c r="AH67" s="2069"/>
      <c r="AI67" s="2099"/>
      <c r="AJ67" s="2099"/>
      <c r="AK67" s="2099"/>
      <c r="AL67" s="17"/>
    </row>
    <row r="68" spans="1:44" ht="14.65" hidden="1" customHeight="1" x14ac:dyDescent="0.2">
      <c r="A68" s="17"/>
      <c r="B68" s="349"/>
      <c r="C68" s="17"/>
      <c r="D68" s="17"/>
      <c r="E68" s="556">
        <v>15</v>
      </c>
      <c r="F68" s="17"/>
      <c r="G68" s="17"/>
      <c r="H68" s="17"/>
      <c r="I68" s="17"/>
      <c r="J68" s="17"/>
      <c r="K68" s="17"/>
      <c r="L68" s="17"/>
      <c r="M68" s="17"/>
      <c r="N68" s="17"/>
      <c r="O68" s="17"/>
      <c r="P68" s="17"/>
      <c r="Q68" s="17"/>
      <c r="R68" s="17"/>
      <c r="S68" s="17"/>
      <c r="T68" s="388" t="b">
        <f>ROW(W68)&gt;ROW(W$68)</f>
        <v>0</v>
      </c>
      <c r="U68" s="17"/>
      <c r="V68" s="17"/>
      <c r="W68" s="677" t="s">
        <v>172</v>
      </c>
      <c r="X68" s="17"/>
      <c r="Y68" s="17"/>
      <c r="Z68" s="17"/>
      <c r="AA68" s="342" t="s">
        <v>173</v>
      </c>
      <c r="AB68" s="2081" t="s">
        <v>147</v>
      </c>
      <c r="AC68" s="2081"/>
      <c r="AD68" s="2081"/>
      <c r="AE68" s="2081"/>
      <c r="AF68" s="2081"/>
      <c r="AG68" s="2081"/>
      <c r="AH68" s="2081"/>
      <c r="AI68" s="2099"/>
      <c r="AJ68" s="2099"/>
      <c r="AK68" s="2100"/>
      <c r="AL68" s="17"/>
    </row>
    <row r="69" spans="1:44" s="1332" customFormat="1" ht="14.65" customHeight="1" x14ac:dyDescent="0.15">
      <c r="A69" s="17"/>
      <c r="B69" s="349"/>
      <c r="C69" s="17"/>
      <c r="D69" s="17"/>
      <c r="E69" s="556">
        <v>15</v>
      </c>
      <c r="F69" s="17"/>
      <c r="G69" s="17"/>
      <c r="H69" s="17"/>
      <c r="I69" s="17"/>
      <c r="J69" s="17"/>
      <c r="K69" s="17"/>
      <c r="L69" s="17"/>
      <c r="M69" s="17"/>
      <c r="N69" s="17"/>
      <c r="O69" s="17"/>
      <c r="P69" s="17"/>
      <c r="Q69" s="17"/>
      <c r="R69" s="17"/>
      <c r="S69" s="17"/>
      <c r="T69" s="17"/>
      <c r="U69" s="17"/>
      <c r="V69" s="17"/>
      <c r="W69" s="677" t="s">
        <v>403</v>
      </c>
      <c r="X69" s="17"/>
      <c r="Y69" s="17"/>
      <c r="Z69" s="17"/>
      <c r="AA69" s="17"/>
      <c r="AB69" s="571"/>
      <c r="AC69" s="437" t="s">
        <v>404</v>
      </c>
      <c r="AD69" s="227"/>
      <c r="AE69" s="227"/>
      <c r="AF69" s="228"/>
      <c r="AG69" s="228"/>
      <c r="AH69" s="228"/>
      <c r="AI69" s="228"/>
      <c r="AJ69" s="228"/>
      <c r="AK69" s="229"/>
      <c r="AL69" s="17"/>
      <c r="AN69" s="939"/>
      <c r="AO69" s="939"/>
      <c r="AP69" s="939"/>
      <c r="AQ69" s="185"/>
      <c r="AR69" s="185"/>
    </row>
    <row r="70" spans="1:44" s="1334" customFormat="1" ht="10.7" customHeight="1" x14ac:dyDescent="0.2">
      <c r="A70" s="41"/>
      <c r="B70" s="350"/>
      <c r="C70" s="41"/>
      <c r="D70" s="41"/>
      <c r="E70" s="542">
        <v>11</v>
      </c>
      <c r="F70" s="41"/>
      <c r="G70" s="41"/>
      <c r="H70" s="41"/>
      <c r="I70" s="41"/>
      <c r="J70" s="41"/>
      <c r="K70" s="41"/>
      <c r="L70" s="41"/>
      <c r="M70" s="41"/>
      <c r="N70" s="41"/>
      <c r="O70" s="41"/>
      <c r="P70" s="41"/>
      <c r="Q70" s="41"/>
      <c r="R70" s="41"/>
      <c r="S70" s="41"/>
      <c r="T70" s="41"/>
      <c r="U70" s="41"/>
      <c r="V70" s="41"/>
      <c r="W70" s="41"/>
      <c r="X70" s="41"/>
      <c r="Y70" s="41"/>
      <c r="Z70" s="41"/>
      <c r="AA70" s="370"/>
      <c r="AB70" s="370"/>
      <c r="AC70" s="370"/>
      <c r="AD70" s="370"/>
      <c r="AE70" s="370"/>
      <c r="AF70" s="370"/>
      <c r="AG70" s="370"/>
      <c r="AH70" s="370"/>
      <c r="AI70" s="370"/>
      <c r="AJ70" s="370"/>
      <c r="AK70" s="370"/>
      <c r="AL70" s="348"/>
      <c r="AN70" s="957"/>
      <c r="AO70" s="957"/>
      <c r="AP70" s="957"/>
      <c r="AQ70" s="595"/>
      <c r="AR70" s="595"/>
    </row>
    <row r="71" spans="1:44" ht="14.25" hidden="1" customHeight="1" x14ac:dyDescent="0.2">
      <c r="A71" s="370"/>
      <c r="B71" s="370"/>
      <c r="C71" s="370"/>
      <c r="D71" s="370"/>
      <c r="E71" s="612"/>
      <c r="F71" s="370"/>
      <c r="G71" s="370"/>
      <c r="H71" s="370"/>
      <c r="I71" s="370"/>
      <c r="J71" s="370"/>
      <c r="K71" s="370"/>
      <c r="L71" s="370"/>
      <c r="M71" s="370"/>
      <c r="N71" s="370"/>
      <c r="O71" s="370"/>
      <c r="P71" s="370"/>
      <c r="Q71" s="370"/>
      <c r="R71" s="370"/>
      <c r="S71" s="370"/>
      <c r="T71" s="370"/>
      <c r="U71" s="370"/>
      <c r="V71" s="370"/>
      <c r="W71" s="370"/>
      <c r="X71" s="370"/>
      <c r="Y71" s="370"/>
      <c r="Z71" s="370"/>
    </row>
  </sheetData>
  <sheetProtection formatColumns="0" formatRows="0" insertRows="0" deleteColumns="0" deleteRows="0" sort="0" autoFilter="0"/>
  <mergeCells count="13">
    <mergeCell ref="X27:X38"/>
    <mergeCell ref="Z27:Z38"/>
    <mergeCell ref="AB66:AK66"/>
    <mergeCell ref="AB67:AK67"/>
    <mergeCell ref="X39:X52"/>
    <mergeCell ref="Z39:Z52"/>
    <mergeCell ref="X53:X64"/>
    <mergeCell ref="Z53:Z64"/>
    <mergeCell ref="AB24:AB25"/>
    <mergeCell ref="AC24:AC25"/>
    <mergeCell ref="AD24:AD25"/>
    <mergeCell ref="AK24:AK25"/>
    <mergeCell ref="AB68:AK68"/>
  </mergeCells>
  <dataValidations count="2">
    <dataValidation allowBlank="1" showInputMessage="1" showErrorMessage="1" sqref="AI66:AK69 AI37:AJ37 AI49:AI51 AJ49:AJ51 AI63 AJ63" xr:uid="{00000000-0002-0000-1400-000000000000}"/>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AE51 AF49:AF51 AG49:AG51 AH49:AH51 AE54 AF54 AG54 AH54 AI54 AJ54 AE55 AF55 AG55 AH55 AI55 AJ55 AE56 AF56 AG56 AH56 AI56 AJ56 AE57 AF57 AG57 AH57 AI57 AJ57 AE58 AF58 AG58 AH58 AI58 AJ58 AE59 AF59 AG59 AH59 AI59 AJ59 AE60 AF60 AG60 AH60 AI60 AJ60 AE61 AF61 AG61 AH61 AI61 AJ61 AE63 AF63 AG63 AH63" xr:uid="{00000000-0002-0000-1400-000001000000}">
      <formula1>0</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3E228-6931-E425-980B-F34088584492}">
  <sheetPr>
    <tabColor rgb="FF002060"/>
    <outlinePr summaryBelow="0" summaryRight="0"/>
    <pageSetUpPr fitToPage="1"/>
  </sheetPr>
  <dimension ref="A1:BJ74"/>
  <sheetViews>
    <sheetView showGridLines="0" workbookViewId="0">
      <pane xSplit="30" ySplit="25" topLeftCell="AE60" activePane="bottomRight" state="frozen"/>
      <selection pane="topRight" activeCell="AE1" sqref="AE1"/>
      <selection pane="bottomLeft" activeCell="A26" sqref="A26"/>
      <selection pane="bottomRight" activeCell="BC64" sqref="BC64"/>
    </sheetView>
  </sheetViews>
  <sheetFormatPr defaultColWidth="9.140625" defaultRowHeight="11.25" customHeight="1" x14ac:dyDescent="0.15"/>
  <cols>
    <col min="1" max="1" width="3.5703125" style="1217" hidden="1" customWidth="1"/>
    <col min="2" max="2" width="8.5703125" style="1111" hidden="1" customWidth="1"/>
    <col min="3" max="4" width="3.5703125" style="1217" hidden="1" customWidth="1"/>
    <col min="5" max="5" width="3.5703125" style="1080" hidden="1" customWidth="1"/>
    <col min="6" max="7" width="3.5703125" style="1217" hidden="1" customWidth="1"/>
    <col min="8" max="8" width="6" style="1217" hidden="1" customWidth="1"/>
    <col min="9" max="19" width="3.5703125" style="1217" hidden="1" customWidth="1"/>
    <col min="20" max="20" width="10" style="1217" hidden="1" customWidth="1"/>
    <col min="21" max="21" width="5.85546875" style="1217" hidden="1" customWidth="1"/>
    <col min="22" max="23" width="6.140625" style="1217" hidden="1" customWidth="1"/>
    <col min="24" max="25" width="5.5703125" style="1217" hidden="1" customWidth="1"/>
    <col min="26" max="26" width="5.28515625" style="1217" hidden="1" customWidth="1"/>
    <col min="27" max="27" width="3" style="1217" customWidth="1"/>
    <col min="28" max="28" width="6" style="1217" customWidth="1"/>
    <col min="29" max="29" width="35" style="1217" customWidth="1"/>
    <col min="30" max="30" width="12" style="1217" customWidth="1"/>
    <col min="31" max="35" width="12.5703125" style="1217" customWidth="1"/>
    <col min="36" max="44" width="12.5703125" style="1217" hidden="1" customWidth="1"/>
    <col min="45" max="45" width="12.5703125" style="1217" customWidth="1"/>
    <col min="46" max="54" width="12.5703125" style="1217" hidden="1" customWidth="1"/>
    <col min="55" max="55" width="19.85546875" style="1217" customWidth="1"/>
    <col min="56" max="56" width="3" style="1217" customWidth="1"/>
    <col min="57" max="57" width="9.140625" style="1217" hidden="1"/>
    <col min="58" max="60" width="9.140625" style="1133" hidden="1"/>
    <col min="61" max="62" width="9.140625" style="1080" hidden="1"/>
  </cols>
  <sheetData>
    <row r="1" spans="1:62" ht="11.25" hidden="1" customHeight="1" x14ac:dyDescent="0.15">
      <c r="E1" s="68"/>
      <c r="F1" s="68" t="s">
        <v>319</v>
      </c>
      <c r="G1" s="68" t="s">
        <v>330</v>
      </c>
      <c r="I1" s="68" t="s">
        <v>354</v>
      </c>
      <c r="T1" s="388" t="s">
        <v>92</v>
      </c>
      <c r="U1" s="388" t="s">
        <v>97</v>
      </c>
      <c r="V1" s="388" t="s">
        <v>93</v>
      </c>
      <c r="W1" s="388" t="s">
        <v>94</v>
      </c>
      <c r="X1" s="388" t="s">
        <v>95</v>
      </c>
      <c r="Y1" s="390" t="s">
        <v>321</v>
      </c>
      <c r="Z1" s="388" t="s">
        <v>99</v>
      </c>
      <c r="AA1" s="389" t="s">
        <v>96</v>
      </c>
      <c r="AB1" s="4"/>
      <c r="AC1" s="389" t="s">
        <v>98</v>
      </c>
      <c r="BF1" s="947" t="s">
        <v>322</v>
      </c>
      <c r="BG1" s="947" t="s">
        <v>323</v>
      </c>
      <c r="BH1" s="947" t="s">
        <v>324</v>
      </c>
      <c r="BI1" s="600" t="s">
        <v>327</v>
      </c>
      <c r="BJ1" s="600" t="s">
        <v>328</v>
      </c>
    </row>
    <row r="2" spans="1:62" s="1111" customFormat="1" ht="11.25" hidden="1" customHeight="1" x14ac:dyDescent="0.15">
      <c r="B2" s="369" t="s">
        <v>18</v>
      </c>
      <c r="AI2" s="368" t="b">
        <f t="shared" ref="AI2:BB2" si="0">AI6&lt;=last_year_vis</f>
        <v>1</v>
      </c>
      <c r="AJ2" s="368" t="b">
        <f t="shared" si="0"/>
        <v>0</v>
      </c>
      <c r="AK2" s="368" t="b">
        <f t="shared" si="0"/>
        <v>0</v>
      </c>
      <c r="AL2" s="368" t="b">
        <f t="shared" si="0"/>
        <v>0</v>
      </c>
      <c r="AM2" s="368" t="b">
        <f t="shared" si="0"/>
        <v>0</v>
      </c>
      <c r="AN2" s="368" t="b">
        <f t="shared" si="0"/>
        <v>0</v>
      </c>
      <c r="AO2" s="368" t="b">
        <f t="shared" si="0"/>
        <v>0</v>
      </c>
      <c r="AP2" s="368" t="b">
        <f t="shared" si="0"/>
        <v>0</v>
      </c>
      <c r="AQ2" s="368" t="b">
        <f t="shared" si="0"/>
        <v>0</v>
      </c>
      <c r="AR2" s="368" t="b">
        <f t="shared" si="0"/>
        <v>0</v>
      </c>
      <c r="AS2" s="368" t="b">
        <f t="shared" si="0"/>
        <v>1</v>
      </c>
      <c r="AT2" s="368" t="b">
        <f t="shared" si="0"/>
        <v>0</v>
      </c>
      <c r="AU2" s="368" t="b">
        <f t="shared" si="0"/>
        <v>0</v>
      </c>
      <c r="AV2" s="368" t="b">
        <f t="shared" si="0"/>
        <v>0</v>
      </c>
      <c r="AW2" s="368" t="b">
        <f t="shared" si="0"/>
        <v>0</v>
      </c>
      <c r="AX2" s="368" t="b">
        <f t="shared" si="0"/>
        <v>0</v>
      </c>
      <c r="AY2" s="368" t="b">
        <f t="shared" si="0"/>
        <v>0</v>
      </c>
      <c r="AZ2" s="368" t="b">
        <f t="shared" si="0"/>
        <v>0</v>
      </c>
      <c r="BA2" s="368" t="b">
        <f t="shared" si="0"/>
        <v>0</v>
      </c>
      <c r="BB2" s="368" t="b">
        <f t="shared" si="0"/>
        <v>0</v>
      </c>
      <c r="BF2" s="946"/>
      <c r="BG2" s="946"/>
      <c r="BH2" s="946"/>
      <c r="BI2" s="958"/>
      <c r="BJ2" s="958"/>
    </row>
    <row r="3" spans="1:62" ht="11.25" hidden="1" customHeight="1" x14ac:dyDescent="0.15">
      <c r="E3" s="68"/>
    </row>
    <row r="4" spans="1:62" ht="11.25" hidden="1" customHeight="1" x14ac:dyDescent="0.15">
      <c r="E4" s="68"/>
    </row>
    <row r="5" spans="1:62" s="1080" customFormat="1" ht="11.25" hidden="1" customHeight="1" x14ac:dyDescent="0.15">
      <c r="A5" s="68"/>
      <c r="B5" s="364"/>
      <c r="C5" s="68"/>
      <c r="D5" s="68"/>
      <c r="E5" s="600" t="s">
        <v>19</v>
      </c>
      <c r="AA5" s="600">
        <v>3</v>
      </c>
      <c r="AB5" s="600">
        <v>6</v>
      </c>
      <c r="AC5" s="600">
        <v>35</v>
      </c>
      <c r="AD5" s="600">
        <v>12</v>
      </c>
      <c r="AE5" s="600">
        <v>12.57</v>
      </c>
      <c r="AF5" s="600">
        <v>12.57</v>
      </c>
      <c r="AG5" s="600">
        <v>12.57</v>
      </c>
      <c r="AH5" s="600">
        <v>12.57</v>
      </c>
      <c r="AI5" s="600">
        <v>12.57</v>
      </c>
      <c r="AJ5" s="600">
        <v>12.57</v>
      </c>
      <c r="AK5" s="600">
        <v>12.57</v>
      </c>
      <c r="AL5" s="600">
        <v>12.57</v>
      </c>
      <c r="AM5" s="600">
        <v>12.57</v>
      </c>
      <c r="AN5" s="600">
        <v>12.57</v>
      </c>
      <c r="AO5" s="600">
        <v>12.57</v>
      </c>
      <c r="AP5" s="600">
        <v>12.57</v>
      </c>
      <c r="AQ5" s="600">
        <v>12.57</v>
      </c>
      <c r="AR5" s="600">
        <v>12.57</v>
      </c>
      <c r="AS5" s="600">
        <v>12.57</v>
      </c>
      <c r="AT5" s="600">
        <v>12.57</v>
      </c>
      <c r="AU5" s="600">
        <v>12.57</v>
      </c>
      <c r="AV5" s="600">
        <v>12.57</v>
      </c>
      <c r="AW5" s="600">
        <v>12.57</v>
      </c>
      <c r="AX5" s="600">
        <v>12.57</v>
      </c>
      <c r="AY5" s="600">
        <v>12.57</v>
      </c>
      <c r="AZ5" s="600">
        <v>12.57</v>
      </c>
      <c r="BA5" s="600">
        <v>12.57</v>
      </c>
      <c r="BB5" s="600">
        <v>12.57</v>
      </c>
      <c r="BC5" s="600">
        <v>20</v>
      </c>
      <c r="BD5" s="600">
        <v>3</v>
      </c>
      <c r="BF5" s="947"/>
      <c r="BG5" s="947"/>
      <c r="BH5" s="947"/>
    </row>
    <row r="6" spans="1:62" ht="11.25" hidden="1" customHeight="1" x14ac:dyDescent="0.15">
      <c r="A6" s="68" t="s">
        <v>357</v>
      </c>
      <c r="AE6" s="68">
        <f>god-2</f>
        <v>2024</v>
      </c>
      <c r="AF6" s="68">
        <f>god-2</f>
        <v>2024</v>
      </c>
      <c r="AG6" s="68">
        <f>god-2</f>
        <v>2024</v>
      </c>
      <c r="AH6" s="6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68" t="s">
        <v>358</v>
      </c>
      <c r="AE7" s="68" t="str" cm="1">
        <f t="array" ref="AE7">AE25</f>
        <v>Принято органом регулирования</v>
      </c>
      <c r="AF7" s="68" t="str" cm="1">
        <f t="array" ref="AF7">AF25</f>
        <v>Факт по данным организации</v>
      </c>
      <c r="AG7" s="68" t="str" cm="1">
        <f t="array" ref="AG7">AG25</f>
        <v>Факт, принятый органом регулирования</v>
      </c>
      <c r="AH7" s="68" t="str" cm="1">
        <f t="array" ref="AH7">AH25</f>
        <v>Принято органом регулирования</v>
      </c>
      <c r="AI7" s="68" t="str" cm="1">
        <f t="array" ref="AI7">AI25</f>
        <v>Предложение организации</v>
      </c>
      <c r="AJ7" s="68" t="str" cm="1">
        <f t="array" ref="AJ7">AJ25</f>
        <v>Предложение организации</v>
      </c>
      <c r="AK7" s="68" t="str" cm="1">
        <f t="array" ref="AK7">AK25</f>
        <v>Предложение организации</v>
      </c>
      <c r="AL7" s="68" t="str" cm="1">
        <f t="array" ref="AL7">AL25</f>
        <v>Предложение организации</v>
      </c>
      <c r="AM7" s="68" t="str" cm="1">
        <f t="array" ref="AM7">AM25</f>
        <v>Предложение организации</v>
      </c>
      <c r="AN7" s="68" t="str" cm="1">
        <f t="array" ref="AN7">AN25</f>
        <v>Предложение организации</v>
      </c>
      <c r="AO7" s="68" t="str" cm="1">
        <f t="array" ref="AO7">AO25</f>
        <v>Предложение организации</v>
      </c>
      <c r="AP7" s="68" t="str" cm="1">
        <f t="array" ref="AP7">AP25</f>
        <v>Предложение организации</v>
      </c>
      <c r="AQ7" s="68" t="str" cm="1">
        <f t="array" ref="AQ7">AQ25</f>
        <v>Предложение организации</v>
      </c>
      <c r="AR7" s="68" t="str" cm="1">
        <f t="array" ref="AR7">AR25</f>
        <v>Предложение организации</v>
      </c>
      <c r="AS7" s="68" t="str" cm="1">
        <f t="array" ref="AS7">AS25</f>
        <v>Принято органом регулирования</v>
      </c>
      <c r="AT7" s="68" t="str" cm="1">
        <f t="array" ref="AT7">AT25</f>
        <v>Принято органом регулирования</v>
      </c>
      <c r="AU7" s="68" t="str" cm="1">
        <f t="array" ref="AU7">AU25</f>
        <v>Принято органом регулирования</v>
      </c>
      <c r="AV7" s="68" t="str" cm="1">
        <f t="array" ref="AV7">AV25</f>
        <v>Принято органом регулирования</v>
      </c>
      <c r="AW7" s="68" t="str" cm="1">
        <f t="array" ref="AW7">AW25</f>
        <v>Принято органом регулирования</v>
      </c>
      <c r="AX7" s="68" t="str" cm="1">
        <f t="array" ref="AX7">AX25</f>
        <v>Принято органом регулирования</v>
      </c>
      <c r="AY7" s="68" t="str" cm="1">
        <f t="array" ref="AY7">AY25</f>
        <v>Принято органом регулирования</v>
      </c>
      <c r="AZ7" s="68" t="str" cm="1">
        <f t="array" ref="AZ7">AZ25</f>
        <v>Принято органом регулирования</v>
      </c>
      <c r="BA7" s="68" t="str" cm="1">
        <f t="array" ref="BA7">BA25</f>
        <v>Принято органом регулирования</v>
      </c>
      <c r="BB7" s="68" t="str" cm="1">
        <f t="array" ref="BB7">BB25</f>
        <v>Принято органом регулирования</v>
      </c>
    </row>
    <row r="8" spans="1:62" ht="11.25" hidden="1" customHeight="1" x14ac:dyDescent="0.15"/>
    <row r="9" spans="1:62" s="1133" customFormat="1" ht="11.25" hidden="1" customHeight="1" x14ac:dyDescent="0.15">
      <c r="A9" s="947" t="s">
        <v>362</v>
      </c>
      <c r="B9" s="946"/>
      <c r="AE9" s="947" cm="1">
        <f t="array" ref="AE9">AE6</f>
        <v>2024</v>
      </c>
      <c r="AF9" s="947" cm="1">
        <f t="array" ref="AF9">AF6</f>
        <v>2024</v>
      </c>
      <c r="AG9" s="947" cm="1">
        <f t="array" ref="AG9">AG6</f>
        <v>2024</v>
      </c>
      <c r="AH9" s="947" cm="1">
        <f t="array" ref="AH9">AH6</f>
        <v>2025</v>
      </c>
      <c r="AI9" s="947" cm="1">
        <f t="array" ref="AI9">AI6</f>
        <v>2026</v>
      </c>
      <c r="AJ9" s="947" cm="1">
        <f t="array" ref="AJ9">AJ6</f>
        <v>2027</v>
      </c>
      <c r="AK9" s="947" cm="1">
        <f t="array" ref="AK9">AK6</f>
        <v>2028</v>
      </c>
      <c r="AL9" s="947" cm="1">
        <f t="array" ref="AL9">AL6</f>
        <v>2029</v>
      </c>
      <c r="AM9" s="947" cm="1">
        <f t="array" ref="AM9">AM6</f>
        <v>2030</v>
      </c>
      <c r="AN9" s="947" cm="1">
        <f t="array" ref="AN9">AN6</f>
        <v>2031</v>
      </c>
      <c r="AO9" s="947" cm="1">
        <f t="array" ref="AO9">AO6</f>
        <v>2032</v>
      </c>
      <c r="AP9" s="947" cm="1">
        <f t="array" ref="AP9">AP6</f>
        <v>2033</v>
      </c>
      <c r="AQ9" s="947" cm="1">
        <f t="array" ref="AQ9">AQ6</f>
        <v>2034</v>
      </c>
      <c r="AR9" s="947" cm="1">
        <f t="array" ref="AR9">AR6</f>
        <v>2035</v>
      </c>
      <c r="AS9" s="947" cm="1">
        <f t="array" ref="AS9">AS6</f>
        <v>2026</v>
      </c>
      <c r="AT9" s="947" cm="1">
        <f t="array" ref="AT9">AT6</f>
        <v>2027</v>
      </c>
      <c r="AU9" s="947" cm="1">
        <f t="array" ref="AU9">AU6</f>
        <v>2028</v>
      </c>
      <c r="AV9" s="947" cm="1">
        <f t="array" ref="AV9">AV6</f>
        <v>2029</v>
      </c>
      <c r="AW9" s="947" cm="1">
        <f t="array" ref="AW9">AW6</f>
        <v>2030</v>
      </c>
      <c r="AX9" s="947" cm="1">
        <f t="array" ref="AX9">AX6</f>
        <v>2031</v>
      </c>
      <c r="AY9" s="947" cm="1">
        <f t="array" ref="AY9">AY6</f>
        <v>2032</v>
      </c>
      <c r="AZ9" s="947" cm="1">
        <f t="array" ref="AZ9">AZ6</f>
        <v>2033</v>
      </c>
      <c r="BA9" s="947" cm="1">
        <f t="array" ref="BA9">BA6</f>
        <v>2034</v>
      </c>
      <c r="BB9" s="947" cm="1">
        <f t="array" ref="BB9">BB6</f>
        <v>2035</v>
      </c>
      <c r="BI9" s="600"/>
      <c r="BJ9" s="600"/>
    </row>
    <row r="10" spans="1:62" s="1133" customFormat="1" ht="11.25" hidden="1" customHeight="1" x14ac:dyDescent="0.15">
      <c r="A10" s="947" t="s">
        <v>363</v>
      </c>
      <c r="B10" s="946"/>
      <c r="AE10" s="947" t="str" cm="1">
        <f t="array" ref="AE10">AE25</f>
        <v>Принято органом регулирования</v>
      </c>
      <c r="AF10" s="947" t="str" cm="1">
        <f t="array" ref="AF10">AF25</f>
        <v>Факт по данным организации</v>
      </c>
      <c r="AG10" s="947" t="str" cm="1">
        <f t="array" ref="AG10">AG25</f>
        <v>Факт, принятый органом регулирования</v>
      </c>
      <c r="AH10" s="947" t="str" cm="1">
        <f t="array" ref="AH10">AH25</f>
        <v>Принято органом регулирования</v>
      </c>
      <c r="AI10" s="947" t="str" cm="1">
        <f t="array" ref="AI10">AI25</f>
        <v>Предложение организации</v>
      </c>
      <c r="AJ10" s="947" t="str" cm="1">
        <f t="array" ref="AJ10">AJ25</f>
        <v>Предложение организации</v>
      </c>
      <c r="AK10" s="947" t="str" cm="1">
        <f t="array" ref="AK10">AK25</f>
        <v>Предложение организации</v>
      </c>
      <c r="AL10" s="947" t="str" cm="1">
        <f t="array" ref="AL10">AL25</f>
        <v>Предложение организации</v>
      </c>
      <c r="AM10" s="947" t="str" cm="1">
        <f t="array" ref="AM10">AM25</f>
        <v>Предложение организации</v>
      </c>
      <c r="AN10" s="947" t="str" cm="1">
        <f t="array" ref="AN10">AN25</f>
        <v>Предложение организации</v>
      </c>
      <c r="AO10" s="947" t="str" cm="1">
        <f t="array" ref="AO10">AO25</f>
        <v>Предложение организации</v>
      </c>
      <c r="AP10" s="947" t="str" cm="1">
        <f t="array" ref="AP10">AP25</f>
        <v>Предложение организации</v>
      </c>
      <c r="AQ10" s="947" t="str" cm="1">
        <f t="array" ref="AQ10">AQ25</f>
        <v>Предложение организации</v>
      </c>
      <c r="AR10" s="947" t="str" cm="1">
        <f t="array" ref="AR10">AR25</f>
        <v>Предложение организации</v>
      </c>
      <c r="AS10" s="947" t="str" cm="1">
        <f t="array" ref="AS10">AS25</f>
        <v>Принято органом регулирования</v>
      </c>
      <c r="AT10" s="947" t="str" cm="1">
        <f t="array" ref="AT10">AT25</f>
        <v>Принято органом регулирования</v>
      </c>
      <c r="AU10" s="947" t="str" cm="1">
        <f t="array" ref="AU10">AU25</f>
        <v>Принято органом регулирования</v>
      </c>
      <c r="AV10" s="947" t="str" cm="1">
        <f t="array" ref="AV10">AV25</f>
        <v>Принято органом регулирования</v>
      </c>
      <c r="AW10" s="947" t="str" cm="1">
        <f t="array" ref="AW10">AW25</f>
        <v>Принято органом регулирования</v>
      </c>
      <c r="AX10" s="947" t="str" cm="1">
        <f t="array" ref="AX10">AX25</f>
        <v>Принято органом регулирования</v>
      </c>
      <c r="AY10" s="947" t="str" cm="1">
        <f t="array" ref="AY10">AY25</f>
        <v>Принято органом регулирования</v>
      </c>
      <c r="AZ10" s="947" t="str" cm="1">
        <f t="array" ref="AZ10">AZ25</f>
        <v>Принято органом регулирования</v>
      </c>
      <c r="BA10" s="947" t="str" cm="1">
        <f t="array" ref="BA10">BA25</f>
        <v>Принято органом регулирования</v>
      </c>
      <c r="BB10" s="947" t="str" cm="1">
        <f t="array" ref="BB10">BB25</f>
        <v>Принято органом регулирования</v>
      </c>
      <c r="BI10" s="600"/>
      <c r="BJ10" s="600"/>
    </row>
    <row r="11" spans="1:62" s="1133" customFormat="1" ht="11.25" hidden="1" customHeight="1" x14ac:dyDescent="0.15">
      <c r="A11" s="947" t="s">
        <v>364</v>
      </c>
      <c r="B11" s="946"/>
      <c r="BC11" s="947" t="str" cm="1">
        <f t="array" ref="BC11">BC24</f>
        <v>Ссылка на правовую норму (основание для принятия показателя в расчет тарифа)</v>
      </c>
      <c r="BI11" s="600"/>
      <c r="BJ11" s="600"/>
    </row>
    <row r="12" spans="1:62" s="1133" customFormat="1" ht="11.25" hidden="1" customHeight="1" x14ac:dyDescent="0.15">
      <c r="A12" s="947" t="s">
        <v>337</v>
      </c>
      <c r="B12" s="946"/>
      <c r="AC12" s="947" t="s">
        <v>324</v>
      </c>
      <c r="BI12" s="600"/>
      <c r="BJ12" s="600"/>
    </row>
    <row r="13" spans="1:62"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x14ac:dyDescent="0.15"/>
    <row r="18" spans="1:62" ht="11.25" hidden="1" customHeight="1" x14ac:dyDescent="0.15">
      <c r="A18" s="68" t="s">
        <v>365</v>
      </c>
      <c r="AC18" s="68" t="s">
        <v>366</v>
      </c>
    </row>
    <row r="19" spans="1:62" ht="11.25" hidden="1" customHeight="1" x14ac:dyDescent="0.15"/>
    <row r="20" spans="1:62" ht="11.25" hidden="1" customHeight="1" x14ac:dyDescent="0.15"/>
    <row r="21" spans="1:62" ht="14.65" customHeight="1" x14ac:dyDescent="0.15">
      <c r="E21" s="600">
        <v>15</v>
      </c>
      <c r="AA21" s="347"/>
      <c r="AC21" s="282" t="str" cm="1">
        <f t="array" ref="AC21">tpl_title</f>
        <v>Кемеровская область / 2026 / ООО "Чистая вода" (ИНН:4246023100, КПП:424601001) / ДПР: 2024-2032</v>
      </c>
    </row>
    <row r="22" spans="1:62" ht="19.5" customHeight="1" x14ac:dyDescent="0.15">
      <c r="E22" s="600">
        <v>20</v>
      </c>
      <c r="AB22" s="236" t="s">
        <v>67</v>
      </c>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2"/>
    </row>
    <row r="23" spans="1:62" ht="10.9" customHeight="1" x14ac:dyDescent="0.15">
      <c r="E23" s="600">
        <v>11.25</v>
      </c>
    </row>
    <row r="24" spans="1:62" s="1217" customFormat="1" ht="14.65" customHeight="1" x14ac:dyDescent="0.15">
      <c r="B24" s="350"/>
      <c r="E24" s="542">
        <v>15</v>
      </c>
      <c r="AB24" s="2035" t="s">
        <v>21</v>
      </c>
      <c r="AC24" s="2035" t="s">
        <v>366</v>
      </c>
      <c r="AD24" s="2035" t="s">
        <v>1009</v>
      </c>
      <c r="AE24" s="275" t="str">
        <f>god-2&amp;" год"</f>
        <v>2024 год</v>
      </c>
      <c r="AF24" s="1029" t="str">
        <f>god-2&amp;" год"</f>
        <v>2024 год</v>
      </c>
      <c r="AG24" s="275" t="str">
        <f>god-2&amp;" год"</f>
        <v>2024 год</v>
      </c>
      <c r="AH24" s="13" t="str">
        <f>god-1&amp;" год"</f>
        <v>2025 год</v>
      </c>
      <c r="AI24" s="1026" t="str">
        <f>god&amp;" год"</f>
        <v>2026 год</v>
      </c>
      <c r="AJ24" s="1026" t="str">
        <f>god+1&amp;" год"</f>
        <v>2027 год</v>
      </c>
      <c r="AK24" s="1026" t="str">
        <f>god+2&amp;" год"</f>
        <v>2028 год</v>
      </c>
      <c r="AL24" s="1026" t="str">
        <f>god+3&amp;" год"</f>
        <v>2029 год</v>
      </c>
      <c r="AM24" s="1026" t="str">
        <f>god+4&amp;" год"</f>
        <v>2030 год</v>
      </c>
      <c r="AN24" s="1026" t="str">
        <f>god+5&amp;" год"</f>
        <v>2031 год</v>
      </c>
      <c r="AO24" s="1026" t="str">
        <f>god+6&amp;" год"</f>
        <v>2032 год</v>
      </c>
      <c r="AP24" s="1026" t="str">
        <f>god+7&amp;" год"</f>
        <v>2033 год</v>
      </c>
      <c r="AQ24" s="1026" t="str">
        <f>god+8&amp;" год"</f>
        <v>2034 год</v>
      </c>
      <c r="AR24" s="1026"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2098" t="s">
        <v>558</v>
      </c>
      <c r="BF24" s="906"/>
      <c r="BG24" s="906"/>
      <c r="BH24" s="906"/>
      <c r="BI24" s="542"/>
      <c r="BJ24" s="542"/>
    </row>
    <row r="25" spans="1:62" s="1217" customFormat="1" ht="48.75" customHeight="1" x14ac:dyDescent="0.15">
      <c r="B25" s="350"/>
      <c r="E25" s="542">
        <v>50</v>
      </c>
      <c r="AB25" s="2035"/>
      <c r="AC25" s="2035"/>
      <c r="AD25" s="2035"/>
      <c r="AE25" s="11" t="s">
        <v>359</v>
      </c>
      <c r="AF25" s="1026" t="s">
        <v>484</v>
      </c>
      <c r="AG25" s="11" t="s">
        <v>485</v>
      </c>
      <c r="AH25" s="11" t="s">
        <v>359</v>
      </c>
      <c r="AI25" s="1030" t="s">
        <v>360</v>
      </c>
      <c r="AJ25" s="1030" t="s">
        <v>360</v>
      </c>
      <c r="AK25" s="1030" t="s">
        <v>360</v>
      </c>
      <c r="AL25" s="1030" t="s">
        <v>360</v>
      </c>
      <c r="AM25" s="1030" t="s">
        <v>360</v>
      </c>
      <c r="AN25" s="1030" t="s">
        <v>360</v>
      </c>
      <c r="AO25" s="1030" t="s">
        <v>360</v>
      </c>
      <c r="AP25" s="1030" t="s">
        <v>360</v>
      </c>
      <c r="AQ25" s="1030" t="s">
        <v>360</v>
      </c>
      <c r="AR25" s="1030" t="s">
        <v>360</v>
      </c>
      <c r="AS25" s="276" t="s">
        <v>359</v>
      </c>
      <c r="AT25" s="276" t="s">
        <v>359</v>
      </c>
      <c r="AU25" s="276" t="s">
        <v>359</v>
      </c>
      <c r="AV25" s="276" t="s">
        <v>359</v>
      </c>
      <c r="AW25" s="276" t="s">
        <v>359</v>
      </c>
      <c r="AX25" s="276" t="s">
        <v>359</v>
      </c>
      <c r="AY25" s="276" t="s">
        <v>359</v>
      </c>
      <c r="AZ25" s="276" t="s">
        <v>359</v>
      </c>
      <c r="BA25" s="276" t="s">
        <v>359</v>
      </c>
      <c r="BB25" s="276" t="s">
        <v>359</v>
      </c>
      <c r="BC25" s="2098"/>
      <c r="BF25" s="906"/>
      <c r="BG25" s="906"/>
      <c r="BH25" s="906"/>
      <c r="BI25" s="542"/>
      <c r="BJ25" s="542"/>
    </row>
    <row r="26" spans="1:62" s="1334" customFormat="1" ht="11.25" customHeight="1" x14ac:dyDescent="0.15">
      <c r="B26" s="352"/>
      <c r="E26" s="595" t="s">
        <v>370</v>
      </c>
      <c r="F26" s="4"/>
      <c r="AC26" s="19"/>
      <c r="AD26" s="19"/>
      <c r="AE26" s="19"/>
      <c r="AF26" s="19"/>
      <c r="AQ26" s="20"/>
      <c r="BF26" s="913"/>
      <c r="BG26" s="913"/>
      <c r="BH26" s="913"/>
      <c r="BI26" s="548"/>
      <c r="BJ26" s="548"/>
    </row>
    <row r="27" spans="1:62" s="1217" customFormat="1" ht="14.65" hidden="1" customHeight="1" x14ac:dyDescent="0.15">
      <c r="B27" s="350"/>
      <c r="E27" s="542">
        <v>15</v>
      </c>
      <c r="F27" s="17" cm="1">
        <f t="array" ref="F27">X27</f>
        <v>0</v>
      </c>
      <c r="T27" s="388" t="b">
        <f>X27&gt;0</f>
        <v>0</v>
      </c>
      <c r="V27" s="41" t="s">
        <v>271</v>
      </c>
      <c r="X27" s="2032">
        <v>0</v>
      </c>
      <c r="Z27" s="2012"/>
      <c r="AB27" s="141" t="str" cm="1">
        <f t="array" ref="AB27">INDEX('Общие сведения'!$AG$185:$AG$228,MATCH($X27,'Общие сведения'!$Z$185:$Z$228,0))</f>
        <v xml:space="preserve">Тариф 0 () - </v>
      </c>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F27" s="906"/>
      <c r="BG27" s="906"/>
      <c r="BH27" s="906"/>
      <c r="BI27" s="542"/>
      <c r="BJ27" s="542"/>
    </row>
    <row r="28" spans="1:62" s="1217" customFormat="1" ht="21.95" hidden="1" customHeight="1" x14ac:dyDescent="0.15">
      <c r="B28" s="350"/>
      <c r="E28" s="542">
        <v>22.5</v>
      </c>
      <c r="F28" s="3" cm="1">
        <f t="array" aca="1" ref="F28" ca="1">OFFSET(E28,-1,1)</f>
        <v>0</v>
      </c>
      <c r="G28" s="41" t="s">
        <v>1210</v>
      </c>
      <c r="K28" s="43" t="str">
        <f ca="1">F28&amp;"komm"</f>
        <v>0komm</v>
      </c>
      <c r="L28" s="832" cm="1">
        <f t="array" ref="L28">BC28</f>
        <v>0</v>
      </c>
      <c r="T28" s="388" t="b" cm="1">
        <f t="array" ref="T28">T27</f>
        <v>0</v>
      </c>
      <c r="X28" s="2032"/>
      <c r="Z28" s="2012"/>
      <c r="AB28" s="153">
        <v>0</v>
      </c>
      <c r="AC28" s="138" t="s">
        <v>1232</v>
      </c>
      <c r="AD28" s="130" t="s">
        <v>831</v>
      </c>
      <c r="AE28" s="146">
        <f t="shared" ref="AE28:BB28" si="1">SUM(AE29:AE38)</f>
        <v>0</v>
      </c>
      <c r="AF28" s="146">
        <f t="shared" si="1"/>
        <v>0</v>
      </c>
      <c r="AG28" s="146">
        <f t="shared" si="1"/>
        <v>0</v>
      </c>
      <c r="AH28" s="146">
        <f t="shared" si="1"/>
        <v>0</v>
      </c>
      <c r="AI28" s="146">
        <f t="shared" si="1"/>
        <v>0</v>
      </c>
      <c r="AJ28" s="146">
        <f t="shared" si="1"/>
        <v>0</v>
      </c>
      <c r="AK28" s="146">
        <f t="shared" si="1"/>
        <v>0</v>
      </c>
      <c r="AL28" s="146">
        <f t="shared" si="1"/>
        <v>0</v>
      </c>
      <c r="AM28" s="146">
        <f t="shared" si="1"/>
        <v>0</v>
      </c>
      <c r="AN28" s="146">
        <f t="shared" si="1"/>
        <v>0</v>
      </c>
      <c r="AO28" s="146">
        <f t="shared" si="1"/>
        <v>0</v>
      </c>
      <c r="AP28" s="146">
        <f t="shared" si="1"/>
        <v>0</v>
      </c>
      <c r="AQ28" s="146">
        <f t="shared" si="1"/>
        <v>0</v>
      </c>
      <c r="AR28" s="146">
        <f t="shared" si="1"/>
        <v>0</v>
      </c>
      <c r="AS28" s="146">
        <f t="shared" si="1"/>
        <v>0</v>
      </c>
      <c r="AT28" s="146">
        <f t="shared" si="1"/>
        <v>0</v>
      </c>
      <c r="AU28" s="146">
        <f t="shared" si="1"/>
        <v>0</v>
      </c>
      <c r="AV28" s="146">
        <f t="shared" si="1"/>
        <v>0</v>
      </c>
      <c r="AW28" s="146">
        <f t="shared" si="1"/>
        <v>0</v>
      </c>
      <c r="AX28" s="146">
        <f t="shared" si="1"/>
        <v>0</v>
      </c>
      <c r="AY28" s="146">
        <f t="shared" si="1"/>
        <v>0</v>
      </c>
      <c r="AZ28" s="146">
        <f t="shared" si="1"/>
        <v>0</v>
      </c>
      <c r="BA28" s="146">
        <f t="shared" si="1"/>
        <v>0</v>
      </c>
      <c r="BB28" s="146">
        <f t="shared" si="1"/>
        <v>0</v>
      </c>
      <c r="BC28" s="1365"/>
      <c r="BF28" s="906" t="s">
        <v>1233</v>
      </c>
      <c r="BG28" s="906"/>
      <c r="BH28" s="906"/>
      <c r="BI28" s="542"/>
      <c r="BJ28" s="542"/>
    </row>
    <row r="29" spans="1:62" s="1217" customFormat="1" ht="14.65" hidden="1" customHeight="1" x14ac:dyDescent="0.15">
      <c r="B29" s="350"/>
      <c r="E29" s="542">
        <v>15</v>
      </c>
      <c r="F29" s="3" cm="1">
        <f t="array" aca="1" ref="F29" ca="1">OFFSET(E29,-1,1)</f>
        <v>0</v>
      </c>
      <c r="G29" s="41" t="s">
        <v>331</v>
      </c>
      <c r="K29" s="43" t="str">
        <f ca="1">F29&amp;"1komm"</f>
        <v>01komm</v>
      </c>
      <c r="L29" s="832" cm="1">
        <f t="array" ref="L29">BC29</f>
        <v>0</v>
      </c>
      <c r="T29" s="388" t="b" cm="1">
        <f t="array" ref="T29">T28</f>
        <v>0</v>
      </c>
      <c r="X29" s="2032"/>
      <c r="Z29" s="2012"/>
      <c r="AB29" s="217" t="s">
        <v>282</v>
      </c>
      <c r="AC29" s="374" t="s">
        <v>1234</v>
      </c>
      <c r="AD29" s="218" t="s">
        <v>831</v>
      </c>
      <c r="AE29" s="1415"/>
      <c r="AF29" s="1414"/>
      <c r="AG29" s="1414"/>
      <c r="AH29" s="1414"/>
      <c r="AI29" s="148"/>
      <c r="AJ29" s="1414"/>
      <c r="AK29" s="1414"/>
      <c r="AL29" s="1414"/>
      <c r="AM29" s="1414"/>
      <c r="AN29" s="1414"/>
      <c r="AO29" s="1414"/>
      <c r="AP29" s="1414"/>
      <c r="AQ29" s="1414"/>
      <c r="AR29" s="1414"/>
      <c r="AS29" s="148"/>
      <c r="AT29" s="1414"/>
      <c r="AU29" s="1414"/>
      <c r="AV29" s="1414"/>
      <c r="AW29" s="1414"/>
      <c r="AX29" s="1414"/>
      <c r="AY29" s="1414"/>
      <c r="AZ29" s="1414"/>
      <c r="BA29" s="1414"/>
      <c r="BB29" s="1414"/>
      <c r="BC29" s="1365"/>
      <c r="BF29" s="906" t="s">
        <v>1235</v>
      </c>
      <c r="BG29" s="906"/>
      <c r="BH29" s="906"/>
      <c r="BI29" s="542"/>
      <c r="BJ29" s="542"/>
    </row>
    <row r="30" spans="1:62" s="1217" customFormat="1" ht="21.95" hidden="1" customHeight="1" x14ac:dyDescent="0.15">
      <c r="B30" s="757"/>
      <c r="C30" s="348"/>
      <c r="D30" s="348"/>
      <c r="E30" s="543">
        <v>22.5</v>
      </c>
      <c r="F30" s="3" cm="1">
        <f t="array" aca="1" ref="F30" ca="1">OFFSET(E30,-1,1)</f>
        <v>0</v>
      </c>
      <c r="G30" s="348" t="s">
        <v>332</v>
      </c>
      <c r="H30" s="348"/>
      <c r="I30" s="348"/>
      <c r="J30" s="348"/>
      <c r="K30" s="43" t="str">
        <f ca="1">F30&amp;"2komm"</f>
        <v>02komm</v>
      </c>
      <c r="L30" s="832" cm="1">
        <f t="array" ref="L30">BC30</f>
        <v>0</v>
      </c>
      <c r="M30" s="348"/>
      <c r="N30" s="348"/>
      <c r="O30" s="348"/>
      <c r="P30" s="348"/>
      <c r="Q30" s="348"/>
      <c r="R30" s="348"/>
      <c r="S30" s="348"/>
      <c r="T30" s="388" t="b" cm="1">
        <f t="array" ref="T30">T29</f>
        <v>0</v>
      </c>
      <c r="U30" s="348"/>
      <c r="V30" s="348"/>
      <c r="X30" s="2032"/>
      <c r="Z30" s="2012"/>
      <c r="AB30" s="217" t="s">
        <v>289</v>
      </c>
      <c r="AC30" s="374" t="s">
        <v>1236</v>
      </c>
      <c r="AD30" s="218" t="s">
        <v>831</v>
      </c>
      <c r="AE30" s="1415"/>
      <c r="AF30" s="1414"/>
      <c r="AG30" s="1414"/>
      <c r="AH30" s="1414"/>
      <c r="AI30" s="148"/>
      <c r="AJ30" s="1414"/>
      <c r="AK30" s="1414"/>
      <c r="AL30" s="1414"/>
      <c r="AM30" s="1414"/>
      <c r="AN30" s="1414"/>
      <c r="AO30" s="1414"/>
      <c r="AP30" s="1414"/>
      <c r="AQ30" s="1414"/>
      <c r="AR30" s="1414"/>
      <c r="AS30" s="148"/>
      <c r="AT30" s="1414"/>
      <c r="AU30" s="1414"/>
      <c r="AV30" s="1414"/>
      <c r="AW30" s="1414"/>
      <c r="AX30" s="1414"/>
      <c r="AY30" s="1414"/>
      <c r="AZ30" s="1414"/>
      <c r="BA30" s="1414"/>
      <c r="BB30" s="1414"/>
      <c r="BC30" s="1365"/>
      <c r="BF30" s="906" t="s">
        <v>1237</v>
      </c>
      <c r="BG30" s="906"/>
      <c r="BH30" s="906"/>
      <c r="BI30" s="542"/>
      <c r="BJ30" s="542"/>
    </row>
    <row r="31" spans="1:62" s="1217" customFormat="1" ht="21.95" hidden="1" customHeight="1" x14ac:dyDescent="0.15">
      <c r="B31" s="757"/>
      <c r="C31" s="348"/>
      <c r="D31" s="348"/>
      <c r="E31" s="543">
        <v>22.5</v>
      </c>
      <c r="F31" s="3" cm="1">
        <f t="array" aca="1" ref="F31" ca="1">OFFSET(E31,-1,1)</f>
        <v>0</v>
      </c>
      <c r="G31" s="348" t="s">
        <v>333</v>
      </c>
      <c r="H31" s="348" t="s">
        <v>1238</v>
      </c>
      <c r="I31" s="348"/>
      <c r="J31" s="348"/>
      <c r="K31" s="43" t="str">
        <f ca="1">F31&amp;"3komm"</f>
        <v>03komm</v>
      </c>
      <c r="L31" s="832" cm="1">
        <f t="array" ref="L31">BC31</f>
        <v>0</v>
      </c>
      <c r="M31" s="348"/>
      <c r="N31" s="348"/>
      <c r="O31" s="348"/>
      <c r="P31" s="348"/>
      <c r="Q31" s="348"/>
      <c r="R31" s="348"/>
      <c r="S31" s="348"/>
      <c r="T31" s="388" t="b" cm="1">
        <f t="array" ref="T31">T30</f>
        <v>0</v>
      </c>
      <c r="U31" s="348"/>
      <c r="V31" s="348"/>
      <c r="X31" s="2032"/>
      <c r="Z31" s="2012"/>
      <c r="AB31" s="217" t="s">
        <v>329</v>
      </c>
      <c r="AC31" s="374" t="s">
        <v>1239</v>
      </c>
      <c r="AD31" s="218" t="s">
        <v>831</v>
      </c>
      <c r="AE31" s="1415"/>
      <c r="AF31" s="1414"/>
      <c r="AG31" s="1414"/>
      <c r="AH31" s="1414"/>
      <c r="AI31" s="148"/>
      <c r="AJ31" s="1414"/>
      <c r="AK31" s="1414"/>
      <c r="AL31" s="1414"/>
      <c r="AM31" s="1414"/>
      <c r="AN31" s="1414"/>
      <c r="AO31" s="1414"/>
      <c r="AP31" s="1414"/>
      <c r="AQ31" s="1414"/>
      <c r="AR31" s="1414"/>
      <c r="AS31" s="148"/>
      <c r="AT31" s="1414"/>
      <c r="AU31" s="1414"/>
      <c r="AV31" s="1414"/>
      <c r="AW31" s="1414"/>
      <c r="AX31" s="1414"/>
      <c r="AY31" s="1414"/>
      <c r="AZ31" s="1414"/>
      <c r="BA31" s="1414"/>
      <c r="BB31" s="1414"/>
      <c r="BC31" s="1365"/>
      <c r="BF31" s="906" t="s">
        <v>1240</v>
      </c>
      <c r="BG31" s="906"/>
      <c r="BH31" s="906"/>
      <c r="BI31" s="542"/>
      <c r="BJ31" s="542"/>
    </row>
    <row r="32" spans="1:62" ht="14.65" hidden="1" customHeight="1" x14ac:dyDescent="0.15">
      <c r="B32" s="807"/>
      <c r="C32" s="804"/>
      <c r="D32" s="804"/>
      <c r="E32" s="805">
        <v>15</v>
      </c>
      <c r="F32" s="3" cm="1">
        <f t="array" aca="1" ref="F32" ca="1">OFFSET(E32,-1,1)</f>
        <v>0</v>
      </c>
      <c r="G32" s="804" t="s">
        <v>335</v>
      </c>
      <c r="H32" s="804"/>
      <c r="I32" s="804"/>
      <c r="J32" s="804"/>
      <c r="K32" s="43" t="str">
        <f ca="1">F32&amp;"4komm"</f>
        <v>04komm</v>
      </c>
      <c r="L32" s="832" cm="1">
        <f t="array" ref="L32">BC32</f>
        <v>0</v>
      </c>
      <c r="M32" s="804"/>
      <c r="N32" s="804"/>
      <c r="O32" s="804"/>
      <c r="P32" s="804"/>
      <c r="Q32" s="804"/>
      <c r="R32" s="804"/>
      <c r="S32" s="804"/>
      <c r="T32" s="388" t="b" cm="1">
        <f t="array" ref="T32">T31</f>
        <v>0</v>
      </c>
      <c r="U32" s="804"/>
      <c r="V32" s="804"/>
      <c r="X32" s="2032"/>
      <c r="Z32" s="2012"/>
      <c r="AB32" s="806">
        <v>4</v>
      </c>
      <c r="AC32" s="374" t="s">
        <v>1241</v>
      </c>
      <c r="AD32" s="218" t="s">
        <v>831</v>
      </c>
      <c r="AE32" s="1416"/>
      <c r="AF32" s="1416"/>
      <c r="AG32" s="1416"/>
      <c r="AH32" s="1416"/>
      <c r="AI32" s="149"/>
      <c r="AJ32" s="1416"/>
      <c r="AK32" s="1416"/>
      <c r="AL32" s="1416"/>
      <c r="AM32" s="1416"/>
      <c r="AN32" s="1416"/>
      <c r="AO32" s="1416"/>
      <c r="AP32" s="1416"/>
      <c r="AQ32" s="1416"/>
      <c r="AR32" s="1416"/>
      <c r="AS32" s="149"/>
      <c r="AT32" s="1416"/>
      <c r="AU32" s="1416"/>
      <c r="AV32" s="1416"/>
      <c r="AW32" s="1416"/>
      <c r="AX32" s="1416"/>
      <c r="AY32" s="1416"/>
      <c r="AZ32" s="1416"/>
      <c r="BA32" s="1416"/>
      <c r="BB32" s="1416"/>
      <c r="BC32" s="1365"/>
      <c r="BF32" s="947" t="s">
        <v>1242</v>
      </c>
    </row>
    <row r="33" spans="1:62" s="1217" customFormat="1" ht="14.65" hidden="1" customHeight="1" x14ac:dyDescent="0.15">
      <c r="B33" s="757"/>
      <c r="C33" s="348"/>
      <c r="D33" s="348"/>
      <c r="E33" s="543">
        <v>15</v>
      </c>
      <c r="F33" s="3" cm="1">
        <f t="array" aca="1" ref="F33" ca="1">OFFSET(E33,-1,1)</f>
        <v>0</v>
      </c>
      <c r="G33" s="348" t="s">
        <v>334</v>
      </c>
      <c r="H33" s="348"/>
      <c r="I33" s="348"/>
      <c r="J33" s="348"/>
      <c r="K33" s="43" t="str">
        <f ca="1">F33&amp;"5komm"</f>
        <v>05komm</v>
      </c>
      <c r="L33" s="832" cm="1">
        <f t="array" ref="L33">BC33</f>
        <v>0</v>
      </c>
      <c r="M33" s="348"/>
      <c r="N33" s="348"/>
      <c r="O33" s="348"/>
      <c r="P33" s="348"/>
      <c r="Q33" s="348"/>
      <c r="R33" s="348"/>
      <c r="S33" s="348"/>
      <c r="T33" s="388" t="b" cm="1">
        <f t="array" ref="T33">T32</f>
        <v>0</v>
      </c>
      <c r="U33" s="348"/>
      <c r="V33" s="348"/>
      <c r="X33" s="2032"/>
      <c r="Z33" s="2012"/>
      <c r="AB33" s="217" t="s">
        <v>444</v>
      </c>
      <c r="AC33" s="374" t="s">
        <v>1243</v>
      </c>
      <c r="AD33" s="218" t="s">
        <v>831</v>
      </c>
      <c r="AE33" s="1415"/>
      <c r="AF33" s="1415"/>
      <c r="AG33" s="1415"/>
      <c r="AH33" s="1415"/>
      <c r="AI33" s="147"/>
      <c r="AJ33" s="1415"/>
      <c r="AK33" s="1415"/>
      <c r="AL33" s="1415"/>
      <c r="AM33" s="1415"/>
      <c r="AN33" s="1415"/>
      <c r="AO33" s="1415"/>
      <c r="AP33" s="1415"/>
      <c r="AQ33" s="1415"/>
      <c r="AR33" s="1415"/>
      <c r="AS33" s="147"/>
      <c r="AT33" s="1415"/>
      <c r="AU33" s="1415"/>
      <c r="AV33" s="1415"/>
      <c r="AW33" s="1415"/>
      <c r="AX33" s="1415"/>
      <c r="AY33" s="1415"/>
      <c r="AZ33" s="1415"/>
      <c r="BA33" s="1415"/>
      <c r="BB33" s="1415"/>
      <c r="BC33" s="1365"/>
      <c r="BF33" s="906" t="s">
        <v>1244</v>
      </c>
      <c r="BG33" s="906"/>
      <c r="BH33" s="906"/>
      <c r="BI33" s="542"/>
      <c r="BJ33" s="542"/>
    </row>
    <row r="34" spans="1:62" s="1217" customFormat="1" ht="14.65" hidden="1" customHeight="1" x14ac:dyDescent="0.15">
      <c r="B34" s="757"/>
      <c r="C34" s="348"/>
      <c r="D34" s="348"/>
      <c r="E34" s="543">
        <v>15</v>
      </c>
      <c r="F34" s="3" cm="1">
        <f t="array" aca="1" ref="F34" ca="1">OFFSET(E34,-1,1)</f>
        <v>0</v>
      </c>
      <c r="G34" s="348" t="s">
        <v>544</v>
      </c>
      <c r="H34" s="348"/>
      <c r="I34" s="348"/>
      <c r="J34" s="348"/>
      <c r="K34" s="43" t="str">
        <f ca="1">F34&amp;"6komm"</f>
        <v>06komm</v>
      </c>
      <c r="L34" s="832" cm="1">
        <f t="array" ref="L34">BC34</f>
        <v>0</v>
      </c>
      <c r="M34" s="348"/>
      <c r="N34" s="348"/>
      <c r="O34" s="348"/>
      <c r="P34" s="348"/>
      <c r="Q34" s="348"/>
      <c r="R34" s="348"/>
      <c r="S34" s="348"/>
      <c r="T34" s="388" t="b" cm="1">
        <f t="array" ref="T34">T33</f>
        <v>0</v>
      </c>
      <c r="U34" s="348"/>
      <c r="V34" s="348"/>
      <c r="X34" s="2032"/>
      <c r="Z34" s="2012"/>
      <c r="AB34" s="217" t="s">
        <v>446</v>
      </c>
      <c r="AC34" s="374" t="s">
        <v>1245</v>
      </c>
      <c r="AD34" s="218" t="s">
        <v>831</v>
      </c>
      <c r="AE34" s="1415"/>
      <c r="AF34" s="1415"/>
      <c r="AG34" s="1415"/>
      <c r="AH34" s="1415"/>
      <c r="AI34" s="147"/>
      <c r="AJ34" s="1415"/>
      <c r="AK34" s="1415"/>
      <c r="AL34" s="1415"/>
      <c r="AM34" s="1415"/>
      <c r="AN34" s="1415"/>
      <c r="AO34" s="1415"/>
      <c r="AP34" s="1415"/>
      <c r="AQ34" s="1415"/>
      <c r="AR34" s="1415"/>
      <c r="AS34" s="147"/>
      <c r="AT34" s="1415"/>
      <c r="AU34" s="1415"/>
      <c r="AV34" s="1415"/>
      <c r="AW34" s="1415"/>
      <c r="AX34" s="1415"/>
      <c r="AY34" s="1415"/>
      <c r="AZ34" s="1415"/>
      <c r="BA34" s="1415"/>
      <c r="BB34" s="1415"/>
      <c r="BC34" s="1365"/>
      <c r="BF34" s="906" t="s">
        <v>1246</v>
      </c>
      <c r="BG34" s="906"/>
      <c r="BH34" s="906"/>
      <c r="BI34" s="542"/>
      <c r="BJ34" s="542"/>
    </row>
    <row r="35" spans="1:62" s="1217" customFormat="1" ht="14.65" hidden="1" customHeight="1" x14ac:dyDescent="0.15">
      <c r="B35" s="757"/>
      <c r="C35" s="348"/>
      <c r="D35" s="348"/>
      <c r="E35" s="543">
        <v>15</v>
      </c>
      <c r="F35" s="3" cm="1">
        <f t="array" aca="1" ref="F35" ca="1">OFFSET(E35,-1,1)</f>
        <v>0</v>
      </c>
      <c r="G35" s="348" t="s">
        <v>547</v>
      </c>
      <c r="H35" s="348" t="s">
        <v>1247</v>
      </c>
      <c r="I35" s="348"/>
      <c r="J35" s="348"/>
      <c r="K35" s="43" t="str">
        <f ca="1">F35&amp;"7komm"</f>
        <v>07komm</v>
      </c>
      <c r="L35" s="832" cm="1">
        <f t="array" ref="L35">BC35</f>
        <v>0</v>
      </c>
      <c r="M35" s="348"/>
      <c r="N35" s="348"/>
      <c r="O35" s="348"/>
      <c r="P35" s="348"/>
      <c r="Q35" s="348"/>
      <c r="R35" s="348"/>
      <c r="S35" s="348"/>
      <c r="T35" s="388" t="b" cm="1">
        <f t="array" ref="T35">T34</f>
        <v>0</v>
      </c>
      <c r="U35" s="348"/>
      <c r="V35" s="348"/>
      <c r="X35" s="2032"/>
      <c r="Z35" s="2012"/>
      <c r="AB35" s="217" t="s">
        <v>448</v>
      </c>
      <c r="AC35" s="374" t="s">
        <v>1248</v>
      </c>
      <c r="AD35" s="218" t="s">
        <v>831</v>
      </c>
      <c r="AE35" s="1415"/>
      <c r="AF35" s="1415"/>
      <c r="AG35" s="1415"/>
      <c r="AH35" s="1415"/>
      <c r="AI35" s="147"/>
      <c r="AJ35" s="1415"/>
      <c r="AK35" s="1415"/>
      <c r="AL35" s="1415"/>
      <c r="AM35" s="1415"/>
      <c r="AN35" s="1415"/>
      <c r="AO35" s="1415"/>
      <c r="AP35" s="1415"/>
      <c r="AQ35" s="1415"/>
      <c r="AR35" s="1415"/>
      <c r="AS35" s="147"/>
      <c r="AT35" s="1415"/>
      <c r="AU35" s="1415"/>
      <c r="AV35" s="1415"/>
      <c r="AW35" s="1415"/>
      <c r="AX35" s="1415"/>
      <c r="AY35" s="1415"/>
      <c r="AZ35" s="1415"/>
      <c r="BA35" s="1415"/>
      <c r="BB35" s="1415"/>
      <c r="BC35" s="1365"/>
      <c r="BF35" s="906" t="s">
        <v>1249</v>
      </c>
      <c r="BG35" s="906"/>
      <c r="BH35" s="906"/>
      <c r="BI35" s="542"/>
      <c r="BJ35" s="542"/>
    </row>
    <row r="36" spans="1:62" s="1217" customFormat="1" ht="21.95" hidden="1" customHeight="1" x14ac:dyDescent="0.15">
      <c r="B36" s="757"/>
      <c r="C36" s="348"/>
      <c r="D36" s="348"/>
      <c r="E36" s="543">
        <v>22.5</v>
      </c>
      <c r="F36" s="3" cm="1">
        <f t="array" aca="1" ref="F36" ca="1">OFFSET(E36,-1,1)</f>
        <v>0</v>
      </c>
      <c r="G36" s="348" t="s">
        <v>591</v>
      </c>
      <c r="H36" s="348"/>
      <c r="I36" s="348"/>
      <c r="J36" s="348"/>
      <c r="K36" s="43" t="str">
        <f ca="1">F36&amp;"8komm"</f>
        <v>08komm</v>
      </c>
      <c r="L36" s="832" cm="1">
        <f t="array" ref="L36">BC36</f>
        <v>0</v>
      </c>
      <c r="M36" s="348"/>
      <c r="N36" s="348"/>
      <c r="O36" s="348"/>
      <c r="P36" s="348"/>
      <c r="Q36" s="348"/>
      <c r="R36" s="348"/>
      <c r="S36" s="348"/>
      <c r="T36" s="388" t="b" cm="1">
        <f t="array" ref="T36">T35</f>
        <v>0</v>
      </c>
      <c r="U36" s="348"/>
      <c r="V36" s="348"/>
      <c r="X36" s="2032"/>
      <c r="Z36" s="2012"/>
      <c r="AB36" s="217" t="s">
        <v>450</v>
      </c>
      <c r="AC36" s="374" t="s">
        <v>1250</v>
      </c>
      <c r="AD36" s="218" t="s">
        <v>831</v>
      </c>
      <c r="AE36" s="1415"/>
      <c r="AF36" s="1415"/>
      <c r="AG36" s="1415"/>
      <c r="AH36" s="1415"/>
      <c r="AI36" s="147"/>
      <c r="AJ36" s="1415"/>
      <c r="AK36" s="1415"/>
      <c r="AL36" s="1415"/>
      <c r="AM36" s="1415"/>
      <c r="AN36" s="1415"/>
      <c r="AO36" s="1415"/>
      <c r="AP36" s="1415"/>
      <c r="AQ36" s="1415"/>
      <c r="AR36" s="1415"/>
      <c r="AS36" s="147"/>
      <c r="AT36" s="1415"/>
      <c r="AU36" s="1415"/>
      <c r="AV36" s="1415"/>
      <c r="AW36" s="1415"/>
      <c r="AX36" s="1415"/>
      <c r="AY36" s="1415"/>
      <c r="AZ36" s="1415"/>
      <c r="BA36" s="1415"/>
      <c r="BB36" s="1415"/>
      <c r="BC36" s="1365"/>
      <c r="BF36" s="906" t="s">
        <v>1251</v>
      </c>
      <c r="BG36" s="906"/>
      <c r="BH36" s="906"/>
      <c r="BI36" s="542"/>
      <c r="BJ36" s="542"/>
    </row>
    <row r="37" spans="1:62" s="930" customFormat="1" ht="21.95" hidden="1" customHeight="1" x14ac:dyDescent="0.15">
      <c r="B37" s="757"/>
      <c r="C37" s="348"/>
      <c r="D37" s="348"/>
      <c r="E37" s="543">
        <v>22.5</v>
      </c>
      <c r="F37" s="3" cm="1">
        <f t="array" aca="1" ref="F37" ca="1">OFFSET(E37,-1,1)</f>
        <v>0</v>
      </c>
      <c r="G37" s="348"/>
      <c r="H37" s="348"/>
      <c r="I37" s="348"/>
      <c r="J37" s="348"/>
      <c r="K37" s="43" t="str">
        <f ca="1">F37&amp;"9komm"</f>
        <v>09komm</v>
      </c>
      <c r="L37" s="832" cm="1">
        <f t="array" ref="L37">BC37</f>
        <v>0</v>
      </c>
      <c r="M37" s="348"/>
      <c r="N37" s="348"/>
      <c r="O37" s="348"/>
      <c r="P37" s="348"/>
      <c r="Q37" s="348"/>
      <c r="R37" s="348"/>
      <c r="S37" s="348"/>
      <c r="T37" s="388" t="b" cm="1">
        <f t="array" ref="T37">T36</f>
        <v>0</v>
      </c>
      <c r="U37" s="348"/>
      <c r="V37" s="348"/>
      <c r="X37" s="2032"/>
      <c r="Z37" s="2012"/>
      <c r="AB37" s="217" t="s">
        <v>469</v>
      </c>
      <c r="AC37" s="374" t="s">
        <v>1252</v>
      </c>
      <c r="AD37" s="218" t="s">
        <v>831</v>
      </c>
      <c r="AE37" s="1407"/>
      <c r="AF37" s="1407"/>
      <c r="AG37" s="1407"/>
      <c r="AH37" s="1407"/>
      <c r="AI37" s="216"/>
      <c r="AJ37" s="1407"/>
      <c r="AK37" s="1407"/>
      <c r="AL37" s="1407"/>
      <c r="AM37" s="1407"/>
      <c r="AN37" s="1407"/>
      <c r="AO37" s="1407"/>
      <c r="AP37" s="1407"/>
      <c r="AQ37" s="1407"/>
      <c r="AR37" s="1407"/>
      <c r="AS37" s="216"/>
      <c r="AT37" s="1407"/>
      <c r="AU37" s="1407"/>
      <c r="AV37" s="1407"/>
      <c r="AW37" s="1407"/>
      <c r="AX37" s="1407"/>
      <c r="AY37" s="1407"/>
      <c r="AZ37" s="1407"/>
      <c r="BA37" s="1407"/>
      <c r="BB37" s="1407"/>
      <c r="BC37" s="1417"/>
      <c r="BF37" s="914" t="s">
        <v>1253</v>
      </c>
      <c r="BG37" s="914"/>
      <c r="BH37" s="914"/>
      <c r="BI37" s="615"/>
      <c r="BJ37" s="615"/>
    </row>
    <row r="38" spans="1:62" ht="14.65" hidden="1" customHeight="1" x14ac:dyDescent="0.15">
      <c r="B38" s="807"/>
      <c r="C38" s="804"/>
      <c r="D38" s="804"/>
      <c r="E38" s="805">
        <v>15</v>
      </c>
      <c r="F38" s="3" cm="1">
        <f t="array" aca="1" ref="F38" ca="1">OFFSET(E38,-1,1)</f>
        <v>0</v>
      </c>
      <c r="G38" s="804" t="s">
        <v>606</v>
      </c>
      <c r="H38" s="835"/>
      <c r="I38" s="804"/>
      <c r="J38" s="804"/>
      <c r="K38" s="43" t="str">
        <f ca="1">F38&amp;"10komm"</f>
        <v>010komm</v>
      </c>
      <c r="L38" s="832" cm="1">
        <f t="array" ref="L38">BC38</f>
        <v>0</v>
      </c>
      <c r="M38" s="804"/>
      <c r="N38" s="804"/>
      <c r="O38" s="804"/>
      <c r="P38" s="804"/>
      <c r="Q38" s="804"/>
      <c r="R38" s="804"/>
      <c r="S38" s="804"/>
      <c r="T38" s="388" t="b" cm="1">
        <f t="array" ref="T38">T37</f>
        <v>0</v>
      </c>
      <c r="U38" s="804"/>
      <c r="V38" s="804"/>
      <c r="X38" s="2032"/>
      <c r="Z38" s="2012"/>
      <c r="AB38" s="806">
        <v>10</v>
      </c>
      <c r="AC38" s="374" t="s">
        <v>1254</v>
      </c>
      <c r="AD38" s="218" t="s">
        <v>831</v>
      </c>
      <c r="AE38" s="154">
        <f t="shared" ref="AE38:BB38" si="2">SUM(AE39:AE40)</f>
        <v>0</v>
      </c>
      <c r="AF38" s="154">
        <f t="shared" si="2"/>
        <v>0</v>
      </c>
      <c r="AG38" s="154">
        <f t="shared" si="2"/>
        <v>0</v>
      </c>
      <c r="AH38" s="154">
        <f t="shared" si="2"/>
        <v>0</v>
      </c>
      <c r="AI38" s="154">
        <f t="shared" si="2"/>
        <v>0</v>
      </c>
      <c r="AJ38" s="154">
        <f t="shared" si="2"/>
        <v>0</v>
      </c>
      <c r="AK38" s="154">
        <f t="shared" si="2"/>
        <v>0</v>
      </c>
      <c r="AL38" s="154">
        <f t="shared" si="2"/>
        <v>0</v>
      </c>
      <c r="AM38" s="154">
        <f t="shared" si="2"/>
        <v>0</v>
      </c>
      <c r="AN38" s="154">
        <f t="shared" si="2"/>
        <v>0</v>
      </c>
      <c r="AO38" s="154">
        <f t="shared" si="2"/>
        <v>0</v>
      </c>
      <c r="AP38" s="154">
        <f t="shared" si="2"/>
        <v>0</v>
      </c>
      <c r="AQ38" s="154">
        <f t="shared" si="2"/>
        <v>0</v>
      </c>
      <c r="AR38" s="154">
        <f t="shared" si="2"/>
        <v>0</v>
      </c>
      <c r="AS38" s="154">
        <f t="shared" si="2"/>
        <v>0</v>
      </c>
      <c r="AT38" s="154">
        <f t="shared" si="2"/>
        <v>0</v>
      </c>
      <c r="AU38" s="154">
        <f t="shared" si="2"/>
        <v>0</v>
      </c>
      <c r="AV38" s="154">
        <f t="shared" si="2"/>
        <v>0</v>
      </c>
      <c r="AW38" s="154">
        <f t="shared" si="2"/>
        <v>0</v>
      </c>
      <c r="AX38" s="154">
        <f t="shared" si="2"/>
        <v>0</v>
      </c>
      <c r="AY38" s="154">
        <f t="shared" si="2"/>
        <v>0</v>
      </c>
      <c r="AZ38" s="154">
        <f t="shared" si="2"/>
        <v>0</v>
      </c>
      <c r="BA38" s="154">
        <f t="shared" si="2"/>
        <v>0</v>
      </c>
      <c r="BB38" s="154">
        <f t="shared" si="2"/>
        <v>0</v>
      </c>
      <c r="BC38" s="1365"/>
      <c r="BF38" s="947" t="s">
        <v>1255</v>
      </c>
    </row>
    <row r="39" spans="1:62" ht="14.65" hidden="1" customHeight="1" x14ac:dyDescent="0.15">
      <c r="A39" s="41"/>
      <c r="B39" s="757"/>
      <c r="C39" s="348"/>
      <c r="D39" s="348"/>
      <c r="E39" s="543">
        <v>15</v>
      </c>
      <c r="F39" s="3" cm="1">
        <f t="array" aca="1" ref="F39" ca="1">OFFSET(E39,-1,1)</f>
        <v>0</v>
      </c>
      <c r="G39" s="348" t="s">
        <v>606</v>
      </c>
      <c r="H39" s="835"/>
      <c r="I39" s="989" cm="1">
        <f t="array" ref="I39">AC39</f>
        <v>0</v>
      </c>
      <c r="J39" s="348"/>
      <c r="K39" s="348"/>
      <c r="L39" s="348"/>
      <c r="M39" s="348"/>
      <c r="N39" s="348"/>
      <c r="O39" s="348"/>
      <c r="P39" s="348"/>
      <c r="Q39" s="348"/>
      <c r="R39" s="348"/>
      <c r="S39" s="348"/>
      <c r="T39" s="388" t="b">
        <f ca="1">AND(F39&gt;0,Y39&gt;0)</f>
        <v>0</v>
      </c>
      <c r="U39" s="348"/>
      <c r="V39" s="348"/>
      <c r="W39" s="677" t="s">
        <v>172</v>
      </c>
      <c r="X39" s="2032"/>
      <c r="Y39" s="41">
        <v>0</v>
      </c>
      <c r="Z39" s="2012"/>
      <c r="AA39" s="342" t="s">
        <v>173</v>
      </c>
      <c r="AB39" s="613" t="str">
        <f>"10."&amp;Y39</f>
        <v>10.0</v>
      </c>
      <c r="AC39" s="1418"/>
      <c r="AD39" s="218" t="s">
        <v>831</v>
      </c>
      <c r="AE39" s="1415"/>
      <c r="AF39" s="1415"/>
      <c r="AG39" s="1415"/>
      <c r="AH39" s="1415"/>
      <c r="AI39" s="147"/>
      <c r="AJ39" s="1415"/>
      <c r="AK39" s="1415"/>
      <c r="AL39" s="1415"/>
      <c r="AM39" s="1415"/>
      <c r="AN39" s="1415"/>
      <c r="AO39" s="1415"/>
      <c r="AP39" s="1415"/>
      <c r="AQ39" s="1415"/>
      <c r="AR39" s="1415"/>
      <c r="AS39" s="147"/>
      <c r="AT39" s="1415"/>
      <c r="AU39" s="1415"/>
      <c r="AV39" s="1415"/>
      <c r="AW39" s="1415"/>
      <c r="AX39" s="1415"/>
      <c r="AY39" s="1415"/>
      <c r="AZ39" s="1415"/>
      <c r="BA39" s="1415"/>
      <c r="BB39" s="1415"/>
      <c r="BC39" s="1365"/>
      <c r="BD39" s="41"/>
      <c r="BF39" s="947" t="s">
        <v>1255</v>
      </c>
      <c r="BG39" s="947" t="s">
        <v>1256</v>
      </c>
      <c r="BH39" s="959" cm="1">
        <f t="array" ref="BH39">AC39</f>
        <v>0</v>
      </c>
      <c r="BJ39" s="600" t="b">
        <v>1</v>
      </c>
    </row>
    <row r="40" spans="1:62" s="1217" customFormat="1" ht="14.65" hidden="1" customHeight="1" x14ac:dyDescent="0.15">
      <c r="B40" s="757"/>
      <c r="C40" s="348"/>
      <c r="D40" s="348"/>
      <c r="E40" s="543">
        <v>15</v>
      </c>
      <c r="F40" s="3" cm="1">
        <f t="array" aca="1" ref="F40" ca="1">OFFSET(E40,-1,1)</f>
        <v>0</v>
      </c>
      <c r="G40" s="348"/>
      <c r="I40" s="348" t="str">
        <f>"!=='не определено'"</f>
        <v>!=='не определено'</v>
      </c>
      <c r="J40" s="348"/>
      <c r="K40" s="348"/>
      <c r="L40" s="348"/>
      <c r="M40" s="348"/>
      <c r="N40" s="348"/>
      <c r="O40" s="348"/>
      <c r="P40" s="348"/>
      <c r="Q40" s="348"/>
      <c r="R40" s="348"/>
      <c r="S40" s="348"/>
      <c r="T40" s="388" t="b">
        <f ca="1">F40&gt;0</f>
        <v>0</v>
      </c>
      <c r="U40" s="348"/>
      <c r="V40" s="348"/>
      <c r="W40" s="677" t="s">
        <v>396</v>
      </c>
      <c r="X40" s="2032"/>
      <c r="Z40" s="2012"/>
      <c r="AB40" s="695"/>
      <c r="AC40" s="178" t="s">
        <v>176</v>
      </c>
      <c r="AD40" s="696"/>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2"/>
      <c r="BF40" s="906"/>
      <c r="BG40" s="906"/>
      <c r="BH40" s="906"/>
      <c r="BI40" s="542" t="s">
        <v>1256</v>
      </c>
      <c r="BJ40" s="542"/>
    </row>
    <row r="41" spans="1:62" s="461" customFormat="1" ht="14.25" customHeight="1" x14ac:dyDescent="0.15">
      <c r="A41" s="1217"/>
      <c r="B41" s="350"/>
      <c r="C41" s="1217"/>
      <c r="D41" s="1217"/>
      <c r="E41" s="542">
        <v>15</v>
      </c>
      <c r="F41" s="17" t="str" cm="1">
        <f t="array" ref="F41">X41</f>
        <v>1</v>
      </c>
      <c r="G41" s="1217"/>
      <c r="H41" s="1217"/>
      <c r="I41" s="1217"/>
      <c r="J41" s="1217"/>
      <c r="K41" s="1217"/>
      <c r="L41" s="1217"/>
      <c r="M41" s="1217"/>
      <c r="N41" s="1217"/>
      <c r="O41" s="1217"/>
      <c r="P41" s="1217"/>
      <c r="Q41" s="1217"/>
      <c r="R41" s="1217"/>
      <c r="S41" s="1217"/>
      <c r="T41" s="388" t="b">
        <f>X41&gt;0</f>
        <v>1</v>
      </c>
      <c r="U41" s="1217"/>
      <c r="V41" s="41" t="str" cm="1">
        <f t="array" ref="V41">'Сбытовые расходы ГО'!$AB$39</f>
        <v>Тариф 1 (Водоснабжение) - тариф на питьевую воду</v>
      </c>
      <c r="W41" s="1217"/>
      <c r="X41" s="2032" t="s">
        <v>282</v>
      </c>
      <c r="Y41" s="1217"/>
      <c r="Z41" s="2012"/>
      <c r="AA41" s="1217"/>
      <c r="AB41" s="141" t="str" cm="1">
        <f t="array" ref="AB41">'Сбытовые расходы ГО'!$AB$39</f>
        <v>Тариф 1 (Водоснабжение) - тариф на питьевую воду</v>
      </c>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1217"/>
      <c r="BE41" s="1217"/>
      <c r="BF41" s="906"/>
      <c r="BG41" s="906"/>
      <c r="BH41" s="906"/>
      <c r="BI41" s="542"/>
      <c r="BJ41" s="542"/>
    </row>
    <row r="42" spans="1:62" s="461" customFormat="1" ht="21.75" customHeight="1" x14ac:dyDescent="0.15">
      <c r="A42" s="1217"/>
      <c r="B42" s="350"/>
      <c r="C42" s="1217"/>
      <c r="D42" s="1217"/>
      <c r="E42" s="542">
        <v>22.5</v>
      </c>
      <c r="F42" s="3" t="str" cm="1">
        <f t="array" aca="1" ref="F42" ca="1">OFFSET(E42,-1,1)</f>
        <v>1</v>
      </c>
      <c r="G42" s="41" t="s">
        <v>1210</v>
      </c>
      <c r="H42" s="1217"/>
      <c r="I42" s="1217"/>
      <c r="J42" s="1217"/>
      <c r="K42" s="43" t="str">
        <f ca="1">F42&amp;"komm"</f>
        <v>1komm</v>
      </c>
      <c r="L42" s="832" cm="1">
        <f t="array" ref="L42">BC42</f>
        <v>0</v>
      </c>
      <c r="M42" s="1217"/>
      <c r="N42" s="1217"/>
      <c r="O42" s="1217"/>
      <c r="P42" s="1217"/>
      <c r="Q42" s="1217"/>
      <c r="R42" s="1217"/>
      <c r="S42" s="1217"/>
      <c r="T42" s="388" t="b" cm="1">
        <f t="array" ref="T42">T41</f>
        <v>1</v>
      </c>
      <c r="U42" s="1217"/>
      <c r="V42" s="1217"/>
      <c r="W42" s="1217"/>
      <c r="X42" s="2032"/>
      <c r="Y42" s="1217"/>
      <c r="Z42" s="2012"/>
      <c r="AA42" s="1217"/>
      <c r="AB42" s="153">
        <v>0</v>
      </c>
      <c r="AC42" s="138" t="s">
        <v>1232</v>
      </c>
      <c r="AD42" s="130" t="s">
        <v>831</v>
      </c>
      <c r="AE42" s="146">
        <f t="shared" ref="AE42:BB42" si="3">SUM(AE43:AE52)</f>
        <v>16335.20414751</v>
      </c>
      <c r="AF42" s="146">
        <f t="shared" si="3"/>
        <v>16073.75</v>
      </c>
      <c r="AG42" s="146">
        <f t="shared" si="3"/>
        <v>11219.74</v>
      </c>
      <c r="AH42" s="146">
        <f t="shared" si="3"/>
        <v>17591.304965691099</v>
      </c>
      <c r="AI42" s="146">
        <f t="shared" si="3"/>
        <v>26794.14</v>
      </c>
      <c r="AJ42" s="146">
        <f t="shared" si="3"/>
        <v>26239.0648895335</v>
      </c>
      <c r="AK42" s="146">
        <f t="shared" si="3"/>
        <v>26617.871203079798</v>
      </c>
      <c r="AL42" s="146">
        <f t="shared" si="3"/>
        <v>26854.787860617998</v>
      </c>
      <c r="AM42" s="146">
        <f t="shared" si="3"/>
        <v>27042.655986011599</v>
      </c>
      <c r="AN42" s="146">
        <f t="shared" si="3"/>
        <v>27217.416688327998</v>
      </c>
      <c r="AO42" s="146">
        <f t="shared" si="3"/>
        <v>27341.799873588097</v>
      </c>
      <c r="AP42" s="146">
        <f t="shared" si="3"/>
        <v>0</v>
      </c>
      <c r="AQ42" s="146">
        <f t="shared" si="3"/>
        <v>0</v>
      </c>
      <c r="AR42" s="146">
        <f t="shared" si="3"/>
        <v>0</v>
      </c>
      <c r="AS42" s="146">
        <f t="shared" si="3"/>
        <v>15397.36</v>
      </c>
      <c r="AT42" s="146">
        <f t="shared" si="3"/>
        <v>18324.885694336601</v>
      </c>
      <c r="AU42" s="146">
        <f t="shared" si="3"/>
        <v>18722.504181092401</v>
      </c>
      <c r="AV42" s="146">
        <f t="shared" si="3"/>
        <v>25536.668783352601</v>
      </c>
      <c r="AW42" s="146">
        <f t="shared" si="3"/>
        <v>25671.8105456556</v>
      </c>
      <c r="AX42" s="146">
        <f t="shared" si="3"/>
        <v>25791.740230357798</v>
      </c>
      <c r="AY42" s="146">
        <f t="shared" si="3"/>
        <v>25859.092757299099</v>
      </c>
      <c r="AZ42" s="146">
        <f t="shared" si="3"/>
        <v>0</v>
      </c>
      <c r="BA42" s="146">
        <f t="shared" si="3"/>
        <v>0</v>
      </c>
      <c r="BB42" s="146">
        <f t="shared" si="3"/>
        <v>0</v>
      </c>
      <c r="BC42" s="119"/>
      <c r="BD42" s="1217"/>
      <c r="BE42" s="1217"/>
      <c r="BF42" s="906" t="s">
        <v>1233</v>
      </c>
      <c r="BG42" s="906"/>
      <c r="BH42" s="906"/>
      <c r="BI42" s="542"/>
      <c r="BJ42" s="542"/>
    </row>
    <row r="43" spans="1:62" s="461" customFormat="1" ht="14.25" customHeight="1" x14ac:dyDescent="0.15">
      <c r="A43" s="1217"/>
      <c r="B43" s="350"/>
      <c r="C43" s="1217"/>
      <c r="D43" s="1217"/>
      <c r="E43" s="542">
        <v>15</v>
      </c>
      <c r="F43" s="3" t="str" cm="1">
        <f t="array" aca="1" ref="F43" ca="1">OFFSET(E43,-1,1)</f>
        <v>1</v>
      </c>
      <c r="G43" s="41" t="s">
        <v>331</v>
      </c>
      <c r="H43" s="1217"/>
      <c r="I43" s="1217"/>
      <c r="J43" s="1217"/>
      <c r="K43" s="43" t="str">
        <f ca="1">F43&amp;"1komm"</f>
        <v>11komm</v>
      </c>
      <c r="L43" s="832" cm="1">
        <f t="array" ref="L43">BC43</f>
        <v>0</v>
      </c>
      <c r="M43" s="1217"/>
      <c r="N43" s="1217"/>
      <c r="O43" s="1217"/>
      <c r="P43" s="1217"/>
      <c r="Q43" s="1217"/>
      <c r="R43" s="1217"/>
      <c r="S43" s="1217"/>
      <c r="T43" s="388" t="b" cm="1">
        <f t="array" ref="T43">T42</f>
        <v>1</v>
      </c>
      <c r="U43" s="1217"/>
      <c r="V43" s="1217"/>
      <c r="W43" s="1217"/>
      <c r="X43" s="2032"/>
      <c r="Y43" s="1217"/>
      <c r="Z43" s="2012"/>
      <c r="AA43" s="1217"/>
      <c r="AB43" s="217" t="s">
        <v>282</v>
      </c>
      <c r="AC43" s="374" t="s">
        <v>1234</v>
      </c>
      <c r="AD43" s="218" t="s">
        <v>831</v>
      </c>
      <c r="AE43" s="147"/>
      <c r="AF43" s="148"/>
      <c r="AG43" s="148"/>
      <c r="AH43" s="148"/>
      <c r="AI43" s="148"/>
      <c r="AJ43" s="1414"/>
      <c r="AK43" s="1414"/>
      <c r="AL43" s="1414"/>
      <c r="AM43" s="1414"/>
      <c r="AN43" s="1414"/>
      <c r="AO43" s="1414"/>
      <c r="AP43" s="148"/>
      <c r="AQ43" s="148"/>
      <c r="AR43" s="148"/>
      <c r="AS43" s="148"/>
      <c r="AT43" s="1414"/>
      <c r="AU43" s="1414"/>
      <c r="AV43" s="1414"/>
      <c r="AW43" s="1414"/>
      <c r="AX43" s="1414"/>
      <c r="AY43" s="1414"/>
      <c r="AZ43" s="148"/>
      <c r="BA43" s="148"/>
      <c r="BB43" s="148"/>
      <c r="BC43" s="119"/>
      <c r="BD43" s="1217"/>
      <c r="BE43" s="1217"/>
      <c r="BF43" s="906" t="s">
        <v>1235</v>
      </c>
      <c r="BG43" s="906"/>
      <c r="BH43" s="906"/>
      <c r="BI43" s="542"/>
      <c r="BJ43" s="542"/>
    </row>
    <row r="44" spans="1:62" s="461" customFormat="1" ht="21.75" customHeight="1" x14ac:dyDescent="0.15">
      <c r="A44" s="1217"/>
      <c r="B44" s="757"/>
      <c r="C44" s="348"/>
      <c r="D44" s="348"/>
      <c r="E44" s="543">
        <v>22.5</v>
      </c>
      <c r="F44" s="3" t="str" cm="1">
        <f t="array" aca="1" ref="F44" ca="1">OFFSET(E44,-1,1)</f>
        <v>1</v>
      </c>
      <c r="G44" s="348" t="s">
        <v>332</v>
      </c>
      <c r="H44" s="348"/>
      <c r="I44" s="348"/>
      <c r="J44" s="348"/>
      <c r="K44" s="43" t="str">
        <f ca="1">F44&amp;"2komm"</f>
        <v>12komm</v>
      </c>
      <c r="L44" s="832" cm="1">
        <f t="array" ref="L44">BC44</f>
        <v>0</v>
      </c>
      <c r="M44" s="348"/>
      <c r="N44" s="348"/>
      <c r="O44" s="348"/>
      <c r="P44" s="348"/>
      <c r="Q44" s="348"/>
      <c r="R44" s="348"/>
      <c r="S44" s="348"/>
      <c r="T44" s="388" t="b" cm="1">
        <f t="array" ref="T44">T43</f>
        <v>1</v>
      </c>
      <c r="U44" s="348"/>
      <c r="V44" s="348"/>
      <c r="W44" s="1217"/>
      <c r="X44" s="2032"/>
      <c r="Y44" s="1217"/>
      <c r="Z44" s="2012"/>
      <c r="AA44" s="1217"/>
      <c r="AB44" s="217" t="s">
        <v>289</v>
      </c>
      <c r="AC44" s="374" t="s">
        <v>1236</v>
      </c>
      <c r="AD44" s="218" t="s">
        <v>831</v>
      </c>
      <c r="AE44" s="147"/>
      <c r="AF44" s="148"/>
      <c r="AG44" s="148"/>
      <c r="AH44" s="148"/>
      <c r="AI44" s="148"/>
      <c r="AJ44" s="1414"/>
      <c r="AK44" s="1414"/>
      <c r="AL44" s="1414"/>
      <c r="AM44" s="1414"/>
      <c r="AN44" s="1414"/>
      <c r="AO44" s="1414"/>
      <c r="AP44" s="148"/>
      <c r="AQ44" s="148"/>
      <c r="AR44" s="148"/>
      <c r="AS44" s="148"/>
      <c r="AT44" s="1414"/>
      <c r="AU44" s="1414"/>
      <c r="AV44" s="1414"/>
      <c r="AW44" s="1414"/>
      <c r="AX44" s="1414"/>
      <c r="AY44" s="1414"/>
      <c r="AZ44" s="148"/>
      <c r="BA44" s="148"/>
      <c r="BB44" s="148"/>
      <c r="BC44" s="119"/>
      <c r="BD44" s="1217"/>
      <c r="BE44" s="1217"/>
      <c r="BF44" s="906" t="s">
        <v>1237</v>
      </c>
      <c r="BG44" s="906"/>
      <c r="BH44" s="906"/>
      <c r="BI44" s="542"/>
      <c r="BJ44" s="542"/>
    </row>
    <row r="45" spans="1:62" s="461" customFormat="1" ht="21.75" customHeight="1" x14ac:dyDescent="0.15">
      <c r="A45" s="1217"/>
      <c r="B45" s="757"/>
      <c r="C45" s="348"/>
      <c r="D45" s="348"/>
      <c r="E45" s="543">
        <v>22.5</v>
      </c>
      <c r="F45" s="3" t="str" cm="1">
        <f t="array" aca="1" ref="F45" ca="1">OFFSET(E45,-1,1)</f>
        <v>1</v>
      </c>
      <c r="G45" s="348" t="s">
        <v>333</v>
      </c>
      <c r="H45" s="348" t="s">
        <v>1238</v>
      </c>
      <c r="I45" s="348"/>
      <c r="J45" s="348"/>
      <c r="K45" s="43" t="str">
        <f ca="1">F45&amp;"3komm"</f>
        <v>13komm</v>
      </c>
      <c r="L45" s="832" cm="1">
        <f t="array" ref="L45">BC45</f>
        <v>0</v>
      </c>
      <c r="M45" s="348"/>
      <c r="N45" s="348"/>
      <c r="O45" s="348"/>
      <c r="P45" s="348"/>
      <c r="Q45" s="348"/>
      <c r="R45" s="348"/>
      <c r="S45" s="348"/>
      <c r="T45" s="388" t="b" cm="1">
        <f t="array" ref="T45">T44</f>
        <v>1</v>
      </c>
      <c r="U45" s="348"/>
      <c r="V45" s="348"/>
      <c r="W45" s="1217"/>
      <c r="X45" s="2032"/>
      <c r="Y45" s="1217"/>
      <c r="Z45" s="2012"/>
      <c r="AA45" s="1217"/>
      <c r="AB45" s="217" t="s">
        <v>329</v>
      </c>
      <c r="AC45" s="374" t="s">
        <v>1239</v>
      </c>
      <c r="AD45" s="218" t="s">
        <v>831</v>
      </c>
      <c r="AE45" s="147"/>
      <c r="AF45" s="148"/>
      <c r="AG45" s="148"/>
      <c r="AH45" s="148"/>
      <c r="AI45" s="148"/>
      <c r="AJ45" s="1414"/>
      <c r="AK45" s="1414"/>
      <c r="AL45" s="1414"/>
      <c r="AM45" s="1414"/>
      <c r="AN45" s="1414"/>
      <c r="AO45" s="1414"/>
      <c r="AP45" s="148"/>
      <c r="AQ45" s="148"/>
      <c r="AR45" s="148"/>
      <c r="AS45" s="148"/>
      <c r="AT45" s="1414"/>
      <c r="AU45" s="1414"/>
      <c r="AV45" s="1414"/>
      <c r="AW45" s="1414"/>
      <c r="AX45" s="1414"/>
      <c r="AY45" s="1414"/>
      <c r="AZ45" s="148"/>
      <c r="BA45" s="148"/>
      <c r="BB45" s="148"/>
      <c r="BC45" s="119"/>
      <c r="BD45" s="1217"/>
      <c r="BE45" s="1217"/>
      <c r="BF45" s="906" t="s">
        <v>1240</v>
      </c>
      <c r="BG45" s="906"/>
      <c r="BH45" s="906"/>
      <c r="BI45" s="542"/>
      <c r="BJ45" s="542"/>
    </row>
    <row r="46" spans="1:62" s="1334" customFormat="1" ht="14.25" customHeight="1" x14ac:dyDescent="0.15">
      <c r="A46" s="1217"/>
      <c r="B46" s="807"/>
      <c r="C46" s="804"/>
      <c r="D46" s="804"/>
      <c r="E46" s="805">
        <v>15</v>
      </c>
      <c r="F46" s="3" t="str" cm="1">
        <f t="array" aca="1" ref="F46" ca="1">OFFSET(E46,-1,1)</f>
        <v>1</v>
      </c>
      <c r="G46" s="804" t="s">
        <v>335</v>
      </c>
      <c r="H46" s="804"/>
      <c r="I46" s="804"/>
      <c r="J46" s="804"/>
      <c r="K46" s="43" t="str">
        <f ca="1">F46&amp;"4komm"</f>
        <v>14komm</v>
      </c>
      <c r="L46" s="832" t="str" cm="1">
        <f t="array" ref="L46">BC46</f>
        <v>учтено по предложению организации, не превышает экономически обоснованный размер по расчету регулятора</v>
      </c>
      <c r="M46" s="804"/>
      <c r="N46" s="804"/>
      <c r="O46" s="804"/>
      <c r="P46" s="804"/>
      <c r="Q46" s="804"/>
      <c r="R46" s="804"/>
      <c r="S46" s="804"/>
      <c r="T46" s="388" t="b" cm="1">
        <f t="array" ref="T46">T45</f>
        <v>1</v>
      </c>
      <c r="U46" s="804"/>
      <c r="V46" s="804"/>
      <c r="W46" s="1217"/>
      <c r="X46" s="2032"/>
      <c r="Y46" s="1217"/>
      <c r="Z46" s="2012"/>
      <c r="AA46" s="1217"/>
      <c r="AB46" s="806">
        <v>4</v>
      </c>
      <c r="AC46" s="374" t="s">
        <v>1241</v>
      </c>
      <c r="AD46" s="218" t="s">
        <v>831</v>
      </c>
      <c r="AE46" s="149"/>
      <c r="AF46" s="149">
        <v>53.36</v>
      </c>
      <c r="AG46" s="149">
        <v>53.36</v>
      </c>
      <c r="AH46" s="149"/>
      <c r="AI46" s="149">
        <v>58.22</v>
      </c>
      <c r="AJ46" s="1416"/>
      <c r="AK46" s="1416"/>
      <c r="AL46" s="1416"/>
      <c r="AM46" s="1416"/>
      <c r="AN46" s="1416"/>
      <c r="AO46" s="1416"/>
      <c r="AP46" s="149"/>
      <c r="AQ46" s="149"/>
      <c r="AR46" s="149"/>
      <c r="AS46" s="149">
        <v>58.22</v>
      </c>
      <c r="AT46" s="1416"/>
      <c r="AU46" s="1416"/>
      <c r="AV46" s="1416"/>
      <c r="AW46" s="1416"/>
      <c r="AX46" s="1416"/>
      <c r="AY46" s="1416"/>
      <c r="AZ46" s="149"/>
      <c r="BA46" s="149"/>
      <c r="BB46" s="149"/>
      <c r="BC46" s="119" t="s">
        <v>1257</v>
      </c>
      <c r="BD46" s="1217"/>
      <c r="BE46" s="1217"/>
      <c r="BF46" s="947" t="s">
        <v>1242</v>
      </c>
      <c r="BG46" s="1133"/>
      <c r="BH46" s="1133"/>
      <c r="BI46" s="1080"/>
      <c r="BJ46" s="1080"/>
    </row>
    <row r="47" spans="1:62" s="461" customFormat="1" ht="33.75" customHeight="1" x14ac:dyDescent="0.15">
      <c r="A47" s="1217"/>
      <c r="B47" s="757"/>
      <c r="C47" s="348"/>
      <c r="D47" s="348"/>
      <c r="E47" s="543">
        <v>15</v>
      </c>
      <c r="F47" s="3" t="str" cm="1">
        <f t="array" aca="1" ref="F47" ca="1">OFFSET(E47,-1,1)</f>
        <v>1</v>
      </c>
      <c r="G47" s="348" t="s">
        <v>334</v>
      </c>
      <c r="H47" s="348"/>
      <c r="I47" s="348"/>
      <c r="J47" s="348"/>
      <c r="K47" s="43" t="str">
        <f ca="1">F47&amp;"5komm"</f>
        <v>15komm</v>
      </c>
      <c r="L47" s="832" t="str" cm="1">
        <f t="array" ref="L47">BC47</f>
        <v>учтено по расчету регулятора, в соответствии с договором водопользования и постановлением правительства от 26.12.2014 № 1509</v>
      </c>
      <c r="M47" s="348"/>
      <c r="N47" s="348"/>
      <c r="O47" s="348"/>
      <c r="P47" s="348"/>
      <c r="Q47" s="348"/>
      <c r="R47" s="348"/>
      <c r="S47" s="348"/>
      <c r="T47" s="388" t="b" cm="1">
        <f t="array" ref="T47">T46</f>
        <v>1</v>
      </c>
      <c r="U47" s="348"/>
      <c r="V47" s="348"/>
      <c r="W47" s="1217"/>
      <c r="X47" s="2032"/>
      <c r="Y47" s="1217"/>
      <c r="Z47" s="2012"/>
      <c r="AA47" s="1217"/>
      <c r="AB47" s="217" t="s">
        <v>444</v>
      </c>
      <c r="AC47" s="374" t="s">
        <v>1243</v>
      </c>
      <c r="AD47" s="218" t="s">
        <v>831</v>
      </c>
      <c r="AE47" s="147">
        <v>9366.6141475099994</v>
      </c>
      <c r="AF47" s="147">
        <v>11033.5</v>
      </c>
      <c r="AG47" s="147">
        <v>6179.49</v>
      </c>
      <c r="AH47" s="147">
        <v>10752.0185369543</v>
      </c>
      <c r="AI47" s="147">
        <v>12037.11</v>
      </c>
      <c r="AJ47" s="1415">
        <v>12848.06</v>
      </c>
      <c r="AK47" s="1415">
        <v>13361.98</v>
      </c>
      <c r="AL47" s="1415">
        <v>13896.46</v>
      </c>
      <c r="AM47" s="1415">
        <v>14452.32</v>
      </c>
      <c r="AN47" s="1415">
        <v>15030.41</v>
      </c>
      <c r="AO47" s="1415">
        <v>15631.63</v>
      </c>
      <c r="AP47" s="147"/>
      <c r="AQ47" s="147"/>
      <c r="AR47" s="147"/>
      <c r="AS47" s="147">
        <v>8579.01</v>
      </c>
      <c r="AT47" s="1415">
        <v>11629.383249569801</v>
      </c>
      <c r="AU47" s="1415">
        <v>12094.5585795525</v>
      </c>
      <c r="AV47" s="1415">
        <v>12578.3409227346</v>
      </c>
      <c r="AW47" s="1415">
        <v>13081.474559644001</v>
      </c>
      <c r="AX47" s="1415">
        <v>13604.7335420298</v>
      </c>
      <c r="AY47" s="1415">
        <v>14148.922883711</v>
      </c>
      <c r="AZ47" s="147"/>
      <c r="BA47" s="147"/>
      <c r="BB47" s="147"/>
      <c r="BC47" s="119" t="s">
        <v>1258</v>
      </c>
      <c r="BD47" s="1217"/>
      <c r="BE47" s="1217"/>
      <c r="BF47" s="906" t="s">
        <v>1244</v>
      </c>
      <c r="BG47" s="906"/>
      <c r="BH47" s="906"/>
      <c r="BI47" s="542"/>
      <c r="BJ47" s="542"/>
    </row>
    <row r="48" spans="1:62" s="461" customFormat="1" ht="67.150000000000006" customHeight="1" x14ac:dyDescent="0.15">
      <c r="A48" s="1217"/>
      <c r="B48" s="757"/>
      <c r="C48" s="348"/>
      <c r="D48" s="348"/>
      <c r="E48" s="543">
        <v>15</v>
      </c>
      <c r="F48" s="3" t="str" cm="1">
        <f t="array" aca="1" ref="F48" ca="1">OFFSET(E48,-1,1)</f>
        <v>1</v>
      </c>
      <c r="G48" s="348" t="s">
        <v>544</v>
      </c>
      <c r="H48" s="348"/>
      <c r="I48" s="348"/>
      <c r="J48" s="348"/>
      <c r="K48" s="43" t="str">
        <f ca="1">F48&amp;"6komm"</f>
        <v>16komm</v>
      </c>
      <c r="L48" s="832" t="str" cm="1">
        <f t="array" ref="L48">BC48</f>
        <v xml:space="preserve">Учтено по расчету регулятора  в соответствии с действующим законодательством, налог на имущество в соответствии с утвержденной ИП - 93,33 тыс. руб.. налог на иное имущество, переданное по концессионному соглашению № 25 - 6666,80 тыс. руб. </v>
      </c>
      <c r="M48" s="348"/>
      <c r="N48" s="348"/>
      <c r="O48" s="348"/>
      <c r="P48" s="348"/>
      <c r="Q48" s="348"/>
      <c r="R48" s="348"/>
      <c r="S48" s="348"/>
      <c r="T48" s="388" t="b" cm="1">
        <f t="array" ref="T48">T47</f>
        <v>1</v>
      </c>
      <c r="U48" s="348"/>
      <c r="V48" s="348"/>
      <c r="W48" s="1217"/>
      <c r="X48" s="2032"/>
      <c r="Y48" s="1217"/>
      <c r="Z48" s="2012"/>
      <c r="AA48" s="1217"/>
      <c r="AB48" s="217" t="s">
        <v>446</v>
      </c>
      <c r="AC48" s="374" t="s">
        <v>1245</v>
      </c>
      <c r="AD48" s="218" t="s">
        <v>831</v>
      </c>
      <c r="AE48" s="147">
        <v>6968.59</v>
      </c>
      <c r="AF48" s="147">
        <v>4986.8900000000003</v>
      </c>
      <c r="AG48" s="147">
        <v>4986.8900000000003</v>
      </c>
      <c r="AH48" s="147">
        <v>6839.2864287368002</v>
      </c>
      <c r="AI48" s="147">
        <v>14698.81</v>
      </c>
      <c r="AJ48" s="1415">
        <v>13391.0048895335</v>
      </c>
      <c r="AK48" s="1415">
        <v>13255.8912030798</v>
      </c>
      <c r="AL48" s="1415">
        <v>12958.327860617999</v>
      </c>
      <c r="AM48" s="1415">
        <v>12590.3359860116</v>
      </c>
      <c r="AN48" s="1415">
        <v>12187.006688328</v>
      </c>
      <c r="AO48" s="1415">
        <v>11710.1698735881</v>
      </c>
      <c r="AP48" s="147"/>
      <c r="AQ48" s="147"/>
      <c r="AR48" s="147"/>
      <c r="AS48" s="147">
        <f>6666.8+93.33</f>
        <v>6760.13</v>
      </c>
      <c r="AT48" s="1415">
        <v>6695.5024447668002</v>
      </c>
      <c r="AU48" s="1415">
        <v>6627.9456015399001</v>
      </c>
      <c r="AV48" s="1415">
        <v>12958.327860617999</v>
      </c>
      <c r="AW48" s="1415">
        <v>12590.3359860116</v>
      </c>
      <c r="AX48" s="1415">
        <v>12187.006688328</v>
      </c>
      <c r="AY48" s="1415">
        <v>11710.1698735881</v>
      </c>
      <c r="AZ48" s="147"/>
      <c r="BA48" s="147"/>
      <c r="BB48" s="147"/>
      <c r="BC48" s="119" t="s">
        <v>1259</v>
      </c>
      <c r="BD48" s="1217"/>
      <c r="BE48" s="1217"/>
      <c r="BF48" s="906" t="s">
        <v>1246</v>
      </c>
      <c r="BG48" s="906"/>
      <c r="BH48" s="906"/>
      <c r="BI48" s="542"/>
      <c r="BJ48" s="542"/>
    </row>
    <row r="49" spans="1:62" s="461" customFormat="1" ht="14.25" customHeight="1" x14ac:dyDescent="0.15">
      <c r="A49" s="1217"/>
      <c r="B49" s="757"/>
      <c r="C49" s="348"/>
      <c r="D49" s="348"/>
      <c r="E49" s="543">
        <v>15</v>
      </c>
      <c r="F49" s="3" t="str" cm="1">
        <f t="array" aca="1" ref="F49" ca="1">OFFSET(E49,-1,1)</f>
        <v>1</v>
      </c>
      <c r="G49" s="348" t="s">
        <v>547</v>
      </c>
      <c r="H49" s="348" t="s">
        <v>1247</v>
      </c>
      <c r="I49" s="348"/>
      <c r="J49" s="348"/>
      <c r="K49" s="43" t="str">
        <f ca="1">F49&amp;"7komm"</f>
        <v>17komm</v>
      </c>
      <c r="L49" s="832" cm="1">
        <f t="array" ref="L49">BC49</f>
        <v>0</v>
      </c>
      <c r="M49" s="348"/>
      <c r="N49" s="348"/>
      <c r="O49" s="348"/>
      <c r="P49" s="348"/>
      <c r="Q49" s="348"/>
      <c r="R49" s="348"/>
      <c r="S49" s="348"/>
      <c r="T49" s="388" t="b" cm="1">
        <f t="array" ref="T49">T48</f>
        <v>1</v>
      </c>
      <c r="U49" s="348"/>
      <c r="V49" s="348"/>
      <c r="W49" s="1217"/>
      <c r="X49" s="2032"/>
      <c r="Y49" s="1217"/>
      <c r="Z49" s="2012"/>
      <c r="AA49" s="1217"/>
      <c r="AB49" s="217" t="s">
        <v>448</v>
      </c>
      <c r="AC49" s="374" t="s">
        <v>1248</v>
      </c>
      <c r="AD49" s="218" t="s">
        <v>831</v>
      </c>
      <c r="AE49" s="147"/>
      <c r="AF49" s="147"/>
      <c r="AG49" s="147"/>
      <c r="AH49" s="147"/>
      <c r="AI49" s="147"/>
      <c r="AJ49" s="1415"/>
      <c r="AK49" s="1415"/>
      <c r="AL49" s="1415"/>
      <c r="AM49" s="1415"/>
      <c r="AN49" s="1415"/>
      <c r="AO49" s="1415"/>
      <c r="AP49" s="147"/>
      <c r="AQ49" s="147"/>
      <c r="AR49" s="147"/>
      <c r="AS49" s="147"/>
      <c r="AT49" s="1415"/>
      <c r="AU49" s="1415"/>
      <c r="AV49" s="1415"/>
      <c r="AW49" s="1415"/>
      <c r="AX49" s="1415"/>
      <c r="AY49" s="1415"/>
      <c r="AZ49" s="147"/>
      <c r="BA49" s="147"/>
      <c r="BB49" s="147"/>
      <c r="BC49" s="119"/>
      <c r="BD49" s="1217"/>
      <c r="BE49" s="1217"/>
      <c r="BF49" s="906" t="s">
        <v>1249</v>
      </c>
      <c r="BG49" s="906"/>
      <c r="BH49" s="906"/>
      <c r="BI49" s="542"/>
      <c r="BJ49" s="542"/>
    </row>
    <row r="50" spans="1:62" s="461" customFormat="1" ht="21.75" customHeight="1" x14ac:dyDescent="0.15">
      <c r="A50" s="1217"/>
      <c r="B50" s="757"/>
      <c r="C50" s="348"/>
      <c r="D50" s="348"/>
      <c r="E50" s="543">
        <v>22.5</v>
      </c>
      <c r="F50" s="3" t="str" cm="1">
        <f t="array" aca="1" ref="F50" ca="1">OFFSET(E50,-1,1)</f>
        <v>1</v>
      </c>
      <c r="G50" s="348" t="s">
        <v>591</v>
      </c>
      <c r="H50" s="348"/>
      <c r="I50" s="348"/>
      <c r="J50" s="348"/>
      <c r="K50" s="43" t="str">
        <f ca="1">F50&amp;"8komm"</f>
        <v>18komm</v>
      </c>
      <c r="L50" s="832" cm="1">
        <f t="array" ref="L50">BC50</f>
        <v>0</v>
      </c>
      <c r="M50" s="348"/>
      <c r="N50" s="348"/>
      <c r="O50" s="348"/>
      <c r="P50" s="348"/>
      <c r="Q50" s="348"/>
      <c r="R50" s="348"/>
      <c r="S50" s="348"/>
      <c r="T50" s="388" t="b" cm="1">
        <f t="array" ref="T50">T49</f>
        <v>1</v>
      </c>
      <c r="U50" s="348"/>
      <c r="V50" s="348"/>
      <c r="W50" s="1217"/>
      <c r="X50" s="2032"/>
      <c r="Y50" s="1217"/>
      <c r="Z50" s="2012"/>
      <c r="AA50" s="1217"/>
      <c r="AB50" s="217" t="s">
        <v>450</v>
      </c>
      <c r="AC50" s="374" t="s">
        <v>1250</v>
      </c>
      <c r="AD50" s="218" t="s">
        <v>831</v>
      </c>
      <c r="AE50" s="147"/>
      <c r="AF50" s="147"/>
      <c r="AG50" s="147"/>
      <c r="AH50" s="147"/>
      <c r="AI50" s="147"/>
      <c r="AJ50" s="1415"/>
      <c r="AK50" s="1415"/>
      <c r="AL50" s="1415"/>
      <c r="AM50" s="1415"/>
      <c r="AN50" s="1415"/>
      <c r="AO50" s="1415"/>
      <c r="AP50" s="147"/>
      <c r="AQ50" s="147"/>
      <c r="AR50" s="147"/>
      <c r="AS50" s="147"/>
      <c r="AT50" s="1415"/>
      <c r="AU50" s="1415"/>
      <c r="AV50" s="1415"/>
      <c r="AW50" s="1415"/>
      <c r="AX50" s="1415"/>
      <c r="AY50" s="1415"/>
      <c r="AZ50" s="147"/>
      <c r="BA50" s="147"/>
      <c r="BB50" s="147"/>
      <c r="BC50" s="119"/>
      <c r="BD50" s="1217"/>
      <c r="BE50" s="1217"/>
      <c r="BF50" s="906" t="s">
        <v>1251</v>
      </c>
      <c r="BG50" s="906"/>
      <c r="BH50" s="906"/>
      <c r="BI50" s="542"/>
      <c r="BJ50" s="542"/>
    </row>
    <row r="51" spans="1:62" s="930" customFormat="1" ht="21.75" customHeight="1" x14ac:dyDescent="0.15">
      <c r="B51" s="757"/>
      <c r="C51" s="348"/>
      <c r="D51" s="348"/>
      <c r="E51" s="543">
        <v>22.5</v>
      </c>
      <c r="F51" s="3" t="str" cm="1">
        <f t="array" aca="1" ref="F51" ca="1">OFFSET(E51,-1,1)</f>
        <v>1</v>
      </c>
      <c r="G51" s="348"/>
      <c r="H51" s="348"/>
      <c r="I51" s="348"/>
      <c r="J51" s="348"/>
      <c r="K51" s="43" t="str">
        <f ca="1">F51&amp;"9komm"</f>
        <v>19komm</v>
      </c>
      <c r="L51" s="832" cm="1">
        <f t="array" ref="L51">BC51</f>
        <v>0</v>
      </c>
      <c r="M51" s="348"/>
      <c r="N51" s="348"/>
      <c r="O51" s="348"/>
      <c r="P51" s="348"/>
      <c r="Q51" s="348"/>
      <c r="R51" s="348"/>
      <c r="S51" s="348"/>
      <c r="T51" s="388" t="b" cm="1">
        <f t="array" ref="T51">T50</f>
        <v>1</v>
      </c>
      <c r="U51" s="348"/>
      <c r="V51" s="348"/>
      <c r="X51" s="2032"/>
      <c r="Z51" s="2012"/>
      <c r="AB51" s="217" t="s">
        <v>469</v>
      </c>
      <c r="AC51" s="374" t="s">
        <v>1252</v>
      </c>
      <c r="AD51" s="218" t="s">
        <v>831</v>
      </c>
      <c r="AE51" s="216"/>
      <c r="AF51" s="216"/>
      <c r="AG51" s="216"/>
      <c r="AH51" s="216"/>
      <c r="AI51" s="216"/>
      <c r="AJ51" s="1407"/>
      <c r="AK51" s="1407"/>
      <c r="AL51" s="1407"/>
      <c r="AM51" s="1407"/>
      <c r="AN51" s="1407"/>
      <c r="AO51" s="1407"/>
      <c r="AP51" s="216"/>
      <c r="AQ51" s="216"/>
      <c r="AR51" s="216"/>
      <c r="AS51" s="216"/>
      <c r="AT51" s="1407"/>
      <c r="AU51" s="1407"/>
      <c r="AV51" s="1407"/>
      <c r="AW51" s="1407"/>
      <c r="AX51" s="1407"/>
      <c r="AY51" s="1407"/>
      <c r="AZ51" s="216"/>
      <c r="BA51" s="216"/>
      <c r="BB51" s="216"/>
      <c r="BC51" s="694"/>
      <c r="BF51" s="914" t="s">
        <v>1253</v>
      </c>
      <c r="BG51" s="914"/>
      <c r="BH51" s="914"/>
      <c r="BI51" s="615"/>
      <c r="BJ51" s="615"/>
    </row>
    <row r="52" spans="1:62" s="1334" customFormat="1" ht="14.25" customHeight="1" x14ac:dyDescent="0.15">
      <c r="A52" s="1217"/>
      <c r="B52" s="807"/>
      <c r="C52" s="804"/>
      <c r="D52" s="804"/>
      <c r="E52" s="805">
        <v>15</v>
      </c>
      <c r="F52" s="3" t="str" cm="1">
        <f t="array" aca="1" ref="F52" ca="1">OFFSET(E52,-1,1)</f>
        <v>1</v>
      </c>
      <c r="G52" s="804" t="s">
        <v>606</v>
      </c>
      <c r="H52" s="835"/>
      <c r="I52" s="804"/>
      <c r="J52" s="804"/>
      <c r="K52" s="43" t="str">
        <f ca="1">F52&amp;"10komm"</f>
        <v>110komm</v>
      </c>
      <c r="L52" s="832" cm="1">
        <f t="array" ref="L52">BC52</f>
        <v>0</v>
      </c>
      <c r="M52" s="804"/>
      <c r="N52" s="804"/>
      <c r="O52" s="804"/>
      <c r="P52" s="804"/>
      <c r="Q52" s="804"/>
      <c r="R52" s="804"/>
      <c r="S52" s="804"/>
      <c r="T52" s="388" t="b" cm="1">
        <f t="array" ref="T52">T51</f>
        <v>1</v>
      </c>
      <c r="U52" s="804"/>
      <c r="V52" s="804"/>
      <c r="W52" s="1217"/>
      <c r="X52" s="2032"/>
      <c r="Y52" s="1217"/>
      <c r="Z52" s="2012"/>
      <c r="AA52" s="1217"/>
      <c r="AB52" s="806">
        <v>10</v>
      </c>
      <c r="AC52" s="374" t="s">
        <v>1254</v>
      </c>
      <c r="AD52" s="218" t="s">
        <v>831</v>
      </c>
      <c r="AE52" s="154">
        <f t="shared" ref="AE52:BB52" si="4">SUM(AE53:AE54)</f>
        <v>0</v>
      </c>
      <c r="AF52" s="154">
        <f t="shared" si="4"/>
        <v>0</v>
      </c>
      <c r="AG52" s="154">
        <f t="shared" si="4"/>
        <v>0</v>
      </c>
      <c r="AH52" s="154">
        <f t="shared" si="4"/>
        <v>0</v>
      </c>
      <c r="AI52" s="154">
        <f t="shared" si="4"/>
        <v>0</v>
      </c>
      <c r="AJ52" s="154">
        <f t="shared" si="4"/>
        <v>0</v>
      </c>
      <c r="AK52" s="154">
        <f t="shared" si="4"/>
        <v>0</v>
      </c>
      <c r="AL52" s="154">
        <f t="shared" si="4"/>
        <v>0</v>
      </c>
      <c r="AM52" s="154">
        <f t="shared" si="4"/>
        <v>0</v>
      </c>
      <c r="AN52" s="154">
        <f t="shared" si="4"/>
        <v>0</v>
      </c>
      <c r="AO52" s="154">
        <f t="shared" si="4"/>
        <v>0</v>
      </c>
      <c r="AP52" s="154">
        <f t="shared" si="4"/>
        <v>0</v>
      </c>
      <c r="AQ52" s="154">
        <f t="shared" si="4"/>
        <v>0</v>
      </c>
      <c r="AR52" s="154">
        <f t="shared" si="4"/>
        <v>0</v>
      </c>
      <c r="AS52" s="154">
        <f t="shared" si="4"/>
        <v>0</v>
      </c>
      <c r="AT52" s="154">
        <f t="shared" si="4"/>
        <v>0</v>
      </c>
      <c r="AU52" s="154">
        <f t="shared" si="4"/>
        <v>0</v>
      </c>
      <c r="AV52" s="154">
        <f t="shared" si="4"/>
        <v>0</v>
      </c>
      <c r="AW52" s="154">
        <f t="shared" si="4"/>
        <v>0</v>
      </c>
      <c r="AX52" s="154">
        <f t="shared" si="4"/>
        <v>0</v>
      </c>
      <c r="AY52" s="154">
        <f t="shared" si="4"/>
        <v>0</v>
      </c>
      <c r="AZ52" s="154">
        <f t="shared" si="4"/>
        <v>0</v>
      </c>
      <c r="BA52" s="154">
        <f t="shared" si="4"/>
        <v>0</v>
      </c>
      <c r="BB52" s="154">
        <f t="shared" si="4"/>
        <v>0</v>
      </c>
      <c r="BC52" s="119"/>
      <c r="BD52" s="1217"/>
      <c r="BE52" s="1217"/>
      <c r="BF52" s="947" t="s">
        <v>1255</v>
      </c>
      <c r="BG52" s="1133"/>
      <c r="BH52" s="1133"/>
      <c r="BI52" s="1080"/>
      <c r="BJ52" s="1080"/>
    </row>
    <row r="53" spans="1:62" s="1334" customFormat="1" ht="14.25" hidden="1" customHeight="1" x14ac:dyDescent="0.15">
      <c r="A53" s="41"/>
      <c r="B53" s="757"/>
      <c r="C53" s="348"/>
      <c r="D53" s="348"/>
      <c r="E53" s="543">
        <v>15</v>
      </c>
      <c r="F53" s="3" t="str" cm="1">
        <f t="array" aca="1" ref="F53" ca="1">OFFSET(E53,-1,1)</f>
        <v>1</v>
      </c>
      <c r="G53" s="348" t="s">
        <v>606</v>
      </c>
      <c r="H53" s="835"/>
      <c r="I53" s="989" cm="1">
        <f t="array" ref="I53">AC53</f>
        <v>0</v>
      </c>
      <c r="J53" s="348"/>
      <c r="K53" s="348"/>
      <c r="L53" s="348"/>
      <c r="M53" s="348"/>
      <c r="N53" s="348"/>
      <c r="O53" s="348"/>
      <c r="P53" s="348"/>
      <c r="Q53" s="348"/>
      <c r="R53" s="348"/>
      <c r="S53" s="348"/>
      <c r="T53" s="388" t="b">
        <f ca="1">AND(F53&gt;0,Y53&gt;0)</f>
        <v>0</v>
      </c>
      <c r="U53" s="348"/>
      <c r="V53" s="348"/>
      <c r="W53" s="677" t="s">
        <v>172</v>
      </c>
      <c r="X53" s="2032"/>
      <c r="Y53" s="41">
        <v>0</v>
      </c>
      <c r="Z53" s="2012"/>
      <c r="AA53" s="342" t="s">
        <v>173</v>
      </c>
      <c r="AB53" s="613" t="str">
        <f>"10."&amp;Y53</f>
        <v>10.0</v>
      </c>
      <c r="AC53" s="1418"/>
      <c r="AD53" s="218" t="s">
        <v>831</v>
      </c>
      <c r="AE53" s="1415"/>
      <c r="AF53" s="1415"/>
      <c r="AG53" s="1415"/>
      <c r="AH53" s="1415"/>
      <c r="AI53" s="147"/>
      <c r="AJ53" s="1415"/>
      <c r="AK53" s="1415"/>
      <c r="AL53" s="1415"/>
      <c r="AM53" s="1415"/>
      <c r="AN53" s="1415"/>
      <c r="AO53" s="1415"/>
      <c r="AP53" s="1415"/>
      <c r="AQ53" s="1415"/>
      <c r="AR53" s="1415"/>
      <c r="AS53" s="147"/>
      <c r="AT53" s="1415"/>
      <c r="AU53" s="1415"/>
      <c r="AV53" s="1415"/>
      <c r="AW53" s="1415"/>
      <c r="AX53" s="1415"/>
      <c r="AY53" s="1415"/>
      <c r="AZ53" s="1415"/>
      <c r="BA53" s="1415"/>
      <c r="BB53" s="1415"/>
      <c r="BC53" s="1365"/>
      <c r="BD53" s="41"/>
      <c r="BE53" s="1217"/>
      <c r="BF53" s="947" t="s">
        <v>1255</v>
      </c>
      <c r="BG53" s="947" t="s">
        <v>1256</v>
      </c>
      <c r="BH53" s="959" cm="1">
        <f t="array" ref="BH53">AC53</f>
        <v>0</v>
      </c>
      <c r="BI53" s="1080"/>
      <c r="BJ53" s="600" t="b">
        <v>1</v>
      </c>
    </row>
    <row r="54" spans="1:62" s="461" customFormat="1" ht="14.25" customHeight="1" x14ac:dyDescent="0.15">
      <c r="A54" s="1217"/>
      <c r="B54" s="757"/>
      <c r="C54" s="348"/>
      <c r="D54" s="348"/>
      <c r="E54" s="543">
        <v>15</v>
      </c>
      <c r="F54" s="3" t="str" cm="1">
        <f t="array" aca="1" ref="F54" ca="1">OFFSET(E54,-1,1)</f>
        <v>1</v>
      </c>
      <c r="G54" s="348"/>
      <c r="H54" s="1217"/>
      <c r="I54" s="348" t="str">
        <f>"!=='не определено'"</f>
        <v>!=='не определено'</v>
      </c>
      <c r="J54" s="348"/>
      <c r="K54" s="348"/>
      <c r="L54" s="348"/>
      <c r="M54" s="348"/>
      <c r="N54" s="348"/>
      <c r="O54" s="348"/>
      <c r="P54" s="348"/>
      <c r="Q54" s="348"/>
      <c r="R54" s="348"/>
      <c r="S54" s="348"/>
      <c r="T54" s="388" t="b">
        <f ca="1">F54&gt;0</f>
        <v>1</v>
      </c>
      <c r="U54" s="348"/>
      <c r="V54" s="348"/>
      <c r="W54" s="677" t="s">
        <v>396</v>
      </c>
      <c r="X54" s="2032"/>
      <c r="Y54" s="1217"/>
      <c r="Z54" s="2012"/>
      <c r="AA54" s="1217"/>
      <c r="AB54" s="695"/>
      <c r="AC54" s="178" t="s">
        <v>176</v>
      </c>
      <c r="AD54" s="696"/>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2"/>
      <c r="BD54" s="1217"/>
      <c r="BE54" s="1217"/>
      <c r="BF54" s="906"/>
      <c r="BG54" s="906"/>
      <c r="BH54" s="906"/>
      <c r="BI54" s="542" t="s">
        <v>1256</v>
      </c>
      <c r="BJ54" s="542"/>
    </row>
    <row r="55" spans="1:62" s="461" customFormat="1" ht="14.25" customHeight="1" x14ac:dyDescent="0.15">
      <c r="A55" s="1217"/>
      <c r="B55" s="350"/>
      <c r="C55" s="1217"/>
      <c r="D55" s="1217"/>
      <c r="E55" s="542">
        <v>15</v>
      </c>
      <c r="F55" s="17" t="str" cm="1">
        <f t="array" ref="F55">X55</f>
        <v>2</v>
      </c>
      <c r="G55" s="1217"/>
      <c r="H55" s="1217"/>
      <c r="I55" s="1217"/>
      <c r="J55" s="1217"/>
      <c r="K55" s="1217"/>
      <c r="L55" s="1217"/>
      <c r="M55" s="1217"/>
      <c r="N55" s="1217"/>
      <c r="O55" s="1217"/>
      <c r="P55" s="1217"/>
      <c r="Q55" s="1217"/>
      <c r="R55" s="1217"/>
      <c r="S55" s="1217"/>
      <c r="T55" s="388" t="b">
        <f>X55&gt;0</f>
        <v>1</v>
      </c>
      <c r="U55" s="1217"/>
      <c r="V55" s="41" t="str" cm="1">
        <f t="array" ref="V55">'Сбытовые расходы ГО'!$AB$53</f>
        <v>Тариф 2 (Водоотведение) - тариф на водоотведение</v>
      </c>
      <c r="W55" s="1217"/>
      <c r="X55" s="2032" t="s">
        <v>289</v>
      </c>
      <c r="Y55" s="1217"/>
      <c r="Z55" s="2012"/>
      <c r="AA55" s="1217"/>
      <c r="AB55" s="141" t="str" cm="1">
        <f t="array" ref="AB55">'Сбытовые расходы ГО'!$AB$53</f>
        <v>Тариф 2 (Водоотведение) - тариф на водоотведение</v>
      </c>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1217"/>
      <c r="BE55" s="1217"/>
      <c r="BF55" s="906"/>
      <c r="BG55" s="906"/>
      <c r="BH55" s="906"/>
      <c r="BI55" s="542"/>
      <c r="BJ55" s="542"/>
    </row>
    <row r="56" spans="1:62" s="461" customFormat="1" ht="21.75" customHeight="1" x14ac:dyDescent="0.15">
      <c r="A56" s="1217"/>
      <c r="B56" s="350"/>
      <c r="C56" s="1217"/>
      <c r="D56" s="1217"/>
      <c r="E56" s="542">
        <v>22.5</v>
      </c>
      <c r="F56" s="3" t="str" cm="1">
        <f t="array" aca="1" ref="F56" ca="1">OFFSET(E56,-1,1)</f>
        <v>2</v>
      </c>
      <c r="G56" s="41" t="s">
        <v>1210</v>
      </c>
      <c r="H56" s="1217"/>
      <c r="I56" s="1217"/>
      <c r="J56" s="1217"/>
      <c r="K56" s="43" t="str">
        <f ca="1">F56&amp;"komm"</f>
        <v>2komm</v>
      </c>
      <c r="L56" s="832" cm="1">
        <f t="array" ref="L56">BC56</f>
        <v>0</v>
      </c>
      <c r="M56" s="1217"/>
      <c r="N56" s="1217"/>
      <c r="O56" s="1217"/>
      <c r="P56" s="1217"/>
      <c r="Q56" s="1217"/>
      <c r="R56" s="1217"/>
      <c r="S56" s="1217"/>
      <c r="T56" s="388" t="b" cm="1">
        <f t="array" ref="T56">T55</f>
        <v>1</v>
      </c>
      <c r="U56" s="1217"/>
      <c r="V56" s="1217"/>
      <c r="W56" s="1217"/>
      <c r="X56" s="2032"/>
      <c r="Y56" s="1217"/>
      <c r="Z56" s="2012"/>
      <c r="AA56" s="1217"/>
      <c r="AB56" s="153">
        <v>0</v>
      </c>
      <c r="AC56" s="138" t="s">
        <v>1232</v>
      </c>
      <c r="AD56" s="130" t="s">
        <v>831</v>
      </c>
      <c r="AE56" s="146">
        <f t="shared" ref="AE56:BB56" si="5">SUM(AE57:AE66)</f>
        <v>465.75152397400001</v>
      </c>
      <c r="AF56" s="146">
        <f t="shared" si="5"/>
        <v>370.29</v>
      </c>
      <c r="AG56" s="146">
        <f t="shared" si="5"/>
        <v>370.29</v>
      </c>
      <c r="AH56" s="146">
        <f t="shared" si="5"/>
        <v>478.2137354683</v>
      </c>
      <c r="AI56" s="146">
        <f t="shared" si="5"/>
        <v>1023.22</v>
      </c>
      <c r="AJ56" s="146">
        <f t="shared" si="5"/>
        <v>0</v>
      </c>
      <c r="AK56" s="146">
        <f t="shared" si="5"/>
        <v>0</v>
      </c>
      <c r="AL56" s="146">
        <f t="shared" si="5"/>
        <v>0</v>
      </c>
      <c r="AM56" s="146">
        <f t="shared" si="5"/>
        <v>0</v>
      </c>
      <c r="AN56" s="146">
        <f t="shared" si="5"/>
        <v>0</v>
      </c>
      <c r="AO56" s="146">
        <f t="shared" si="5"/>
        <v>0</v>
      </c>
      <c r="AP56" s="146">
        <f t="shared" si="5"/>
        <v>0</v>
      </c>
      <c r="AQ56" s="146">
        <f t="shared" si="5"/>
        <v>0</v>
      </c>
      <c r="AR56" s="146">
        <f t="shared" si="5"/>
        <v>0</v>
      </c>
      <c r="AS56" s="146">
        <f t="shared" si="5"/>
        <v>505.21000000000004</v>
      </c>
      <c r="AT56" s="146">
        <f t="shared" si="5"/>
        <v>0</v>
      </c>
      <c r="AU56" s="146">
        <f t="shared" si="5"/>
        <v>0</v>
      </c>
      <c r="AV56" s="146">
        <f t="shared" si="5"/>
        <v>0</v>
      </c>
      <c r="AW56" s="146">
        <f t="shared" si="5"/>
        <v>0</v>
      </c>
      <c r="AX56" s="146">
        <f t="shared" si="5"/>
        <v>0</v>
      </c>
      <c r="AY56" s="146">
        <f t="shared" si="5"/>
        <v>0</v>
      </c>
      <c r="AZ56" s="146">
        <f t="shared" si="5"/>
        <v>0</v>
      </c>
      <c r="BA56" s="146">
        <f t="shared" si="5"/>
        <v>0</v>
      </c>
      <c r="BB56" s="146">
        <f t="shared" si="5"/>
        <v>0</v>
      </c>
      <c r="BC56" s="119"/>
      <c r="BD56" s="1217"/>
      <c r="BE56" s="1217"/>
      <c r="BF56" s="906" t="s">
        <v>1233</v>
      </c>
      <c r="BG56" s="906"/>
      <c r="BH56" s="906"/>
      <c r="BI56" s="542"/>
      <c r="BJ56" s="542"/>
    </row>
    <row r="57" spans="1:62" s="461" customFormat="1" ht="14.25" customHeight="1" x14ac:dyDescent="0.15">
      <c r="A57" s="1217"/>
      <c r="B57" s="350"/>
      <c r="C57" s="1217"/>
      <c r="D57" s="1217"/>
      <c r="E57" s="542">
        <v>15</v>
      </c>
      <c r="F57" s="3" t="str" cm="1">
        <f t="array" aca="1" ref="F57" ca="1">OFFSET(E57,-1,1)</f>
        <v>2</v>
      </c>
      <c r="G57" s="41" t="s">
        <v>331</v>
      </c>
      <c r="H57" s="1217"/>
      <c r="I57" s="1217"/>
      <c r="J57" s="1217"/>
      <c r="K57" s="43" t="str">
        <f ca="1">F57&amp;"1komm"</f>
        <v>21komm</v>
      </c>
      <c r="L57" s="832" cm="1">
        <f t="array" ref="L57">BC57</f>
        <v>0</v>
      </c>
      <c r="M57" s="1217"/>
      <c r="N57" s="1217"/>
      <c r="O57" s="1217"/>
      <c r="P57" s="1217"/>
      <c r="Q57" s="1217"/>
      <c r="R57" s="1217"/>
      <c r="S57" s="1217"/>
      <c r="T57" s="388" t="b" cm="1">
        <f t="array" ref="T57">T56</f>
        <v>1</v>
      </c>
      <c r="U57" s="1217"/>
      <c r="V57" s="1217"/>
      <c r="W57" s="1217"/>
      <c r="X57" s="2032"/>
      <c r="Y57" s="1217"/>
      <c r="Z57" s="2012"/>
      <c r="AA57" s="1217"/>
      <c r="AB57" s="217" t="s">
        <v>282</v>
      </c>
      <c r="AC57" s="374" t="s">
        <v>1234</v>
      </c>
      <c r="AD57" s="218" t="s">
        <v>831</v>
      </c>
      <c r="AE57" s="147"/>
      <c r="AF57" s="148"/>
      <c r="AG57" s="148"/>
      <c r="AH57" s="148"/>
      <c r="AI57" s="148"/>
      <c r="AJ57" s="1414"/>
      <c r="AK57" s="1414"/>
      <c r="AL57" s="1414"/>
      <c r="AM57" s="1414"/>
      <c r="AN57" s="1414"/>
      <c r="AO57" s="1414"/>
      <c r="AP57" s="148"/>
      <c r="AQ57" s="148"/>
      <c r="AR57" s="148"/>
      <c r="AS57" s="148"/>
      <c r="AT57" s="1414"/>
      <c r="AU57" s="1414"/>
      <c r="AV57" s="1414"/>
      <c r="AW57" s="1414"/>
      <c r="AX57" s="1414"/>
      <c r="AY57" s="1414"/>
      <c r="AZ57" s="148"/>
      <c r="BA57" s="148"/>
      <c r="BB57" s="148"/>
      <c r="BC57" s="119"/>
      <c r="BD57" s="1217"/>
      <c r="BE57" s="1217"/>
      <c r="BF57" s="906" t="s">
        <v>1235</v>
      </c>
      <c r="BG57" s="906"/>
      <c r="BH57" s="906"/>
      <c r="BI57" s="542"/>
      <c r="BJ57" s="542"/>
    </row>
    <row r="58" spans="1:62" s="461" customFormat="1" ht="21.75" customHeight="1" x14ac:dyDescent="0.15">
      <c r="A58" s="1217"/>
      <c r="B58" s="757"/>
      <c r="C58" s="348"/>
      <c r="D58" s="348"/>
      <c r="E58" s="543">
        <v>22.5</v>
      </c>
      <c r="F58" s="3" t="str" cm="1">
        <f t="array" aca="1" ref="F58" ca="1">OFFSET(E58,-1,1)</f>
        <v>2</v>
      </c>
      <c r="G58" s="348" t="s">
        <v>332</v>
      </c>
      <c r="H58" s="348"/>
      <c r="I58" s="348"/>
      <c r="J58" s="348"/>
      <c r="K58" s="43" t="str">
        <f ca="1">F58&amp;"2komm"</f>
        <v>22komm</v>
      </c>
      <c r="L58" s="832" cm="1">
        <f t="array" ref="L58">BC58</f>
        <v>0</v>
      </c>
      <c r="M58" s="348"/>
      <c r="N58" s="348"/>
      <c r="O58" s="348"/>
      <c r="P58" s="348"/>
      <c r="Q58" s="348"/>
      <c r="R58" s="348"/>
      <c r="S58" s="348"/>
      <c r="T58" s="388" t="b" cm="1">
        <f t="array" ref="T58">T57</f>
        <v>1</v>
      </c>
      <c r="U58" s="348"/>
      <c r="V58" s="348"/>
      <c r="W58" s="1217"/>
      <c r="X58" s="2032"/>
      <c r="Y58" s="1217"/>
      <c r="Z58" s="2012"/>
      <c r="AA58" s="1217"/>
      <c r="AB58" s="217" t="s">
        <v>289</v>
      </c>
      <c r="AC58" s="374" t="s">
        <v>1236</v>
      </c>
      <c r="AD58" s="218" t="s">
        <v>831</v>
      </c>
      <c r="AE58" s="147"/>
      <c r="AF58" s="148"/>
      <c r="AG58" s="148"/>
      <c r="AH58" s="148"/>
      <c r="AI58" s="148"/>
      <c r="AJ58" s="1414"/>
      <c r="AK58" s="1414"/>
      <c r="AL58" s="1414"/>
      <c r="AM58" s="1414"/>
      <c r="AN58" s="1414"/>
      <c r="AO58" s="1414"/>
      <c r="AP58" s="148"/>
      <c r="AQ58" s="148"/>
      <c r="AR58" s="148"/>
      <c r="AS58" s="148"/>
      <c r="AT58" s="1414"/>
      <c r="AU58" s="1414"/>
      <c r="AV58" s="1414"/>
      <c r="AW58" s="1414"/>
      <c r="AX58" s="1414"/>
      <c r="AY58" s="1414"/>
      <c r="AZ58" s="148"/>
      <c r="BA58" s="148"/>
      <c r="BB58" s="148"/>
      <c r="BC58" s="119"/>
      <c r="BD58" s="1217"/>
      <c r="BE58" s="1217"/>
      <c r="BF58" s="906" t="s">
        <v>1237</v>
      </c>
      <c r="BG58" s="906"/>
      <c r="BH58" s="906"/>
      <c r="BI58" s="542"/>
      <c r="BJ58" s="542"/>
    </row>
    <row r="59" spans="1:62" s="461" customFormat="1" ht="21.75" customHeight="1" x14ac:dyDescent="0.15">
      <c r="A59" s="1217"/>
      <c r="B59" s="757"/>
      <c r="C59" s="348"/>
      <c r="D59" s="348"/>
      <c r="E59" s="543">
        <v>22.5</v>
      </c>
      <c r="F59" s="3" t="str" cm="1">
        <f t="array" aca="1" ref="F59" ca="1">OFFSET(E59,-1,1)</f>
        <v>2</v>
      </c>
      <c r="G59" s="348" t="s">
        <v>333</v>
      </c>
      <c r="H59" s="348" t="s">
        <v>1238</v>
      </c>
      <c r="I59" s="348"/>
      <c r="J59" s="348"/>
      <c r="K59" s="43" t="str">
        <f ca="1">F59&amp;"3komm"</f>
        <v>23komm</v>
      </c>
      <c r="L59" s="832" t="str" cm="1">
        <f t="array" ref="L59">BC59</f>
        <v>учтено от факта 2024 года в соответствии с представленной декларацией о плате за негативное воздействие</v>
      </c>
      <c r="M59" s="348"/>
      <c r="N59" s="348"/>
      <c r="O59" s="348"/>
      <c r="P59" s="348"/>
      <c r="Q59" s="348"/>
      <c r="R59" s="348"/>
      <c r="S59" s="348"/>
      <c r="T59" s="388" t="b" cm="1">
        <f t="array" ref="T59">T58</f>
        <v>1</v>
      </c>
      <c r="U59" s="348"/>
      <c r="V59" s="348"/>
      <c r="W59" s="1217"/>
      <c r="X59" s="2032"/>
      <c r="Y59" s="1217"/>
      <c r="Z59" s="2012"/>
      <c r="AA59" s="1217"/>
      <c r="AB59" s="217" t="s">
        <v>329</v>
      </c>
      <c r="AC59" s="374" t="s">
        <v>1239</v>
      </c>
      <c r="AD59" s="218" t="s">
        <v>831</v>
      </c>
      <c r="AE59" s="147"/>
      <c r="AF59" s="148">
        <v>36.32</v>
      </c>
      <c r="AG59" s="148">
        <v>36.32</v>
      </c>
      <c r="AH59" s="148"/>
      <c r="AI59" s="148">
        <v>39.619999999999997</v>
      </c>
      <c r="AJ59" s="1414"/>
      <c r="AK59" s="1414"/>
      <c r="AL59" s="1414"/>
      <c r="AM59" s="1414"/>
      <c r="AN59" s="1414"/>
      <c r="AO59" s="1414"/>
      <c r="AP59" s="148"/>
      <c r="AQ59" s="148"/>
      <c r="AR59" s="148"/>
      <c r="AS59" s="148">
        <v>36.32</v>
      </c>
      <c r="AT59" s="1414"/>
      <c r="AU59" s="1414"/>
      <c r="AV59" s="1414"/>
      <c r="AW59" s="1414"/>
      <c r="AX59" s="1414"/>
      <c r="AY59" s="1414"/>
      <c r="AZ59" s="148"/>
      <c r="BA59" s="148"/>
      <c r="BB59" s="148"/>
      <c r="BC59" s="119" t="s">
        <v>1260</v>
      </c>
      <c r="BD59" s="1217"/>
      <c r="BE59" s="1217"/>
      <c r="BF59" s="906" t="s">
        <v>1240</v>
      </c>
      <c r="BG59" s="906"/>
      <c r="BH59" s="906"/>
      <c r="BI59" s="542"/>
      <c r="BJ59" s="542"/>
    </row>
    <row r="60" spans="1:62" s="1334" customFormat="1" ht="14.25" customHeight="1" x14ac:dyDescent="0.15">
      <c r="A60" s="1217"/>
      <c r="B60" s="807"/>
      <c r="C60" s="804"/>
      <c r="D60" s="804"/>
      <c r="E60" s="805">
        <v>15</v>
      </c>
      <c r="F60" s="3" t="str" cm="1">
        <f t="array" aca="1" ref="F60" ca="1">OFFSET(E60,-1,1)</f>
        <v>2</v>
      </c>
      <c r="G60" s="804" t="s">
        <v>335</v>
      </c>
      <c r="H60" s="804"/>
      <c r="I60" s="804"/>
      <c r="J60" s="804"/>
      <c r="K60" s="43" t="str">
        <f ca="1">F60&amp;"4komm"</f>
        <v>24komm</v>
      </c>
      <c r="L60" s="832" cm="1">
        <f t="array" ref="L60">BC60</f>
        <v>0</v>
      </c>
      <c r="M60" s="804"/>
      <c r="N60" s="804"/>
      <c r="O60" s="804"/>
      <c r="P60" s="804"/>
      <c r="Q60" s="804"/>
      <c r="R60" s="804"/>
      <c r="S60" s="804"/>
      <c r="T60" s="388" t="b" cm="1">
        <f t="array" ref="T60">T59</f>
        <v>1</v>
      </c>
      <c r="U60" s="804"/>
      <c r="V60" s="804"/>
      <c r="W60" s="1217"/>
      <c r="X60" s="2032"/>
      <c r="Y60" s="1217"/>
      <c r="Z60" s="2012"/>
      <c r="AA60" s="1217"/>
      <c r="AB60" s="806">
        <v>4</v>
      </c>
      <c r="AC60" s="374" t="s">
        <v>1241</v>
      </c>
      <c r="AD60" s="218" t="s">
        <v>831</v>
      </c>
      <c r="AE60" s="149"/>
      <c r="AF60" s="149"/>
      <c r="AG60" s="149"/>
      <c r="AH60" s="149"/>
      <c r="AI60" s="149"/>
      <c r="AJ60" s="1416"/>
      <c r="AK60" s="1416"/>
      <c r="AL60" s="1416"/>
      <c r="AM60" s="1416"/>
      <c r="AN60" s="1416"/>
      <c r="AO60" s="1416"/>
      <c r="AP60" s="149"/>
      <c r="AQ60" s="149"/>
      <c r="AR60" s="149"/>
      <c r="AS60" s="149"/>
      <c r="AT60" s="1416"/>
      <c r="AU60" s="1416"/>
      <c r="AV60" s="1416"/>
      <c r="AW60" s="1416"/>
      <c r="AX60" s="1416"/>
      <c r="AY60" s="1416"/>
      <c r="AZ60" s="149"/>
      <c r="BA60" s="149"/>
      <c r="BB60" s="149"/>
      <c r="BC60" s="119"/>
      <c r="BD60" s="1217"/>
      <c r="BE60" s="1217"/>
      <c r="BF60" s="947" t="s">
        <v>1242</v>
      </c>
      <c r="BG60" s="1133"/>
      <c r="BH60" s="1133"/>
      <c r="BI60" s="1080"/>
      <c r="BJ60" s="1080"/>
    </row>
    <row r="61" spans="1:62" s="461" customFormat="1" ht="14.25" customHeight="1" x14ac:dyDescent="0.15">
      <c r="A61" s="1217"/>
      <c r="B61" s="757"/>
      <c r="C61" s="348"/>
      <c r="D61" s="348"/>
      <c r="E61" s="543">
        <v>15</v>
      </c>
      <c r="F61" s="3" t="str" cm="1">
        <f t="array" aca="1" ref="F61" ca="1">OFFSET(E61,-1,1)</f>
        <v>2</v>
      </c>
      <c r="G61" s="348" t="s">
        <v>334</v>
      </c>
      <c r="H61" s="348"/>
      <c r="I61" s="348"/>
      <c r="J61" s="348"/>
      <c r="K61" s="43" t="str">
        <f ca="1">F61&amp;"5komm"</f>
        <v>25komm</v>
      </c>
      <c r="L61" s="832" cm="1">
        <f t="array" ref="L61">BC61</f>
        <v>0</v>
      </c>
      <c r="M61" s="348"/>
      <c r="N61" s="348"/>
      <c r="O61" s="348"/>
      <c r="P61" s="348"/>
      <c r="Q61" s="348"/>
      <c r="R61" s="348"/>
      <c r="S61" s="348"/>
      <c r="T61" s="388" t="b" cm="1">
        <f t="array" ref="T61">T60</f>
        <v>1</v>
      </c>
      <c r="U61" s="348"/>
      <c r="V61" s="348"/>
      <c r="W61" s="1217"/>
      <c r="X61" s="2032"/>
      <c r="Y61" s="1217"/>
      <c r="Z61" s="2012"/>
      <c r="AA61" s="1217"/>
      <c r="AB61" s="217" t="s">
        <v>444</v>
      </c>
      <c r="AC61" s="374" t="s">
        <v>1243</v>
      </c>
      <c r="AD61" s="218" t="s">
        <v>831</v>
      </c>
      <c r="AE61" s="147"/>
      <c r="AF61" s="147"/>
      <c r="AG61" s="147"/>
      <c r="AH61" s="147"/>
      <c r="AI61" s="147"/>
      <c r="AJ61" s="1415"/>
      <c r="AK61" s="1415"/>
      <c r="AL61" s="1415"/>
      <c r="AM61" s="1415"/>
      <c r="AN61" s="1415"/>
      <c r="AO61" s="1415"/>
      <c r="AP61" s="147"/>
      <c r="AQ61" s="147"/>
      <c r="AR61" s="147"/>
      <c r="AS61" s="147"/>
      <c r="AT61" s="1415"/>
      <c r="AU61" s="1415"/>
      <c r="AV61" s="1415"/>
      <c r="AW61" s="1415"/>
      <c r="AX61" s="1415"/>
      <c r="AY61" s="1415"/>
      <c r="AZ61" s="147"/>
      <c r="BA61" s="147"/>
      <c r="BB61" s="147"/>
      <c r="BC61" s="119"/>
      <c r="BD61" s="1217"/>
      <c r="BE61" s="1217"/>
      <c r="BF61" s="906" t="s">
        <v>1244</v>
      </c>
      <c r="BG61" s="906"/>
      <c r="BH61" s="906"/>
      <c r="BI61" s="542"/>
      <c r="BJ61" s="542"/>
    </row>
    <row r="62" spans="1:62" s="461" customFormat="1" ht="58.9" customHeight="1" x14ac:dyDescent="0.15">
      <c r="A62" s="1217"/>
      <c r="B62" s="757"/>
      <c r="C62" s="348"/>
      <c r="D62" s="348"/>
      <c r="E62" s="543">
        <v>15</v>
      </c>
      <c r="F62" s="3" t="str" cm="1">
        <f t="array" aca="1" ref="F62" ca="1">OFFSET(E62,-1,1)</f>
        <v>2</v>
      </c>
      <c r="G62" s="348" t="s">
        <v>544</v>
      </c>
      <c r="H62" s="348"/>
      <c r="I62" s="348"/>
      <c r="J62" s="348"/>
      <c r="K62" s="43" t="str">
        <f ca="1">F62&amp;"6komm"</f>
        <v>26komm</v>
      </c>
      <c r="L62" s="832" t="str" cm="1">
        <f t="array" ref="L62">BC62</f>
        <v xml:space="preserve">Учтено по расчету регулятора  в соответствии с действующим законодательством, налог на имущество в соответствии с утвержденной ИП - 50,67 тыс. руб.. налог на иное имущество, переданное по концессионному соглашению № 24 - 418,22 тыс. руб. </v>
      </c>
      <c r="M62" s="348"/>
      <c r="N62" s="348"/>
      <c r="O62" s="348"/>
      <c r="P62" s="348"/>
      <c r="Q62" s="348"/>
      <c r="R62" s="348"/>
      <c r="S62" s="348"/>
      <c r="T62" s="388" t="b" cm="1">
        <f t="array" ref="T62">T61</f>
        <v>1</v>
      </c>
      <c r="U62" s="348"/>
      <c r="V62" s="348"/>
      <c r="W62" s="1217"/>
      <c r="X62" s="2032"/>
      <c r="Y62" s="1217"/>
      <c r="Z62" s="2012"/>
      <c r="AA62" s="1217"/>
      <c r="AB62" s="217" t="s">
        <v>446</v>
      </c>
      <c r="AC62" s="374" t="s">
        <v>1245</v>
      </c>
      <c r="AD62" s="218" t="s">
        <v>831</v>
      </c>
      <c r="AE62" s="147">
        <v>465.75152397400001</v>
      </c>
      <c r="AF62" s="147">
        <v>333.97</v>
      </c>
      <c r="AG62" s="147">
        <v>333.97</v>
      </c>
      <c r="AH62" s="147">
        <v>478.2137354683</v>
      </c>
      <c r="AI62" s="147">
        <v>983.6</v>
      </c>
      <c r="AJ62" s="1415"/>
      <c r="AK62" s="1415"/>
      <c r="AL62" s="1415"/>
      <c r="AM62" s="1415"/>
      <c r="AN62" s="1415"/>
      <c r="AO62" s="1415"/>
      <c r="AP62" s="147"/>
      <c r="AQ62" s="147"/>
      <c r="AR62" s="147"/>
      <c r="AS62" s="147">
        <f>418.22+50.67</f>
        <v>468.89000000000004</v>
      </c>
      <c r="AT62" s="1415"/>
      <c r="AU62" s="1415"/>
      <c r="AV62" s="1415"/>
      <c r="AW62" s="1415"/>
      <c r="AX62" s="1415"/>
      <c r="AY62" s="1415"/>
      <c r="AZ62" s="147"/>
      <c r="BA62" s="147"/>
      <c r="BB62" s="147"/>
      <c r="BC62" s="119" t="s">
        <v>1261</v>
      </c>
      <c r="BD62" s="1217"/>
      <c r="BE62" s="1217"/>
      <c r="BF62" s="906" t="s">
        <v>1246</v>
      </c>
      <c r="BG62" s="906"/>
      <c r="BH62" s="906"/>
      <c r="BI62" s="542"/>
      <c r="BJ62" s="542"/>
    </row>
    <row r="63" spans="1:62" s="461" customFormat="1" ht="14.25" customHeight="1" x14ac:dyDescent="0.15">
      <c r="A63" s="1217"/>
      <c r="B63" s="757"/>
      <c r="C63" s="348"/>
      <c r="D63" s="348"/>
      <c r="E63" s="543">
        <v>15</v>
      </c>
      <c r="F63" s="3" t="str" cm="1">
        <f t="array" aca="1" ref="F63" ca="1">OFFSET(E63,-1,1)</f>
        <v>2</v>
      </c>
      <c r="G63" s="348" t="s">
        <v>547</v>
      </c>
      <c r="H63" s="348" t="s">
        <v>1247</v>
      </c>
      <c r="I63" s="348"/>
      <c r="J63" s="348"/>
      <c r="K63" s="43" t="str">
        <f ca="1">F63&amp;"7komm"</f>
        <v>27komm</v>
      </c>
      <c r="L63" s="832" cm="1">
        <f t="array" ref="L63">BC63</f>
        <v>0</v>
      </c>
      <c r="M63" s="348"/>
      <c r="N63" s="348"/>
      <c r="O63" s="348"/>
      <c r="P63" s="348"/>
      <c r="Q63" s="348"/>
      <c r="R63" s="348"/>
      <c r="S63" s="348"/>
      <c r="T63" s="388" t="b" cm="1">
        <f t="array" ref="T63">T62</f>
        <v>1</v>
      </c>
      <c r="U63" s="348"/>
      <c r="V63" s="348"/>
      <c r="W63" s="1217"/>
      <c r="X63" s="2032"/>
      <c r="Y63" s="1217"/>
      <c r="Z63" s="2012"/>
      <c r="AA63" s="1217"/>
      <c r="AB63" s="217" t="s">
        <v>448</v>
      </c>
      <c r="AC63" s="374" t="s">
        <v>1248</v>
      </c>
      <c r="AD63" s="218" t="s">
        <v>831</v>
      </c>
      <c r="AE63" s="147"/>
      <c r="AF63" s="147"/>
      <c r="AG63" s="147"/>
      <c r="AH63" s="147"/>
      <c r="AI63" s="147"/>
      <c r="AJ63" s="1415"/>
      <c r="AK63" s="1415"/>
      <c r="AL63" s="1415"/>
      <c r="AM63" s="1415"/>
      <c r="AN63" s="1415"/>
      <c r="AO63" s="1415"/>
      <c r="AP63" s="147"/>
      <c r="AQ63" s="147"/>
      <c r="AR63" s="147"/>
      <c r="AS63" s="147"/>
      <c r="AT63" s="1415"/>
      <c r="AU63" s="1415"/>
      <c r="AV63" s="1415"/>
      <c r="AW63" s="1415"/>
      <c r="AX63" s="1415"/>
      <c r="AY63" s="1415"/>
      <c r="AZ63" s="147"/>
      <c r="BA63" s="147"/>
      <c r="BB63" s="147"/>
      <c r="BC63" s="119"/>
      <c r="BD63" s="1217"/>
      <c r="BE63" s="1217"/>
      <c r="BF63" s="906" t="s">
        <v>1249</v>
      </c>
      <c r="BG63" s="906"/>
      <c r="BH63" s="906"/>
      <c r="BI63" s="542"/>
      <c r="BJ63" s="542"/>
    </row>
    <row r="64" spans="1:62" s="461" customFormat="1" ht="21.75" customHeight="1" x14ac:dyDescent="0.15">
      <c r="A64" s="1217"/>
      <c r="B64" s="757"/>
      <c r="C64" s="348"/>
      <c r="D64" s="348"/>
      <c r="E64" s="543">
        <v>22.5</v>
      </c>
      <c r="F64" s="3" t="str" cm="1">
        <f t="array" aca="1" ref="F64" ca="1">OFFSET(E64,-1,1)</f>
        <v>2</v>
      </c>
      <c r="G64" s="348" t="s">
        <v>591</v>
      </c>
      <c r="H64" s="348"/>
      <c r="I64" s="348"/>
      <c r="J64" s="348"/>
      <c r="K64" s="43" t="str">
        <f ca="1">F64&amp;"8komm"</f>
        <v>28komm</v>
      </c>
      <c r="L64" s="832" cm="1">
        <f t="array" ref="L64">BC64</f>
        <v>0</v>
      </c>
      <c r="M64" s="348"/>
      <c r="N64" s="348"/>
      <c r="O64" s="348"/>
      <c r="P64" s="348"/>
      <c r="Q64" s="348"/>
      <c r="R64" s="348"/>
      <c r="S64" s="348"/>
      <c r="T64" s="388" t="b" cm="1">
        <f t="array" ref="T64">T63</f>
        <v>1</v>
      </c>
      <c r="U64" s="348"/>
      <c r="V64" s="348"/>
      <c r="W64" s="1217"/>
      <c r="X64" s="2032"/>
      <c r="Y64" s="1217"/>
      <c r="Z64" s="2012"/>
      <c r="AA64" s="1217"/>
      <c r="AB64" s="217" t="s">
        <v>450</v>
      </c>
      <c r="AC64" s="374" t="s">
        <v>1250</v>
      </c>
      <c r="AD64" s="218" t="s">
        <v>831</v>
      </c>
      <c r="AE64" s="147"/>
      <c r="AF64" s="147"/>
      <c r="AG64" s="147"/>
      <c r="AH64" s="147"/>
      <c r="AI64" s="147"/>
      <c r="AJ64" s="1415"/>
      <c r="AK64" s="1415"/>
      <c r="AL64" s="1415"/>
      <c r="AM64" s="1415"/>
      <c r="AN64" s="1415"/>
      <c r="AO64" s="1415"/>
      <c r="AP64" s="147"/>
      <c r="AQ64" s="147"/>
      <c r="AR64" s="147"/>
      <c r="AS64" s="147"/>
      <c r="AT64" s="1415"/>
      <c r="AU64" s="1415"/>
      <c r="AV64" s="1415"/>
      <c r="AW64" s="1415"/>
      <c r="AX64" s="1415"/>
      <c r="AY64" s="1415"/>
      <c r="AZ64" s="147"/>
      <c r="BA64" s="147"/>
      <c r="BB64" s="147"/>
      <c r="BC64" s="119"/>
      <c r="BD64" s="1217"/>
      <c r="BE64" s="1217"/>
      <c r="BF64" s="906" t="s">
        <v>1251</v>
      </c>
      <c r="BG64" s="906"/>
      <c r="BH64" s="906"/>
      <c r="BI64" s="542"/>
      <c r="BJ64" s="542"/>
    </row>
    <row r="65" spans="1:62" s="930" customFormat="1" ht="21.75" customHeight="1" x14ac:dyDescent="0.15">
      <c r="B65" s="757"/>
      <c r="C65" s="348"/>
      <c r="D65" s="348"/>
      <c r="E65" s="543">
        <v>22.5</v>
      </c>
      <c r="F65" s="3" t="str" cm="1">
        <f t="array" aca="1" ref="F65" ca="1">OFFSET(E65,-1,1)</f>
        <v>2</v>
      </c>
      <c r="G65" s="348"/>
      <c r="H65" s="348"/>
      <c r="I65" s="348"/>
      <c r="J65" s="348"/>
      <c r="K65" s="43" t="str">
        <f ca="1">F65&amp;"9komm"</f>
        <v>29komm</v>
      </c>
      <c r="L65" s="832" cm="1">
        <f t="array" ref="L65">BC65</f>
        <v>0</v>
      </c>
      <c r="M65" s="348"/>
      <c r="N65" s="348"/>
      <c r="O65" s="348"/>
      <c r="P65" s="348"/>
      <c r="Q65" s="348"/>
      <c r="R65" s="348"/>
      <c r="S65" s="348"/>
      <c r="T65" s="388" t="b" cm="1">
        <f t="array" ref="T65">T64</f>
        <v>1</v>
      </c>
      <c r="U65" s="348"/>
      <c r="V65" s="348"/>
      <c r="X65" s="2032"/>
      <c r="Z65" s="2012"/>
      <c r="AB65" s="217" t="s">
        <v>469</v>
      </c>
      <c r="AC65" s="374" t="s">
        <v>1252</v>
      </c>
      <c r="AD65" s="218" t="s">
        <v>831</v>
      </c>
      <c r="AE65" s="216"/>
      <c r="AF65" s="216"/>
      <c r="AG65" s="216"/>
      <c r="AH65" s="216"/>
      <c r="AI65" s="216"/>
      <c r="AJ65" s="1407"/>
      <c r="AK65" s="1407"/>
      <c r="AL65" s="1407"/>
      <c r="AM65" s="1407"/>
      <c r="AN65" s="1407"/>
      <c r="AO65" s="1407"/>
      <c r="AP65" s="216"/>
      <c r="AQ65" s="216"/>
      <c r="AR65" s="216"/>
      <c r="AS65" s="216"/>
      <c r="AT65" s="1407"/>
      <c r="AU65" s="1407"/>
      <c r="AV65" s="1407"/>
      <c r="AW65" s="1407"/>
      <c r="AX65" s="1407"/>
      <c r="AY65" s="1407"/>
      <c r="AZ65" s="216"/>
      <c r="BA65" s="216"/>
      <c r="BB65" s="216"/>
      <c r="BC65" s="694"/>
      <c r="BF65" s="914" t="s">
        <v>1253</v>
      </c>
      <c r="BG65" s="914"/>
      <c r="BH65" s="914"/>
      <c r="BI65" s="615"/>
      <c r="BJ65" s="615"/>
    </row>
    <row r="66" spans="1:62" s="1334" customFormat="1" ht="14.25" customHeight="1" x14ac:dyDescent="0.15">
      <c r="A66" s="1217"/>
      <c r="B66" s="807"/>
      <c r="C66" s="804"/>
      <c r="D66" s="804"/>
      <c r="E66" s="805">
        <v>15</v>
      </c>
      <c r="F66" s="3" t="str" cm="1">
        <f t="array" aca="1" ref="F66" ca="1">OFFSET(E66,-1,1)</f>
        <v>2</v>
      </c>
      <c r="G66" s="804" t="s">
        <v>606</v>
      </c>
      <c r="H66" s="835"/>
      <c r="I66" s="804"/>
      <c r="J66" s="804"/>
      <c r="K66" s="43" t="str">
        <f ca="1">F66&amp;"10komm"</f>
        <v>210komm</v>
      </c>
      <c r="L66" s="832" cm="1">
        <f t="array" ref="L66">BC66</f>
        <v>0</v>
      </c>
      <c r="M66" s="804"/>
      <c r="N66" s="804"/>
      <c r="O66" s="804"/>
      <c r="P66" s="804"/>
      <c r="Q66" s="804"/>
      <c r="R66" s="804"/>
      <c r="S66" s="804"/>
      <c r="T66" s="388" t="b" cm="1">
        <f t="array" ref="T66">T65</f>
        <v>1</v>
      </c>
      <c r="U66" s="804"/>
      <c r="V66" s="804"/>
      <c r="W66" s="1217"/>
      <c r="X66" s="2032"/>
      <c r="Y66" s="1217"/>
      <c r="Z66" s="2012"/>
      <c r="AA66" s="1217"/>
      <c r="AB66" s="806">
        <v>10</v>
      </c>
      <c r="AC66" s="374" t="s">
        <v>1254</v>
      </c>
      <c r="AD66" s="218" t="s">
        <v>831</v>
      </c>
      <c r="AE66" s="154">
        <f t="shared" ref="AE66:BB66" si="6">SUM(AE67:AE68)</f>
        <v>0</v>
      </c>
      <c r="AF66" s="154">
        <f t="shared" si="6"/>
        <v>0</v>
      </c>
      <c r="AG66" s="154">
        <f t="shared" si="6"/>
        <v>0</v>
      </c>
      <c r="AH66" s="154">
        <f t="shared" si="6"/>
        <v>0</v>
      </c>
      <c r="AI66" s="154">
        <f t="shared" si="6"/>
        <v>0</v>
      </c>
      <c r="AJ66" s="154">
        <f t="shared" si="6"/>
        <v>0</v>
      </c>
      <c r="AK66" s="154">
        <f t="shared" si="6"/>
        <v>0</v>
      </c>
      <c r="AL66" s="154">
        <f t="shared" si="6"/>
        <v>0</v>
      </c>
      <c r="AM66" s="154">
        <f t="shared" si="6"/>
        <v>0</v>
      </c>
      <c r="AN66" s="154">
        <f t="shared" si="6"/>
        <v>0</v>
      </c>
      <c r="AO66" s="154">
        <f t="shared" si="6"/>
        <v>0</v>
      </c>
      <c r="AP66" s="154">
        <f t="shared" si="6"/>
        <v>0</v>
      </c>
      <c r="AQ66" s="154">
        <f t="shared" si="6"/>
        <v>0</v>
      </c>
      <c r="AR66" s="154">
        <f t="shared" si="6"/>
        <v>0</v>
      </c>
      <c r="AS66" s="154">
        <f t="shared" si="6"/>
        <v>0</v>
      </c>
      <c r="AT66" s="154">
        <f t="shared" si="6"/>
        <v>0</v>
      </c>
      <c r="AU66" s="154">
        <f t="shared" si="6"/>
        <v>0</v>
      </c>
      <c r="AV66" s="154">
        <f t="shared" si="6"/>
        <v>0</v>
      </c>
      <c r="AW66" s="154">
        <f t="shared" si="6"/>
        <v>0</v>
      </c>
      <c r="AX66" s="154">
        <f t="shared" si="6"/>
        <v>0</v>
      </c>
      <c r="AY66" s="154">
        <f t="shared" si="6"/>
        <v>0</v>
      </c>
      <c r="AZ66" s="154">
        <f t="shared" si="6"/>
        <v>0</v>
      </c>
      <c r="BA66" s="154">
        <f t="shared" si="6"/>
        <v>0</v>
      </c>
      <c r="BB66" s="154">
        <f t="shared" si="6"/>
        <v>0</v>
      </c>
      <c r="BC66" s="119"/>
      <c r="BD66" s="1217"/>
      <c r="BE66" s="1217"/>
      <c r="BF66" s="947" t="s">
        <v>1255</v>
      </c>
      <c r="BG66" s="1133"/>
      <c r="BH66" s="1133"/>
      <c r="BI66" s="1080"/>
      <c r="BJ66" s="1080"/>
    </row>
    <row r="67" spans="1:62" s="1334" customFormat="1" ht="14.25" hidden="1" customHeight="1" x14ac:dyDescent="0.15">
      <c r="A67" s="41"/>
      <c r="B67" s="757"/>
      <c r="C67" s="348"/>
      <c r="D67" s="348"/>
      <c r="E67" s="543">
        <v>15</v>
      </c>
      <c r="F67" s="3" t="str" cm="1">
        <f t="array" aca="1" ref="F67" ca="1">OFFSET(E67,-1,1)</f>
        <v>2</v>
      </c>
      <c r="G67" s="348" t="s">
        <v>606</v>
      </c>
      <c r="H67" s="835"/>
      <c r="I67" s="989" cm="1">
        <f t="array" ref="I67">AC67</f>
        <v>0</v>
      </c>
      <c r="J67" s="348"/>
      <c r="K67" s="348"/>
      <c r="L67" s="348"/>
      <c r="M67" s="348"/>
      <c r="N67" s="348"/>
      <c r="O67" s="348"/>
      <c r="P67" s="348"/>
      <c r="Q67" s="348"/>
      <c r="R67" s="348"/>
      <c r="S67" s="348"/>
      <c r="T67" s="388" t="b">
        <f ca="1">AND(F67&gt;0,Y67&gt;0)</f>
        <v>0</v>
      </c>
      <c r="U67" s="348"/>
      <c r="V67" s="348"/>
      <c r="W67" s="677" t="s">
        <v>172</v>
      </c>
      <c r="X67" s="2032"/>
      <c r="Y67" s="41">
        <v>0</v>
      </c>
      <c r="Z67" s="2012"/>
      <c r="AA67" s="342" t="s">
        <v>173</v>
      </c>
      <c r="AB67" s="613" t="str">
        <f>"10."&amp;Y67</f>
        <v>10.0</v>
      </c>
      <c r="AC67" s="1418"/>
      <c r="AD67" s="218" t="s">
        <v>831</v>
      </c>
      <c r="AE67" s="1415"/>
      <c r="AF67" s="1415"/>
      <c r="AG67" s="1415"/>
      <c r="AH67" s="1415"/>
      <c r="AI67" s="147"/>
      <c r="AJ67" s="1415"/>
      <c r="AK67" s="1415"/>
      <c r="AL67" s="1415"/>
      <c r="AM67" s="1415"/>
      <c r="AN67" s="1415"/>
      <c r="AO67" s="1415"/>
      <c r="AP67" s="1415"/>
      <c r="AQ67" s="1415"/>
      <c r="AR67" s="1415"/>
      <c r="AS67" s="147"/>
      <c r="AT67" s="1415"/>
      <c r="AU67" s="1415"/>
      <c r="AV67" s="1415"/>
      <c r="AW67" s="1415"/>
      <c r="AX67" s="1415"/>
      <c r="AY67" s="1415"/>
      <c r="AZ67" s="1415"/>
      <c r="BA67" s="1415"/>
      <c r="BB67" s="1415"/>
      <c r="BC67" s="1365"/>
      <c r="BD67" s="41"/>
      <c r="BE67" s="1217"/>
      <c r="BF67" s="947" t="s">
        <v>1255</v>
      </c>
      <c r="BG67" s="947" t="s">
        <v>1256</v>
      </c>
      <c r="BH67" s="959" cm="1">
        <f t="array" ref="BH67">AC67</f>
        <v>0</v>
      </c>
      <c r="BI67" s="1080"/>
      <c r="BJ67" s="600" t="b">
        <v>1</v>
      </c>
    </row>
    <row r="68" spans="1:62" s="461" customFormat="1" ht="14.25" customHeight="1" x14ac:dyDescent="0.15">
      <c r="A68" s="1217"/>
      <c r="B68" s="757"/>
      <c r="C68" s="348"/>
      <c r="D68" s="348"/>
      <c r="E68" s="543">
        <v>15</v>
      </c>
      <c r="F68" s="3" t="str" cm="1">
        <f t="array" aca="1" ref="F68" ca="1">OFFSET(E68,-1,1)</f>
        <v>2</v>
      </c>
      <c r="G68" s="348"/>
      <c r="H68" s="1217"/>
      <c r="I68" s="348" t="str">
        <f>"!=='не определено'"</f>
        <v>!=='не определено'</v>
      </c>
      <c r="J68" s="348"/>
      <c r="K68" s="348"/>
      <c r="L68" s="348"/>
      <c r="M68" s="348"/>
      <c r="N68" s="348"/>
      <c r="O68" s="348"/>
      <c r="P68" s="348"/>
      <c r="Q68" s="348"/>
      <c r="R68" s="348"/>
      <c r="S68" s="348"/>
      <c r="T68" s="388" t="b">
        <f ca="1">F68&gt;0</f>
        <v>1</v>
      </c>
      <c r="U68" s="348"/>
      <c r="V68" s="348"/>
      <c r="W68" s="677" t="s">
        <v>396</v>
      </c>
      <c r="X68" s="2032"/>
      <c r="Y68" s="1217"/>
      <c r="Z68" s="2012"/>
      <c r="AA68" s="1217"/>
      <c r="AB68" s="695"/>
      <c r="AC68" s="178" t="s">
        <v>176</v>
      </c>
      <c r="AD68" s="696"/>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2"/>
      <c r="BD68" s="1217"/>
      <c r="BE68" s="1217"/>
      <c r="BF68" s="906"/>
      <c r="BG68" s="906"/>
      <c r="BH68" s="906"/>
      <c r="BI68" s="542" t="s">
        <v>1256</v>
      </c>
      <c r="BJ68" s="542"/>
    </row>
    <row r="69" spans="1:62" s="1334" customFormat="1" ht="10.9" customHeight="1" x14ac:dyDescent="0.15">
      <c r="B69" s="746"/>
      <c r="C69"/>
      <c r="D69"/>
      <c r="E69" s="595">
        <v>11.25</v>
      </c>
      <c r="F69" s="4"/>
      <c r="G69"/>
      <c r="H69"/>
      <c r="I69"/>
      <c r="J69"/>
      <c r="K69"/>
      <c r="L69"/>
      <c r="M69"/>
      <c r="N69"/>
      <c r="O69"/>
      <c r="P69"/>
      <c r="Q69"/>
      <c r="R69"/>
      <c r="S69"/>
      <c r="T69"/>
      <c r="U69" t="s">
        <v>176</v>
      </c>
      <c r="V69" s="768" t="s">
        <v>1262</v>
      </c>
      <c r="AC69" s="19"/>
      <c r="AD69" s="19"/>
      <c r="AE69" s="19"/>
      <c r="AF69" s="19"/>
      <c r="AQ69" s="20"/>
      <c r="BF69" s="913"/>
      <c r="BG69" s="913"/>
      <c r="BH69" s="913"/>
      <c r="BI69" s="548"/>
      <c r="BJ69" s="548"/>
    </row>
    <row r="70" spans="1:62" s="1334" customFormat="1" ht="14.65" customHeight="1" x14ac:dyDescent="0.15">
      <c r="A70" s="17"/>
      <c r="B70" s="758"/>
      <c r="C70" s="416"/>
      <c r="D70" s="416"/>
      <c r="E70" s="759">
        <v>15</v>
      </c>
      <c r="F70" s="416"/>
      <c r="G70" s="416"/>
      <c r="H70" s="416"/>
      <c r="I70" s="416"/>
      <c r="J70" s="416"/>
      <c r="K70" s="416"/>
      <c r="L70" s="416"/>
      <c r="M70" s="416"/>
      <c r="N70" s="416"/>
      <c r="O70" s="416"/>
      <c r="P70" s="416"/>
      <c r="Q70" s="416"/>
      <c r="R70" s="416"/>
      <c r="S70" s="416"/>
      <c r="T70" s="416"/>
      <c r="U70" s="416"/>
      <c r="V70" s="416"/>
      <c r="W70" s="17"/>
      <c r="X70" s="17"/>
      <c r="Y70" s="17"/>
      <c r="Z70" s="17"/>
      <c r="AA70" s="17"/>
      <c r="AB70" s="2035" t="s">
        <v>402</v>
      </c>
      <c r="AC70" s="2035"/>
      <c r="AD70" s="2035"/>
      <c r="AE70" s="2035"/>
      <c r="AF70" s="2035"/>
      <c r="AG70" s="2035"/>
      <c r="AH70" s="2035"/>
      <c r="AI70" s="2068"/>
      <c r="AJ70" s="2068"/>
      <c r="AK70" s="2068"/>
      <c r="AL70" s="2068"/>
      <c r="AM70" s="2068"/>
      <c r="AN70" s="2068"/>
      <c r="AO70" s="2068"/>
      <c r="AP70" s="2068"/>
      <c r="AQ70" s="2068"/>
      <c r="AR70" s="2068"/>
      <c r="AS70" s="2068"/>
      <c r="AT70" s="2068"/>
      <c r="AU70" s="2068"/>
      <c r="AV70" s="2068"/>
      <c r="AW70" s="2068"/>
      <c r="AX70" s="2068"/>
      <c r="AY70" s="2068"/>
      <c r="AZ70" s="2068"/>
      <c r="BA70" s="2068"/>
      <c r="BB70" s="2068"/>
      <c r="BC70" s="2068"/>
      <c r="BD70" s="17"/>
      <c r="BF70" s="913"/>
      <c r="BG70" s="913"/>
      <c r="BH70" s="913"/>
      <c r="BI70" s="548"/>
      <c r="BJ70" s="548"/>
    </row>
    <row r="71" spans="1:62" s="1334" customFormat="1" ht="14.65" customHeight="1" x14ac:dyDescent="0.15">
      <c r="A71" s="17"/>
      <c r="B71" s="758"/>
      <c r="C71" s="416"/>
      <c r="D71" s="416"/>
      <c r="E71" s="759">
        <v>15</v>
      </c>
      <c r="F71" s="416"/>
      <c r="G71" s="416"/>
      <c r="H71" s="416"/>
      <c r="I71" s="416"/>
      <c r="J71" s="416"/>
      <c r="K71" s="416"/>
      <c r="L71" s="416"/>
      <c r="M71" s="416"/>
      <c r="N71" s="416"/>
      <c r="O71" s="416"/>
      <c r="P71" s="416"/>
      <c r="Q71" s="416"/>
      <c r="R71" s="416"/>
      <c r="S71" s="416"/>
      <c r="T71" s="416"/>
      <c r="U71" s="416"/>
      <c r="V71" s="416"/>
      <c r="W71" s="17"/>
      <c r="X71" s="17"/>
      <c r="Y71" s="17"/>
      <c r="Z71" s="17"/>
      <c r="AA71" s="92"/>
      <c r="AB71" s="2069" t="s">
        <v>1263</v>
      </c>
      <c r="AC71" s="2069"/>
      <c r="AD71" s="2069"/>
      <c r="AE71" s="2069"/>
      <c r="AF71" s="2069"/>
      <c r="AG71" s="2069"/>
      <c r="AH71" s="2069"/>
      <c r="AI71" s="2070"/>
      <c r="AJ71" s="2082"/>
      <c r="AK71" s="2082"/>
      <c r="AL71" s="2082"/>
      <c r="AM71" s="2082"/>
      <c r="AN71" s="2082"/>
      <c r="AO71" s="2082"/>
      <c r="AP71" s="2082"/>
      <c r="AQ71" s="2082"/>
      <c r="AR71" s="2082"/>
      <c r="AS71" s="2070"/>
      <c r="AT71" s="2082"/>
      <c r="AU71" s="2082"/>
      <c r="AV71" s="2082"/>
      <c r="AW71" s="2082"/>
      <c r="AX71" s="2082"/>
      <c r="AY71" s="2082"/>
      <c r="AZ71" s="2082"/>
      <c r="BA71" s="2082"/>
      <c r="BB71" s="2082"/>
      <c r="BC71" s="2070"/>
      <c r="BD71" s="17"/>
      <c r="BF71" s="913"/>
      <c r="BG71" s="913"/>
      <c r="BH71" s="913"/>
      <c r="BI71" s="548"/>
      <c r="BJ71" s="548"/>
    </row>
    <row r="72" spans="1:62" s="1334" customFormat="1" ht="14.65" hidden="1" customHeight="1" x14ac:dyDescent="0.15">
      <c r="A72" s="17"/>
      <c r="B72" s="349"/>
      <c r="C72" s="17"/>
      <c r="D72" s="17"/>
      <c r="E72" s="556">
        <v>15</v>
      </c>
      <c r="F72" s="17"/>
      <c r="G72" s="17"/>
      <c r="H72" s="17"/>
      <c r="I72" s="17"/>
      <c r="J72" s="17"/>
      <c r="K72" s="17"/>
      <c r="L72" s="17"/>
      <c r="M72" s="17"/>
      <c r="N72" s="17"/>
      <c r="O72" s="17"/>
      <c r="P72" s="17"/>
      <c r="Q72" s="17"/>
      <c r="R72" s="17"/>
      <c r="S72" s="17"/>
      <c r="T72" s="388" t="b">
        <f>ROW(W72)&gt;ROW(W$72)</f>
        <v>0</v>
      </c>
      <c r="U72" s="17"/>
      <c r="V72" s="17"/>
      <c r="W72" s="677" t="s">
        <v>172</v>
      </c>
      <c r="X72" s="17"/>
      <c r="Y72" s="17"/>
      <c r="Z72" s="17"/>
      <c r="AA72" s="342" t="s">
        <v>173</v>
      </c>
      <c r="AB72" s="2081" t="s">
        <v>147</v>
      </c>
      <c r="AC72" s="2081"/>
      <c r="AD72" s="2081"/>
      <c r="AE72" s="2081"/>
      <c r="AF72" s="2081"/>
      <c r="AG72" s="2081"/>
      <c r="AH72" s="2081"/>
      <c r="AI72" s="2070"/>
      <c r="AJ72" s="2082"/>
      <c r="AK72" s="2082"/>
      <c r="AL72" s="2082"/>
      <c r="AM72" s="2082"/>
      <c r="AN72" s="2082"/>
      <c r="AO72" s="2082"/>
      <c r="AP72" s="2082"/>
      <c r="AQ72" s="2082"/>
      <c r="AR72" s="2082"/>
      <c r="AS72" s="2070"/>
      <c r="AT72" s="2082"/>
      <c r="AU72" s="2082"/>
      <c r="AV72" s="2082"/>
      <c r="AW72" s="2082"/>
      <c r="AX72" s="2082"/>
      <c r="AY72" s="2082"/>
      <c r="AZ72" s="2082"/>
      <c r="BA72" s="2082"/>
      <c r="BB72" s="2082"/>
      <c r="BC72" s="2082"/>
      <c r="BD72" s="17"/>
      <c r="BF72" s="913"/>
      <c r="BG72" s="913"/>
      <c r="BH72" s="913"/>
      <c r="BI72" s="548"/>
      <c r="BJ72" s="548"/>
    </row>
    <row r="73" spans="1:62" s="1334" customFormat="1" ht="14.65" customHeight="1" x14ac:dyDescent="0.15">
      <c r="A73" s="17"/>
      <c r="B73" s="349"/>
      <c r="C73" s="17"/>
      <c r="D73" s="17"/>
      <c r="E73" s="556">
        <v>15</v>
      </c>
      <c r="F73" s="17"/>
      <c r="G73" s="17"/>
      <c r="H73" s="17"/>
      <c r="I73" s="17"/>
      <c r="J73" s="17"/>
      <c r="K73" s="17"/>
      <c r="L73" s="17"/>
      <c r="M73" s="17"/>
      <c r="N73" s="17"/>
      <c r="O73" s="17"/>
      <c r="P73" s="17"/>
      <c r="Q73" s="17"/>
      <c r="R73" s="17"/>
      <c r="S73" s="17"/>
      <c r="T73" s="17"/>
      <c r="U73" s="17"/>
      <c r="V73" s="17"/>
      <c r="W73" s="677" t="s">
        <v>403</v>
      </c>
      <c r="X73" s="17"/>
      <c r="Y73" s="17"/>
      <c r="Z73" s="17"/>
      <c r="AA73" s="17"/>
      <c r="AB73" s="571"/>
      <c r="AC73" s="437" t="s">
        <v>1209</v>
      </c>
      <c r="AD73" s="227"/>
      <c r="AE73" s="227"/>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9"/>
      <c r="BD73" s="17"/>
      <c r="BF73" s="913"/>
      <c r="BG73" s="913"/>
      <c r="BH73" s="913"/>
      <c r="BI73" s="548"/>
      <c r="BJ73" s="548"/>
    </row>
    <row r="74" spans="1:62" s="1334" customFormat="1" ht="10.9" customHeight="1" x14ac:dyDescent="0.15">
      <c r="A74" s="68"/>
      <c r="B74" s="364"/>
      <c r="C74" s="68"/>
      <c r="D74" s="68"/>
      <c r="E74" s="600">
        <v>11.25</v>
      </c>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348"/>
      <c r="BF74" s="913"/>
      <c r="BG74" s="913"/>
      <c r="BH74" s="913"/>
      <c r="BI74" s="548"/>
      <c r="BJ74" s="548"/>
    </row>
  </sheetData>
  <sheetProtection formatColumns="0" formatRows="0" insertRows="0" deleteColumns="0" deleteRows="0" sort="0" autoFilter="0"/>
  <mergeCells count="13">
    <mergeCell ref="X27:X40"/>
    <mergeCell ref="Z27:Z40"/>
    <mergeCell ref="AB70:BC70"/>
    <mergeCell ref="AB71:BC71"/>
    <mergeCell ref="X41:X54"/>
    <mergeCell ref="Z41:Z54"/>
    <mergeCell ref="X55:X68"/>
    <mergeCell ref="Z55:Z68"/>
    <mergeCell ref="AB24:AB25"/>
    <mergeCell ref="AC24:AC25"/>
    <mergeCell ref="AD24:AD25"/>
    <mergeCell ref="BC24:BC25"/>
    <mergeCell ref="AB72:BC72"/>
  </mergeCells>
  <dataValidations count="2">
    <dataValidation allowBlank="1" showInputMessage="1" showErrorMessage="1" sqref="AI70:BC65525" xr:uid="{00000000-0002-0000-1500-000000000000}"/>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AE57 AF57 AG57 AH57 AI57 AJ57 AK57 AL57 AM57 AN57 AO57 AP57 AQ57 AR57 AS57 AT57 AU57 AV57 AW57 AX57 AY57 AZ57 BA57 BB57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7 AF67 AG67 AH67 AI67 AJ67 AK67 AL67 AM67 AN67 AO67 AP67 AQ67 AR67 AS67 AT67 AU67 AV67 AW67" xr:uid="{00000000-0002-0000-1500-000001000000}">
      <formula1>0</formula1>
      <formula2>9.99999999999999E+23</formula2>
    </dataValidation>
  </dataValidations>
  <pageMargins left="0.35" right="0.35" top="0.4" bottom="0.4" header="0.31" footer="0.31"/>
  <pageSetup paperSize="9" scale="30" fitToHeight="0"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B9FAE-5DE8-2318-A968-F49FE2A13D18}">
  <sheetPr>
    <tabColor rgb="FF002060"/>
    <outlinePr summaryBelow="0" summaryRight="0"/>
    <pageSetUpPr fitToPage="1"/>
  </sheetPr>
  <dimension ref="A1:BH121"/>
  <sheetViews>
    <sheetView showGridLines="0" workbookViewId="0">
      <pane xSplit="30" ySplit="27" topLeftCell="AE112" activePane="bottomRight" state="frozen"/>
      <selection pane="topRight" activeCell="AE1" sqref="AE1"/>
      <selection pane="bottomLeft" activeCell="A28" sqref="A28"/>
      <selection pane="bottomRight" activeCell="AU90" sqref="AU90"/>
    </sheetView>
  </sheetViews>
  <sheetFormatPr defaultColWidth="8.85546875" defaultRowHeight="11.25" customHeight="1" x14ac:dyDescent="0.15"/>
  <cols>
    <col min="1" max="1" width="3.5703125" style="1217" hidden="1" customWidth="1"/>
    <col min="2" max="2" width="8.5703125" style="1111" hidden="1" customWidth="1"/>
    <col min="3" max="4" width="3.5703125" style="1217" hidden="1" customWidth="1"/>
    <col min="5" max="5" width="3.5703125" style="1080" hidden="1" customWidth="1"/>
    <col min="6" max="6" width="3.5703125" style="1217" hidden="1" customWidth="1"/>
    <col min="7" max="7" width="7.7109375" style="1217" hidden="1" customWidth="1"/>
    <col min="8" max="10" width="3.5703125" style="1217" hidden="1" customWidth="1"/>
    <col min="11" max="11" width="7.140625" style="1217" hidden="1" customWidth="1"/>
    <col min="12" max="18" width="3.5703125" style="1217" hidden="1" customWidth="1"/>
    <col min="19" max="19" width="9.28515625" style="1217" hidden="1" customWidth="1"/>
    <col min="20" max="20" width="12.140625" style="1217" hidden="1" customWidth="1"/>
    <col min="21" max="21" width="5.85546875" style="1217" hidden="1" customWidth="1"/>
    <col min="22" max="23" width="6.140625" style="1217" hidden="1" customWidth="1"/>
    <col min="24" max="25" width="5.5703125" style="1217" hidden="1" customWidth="1"/>
    <col min="26" max="26" width="5.28515625" style="1217" hidden="1" customWidth="1"/>
    <col min="27" max="27" width="3" style="1217" customWidth="1"/>
    <col min="28" max="28" width="11" style="1217" customWidth="1"/>
    <col min="29" max="29" width="54" style="1217" customWidth="1"/>
    <col min="30" max="30" width="11.140625" style="1217" customWidth="1"/>
    <col min="31" max="31" width="14.140625" style="1217" customWidth="1"/>
    <col min="32" max="32" width="12.5703125" style="1217" customWidth="1"/>
    <col min="33" max="33" width="14.28515625" style="1217" customWidth="1"/>
    <col min="34" max="34" width="14.42578125" style="1217" customWidth="1"/>
    <col min="35" max="35" width="14.28515625" style="1217" customWidth="1"/>
    <col min="36" max="37" width="12.5703125" style="1217" customWidth="1"/>
    <col min="38" max="46" width="12.5703125" style="1217" hidden="1" customWidth="1"/>
    <col min="47" max="47" width="12.5703125" style="1217" customWidth="1"/>
    <col min="48" max="56" width="12.5703125" style="1217" hidden="1" customWidth="1"/>
    <col min="57" max="57" width="20" style="1217" customWidth="1"/>
    <col min="58" max="58" width="3" style="1217" customWidth="1"/>
    <col min="59" max="59" width="8.85546875" style="1217" hidden="1"/>
    <col min="60" max="60" width="8.85546875" style="1133" hidden="1"/>
  </cols>
  <sheetData>
    <row r="1" spans="1:60" ht="11.25" hidden="1" customHeight="1" x14ac:dyDescent="0.15">
      <c r="E1" s="41"/>
      <c r="F1" s="41" t="s">
        <v>319</v>
      </c>
      <c r="H1" s="41" t="s">
        <v>330</v>
      </c>
      <c r="T1" s="388" t="s">
        <v>92</v>
      </c>
      <c r="U1" s="388" t="s">
        <v>97</v>
      </c>
      <c r="V1" s="388" t="s">
        <v>93</v>
      </c>
      <c r="W1" s="388" t="s">
        <v>94</v>
      </c>
      <c r="X1" s="388" t="s">
        <v>95</v>
      </c>
      <c r="Y1" s="390" t="s">
        <v>321</v>
      </c>
      <c r="Z1" s="388" t="s">
        <v>99</v>
      </c>
      <c r="AA1" s="389" t="s">
        <v>96</v>
      </c>
      <c r="AB1" s="389" t="s">
        <v>98</v>
      </c>
      <c r="AC1" s="389" t="s">
        <v>98</v>
      </c>
      <c r="BH1" s="906" t="s">
        <v>322</v>
      </c>
    </row>
    <row r="2" spans="1:60" s="1111" customFormat="1" ht="11.25" hidden="1" customHeight="1" x14ac:dyDescent="0.15">
      <c r="B2" s="368" t="s">
        <v>18</v>
      </c>
      <c r="AK2" s="368" t="b">
        <f t="shared" ref="AK2:BD2" si="0">AK6&lt;=last_year_vis</f>
        <v>1</v>
      </c>
      <c r="AL2" s="368" t="b">
        <f t="shared" si="0"/>
        <v>0</v>
      </c>
      <c r="AM2" s="368" t="b">
        <f t="shared" si="0"/>
        <v>0</v>
      </c>
      <c r="AN2" s="368" t="b">
        <f t="shared" si="0"/>
        <v>0</v>
      </c>
      <c r="AO2" s="368" t="b">
        <f t="shared" si="0"/>
        <v>0</v>
      </c>
      <c r="AP2" s="368" t="b">
        <f t="shared" si="0"/>
        <v>0</v>
      </c>
      <c r="AQ2" s="368" t="b">
        <f t="shared" si="0"/>
        <v>0</v>
      </c>
      <c r="AR2" s="368" t="b">
        <f t="shared" si="0"/>
        <v>0</v>
      </c>
      <c r="AS2" s="368" t="b">
        <f t="shared" si="0"/>
        <v>0</v>
      </c>
      <c r="AT2" s="368" t="b">
        <f t="shared" si="0"/>
        <v>0</v>
      </c>
      <c r="AU2" s="368" t="b">
        <f t="shared" si="0"/>
        <v>1</v>
      </c>
      <c r="AV2" s="368" t="b">
        <f t="shared" si="0"/>
        <v>0</v>
      </c>
      <c r="AW2" s="368" t="b">
        <f t="shared" si="0"/>
        <v>0</v>
      </c>
      <c r="AX2" s="368" t="b">
        <f t="shared" si="0"/>
        <v>0</v>
      </c>
      <c r="AY2" s="368" t="b">
        <f t="shared" si="0"/>
        <v>0</v>
      </c>
      <c r="AZ2" s="368" t="b">
        <f t="shared" si="0"/>
        <v>0</v>
      </c>
      <c r="BA2" s="368" t="b">
        <f t="shared" si="0"/>
        <v>0</v>
      </c>
      <c r="BB2" s="368" t="b">
        <f t="shared" si="0"/>
        <v>0</v>
      </c>
      <c r="BC2" s="368" t="b">
        <f t="shared" si="0"/>
        <v>0</v>
      </c>
      <c r="BD2" s="368" t="b">
        <f t="shared" si="0"/>
        <v>0</v>
      </c>
      <c r="BH2" s="918"/>
    </row>
    <row r="3" spans="1:60" ht="11.25" hidden="1" customHeight="1" x14ac:dyDescent="0.15">
      <c r="E3" s="41"/>
    </row>
    <row r="4" spans="1:60" ht="11.25" hidden="1" customHeight="1" x14ac:dyDescent="0.15">
      <c r="E4" s="41"/>
    </row>
    <row r="5" spans="1:60" s="1080" customFormat="1" ht="11.25" hidden="1" customHeight="1" x14ac:dyDescent="0.15">
      <c r="A5" s="41"/>
      <c r="B5" s="350"/>
      <c r="C5" s="41"/>
      <c r="D5" s="41"/>
      <c r="E5" s="542" t="s">
        <v>19</v>
      </c>
      <c r="AA5" s="542">
        <v>3</v>
      </c>
      <c r="AB5" s="542">
        <v>11</v>
      </c>
      <c r="AC5" s="542">
        <v>54</v>
      </c>
      <c r="AD5" s="542">
        <v>11.14</v>
      </c>
      <c r="AE5" s="542">
        <v>14.14</v>
      </c>
      <c r="AF5" s="542">
        <v>12.57</v>
      </c>
      <c r="AG5" s="542">
        <v>14.29</v>
      </c>
      <c r="AH5" s="542">
        <v>14.43</v>
      </c>
      <c r="AI5" s="542">
        <v>14.29</v>
      </c>
      <c r="AJ5" s="542">
        <v>12.57</v>
      </c>
      <c r="AK5" s="542">
        <v>12.57</v>
      </c>
      <c r="AL5" s="542">
        <v>12.57</v>
      </c>
      <c r="AM5" s="542">
        <v>12.57</v>
      </c>
      <c r="AN5" s="542">
        <v>12.57</v>
      </c>
      <c r="AO5" s="542">
        <v>12.57</v>
      </c>
      <c r="AP5" s="542">
        <v>12.57</v>
      </c>
      <c r="AQ5" s="542">
        <v>12.57</v>
      </c>
      <c r="AR5" s="542">
        <v>12.57</v>
      </c>
      <c r="AS5" s="542">
        <v>12.57</v>
      </c>
      <c r="AT5" s="542">
        <v>12.57</v>
      </c>
      <c r="AU5" s="542">
        <v>12.57</v>
      </c>
      <c r="AV5" s="542">
        <v>12.57</v>
      </c>
      <c r="AW5" s="542">
        <v>12.57</v>
      </c>
      <c r="AX5" s="542">
        <v>12.57</v>
      </c>
      <c r="AY5" s="542">
        <v>12.57</v>
      </c>
      <c r="AZ5" s="542">
        <v>12.57</v>
      </c>
      <c r="BA5" s="542">
        <v>12.57</v>
      </c>
      <c r="BB5" s="542">
        <v>12.57</v>
      </c>
      <c r="BC5" s="542">
        <v>12.57</v>
      </c>
      <c r="BD5" s="542">
        <v>12.57</v>
      </c>
      <c r="BE5" s="542">
        <v>20</v>
      </c>
      <c r="BF5" s="542">
        <v>3</v>
      </c>
      <c r="BH5" s="906"/>
    </row>
    <row r="6" spans="1:60" ht="11.25" hidden="1" customHeight="1" x14ac:dyDescent="0.15">
      <c r="A6" s="41" t="s">
        <v>357</v>
      </c>
      <c r="AE6" s="41">
        <f>god-2</f>
        <v>2024</v>
      </c>
      <c r="AF6" s="41">
        <f>god-2</f>
        <v>2024</v>
      </c>
      <c r="AG6" s="41">
        <f>god-2</f>
        <v>2024</v>
      </c>
      <c r="AH6" s="41">
        <f>god-2</f>
        <v>2024</v>
      </c>
      <c r="AI6" s="41">
        <f>god-1</f>
        <v>2025</v>
      </c>
      <c r="AJ6" s="41">
        <f>god-1</f>
        <v>2025</v>
      </c>
      <c r="AK6" s="17" cm="1">
        <f t="array" ref="AK6">god</f>
        <v>2026</v>
      </c>
      <c r="AL6" s="17">
        <f>god+1</f>
        <v>2027</v>
      </c>
      <c r="AM6" s="17">
        <f>god+2</f>
        <v>2028</v>
      </c>
      <c r="AN6" s="17">
        <f>god+3</f>
        <v>2029</v>
      </c>
      <c r="AO6" s="17">
        <f>god+4</f>
        <v>2030</v>
      </c>
      <c r="AP6" s="17">
        <f>god+5</f>
        <v>2031</v>
      </c>
      <c r="AQ6" s="17">
        <f>god+6</f>
        <v>2032</v>
      </c>
      <c r="AR6" s="17">
        <f>god+7</f>
        <v>2033</v>
      </c>
      <c r="AS6" s="17">
        <f>god+8</f>
        <v>2034</v>
      </c>
      <c r="AT6" s="17">
        <f>god+9</f>
        <v>2035</v>
      </c>
      <c r="AU6" s="17" cm="1">
        <f t="array" ref="AU6">god</f>
        <v>2026</v>
      </c>
      <c r="AV6" s="17">
        <f>god+1</f>
        <v>2027</v>
      </c>
      <c r="AW6" s="17">
        <f>god+2</f>
        <v>2028</v>
      </c>
      <c r="AX6" s="17">
        <f>god+3</f>
        <v>2029</v>
      </c>
      <c r="AY6" s="17">
        <f>god+4</f>
        <v>2030</v>
      </c>
      <c r="AZ6" s="17">
        <f>god+5</f>
        <v>2031</v>
      </c>
      <c r="BA6" s="17">
        <f>god+6</f>
        <v>2032</v>
      </c>
      <c r="BB6" s="17">
        <f>god+7</f>
        <v>2033</v>
      </c>
      <c r="BC6" s="17">
        <f>god+8</f>
        <v>2034</v>
      </c>
      <c r="BD6" s="17">
        <f>god+9</f>
        <v>2035</v>
      </c>
    </row>
    <row r="7" spans="1:60" ht="11.25" hidden="1" customHeight="1" x14ac:dyDescent="0.15">
      <c r="A7" s="41" t="s">
        <v>358</v>
      </c>
      <c r="AE7" s="41" t="str" cm="1">
        <f t="array" ref="AE7">AE27</f>
        <v>Плановый размер финансирования утвержденной инвестиционной программы</v>
      </c>
      <c r="AF7" s="41" t="str" cm="1">
        <f t="array" ref="AF7">AF27</f>
        <v>Принято органом регулирования</v>
      </c>
      <c r="AG7" s="41" t="str" cm="1">
        <f t="array" ref="AG7">AG27</f>
        <v>Объем фактического ввода объектов системы водоснабжения и водоотведения в эксплуатацию по данным организации</v>
      </c>
      <c r="AH7" s="41" t="str" cm="1">
        <f t="array" ref="AH7">AH27</f>
        <v>Объем фактического ввода объектов системы водоснабжения и водоотведения в эксплуатацию, принятый органом регулирования</v>
      </c>
      <c r="AI7" s="41" t="str" cm="1">
        <f t="array" ref="AI7">AI27</f>
        <v>Плановый размер финансирования утвержденной инвестиционной программы</v>
      </c>
      <c r="AJ7" s="41" t="str" cm="1">
        <f t="array" ref="AJ7">AJ27</f>
        <v>Принято органом регулирования</v>
      </c>
      <c r="AK7" s="41" t="str" cm="1">
        <f t="array" ref="AK7">AK27</f>
        <v>Предложение организации</v>
      </c>
      <c r="AL7" s="41" t="str" cm="1">
        <f t="array" ref="AL7">AL27</f>
        <v>Предложение организации</v>
      </c>
      <c r="AM7" s="41" t="str" cm="1">
        <f t="array" ref="AM7">AM27</f>
        <v>Предложение организации</v>
      </c>
      <c r="AN7" s="41" t="str" cm="1">
        <f t="array" ref="AN7">AN27</f>
        <v>Предложение организации</v>
      </c>
      <c r="AO7" s="41" t="str" cm="1">
        <f t="array" ref="AO7">AO27</f>
        <v>Предложение организации</v>
      </c>
      <c r="AP7" s="41" t="str" cm="1">
        <f t="array" ref="AP7">AP27</f>
        <v>Предложение организации</v>
      </c>
      <c r="AQ7" s="41" t="str" cm="1">
        <f t="array" ref="AQ7">AQ27</f>
        <v>Предложение организации</v>
      </c>
      <c r="AR7" s="41" t="str" cm="1">
        <f t="array" ref="AR7">AR27</f>
        <v>Предложение организации</v>
      </c>
      <c r="AS7" s="41" t="str" cm="1">
        <f t="array" ref="AS7">AS27</f>
        <v>Предложение организации</v>
      </c>
      <c r="AT7" s="41" t="str" cm="1">
        <f t="array" ref="AT7">AT27</f>
        <v>Предложение организации</v>
      </c>
      <c r="AU7" s="41" t="str" cm="1">
        <f t="array" ref="AU7">AU27</f>
        <v>Принято органом регулирования</v>
      </c>
      <c r="AV7" s="41" t="str" cm="1">
        <f t="array" ref="AV7">AV27</f>
        <v>Принято органом регулирования</v>
      </c>
      <c r="AW7" s="41" t="str" cm="1">
        <f t="array" ref="AW7">AW27</f>
        <v>Принято органом регулирования</v>
      </c>
      <c r="AX7" s="41" t="str" cm="1">
        <f t="array" ref="AX7">AX27</f>
        <v>Принято органом регулирования</v>
      </c>
      <c r="AY7" s="41" t="str" cm="1">
        <f t="array" ref="AY7">AY27</f>
        <v>Принято органом регулирования</v>
      </c>
      <c r="AZ7" s="41" t="str" cm="1">
        <f t="array" ref="AZ7">AZ27</f>
        <v>Принято органом регулирования</v>
      </c>
      <c r="BA7" s="41" t="str" cm="1">
        <f t="array" ref="BA7">BA27</f>
        <v>Принято органом регулирования</v>
      </c>
      <c r="BB7" s="41" t="str" cm="1">
        <f t="array" ref="BB7">BB27</f>
        <v>Принято органом регулирования</v>
      </c>
      <c r="BC7" s="41" t="str" cm="1">
        <f t="array" ref="BC7">BC27</f>
        <v>Принято органом регулирования</v>
      </c>
      <c r="BD7" s="41" t="str" cm="1">
        <f t="array" ref="BD7">BD27</f>
        <v>Принято органом регулирования</v>
      </c>
    </row>
    <row r="8" spans="1:60" ht="11.25" hidden="1" customHeight="1" x14ac:dyDescent="0.15"/>
    <row r="9" spans="1:60" s="1133" customFormat="1" ht="11.25" hidden="1" customHeight="1" x14ac:dyDescent="0.15">
      <c r="A9" s="947" t="s">
        <v>362</v>
      </c>
      <c r="B9" s="946"/>
      <c r="AE9" s="947" cm="1">
        <f t="array" ref="AE9">AE6</f>
        <v>2024</v>
      </c>
      <c r="AF9" s="947" cm="1">
        <f t="array" ref="AF9">AF6</f>
        <v>2024</v>
      </c>
      <c r="AG9" s="947" cm="1">
        <f t="array" ref="AG9">AG6</f>
        <v>2024</v>
      </c>
      <c r="AH9" s="947" cm="1">
        <f t="array" ref="AH9">AH6</f>
        <v>2024</v>
      </c>
      <c r="AI9" s="947" cm="1">
        <f t="array" ref="AI9">AI6</f>
        <v>2025</v>
      </c>
      <c r="AJ9" s="947" cm="1">
        <f t="array" ref="AJ9">AJ6</f>
        <v>2025</v>
      </c>
      <c r="AK9" s="947" cm="1">
        <f t="array" ref="AK9">AK6</f>
        <v>2026</v>
      </c>
      <c r="AL9" s="947" cm="1">
        <f t="array" ref="AL9">AL6</f>
        <v>2027</v>
      </c>
      <c r="AM9" s="947" cm="1">
        <f t="array" ref="AM9">AM6</f>
        <v>2028</v>
      </c>
      <c r="AN9" s="947" cm="1">
        <f t="array" ref="AN9">AN6</f>
        <v>2029</v>
      </c>
      <c r="AO9" s="947" cm="1">
        <f t="array" ref="AO9">AO6</f>
        <v>2030</v>
      </c>
      <c r="AP9" s="947" cm="1">
        <f t="array" ref="AP9">AP6</f>
        <v>2031</v>
      </c>
      <c r="AQ9" s="947" cm="1">
        <f t="array" ref="AQ9">AQ6</f>
        <v>2032</v>
      </c>
      <c r="AR9" s="947" cm="1">
        <f t="array" ref="AR9">AR6</f>
        <v>2033</v>
      </c>
      <c r="AS9" s="947" cm="1">
        <f t="array" ref="AS9">AS6</f>
        <v>2034</v>
      </c>
      <c r="AT9" s="947" cm="1">
        <f t="array" ref="AT9">AT6</f>
        <v>2035</v>
      </c>
      <c r="AU9" s="947" cm="1">
        <f t="array" ref="AU9">AU6</f>
        <v>2026</v>
      </c>
      <c r="AV9" s="947" cm="1">
        <f t="array" ref="AV9">AV6</f>
        <v>2027</v>
      </c>
      <c r="AW9" s="947" cm="1">
        <f t="array" ref="AW9">AW6</f>
        <v>2028</v>
      </c>
      <c r="AX9" s="947" cm="1">
        <f t="array" ref="AX9">AX6</f>
        <v>2029</v>
      </c>
      <c r="AY9" s="947" cm="1">
        <f t="array" ref="AY9">AY6</f>
        <v>2030</v>
      </c>
      <c r="AZ9" s="947" cm="1">
        <f t="array" ref="AZ9">AZ6</f>
        <v>2031</v>
      </c>
      <c r="BA9" s="947" cm="1">
        <f t="array" ref="BA9">BA6</f>
        <v>2032</v>
      </c>
      <c r="BB9" s="947" cm="1">
        <f t="array" ref="BB9">BB6</f>
        <v>2033</v>
      </c>
      <c r="BC9" s="947" cm="1">
        <f t="array" ref="BC9">BC6</f>
        <v>2034</v>
      </c>
      <c r="BD9" s="947" cm="1">
        <f t="array" ref="BD9">BD6</f>
        <v>2035</v>
      </c>
    </row>
    <row r="10" spans="1:60" s="1133" customFormat="1" ht="11.25" hidden="1" customHeight="1" x14ac:dyDescent="0.15">
      <c r="A10" s="947" t="s">
        <v>363</v>
      </c>
      <c r="B10" s="946"/>
      <c r="AE10" s="947" t="str" cm="1">
        <f t="array" ref="AE10">AE27</f>
        <v>Плановый размер финансирования утвержденной инвестиционной программы</v>
      </c>
      <c r="AF10" s="947" t="str" cm="1">
        <f t="array" ref="AF10">AF27</f>
        <v>Принято органом регулирования</v>
      </c>
      <c r="AG10" s="947" t="str" cm="1">
        <f t="array" ref="AG10">AG27</f>
        <v>Объем фактического ввода объектов системы водоснабжения и водоотведения в эксплуатацию по данным организации</v>
      </c>
      <c r="AH10" s="947" t="str" cm="1">
        <f t="array" ref="AH10">AH27</f>
        <v>Объем фактического ввода объектов системы водоснабжения и водоотведения в эксплуатацию, принятый органом регулирования</v>
      </c>
      <c r="AI10" s="947" t="str" cm="1">
        <f t="array" ref="AI10">AI27</f>
        <v>Плановый размер финансирования утвержденной инвестиционной программы</v>
      </c>
      <c r="AJ10" s="947" t="str" cm="1">
        <f t="array" ref="AJ10">AJ27</f>
        <v>Принято органом регулирования</v>
      </c>
      <c r="AK10" s="947" t="str" cm="1">
        <f t="array" ref="AK10">AK27</f>
        <v>Предложение организации</v>
      </c>
      <c r="AL10" s="947" t="str" cm="1">
        <f t="array" ref="AL10">AL27</f>
        <v>Предложение организации</v>
      </c>
      <c r="AM10" s="947" t="str" cm="1">
        <f t="array" ref="AM10">AM27</f>
        <v>Предложение организации</v>
      </c>
      <c r="AN10" s="947" t="str" cm="1">
        <f t="array" ref="AN10">AN27</f>
        <v>Предложение организации</v>
      </c>
      <c r="AO10" s="947" t="str" cm="1">
        <f t="array" ref="AO10">AO27</f>
        <v>Предложение организации</v>
      </c>
      <c r="AP10" s="947" t="str" cm="1">
        <f t="array" ref="AP10">AP27</f>
        <v>Предложение организации</v>
      </c>
      <c r="AQ10" s="947" t="str" cm="1">
        <f t="array" ref="AQ10">AQ27</f>
        <v>Предложение организации</v>
      </c>
      <c r="AR10" s="947" t="str" cm="1">
        <f t="array" ref="AR10">AR27</f>
        <v>Предложение организации</v>
      </c>
      <c r="AS10" s="947" t="str" cm="1">
        <f t="array" ref="AS10">AS27</f>
        <v>Предложение организации</v>
      </c>
      <c r="AT10" s="947" t="str" cm="1">
        <f t="array" ref="AT10">AT27</f>
        <v>Предложение организации</v>
      </c>
      <c r="AU10" s="947" t="str" cm="1">
        <f t="array" ref="AU10">AU27</f>
        <v>Принято органом регулирования</v>
      </c>
      <c r="AV10" s="947" t="str" cm="1">
        <f t="array" ref="AV10">AV27</f>
        <v>Принято органом регулирования</v>
      </c>
      <c r="AW10" s="947" t="str" cm="1">
        <f t="array" ref="AW10">AW27</f>
        <v>Принято органом регулирования</v>
      </c>
      <c r="AX10" s="947" t="str" cm="1">
        <f t="array" ref="AX10">AX27</f>
        <v>Принято органом регулирования</v>
      </c>
      <c r="AY10" s="947" t="str" cm="1">
        <f t="array" ref="AY10">AY27</f>
        <v>Принято органом регулирования</v>
      </c>
      <c r="AZ10" s="947" t="str" cm="1">
        <f t="array" ref="AZ10">AZ27</f>
        <v>Принято органом регулирования</v>
      </c>
      <c r="BA10" s="947" t="str" cm="1">
        <f t="array" ref="BA10">BA27</f>
        <v>Принято органом регулирования</v>
      </c>
      <c r="BB10" s="947" t="str" cm="1">
        <f t="array" ref="BB10">BB27</f>
        <v>Принято органом регулирования</v>
      </c>
      <c r="BC10" s="947" t="str" cm="1">
        <f t="array" ref="BC10">BC27</f>
        <v>Принято органом регулирования</v>
      </c>
      <c r="BD10" s="947" t="str" cm="1">
        <f t="array" ref="BD10">BD27</f>
        <v>Принято органом регулирования</v>
      </c>
    </row>
    <row r="11" spans="1:60" s="1133" customFormat="1" ht="11.25" hidden="1" customHeight="1" x14ac:dyDescent="0.15">
      <c r="A11" s="947" t="s">
        <v>364</v>
      </c>
      <c r="B11" s="946"/>
      <c r="BE11" s="906" t="str" cm="1">
        <f t="array" ref="BE11">BE26</f>
        <v>Ссылка на правовую норму (основание для принятия показателя в расчет тарифа)</v>
      </c>
    </row>
    <row r="12" spans="1:60" ht="11.25" hidden="1" customHeight="1" x14ac:dyDescent="0.15"/>
    <row r="13" spans="1:60" ht="11.25" hidden="1" customHeight="1" x14ac:dyDescent="0.15">
      <c r="AK13" s="17"/>
      <c r="AL13" s="17"/>
      <c r="AM13" s="17"/>
      <c r="AN13" s="17"/>
      <c r="AO13" s="17"/>
      <c r="AP13" s="17"/>
      <c r="AQ13" s="17"/>
      <c r="AR13" s="17"/>
      <c r="AS13" s="17"/>
      <c r="AT13" s="17"/>
      <c r="AU13" s="17"/>
      <c r="AV13" s="17"/>
      <c r="AW13" s="17"/>
      <c r="AX13" s="17"/>
      <c r="AY13" s="17"/>
      <c r="AZ13" s="17"/>
      <c r="BA13" s="17"/>
      <c r="BB13" s="17"/>
      <c r="BC13" s="17"/>
      <c r="BD13" s="17"/>
    </row>
    <row r="14" spans="1:60" ht="11.25" hidden="1" customHeight="1" x14ac:dyDescent="0.15">
      <c r="AK14" s="17"/>
      <c r="AL14" s="17"/>
      <c r="AM14" s="17"/>
      <c r="AN14" s="17"/>
      <c r="AO14" s="17"/>
      <c r="AP14" s="17"/>
      <c r="AQ14" s="17"/>
      <c r="AR14" s="17"/>
      <c r="AS14" s="17"/>
      <c r="AT14" s="17"/>
      <c r="AU14" s="17"/>
      <c r="AV14" s="17"/>
      <c r="AW14" s="17"/>
      <c r="AX14" s="17"/>
      <c r="AY14" s="17"/>
      <c r="AZ14" s="17"/>
      <c r="BA14" s="17"/>
      <c r="BB14" s="17"/>
      <c r="BC14" s="17"/>
      <c r="BD14" s="17"/>
    </row>
    <row r="15" spans="1:60" ht="11.25" hidden="1" customHeight="1" x14ac:dyDescent="0.15">
      <c r="AK15" s="17"/>
      <c r="AL15" s="17"/>
      <c r="AM15" s="17"/>
      <c r="AN15" s="17"/>
      <c r="AO15" s="17"/>
      <c r="AP15" s="17"/>
      <c r="AQ15" s="17"/>
      <c r="AR15" s="17"/>
      <c r="AS15" s="17"/>
      <c r="AT15" s="17"/>
      <c r="AU15" s="17"/>
      <c r="AV15" s="17"/>
      <c r="AW15" s="17"/>
      <c r="AX15" s="17"/>
      <c r="AY15" s="17"/>
      <c r="AZ15" s="17"/>
      <c r="BA15" s="17"/>
      <c r="BB15" s="17"/>
      <c r="BC15" s="17"/>
      <c r="BD15" s="17"/>
    </row>
    <row r="16" spans="1:60" ht="11.25" hidden="1" customHeight="1" x14ac:dyDescent="0.15">
      <c r="AK16" s="17"/>
      <c r="AL16" s="17"/>
      <c r="AM16" s="17"/>
      <c r="AN16" s="17"/>
      <c r="AO16" s="17"/>
      <c r="AP16" s="17"/>
      <c r="AQ16" s="17"/>
      <c r="AR16" s="17"/>
      <c r="AS16" s="17"/>
      <c r="AT16" s="17"/>
      <c r="AU16" s="17"/>
      <c r="AV16" s="17"/>
      <c r="AW16" s="17"/>
      <c r="AX16" s="17"/>
      <c r="AY16" s="17"/>
      <c r="AZ16" s="17"/>
      <c r="BA16" s="17"/>
      <c r="BB16" s="17"/>
      <c r="BC16" s="17"/>
      <c r="BD16" s="17"/>
    </row>
    <row r="17" spans="1:60" ht="11.25" hidden="1" customHeight="1" x14ac:dyDescent="0.15"/>
    <row r="18" spans="1:60" ht="11.25" hidden="1" customHeight="1" x14ac:dyDescent="0.15"/>
    <row r="19" spans="1:60" ht="11.25" hidden="1" customHeight="1" x14ac:dyDescent="0.15"/>
    <row r="20" spans="1:60" ht="11.25" hidden="1" customHeight="1" x14ac:dyDescent="0.15"/>
    <row r="21" spans="1:60" ht="14.65" customHeight="1" x14ac:dyDescent="0.15">
      <c r="E21" s="542">
        <v>15</v>
      </c>
      <c r="AA21" s="347"/>
      <c r="AC21" s="3" t="str" cm="1">
        <f t="array" ref="AC21">tpl_title</f>
        <v>Кемеровская область / 2026 / ООО "Чистая вода" (ИНН:4246023100, КПП:424601001) / ДПР: 2024-2032</v>
      </c>
    </row>
    <row r="22" spans="1:60" ht="19.5" customHeight="1" x14ac:dyDescent="0.15">
      <c r="E22" s="542">
        <v>20</v>
      </c>
      <c r="AB22" s="236" t="s">
        <v>69</v>
      </c>
      <c r="AC22" s="155"/>
      <c r="AD22" s="155"/>
      <c r="AE22" s="155"/>
      <c r="AF22" s="155"/>
      <c r="AG22" s="155"/>
      <c r="AH22" s="155"/>
      <c r="AI22" s="155"/>
      <c r="AJ22" s="155"/>
      <c r="AK22" s="155"/>
      <c r="AL22" s="155"/>
      <c r="AM22" s="155"/>
      <c r="AN22" s="155"/>
      <c r="AO22" s="155"/>
      <c r="AP22" s="155"/>
      <c r="AQ22" s="155"/>
      <c r="AR22" s="155"/>
      <c r="AS22" s="155"/>
      <c r="AT22" s="155"/>
      <c r="AU22" s="155"/>
      <c r="AV22" s="156"/>
      <c r="AW22" s="156"/>
      <c r="AX22" s="156"/>
      <c r="AY22" s="156"/>
      <c r="AZ22" s="156"/>
      <c r="BA22" s="156"/>
      <c r="BB22" s="156"/>
      <c r="BC22" s="156"/>
      <c r="BD22" s="156"/>
      <c r="BE22" s="156"/>
    </row>
    <row r="23" spans="1:60" ht="10.9" customHeight="1" x14ac:dyDescent="0.15">
      <c r="E23" s="542">
        <v>11.25</v>
      </c>
    </row>
    <row r="24" spans="1:60" ht="21.95" customHeight="1" x14ac:dyDescent="0.15">
      <c r="E24" s="542">
        <v>22.5</v>
      </c>
      <c r="AB24" s="2102" t="s">
        <v>1264</v>
      </c>
      <c r="AC24" s="2102"/>
      <c r="AD24" s="264" t="str">
        <f>"нет"</f>
        <v>нет</v>
      </c>
    </row>
    <row r="25" spans="1:60" ht="10.9" customHeight="1" x14ac:dyDescent="0.15">
      <c r="E25" s="542">
        <v>11.25</v>
      </c>
    </row>
    <row r="26" spans="1:60" ht="14.65" customHeight="1" x14ac:dyDescent="0.15">
      <c r="E26" s="542">
        <v>15</v>
      </c>
      <c r="AB26" s="2033" t="s">
        <v>21</v>
      </c>
      <c r="AC26" s="2035" t="s">
        <v>1265</v>
      </c>
      <c r="AD26" s="2035" t="s">
        <v>367</v>
      </c>
      <c r="AE26" s="686" t="str">
        <f>god-2&amp;" год"</f>
        <v>2024 год</v>
      </c>
      <c r="AF26" s="686" t="str">
        <f>god-2&amp;" год"</f>
        <v>2024 год</v>
      </c>
      <c r="AG26" s="1031" t="str">
        <f>god-2&amp;" год"</f>
        <v>2024 год</v>
      </c>
      <c r="AH26" s="686" t="str">
        <f>god-2&amp;" год"</f>
        <v>2024 год</v>
      </c>
      <c r="AI26" s="844" t="str">
        <f>god-1&amp;" год"</f>
        <v>2025 год</v>
      </c>
      <c r="AJ26" s="844" t="str">
        <f>god-1&amp;" год"</f>
        <v>2025 год</v>
      </c>
      <c r="AK26" s="1032" t="str">
        <f>god&amp;" год"</f>
        <v>2026 год</v>
      </c>
      <c r="AL26" s="1032" t="str">
        <f>god+1&amp;" год"</f>
        <v>2027 год</v>
      </c>
      <c r="AM26" s="1032" t="str">
        <f>god+2&amp;" год"</f>
        <v>2028 год</v>
      </c>
      <c r="AN26" s="1032" t="str">
        <f>god+3&amp;" год"</f>
        <v>2029 год</v>
      </c>
      <c r="AO26" s="1032" t="str">
        <f>god+4&amp;" год"</f>
        <v>2030 год</v>
      </c>
      <c r="AP26" s="1032" t="str">
        <f>god+5&amp;" год"</f>
        <v>2031 год</v>
      </c>
      <c r="AQ26" s="1032" t="str">
        <f>god+6&amp;" год"</f>
        <v>2032 год</v>
      </c>
      <c r="AR26" s="1032" t="str">
        <f>god+7&amp;" год"</f>
        <v>2033 год</v>
      </c>
      <c r="AS26" s="1032" t="str">
        <f>god+8&amp;" год"</f>
        <v>2034 год</v>
      </c>
      <c r="AT26" s="1032" t="str">
        <f>god+9&amp;" год"</f>
        <v>2035 год</v>
      </c>
      <c r="AU26" s="783" t="str">
        <f>god&amp;" год"</f>
        <v>2026 год</v>
      </c>
      <c r="AV26" s="783" t="str">
        <f>god+1&amp;" год"</f>
        <v>2027 год</v>
      </c>
      <c r="AW26" s="783" t="str">
        <f>god+2&amp;" год"</f>
        <v>2028 год</v>
      </c>
      <c r="AX26" s="783" t="str">
        <f>god+3&amp;" год"</f>
        <v>2029 год</v>
      </c>
      <c r="AY26" s="783" t="str">
        <f>god+4&amp;" год"</f>
        <v>2030 год</v>
      </c>
      <c r="AZ26" s="783" t="str">
        <f>god+5&amp;" год"</f>
        <v>2031 год</v>
      </c>
      <c r="BA26" s="783" t="str">
        <f>god+6&amp;" год"</f>
        <v>2032 год</v>
      </c>
      <c r="BB26" s="783" t="str">
        <f>god+7&amp;" год"</f>
        <v>2033 год</v>
      </c>
      <c r="BC26" s="783" t="str">
        <f>god+8&amp;" год"</f>
        <v>2034 год</v>
      </c>
      <c r="BD26" s="783" t="str">
        <f>god+9&amp;" год"</f>
        <v>2035 год</v>
      </c>
      <c r="BE26" s="2035" t="s">
        <v>558</v>
      </c>
    </row>
    <row r="27" spans="1:60" s="1332" customFormat="1" ht="122.85" customHeight="1" x14ac:dyDescent="0.15">
      <c r="B27" s="351"/>
      <c r="E27" s="185">
        <v>126</v>
      </c>
      <c r="AB27" s="2033"/>
      <c r="AC27" s="2035"/>
      <c r="AD27" s="2035"/>
      <c r="AE27" s="686" t="s">
        <v>1266</v>
      </c>
      <c r="AF27" s="686" t="s">
        <v>359</v>
      </c>
      <c r="AG27" s="1031" t="s">
        <v>1267</v>
      </c>
      <c r="AH27" s="686" t="s">
        <v>1268</v>
      </c>
      <c r="AI27" s="686" t="s">
        <v>1266</v>
      </c>
      <c r="AJ27" s="845" t="s">
        <v>359</v>
      </c>
      <c r="AK27" s="1033" t="s">
        <v>360</v>
      </c>
      <c r="AL27" s="1033" t="s">
        <v>360</v>
      </c>
      <c r="AM27" s="1033" t="s">
        <v>360</v>
      </c>
      <c r="AN27" s="1033" t="s">
        <v>360</v>
      </c>
      <c r="AO27" s="1033" t="s">
        <v>360</v>
      </c>
      <c r="AP27" s="1033" t="s">
        <v>360</v>
      </c>
      <c r="AQ27" s="1033" t="s">
        <v>360</v>
      </c>
      <c r="AR27" s="1033" t="s">
        <v>360</v>
      </c>
      <c r="AS27" s="1033" t="s">
        <v>360</v>
      </c>
      <c r="AT27" s="1033" t="s">
        <v>360</v>
      </c>
      <c r="AU27" s="784" t="s">
        <v>359</v>
      </c>
      <c r="AV27" s="784" t="s">
        <v>359</v>
      </c>
      <c r="AW27" s="784" t="s">
        <v>359</v>
      </c>
      <c r="AX27" s="784" t="s">
        <v>359</v>
      </c>
      <c r="AY27" s="784" t="s">
        <v>359</v>
      </c>
      <c r="AZ27" s="784" t="s">
        <v>359</v>
      </c>
      <c r="BA27" s="784" t="s">
        <v>359</v>
      </c>
      <c r="BB27" s="784" t="s">
        <v>359</v>
      </c>
      <c r="BC27" s="784" t="s">
        <v>359</v>
      </c>
      <c r="BD27" s="784" t="s">
        <v>359</v>
      </c>
      <c r="BE27" s="2035"/>
      <c r="BH27" s="939"/>
    </row>
    <row r="28" spans="1:60" s="1334" customFormat="1" ht="11.25" hidden="1" customHeight="1" x14ac:dyDescent="0.15">
      <c r="A28" s="422"/>
      <c r="B28" s="582"/>
      <c r="C28" s="422"/>
      <c r="D28" s="422"/>
      <c r="E28" s="583">
        <v>0</v>
      </c>
      <c r="F28" s="337"/>
      <c r="G28" s="422"/>
      <c r="H28" s="422"/>
      <c r="I28" s="422"/>
      <c r="J28" s="422"/>
      <c r="K28" s="422"/>
      <c r="L28" s="422"/>
      <c r="M28" s="422"/>
      <c r="N28" s="422"/>
      <c r="O28" s="422"/>
      <c r="P28" s="422"/>
      <c r="Q28" s="422"/>
      <c r="R28" s="422"/>
      <c r="S28" s="422"/>
      <c r="T28" s="422"/>
      <c r="U28" s="422"/>
      <c r="V28" s="422"/>
      <c r="W28" s="422"/>
      <c r="X28" s="422"/>
      <c r="Y28" s="422"/>
      <c r="Z28" s="422"/>
      <c r="AB28"/>
      <c r="AC28" s="405"/>
      <c r="AD28" s="405"/>
      <c r="AE28" s="405"/>
      <c r="AF28" s="405"/>
      <c r="AG28"/>
      <c r="AH28"/>
      <c r="AI28"/>
      <c r="AJ28"/>
      <c r="AK28"/>
      <c r="AL28"/>
      <c r="AM28"/>
      <c r="AN28"/>
      <c r="AO28"/>
      <c r="AP28"/>
      <c r="AQ28"/>
      <c r="AR28"/>
      <c r="AS28"/>
      <c r="AT28"/>
      <c r="AU28"/>
      <c r="AV28"/>
      <c r="AW28"/>
      <c r="AX28"/>
      <c r="AY28"/>
      <c r="AZ28"/>
      <c r="BA28"/>
      <c r="BB28"/>
      <c r="BC28"/>
      <c r="BD28"/>
      <c r="BE28"/>
      <c r="BH28" s="913"/>
    </row>
    <row r="29" spans="1:60" ht="14.65" hidden="1" customHeight="1" x14ac:dyDescent="0.15">
      <c r="B29" s="41"/>
      <c r="E29" s="542">
        <v>15</v>
      </c>
      <c r="F29" s="17" cm="1">
        <f t="array" ref="F29">X29</f>
        <v>0</v>
      </c>
      <c r="T29" s="388" t="b">
        <f>X29&gt;0</f>
        <v>0</v>
      </c>
      <c r="V29" s="41" t="s">
        <v>271</v>
      </c>
      <c r="X29" s="2032">
        <v>0</v>
      </c>
      <c r="Z29" s="2012"/>
      <c r="AB29" s="161" t="str" cm="1">
        <f t="array" ref="AB29">INDEX('Общие сведения'!$AG$185:$AG$228,MATCH($X29,'Общие сведения'!$Z$185:$Z$228,0))</f>
        <v xml:space="preserve">Тариф 0 () - </v>
      </c>
      <c r="AC29" s="751"/>
      <c r="AD29" s="751"/>
      <c r="AE29" s="751"/>
      <c r="AF29" s="751"/>
      <c r="AG29" s="751"/>
      <c r="AH29" s="751"/>
      <c r="AI29" s="751"/>
      <c r="AJ29" s="751"/>
      <c r="AK29" s="751"/>
      <c r="AL29" s="751"/>
      <c r="AM29" s="751"/>
      <c r="AN29" s="751"/>
      <c r="AO29" s="751"/>
      <c r="AP29" s="751"/>
      <c r="AQ29" s="751"/>
      <c r="AR29" s="751"/>
      <c r="AS29" s="751"/>
      <c r="AT29" s="751"/>
      <c r="AU29" s="751"/>
      <c r="AV29" s="751"/>
      <c r="AW29" s="751"/>
      <c r="AX29" s="751"/>
      <c r="AY29" s="751"/>
      <c r="AZ29" s="751"/>
      <c r="BA29" s="751"/>
      <c r="BB29" s="751"/>
      <c r="BC29" s="751"/>
      <c r="BD29" s="751"/>
      <c r="BE29" s="751"/>
    </row>
    <row r="30" spans="1:60" s="621" customFormat="1" ht="21.95" hidden="1" customHeight="1" x14ac:dyDescent="0.15">
      <c r="B30" s="41"/>
      <c r="E30" s="614">
        <v>22.5</v>
      </c>
      <c r="F30" s="3" cm="1">
        <f t="array" aca="1" ref="F30" ca="1">OFFSET(E30,-1,1)</f>
        <v>0</v>
      </c>
      <c r="G30" s="41"/>
      <c r="H30" s="41" t="s">
        <v>331</v>
      </c>
      <c r="T30" s="388" t="b" cm="1">
        <f t="array" ref="T30">T29</f>
        <v>0</v>
      </c>
      <c r="X30" s="2032"/>
      <c r="Z30" s="2012"/>
      <c r="AB30" s="137">
        <v>1</v>
      </c>
      <c r="AC30" s="131" t="s">
        <v>1269</v>
      </c>
      <c r="AD30" s="130" t="s">
        <v>831</v>
      </c>
      <c r="AE30" s="132">
        <f t="shared" ref="AE30:BD30" si="1">AE31+AE41+AE45+AE49</f>
        <v>0</v>
      </c>
      <c r="AF30" s="132">
        <f t="shared" si="1"/>
        <v>0</v>
      </c>
      <c r="AG30" s="132">
        <f t="shared" si="1"/>
        <v>0</v>
      </c>
      <c r="AH30" s="132">
        <f t="shared" si="1"/>
        <v>0</v>
      </c>
      <c r="AI30" s="132">
        <f t="shared" si="1"/>
        <v>0</v>
      </c>
      <c r="AJ30" s="132">
        <f t="shared" si="1"/>
        <v>0</v>
      </c>
      <c r="AK30" s="132">
        <f t="shared" si="1"/>
        <v>0</v>
      </c>
      <c r="AL30" s="132">
        <f t="shared" si="1"/>
        <v>0</v>
      </c>
      <c r="AM30" s="132">
        <f t="shared" si="1"/>
        <v>0</v>
      </c>
      <c r="AN30" s="132">
        <f t="shared" si="1"/>
        <v>0</v>
      </c>
      <c r="AO30" s="132">
        <f t="shared" si="1"/>
        <v>0</v>
      </c>
      <c r="AP30" s="132">
        <f t="shared" si="1"/>
        <v>0</v>
      </c>
      <c r="AQ30" s="132">
        <f t="shared" si="1"/>
        <v>0</v>
      </c>
      <c r="AR30" s="132">
        <f t="shared" si="1"/>
        <v>0</v>
      </c>
      <c r="AS30" s="132">
        <f t="shared" si="1"/>
        <v>0</v>
      </c>
      <c r="AT30" s="132">
        <f t="shared" si="1"/>
        <v>0</v>
      </c>
      <c r="AU30" s="132">
        <f t="shared" si="1"/>
        <v>0</v>
      </c>
      <c r="AV30" s="132">
        <f t="shared" si="1"/>
        <v>0</v>
      </c>
      <c r="AW30" s="132">
        <f t="shared" si="1"/>
        <v>0</v>
      </c>
      <c r="AX30" s="132">
        <f t="shared" si="1"/>
        <v>0</v>
      </c>
      <c r="AY30" s="132">
        <f t="shared" si="1"/>
        <v>0</v>
      </c>
      <c r="AZ30" s="132">
        <f t="shared" si="1"/>
        <v>0</v>
      </c>
      <c r="BA30" s="132">
        <f t="shared" si="1"/>
        <v>0</v>
      </c>
      <c r="BB30" s="132">
        <f t="shared" si="1"/>
        <v>0</v>
      </c>
      <c r="BC30" s="132">
        <f t="shared" si="1"/>
        <v>0</v>
      </c>
      <c r="BD30" s="132">
        <f t="shared" si="1"/>
        <v>0</v>
      </c>
      <c r="BE30" s="1417"/>
      <c r="BH30" s="960" t="s">
        <v>1270</v>
      </c>
    </row>
    <row r="31" spans="1:60" ht="14.65" hidden="1" customHeight="1" x14ac:dyDescent="0.15">
      <c r="B31" s="41"/>
      <c r="E31" s="542">
        <v>15</v>
      </c>
      <c r="F31" s="3" cm="1">
        <f t="array" aca="1" ref="F31" ca="1">OFFSET(E31,-1,1)</f>
        <v>0</v>
      </c>
      <c r="H31" s="41" t="s">
        <v>494</v>
      </c>
      <c r="T31" s="388" t="b" cm="1">
        <f t="array" ref="T31">T30</f>
        <v>0</v>
      </c>
      <c r="X31" s="2032"/>
      <c r="Z31" s="2012"/>
      <c r="AB31" s="217" t="s">
        <v>910</v>
      </c>
      <c r="AC31" s="682" t="s">
        <v>1271</v>
      </c>
      <c r="AD31" s="218" t="s">
        <v>831</v>
      </c>
      <c r="AE31" s="703">
        <f t="shared" ref="AE31:BD31" si="2">AE32+AE33+AE34+AE35+AE36</f>
        <v>0</v>
      </c>
      <c r="AF31" s="703">
        <f t="shared" si="2"/>
        <v>0</v>
      </c>
      <c r="AG31" s="703">
        <f t="shared" si="2"/>
        <v>0</v>
      </c>
      <c r="AH31" s="703">
        <f t="shared" si="2"/>
        <v>0</v>
      </c>
      <c r="AI31" s="703">
        <f t="shared" si="2"/>
        <v>0</v>
      </c>
      <c r="AJ31" s="703">
        <f t="shared" si="2"/>
        <v>0</v>
      </c>
      <c r="AK31" s="703">
        <f t="shared" si="2"/>
        <v>0</v>
      </c>
      <c r="AL31" s="703">
        <f t="shared" si="2"/>
        <v>0</v>
      </c>
      <c r="AM31" s="703">
        <f t="shared" si="2"/>
        <v>0</v>
      </c>
      <c r="AN31" s="703">
        <f t="shared" si="2"/>
        <v>0</v>
      </c>
      <c r="AO31" s="703">
        <f t="shared" si="2"/>
        <v>0</v>
      </c>
      <c r="AP31" s="703">
        <f t="shared" si="2"/>
        <v>0</v>
      </c>
      <c r="AQ31" s="703">
        <f t="shared" si="2"/>
        <v>0</v>
      </c>
      <c r="AR31" s="703">
        <f t="shared" si="2"/>
        <v>0</v>
      </c>
      <c r="AS31" s="703">
        <f t="shared" si="2"/>
        <v>0</v>
      </c>
      <c r="AT31" s="703">
        <f t="shared" si="2"/>
        <v>0</v>
      </c>
      <c r="AU31" s="703">
        <f t="shared" si="2"/>
        <v>0</v>
      </c>
      <c r="AV31" s="703">
        <f t="shared" si="2"/>
        <v>0</v>
      </c>
      <c r="AW31" s="703">
        <f t="shared" si="2"/>
        <v>0</v>
      </c>
      <c r="AX31" s="703">
        <f t="shared" si="2"/>
        <v>0</v>
      </c>
      <c r="AY31" s="703">
        <f t="shared" si="2"/>
        <v>0</v>
      </c>
      <c r="AZ31" s="703">
        <f t="shared" si="2"/>
        <v>0</v>
      </c>
      <c r="BA31" s="703">
        <f t="shared" si="2"/>
        <v>0</v>
      </c>
      <c r="BB31" s="703">
        <f t="shared" si="2"/>
        <v>0</v>
      </c>
      <c r="BC31" s="703">
        <f t="shared" si="2"/>
        <v>0</v>
      </c>
      <c r="BD31" s="703">
        <f t="shared" si="2"/>
        <v>0</v>
      </c>
      <c r="BE31" s="1417"/>
      <c r="BH31" s="906" t="s">
        <v>1272</v>
      </c>
    </row>
    <row r="32" spans="1:60" ht="14.65" hidden="1" customHeight="1" x14ac:dyDescent="0.15">
      <c r="B32" s="41"/>
      <c r="E32" s="542">
        <v>15</v>
      </c>
      <c r="F32" s="3" cm="1">
        <f t="array" aca="1" ref="F32" ca="1">OFFSET(E32,-1,1)</f>
        <v>0</v>
      </c>
      <c r="H32" s="41" t="s">
        <v>1016</v>
      </c>
      <c r="T32" s="388" t="b" cm="1">
        <f t="array" ref="T32">T31</f>
        <v>0</v>
      </c>
      <c r="X32" s="2032"/>
      <c r="Z32" s="2012"/>
      <c r="AB32" s="217" t="s">
        <v>1017</v>
      </c>
      <c r="AC32" s="685" t="s">
        <v>1273</v>
      </c>
      <c r="AD32" s="218" t="s">
        <v>831</v>
      </c>
      <c r="AE32" s="1404"/>
      <c r="AF32" s="1404"/>
      <c r="AG32" s="1404"/>
      <c r="AH32" s="1404"/>
      <c r="AI32" s="1404"/>
      <c r="AJ32" s="1404"/>
      <c r="AK32" s="692"/>
      <c r="AL32" s="1404"/>
      <c r="AM32" s="1404"/>
      <c r="AN32" s="1404"/>
      <c r="AO32" s="1404"/>
      <c r="AP32" s="1404"/>
      <c r="AQ32" s="1404"/>
      <c r="AR32" s="1404"/>
      <c r="AS32" s="1404"/>
      <c r="AT32" s="1404"/>
      <c r="AU32" s="692"/>
      <c r="AV32" s="1404"/>
      <c r="AW32" s="1404"/>
      <c r="AX32" s="1404"/>
      <c r="AY32" s="1404"/>
      <c r="AZ32" s="1404"/>
      <c r="BA32" s="1404"/>
      <c r="BB32" s="1404"/>
      <c r="BC32" s="1404"/>
      <c r="BD32" s="1404"/>
      <c r="BE32" s="1417"/>
      <c r="BH32" s="906" t="s">
        <v>1199</v>
      </c>
    </row>
    <row r="33" spans="2:60" ht="14.65" hidden="1" customHeight="1" x14ac:dyDescent="0.15">
      <c r="B33" s="41"/>
      <c r="E33" s="542">
        <v>15</v>
      </c>
      <c r="F33" s="3" cm="1">
        <f t="array" aca="1" ref="F33" ca="1">OFFSET(E33,-1,1)</f>
        <v>0</v>
      </c>
      <c r="H33" s="41" t="s">
        <v>1020</v>
      </c>
      <c r="K33" s="43" t="str">
        <f ca="1">F33&amp;"1komm"</f>
        <v>01komm</v>
      </c>
      <c r="L33" s="832" cm="1">
        <f t="array" ref="L33">BE33</f>
        <v>0</v>
      </c>
      <c r="T33" s="388" t="b" cm="1">
        <f t="array" ref="T33">T32</f>
        <v>0</v>
      </c>
      <c r="X33" s="2032"/>
      <c r="Z33" s="2012"/>
      <c r="AB33" s="217" t="s">
        <v>1021</v>
      </c>
      <c r="AC33" s="685" t="s">
        <v>1274</v>
      </c>
      <c r="AD33" s="218" t="s">
        <v>831</v>
      </c>
      <c r="AE33" s="1404"/>
      <c r="AF33" s="1404"/>
      <c r="AG33" s="1404"/>
      <c r="AH33" s="1404"/>
      <c r="AI33" s="1404"/>
      <c r="AJ33" s="1404"/>
      <c r="AK33" s="692"/>
      <c r="AL33" s="1404"/>
      <c r="AM33" s="1404"/>
      <c r="AN33" s="1404"/>
      <c r="AO33" s="1404"/>
      <c r="AP33" s="1404"/>
      <c r="AQ33" s="1404"/>
      <c r="AR33" s="1404"/>
      <c r="AS33" s="1404"/>
      <c r="AT33" s="1404"/>
      <c r="AU33" s="692"/>
      <c r="AV33" s="1404"/>
      <c r="AW33" s="1404"/>
      <c r="AX33" s="1404"/>
      <c r="AY33" s="1404"/>
      <c r="AZ33" s="1404"/>
      <c r="BA33" s="1404"/>
      <c r="BB33" s="1404"/>
      <c r="BC33" s="1404"/>
      <c r="BD33" s="1404"/>
      <c r="BE33" s="1417"/>
      <c r="BH33" s="906" t="s">
        <v>1275</v>
      </c>
    </row>
    <row r="34" spans="2:60" ht="14.65" hidden="1" customHeight="1" x14ac:dyDescent="0.15">
      <c r="B34" s="41"/>
      <c r="E34" s="542">
        <v>15</v>
      </c>
      <c r="F34" s="3" cm="1">
        <f t="array" aca="1" ref="F34" ca="1">OFFSET(E34,-1,1)</f>
        <v>0</v>
      </c>
      <c r="H34" s="41" t="s">
        <v>1276</v>
      </c>
      <c r="T34" s="388" t="b" cm="1">
        <f t="array" ref="T34">T33</f>
        <v>0</v>
      </c>
      <c r="X34" s="2032"/>
      <c r="Z34" s="2012"/>
      <c r="AB34" s="217" t="s">
        <v>1277</v>
      </c>
      <c r="AC34" s="685" t="s">
        <v>1278</v>
      </c>
      <c r="AD34" s="218" t="s">
        <v>831</v>
      </c>
      <c r="AE34" s="1404"/>
      <c r="AF34" s="1404"/>
      <c r="AG34" s="1404"/>
      <c r="AH34" s="1404"/>
      <c r="AI34" s="1404"/>
      <c r="AJ34" s="1404"/>
      <c r="AK34" s="692"/>
      <c r="AL34" s="1404"/>
      <c r="AM34" s="1404"/>
      <c r="AN34" s="1404"/>
      <c r="AO34" s="1404"/>
      <c r="AP34" s="1404"/>
      <c r="AQ34" s="1404"/>
      <c r="AR34" s="1404"/>
      <c r="AS34" s="1404"/>
      <c r="AT34" s="1404"/>
      <c r="AU34" s="692"/>
      <c r="AV34" s="1404"/>
      <c r="AW34" s="1404"/>
      <c r="AX34" s="1404"/>
      <c r="AY34" s="1404"/>
      <c r="AZ34" s="1404"/>
      <c r="BA34" s="1404"/>
      <c r="BB34" s="1404"/>
      <c r="BC34" s="1404"/>
      <c r="BD34" s="1404"/>
      <c r="BE34" s="1417"/>
      <c r="BH34" s="906" t="s">
        <v>1279</v>
      </c>
    </row>
    <row r="35" spans="2:60" ht="14.65" hidden="1" customHeight="1" x14ac:dyDescent="0.15">
      <c r="B35" s="41"/>
      <c r="E35" s="542">
        <v>15</v>
      </c>
      <c r="F35" s="3" cm="1">
        <f t="array" aca="1" ref="F35" ca="1">OFFSET(E35,-1,1)</f>
        <v>0</v>
      </c>
      <c r="H35" s="41" t="s">
        <v>1280</v>
      </c>
      <c r="T35" s="388" t="b" cm="1">
        <f t="array" ref="T35">T34</f>
        <v>0</v>
      </c>
      <c r="X35" s="2032"/>
      <c r="Z35" s="2012"/>
      <c r="AB35" s="217" t="s">
        <v>1281</v>
      </c>
      <c r="AC35" s="685" t="s">
        <v>1282</v>
      </c>
      <c r="AD35" s="218" t="s">
        <v>831</v>
      </c>
      <c r="AE35" s="1404"/>
      <c r="AF35" s="1404"/>
      <c r="AG35" s="1404"/>
      <c r="AH35" s="1404"/>
      <c r="AI35" s="1404"/>
      <c r="AJ35" s="1404"/>
      <c r="AK35" s="692"/>
      <c r="AL35" s="1404"/>
      <c r="AM35" s="1404"/>
      <c r="AN35" s="1404"/>
      <c r="AO35" s="1404"/>
      <c r="AP35" s="1404"/>
      <c r="AQ35" s="1404"/>
      <c r="AR35" s="1404"/>
      <c r="AS35" s="1404"/>
      <c r="AT35" s="1404"/>
      <c r="AU35" s="692"/>
      <c r="AV35" s="1404"/>
      <c r="AW35" s="1404"/>
      <c r="AX35" s="1404"/>
      <c r="AY35" s="1404"/>
      <c r="AZ35" s="1404"/>
      <c r="BA35" s="1404"/>
      <c r="BB35" s="1404"/>
      <c r="BC35" s="1404"/>
      <c r="BD35" s="1404"/>
      <c r="BE35" s="1417"/>
      <c r="BH35" s="906" t="s">
        <v>1283</v>
      </c>
    </row>
    <row r="36" spans="2:60" ht="21.95" hidden="1" customHeight="1" x14ac:dyDescent="0.15">
      <c r="B36" s="41"/>
      <c r="E36" s="542">
        <v>22.5</v>
      </c>
      <c r="F36" s="3" cm="1">
        <f t="array" aca="1" ref="F36" ca="1">OFFSET(E36,-1,1)</f>
        <v>0</v>
      </c>
      <c r="T36" s="388" t="b" cm="1">
        <f t="array" ref="T36">T35</f>
        <v>0</v>
      </c>
      <c r="X36" s="2032"/>
      <c r="Z36" s="2012"/>
      <c r="AB36" s="217" t="s">
        <v>1284</v>
      </c>
      <c r="AC36" s="685" t="s">
        <v>1285</v>
      </c>
      <c r="AD36" s="218" t="s">
        <v>831</v>
      </c>
      <c r="AE36" s="1404">
        <f t="shared" ref="AE36:BD36" si="3">AE37+AE38+AE39+AE40</f>
        <v>0</v>
      </c>
      <c r="AF36" s="1404">
        <f t="shared" si="3"/>
        <v>0</v>
      </c>
      <c r="AG36" s="1404">
        <f t="shared" si="3"/>
        <v>0</v>
      </c>
      <c r="AH36" s="1404">
        <f t="shared" si="3"/>
        <v>0</v>
      </c>
      <c r="AI36" s="1404">
        <f t="shared" si="3"/>
        <v>0</v>
      </c>
      <c r="AJ36" s="1404">
        <f t="shared" si="3"/>
        <v>0</v>
      </c>
      <c r="AK36" s="692">
        <f t="shared" si="3"/>
        <v>0</v>
      </c>
      <c r="AL36" s="1404">
        <f t="shared" si="3"/>
        <v>0</v>
      </c>
      <c r="AM36" s="1404">
        <f t="shared" si="3"/>
        <v>0</v>
      </c>
      <c r="AN36" s="1404">
        <f t="shared" si="3"/>
        <v>0</v>
      </c>
      <c r="AO36" s="1404">
        <f t="shared" si="3"/>
        <v>0</v>
      </c>
      <c r="AP36" s="1404">
        <f t="shared" si="3"/>
        <v>0</v>
      </c>
      <c r="AQ36" s="1404">
        <f t="shared" si="3"/>
        <v>0</v>
      </c>
      <c r="AR36" s="1404">
        <f t="shared" si="3"/>
        <v>0</v>
      </c>
      <c r="AS36" s="1404">
        <f t="shared" si="3"/>
        <v>0</v>
      </c>
      <c r="AT36" s="1404">
        <f t="shared" si="3"/>
        <v>0</v>
      </c>
      <c r="AU36" s="692">
        <f t="shared" si="3"/>
        <v>0</v>
      </c>
      <c r="AV36" s="1404">
        <f t="shared" si="3"/>
        <v>0</v>
      </c>
      <c r="AW36" s="1404">
        <f t="shared" si="3"/>
        <v>0</v>
      </c>
      <c r="AX36" s="1404">
        <f t="shared" si="3"/>
        <v>0</v>
      </c>
      <c r="AY36" s="1404">
        <f t="shared" si="3"/>
        <v>0</v>
      </c>
      <c r="AZ36" s="1404">
        <f t="shared" si="3"/>
        <v>0</v>
      </c>
      <c r="BA36" s="1404">
        <f t="shared" si="3"/>
        <v>0</v>
      </c>
      <c r="BB36" s="1404">
        <f t="shared" si="3"/>
        <v>0</v>
      </c>
      <c r="BC36" s="1404">
        <f t="shared" si="3"/>
        <v>0</v>
      </c>
      <c r="BD36" s="1404">
        <f t="shared" si="3"/>
        <v>0</v>
      </c>
      <c r="BE36" s="1417"/>
      <c r="BH36" s="906" t="s">
        <v>1286</v>
      </c>
    </row>
    <row r="37" spans="2:60" ht="44.65" hidden="1" customHeight="1" x14ac:dyDescent="0.15">
      <c r="B37" s="41"/>
      <c r="E37" s="542">
        <v>45.75</v>
      </c>
      <c r="F37" s="3" cm="1">
        <f t="array" aca="1" ref="F37" ca="1">OFFSET(E37,-1,1)</f>
        <v>0</v>
      </c>
      <c r="T37" s="388" t="b" cm="1">
        <f t="array" ref="T37">T36</f>
        <v>0</v>
      </c>
      <c r="X37" s="2032"/>
      <c r="Z37" s="2012"/>
      <c r="AB37" s="217" t="s">
        <v>1287</v>
      </c>
      <c r="AC37" s="688" t="s">
        <v>1288</v>
      </c>
      <c r="AD37" s="218" t="s">
        <v>831</v>
      </c>
      <c r="AE37" s="1404"/>
      <c r="AF37" s="1404"/>
      <c r="AG37" s="1404"/>
      <c r="AH37" s="1404"/>
      <c r="AI37" s="1404"/>
      <c r="AJ37" s="1404"/>
      <c r="AK37" s="692"/>
      <c r="AL37" s="1404"/>
      <c r="AM37" s="1404"/>
      <c r="AN37" s="1404"/>
      <c r="AO37" s="1404"/>
      <c r="AP37" s="1404"/>
      <c r="AQ37" s="1404"/>
      <c r="AR37" s="1404"/>
      <c r="AS37" s="1404"/>
      <c r="AT37" s="1404"/>
      <c r="AU37" s="692"/>
      <c r="AV37" s="1404"/>
      <c r="AW37" s="1404"/>
      <c r="AX37" s="1404"/>
      <c r="AY37" s="1404"/>
      <c r="AZ37" s="1404"/>
      <c r="BA37" s="1404"/>
      <c r="BB37" s="1404"/>
      <c r="BC37" s="1404"/>
      <c r="BD37" s="1404"/>
      <c r="BE37" s="1417"/>
      <c r="BH37" s="906" t="s">
        <v>1289</v>
      </c>
    </row>
    <row r="38" spans="2:60" ht="44.65" hidden="1" customHeight="1" x14ac:dyDescent="0.15">
      <c r="B38" s="41"/>
      <c r="E38" s="542">
        <v>45.75</v>
      </c>
      <c r="F38" s="3" cm="1">
        <f t="array" aca="1" ref="F38" ca="1">OFFSET(E38,-1,1)</f>
        <v>0</v>
      </c>
      <c r="T38" s="388" t="b" cm="1">
        <f t="array" ref="T38">T37</f>
        <v>0</v>
      </c>
      <c r="X38" s="2032"/>
      <c r="Z38" s="2012"/>
      <c r="AB38" s="217" t="s">
        <v>1290</v>
      </c>
      <c r="AC38" s="688" t="s">
        <v>1291</v>
      </c>
      <c r="AD38" s="218" t="s">
        <v>831</v>
      </c>
      <c r="AE38" s="1404"/>
      <c r="AF38" s="1404"/>
      <c r="AG38" s="1404"/>
      <c r="AH38" s="1404"/>
      <c r="AI38" s="1404"/>
      <c r="AJ38" s="1404"/>
      <c r="AK38" s="692"/>
      <c r="AL38" s="1404"/>
      <c r="AM38" s="1404"/>
      <c r="AN38" s="1404"/>
      <c r="AO38" s="1404"/>
      <c r="AP38" s="1404"/>
      <c r="AQ38" s="1404"/>
      <c r="AR38" s="1404"/>
      <c r="AS38" s="1404"/>
      <c r="AT38" s="1404"/>
      <c r="AU38" s="692"/>
      <c r="AV38" s="1404"/>
      <c r="AW38" s="1404"/>
      <c r="AX38" s="1404"/>
      <c r="AY38" s="1404"/>
      <c r="AZ38" s="1404"/>
      <c r="BA38" s="1404"/>
      <c r="BB38" s="1404"/>
      <c r="BC38" s="1404"/>
      <c r="BD38" s="1404"/>
      <c r="BE38" s="1417"/>
      <c r="BH38" s="906" t="s">
        <v>1292</v>
      </c>
    </row>
    <row r="39" spans="2:60" ht="44.65" hidden="1" customHeight="1" x14ac:dyDescent="0.15">
      <c r="B39" s="41"/>
      <c r="E39" s="542">
        <v>45.75</v>
      </c>
      <c r="F39" s="3" cm="1">
        <f t="array" aca="1" ref="F39" ca="1">OFFSET(E39,-1,1)</f>
        <v>0</v>
      </c>
      <c r="T39" s="388" t="b" cm="1">
        <f t="array" ref="T39">T38</f>
        <v>0</v>
      </c>
      <c r="X39" s="2032"/>
      <c r="Z39" s="2012"/>
      <c r="AB39" s="217" t="s">
        <v>1293</v>
      </c>
      <c r="AC39" s="688" t="s">
        <v>1294</v>
      </c>
      <c r="AD39" s="218" t="s">
        <v>831</v>
      </c>
      <c r="AE39" s="1404"/>
      <c r="AF39" s="1404"/>
      <c r="AG39" s="1404"/>
      <c r="AH39" s="1404"/>
      <c r="AI39" s="1404"/>
      <c r="AJ39" s="1404"/>
      <c r="AK39" s="692"/>
      <c r="AL39" s="1404"/>
      <c r="AM39" s="1404"/>
      <c r="AN39" s="1404"/>
      <c r="AO39" s="1404"/>
      <c r="AP39" s="1404"/>
      <c r="AQ39" s="1404"/>
      <c r="AR39" s="1404"/>
      <c r="AS39" s="1404"/>
      <c r="AT39" s="1404"/>
      <c r="AU39" s="692"/>
      <c r="AV39" s="1404"/>
      <c r="AW39" s="1404"/>
      <c r="AX39" s="1404"/>
      <c r="AY39" s="1404"/>
      <c r="AZ39" s="1404"/>
      <c r="BA39" s="1404"/>
      <c r="BB39" s="1404"/>
      <c r="BC39" s="1404"/>
      <c r="BD39" s="1404"/>
      <c r="BE39" s="1417"/>
      <c r="BH39" s="906" t="s">
        <v>1295</v>
      </c>
    </row>
    <row r="40" spans="2:60" ht="21.95" hidden="1" customHeight="1" x14ac:dyDescent="0.15">
      <c r="B40" s="41"/>
      <c r="E40" s="542">
        <v>22.5</v>
      </c>
      <c r="F40" s="3" cm="1">
        <f t="array" aca="1" ref="F40" ca="1">OFFSET(E40,-1,1)</f>
        <v>0</v>
      </c>
      <c r="T40" s="388" t="b" cm="1">
        <f t="array" ref="T40">T39</f>
        <v>0</v>
      </c>
      <c r="X40" s="2032"/>
      <c r="Z40" s="2012"/>
      <c r="AB40" s="217" t="s">
        <v>1296</v>
      </c>
      <c r="AC40" s="688" t="s">
        <v>1297</v>
      </c>
      <c r="AD40" s="218" t="s">
        <v>831</v>
      </c>
      <c r="AE40" s="1404"/>
      <c r="AF40" s="1404"/>
      <c r="AG40" s="1404"/>
      <c r="AH40" s="1404"/>
      <c r="AI40" s="1404"/>
      <c r="AJ40" s="1404"/>
      <c r="AK40" s="692"/>
      <c r="AL40" s="1404"/>
      <c r="AM40" s="1404"/>
      <c r="AN40" s="1404"/>
      <c r="AO40" s="1404"/>
      <c r="AP40" s="1404"/>
      <c r="AQ40" s="1404"/>
      <c r="AR40" s="1404"/>
      <c r="AS40" s="1404"/>
      <c r="AT40" s="1404"/>
      <c r="AU40" s="692"/>
      <c r="AV40" s="1404"/>
      <c r="AW40" s="1404"/>
      <c r="AX40" s="1404"/>
      <c r="AY40" s="1404"/>
      <c r="AZ40" s="1404"/>
      <c r="BA40" s="1404"/>
      <c r="BB40" s="1404"/>
      <c r="BC40" s="1404"/>
      <c r="BD40" s="1404"/>
      <c r="BE40" s="1417"/>
      <c r="BH40" s="906" t="s">
        <v>1298</v>
      </c>
    </row>
    <row r="41" spans="2:60" ht="14.65" hidden="1" customHeight="1" x14ac:dyDescent="0.15">
      <c r="B41" s="41"/>
      <c r="E41" s="542">
        <v>15</v>
      </c>
      <c r="F41" s="3" cm="1">
        <f t="array" aca="1" ref="F41" ca="1">OFFSET(E41,-1,1)</f>
        <v>0</v>
      </c>
      <c r="H41" s="41" t="s">
        <v>498</v>
      </c>
      <c r="T41" s="388" t="b" cm="1">
        <f t="array" ref="T41">T40</f>
        <v>0</v>
      </c>
      <c r="X41" s="2032"/>
      <c r="Z41" s="2012"/>
      <c r="AB41" s="217" t="s">
        <v>913</v>
      </c>
      <c r="AC41" s="682" t="s">
        <v>1299</v>
      </c>
      <c r="AD41" s="218" t="s">
        <v>831</v>
      </c>
      <c r="AE41" s="703">
        <f t="shared" ref="AE41:BD41" si="4">AE42+AE43+AE44</f>
        <v>0</v>
      </c>
      <c r="AF41" s="703">
        <f t="shared" si="4"/>
        <v>0</v>
      </c>
      <c r="AG41" s="703">
        <f t="shared" si="4"/>
        <v>0</v>
      </c>
      <c r="AH41" s="703">
        <f t="shared" si="4"/>
        <v>0</v>
      </c>
      <c r="AI41" s="703">
        <f t="shared" si="4"/>
        <v>0</v>
      </c>
      <c r="AJ41" s="703">
        <f t="shared" si="4"/>
        <v>0</v>
      </c>
      <c r="AK41" s="703">
        <f t="shared" si="4"/>
        <v>0</v>
      </c>
      <c r="AL41" s="703">
        <f t="shared" si="4"/>
        <v>0</v>
      </c>
      <c r="AM41" s="703">
        <f t="shared" si="4"/>
        <v>0</v>
      </c>
      <c r="AN41" s="703">
        <f t="shared" si="4"/>
        <v>0</v>
      </c>
      <c r="AO41" s="703">
        <f t="shared" si="4"/>
        <v>0</v>
      </c>
      <c r="AP41" s="703">
        <f t="shared" si="4"/>
        <v>0</v>
      </c>
      <c r="AQ41" s="703">
        <f t="shared" si="4"/>
        <v>0</v>
      </c>
      <c r="AR41" s="703">
        <f t="shared" si="4"/>
        <v>0</v>
      </c>
      <c r="AS41" s="703">
        <f t="shared" si="4"/>
        <v>0</v>
      </c>
      <c r="AT41" s="703">
        <f t="shared" si="4"/>
        <v>0</v>
      </c>
      <c r="AU41" s="703">
        <f t="shared" si="4"/>
        <v>0</v>
      </c>
      <c r="AV41" s="703">
        <f t="shared" si="4"/>
        <v>0</v>
      </c>
      <c r="AW41" s="703">
        <f t="shared" si="4"/>
        <v>0</v>
      </c>
      <c r="AX41" s="703">
        <f t="shared" si="4"/>
        <v>0</v>
      </c>
      <c r="AY41" s="703">
        <f t="shared" si="4"/>
        <v>0</v>
      </c>
      <c r="AZ41" s="703">
        <f t="shared" si="4"/>
        <v>0</v>
      </c>
      <c r="BA41" s="703">
        <f t="shared" si="4"/>
        <v>0</v>
      </c>
      <c r="BB41" s="703">
        <f t="shared" si="4"/>
        <v>0</v>
      </c>
      <c r="BC41" s="703">
        <f t="shared" si="4"/>
        <v>0</v>
      </c>
      <c r="BD41" s="703">
        <f t="shared" si="4"/>
        <v>0</v>
      </c>
      <c r="BE41" s="1417"/>
      <c r="BH41" s="906" t="s">
        <v>1300</v>
      </c>
    </row>
    <row r="42" spans="2:60" ht="14.65" hidden="1" customHeight="1" x14ac:dyDescent="0.15">
      <c r="B42" s="41"/>
      <c r="E42" s="542">
        <v>15</v>
      </c>
      <c r="F42" s="3" cm="1">
        <f t="array" aca="1" ref="F42" ca="1">OFFSET(E42,-1,1)</f>
        <v>0</v>
      </c>
      <c r="H42" s="41" t="s">
        <v>1301</v>
      </c>
      <c r="T42" s="388" t="b" cm="1">
        <f t="array" ref="T42">T41</f>
        <v>0</v>
      </c>
      <c r="X42" s="2032"/>
      <c r="Z42" s="2012"/>
      <c r="AB42" s="217" t="s">
        <v>1302</v>
      </c>
      <c r="AC42" s="685" t="s">
        <v>1303</v>
      </c>
      <c r="AD42" s="218" t="s">
        <v>831</v>
      </c>
      <c r="AE42" s="1404"/>
      <c r="AF42" s="1404"/>
      <c r="AG42" s="1404"/>
      <c r="AH42" s="1404"/>
      <c r="AI42" s="1404"/>
      <c r="AJ42" s="1404"/>
      <c r="AK42" s="692"/>
      <c r="AL42" s="1404"/>
      <c r="AM42" s="1404"/>
      <c r="AN42" s="1404"/>
      <c r="AO42" s="1404"/>
      <c r="AP42" s="1404"/>
      <c r="AQ42" s="1404"/>
      <c r="AR42" s="1404"/>
      <c r="AS42" s="1404"/>
      <c r="AT42" s="1404"/>
      <c r="AU42" s="692"/>
      <c r="AV42" s="1404"/>
      <c r="AW42" s="1404"/>
      <c r="AX42" s="1404"/>
      <c r="AY42" s="1404"/>
      <c r="AZ42" s="1404"/>
      <c r="BA42" s="1404"/>
      <c r="BB42" s="1404"/>
      <c r="BC42" s="1404"/>
      <c r="BD42" s="1404"/>
      <c r="BE42" s="1417"/>
      <c r="BH42" s="906" t="s">
        <v>1222</v>
      </c>
    </row>
    <row r="43" spans="2:60" ht="14.65" hidden="1" customHeight="1" x14ac:dyDescent="0.15">
      <c r="B43" s="41"/>
      <c r="E43" s="542">
        <v>15</v>
      </c>
      <c r="F43" s="3" cm="1">
        <f t="array" aca="1" ref="F43" ca="1">OFFSET(E43,-1,1)</f>
        <v>0</v>
      </c>
      <c r="H43" s="41" t="s">
        <v>1304</v>
      </c>
      <c r="T43" s="388" t="b" cm="1">
        <f t="array" ref="T43">T42</f>
        <v>0</v>
      </c>
      <c r="X43" s="2032"/>
      <c r="Z43" s="2012"/>
      <c r="AB43" s="217" t="s">
        <v>1305</v>
      </c>
      <c r="AC43" s="685" t="s">
        <v>1306</v>
      </c>
      <c r="AD43" s="218" t="s">
        <v>831</v>
      </c>
      <c r="AE43" s="1404"/>
      <c r="AF43" s="1404"/>
      <c r="AG43" s="1404"/>
      <c r="AH43" s="1404"/>
      <c r="AI43" s="1404"/>
      <c r="AJ43" s="1404"/>
      <c r="AK43" s="692"/>
      <c r="AL43" s="1404"/>
      <c r="AM43" s="1404"/>
      <c r="AN43" s="1404"/>
      <c r="AO43" s="1404"/>
      <c r="AP43" s="1404"/>
      <c r="AQ43" s="1404"/>
      <c r="AR43" s="1404"/>
      <c r="AS43" s="1404"/>
      <c r="AT43" s="1404"/>
      <c r="AU43" s="692"/>
      <c r="AV43" s="1404"/>
      <c r="AW43" s="1404"/>
      <c r="AX43" s="1404"/>
      <c r="AY43" s="1404"/>
      <c r="AZ43" s="1404"/>
      <c r="BA43" s="1404"/>
      <c r="BB43" s="1404"/>
      <c r="BC43" s="1404"/>
      <c r="BD43" s="1404"/>
      <c r="BE43" s="1417"/>
      <c r="BH43" s="906" t="s">
        <v>1307</v>
      </c>
    </row>
    <row r="44" spans="2:60" ht="14.65" hidden="1" customHeight="1" x14ac:dyDescent="0.15">
      <c r="B44" s="41"/>
      <c r="E44" s="542">
        <v>15</v>
      </c>
      <c r="F44" s="3" cm="1">
        <f t="array" aca="1" ref="F44" ca="1">OFFSET(E44,-1,1)</f>
        <v>0</v>
      </c>
      <c r="H44" s="41" t="s">
        <v>1308</v>
      </c>
      <c r="T44" s="388" t="b" cm="1">
        <f t="array" ref="T44">T43</f>
        <v>0</v>
      </c>
      <c r="X44" s="2032"/>
      <c r="Z44" s="2012"/>
      <c r="AB44" s="217" t="s">
        <v>1309</v>
      </c>
      <c r="AC44" s="685" t="s">
        <v>1310</v>
      </c>
      <c r="AD44" s="218" t="s">
        <v>831</v>
      </c>
      <c r="AE44" s="1404"/>
      <c r="AF44" s="1404"/>
      <c r="AG44" s="1404"/>
      <c r="AH44" s="1404"/>
      <c r="AI44" s="1404"/>
      <c r="AJ44" s="1404"/>
      <c r="AK44" s="692"/>
      <c r="AL44" s="1404"/>
      <c r="AM44" s="1404"/>
      <c r="AN44" s="1404"/>
      <c r="AO44" s="1404"/>
      <c r="AP44" s="1404"/>
      <c r="AQ44" s="1404"/>
      <c r="AR44" s="1404"/>
      <c r="AS44" s="1404"/>
      <c r="AT44" s="1404"/>
      <c r="AU44" s="692"/>
      <c r="AV44" s="1404"/>
      <c r="AW44" s="1404"/>
      <c r="AX44" s="1404"/>
      <c r="AY44" s="1404"/>
      <c r="AZ44" s="1404"/>
      <c r="BA44" s="1404"/>
      <c r="BB44" s="1404"/>
      <c r="BC44" s="1404"/>
      <c r="BD44" s="1404"/>
      <c r="BE44" s="1417"/>
      <c r="BH44" s="906" t="s">
        <v>1311</v>
      </c>
    </row>
    <row r="45" spans="2:60" ht="14.65" hidden="1" customHeight="1" x14ac:dyDescent="0.15">
      <c r="B45" s="41"/>
      <c r="E45" s="542">
        <v>15</v>
      </c>
      <c r="F45" s="3" cm="1">
        <f t="array" aca="1" ref="F45" ca="1">OFFSET(E45,-1,1)</f>
        <v>0</v>
      </c>
      <c r="H45" s="41" t="s">
        <v>501</v>
      </c>
      <c r="T45" s="388" t="b" cm="1">
        <f t="array" ref="T45">T44</f>
        <v>0</v>
      </c>
      <c r="X45" s="2032"/>
      <c r="Z45" s="2012"/>
      <c r="AB45" s="217" t="s">
        <v>916</v>
      </c>
      <c r="AC45" s="682" t="s">
        <v>1312</v>
      </c>
      <c r="AD45" s="218" t="s">
        <v>831</v>
      </c>
      <c r="AE45" s="703">
        <f t="shared" ref="AE45:BD45" si="5">AE46+AE47+AE48</f>
        <v>0</v>
      </c>
      <c r="AF45" s="703">
        <f t="shared" si="5"/>
        <v>0</v>
      </c>
      <c r="AG45" s="703">
        <f t="shared" si="5"/>
        <v>0</v>
      </c>
      <c r="AH45" s="703">
        <f t="shared" si="5"/>
        <v>0</v>
      </c>
      <c r="AI45" s="703">
        <f t="shared" si="5"/>
        <v>0</v>
      </c>
      <c r="AJ45" s="703">
        <f t="shared" si="5"/>
        <v>0</v>
      </c>
      <c r="AK45" s="703">
        <f t="shared" si="5"/>
        <v>0</v>
      </c>
      <c r="AL45" s="703">
        <f t="shared" si="5"/>
        <v>0</v>
      </c>
      <c r="AM45" s="703">
        <f t="shared" si="5"/>
        <v>0</v>
      </c>
      <c r="AN45" s="703">
        <f t="shared" si="5"/>
        <v>0</v>
      </c>
      <c r="AO45" s="703">
        <f t="shared" si="5"/>
        <v>0</v>
      </c>
      <c r="AP45" s="703">
        <f t="shared" si="5"/>
        <v>0</v>
      </c>
      <c r="AQ45" s="703">
        <f t="shared" si="5"/>
        <v>0</v>
      </c>
      <c r="AR45" s="703">
        <f t="shared" si="5"/>
        <v>0</v>
      </c>
      <c r="AS45" s="703">
        <f t="shared" si="5"/>
        <v>0</v>
      </c>
      <c r="AT45" s="703">
        <f t="shared" si="5"/>
        <v>0</v>
      </c>
      <c r="AU45" s="703">
        <f t="shared" si="5"/>
        <v>0</v>
      </c>
      <c r="AV45" s="703">
        <f t="shared" si="5"/>
        <v>0</v>
      </c>
      <c r="AW45" s="703">
        <f t="shared" si="5"/>
        <v>0</v>
      </c>
      <c r="AX45" s="703">
        <f t="shared" si="5"/>
        <v>0</v>
      </c>
      <c r="AY45" s="703">
        <f t="shared" si="5"/>
        <v>0</v>
      </c>
      <c r="AZ45" s="703">
        <f t="shared" si="5"/>
        <v>0</v>
      </c>
      <c r="BA45" s="703">
        <f t="shared" si="5"/>
        <v>0</v>
      </c>
      <c r="BB45" s="703">
        <f t="shared" si="5"/>
        <v>0</v>
      </c>
      <c r="BC45" s="703">
        <f t="shared" si="5"/>
        <v>0</v>
      </c>
      <c r="BD45" s="703">
        <f t="shared" si="5"/>
        <v>0</v>
      </c>
      <c r="BE45" s="1417"/>
      <c r="BH45" s="906" t="s">
        <v>1313</v>
      </c>
    </row>
    <row r="46" spans="2:60" ht="14.65" hidden="1" customHeight="1" x14ac:dyDescent="0.15">
      <c r="B46" s="41"/>
      <c r="E46" s="542">
        <v>15</v>
      </c>
      <c r="F46" s="3" cm="1">
        <f t="array" aca="1" ref="F46" ca="1">OFFSET(E46,-1,1)</f>
        <v>0</v>
      </c>
      <c r="H46" s="41" t="s">
        <v>1314</v>
      </c>
      <c r="T46" s="388" t="b" cm="1">
        <f t="array" ref="T46">T45</f>
        <v>0</v>
      </c>
      <c r="X46" s="2032"/>
      <c r="Z46" s="2012"/>
      <c r="AB46" s="217" t="s">
        <v>1315</v>
      </c>
      <c r="AC46" s="685" t="s">
        <v>1316</v>
      </c>
      <c r="AD46" s="218" t="s">
        <v>831</v>
      </c>
      <c r="AE46" s="1404"/>
      <c r="AF46" s="1404"/>
      <c r="AG46" s="1404"/>
      <c r="AH46" s="1404"/>
      <c r="AI46" s="1404"/>
      <c r="AJ46" s="1404"/>
      <c r="AK46" s="692"/>
      <c r="AL46" s="1404"/>
      <c r="AM46" s="1404"/>
      <c r="AN46" s="1404"/>
      <c r="AO46" s="1404"/>
      <c r="AP46" s="1404"/>
      <c r="AQ46" s="1404"/>
      <c r="AR46" s="1404"/>
      <c r="AS46" s="1404"/>
      <c r="AT46" s="1404"/>
      <c r="AU46" s="692"/>
      <c r="AV46" s="1404"/>
      <c r="AW46" s="1404"/>
      <c r="AX46" s="1404"/>
      <c r="AY46" s="1404"/>
      <c r="AZ46" s="1404"/>
      <c r="BA46" s="1404"/>
      <c r="BB46" s="1404"/>
      <c r="BC46" s="1404"/>
      <c r="BD46" s="1404"/>
      <c r="BE46" s="1417"/>
      <c r="BH46" s="906" t="s">
        <v>1317</v>
      </c>
    </row>
    <row r="47" spans="2:60" ht="14.65" hidden="1" customHeight="1" x14ac:dyDescent="0.15">
      <c r="B47" s="41"/>
      <c r="E47" s="542">
        <v>15</v>
      </c>
      <c r="F47" s="3" cm="1">
        <f t="array" aca="1" ref="F47" ca="1">OFFSET(E47,-1,1)</f>
        <v>0</v>
      </c>
      <c r="H47" s="41" t="s">
        <v>1318</v>
      </c>
      <c r="T47" s="388" t="b" cm="1">
        <f t="array" ref="T47">T46</f>
        <v>0</v>
      </c>
      <c r="X47" s="2032"/>
      <c r="Z47" s="2012"/>
      <c r="AB47" s="217" t="s">
        <v>1319</v>
      </c>
      <c r="AC47" s="685" t="s">
        <v>1320</v>
      </c>
      <c r="AD47" s="218" t="s">
        <v>831</v>
      </c>
      <c r="AE47" s="1404"/>
      <c r="AF47" s="1404"/>
      <c r="AG47" s="1404"/>
      <c r="AH47" s="1404"/>
      <c r="AI47" s="1404"/>
      <c r="AJ47" s="1404"/>
      <c r="AK47" s="692"/>
      <c r="AL47" s="1404"/>
      <c r="AM47" s="1404"/>
      <c r="AN47" s="1404"/>
      <c r="AO47" s="1404"/>
      <c r="AP47" s="1404"/>
      <c r="AQ47" s="1404"/>
      <c r="AR47" s="1404"/>
      <c r="AS47" s="1404"/>
      <c r="AT47" s="1404"/>
      <c r="AU47" s="692"/>
      <c r="AV47" s="1404"/>
      <c r="AW47" s="1404"/>
      <c r="AX47" s="1404"/>
      <c r="AY47" s="1404"/>
      <c r="AZ47" s="1404"/>
      <c r="BA47" s="1404"/>
      <c r="BB47" s="1404"/>
      <c r="BC47" s="1404"/>
      <c r="BD47" s="1404"/>
      <c r="BE47" s="1417"/>
      <c r="BH47" s="906" t="s">
        <v>1321</v>
      </c>
    </row>
    <row r="48" spans="2:60" ht="14.65" hidden="1" customHeight="1" x14ac:dyDescent="0.15">
      <c r="B48" s="41"/>
      <c r="E48" s="542">
        <v>15</v>
      </c>
      <c r="F48" s="3" cm="1">
        <f t="array" aca="1" ref="F48" ca="1">OFFSET(E48,-1,1)</f>
        <v>0</v>
      </c>
      <c r="H48" s="41" t="s">
        <v>1322</v>
      </c>
      <c r="T48" s="388" t="b" cm="1">
        <f t="array" ref="T48">T47</f>
        <v>0</v>
      </c>
      <c r="X48" s="2032"/>
      <c r="Z48" s="2012"/>
      <c r="AB48" s="217" t="s">
        <v>1323</v>
      </c>
      <c r="AC48" s="685" t="s">
        <v>1324</v>
      </c>
      <c r="AD48" s="218" t="s">
        <v>831</v>
      </c>
      <c r="AE48" s="1404"/>
      <c r="AF48" s="1404"/>
      <c r="AG48" s="1404"/>
      <c r="AH48" s="1404"/>
      <c r="AI48" s="1404"/>
      <c r="AJ48" s="1404"/>
      <c r="AK48" s="692"/>
      <c r="AL48" s="1404"/>
      <c r="AM48" s="1404"/>
      <c r="AN48" s="1404"/>
      <c r="AO48" s="1404"/>
      <c r="AP48" s="1404"/>
      <c r="AQ48" s="1404"/>
      <c r="AR48" s="1404"/>
      <c r="AS48" s="1404"/>
      <c r="AT48" s="1404"/>
      <c r="AU48" s="692"/>
      <c r="AV48" s="1404"/>
      <c r="AW48" s="1404"/>
      <c r="AX48" s="1404"/>
      <c r="AY48" s="1404"/>
      <c r="AZ48" s="1404"/>
      <c r="BA48" s="1404"/>
      <c r="BB48" s="1404"/>
      <c r="BC48" s="1404"/>
      <c r="BD48" s="1404"/>
      <c r="BE48" s="1417"/>
      <c r="BH48" s="906" t="s">
        <v>1325</v>
      </c>
    </row>
    <row r="49" spans="1:60" ht="14.65" hidden="1" customHeight="1" x14ac:dyDescent="0.15">
      <c r="B49" s="41"/>
      <c r="E49" s="542">
        <v>15</v>
      </c>
      <c r="F49" s="3" cm="1">
        <f t="array" aca="1" ref="F49" ca="1">OFFSET(E49,-1,1)</f>
        <v>0</v>
      </c>
      <c r="H49" s="41" t="s">
        <v>505</v>
      </c>
      <c r="T49" s="388" t="b" cm="1">
        <f t="array" ref="T49">T48</f>
        <v>0</v>
      </c>
      <c r="X49" s="2032"/>
      <c r="Z49" s="2012"/>
      <c r="AB49" s="217" t="s">
        <v>919</v>
      </c>
      <c r="AC49" s="682" t="s">
        <v>1326</v>
      </c>
      <c r="AD49" s="218" t="s">
        <v>831</v>
      </c>
      <c r="AE49" s="703">
        <f t="shared" ref="AE49:BD49" si="6">AE50+AE51+AE52+AE53</f>
        <v>0</v>
      </c>
      <c r="AF49" s="703">
        <f t="shared" si="6"/>
        <v>0</v>
      </c>
      <c r="AG49" s="703">
        <f t="shared" si="6"/>
        <v>0</v>
      </c>
      <c r="AH49" s="703">
        <f t="shared" si="6"/>
        <v>0</v>
      </c>
      <c r="AI49" s="703">
        <f t="shared" si="6"/>
        <v>0</v>
      </c>
      <c r="AJ49" s="703">
        <f t="shared" si="6"/>
        <v>0</v>
      </c>
      <c r="AK49" s="703">
        <f t="shared" si="6"/>
        <v>0</v>
      </c>
      <c r="AL49" s="703">
        <f t="shared" si="6"/>
        <v>0</v>
      </c>
      <c r="AM49" s="703">
        <f t="shared" si="6"/>
        <v>0</v>
      </c>
      <c r="AN49" s="703">
        <f t="shared" si="6"/>
        <v>0</v>
      </c>
      <c r="AO49" s="703">
        <f t="shared" si="6"/>
        <v>0</v>
      </c>
      <c r="AP49" s="703">
        <f t="shared" si="6"/>
        <v>0</v>
      </c>
      <c r="AQ49" s="703">
        <f t="shared" si="6"/>
        <v>0</v>
      </c>
      <c r="AR49" s="703">
        <f t="shared" si="6"/>
        <v>0</v>
      </c>
      <c r="AS49" s="703">
        <f t="shared" si="6"/>
        <v>0</v>
      </c>
      <c r="AT49" s="703">
        <f t="shared" si="6"/>
        <v>0</v>
      </c>
      <c r="AU49" s="703">
        <f t="shared" si="6"/>
        <v>0</v>
      </c>
      <c r="AV49" s="703">
        <f t="shared" si="6"/>
        <v>0</v>
      </c>
      <c r="AW49" s="703">
        <f t="shared" si="6"/>
        <v>0</v>
      </c>
      <c r="AX49" s="703">
        <f t="shared" si="6"/>
        <v>0</v>
      </c>
      <c r="AY49" s="703">
        <f t="shared" si="6"/>
        <v>0</v>
      </c>
      <c r="AZ49" s="703">
        <f t="shared" si="6"/>
        <v>0</v>
      </c>
      <c r="BA49" s="703">
        <f t="shared" si="6"/>
        <v>0</v>
      </c>
      <c r="BB49" s="703">
        <f t="shared" si="6"/>
        <v>0</v>
      </c>
      <c r="BC49" s="703">
        <f t="shared" si="6"/>
        <v>0</v>
      </c>
      <c r="BD49" s="703">
        <f t="shared" si="6"/>
        <v>0</v>
      </c>
      <c r="BE49" s="1417"/>
      <c r="BH49" s="906" t="s">
        <v>1327</v>
      </c>
    </row>
    <row r="50" spans="1:60" ht="14.65" hidden="1" customHeight="1" x14ac:dyDescent="0.15">
      <c r="B50" s="41"/>
      <c r="E50" s="542">
        <v>15</v>
      </c>
      <c r="F50" s="3" cm="1">
        <f t="array" aca="1" ref="F50" ca="1">OFFSET(E50,-1,1)</f>
        <v>0</v>
      </c>
      <c r="H50" s="41" t="s">
        <v>1328</v>
      </c>
      <c r="T50" s="388" t="b" cm="1">
        <f t="array" ref="T50">T49</f>
        <v>0</v>
      </c>
      <c r="X50" s="2032"/>
      <c r="Z50" s="2012"/>
      <c r="AB50" s="217" t="s">
        <v>1033</v>
      </c>
      <c r="AC50" s="685" t="s">
        <v>1027</v>
      </c>
      <c r="AD50" s="218" t="s">
        <v>831</v>
      </c>
      <c r="AE50" s="1404"/>
      <c r="AF50" s="1404"/>
      <c r="AG50" s="1404"/>
      <c r="AH50" s="1404"/>
      <c r="AI50" s="1404"/>
      <c r="AJ50" s="1404"/>
      <c r="AK50" s="692"/>
      <c r="AL50" s="1404"/>
      <c r="AM50" s="1404"/>
      <c r="AN50" s="1404"/>
      <c r="AO50" s="1404"/>
      <c r="AP50" s="1404"/>
      <c r="AQ50" s="1404"/>
      <c r="AR50" s="1404"/>
      <c r="AS50" s="1404"/>
      <c r="AT50" s="1404"/>
      <c r="AU50" s="692"/>
      <c r="AV50" s="1404"/>
      <c r="AW50" s="1404"/>
      <c r="AX50" s="1404"/>
      <c r="AY50" s="1404"/>
      <c r="AZ50" s="1404"/>
      <c r="BA50" s="1404"/>
      <c r="BB50" s="1404"/>
      <c r="BC50" s="1404"/>
      <c r="BD50" s="1404"/>
      <c r="BE50" s="1417"/>
      <c r="BH50" s="906" t="s">
        <v>1029</v>
      </c>
    </row>
    <row r="51" spans="1:60" ht="21.95" hidden="1" customHeight="1" x14ac:dyDescent="0.15">
      <c r="B51" s="41"/>
      <c r="E51" s="542">
        <v>22.5</v>
      </c>
      <c r="F51" s="3" cm="1">
        <f t="array" aca="1" ref="F51" ca="1">OFFSET(E51,-1,1)</f>
        <v>0</v>
      </c>
      <c r="H51" s="41" t="s">
        <v>1329</v>
      </c>
      <c r="T51" s="388" t="b" cm="1">
        <f t="array" ref="T51">T50</f>
        <v>0</v>
      </c>
      <c r="X51" s="2032"/>
      <c r="Z51" s="2012"/>
      <c r="AB51" s="217" t="s">
        <v>1036</v>
      </c>
      <c r="AC51" s="685" t="s">
        <v>1330</v>
      </c>
      <c r="AD51" s="218" t="s">
        <v>831</v>
      </c>
      <c r="AE51" s="1404"/>
      <c r="AF51" s="1404"/>
      <c r="AG51" s="1404"/>
      <c r="AH51" s="1404"/>
      <c r="AI51" s="1404"/>
      <c r="AJ51" s="1404"/>
      <c r="AK51" s="692"/>
      <c r="AL51" s="1404"/>
      <c r="AM51" s="1404"/>
      <c r="AN51" s="1404"/>
      <c r="AO51" s="1404"/>
      <c r="AP51" s="1404"/>
      <c r="AQ51" s="1404"/>
      <c r="AR51" s="1404"/>
      <c r="AS51" s="1404"/>
      <c r="AT51" s="1404"/>
      <c r="AU51" s="692"/>
      <c r="AV51" s="1404"/>
      <c r="AW51" s="1404"/>
      <c r="AX51" s="1404"/>
      <c r="AY51" s="1404"/>
      <c r="AZ51" s="1404"/>
      <c r="BA51" s="1404"/>
      <c r="BB51" s="1404"/>
      <c r="BC51" s="1404"/>
      <c r="BD51" s="1404"/>
      <c r="BE51" s="1417"/>
      <c r="BH51" s="906" t="s">
        <v>1331</v>
      </c>
    </row>
    <row r="52" spans="1:60" ht="21.95" hidden="1" customHeight="1" x14ac:dyDescent="0.15">
      <c r="B52" s="41"/>
      <c r="E52" s="542">
        <v>22.5</v>
      </c>
      <c r="F52" s="3" cm="1">
        <f t="array" aca="1" ref="F52" ca="1">OFFSET(E52,-1,1)</f>
        <v>0</v>
      </c>
      <c r="H52" s="41" t="s">
        <v>1332</v>
      </c>
      <c r="T52" s="388" t="b" cm="1">
        <f t="array" ref="T52">T51</f>
        <v>0</v>
      </c>
      <c r="X52" s="2032"/>
      <c r="Z52" s="2012"/>
      <c r="AB52" s="217" t="s">
        <v>1333</v>
      </c>
      <c r="AC52" s="685" t="s">
        <v>1334</v>
      </c>
      <c r="AD52" s="218" t="s">
        <v>831</v>
      </c>
      <c r="AE52" s="1404"/>
      <c r="AF52" s="1404"/>
      <c r="AG52" s="1404"/>
      <c r="AH52" s="1404"/>
      <c r="AI52" s="1404"/>
      <c r="AJ52" s="1404"/>
      <c r="AK52" s="692"/>
      <c r="AL52" s="1404"/>
      <c r="AM52" s="1404"/>
      <c r="AN52" s="1404"/>
      <c r="AO52" s="1404"/>
      <c r="AP52" s="1404"/>
      <c r="AQ52" s="1404"/>
      <c r="AR52" s="1404"/>
      <c r="AS52" s="1404"/>
      <c r="AT52" s="1404"/>
      <c r="AU52" s="692"/>
      <c r="AV52" s="1404"/>
      <c r="AW52" s="1404"/>
      <c r="AX52" s="1404"/>
      <c r="AY52" s="1404"/>
      <c r="AZ52" s="1404"/>
      <c r="BA52" s="1404"/>
      <c r="BB52" s="1404"/>
      <c r="BC52" s="1404"/>
      <c r="BD52" s="1404"/>
      <c r="BE52" s="1417"/>
      <c r="BH52" s="906" t="s">
        <v>1335</v>
      </c>
    </row>
    <row r="53" spans="1:60" ht="14.65" hidden="1" customHeight="1" x14ac:dyDescent="0.15">
      <c r="B53" s="41"/>
      <c r="E53" s="542">
        <v>15</v>
      </c>
      <c r="F53" s="3" cm="1">
        <f t="array" aca="1" ref="F53" ca="1">OFFSET(E53,-1,1)</f>
        <v>0</v>
      </c>
      <c r="H53" s="41" t="s">
        <v>1336</v>
      </c>
      <c r="T53" s="388" t="b" cm="1">
        <f t="array" ref="T53">T52</f>
        <v>0</v>
      </c>
      <c r="X53" s="2032"/>
      <c r="Z53" s="2012"/>
      <c r="AB53" s="217" t="s">
        <v>1337</v>
      </c>
      <c r="AC53" s="685" t="s">
        <v>1338</v>
      </c>
      <c r="AD53" s="218" t="s">
        <v>831</v>
      </c>
      <c r="AE53" s="1404"/>
      <c r="AF53" s="1404"/>
      <c r="AG53" s="1404"/>
      <c r="AH53" s="1404"/>
      <c r="AI53" s="1404"/>
      <c r="AJ53" s="1404"/>
      <c r="AK53" s="692"/>
      <c r="AL53" s="1404"/>
      <c r="AM53" s="1404"/>
      <c r="AN53" s="1404"/>
      <c r="AO53" s="1404"/>
      <c r="AP53" s="1404"/>
      <c r="AQ53" s="1404"/>
      <c r="AR53" s="1404"/>
      <c r="AS53" s="1404"/>
      <c r="AT53" s="1404"/>
      <c r="AU53" s="692"/>
      <c r="AV53" s="1404"/>
      <c r="AW53" s="1404"/>
      <c r="AX53" s="1404"/>
      <c r="AY53" s="1404"/>
      <c r="AZ53" s="1404"/>
      <c r="BA53" s="1404"/>
      <c r="BB53" s="1404"/>
      <c r="BC53" s="1404"/>
      <c r="BD53" s="1404"/>
      <c r="BE53" s="1417"/>
      <c r="BH53" s="906" t="s">
        <v>1339</v>
      </c>
    </row>
    <row r="54" spans="1:60" s="621" customFormat="1" ht="21.95" hidden="1" customHeight="1" x14ac:dyDescent="0.15">
      <c r="B54" s="41"/>
      <c r="E54" s="614">
        <v>22.5</v>
      </c>
      <c r="F54" s="3" cm="1">
        <f t="array" aca="1" ref="F54" ca="1">OFFSET(E54,-1,1)</f>
        <v>0</v>
      </c>
      <c r="G54" s="41"/>
      <c r="H54" s="41" t="s">
        <v>332</v>
      </c>
      <c r="T54" s="388" t="b" cm="1">
        <f t="array" ref="T54">T53</f>
        <v>0</v>
      </c>
      <c r="X54" s="2032"/>
      <c r="Z54" s="2012"/>
      <c r="AB54" s="137" t="s">
        <v>289</v>
      </c>
      <c r="AC54" s="138" t="s">
        <v>1340</v>
      </c>
      <c r="AD54" s="130" t="s">
        <v>831</v>
      </c>
      <c r="AE54" s="132">
        <f t="shared" ref="AE54:BD54" si="7">AE55+AE56+AE57</f>
        <v>0</v>
      </c>
      <c r="AF54" s="132">
        <f t="shared" si="7"/>
        <v>0</v>
      </c>
      <c r="AG54" s="132">
        <f t="shared" si="7"/>
        <v>0</v>
      </c>
      <c r="AH54" s="132">
        <f t="shared" si="7"/>
        <v>0</v>
      </c>
      <c r="AI54" s="132">
        <f t="shared" si="7"/>
        <v>0</v>
      </c>
      <c r="AJ54" s="132">
        <f t="shared" si="7"/>
        <v>0</v>
      </c>
      <c r="AK54" s="132">
        <f t="shared" si="7"/>
        <v>0</v>
      </c>
      <c r="AL54" s="132">
        <f t="shared" si="7"/>
        <v>0</v>
      </c>
      <c r="AM54" s="132">
        <f t="shared" si="7"/>
        <v>0</v>
      </c>
      <c r="AN54" s="132">
        <f t="shared" si="7"/>
        <v>0</v>
      </c>
      <c r="AO54" s="132">
        <f t="shared" si="7"/>
        <v>0</v>
      </c>
      <c r="AP54" s="132">
        <f t="shared" si="7"/>
        <v>0</v>
      </c>
      <c r="AQ54" s="132">
        <f t="shared" si="7"/>
        <v>0</v>
      </c>
      <c r="AR54" s="132">
        <f t="shared" si="7"/>
        <v>0</v>
      </c>
      <c r="AS54" s="132">
        <f t="shared" si="7"/>
        <v>0</v>
      </c>
      <c r="AT54" s="132">
        <f t="shared" si="7"/>
        <v>0</v>
      </c>
      <c r="AU54" s="132">
        <f t="shared" si="7"/>
        <v>0</v>
      </c>
      <c r="AV54" s="132">
        <f t="shared" si="7"/>
        <v>0</v>
      </c>
      <c r="AW54" s="132">
        <f t="shared" si="7"/>
        <v>0</v>
      </c>
      <c r="AX54" s="132">
        <f t="shared" si="7"/>
        <v>0</v>
      </c>
      <c r="AY54" s="132">
        <f t="shared" si="7"/>
        <v>0</v>
      </c>
      <c r="AZ54" s="132">
        <f t="shared" si="7"/>
        <v>0</v>
      </c>
      <c r="BA54" s="132">
        <f t="shared" si="7"/>
        <v>0</v>
      </c>
      <c r="BB54" s="132">
        <f t="shared" si="7"/>
        <v>0</v>
      </c>
      <c r="BC54" s="132">
        <f t="shared" si="7"/>
        <v>0</v>
      </c>
      <c r="BD54" s="132">
        <f t="shared" si="7"/>
        <v>0</v>
      </c>
      <c r="BE54" s="1417"/>
      <c r="BH54" s="960" t="s">
        <v>1341</v>
      </c>
    </row>
    <row r="55" spans="1:60" ht="14.65" hidden="1" customHeight="1" x14ac:dyDescent="0.15">
      <c r="B55" s="41"/>
      <c r="E55" s="542">
        <v>15</v>
      </c>
      <c r="F55" s="3" cm="1">
        <f t="array" aca="1" ref="F55" ca="1">OFFSET(E55,-1,1)</f>
        <v>0</v>
      </c>
      <c r="H55" s="41" t="s">
        <v>512</v>
      </c>
      <c r="K55" s="43" t="str">
        <f ca="1">F55&amp;"2komm"</f>
        <v>02komm</v>
      </c>
      <c r="L55" s="43" cm="1">
        <f t="array" ref="L55">BE55</f>
        <v>0</v>
      </c>
      <c r="T55" s="388" t="b" cm="1">
        <f t="array" ref="T55">T54</f>
        <v>0</v>
      </c>
      <c r="X55" s="2032"/>
      <c r="Z55" s="2012"/>
      <c r="AB55" s="217" t="s">
        <v>566</v>
      </c>
      <c r="AC55" s="682" t="s">
        <v>1342</v>
      </c>
      <c r="AD55" s="218" t="s">
        <v>831</v>
      </c>
      <c r="AE55" s="1404"/>
      <c r="AF55" s="1404"/>
      <c r="AG55" s="1404"/>
      <c r="AH55" s="1404"/>
      <c r="AI55" s="1404"/>
      <c r="AJ55" s="1404"/>
      <c r="AK55" s="692"/>
      <c r="AL55" s="1404"/>
      <c r="AM55" s="1404"/>
      <c r="AN55" s="1404"/>
      <c r="AO55" s="1404"/>
      <c r="AP55" s="1404"/>
      <c r="AQ55" s="1404"/>
      <c r="AR55" s="1404"/>
      <c r="AS55" s="1404"/>
      <c r="AT55" s="1404"/>
      <c r="AU55" s="692"/>
      <c r="AV55" s="1404"/>
      <c r="AW55" s="1404"/>
      <c r="AX55" s="1404"/>
      <c r="AY55" s="1404"/>
      <c r="AZ55" s="1404"/>
      <c r="BA55" s="1404"/>
      <c r="BB55" s="1404"/>
      <c r="BC55" s="1404"/>
      <c r="BD55" s="1404"/>
      <c r="BE55" s="1417"/>
      <c r="BH55" s="906" t="s">
        <v>1343</v>
      </c>
    </row>
    <row r="56" spans="1:60" ht="14.65" hidden="1" customHeight="1" x14ac:dyDescent="0.15">
      <c r="B56" s="41"/>
      <c r="E56" s="542">
        <v>15</v>
      </c>
      <c r="F56" s="3" cm="1">
        <f t="array" aca="1" ref="F56" ca="1">OFFSET(E56,-1,1)</f>
        <v>0</v>
      </c>
      <c r="H56" s="41" t="s">
        <v>515</v>
      </c>
      <c r="K56" s="43" t="str">
        <f ca="1">F56&amp;"3komm"</f>
        <v>03komm</v>
      </c>
      <c r="L56" s="43" cm="1">
        <f t="array" ref="L56">BE56</f>
        <v>0</v>
      </c>
      <c r="T56" s="388" t="b" cm="1">
        <f t="array" ref="T56">T55</f>
        <v>0</v>
      </c>
      <c r="X56" s="2032"/>
      <c r="Z56" s="2012"/>
      <c r="AB56" s="217" t="s">
        <v>570</v>
      </c>
      <c r="AC56" s="682" t="s">
        <v>1344</v>
      </c>
      <c r="AD56" s="218" t="s">
        <v>831</v>
      </c>
      <c r="AE56" s="1404"/>
      <c r="AF56" s="1404"/>
      <c r="AG56" s="1404"/>
      <c r="AH56" s="1404"/>
      <c r="AI56" s="1404"/>
      <c r="AJ56" s="1404"/>
      <c r="AK56" s="692"/>
      <c r="AL56" s="1404"/>
      <c r="AM56" s="1404"/>
      <c r="AN56" s="1404"/>
      <c r="AO56" s="1404"/>
      <c r="AP56" s="1404"/>
      <c r="AQ56" s="1404"/>
      <c r="AR56" s="1404"/>
      <c r="AS56" s="1404"/>
      <c r="AT56" s="1404"/>
      <c r="AU56" s="692"/>
      <c r="AV56" s="1404"/>
      <c r="AW56" s="1404"/>
      <c r="AX56" s="1404"/>
      <c r="AY56" s="1404"/>
      <c r="AZ56" s="1404"/>
      <c r="BA56" s="1404"/>
      <c r="BB56" s="1404"/>
      <c r="BC56" s="1404"/>
      <c r="BD56" s="1404"/>
      <c r="BE56" s="1417"/>
      <c r="BH56" s="906" t="s">
        <v>1345</v>
      </c>
    </row>
    <row r="57" spans="1:60" ht="14.65" hidden="1" customHeight="1" x14ac:dyDescent="0.15">
      <c r="B57" s="41"/>
      <c r="E57" s="542">
        <v>15</v>
      </c>
      <c r="F57" s="3" cm="1">
        <f t="array" aca="1" ref="F57" ca="1">OFFSET(E57,-1,1)</f>
        <v>0</v>
      </c>
      <c r="H57" s="41" t="s">
        <v>930</v>
      </c>
      <c r="T57" s="388" t="b" cm="1">
        <f t="array" ref="T57">T56</f>
        <v>0</v>
      </c>
      <c r="X57" s="2032"/>
      <c r="Z57" s="2012"/>
      <c r="AB57" s="217" t="s">
        <v>574</v>
      </c>
      <c r="AC57" s="682" t="s">
        <v>1346</v>
      </c>
      <c r="AD57" s="218" t="s">
        <v>831</v>
      </c>
      <c r="AE57" s="1404"/>
      <c r="AF57" s="1404"/>
      <c r="AG57" s="1404"/>
      <c r="AH57" s="1404"/>
      <c r="AI57" s="1404"/>
      <c r="AJ57" s="1404"/>
      <c r="AK57" s="692"/>
      <c r="AL57" s="1404"/>
      <c r="AM57" s="1404"/>
      <c r="AN57" s="1404"/>
      <c r="AO57" s="1404"/>
      <c r="AP57" s="1404"/>
      <c r="AQ57" s="1404"/>
      <c r="AR57" s="1404"/>
      <c r="AS57" s="1404"/>
      <c r="AT57" s="1404"/>
      <c r="AU57" s="692"/>
      <c r="AV57" s="1404"/>
      <c r="AW57" s="1404"/>
      <c r="AX57" s="1404"/>
      <c r="AY57" s="1404"/>
      <c r="AZ57" s="1404"/>
      <c r="BA57" s="1404"/>
      <c r="BB57" s="1404"/>
      <c r="BC57" s="1404"/>
      <c r="BD57" s="1404"/>
      <c r="BE57" s="1417"/>
      <c r="BH57" s="906" t="s">
        <v>1347</v>
      </c>
    </row>
    <row r="58" spans="1:60" s="1334" customFormat="1" ht="14.25" customHeight="1" x14ac:dyDescent="0.15">
      <c r="A58" s="1217"/>
      <c r="B58" s="41"/>
      <c r="C58" s="1217"/>
      <c r="D58" s="1217"/>
      <c r="E58" s="542">
        <v>15</v>
      </c>
      <c r="F58" s="17" t="str" cm="1">
        <f t="array" ref="F58">X58</f>
        <v>1</v>
      </c>
      <c r="G58" s="1217"/>
      <c r="H58" s="1217"/>
      <c r="I58" s="1217"/>
      <c r="J58" s="1217"/>
      <c r="K58" s="1217"/>
      <c r="L58" s="1217"/>
      <c r="M58" s="1217"/>
      <c r="N58" s="1217"/>
      <c r="O58" s="1217"/>
      <c r="P58" s="1217"/>
      <c r="Q58" s="1217"/>
      <c r="R58" s="1217"/>
      <c r="S58" s="1217"/>
      <c r="T58" s="388" t="b">
        <f>X58&gt;0</f>
        <v>1</v>
      </c>
      <c r="U58" s="1217"/>
      <c r="V58" s="41" t="str" cm="1">
        <f t="array" ref="V58">Налоги!$AB$41</f>
        <v>Тариф 1 (Водоснабжение) - тариф на питьевую воду</v>
      </c>
      <c r="W58" s="1217"/>
      <c r="X58" s="2032" t="s">
        <v>282</v>
      </c>
      <c r="Y58" s="1217"/>
      <c r="Z58" s="2012"/>
      <c r="AA58" s="1217"/>
      <c r="AB58" s="161" t="str" cm="1">
        <f t="array" ref="AB58">Налоги!$AB$41</f>
        <v>Тариф 1 (Водоснабжение) - тариф на питьевую воду</v>
      </c>
      <c r="AC58" s="751"/>
      <c r="AD58" s="751"/>
      <c r="AE58" s="751"/>
      <c r="AF58" s="751"/>
      <c r="AG58" s="751"/>
      <c r="AH58" s="751"/>
      <c r="AI58" s="751"/>
      <c r="AJ58" s="751"/>
      <c r="AK58" s="751"/>
      <c r="AL58" s="751"/>
      <c r="AM58" s="751"/>
      <c r="AN58" s="751"/>
      <c r="AO58" s="751"/>
      <c r="AP58" s="751"/>
      <c r="AQ58" s="751"/>
      <c r="AR58" s="751"/>
      <c r="AS58" s="751"/>
      <c r="AT58" s="751"/>
      <c r="AU58" s="751"/>
      <c r="AV58" s="751"/>
      <c r="AW58" s="751"/>
      <c r="AX58" s="751"/>
      <c r="AY58" s="751"/>
      <c r="AZ58" s="751"/>
      <c r="BA58" s="751"/>
      <c r="BB58" s="751"/>
      <c r="BC58" s="751"/>
      <c r="BD58" s="751"/>
      <c r="BE58" s="751"/>
      <c r="BF58" s="1217"/>
      <c r="BG58" s="1217"/>
      <c r="BH58" s="1133"/>
    </row>
    <row r="59" spans="1:60" s="1419" customFormat="1" ht="21.75" customHeight="1" x14ac:dyDescent="0.15">
      <c r="A59" s="621"/>
      <c r="B59" s="41"/>
      <c r="C59" s="621"/>
      <c r="D59" s="621"/>
      <c r="E59" s="614">
        <v>22.5</v>
      </c>
      <c r="F59" s="3" t="str" cm="1">
        <f t="array" aca="1" ref="F59" ca="1">OFFSET(E59,-1,1)</f>
        <v>1</v>
      </c>
      <c r="G59" s="41"/>
      <c r="H59" s="41" t="s">
        <v>331</v>
      </c>
      <c r="I59" s="621"/>
      <c r="J59" s="621"/>
      <c r="K59" s="621"/>
      <c r="L59" s="621"/>
      <c r="M59" s="621"/>
      <c r="N59" s="621"/>
      <c r="O59" s="621"/>
      <c r="P59" s="621"/>
      <c r="Q59" s="621"/>
      <c r="R59" s="621"/>
      <c r="S59" s="621"/>
      <c r="T59" s="388" t="b" cm="1">
        <f t="array" ref="T59">T58</f>
        <v>1</v>
      </c>
      <c r="U59" s="621"/>
      <c r="V59" s="621"/>
      <c r="W59" s="621"/>
      <c r="X59" s="2032"/>
      <c r="Y59" s="621"/>
      <c r="Z59" s="2012"/>
      <c r="AA59" s="621"/>
      <c r="AB59" s="137">
        <v>1</v>
      </c>
      <c r="AC59" s="131" t="s">
        <v>1269</v>
      </c>
      <c r="AD59" s="130" t="s">
        <v>831</v>
      </c>
      <c r="AE59" s="132">
        <f t="shared" ref="AE59:BD59" si="8">AE60+AE70+AE74+AE78</f>
        <v>0</v>
      </c>
      <c r="AF59" s="132">
        <f t="shared" si="8"/>
        <v>0</v>
      </c>
      <c r="AG59" s="132">
        <f t="shared" si="8"/>
        <v>0</v>
      </c>
      <c r="AH59" s="132">
        <f t="shared" si="8"/>
        <v>0</v>
      </c>
      <c r="AI59" s="132">
        <f t="shared" si="8"/>
        <v>0</v>
      </c>
      <c r="AJ59" s="132">
        <f t="shared" si="8"/>
        <v>261.89999999999998</v>
      </c>
      <c r="AK59" s="132">
        <f t="shared" si="8"/>
        <v>29636.22</v>
      </c>
      <c r="AL59" s="132">
        <f t="shared" si="8"/>
        <v>2968.6767730042998</v>
      </c>
      <c r="AM59" s="132">
        <f t="shared" si="8"/>
        <v>5312.0323543415998</v>
      </c>
      <c r="AN59" s="132">
        <f t="shared" si="8"/>
        <v>6884.6475404939001</v>
      </c>
      <c r="AO59" s="132">
        <f t="shared" si="8"/>
        <v>8434.6542911204997</v>
      </c>
      <c r="AP59" s="132">
        <f t="shared" si="8"/>
        <v>10981.4147978194</v>
      </c>
      <c r="AQ59" s="132">
        <f t="shared" si="8"/>
        <v>22558.690725279001</v>
      </c>
      <c r="AR59" s="132">
        <f t="shared" si="8"/>
        <v>0</v>
      </c>
      <c r="AS59" s="132">
        <f t="shared" si="8"/>
        <v>0</v>
      </c>
      <c r="AT59" s="132">
        <f t="shared" si="8"/>
        <v>0</v>
      </c>
      <c r="AU59" s="132">
        <f t="shared" si="8"/>
        <v>1305.3234844966</v>
      </c>
      <c r="AV59" s="132">
        <f t="shared" si="8"/>
        <v>2968.6767730042998</v>
      </c>
      <c r="AW59" s="132">
        <f t="shared" si="8"/>
        <v>5312.0323543415998</v>
      </c>
      <c r="AX59" s="132">
        <f t="shared" si="8"/>
        <v>6884.6475404939001</v>
      </c>
      <c r="AY59" s="132">
        <f t="shared" si="8"/>
        <v>8434.6542911204997</v>
      </c>
      <c r="AZ59" s="132">
        <f t="shared" si="8"/>
        <v>10981.4147978194</v>
      </c>
      <c r="BA59" s="132">
        <f t="shared" si="8"/>
        <v>22558.690725279001</v>
      </c>
      <c r="BB59" s="132">
        <f t="shared" si="8"/>
        <v>0</v>
      </c>
      <c r="BC59" s="132">
        <f t="shared" si="8"/>
        <v>0</v>
      </c>
      <c r="BD59" s="132">
        <f t="shared" si="8"/>
        <v>0</v>
      </c>
      <c r="BE59" s="694"/>
      <c r="BF59" s="621"/>
      <c r="BG59" s="621"/>
      <c r="BH59" s="960" t="s">
        <v>1270</v>
      </c>
    </row>
    <row r="60" spans="1:60" s="1334" customFormat="1" ht="14.25" customHeight="1" x14ac:dyDescent="0.15">
      <c r="A60" s="1217"/>
      <c r="B60" s="41"/>
      <c r="C60" s="1217"/>
      <c r="D60" s="1217"/>
      <c r="E60" s="542">
        <v>15</v>
      </c>
      <c r="F60" s="3" t="str" cm="1">
        <f t="array" aca="1" ref="F60" ca="1">OFFSET(E60,-1,1)</f>
        <v>1</v>
      </c>
      <c r="G60" s="1217"/>
      <c r="H60" s="41" t="s">
        <v>494</v>
      </c>
      <c r="I60" s="1217"/>
      <c r="J60" s="1217"/>
      <c r="K60" s="1217"/>
      <c r="L60" s="1217"/>
      <c r="M60" s="1217"/>
      <c r="N60" s="1217"/>
      <c r="O60" s="1217"/>
      <c r="P60" s="1217"/>
      <c r="Q60" s="1217"/>
      <c r="R60" s="1217"/>
      <c r="S60" s="1217"/>
      <c r="T60" s="388" t="b" cm="1">
        <f t="array" ref="T60">T59</f>
        <v>1</v>
      </c>
      <c r="U60" s="1217"/>
      <c r="V60" s="1217"/>
      <c r="W60" s="1217"/>
      <c r="X60" s="2032"/>
      <c r="Y60" s="1217"/>
      <c r="Z60" s="2012"/>
      <c r="AA60" s="1217"/>
      <c r="AB60" s="217" t="s">
        <v>910</v>
      </c>
      <c r="AC60" s="682" t="s">
        <v>1271</v>
      </c>
      <c r="AD60" s="218" t="s">
        <v>831</v>
      </c>
      <c r="AE60" s="703">
        <f t="shared" ref="AE60:BD60" si="9">AE61+AE62+AE63+AE64+AE65</f>
        <v>0</v>
      </c>
      <c r="AF60" s="703">
        <f t="shared" si="9"/>
        <v>0</v>
      </c>
      <c r="AG60" s="703">
        <f t="shared" si="9"/>
        <v>0</v>
      </c>
      <c r="AH60" s="703">
        <f t="shared" si="9"/>
        <v>0</v>
      </c>
      <c r="AI60" s="703">
        <f t="shared" si="9"/>
        <v>0</v>
      </c>
      <c r="AJ60" s="703">
        <f t="shared" si="9"/>
        <v>261.89999999999998</v>
      </c>
      <c r="AK60" s="703">
        <f t="shared" si="9"/>
        <v>29636.22</v>
      </c>
      <c r="AL60" s="703">
        <f t="shared" si="9"/>
        <v>2968.6767730042998</v>
      </c>
      <c r="AM60" s="703">
        <f t="shared" si="9"/>
        <v>5312.0323543415998</v>
      </c>
      <c r="AN60" s="703">
        <f t="shared" si="9"/>
        <v>6884.6475404939001</v>
      </c>
      <c r="AO60" s="703">
        <f t="shared" si="9"/>
        <v>8434.6542911204997</v>
      </c>
      <c r="AP60" s="703">
        <f t="shared" si="9"/>
        <v>10981.4147978194</v>
      </c>
      <c r="AQ60" s="703">
        <f t="shared" si="9"/>
        <v>22558.690725279001</v>
      </c>
      <c r="AR60" s="703">
        <f t="shared" si="9"/>
        <v>0</v>
      </c>
      <c r="AS60" s="703">
        <f t="shared" si="9"/>
        <v>0</v>
      </c>
      <c r="AT60" s="703">
        <f t="shared" si="9"/>
        <v>0</v>
      </c>
      <c r="AU60" s="703">
        <f t="shared" si="9"/>
        <v>1305.3234844966</v>
      </c>
      <c r="AV60" s="703">
        <f t="shared" si="9"/>
        <v>2968.6767730042998</v>
      </c>
      <c r="AW60" s="703">
        <f t="shared" si="9"/>
        <v>5312.0323543415998</v>
      </c>
      <c r="AX60" s="703">
        <f t="shared" si="9"/>
        <v>6884.6475404939001</v>
      </c>
      <c r="AY60" s="703">
        <f t="shared" si="9"/>
        <v>8434.6542911204997</v>
      </c>
      <c r="AZ60" s="703">
        <f t="shared" si="9"/>
        <v>10981.4147978194</v>
      </c>
      <c r="BA60" s="703">
        <f t="shared" si="9"/>
        <v>22558.690725279001</v>
      </c>
      <c r="BB60" s="703">
        <f t="shared" si="9"/>
        <v>0</v>
      </c>
      <c r="BC60" s="703">
        <f t="shared" si="9"/>
        <v>0</v>
      </c>
      <c r="BD60" s="703">
        <f t="shared" si="9"/>
        <v>0</v>
      </c>
      <c r="BE60" s="694"/>
      <c r="BF60" s="1217"/>
      <c r="BG60" s="1217"/>
      <c r="BH60" s="906" t="s">
        <v>1272</v>
      </c>
    </row>
    <row r="61" spans="1:60" s="1334" customFormat="1" ht="75.75" customHeight="1" x14ac:dyDescent="0.15">
      <c r="A61" s="1217"/>
      <c r="B61" s="41"/>
      <c r="C61" s="1217"/>
      <c r="D61" s="1217"/>
      <c r="E61" s="542">
        <v>15</v>
      </c>
      <c r="F61" s="3" t="str" cm="1">
        <f t="array" aca="1" ref="F61" ca="1">OFFSET(E61,-1,1)</f>
        <v>1</v>
      </c>
      <c r="G61" s="1217"/>
      <c r="H61" s="41" t="s">
        <v>1016</v>
      </c>
      <c r="I61" s="1217"/>
      <c r="J61" s="1217"/>
      <c r="K61" s="1217"/>
      <c r="L61" s="1217"/>
      <c r="M61" s="1217"/>
      <c r="N61" s="1217"/>
      <c r="O61" s="1217"/>
      <c r="P61" s="1217"/>
      <c r="Q61" s="1217"/>
      <c r="R61" s="1217"/>
      <c r="S61" s="1217"/>
      <c r="T61" s="388" t="b" cm="1">
        <f t="array" ref="T61">T60</f>
        <v>1</v>
      </c>
      <c r="U61" s="1217"/>
      <c r="V61" s="1217"/>
      <c r="W61" s="1217"/>
      <c r="X61" s="2032"/>
      <c r="Y61" s="1217"/>
      <c r="Z61" s="2012"/>
      <c r="AA61" s="1217"/>
      <c r="AB61" s="217" t="s">
        <v>1017</v>
      </c>
      <c r="AC61" s="685" t="s">
        <v>1273</v>
      </c>
      <c r="AD61" s="218" t="s">
        <v>831</v>
      </c>
      <c r="AE61" s="692"/>
      <c r="AF61" s="692"/>
      <c r="AG61" s="692"/>
      <c r="AH61" s="692"/>
      <c r="AI61" s="692"/>
      <c r="AJ61" s="692">
        <v>261.89999999999998</v>
      </c>
      <c r="AK61" s="692">
        <v>29636.22</v>
      </c>
      <c r="AL61" s="1404">
        <v>2968.6767730042998</v>
      </c>
      <c r="AM61" s="1404">
        <v>5312.0323543415998</v>
      </c>
      <c r="AN61" s="1404">
        <v>6884.6475404939001</v>
      </c>
      <c r="AO61" s="1404">
        <v>8434.6542911204997</v>
      </c>
      <c r="AP61" s="1404">
        <v>10981.4147978194</v>
      </c>
      <c r="AQ61" s="1404">
        <v>22558.690725279001</v>
      </c>
      <c r="AR61" s="692"/>
      <c r="AS61" s="692"/>
      <c r="AT61" s="692"/>
      <c r="AU61" s="692">
        <v>1305.3234844966</v>
      </c>
      <c r="AV61" s="1404">
        <v>2968.6767730042998</v>
      </c>
      <c r="AW61" s="1404">
        <v>5312.0323543415998</v>
      </c>
      <c r="AX61" s="1404">
        <v>6884.6475404939001</v>
      </c>
      <c r="AY61" s="1404">
        <v>8434.6542911204997</v>
      </c>
      <c r="AZ61" s="1404">
        <v>10981.4147978194</v>
      </c>
      <c r="BA61" s="1404">
        <v>22558.690725279001</v>
      </c>
      <c r="BB61" s="692"/>
      <c r="BC61" s="692"/>
      <c r="BD61" s="692"/>
      <c r="BE61" s="694" t="s">
        <v>1348</v>
      </c>
      <c r="BF61" s="1217"/>
      <c r="BG61" s="1217"/>
      <c r="BH61" s="906" t="s">
        <v>1199</v>
      </c>
    </row>
    <row r="62" spans="1:60" s="1334" customFormat="1" ht="14.25" customHeight="1" x14ac:dyDescent="0.15">
      <c r="A62" s="1217"/>
      <c r="B62" s="41"/>
      <c r="C62" s="1217"/>
      <c r="D62" s="1217"/>
      <c r="E62" s="542">
        <v>15</v>
      </c>
      <c r="F62" s="3" t="str" cm="1">
        <f t="array" aca="1" ref="F62" ca="1">OFFSET(E62,-1,1)</f>
        <v>1</v>
      </c>
      <c r="G62" s="1217"/>
      <c r="H62" s="41" t="s">
        <v>1020</v>
      </c>
      <c r="I62" s="1217"/>
      <c r="J62" s="1217"/>
      <c r="K62" s="43" t="str">
        <f ca="1">F62&amp;"1komm"</f>
        <v>11komm</v>
      </c>
      <c r="L62" s="832" cm="1">
        <f t="array" ref="L62">BE62</f>
        <v>0</v>
      </c>
      <c r="M62" s="1217"/>
      <c r="N62" s="1217"/>
      <c r="O62" s="1217"/>
      <c r="P62" s="1217"/>
      <c r="Q62" s="1217"/>
      <c r="R62" s="1217"/>
      <c r="S62" s="1217"/>
      <c r="T62" s="388" t="b" cm="1">
        <f t="array" ref="T62">T61</f>
        <v>1</v>
      </c>
      <c r="U62" s="1217"/>
      <c r="V62" s="1217"/>
      <c r="W62" s="1217"/>
      <c r="X62" s="2032"/>
      <c r="Y62" s="1217"/>
      <c r="Z62" s="2012"/>
      <c r="AA62" s="1217"/>
      <c r="AB62" s="217" t="s">
        <v>1021</v>
      </c>
      <c r="AC62" s="685" t="s">
        <v>1274</v>
      </c>
      <c r="AD62" s="218" t="s">
        <v>831</v>
      </c>
      <c r="AE62" s="692"/>
      <c r="AF62" s="692"/>
      <c r="AG62" s="692"/>
      <c r="AH62" s="692"/>
      <c r="AI62" s="692"/>
      <c r="AJ62" s="692"/>
      <c r="AK62" s="692"/>
      <c r="AL62" s="1404"/>
      <c r="AM62" s="1404"/>
      <c r="AN62" s="1404"/>
      <c r="AO62" s="1404"/>
      <c r="AP62" s="1404"/>
      <c r="AQ62" s="1404"/>
      <c r="AR62" s="692"/>
      <c r="AS62" s="692"/>
      <c r="AT62" s="692"/>
      <c r="AU62" s="692"/>
      <c r="AV62" s="1404"/>
      <c r="AW62" s="1404"/>
      <c r="AX62" s="1404"/>
      <c r="AY62" s="1404"/>
      <c r="AZ62" s="1404"/>
      <c r="BA62" s="1404"/>
      <c r="BB62" s="692"/>
      <c r="BC62" s="692"/>
      <c r="BD62" s="692"/>
      <c r="BE62" s="694"/>
      <c r="BF62" s="1217"/>
      <c r="BG62" s="1217"/>
      <c r="BH62" s="906" t="s">
        <v>1275</v>
      </c>
    </row>
    <row r="63" spans="1:60" s="1334" customFormat="1" ht="14.25" customHeight="1" x14ac:dyDescent="0.15">
      <c r="A63" s="1217"/>
      <c r="B63" s="41"/>
      <c r="C63" s="1217"/>
      <c r="D63" s="1217"/>
      <c r="E63" s="542">
        <v>15</v>
      </c>
      <c r="F63" s="3" t="str" cm="1">
        <f t="array" aca="1" ref="F63" ca="1">OFFSET(E63,-1,1)</f>
        <v>1</v>
      </c>
      <c r="G63" s="1217"/>
      <c r="H63" s="41" t="s">
        <v>1276</v>
      </c>
      <c r="I63" s="1217"/>
      <c r="J63" s="1217"/>
      <c r="K63" s="1217"/>
      <c r="L63" s="1217"/>
      <c r="M63" s="1217"/>
      <c r="N63" s="1217"/>
      <c r="O63" s="1217"/>
      <c r="P63" s="1217"/>
      <c r="Q63" s="1217"/>
      <c r="R63" s="1217"/>
      <c r="S63" s="1217"/>
      <c r="T63" s="388" t="b" cm="1">
        <f t="array" ref="T63">T62</f>
        <v>1</v>
      </c>
      <c r="U63" s="1217"/>
      <c r="V63" s="1217"/>
      <c r="W63" s="1217"/>
      <c r="X63" s="2032"/>
      <c r="Y63" s="1217"/>
      <c r="Z63" s="2012"/>
      <c r="AA63" s="1217"/>
      <c r="AB63" s="217" t="s">
        <v>1277</v>
      </c>
      <c r="AC63" s="685" t="s">
        <v>1278</v>
      </c>
      <c r="AD63" s="218" t="s">
        <v>831</v>
      </c>
      <c r="AE63" s="692"/>
      <c r="AF63" s="692"/>
      <c r="AG63" s="692"/>
      <c r="AH63" s="692"/>
      <c r="AI63" s="692"/>
      <c r="AJ63" s="692"/>
      <c r="AK63" s="692"/>
      <c r="AL63" s="1404"/>
      <c r="AM63" s="1404"/>
      <c r="AN63" s="1404"/>
      <c r="AO63" s="1404"/>
      <c r="AP63" s="1404"/>
      <c r="AQ63" s="1404"/>
      <c r="AR63" s="692"/>
      <c r="AS63" s="692"/>
      <c r="AT63" s="692"/>
      <c r="AU63" s="692"/>
      <c r="AV63" s="1404"/>
      <c r="AW63" s="1404"/>
      <c r="AX63" s="1404"/>
      <c r="AY63" s="1404"/>
      <c r="AZ63" s="1404"/>
      <c r="BA63" s="1404"/>
      <c r="BB63" s="692"/>
      <c r="BC63" s="692"/>
      <c r="BD63" s="692"/>
      <c r="BE63" s="694"/>
      <c r="BF63" s="1217"/>
      <c r="BG63" s="1217"/>
      <c r="BH63" s="906" t="s">
        <v>1279</v>
      </c>
    </row>
    <row r="64" spans="1:60" s="1334" customFormat="1" ht="14.25" customHeight="1" x14ac:dyDescent="0.15">
      <c r="A64" s="1217"/>
      <c r="B64" s="41"/>
      <c r="C64" s="1217"/>
      <c r="D64" s="1217"/>
      <c r="E64" s="542">
        <v>15</v>
      </c>
      <c r="F64" s="3" t="str" cm="1">
        <f t="array" aca="1" ref="F64" ca="1">OFFSET(E64,-1,1)</f>
        <v>1</v>
      </c>
      <c r="G64" s="1217"/>
      <c r="H64" s="41" t="s">
        <v>1280</v>
      </c>
      <c r="I64" s="1217"/>
      <c r="J64" s="1217"/>
      <c r="K64" s="1217"/>
      <c r="L64" s="1217"/>
      <c r="M64" s="1217"/>
      <c r="N64" s="1217"/>
      <c r="O64" s="1217"/>
      <c r="P64" s="1217"/>
      <c r="Q64" s="1217"/>
      <c r="R64" s="1217"/>
      <c r="S64" s="1217"/>
      <c r="T64" s="388" t="b" cm="1">
        <f t="array" ref="T64">T63</f>
        <v>1</v>
      </c>
      <c r="U64" s="1217"/>
      <c r="V64" s="1217"/>
      <c r="W64" s="1217"/>
      <c r="X64" s="2032"/>
      <c r="Y64" s="1217"/>
      <c r="Z64" s="2012"/>
      <c r="AA64" s="1217"/>
      <c r="AB64" s="217" t="s">
        <v>1281</v>
      </c>
      <c r="AC64" s="685" t="s">
        <v>1282</v>
      </c>
      <c r="AD64" s="218" t="s">
        <v>831</v>
      </c>
      <c r="AE64" s="692"/>
      <c r="AF64" s="692"/>
      <c r="AG64" s="692"/>
      <c r="AH64" s="692"/>
      <c r="AI64" s="692"/>
      <c r="AJ64" s="692"/>
      <c r="AK64" s="692"/>
      <c r="AL64" s="1404"/>
      <c r="AM64" s="1404"/>
      <c r="AN64" s="1404"/>
      <c r="AO64" s="1404"/>
      <c r="AP64" s="1404"/>
      <c r="AQ64" s="1404"/>
      <c r="AR64" s="692"/>
      <c r="AS64" s="692"/>
      <c r="AT64" s="692"/>
      <c r="AU64" s="692"/>
      <c r="AV64" s="1404"/>
      <c r="AW64" s="1404"/>
      <c r="AX64" s="1404"/>
      <c r="AY64" s="1404"/>
      <c r="AZ64" s="1404"/>
      <c r="BA64" s="1404"/>
      <c r="BB64" s="692"/>
      <c r="BC64" s="692"/>
      <c r="BD64" s="692"/>
      <c r="BE64" s="694"/>
      <c r="BF64" s="1217"/>
      <c r="BG64" s="1217"/>
      <c r="BH64" s="906" t="s">
        <v>1283</v>
      </c>
    </row>
    <row r="65" spans="1:60" s="1334" customFormat="1" ht="21.75" customHeight="1" x14ac:dyDescent="0.15">
      <c r="A65" s="1217"/>
      <c r="B65" s="41"/>
      <c r="C65" s="1217"/>
      <c r="D65" s="1217"/>
      <c r="E65" s="542">
        <v>22.5</v>
      </c>
      <c r="F65" s="3" t="str" cm="1">
        <f t="array" aca="1" ref="F65" ca="1">OFFSET(E65,-1,1)</f>
        <v>1</v>
      </c>
      <c r="G65" s="1217"/>
      <c r="H65" s="1217"/>
      <c r="I65" s="1217"/>
      <c r="J65" s="1217"/>
      <c r="K65" s="1217"/>
      <c r="L65" s="1217"/>
      <c r="M65" s="1217"/>
      <c r="N65" s="1217"/>
      <c r="O65" s="1217"/>
      <c r="P65" s="1217"/>
      <c r="Q65" s="1217"/>
      <c r="R65" s="1217"/>
      <c r="S65" s="1217"/>
      <c r="T65" s="388" t="b" cm="1">
        <f t="array" ref="T65">T64</f>
        <v>1</v>
      </c>
      <c r="U65" s="1217"/>
      <c r="V65" s="1217"/>
      <c r="W65" s="1217"/>
      <c r="X65" s="2032"/>
      <c r="Y65" s="1217"/>
      <c r="Z65" s="2012"/>
      <c r="AA65" s="1217"/>
      <c r="AB65" s="217" t="s">
        <v>1284</v>
      </c>
      <c r="AC65" s="685" t="s">
        <v>1285</v>
      </c>
      <c r="AD65" s="218" t="s">
        <v>831</v>
      </c>
      <c r="AE65" s="692">
        <f t="shared" ref="AE65:BD65" si="10">AE66+AE67+AE68+AE69</f>
        <v>0</v>
      </c>
      <c r="AF65" s="692">
        <f t="shared" si="10"/>
        <v>0</v>
      </c>
      <c r="AG65" s="692">
        <f t="shared" si="10"/>
        <v>0</v>
      </c>
      <c r="AH65" s="692">
        <f t="shared" si="10"/>
        <v>0</v>
      </c>
      <c r="AI65" s="692">
        <f t="shared" si="10"/>
        <v>0</v>
      </c>
      <c r="AJ65" s="692">
        <f t="shared" si="10"/>
        <v>0</v>
      </c>
      <c r="AK65" s="692">
        <f t="shared" si="10"/>
        <v>0</v>
      </c>
      <c r="AL65" s="1404">
        <f t="shared" si="10"/>
        <v>0</v>
      </c>
      <c r="AM65" s="1404">
        <f t="shared" si="10"/>
        <v>0</v>
      </c>
      <c r="AN65" s="1404">
        <f t="shared" si="10"/>
        <v>0</v>
      </c>
      <c r="AO65" s="1404">
        <f t="shared" si="10"/>
        <v>0</v>
      </c>
      <c r="AP65" s="1404">
        <f t="shared" si="10"/>
        <v>0</v>
      </c>
      <c r="AQ65" s="1404">
        <f t="shared" si="10"/>
        <v>0</v>
      </c>
      <c r="AR65" s="692">
        <f t="shared" si="10"/>
        <v>0</v>
      </c>
      <c r="AS65" s="692">
        <f t="shared" si="10"/>
        <v>0</v>
      </c>
      <c r="AT65" s="692">
        <f t="shared" si="10"/>
        <v>0</v>
      </c>
      <c r="AU65" s="692">
        <f t="shared" si="10"/>
        <v>0</v>
      </c>
      <c r="AV65" s="1404">
        <f t="shared" si="10"/>
        <v>0</v>
      </c>
      <c r="AW65" s="1404">
        <f t="shared" si="10"/>
        <v>0</v>
      </c>
      <c r="AX65" s="1404">
        <f t="shared" si="10"/>
        <v>0</v>
      </c>
      <c r="AY65" s="1404">
        <f t="shared" si="10"/>
        <v>0</v>
      </c>
      <c r="AZ65" s="1404">
        <f t="shared" si="10"/>
        <v>0</v>
      </c>
      <c r="BA65" s="1404">
        <f t="shared" si="10"/>
        <v>0</v>
      </c>
      <c r="BB65" s="692">
        <f t="shared" si="10"/>
        <v>0</v>
      </c>
      <c r="BC65" s="692">
        <f t="shared" si="10"/>
        <v>0</v>
      </c>
      <c r="BD65" s="692">
        <f t="shared" si="10"/>
        <v>0</v>
      </c>
      <c r="BE65" s="694"/>
      <c r="BF65" s="1217"/>
      <c r="BG65" s="1217"/>
      <c r="BH65" s="906" t="s">
        <v>1286</v>
      </c>
    </row>
    <row r="66" spans="1:60" s="1334" customFormat="1" ht="44.25" customHeight="1" x14ac:dyDescent="0.15">
      <c r="A66" s="1217"/>
      <c r="B66" s="41"/>
      <c r="C66" s="1217"/>
      <c r="D66" s="1217"/>
      <c r="E66" s="542">
        <v>45.75</v>
      </c>
      <c r="F66" s="3" t="str" cm="1">
        <f t="array" aca="1" ref="F66" ca="1">OFFSET(E66,-1,1)</f>
        <v>1</v>
      </c>
      <c r="G66" s="1217"/>
      <c r="H66" s="1217"/>
      <c r="I66" s="1217"/>
      <c r="J66" s="1217"/>
      <c r="K66" s="1217"/>
      <c r="L66" s="1217"/>
      <c r="M66" s="1217"/>
      <c r="N66" s="1217"/>
      <c r="O66" s="1217"/>
      <c r="P66" s="1217"/>
      <c r="Q66" s="1217"/>
      <c r="R66" s="1217"/>
      <c r="S66" s="1217"/>
      <c r="T66" s="388" t="b" cm="1">
        <f t="array" ref="T66">T65</f>
        <v>1</v>
      </c>
      <c r="U66" s="1217"/>
      <c r="V66" s="1217"/>
      <c r="W66" s="1217"/>
      <c r="X66" s="2032"/>
      <c r="Y66" s="1217"/>
      <c r="Z66" s="2012"/>
      <c r="AA66" s="1217"/>
      <c r="AB66" s="217" t="s">
        <v>1287</v>
      </c>
      <c r="AC66" s="688" t="s">
        <v>1288</v>
      </c>
      <c r="AD66" s="218" t="s">
        <v>831</v>
      </c>
      <c r="AE66" s="692"/>
      <c r="AF66" s="692"/>
      <c r="AG66" s="692"/>
      <c r="AH66" s="692"/>
      <c r="AI66" s="692"/>
      <c r="AJ66" s="692"/>
      <c r="AK66" s="692"/>
      <c r="AL66" s="1404"/>
      <c r="AM66" s="1404"/>
      <c r="AN66" s="1404"/>
      <c r="AO66" s="1404"/>
      <c r="AP66" s="1404"/>
      <c r="AQ66" s="1404"/>
      <c r="AR66" s="692"/>
      <c r="AS66" s="692"/>
      <c r="AT66" s="692"/>
      <c r="AU66" s="692"/>
      <c r="AV66" s="1404"/>
      <c r="AW66" s="1404"/>
      <c r="AX66" s="1404"/>
      <c r="AY66" s="1404"/>
      <c r="AZ66" s="1404"/>
      <c r="BA66" s="1404"/>
      <c r="BB66" s="692"/>
      <c r="BC66" s="692"/>
      <c r="BD66" s="692"/>
      <c r="BE66" s="694"/>
      <c r="BF66" s="1217"/>
      <c r="BG66" s="1217"/>
      <c r="BH66" s="906" t="s">
        <v>1289</v>
      </c>
    </row>
    <row r="67" spans="1:60" s="1334" customFormat="1" ht="44.25" customHeight="1" x14ac:dyDescent="0.15">
      <c r="A67" s="1217"/>
      <c r="B67" s="41"/>
      <c r="C67" s="1217"/>
      <c r="D67" s="1217"/>
      <c r="E67" s="542">
        <v>45.75</v>
      </c>
      <c r="F67" s="3" t="str" cm="1">
        <f t="array" aca="1" ref="F67" ca="1">OFFSET(E67,-1,1)</f>
        <v>1</v>
      </c>
      <c r="G67" s="1217"/>
      <c r="H67" s="1217"/>
      <c r="I67" s="1217"/>
      <c r="J67" s="1217"/>
      <c r="K67" s="1217"/>
      <c r="L67" s="1217"/>
      <c r="M67" s="1217"/>
      <c r="N67" s="1217"/>
      <c r="O67" s="1217"/>
      <c r="P67" s="1217"/>
      <c r="Q67" s="1217"/>
      <c r="R67" s="1217"/>
      <c r="S67" s="1217"/>
      <c r="T67" s="388" t="b" cm="1">
        <f t="array" ref="T67">T66</f>
        <v>1</v>
      </c>
      <c r="U67" s="1217"/>
      <c r="V67" s="1217"/>
      <c r="W67" s="1217"/>
      <c r="X67" s="2032"/>
      <c r="Y67" s="1217"/>
      <c r="Z67" s="2012"/>
      <c r="AA67" s="1217"/>
      <c r="AB67" s="217" t="s">
        <v>1290</v>
      </c>
      <c r="AC67" s="688" t="s">
        <v>1291</v>
      </c>
      <c r="AD67" s="218" t="s">
        <v>831</v>
      </c>
      <c r="AE67" s="692"/>
      <c r="AF67" s="692"/>
      <c r="AG67" s="692"/>
      <c r="AH67" s="692"/>
      <c r="AI67" s="692"/>
      <c r="AJ67" s="692"/>
      <c r="AK67" s="692"/>
      <c r="AL67" s="1404"/>
      <c r="AM67" s="1404"/>
      <c r="AN67" s="1404"/>
      <c r="AO67" s="1404"/>
      <c r="AP67" s="1404"/>
      <c r="AQ67" s="1404"/>
      <c r="AR67" s="692"/>
      <c r="AS67" s="692"/>
      <c r="AT67" s="692"/>
      <c r="AU67" s="692"/>
      <c r="AV67" s="1404"/>
      <c r="AW67" s="1404"/>
      <c r="AX67" s="1404"/>
      <c r="AY67" s="1404"/>
      <c r="AZ67" s="1404"/>
      <c r="BA67" s="1404"/>
      <c r="BB67" s="692"/>
      <c r="BC67" s="692"/>
      <c r="BD67" s="692"/>
      <c r="BE67" s="694"/>
      <c r="BF67" s="1217"/>
      <c r="BG67" s="1217"/>
      <c r="BH67" s="906" t="s">
        <v>1292</v>
      </c>
    </row>
    <row r="68" spans="1:60" s="1334" customFormat="1" ht="44.25" customHeight="1" x14ac:dyDescent="0.15">
      <c r="A68" s="1217"/>
      <c r="B68" s="41"/>
      <c r="C68" s="1217"/>
      <c r="D68" s="1217"/>
      <c r="E68" s="542">
        <v>45.75</v>
      </c>
      <c r="F68" s="3" t="str" cm="1">
        <f t="array" aca="1" ref="F68" ca="1">OFFSET(E68,-1,1)</f>
        <v>1</v>
      </c>
      <c r="G68" s="1217"/>
      <c r="H68" s="1217"/>
      <c r="I68" s="1217"/>
      <c r="J68" s="1217"/>
      <c r="K68" s="1217"/>
      <c r="L68" s="1217"/>
      <c r="M68" s="1217"/>
      <c r="N68" s="1217"/>
      <c r="O68" s="1217"/>
      <c r="P68" s="1217"/>
      <c r="Q68" s="1217"/>
      <c r="R68" s="1217"/>
      <c r="S68" s="1217"/>
      <c r="T68" s="388" t="b" cm="1">
        <f t="array" ref="T68">T67</f>
        <v>1</v>
      </c>
      <c r="U68" s="1217"/>
      <c r="V68" s="1217"/>
      <c r="W68" s="1217"/>
      <c r="X68" s="2032"/>
      <c r="Y68" s="1217"/>
      <c r="Z68" s="2012"/>
      <c r="AA68" s="1217"/>
      <c r="AB68" s="217" t="s">
        <v>1293</v>
      </c>
      <c r="AC68" s="688" t="s">
        <v>1294</v>
      </c>
      <c r="AD68" s="218" t="s">
        <v>831</v>
      </c>
      <c r="AE68" s="692"/>
      <c r="AF68" s="692"/>
      <c r="AG68" s="692"/>
      <c r="AH68" s="692"/>
      <c r="AI68" s="692"/>
      <c r="AJ68" s="692"/>
      <c r="AK68" s="692"/>
      <c r="AL68" s="1404"/>
      <c r="AM68" s="1404"/>
      <c r="AN68" s="1404"/>
      <c r="AO68" s="1404"/>
      <c r="AP68" s="1404"/>
      <c r="AQ68" s="1404"/>
      <c r="AR68" s="692"/>
      <c r="AS68" s="692"/>
      <c r="AT68" s="692"/>
      <c r="AU68" s="692"/>
      <c r="AV68" s="1404"/>
      <c r="AW68" s="1404"/>
      <c r="AX68" s="1404"/>
      <c r="AY68" s="1404"/>
      <c r="AZ68" s="1404"/>
      <c r="BA68" s="1404"/>
      <c r="BB68" s="692"/>
      <c r="BC68" s="692"/>
      <c r="BD68" s="692"/>
      <c r="BE68" s="694"/>
      <c r="BF68" s="1217"/>
      <c r="BG68" s="1217"/>
      <c r="BH68" s="906" t="s">
        <v>1295</v>
      </c>
    </row>
    <row r="69" spans="1:60" s="1334" customFormat="1" ht="21.75" customHeight="1" x14ac:dyDescent="0.15">
      <c r="A69" s="1217"/>
      <c r="B69" s="41"/>
      <c r="C69" s="1217"/>
      <c r="D69" s="1217"/>
      <c r="E69" s="542">
        <v>22.5</v>
      </c>
      <c r="F69" s="3" t="str" cm="1">
        <f t="array" aca="1" ref="F69" ca="1">OFFSET(E69,-1,1)</f>
        <v>1</v>
      </c>
      <c r="G69" s="1217"/>
      <c r="H69" s="1217"/>
      <c r="I69" s="1217"/>
      <c r="J69" s="1217"/>
      <c r="K69" s="1217"/>
      <c r="L69" s="1217"/>
      <c r="M69" s="1217"/>
      <c r="N69" s="1217"/>
      <c r="O69" s="1217"/>
      <c r="P69" s="1217"/>
      <c r="Q69" s="1217"/>
      <c r="R69" s="1217"/>
      <c r="S69" s="1217"/>
      <c r="T69" s="388" t="b" cm="1">
        <f t="array" ref="T69">T68</f>
        <v>1</v>
      </c>
      <c r="U69" s="1217"/>
      <c r="V69" s="1217"/>
      <c r="W69" s="1217"/>
      <c r="X69" s="2032"/>
      <c r="Y69" s="1217"/>
      <c r="Z69" s="2012"/>
      <c r="AA69" s="1217"/>
      <c r="AB69" s="217" t="s">
        <v>1296</v>
      </c>
      <c r="AC69" s="688" t="s">
        <v>1297</v>
      </c>
      <c r="AD69" s="218" t="s">
        <v>831</v>
      </c>
      <c r="AE69" s="692"/>
      <c r="AF69" s="692"/>
      <c r="AG69" s="692"/>
      <c r="AH69" s="692"/>
      <c r="AI69" s="692"/>
      <c r="AJ69" s="692"/>
      <c r="AK69" s="692"/>
      <c r="AL69" s="1404"/>
      <c r="AM69" s="1404"/>
      <c r="AN69" s="1404"/>
      <c r="AO69" s="1404"/>
      <c r="AP69" s="1404"/>
      <c r="AQ69" s="1404"/>
      <c r="AR69" s="692"/>
      <c r="AS69" s="692"/>
      <c r="AT69" s="692"/>
      <c r="AU69" s="692"/>
      <c r="AV69" s="1404"/>
      <c r="AW69" s="1404"/>
      <c r="AX69" s="1404"/>
      <c r="AY69" s="1404"/>
      <c r="AZ69" s="1404"/>
      <c r="BA69" s="1404"/>
      <c r="BB69" s="692"/>
      <c r="BC69" s="692"/>
      <c r="BD69" s="692"/>
      <c r="BE69" s="694"/>
      <c r="BF69" s="1217"/>
      <c r="BG69" s="1217"/>
      <c r="BH69" s="906" t="s">
        <v>1298</v>
      </c>
    </row>
    <row r="70" spans="1:60" s="1334" customFormat="1" ht="14.25" customHeight="1" x14ac:dyDescent="0.15">
      <c r="A70" s="1217"/>
      <c r="B70" s="41"/>
      <c r="C70" s="1217"/>
      <c r="D70" s="1217"/>
      <c r="E70" s="542">
        <v>15</v>
      </c>
      <c r="F70" s="3" t="str" cm="1">
        <f t="array" aca="1" ref="F70" ca="1">OFFSET(E70,-1,1)</f>
        <v>1</v>
      </c>
      <c r="G70" s="1217"/>
      <c r="H70" s="41" t="s">
        <v>498</v>
      </c>
      <c r="I70" s="1217"/>
      <c r="J70" s="1217"/>
      <c r="K70" s="1217"/>
      <c r="L70" s="1217"/>
      <c r="M70" s="1217"/>
      <c r="N70" s="1217"/>
      <c r="O70" s="1217"/>
      <c r="P70" s="1217"/>
      <c r="Q70" s="1217"/>
      <c r="R70" s="1217"/>
      <c r="S70" s="1217"/>
      <c r="T70" s="388" t="b" cm="1">
        <f t="array" ref="T70">T69</f>
        <v>1</v>
      </c>
      <c r="U70" s="1217"/>
      <c r="V70" s="1217"/>
      <c r="W70" s="1217"/>
      <c r="X70" s="2032"/>
      <c r="Y70" s="1217"/>
      <c r="Z70" s="2012"/>
      <c r="AA70" s="1217"/>
      <c r="AB70" s="217" t="s">
        <v>913</v>
      </c>
      <c r="AC70" s="682" t="s">
        <v>1299</v>
      </c>
      <c r="AD70" s="218" t="s">
        <v>831</v>
      </c>
      <c r="AE70" s="703">
        <f t="shared" ref="AE70:BD70" si="11">AE71+AE72+AE73</f>
        <v>0</v>
      </c>
      <c r="AF70" s="703">
        <f t="shared" si="11"/>
        <v>0</v>
      </c>
      <c r="AG70" s="703">
        <f t="shared" si="11"/>
        <v>0</v>
      </c>
      <c r="AH70" s="703">
        <f t="shared" si="11"/>
        <v>0</v>
      </c>
      <c r="AI70" s="703">
        <f t="shared" si="11"/>
        <v>0</v>
      </c>
      <c r="AJ70" s="703">
        <f t="shared" si="11"/>
        <v>0</v>
      </c>
      <c r="AK70" s="703">
        <f t="shared" si="11"/>
        <v>0</v>
      </c>
      <c r="AL70" s="703">
        <f t="shared" si="11"/>
        <v>0</v>
      </c>
      <c r="AM70" s="703">
        <f t="shared" si="11"/>
        <v>0</v>
      </c>
      <c r="AN70" s="703">
        <f t="shared" si="11"/>
        <v>0</v>
      </c>
      <c r="AO70" s="703">
        <f t="shared" si="11"/>
        <v>0</v>
      </c>
      <c r="AP70" s="703">
        <f t="shared" si="11"/>
        <v>0</v>
      </c>
      <c r="AQ70" s="703">
        <f t="shared" si="11"/>
        <v>0</v>
      </c>
      <c r="AR70" s="703">
        <f t="shared" si="11"/>
        <v>0</v>
      </c>
      <c r="AS70" s="703">
        <f t="shared" si="11"/>
        <v>0</v>
      </c>
      <c r="AT70" s="703">
        <f t="shared" si="11"/>
        <v>0</v>
      </c>
      <c r="AU70" s="703">
        <f t="shared" si="11"/>
        <v>0</v>
      </c>
      <c r="AV70" s="703">
        <f t="shared" si="11"/>
        <v>0</v>
      </c>
      <c r="AW70" s="703">
        <f t="shared" si="11"/>
        <v>0</v>
      </c>
      <c r="AX70" s="703">
        <f t="shared" si="11"/>
        <v>0</v>
      </c>
      <c r="AY70" s="703">
        <f t="shared" si="11"/>
        <v>0</v>
      </c>
      <c r="AZ70" s="703">
        <f t="shared" si="11"/>
        <v>0</v>
      </c>
      <c r="BA70" s="703">
        <f t="shared" si="11"/>
        <v>0</v>
      </c>
      <c r="BB70" s="703">
        <f t="shared" si="11"/>
        <v>0</v>
      </c>
      <c r="BC70" s="703">
        <f t="shared" si="11"/>
        <v>0</v>
      </c>
      <c r="BD70" s="703">
        <f t="shared" si="11"/>
        <v>0</v>
      </c>
      <c r="BE70" s="694"/>
      <c r="BF70" s="1217"/>
      <c r="BG70" s="1217"/>
      <c r="BH70" s="906" t="s">
        <v>1300</v>
      </c>
    </row>
    <row r="71" spans="1:60" s="1334" customFormat="1" ht="14.25" customHeight="1" x14ac:dyDescent="0.15">
      <c r="A71" s="1217"/>
      <c r="B71" s="41"/>
      <c r="C71" s="1217"/>
      <c r="D71" s="1217"/>
      <c r="E71" s="542">
        <v>15</v>
      </c>
      <c r="F71" s="3" t="str" cm="1">
        <f t="array" aca="1" ref="F71" ca="1">OFFSET(E71,-1,1)</f>
        <v>1</v>
      </c>
      <c r="G71" s="1217"/>
      <c r="H71" s="41" t="s">
        <v>1301</v>
      </c>
      <c r="I71" s="1217"/>
      <c r="J71" s="1217"/>
      <c r="K71" s="1217"/>
      <c r="L71" s="1217"/>
      <c r="M71" s="1217"/>
      <c r="N71" s="1217"/>
      <c r="O71" s="1217"/>
      <c r="P71" s="1217"/>
      <c r="Q71" s="1217"/>
      <c r="R71" s="1217"/>
      <c r="S71" s="1217"/>
      <c r="T71" s="388" t="b" cm="1">
        <f t="array" ref="T71">T70</f>
        <v>1</v>
      </c>
      <c r="U71" s="1217"/>
      <c r="V71" s="1217"/>
      <c r="W71" s="1217"/>
      <c r="X71" s="2032"/>
      <c r="Y71" s="1217"/>
      <c r="Z71" s="2012"/>
      <c r="AA71" s="1217"/>
      <c r="AB71" s="217" t="s">
        <v>1302</v>
      </c>
      <c r="AC71" s="685" t="s">
        <v>1303</v>
      </c>
      <c r="AD71" s="218" t="s">
        <v>831</v>
      </c>
      <c r="AE71" s="692"/>
      <c r="AF71" s="692"/>
      <c r="AG71" s="692"/>
      <c r="AH71" s="692"/>
      <c r="AI71" s="692"/>
      <c r="AJ71" s="692"/>
      <c r="AK71" s="692"/>
      <c r="AL71" s="1404"/>
      <c r="AM71" s="1404"/>
      <c r="AN71" s="1404"/>
      <c r="AO71" s="1404"/>
      <c r="AP71" s="1404"/>
      <c r="AQ71" s="1404"/>
      <c r="AR71" s="692"/>
      <c r="AS71" s="692"/>
      <c r="AT71" s="692"/>
      <c r="AU71" s="692"/>
      <c r="AV71" s="1404"/>
      <c r="AW71" s="1404"/>
      <c r="AX71" s="1404"/>
      <c r="AY71" s="1404"/>
      <c r="AZ71" s="1404"/>
      <c r="BA71" s="1404"/>
      <c r="BB71" s="692"/>
      <c r="BC71" s="692"/>
      <c r="BD71" s="692"/>
      <c r="BE71" s="694"/>
      <c r="BF71" s="1217"/>
      <c r="BG71" s="1217"/>
      <c r="BH71" s="906" t="s">
        <v>1222</v>
      </c>
    </row>
    <row r="72" spans="1:60" s="1334" customFormat="1" ht="14.25" customHeight="1" x14ac:dyDescent="0.15">
      <c r="A72" s="1217"/>
      <c r="B72" s="41"/>
      <c r="C72" s="1217"/>
      <c r="D72" s="1217"/>
      <c r="E72" s="542">
        <v>15</v>
      </c>
      <c r="F72" s="3" t="str" cm="1">
        <f t="array" aca="1" ref="F72" ca="1">OFFSET(E72,-1,1)</f>
        <v>1</v>
      </c>
      <c r="G72" s="1217"/>
      <c r="H72" s="41" t="s">
        <v>1304</v>
      </c>
      <c r="I72" s="1217"/>
      <c r="J72" s="1217"/>
      <c r="K72" s="1217"/>
      <c r="L72" s="1217"/>
      <c r="M72" s="1217"/>
      <c r="N72" s="1217"/>
      <c r="O72" s="1217"/>
      <c r="P72" s="1217"/>
      <c r="Q72" s="1217"/>
      <c r="R72" s="1217"/>
      <c r="S72" s="1217"/>
      <c r="T72" s="388" t="b" cm="1">
        <f t="array" ref="T72">T71</f>
        <v>1</v>
      </c>
      <c r="U72" s="1217"/>
      <c r="V72" s="1217"/>
      <c r="W72" s="1217"/>
      <c r="X72" s="2032"/>
      <c r="Y72" s="1217"/>
      <c r="Z72" s="2012"/>
      <c r="AA72" s="1217"/>
      <c r="AB72" s="217" t="s">
        <v>1305</v>
      </c>
      <c r="AC72" s="685" t="s">
        <v>1306</v>
      </c>
      <c r="AD72" s="218" t="s">
        <v>831</v>
      </c>
      <c r="AE72" s="692"/>
      <c r="AF72" s="692"/>
      <c r="AG72" s="692"/>
      <c r="AH72" s="692"/>
      <c r="AI72" s="692"/>
      <c r="AJ72" s="692"/>
      <c r="AK72" s="692"/>
      <c r="AL72" s="1404"/>
      <c r="AM72" s="1404"/>
      <c r="AN72" s="1404"/>
      <c r="AO72" s="1404"/>
      <c r="AP72" s="1404"/>
      <c r="AQ72" s="1404"/>
      <c r="AR72" s="692"/>
      <c r="AS72" s="692"/>
      <c r="AT72" s="692"/>
      <c r="AU72" s="692"/>
      <c r="AV72" s="1404"/>
      <c r="AW72" s="1404"/>
      <c r="AX72" s="1404"/>
      <c r="AY72" s="1404"/>
      <c r="AZ72" s="1404"/>
      <c r="BA72" s="1404"/>
      <c r="BB72" s="692"/>
      <c r="BC72" s="692"/>
      <c r="BD72" s="692"/>
      <c r="BE72" s="694"/>
      <c r="BF72" s="1217"/>
      <c r="BG72" s="1217"/>
      <c r="BH72" s="906" t="s">
        <v>1307</v>
      </c>
    </row>
    <row r="73" spans="1:60" s="1334" customFormat="1" ht="14.25" customHeight="1" x14ac:dyDescent="0.15">
      <c r="A73" s="1217"/>
      <c r="B73" s="41"/>
      <c r="C73" s="1217"/>
      <c r="D73" s="1217"/>
      <c r="E73" s="542">
        <v>15</v>
      </c>
      <c r="F73" s="3" t="str" cm="1">
        <f t="array" aca="1" ref="F73" ca="1">OFFSET(E73,-1,1)</f>
        <v>1</v>
      </c>
      <c r="G73" s="1217"/>
      <c r="H73" s="41" t="s">
        <v>1308</v>
      </c>
      <c r="I73" s="1217"/>
      <c r="J73" s="1217"/>
      <c r="K73" s="1217"/>
      <c r="L73" s="1217"/>
      <c r="M73" s="1217"/>
      <c r="N73" s="1217"/>
      <c r="O73" s="1217"/>
      <c r="P73" s="1217"/>
      <c r="Q73" s="1217"/>
      <c r="R73" s="1217"/>
      <c r="S73" s="1217"/>
      <c r="T73" s="388" t="b" cm="1">
        <f t="array" ref="T73">T72</f>
        <v>1</v>
      </c>
      <c r="U73" s="1217"/>
      <c r="V73" s="1217"/>
      <c r="W73" s="1217"/>
      <c r="X73" s="2032"/>
      <c r="Y73" s="1217"/>
      <c r="Z73" s="2012"/>
      <c r="AA73" s="1217"/>
      <c r="AB73" s="217" t="s">
        <v>1309</v>
      </c>
      <c r="AC73" s="685" t="s">
        <v>1310</v>
      </c>
      <c r="AD73" s="218" t="s">
        <v>831</v>
      </c>
      <c r="AE73" s="692"/>
      <c r="AF73" s="692"/>
      <c r="AG73" s="692"/>
      <c r="AH73" s="692"/>
      <c r="AI73" s="692"/>
      <c r="AJ73" s="692"/>
      <c r="AK73" s="692"/>
      <c r="AL73" s="1404"/>
      <c r="AM73" s="1404"/>
      <c r="AN73" s="1404"/>
      <c r="AO73" s="1404"/>
      <c r="AP73" s="1404"/>
      <c r="AQ73" s="1404"/>
      <c r="AR73" s="692"/>
      <c r="AS73" s="692"/>
      <c r="AT73" s="692"/>
      <c r="AU73" s="692"/>
      <c r="AV73" s="1404"/>
      <c r="AW73" s="1404"/>
      <c r="AX73" s="1404"/>
      <c r="AY73" s="1404"/>
      <c r="AZ73" s="1404"/>
      <c r="BA73" s="1404"/>
      <c r="BB73" s="692"/>
      <c r="BC73" s="692"/>
      <c r="BD73" s="692"/>
      <c r="BE73" s="694"/>
      <c r="BF73" s="1217"/>
      <c r="BG73" s="1217"/>
      <c r="BH73" s="906" t="s">
        <v>1311</v>
      </c>
    </row>
    <row r="74" spans="1:60" s="1334" customFormat="1" ht="14.25" customHeight="1" x14ac:dyDescent="0.15">
      <c r="A74" s="1217"/>
      <c r="B74" s="41"/>
      <c r="C74" s="1217"/>
      <c r="D74" s="1217"/>
      <c r="E74" s="542">
        <v>15</v>
      </c>
      <c r="F74" s="3" t="str" cm="1">
        <f t="array" aca="1" ref="F74" ca="1">OFFSET(E74,-1,1)</f>
        <v>1</v>
      </c>
      <c r="G74" s="1217"/>
      <c r="H74" s="41" t="s">
        <v>501</v>
      </c>
      <c r="I74" s="1217"/>
      <c r="J74" s="1217"/>
      <c r="K74" s="1217"/>
      <c r="L74" s="1217"/>
      <c r="M74" s="1217"/>
      <c r="N74" s="1217"/>
      <c r="O74" s="1217"/>
      <c r="P74" s="1217"/>
      <c r="Q74" s="1217"/>
      <c r="R74" s="1217"/>
      <c r="S74" s="1217"/>
      <c r="T74" s="388" t="b" cm="1">
        <f t="array" ref="T74">T73</f>
        <v>1</v>
      </c>
      <c r="U74" s="1217"/>
      <c r="V74" s="1217"/>
      <c r="W74" s="1217"/>
      <c r="X74" s="2032"/>
      <c r="Y74" s="1217"/>
      <c r="Z74" s="2012"/>
      <c r="AA74" s="1217"/>
      <c r="AB74" s="217" t="s">
        <v>916</v>
      </c>
      <c r="AC74" s="682" t="s">
        <v>1312</v>
      </c>
      <c r="AD74" s="218" t="s">
        <v>831</v>
      </c>
      <c r="AE74" s="703">
        <f t="shared" ref="AE74:BD74" si="12">AE75+AE76+AE77</f>
        <v>0</v>
      </c>
      <c r="AF74" s="703">
        <f t="shared" si="12"/>
        <v>0</v>
      </c>
      <c r="AG74" s="703">
        <f t="shared" si="12"/>
        <v>0</v>
      </c>
      <c r="AH74" s="703">
        <f t="shared" si="12"/>
        <v>0</v>
      </c>
      <c r="AI74" s="703">
        <f t="shared" si="12"/>
        <v>0</v>
      </c>
      <c r="AJ74" s="703">
        <f t="shared" si="12"/>
        <v>0</v>
      </c>
      <c r="AK74" s="703">
        <f t="shared" si="12"/>
        <v>0</v>
      </c>
      <c r="AL74" s="703">
        <f t="shared" si="12"/>
        <v>0</v>
      </c>
      <c r="AM74" s="703">
        <f t="shared" si="12"/>
        <v>0</v>
      </c>
      <c r="AN74" s="703">
        <f t="shared" si="12"/>
        <v>0</v>
      </c>
      <c r="AO74" s="703">
        <f t="shared" si="12"/>
        <v>0</v>
      </c>
      <c r="AP74" s="703">
        <f t="shared" si="12"/>
        <v>0</v>
      </c>
      <c r="AQ74" s="703">
        <f t="shared" si="12"/>
        <v>0</v>
      </c>
      <c r="AR74" s="703">
        <f t="shared" si="12"/>
        <v>0</v>
      </c>
      <c r="AS74" s="703">
        <f t="shared" si="12"/>
        <v>0</v>
      </c>
      <c r="AT74" s="703">
        <f t="shared" si="12"/>
        <v>0</v>
      </c>
      <c r="AU74" s="703">
        <f t="shared" si="12"/>
        <v>0</v>
      </c>
      <c r="AV74" s="703">
        <f t="shared" si="12"/>
        <v>0</v>
      </c>
      <c r="AW74" s="703">
        <f t="shared" si="12"/>
        <v>0</v>
      </c>
      <c r="AX74" s="703">
        <f t="shared" si="12"/>
        <v>0</v>
      </c>
      <c r="AY74" s="703">
        <f t="shared" si="12"/>
        <v>0</v>
      </c>
      <c r="AZ74" s="703">
        <f t="shared" si="12"/>
        <v>0</v>
      </c>
      <c r="BA74" s="703">
        <f t="shared" si="12"/>
        <v>0</v>
      </c>
      <c r="BB74" s="703">
        <f t="shared" si="12"/>
        <v>0</v>
      </c>
      <c r="BC74" s="703">
        <f t="shared" si="12"/>
        <v>0</v>
      </c>
      <c r="BD74" s="703">
        <f t="shared" si="12"/>
        <v>0</v>
      </c>
      <c r="BE74" s="694"/>
      <c r="BF74" s="1217"/>
      <c r="BG74" s="1217"/>
      <c r="BH74" s="906" t="s">
        <v>1313</v>
      </c>
    </row>
    <row r="75" spans="1:60" s="1334" customFormat="1" ht="14.25" customHeight="1" x14ac:dyDescent="0.15">
      <c r="A75" s="1217"/>
      <c r="B75" s="41"/>
      <c r="C75" s="1217"/>
      <c r="D75" s="1217"/>
      <c r="E75" s="542">
        <v>15</v>
      </c>
      <c r="F75" s="3" t="str" cm="1">
        <f t="array" aca="1" ref="F75" ca="1">OFFSET(E75,-1,1)</f>
        <v>1</v>
      </c>
      <c r="G75" s="1217"/>
      <c r="H75" s="41" t="s">
        <v>1314</v>
      </c>
      <c r="I75" s="1217"/>
      <c r="J75" s="1217"/>
      <c r="K75" s="1217"/>
      <c r="L75" s="1217"/>
      <c r="M75" s="1217"/>
      <c r="N75" s="1217"/>
      <c r="O75" s="1217"/>
      <c r="P75" s="1217"/>
      <c r="Q75" s="1217"/>
      <c r="R75" s="1217"/>
      <c r="S75" s="1217"/>
      <c r="T75" s="388" t="b" cm="1">
        <f t="array" ref="T75">T74</f>
        <v>1</v>
      </c>
      <c r="U75" s="1217"/>
      <c r="V75" s="1217"/>
      <c r="W75" s="1217"/>
      <c r="X75" s="2032"/>
      <c r="Y75" s="1217"/>
      <c r="Z75" s="2012"/>
      <c r="AA75" s="1217"/>
      <c r="AB75" s="217" t="s">
        <v>1315</v>
      </c>
      <c r="AC75" s="685" t="s">
        <v>1316</v>
      </c>
      <c r="AD75" s="218" t="s">
        <v>831</v>
      </c>
      <c r="AE75" s="692"/>
      <c r="AF75" s="692"/>
      <c r="AG75" s="692"/>
      <c r="AH75" s="692"/>
      <c r="AI75" s="692"/>
      <c r="AJ75" s="692"/>
      <c r="AK75" s="692"/>
      <c r="AL75" s="1404"/>
      <c r="AM75" s="1404"/>
      <c r="AN75" s="1404"/>
      <c r="AO75" s="1404"/>
      <c r="AP75" s="1404"/>
      <c r="AQ75" s="1404"/>
      <c r="AR75" s="692"/>
      <c r="AS75" s="692"/>
      <c r="AT75" s="692"/>
      <c r="AU75" s="692"/>
      <c r="AV75" s="1404"/>
      <c r="AW75" s="1404"/>
      <c r="AX75" s="1404"/>
      <c r="AY75" s="1404"/>
      <c r="AZ75" s="1404"/>
      <c r="BA75" s="1404"/>
      <c r="BB75" s="692"/>
      <c r="BC75" s="692"/>
      <c r="BD75" s="692"/>
      <c r="BE75" s="694"/>
      <c r="BF75" s="1217"/>
      <c r="BG75" s="1217"/>
      <c r="BH75" s="906" t="s">
        <v>1317</v>
      </c>
    </row>
    <row r="76" spans="1:60" s="1334" customFormat="1" ht="14.25" customHeight="1" x14ac:dyDescent="0.15">
      <c r="A76" s="1217"/>
      <c r="B76" s="41"/>
      <c r="C76" s="1217"/>
      <c r="D76" s="1217"/>
      <c r="E76" s="542">
        <v>15</v>
      </c>
      <c r="F76" s="3" t="str" cm="1">
        <f t="array" aca="1" ref="F76" ca="1">OFFSET(E76,-1,1)</f>
        <v>1</v>
      </c>
      <c r="G76" s="1217"/>
      <c r="H76" s="41" t="s">
        <v>1318</v>
      </c>
      <c r="I76" s="1217"/>
      <c r="J76" s="1217"/>
      <c r="K76" s="1217"/>
      <c r="L76" s="1217"/>
      <c r="M76" s="1217"/>
      <c r="N76" s="1217"/>
      <c r="O76" s="1217"/>
      <c r="P76" s="1217"/>
      <c r="Q76" s="1217"/>
      <c r="R76" s="1217"/>
      <c r="S76" s="1217"/>
      <c r="T76" s="388" t="b" cm="1">
        <f t="array" ref="T76">T75</f>
        <v>1</v>
      </c>
      <c r="U76" s="1217"/>
      <c r="V76" s="1217"/>
      <c r="W76" s="1217"/>
      <c r="X76" s="2032"/>
      <c r="Y76" s="1217"/>
      <c r="Z76" s="2012"/>
      <c r="AA76" s="1217"/>
      <c r="AB76" s="217" t="s">
        <v>1319</v>
      </c>
      <c r="AC76" s="685" t="s">
        <v>1320</v>
      </c>
      <c r="AD76" s="218" t="s">
        <v>831</v>
      </c>
      <c r="AE76" s="692"/>
      <c r="AF76" s="692"/>
      <c r="AG76" s="692"/>
      <c r="AH76" s="692"/>
      <c r="AI76" s="692"/>
      <c r="AJ76" s="692"/>
      <c r="AK76" s="692"/>
      <c r="AL76" s="1404"/>
      <c r="AM76" s="1404"/>
      <c r="AN76" s="1404"/>
      <c r="AO76" s="1404"/>
      <c r="AP76" s="1404"/>
      <c r="AQ76" s="1404"/>
      <c r="AR76" s="692"/>
      <c r="AS76" s="692"/>
      <c r="AT76" s="692"/>
      <c r="AU76" s="692"/>
      <c r="AV76" s="1404"/>
      <c r="AW76" s="1404"/>
      <c r="AX76" s="1404"/>
      <c r="AY76" s="1404"/>
      <c r="AZ76" s="1404"/>
      <c r="BA76" s="1404"/>
      <c r="BB76" s="692"/>
      <c r="BC76" s="692"/>
      <c r="BD76" s="692"/>
      <c r="BE76" s="694"/>
      <c r="BF76" s="1217"/>
      <c r="BG76" s="1217"/>
      <c r="BH76" s="906" t="s">
        <v>1321</v>
      </c>
    </row>
    <row r="77" spans="1:60" s="1334" customFormat="1" ht="14.25" customHeight="1" x14ac:dyDescent="0.15">
      <c r="A77" s="1217"/>
      <c r="B77" s="41"/>
      <c r="C77" s="1217"/>
      <c r="D77" s="1217"/>
      <c r="E77" s="542">
        <v>15</v>
      </c>
      <c r="F77" s="3" t="str" cm="1">
        <f t="array" aca="1" ref="F77" ca="1">OFFSET(E77,-1,1)</f>
        <v>1</v>
      </c>
      <c r="G77" s="1217"/>
      <c r="H77" s="41" t="s">
        <v>1322</v>
      </c>
      <c r="I77" s="1217"/>
      <c r="J77" s="1217"/>
      <c r="K77" s="1217"/>
      <c r="L77" s="1217"/>
      <c r="M77" s="1217"/>
      <c r="N77" s="1217"/>
      <c r="O77" s="1217"/>
      <c r="P77" s="1217"/>
      <c r="Q77" s="1217"/>
      <c r="R77" s="1217"/>
      <c r="S77" s="1217"/>
      <c r="T77" s="388" t="b" cm="1">
        <f t="array" ref="T77">T76</f>
        <v>1</v>
      </c>
      <c r="U77" s="1217"/>
      <c r="V77" s="1217"/>
      <c r="W77" s="1217"/>
      <c r="X77" s="2032"/>
      <c r="Y77" s="1217"/>
      <c r="Z77" s="2012"/>
      <c r="AA77" s="1217"/>
      <c r="AB77" s="217" t="s">
        <v>1323</v>
      </c>
      <c r="AC77" s="685" t="s">
        <v>1324</v>
      </c>
      <c r="AD77" s="218" t="s">
        <v>831</v>
      </c>
      <c r="AE77" s="692"/>
      <c r="AF77" s="692"/>
      <c r="AG77" s="692"/>
      <c r="AH77" s="692"/>
      <c r="AI77" s="692"/>
      <c r="AJ77" s="692"/>
      <c r="AK77" s="692"/>
      <c r="AL77" s="1404"/>
      <c r="AM77" s="1404"/>
      <c r="AN77" s="1404"/>
      <c r="AO77" s="1404"/>
      <c r="AP77" s="1404"/>
      <c r="AQ77" s="1404"/>
      <c r="AR77" s="692"/>
      <c r="AS77" s="692"/>
      <c r="AT77" s="692"/>
      <c r="AU77" s="692"/>
      <c r="AV77" s="1404"/>
      <c r="AW77" s="1404"/>
      <c r="AX77" s="1404"/>
      <c r="AY77" s="1404"/>
      <c r="AZ77" s="1404"/>
      <c r="BA77" s="1404"/>
      <c r="BB77" s="692"/>
      <c r="BC77" s="692"/>
      <c r="BD77" s="692"/>
      <c r="BE77" s="694"/>
      <c r="BF77" s="1217"/>
      <c r="BG77" s="1217"/>
      <c r="BH77" s="906" t="s">
        <v>1325</v>
      </c>
    </row>
    <row r="78" spans="1:60" s="1334" customFormat="1" ht="14.25" customHeight="1" x14ac:dyDescent="0.15">
      <c r="A78" s="1217"/>
      <c r="B78" s="41"/>
      <c r="C78" s="1217"/>
      <c r="D78" s="1217"/>
      <c r="E78" s="542">
        <v>15</v>
      </c>
      <c r="F78" s="3" t="str" cm="1">
        <f t="array" aca="1" ref="F78" ca="1">OFFSET(E78,-1,1)</f>
        <v>1</v>
      </c>
      <c r="G78" s="1217"/>
      <c r="H78" s="41" t="s">
        <v>505</v>
      </c>
      <c r="I78" s="1217"/>
      <c r="J78" s="1217"/>
      <c r="K78" s="1217"/>
      <c r="L78" s="1217"/>
      <c r="M78" s="1217"/>
      <c r="N78" s="1217"/>
      <c r="O78" s="1217"/>
      <c r="P78" s="1217"/>
      <c r="Q78" s="1217"/>
      <c r="R78" s="1217"/>
      <c r="S78" s="1217"/>
      <c r="T78" s="388" t="b" cm="1">
        <f t="array" ref="T78">T77</f>
        <v>1</v>
      </c>
      <c r="U78" s="1217"/>
      <c r="V78" s="1217"/>
      <c r="W78" s="1217"/>
      <c r="X78" s="2032"/>
      <c r="Y78" s="1217"/>
      <c r="Z78" s="2012"/>
      <c r="AA78" s="1217"/>
      <c r="AB78" s="217" t="s">
        <v>919</v>
      </c>
      <c r="AC78" s="682" t="s">
        <v>1326</v>
      </c>
      <c r="AD78" s="218" t="s">
        <v>831</v>
      </c>
      <c r="AE78" s="703">
        <f t="shared" ref="AE78:BD78" si="13">AE79+AE80+AE81+AE82</f>
        <v>0</v>
      </c>
      <c r="AF78" s="703">
        <f t="shared" si="13"/>
        <v>0</v>
      </c>
      <c r="AG78" s="703">
        <f t="shared" si="13"/>
        <v>0</v>
      </c>
      <c r="AH78" s="703">
        <f t="shared" si="13"/>
        <v>0</v>
      </c>
      <c r="AI78" s="703">
        <f t="shared" si="13"/>
        <v>0</v>
      </c>
      <c r="AJ78" s="703">
        <f t="shared" si="13"/>
        <v>0</v>
      </c>
      <c r="AK78" s="703">
        <f t="shared" si="13"/>
        <v>0</v>
      </c>
      <c r="AL78" s="703">
        <f t="shared" si="13"/>
        <v>0</v>
      </c>
      <c r="AM78" s="703">
        <f t="shared" si="13"/>
        <v>0</v>
      </c>
      <c r="AN78" s="703">
        <f t="shared" si="13"/>
        <v>0</v>
      </c>
      <c r="AO78" s="703">
        <f t="shared" si="13"/>
        <v>0</v>
      </c>
      <c r="AP78" s="703">
        <f t="shared" si="13"/>
        <v>0</v>
      </c>
      <c r="AQ78" s="703">
        <f t="shared" si="13"/>
        <v>0</v>
      </c>
      <c r="AR78" s="703">
        <f t="shared" si="13"/>
        <v>0</v>
      </c>
      <c r="AS78" s="703">
        <f t="shared" si="13"/>
        <v>0</v>
      </c>
      <c r="AT78" s="703">
        <f t="shared" si="13"/>
        <v>0</v>
      </c>
      <c r="AU78" s="703">
        <f t="shared" si="13"/>
        <v>0</v>
      </c>
      <c r="AV78" s="703">
        <f t="shared" si="13"/>
        <v>0</v>
      </c>
      <c r="AW78" s="703">
        <f t="shared" si="13"/>
        <v>0</v>
      </c>
      <c r="AX78" s="703">
        <f t="shared" si="13"/>
        <v>0</v>
      </c>
      <c r="AY78" s="703">
        <f t="shared" si="13"/>
        <v>0</v>
      </c>
      <c r="AZ78" s="703">
        <f t="shared" si="13"/>
        <v>0</v>
      </c>
      <c r="BA78" s="703">
        <f t="shared" si="13"/>
        <v>0</v>
      </c>
      <c r="BB78" s="703">
        <f t="shared" si="13"/>
        <v>0</v>
      </c>
      <c r="BC78" s="703">
        <f t="shared" si="13"/>
        <v>0</v>
      </c>
      <c r="BD78" s="703">
        <f t="shared" si="13"/>
        <v>0</v>
      </c>
      <c r="BE78" s="694"/>
      <c r="BF78" s="1217"/>
      <c r="BG78" s="1217"/>
      <c r="BH78" s="906" t="s">
        <v>1327</v>
      </c>
    </row>
    <row r="79" spans="1:60" s="1334" customFormat="1" ht="14.25" customHeight="1" x14ac:dyDescent="0.15">
      <c r="A79" s="1217"/>
      <c r="B79" s="41"/>
      <c r="C79" s="1217"/>
      <c r="D79" s="1217"/>
      <c r="E79" s="542">
        <v>15</v>
      </c>
      <c r="F79" s="3" t="str" cm="1">
        <f t="array" aca="1" ref="F79" ca="1">OFFSET(E79,-1,1)</f>
        <v>1</v>
      </c>
      <c r="G79" s="1217"/>
      <c r="H79" s="41" t="s">
        <v>1328</v>
      </c>
      <c r="I79" s="1217"/>
      <c r="J79" s="1217"/>
      <c r="K79" s="1217"/>
      <c r="L79" s="1217"/>
      <c r="M79" s="1217"/>
      <c r="N79" s="1217"/>
      <c r="O79" s="1217"/>
      <c r="P79" s="1217"/>
      <c r="Q79" s="1217"/>
      <c r="R79" s="1217"/>
      <c r="S79" s="1217"/>
      <c r="T79" s="388" t="b" cm="1">
        <f t="array" ref="T79">T78</f>
        <v>1</v>
      </c>
      <c r="U79" s="1217"/>
      <c r="V79" s="1217"/>
      <c r="W79" s="1217"/>
      <c r="X79" s="2032"/>
      <c r="Y79" s="1217"/>
      <c r="Z79" s="2012"/>
      <c r="AA79" s="1217"/>
      <c r="AB79" s="217" t="s">
        <v>1033</v>
      </c>
      <c r="AC79" s="685" t="s">
        <v>1027</v>
      </c>
      <c r="AD79" s="218" t="s">
        <v>831</v>
      </c>
      <c r="AE79" s="692"/>
      <c r="AF79" s="692"/>
      <c r="AG79" s="692"/>
      <c r="AH79" s="692"/>
      <c r="AI79" s="692"/>
      <c r="AJ79" s="692"/>
      <c r="AK79" s="692"/>
      <c r="AL79" s="1404"/>
      <c r="AM79" s="1404"/>
      <c r="AN79" s="1404"/>
      <c r="AO79" s="1404"/>
      <c r="AP79" s="1404"/>
      <c r="AQ79" s="1404"/>
      <c r="AR79" s="692"/>
      <c r="AS79" s="692"/>
      <c r="AT79" s="692"/>
      <c r="AU79" s="692"/>
      <c r="AV79" s="1404"/>
      <c r="AW79" s="1404"/>
      <c r="AX79" s="1404"/>
      <c r="AY79" s="1404"/>
      <c r="AZ79" s="1404"/>
      <c r="BA79" s="1404"/>
      <c r="BB79" s="692"/>
      <c r="BC79" s="692"/>
      <c r="BD79" s="692"/>
      <c r="BE79" s="694"/>
      <c r="BF79" s="1217"/>
      <c r="BG79" s="1217"/>
      <c r="BH79" s="906" t="s">
        <v>1029</v>
      </c>
    </row>
    <row r="80" spans="1:60" s="1334" customFormat="1" ht="21.75" customHeight="1" x14ac:dyDescent="0.15">
      <c r="A80" s="1217"/>
      <c r="B80" s="41"/>
      <c r="C80" s="1217"/>
      <c r="D80" s="1217"/>
      <c r="E80" s="542">
        <v>22.5</v>
      </c>
      <c r="F80" s="3" t="str" cm="1">
        <f t="array" aca="1" ref="F80" ca="1">OFFSET(E80,-1,1)</f>
        <v>1</v>
      </c>
      <c r="G80" s="1217"/>
      <c r="H80" s="41" t="s">
        <v>1329</v>
      </c>
      <c r="I80" s="1217"/>
      <c r="J80" s="1217"/>
      <c r="K80" s="1217"/>
      <c r="L80" s="1217"/>
      <c r="M80" s="1217"/>
      <c r="N80" s="1217"/>
      <c r="O80" s="1217"/>
      <c r="P80" s="1217"/>
      <c r="Q80" s="1217"/>
      <c r="R80" s="1217"/>
      <c r="S80" s="1217"/>
      <c r="T80" s="388" t="b" cm="1">
        <f t="array" ref="T80">T79</f>
        <v>1</v>
      </c>
      <c r="U80" s="1217"/>
      <c r="V80" s="1217"/>
      <c r="W80" s="1217"/>
      <c r="X80" s="2032"/>
      <c r="Y80" s="1217"/>
      <c r="Z80" s="2012"/>
      <c r="AA80" s="1217"/>
      <c r="AB80" s="217" t="s">
        <v>1036</v>
      </c>
      <c r="AC80" s="685" t="s">
        <v>1330</v>
      </c>
      <c r="AD80" s="218" t="s">
        <v>831</v>
      </c>
      <c r="AE80" s="692"/>
      <c r="AF80" s="692"/>
      <c r="AG80" s="692"/>
      <c r="AH80" s="692"/>
      <c r="AI80" s="692"/>
      <c r="AJ80" s="692"/>
      <c r="AK80" s="692"/>
      <c r="AL80" s="1404"/>
      <c r="AM80" s="1404"/>
      <c r="AN80" s="1404"/>
      <c r="AO80" s="1404"/>
      <c r="AP80" s="1404"/>
      <c r="AQ80" s="1404"/>
      <c r="AR80" s="692"/>
      <c r="AS80" s="692"/>
      <c r="AT80" s="692"/>
      <c r="AU80" s="692"/>
      <c r="AV80" s="1404"/>
      <c r="AW80" s="1404"/>
      <c r="AX80" s="1404"/>
      <c r="AY80" s="1404"/>
      <c r="AZ80" s="1404"/>
      <c r="BA80" s="1404"/>
      <c r="BB80" s="692"/>
      <c r="BC80" s="692"/>
      <c r="BD80" s="692"/>
      <c r="BE80" s="694"/>
      <c r="BF80" s="1217"/>
      <c r="BG80" s="1217"/>
      <c r="BH80" s="906" t="s">
        <v>1331</v>
      </c>
    </row>
    <row r="81" spans="1:60" s="1334" customFormat="1" ht="21.75" customHeight="1" x14ac:dyDescent="0.15">
      <c r="A81" s="1217"/>
      <c r="B81" s="41"/>
      <c r="C81" s="1217"/>
      <c r="D81" s="1217"/>
      <c r="E81" s="542">
        <v>22.5</v>
      </c>
      <c r="F81" s="3" t="str" cm="1">
        <f t="array" aca="1" ref="F81" ca="1">OFFSET(E81,-1,1)</f>
        <v>1</v>
      </c>
      <c r="G81" s="1217"/>
      <c r="H81" s="41" t="s">
        <v>1332</v>
      </c>
      <c r="I81" s="1217"/>
      <c r="J81" s="1217"/>
      <c r="K81" s="1217"/>
      <c r="L81" s="1217"/>
      <c r="M81" s="1217"/>
      <c r="N81" s="1217"/>
      <c r="O81" s="1217"/>
      <c r="P81" s="1217"/>
      <c r="Q81" s="1217"/>
      <c r="R81" s="1217"/>
      <c r="S81" s="1217"/>
      <c r="T81" s="388" t="b" cm="1">
        <f t="array" ref="T81">T80</f>
        <v>1</v>
      </c>
      <c r="U81" s="1217"/>
      <c r="V81" s="1217"/>
      <c r="W81" s="1217"/>
      <c r="X81" s="2032"/>
      <c r="Y81" s="1217"/>
      <c r="Z81" s="2012"/>
      <c r="AA81" s="1217"/>
      <c r="AB81" s="217" t="s">
        <v>1333</v>
      </c>
      <c r="AC81" s="685" t="s">
        <v>1334</v>
      </c>
      <c r="AD81" s="218" t="s">
        <v>831</v>
      </c>
      <c r="AE81" s="692"/>
      <c r="AF81" s="692"/>
      <c r="AG81" s="692"/>
      <c r="AH81" s="692"/>
      <c r="AI81" s="692"/>
      <c r="AJ81" s="692"/>
      <c r="AK81" s="692"/>
      <c r="AL81" s="1404"/>
      <c r="AM81" s="1404"/>
      <c r="AN81" s="1404"/>
      <c r="AO81" s="1404"/>
      <c r="AP81" s="1404"/>
      <c r="AQ81" s="1404"/>
      <c r="AR81" s="692"/>
      <c r="AS81" s="692"/>
      <c r="AT81" s="692"/>
      <c r="AU81" s="692"/>
      <c r="AV81" s="1404"/>
      <c r="AW81" s="1404"/>
      <c r="AX81" s="1404"/>
      <c r="AY81" s="1404"/>
      <c r="AZ81" s="1404"/>
      <c r="BA81" s="1404"/>
      <c r="BB81" s="692"/>
      <c r="BC81" s="692"/>
      <c r="BD81" s="692"/>
      <c r="BE81" s="694"/>
      <c r="BF81" s="1217"/>
      <c r="BG81" s="1217"/>
      <c r="BH81" s="906" t="s">
        <v>1335</v>
      </c>
    </row>
    <row r="82" spans="1:60" s="1334" customFormat="1" ht="14.25" customHeight="1" x14ac:dyDescent="0.15">
      <c r="A82" s="1217"/>
      <c r="B82" s="41"/>
      <c r="C82" s="1217"/>
      <c r="D82" s="1217"/>
      <c r="E82" s="542">
        <v>15</v>
      </c>
      <c r="F82" s="3" t="str" cm="1">
        <f t="array" aca="1" ref="F82" ca="1">OFFSET(E82,-1,1)</f>
        <v>1</v>
      </c>
      <c r="G82" s="1217"/>
      <c r="H82" s="41" t="s">
        <v>1336</v>
      </c>
      <c r="I82" s="1217"/>
      <c r="J82" s="1217"/>
      <c r="K82" s="1217"/>
      <c r="L82" s="1217"/>
      <c r="M82" s="1217"/>
      <c r="N82" s="1217"/>
      <c r="O82" s="1217"/>
      <c r="P82" s="1217"/>
      <c r="Q82" s="1217"/>
      <c r="R82" s="1217"/>
      <c r="S82" s="1217"/>
      <c r="T82" s="388" t="b" cm="1">
        <f t="array" ref="T82">T81</f>
        <v>1</v>
      </c>
      <c r="U82" s="1217"/>
      <c r="V82" s="1217"/>
      <c r="W82" s="1217"/>
      <c r="X82" s="2032"/>
      <c r="Y82" s="1217"/>
      <c r="Z82" s="2012"/>
      <c r="AA82" s="1217"/>
      <c r="AB82" s="217" t="s">
        <v>1337</v>
      </c>
      <c r="AC82" s="685" t="s">
        <v>1338</v>
      </c>
      <c r="AD82" s="218" t="s">
        <v>831</v>
      </c>
      <c r="AE82" s="692"/>
      <c r="AF82" s="692"/>
      <c r="AG82" s="692"/>
      <c r="AH82" s="692"/>
      <c r="AI82" s="692"/>
      <c r="AJ82" s="692"/>
      <c r="AK82" s="692"/>
      <c r="AL82" s="1404"/>
      <c r="AM82" s="1404"/>
      <c r="AN82" s="1404"/>
      <c r="AO82" s="1404"/>
      <c r="AP82" s="1404"/>
      <c r="AQ82" s="1404"/>
      <c r="AR82" s="692"/>
      <c r="AS82" s="692"/>
      <c r="AT82" s="692"/>
      <c r="AU82" s="692"/>
      <c r="AV82" s="1404"/>
      <c r="AW82" s="1404"/>
      <c r="AX82" s="1404"/>
      <c r="AY82" s="1404"/>
      <c r="AZ82" s="1404"/>
      <c r="BA82" s="1404"/>
      <c r="BB82" s="692"/>
      <c r="BC82" s="692"/>
      <c r="BD82" s="692"/>
      <c r="BE82" s="694"/>
      <c r="BF82" s="1217"/>
      <c r="BG82" s="1217"/>
      <c r="BH82" s="906" t="s">
        <v>1339</v>
      </c>
    </row>
    <row r="83" spans="1:60" s="1420" customFormat="1" ht="21.75" customHeight="1" x14ac:dyDescent="0.15">
      <c r="A83" s="621"/>
      <c r="B83" s="41"/>
      <c r="C83" s="621"/>
      <c r="D83" s="621"/>
      <c r="E83" s="614">
        <v>22.5</v>
      </c>
      <c r="F83" s="3" t="str" cm="1">
        <f t="array" aca="1" ref="F83" ca="1">OFFSET(E83,-1,1)</f>
        <v>1</v>
      </c>
      <c r="G83" s="41"/>
      <c r="H83" s="41" t="s">
        <v>332</v>
      </c>
      <c r="I83" s="621"/>
      <c r="J83" s="621"/>
      <c r="K83" s="621"/>
      <c r="L83" s="621"/>
      <c r="M83" s="621"/>
      <c r="N83" s="621"/>
      <c r="O83" s="621"/>
      <c r="P83" s="621"/>
      <c r="Q83" s="621"/>
      <c r="R83" s="621"/>
      <c r="S83" s="621"/>
      <c r="T83" s="388" t="b" cm="1">
        <f t="array" ref="T83">T82</f>
        <v>1</v>
      </c>
      <c r="U83" s="621"/>
      <c r="V83" s="621"/>
      <c r="W83" s="621"/>
      <c r="X83" s="2032"/>
      <c r="Y83" s="621"/>
      <c r="Z83" s="2012"/>
      <c r="AA83" s="621"/>
      <c r="AB83" s="137" t="s">
        <v>289</v>
      </c>
      <c r="AC83" s="138" t="s">
        <v>1340</v>
      </c>
      <c r="AD83" s="130" t="s">
        <v>831</v>
      </c>
      <c r="AE83" s="132">
        <f t="shared" ref="AE83:BD83" si="14">AE84+AE85+AE86</f>
        <v>0</v>
      </c>
      <c r="AF83" s="132">
        <f t="shared" si="14"/>
        <v>0</v>
      </c>
      <c r="AG83" s="132">
        <f t="shared" si="14"/>
        <v>0</v>
      </c>
      <c r="AH83" s="132">
        <f t="shared" si="14"/>
        <v>0</v>
      </c>
      <c r="AI83" s="132">
        <f t="shared" si="14"/>
        <v>0</v>
      </c>
      <c r="AJ83" s="132">
        <f t="shared" si="14"/>
        <v>0</v>
      </c>
      <c r="AK83" s="132">
        <f t="shared" si="14"/>
        <v>0</v>
      </c>
      <c r="AL83" s="132">
        <f t="shared" si="14"/>
        <v>0</v>
      </c>
      <c r="AM83" s="132">
        <f t="shared" si="14"/>
        <v>0</v>
      </c>
      <c r="AN83" s="132">
        <f t="shared" si="14"/>
        <v>0</v>
      </c>
      <c r="AO83" s="132">
        <f t="shared" si="14"/>
        <v>0</v>
      </c>
      <c r="AP83" s="132">
        <f t="shared" si="14"/>
        <v>0</v>
      </c>
      <c r="AQ83" s="132">
        <f t="shared" si="14"/>
        <v>0</v>
      </c>
      <c r="AR83" s="132">
        <f t="shared" si="14"/>
        <v>0</v>
      </c>
      <c r="AS83" s="132">
        <f t="shared" si="14"/>
        <v>0</v>
      </c>
      <c r="AT83" s="132">
        <f t="shared" si="14"/>
        <v>0</v>
      </c>
      <c r="AU83" s="132">
        <f t="shared" si="14"/>
        <v>0</v>
      </c>
      <c r="AV83" s="132">
        <f t="shared" si="14"/>
        <v>0</v>
      </c>
      <c r="AW83" s="132">
        <f t="shared" si="14"/>
        <v>0</v>
      </c>
      <c r="AX83" s="132">
        <f t="shared" si="14"/>
        <v>0</v>
      </c>
      <c r="AY83" s="132">
        <f t="shared" si="14"/>
        <v>0</v>
      </c>
      <c r="AZ83" s="132">
        <f t="shared" si="14"/>
        <v>0</v>
      </c>
      <c r="BA83" s="132">
        <f t="shared" si="14"/>
        <v>0</v>
      </c>
      <c r="BB83" s="132">
        <f t="shared" si="14"/>
        <v>0</v>
      </c>
      <c r="BC83" s="132">
        <f t="shared" si="14"/>
        <v>0</v>
      </c>
      <c r="BD83" s="132">
        <f t="shared" si="14"/>
        <v>0</v>
      </c>
      <c r="BE83" s="694"/>
      <c r="BF83" s="621"/>
      <c r="BG83" s="621"/>
      <c r="BH83" s="960" t="s">
        <v>1341</v>
      </c>
    </row>
    <row r="84" spans="1:60" s="1334" customFormat="1" ht="14.25" customHeight="1" x14ac:dyDescent="0.15">
      <c r="A84" s="1217"/>
      <c r="B84" s="41"/>
      <c r="C84" s="1217"/>
      <c r="D84" s="1217"/>
      <c r="E84" s="542">
        <v>15</v>
      </c>
      <c r="F84" s="3" t="str" cm="1">
        <f t="array" aca="1" ref="F84" ca="1">OFFSET(E84,-1,1)</f>
        <v>1</v>
      </c>
      <c r="G84" s="1217"/>
      <c r="H84" s="41" t="s">
        <v>512</v>
      </c>
      <c r="I84" s="1217"/>
      <c r="J84" s="1217"/>
      <c r="K84" s="43" t="str">
        <f ca="1">F84&amp;"2komm"</f>
        <v>12komm</v>
      </c>
      <c r="L84" s="43" cm="1">
        <f t="array" ref="L84">BE84</f>
        <v>0</v>
      </c>
      <c r="M84" s="1217"/>
      <c r="N84" s="1217"/>
      <c r="O84" s="1217"/>
      <c r="P84" s="1217"/>
      <c r="Q84" s="1217"/>
      <c r="R84" s="1217"/>
      <c r="S84" s="1217"/>
      <c r="T84" s="388" t="b" cm="1">
        <f t="array" ref="T84">T83</f>
        <v>1</v>
      </c>
      <c r="U84" s="1217"/>
      <c r="V84" s="1217"/>
      <c r="W84" s="1217"/>
      <c r="X84" s="2032"/>
      <c r="Y84" s="1217"/>
      <c r="Z84" s="2012"/>
      <c r="AA84" s="1217"/>
      <c r="AB84" s="217" t="s">
        <v>566</v>
      </c>
      <c r="AC84" s="682" t="s">
        <v>1342</v>
      </c>
      <c r="AD84" s="218" t="s">
        <v>831</v>
      </c>
      <c r="AE84" s="692"/>
      <c r="AF84" s="692"/>
      <c r="AG84" s="692"/>
      <c r="AH84" s="692"/>
      <c r="AI84" s="692"/>
      <c r="AJ84" s="692"/>
      <c r="AK84" s="692"/>
      <c r="AL84" s="1404"/>
      <c r="AM84" s="1404"/>
      <c r="AN84" s="1404"/>
      <c r="AO84" s="1404"/>
      <c r="AP84" s="1404"/>
      <c r="AQ84" s="1404"/>
      <c r="AR84" s="692"/>
      <c r="AS84" s="692"/>
      <c r="AT84" s="692"/>
      <c r="AU84" s="692"/>
      <c r="AV84" s="1404"/>
      <c r="AW84" s="1404"/>
      <c r="AX84" s="1404"/>
      <c r="AY84" s="1404"/>
      <c r="AZ84" s="1404"/>
      <c r="BA84" s="1404"/>
      <c r="BB84" s="692"/>
      <c r="BC84" s="692"/>
      <c r="BD84" s="692"/>
      <c r="BE84" s="694"/>
      <c r="BF84" s="1217"/>
      <c r="BG84" s="1217"/>
      <c r="BH84" s="906" t="s">
        <v>1343</v>
      </c>
    </row>
    <row r="85" spans="1:60" s="1334" customFormat="1" ht="14.25" customHeight="1" x14ac:dyDescent="0.15">
      <c r="A85" s="1217"/>
      <c r="B85" s="41"/>
      <c r="C85" s="1217"/>
      <c r="D85" s="1217"/>
      <c r="E85" s="542">
        <v>15</v>
      </c>
      <c r="F85" s="3" t="str" cm="1">
        <f t="array" aca="1" ref="F85" ca="1">OFFSET(E85,-1,1)</f>
        <v>1</v>
      </c>
      <c r="G85" s="1217"/>
      <c r="H85" s="41" t="s">
        <v>515</v>
      </c>
      <c r="I85" s="1217"/>
      <c r="J85" s="1217"/>
      <c r="K85" s="43" t="str">
        <f ca="1">F85&amp;"3komm"</f>
        <v>13komm</v>
      </c>
      <c r="L85" s="43" cm="1">
        <f t="array" ref="L85">BE85</f>
        <v>0</v>
      </c>
      <c r="M85" s="1217"/>
      <c r="N85" s="1217"/>
      <c r="O85" s="1217"/>
      <c r="P85" s="1217"/>
      <c r="Q85" s="1217"/>
      <c r="R85" s="1217"/>
      <c r="S85" s="1217"/>
      <c r="T85" s="388" t="b" cm="1">
        <f t="array" ref="T85">T84</f>
        <v>1</v>
      </c>
      <c r="U85" s="1217"/>
      <c r="V85" s="1217"/>
      <c r="W85" s="1217"/>
      <c r="X85" s="2032"/>
      <c r="Y85" s="1217"/>
      <c r="Z85" s="2012"/>
      <c r="AA85" s="1217"/>
      <c r="AB85" s="217" t="s">
        <v>570</v>
      </c>
      <c r="AC85" s="682" t="s">
        <v>1344</v>
      </c>
      <c r="AD85" s="218" t="s">
        <v>831</v>
      </c>
      <c r="AE85" s="692"/>
      <c r="AF85" s="692"/>
      <c r="AG85" s="692"/>
      <c r="AH85" s="692"/>
      <c r="AI85" s="692"/>
      <c r="AJ85" s="692"/>
      <c r="AK85" s="692"/>
      <c r="AL85" s="1404"/>
      <c r="AM85" s="1404"/>
      <c r="AN85" s="1404"/>
      <c r="AO85" s="1404"/>
      <c r="AP85" s="1404"/>
      <c r="AQ85" s="1404"/>
      <c r="AR85" s="692"/>
      <c r="AS85" s="692"/>
      <c r="AT85" s="692"/>
      <c r="AU85" s="692"/>
      <c r="AV85" s="1404"/>
      <c r="AW85" s="1404"/>
      <c r="AX85" s="1404"/>
      <c r="AY85" s="1404"/>
      <c r="AZ85" s="1404"/>
      <c r="BA85" s="1404"/>
      <c r="BB85" s="692"/>
      <c r="BC85" s="692"/>
      <c r="BD85" s="692"/>
      <c r="BE85" s="694"/>
      <c r="BF85" s="1217"/>
      <c r="BG85" s="1217"/>
      <c r="BH85" s="906" t="s">
        <v>1345</v>
      </c>
    </row>
    <row r="86" spans="1:60" s="1334" customFormat="1" ht="14.25" customHeight="1" x14ac:dyDescent="0.15">
      <c r="A86" s="1217"/>
      <c r="B86" s="41"/>
      <c r="C86" s="1217"/>
      <c r="D86" s="1217"/>
      <c r="E86" s="542">
        <v>15</v>
      </c>
      <c r="F86" s="3" t="str" cm="1">
        <f t="array" aca="1" ref="F86" ca="1">OFFSET(E86,-1,1)</f>
        <v>1</v>
      </c>
      <c r="G86" s="1217"/>
      <c r="H86" s="41" t="s">
        <v>930</v>
      </c>
      <c r="I86" s="1217"/>
      <c r="J86" s="1217"/>
      <c r="K86" s="1217"/>
      <c r="L86" s="1217"/>
      <c r="M86" s="1217"/>
      <c r="N86" s="1217"/>
      <c r="O86" s="1217"/>
      <c r="P86" s="1217"/>
      <c r="Q86" s="1217"/>
      <c r="R86" s="1217"/>
      <c r="S86" s="1217"/>
      <c r="T86" s="388" t="b" cm="1">
        <f t="array" ref="T86">T85</f>
        <v>1</v>
      </c>
      <c r="U86" s="1217"/>
      <c r="V86" s="1217"/>
      <c r="W86" s="1217"/>
      <c r="X86" s="2032"/>
      <c r="Y86" s="1217"/>
      <c r="Z86" s="2012"/>
      <c r="AA86" s="1217"/>
      <c r="AB86" s="217" t="s">
        <v>574</v>
      </c>
      <c r="AC86" s="682" t="s">
        <v>1346</v>
      </c>
      <c r="AD86" s="218" t="s">
        <v>831</v>
      </c>
      <c r="AE86" s="692"/>
      <c r="AF86" s="692"/>
      <c r="AG86" s="692"/>
      <c r="AH86" s="692"/>
      <c r="AI86" s="692"/>
      <c r="AJ86" s="692"/>
      <c r="AK86" s="692"/>
      <c r="AL86" s="1404"/>
      <c r="AM86" s="1404"/>
      <c r="AN86" s="1404"/>
      <c r="AO86" s="1404"/>
      <c r="AP86" s="1404"/>
      <c r="AQ86" s="1404"/>
      <c r="AR86" s="692"/>
      <c r="AS86" s="692"/>
      <c r="AT86" s="692"/>
      <c r="AU86" s="692"/>
      <c r="AV86" s="1404"/>
      <c r="AW86" s="1404"/>
      <c r="AX86" s="1404"/>
      <c r="AY86" s="1404"/>
      <c r="AZ86" s="1404"/>
      <c r="BA86" s="1404"/>
      <c r="BB86" s="692"/>
      <c r="BC86" s="692"/>
      <c r="BD86" s="692"/>
      <c r="BE86" s="694"/>
      <c r="BF86" s="1217"/>
      <c r="BG86" s="1217"/>
      <c r="BH86" s="906" t="s">
        <v>1347</v>
      </c>
    </row>
    <row r="87" spans="1:60" s="1334" customFormat="1" ht="14.25" customHeight="1" x14ac:dyDescent="0.15">
      <c r="A87" s="1217"/>
      <c r="B87" s="41"/>
      <c r="C87" s="1217"/>
      <c r="D87" s="1217"/>
      <c r="E87" s="542">
        <v>15</v>
      </c>
      <c r="F87" s="17" t="str" cm="1">
        <f t="array" ref="F87">X87</f>
        <v>2</v>
      </c>
      <c r="G87" s="1217"/>
      <c r="H87" s="1217"/>
      <c r="I87" s="1217"/>
      <c r="J87" s="1217"/>
      <c r="K87" s="1217"/>
      <c r="L87" s="1217"/>
      <c r="M87" s="1217"/>
      <c r="N87" s="1217"/>
      <c r="O87" s="1217"/>
      <c r="P87" s="1217"/>
      <c r="Q87" s="1217"/>
      <c r="R87" s="1217"/>
      <c r="S87" s="1217"/>
      <c r="T87" s="388" t="b">
        <f>X87&gt;0</f>
        <v>1</v>
      </c>
      <c r="U87" s="1217"/>
      <c r="V87" s="41" t="str" cm="1">
        <f t="array" ref="V87">Налоги!$AB$55</f>
        <v>Тариф 2 (Водоотведение) - тариф на водоотведение</v>
      </c>
      <c r="W87" s="1217"/>
      <c r="X87" s="2032" t="s">
        <v>289</v>
      </c>
      <c r="Y87" s="1217"/>
      <c r="Z87" s="2012"/>
      <c r="AA87" s="1217"/>
      <c r="AB87" s="161" t="str" cm="1">
        <f t="array" ref="AB87">Налоги!$AB$55</f>
        <v>Тариф 2 (Водоотведение) - тариф на водоотведение</v>
      </c>
      <c r="AC87" s="751"/>
      <c r="AD87" s="751"/>
      <c r="AE87" s="751"/>
      <c r="AF87" s="751"/>
      <c r="AG87" s="751"/>
      <c r="AH87" s="751"/>
      <c r="AI87" s="751"/>
      <c r="AJ87" s="751"/>
      <c r="AK87" s="751"/>
      <c r="AL87" s="751"/>
      <c r="AM87" s="751"/>
      <c r="AN87" s="751"/>
      <c r="AO87" s="751"/>
      <c r="AP87" s="751"/>
      <c r="AQ87" s="751"/>
      <c r="AR87" s="751"/>
      <c r="AS87" s="751"/>
      <c r="AT87" s="751"/>
      <c r="AU87" s="751"/>
      <c r="AV87" s="751"/>
      <c r="AW87" s="751"/>
      <c r="AX87" s="751"/>
      <c r="AY87" s="751"/>
      <c r="AZ87" s="751"/>
      <c r="BA87" s="751"/>
      <c r="BB87" s="751"/>
      <c r="BC87" s="751"/>
      <c r="BD87" s="751"/>
      <c r="BE87" s="751"/>
      <c r="BF87" s="1217"/>
      <c r="BG87" s="1217"/>
      <c r="BH87" s="1133"/>
    </row>
    <row r="88" spans="1:60" s="1421" customFormat="1" ht="21.75" customHeight="1" x14ac:dyDescent="0.15">
      <c r="A88" s="621"/>
      <c r="B88" s="41"/>
      <c r="C88" s="621"/>
      <c r="D88" s="621"/>
      <c r="E88" s="614">
        <v>22.5</v>
      </c>
      <c r="F88" s="3" t="str" cm="1">
        <f t="array" aca="1" ref="F88" ca="1">OFFSET(E88,-1,1)</f>
        <v>2</v>
      </c>
      <c r="G88" s="41"/>
      <c r="H88" s="41" t="s">
        <v>331</v>
      </c>
      <c r="I88" s="621"/>
      <c r="J88" s="621"/>
      <c r="K88" s="621"/>
      <c r="L88" s="621"/>
      <c r="M88" s="621"/>
      <c r="N88" s="621"/>
      <c r="O88" s="621"/>
      <c r="P88" s="621"/>
      <c r="Q88" s="621"/>
      <c r="R88" s="621"/>
      <c r="S88" s="621"/>
      <c r="T88" s="388" t="b" cm="1">
        <f t="array" ref="T88">T87</f>
        <v>1</v>
      </c>
      <c r="U88" s="621"/>
      <c r="V88" s="621"/>
      <c r="W88" s="621"/>
      <c r="X88" s="2032"/>
      <c r="Y88" s="621"/>
      <c r="Z88" s="2012"/>
      <c r="AA88" s="621"/>
      <c r="AB88" s="137">
        <v>1</v>
      </c>
      <c r="AC88" s="131" t="s">
        <v>1269</v>
      </c>
      <c r="AD88" s="130" t="s">
        <v>831</v>
      </c>
      <c r="AE88" s="132">
        <f t="shared" ref="AE88:BD88" si="15">AE89+AE99+AE103+AE107</f>
        <v>0</v>
      </c>
      <c r="AF88" s="132">
        <f t="shared" si="15"/>
        <v>0</v>
      </c>
      <c r="AG88" s="132">
        <f t="shared" si="15"/>
        <v>0</v>
      </c>
      <c r="AH88" s="132">
        <f t="shared" si="15"/>
        <v>0</v>
      </c>
      <c r="AI88" s="132">
        <f t="shared" si="15"/>
        <v>0</v>
      </c>
      <c r="AJ88" s="132">
        <f t="shared" si="15"/>
        <v>440.67124999999999</v>
      </c>
      <c r="AK88" s="132">
        <f t="shared" si="15"/>
        <v>3356.58</v>
      </c>
      <c r="AL88" s="132">
        <f t="shared" si="15"/>
        <v>0</v>
      </c>
      <c r="AM88" s="132">
        <f t="shared" si="15"/>
        <v>0</v>
      </c>
      <c r="AN88" s="132">
        <f t="shared" si="15"/>
        <v>0</v>
      </c>
      <c r="AO88" s="132">
        <f t="shared" si="15"/>
        <v>0</v>
      </c>
      <c r="AP88" s="132">
        <f t="shared" si="15"/>
        <v>0</v>
      </c>
      <c r="AQ88" s="132">
        <f t="shared" si="15"/>
        <v>0</v>
      </c>
      <c r="AR88" s="132">
        <f t="shared" si="15"/>
        <v>0</v>
      </c>
      <c r="AS88" s="132">
        <f t="shared" si="15"/>
        <v>0</v>
      </c>
      <c r="AT88" s="132">
        <f t="shared" si="15"/>
        <v>0</v>
      </c>
      <c r="AU88" s="132">
        <f t="shared" si="15"/>
        <v>708.72</v>
      </c>
      <c r="AV88" s="132">
        <f t="shared" si="15"/>
        <v>0</v>
      </c>
      <c r="AW88" s="132">
        <f t="shared" si="15"/>
        <v>0</v>
      </c>
      <c r="AX88" s="132">
        <f t="shared" si="15"/>
        <v>0</v>
      </c>
      <c r="AY88" s="132">
        <f t="shared" si="15"/>
        <v>0</v>
      </c>
      <c r="AZ88" s="132">
        <f t="shared" si="15"/>
        <v>0</v>
      </c>
      <c r="BA88" s="132">
        <f t="shared" si="15"/>
        <v>0</v>
      </c>
      <c r="BB88" s="132">
        <f t="shared" si="15"/>
        <v>0</v>
      </c>
      <c r="BC88" s="132">
        <f t="shared" si="15"/>
        <v>0</v>
      </c>
      <c r="BD88" s="132">
        <f t="shared" si="15"/>
        <v>0</v>
      </c>
      <c r="BE88" s="694"/>
      <c r="BF88" s="621"/>
      <c r="BG88" s="621"/>
      <c r="BH88" s="960" t="s">
        <v>1270</v>
      </c>
    </row>
    <row r="89" spans="1:60" s="1334" customFormat="1" ht="14.25" customHeight="1" x14ac:dyDescent="0.15">
      <c r="A89" s="1217"/>
      <c r="B89" s="41"/>
      <c r="C89" s="1217"/>
      <c r="D89" s="1217"/>
      <c r="E89" s="542">
        <v>15</v>
      </c>
      <c r="F89" s="3" t="str" cm="1">
        <f t="array" aca="1" ref="F89" ca="1">OFFSET(E89,-1,1)</f>
        <v>2</v>
      </c>
      <c r="G89" s="1217"/>
      <c r="H89" s="41" t="s">
        <v>494</v>
      </c>
      <c r="I89" s="1217"/>
      <c r="J89" s="1217"/>
      <c r="K89" s="1217"/>
      <c r="L89" s="1217"/>
      <c r="M89" s="1217"/>
      <c r="N89" s="1217"/>
      <c r="O89" s="1217"/>
      <c r="P89" s="1217"/>
      <c r="Q89" s="1217"/>
      <c r="R89" s="1217"/>
      <c r="S89" s="1217"/>
      <c r="T89" s="388" t="b" cm="1">
        <f t="array" ref="T89">T88</f>
        <v>1</v>
      </c>
      <c r="U89" s="1217"/>
      <c r="V89" s="1217"/>
      <c r="W89" s="1217"/>
      <c r="X89" s="2032"/>
      <c r="Y89" s="1217"/>
      <c r="Z89" s="2012"/>
      <c r="AA89" s="1217"/>
      <c r="AB89" s="217" t="s">
        <v>910</v>
      </c>
      <c r="AC89" s="682" t="s">
        <v>1271</v>
      </c>
      <c r="AD89" s="218" t="s">
        <v>831</v>
      </c>
      <c r="AE89" s="703">
        <f t="shared" ref="AE89:BD89" si="16">AE90+AE91+AE92+AE93+AE94</f>
        <v>0</v>
      </c>
      <c r="AF89" s="703">
        <f t="shared" si="16"/>
        <v>0</v>
      </c>
      <c r="AG89" s="703">
        <f t="shared" si="16"/>
        <v>0</v>
      </c>
      <c r="AH89" s="703">
        <f t="shared" si="16"/>
        <v>0</v>
      </c>
      <c r="AI89" s="703">
        <f t="shared" si="16"/>
        <v>0</v>
      </c>
      <c r="AJ89" s="703">
        <f t="shared" si="16"/>
        <v>440.67124999999999</v>
      </c>
      <c r="AK89" s="703">
        <f t="shared" si="16"/>
        <v>3356.58</v>
      </c>
      <c r="AL89" s="703">
        <f t="shared" si="16"/>
        <v>0</v>
      </c>
      <c r="AM89" s="703">
        <f t="shared" si="16"/>
        <v>0</v>
      </c>
      <c r="AN89" s="703">
        <f t="shared" si="16"/>
        <v>0</v>
      </c>
      <c r="AO89" s="703">
        <f t="shared" si="16"/>
        <v>0</v>
      </c>
      <c r="AP89" s="703">
        <f t="shared" si="16"/>
        <v>0</v>
      </c>
      <c r="AQ89" s="703">
        <f t="shared" si="16"/>
        <v>0</v>
      </c>
      <c r="AR89" s="703">
        <f t="shared" si="16"/>
        <v>0</v>
      </c>
      <c r="AS89" s="703">
        <f t="shared" si="16"/>
        <v>0</v>
      </c>
      <c r="AT89" s="703">
        <f t="shared" si="16"/>
        <v>0</v>
      </c>
      <c r="AU89" s="703">
        <f t="shared" si="16"/>
        <v>708.72</v>
      </c>
      <c r="AV89" s="703">
        <f t="shared" si="16"/>
        <v>0</v>
      </c>
      <c r="AW89" s="703">
        <f t="shared" si="16"/>
        <v>0</v>
      </c>
      <c r="AX89" s="703">
        <f t="shared" si="16"/>
        <v>0</v>
      </c>
      <c r="AY89" s="703">
        <f t="shared" si="16"/>
        <v>0</v>
      </c>
      <c r="AZ89" s="703">
        <f t="shared" si="16"/>
        <v>0</v>
      </c>
      <c r="BA89" s="703">
        <f t="shared" si="16"/>
        <v>0</v>
      </c>
      <c r="BB89" s="703">
        <f t="shared" si="16"/>
        <v>0</v>
      </c>
      <c r="BC89" s="703">
        <f t="shared" si="16"/>
        <v>0</v>
      </c>
      <c r="BD89" s="703">
        <f t="shared" si="16"/>
        <v>0</v>
      </c>
      <c r="BE89" s="694"/>
      <c r="BF89" s="1217"/>
      <c r="BG89" s="1217"/>
      <c r="BH89" s="906" t="s">
        <v>1272</v>
      </c>
    </row>
    <row r="90" spans="1:60" s="1334" customFormat="1" ht="75.75" customHeight="1" x14ac:dyDescent="0.15">
      <c r="A90" s="1217"/>
      <c r="B90" s="41"/>
      <c r="C90" s="1217"/>
      <c r="D90" s="1217"/>
      <c r="E90" s="542">
        <v>15</v>
      </c>
      <c r="F90" s="3" t="str" cm="1">
        <f t="array" aca="1" ref="F90" ca="1">OFFSET(E90,-1,1)</f>
        <v>2</v>
      </c>
      <c r="G90" s="1217"/>
      <c r="H90" s="41" t="s">
        <v>1016</v>
      </c>
      <c r="I90" s="1217"/>
      <c r="J90" s="1217"/>
      <c r="K90" s="1217"/>
      <c r="L90" s="1217"/>
      <c r="M90" s="1217"/>
      <c r="N90" s="1217"/>
      <c r="O90" s="1217"/>
      <c r="P90" s="1217"/>
      <c r="Q90" s="1217"/>
      <c r="R90" s="1217"/>
      <c r="S90" s="1217"/>
      <c r="T90" s="388" t="b" cm="1">
        <f t="array" ref="T90">T89</f>
        <v>1</v>
      </c>
      <c r="U90" s="1217"/>
      <c r="V90" s="1217"/>
      <c r="W90" s="1217"/>
      <c r="X90" s="2032"/>
      <c r="Y90" s="1217"/>
      <c r="Z90" s="2012"/>
      <c r="AA90" s="1217"/>
      <c r="AB90" s="217" t="s">
        <v>1017</v>
      </c>
      <c r="AC90" s="685" t="s">
        <v>1273</v>
      </c>
      <c r="AD90" s="218" t="s">
        <v>831</v>
      </c>
      <c r="AE90" s="692"/>
      <c r="AF90" s="692"/>
      <c r="AG90" s="692"/>
      <c r="AH90" s="692"/>
      <c r="AI90" s="692"/>
      <c r="AJ90" s="692">
        <v>440.67124999999999</v>
      </c>
      <c r="AK90" s="692">
        <v>3356.58</v>
      </c>
      <c r="AL90" s="1404"/>
      <c r="AM90" s="1404"/>
      <c r="AN90" s="1404"/>
      <c r="AO90" s="1404"/>
      <c r="AP90" s="1404"/>
      <c r="AQ90" s="1404"/>
      <c r="AR90" s="692"/>
      <c r="AS90" s="692"/>
      <c r="AT90" s="692"/>
      <c r="AU90" s="692">
        <v>708.72</v>
      </c>
      <c r="AV90" s="1404"/>
      <c r="AW90" s="1404"/>
      <c r="AX90" s="1404"/>
      <c r="AY90" s="1404"/>
      <c r="AZ90" s="1404"/>
      <c r="BA90" s="1404"/>
      <c r="BB90" s="692"/>
      <c r="BC90" s="692"/>
      <c r="BD90" s="692"/>
      <c r="BE90" s="694" t="s">
        <v>1348</v>
      </c>
      <c r="BF90" s="1217"/>
      <c r="BG90" s="1217"/>
      <c r="BH90" s="906" t="s">
        <v>1199</v>
      </c>
    </row>
    <row r="91" spans="1:60" s="1334" customFormat="1" ht="14.25" customHeight="1" x14ac:dyDescent="0.15">
      <c r="A91" s="1217"/>
      <c r="B91" s="41"/>
      <c r="C91" s="1217"/>
      <c r="D91" s="1217"/>
      <c r="E91" s="542">
        <v>15</v>
      </c>
      <c r="F91" s="3" t="str" cm="1">
        <f t="array" aca="1" ref="F91" ca="1">OFFSET(E91,-1,1)</f>
        <v>2</v>
      </c>
      <c r="G91" s="1217"/>
      <c r="H91" s="41" t="s">
        <v>1020</v>
      </c>
      <c r="I91" s="1217"/>
      <c r="J91" s="1217"/>
      <c r="K91" s="43" t="str">
        <f ca="1">F91&amp;"1komm"</f>
        <v>21komm</v>
      </c>
      <c r="L91" s="832" cm="1">
        <f t="array" ref="L91">BE91</f>
        <v>0</v>
      </c>
      <c r="M91" s="1217"/>
      <c r="N91" s="1217"/>
      <c r="O91" s="1217"/>
      <c r="P91" s="1217"/>
      <c r="Q91" s="1217"/>
      <c r="R91" s="1217"/>
      <c r="S91" s="1217"/>
      <c r="T91" s="388" t="b" cm="1">
        <f t="array" ref="T91">T90</f>
        <v>1</v>
      </c>
      <c r="U91" s="1217"/>
      <c r="V91" s="1217"/>
      <c r="W91" s="1217"/>
      <c r="X91" s="2032"/>
      <c r="Y91" s="1217"/>
      <c r="Z91" s="2012"/>
      <c r="AA91" s="1217"/>
      <c r="AB91" s="217" t="s">
        <v>1021</v>
      </c>
      <c r="AC91" s="685" t="s">
        <v>1274</v>
      </c>
      <c r="AD91" s="218" t="s">
        <v>831</v>
      </c>
      <c r="AE91" s="692"/>
      <c r="AF91" s="692"/>
      <c r="AG91" s="692"/>
      <c r="AH91" s="692"/>
      <c r="AI91" s="692"/>
      <c r="AJ91" s="692"/>
      <c r="AK91" s="692"/>
      <c r="AL91" s="1404"/>
      <c r="AM91" s="1404"/>
      <c r="AN91" s="1404"/>
      <c r="AO91" s="1404"/>
      <c r="AP91" s="1404"/>
      <c r="AQ91" s="1404"/>
      <c r="AR91" s="692"/>
      <c r="AS91" s="692"/>
      <c r="AT91" s="692"/>
      <c r="AU91" s="692"/>
      <c r="AV91" s="1404"/>
      <c r="AW91" s="1404"/>
      <c r="AX91" s="1404"/>
      <c r="AY91" s="1404"/>
      <c r="AZ91" s="1404"/>
      <c r="BA91" s="1404"/>
      <c r="BB91" s="692"/>
      <c r="BC91" s="692"/>
      <c r="BD91" s="692"/>
      <c r="BE91" s="694"/>
      <c r="BF91" s="1217"/>
      <c r="BG91" s="1217"/>
      <c r="BH91" s="906" t="s">
        <v>1275</v>
      </c>
    </row>
    <row r="92" spans="1:60" s="1334" customFormat="1" ht="14.25" customHeight="1" x14ac:dyDescent="0.15">
      <c r="A92" s="1217"/>
      <c r="B92" s="41"/>
      <c r="C92" s="1217"/>
      <c r="D92" s="1217"/>
      <c r="E92" s="542">
        <v>15</v>
      </c>
      <c r="F92" s="3" t="str" cm="1">
        <f t="array" aca="1" ref="F92" ca="1">OFFSET(E92,-1,1)</f>
        <v>2</v>
      </c>
      <c r="G92" s="1217"/>
      <c r="H92" s="41" t="s">
        <v>1276</v>
      </c>
      <c r="I92" s="1217"/>
      <c r="J92" s="1217"/>
      <c r="K92" s="1217"/>
      <c r="L92" s="1217"/>
      <c r="M92" s="1217"/>
      <c r="N92" s="1217"/>
      <c r="O92" s="1217"/>
      <c r="P92" s="1217"/>
      <c r="Q92" s="1217"/>
      <c r="R92" s="1217"/>
      <c r="S92" s="1217"/>
      <c r="T92" s="388" t="b" cm="1">
        <f t="array" ref="T92">T91</f>
        <v>1</v>
      </c>
      <c r="U92" s="1217"/>
      <c r="V92" s="1217"/>
      <c r="W92" s="1217"/>
      <c r="X92" s="2032"/>
      <c r="Y92" s="1217"/>
      <c r="Z92" s="2012"/>
      <c r="AA92" s="1217"/>
      <c r="AB92" s="217" t="s">
        <v>1277</v>
      </c>
      <c r="AC92" s="685" t="s">
        <v>1278</v>
      </c>
      <c r="AD92" s="218" t="s">
        <v>831</v>
      </c>
      <c r="AE92" s="692"/>
      <c r="AF92" s="692"/>
      <c r="AG92" s="692"/>
      <c r="AH92" s="692"/>
      <c r="AI92" s="692"/>
      <c r="AJ92" s="692"/>
      <c r="AK92" s="692"/>
      <c r="AL92" s="1404"/>
      <c r="AM92" s="1404"/>
      <c r="AN92" s="1404"/>
      <c r="AO92" s="1404"/>
      <c r="AP92" s="1404"/>
      <c r="AQ92" s="1404"/>
      <c r="AR92" s="692"/>
      <c r="AS92" s="692"/>
      <c r="AT92" s="692"/>
      <c r="AU92" s="692"/>
      <c r="AV92" s="1404"/>
      <c r="AW92" s="1404"/>
      <c r="AX92" s="1404"/>
      <c r="AY92" s="1404"/>
      <c r="AZ92" s="1404"/>
      <c r="BA92" s="1404"/>
      <c r="BB92" s="692"/>
      <c r="BC92" s="692"/>
      <c r="BD92" s="692"/>
      <c r="BE92" s="694"/>
      <c r="BF92" s="1217"/>
      <c r="BG92" s="1217"/>
      <c r="BH92" s="906" t="s">
        <v>1279</v>
      </c>
    </row>
    <row r="93" spans="1:60" s="1334" customFormat="1" ht="14.25" customHeight="1" x14ac:dyDescent="0.15">
      <c r="A93" s="1217"/>
      <c r="B93" s="41"/>
      <c r="C93" s="1217"/>
      <c r="D93" s="1217"/>
      <c r="E93" s="542">
        <v>15</v>
      </c>
      <c r="F93" s="3" t="str" cm="1">
        <f t="array" aca="1" ref="F93" ca="1">OFFSET(E93,-1,1)</f>
        <v>2</v>
      </c>
      <c r="G93" s="1217"/>
      <c r="H93" s="41" t="s">
        <v>1280</v>
      </c>
      <c r="I93" s="1217"/>
      <c r="J93" s="1217"/>
      <c r="K93" s="1217"/>
      <c r="L93" s="1217"/>
      <c r="M93" s="1217"/>
      <c r="N93" s="1217"/>
      <c r="O93" s="1217"/>
      <c r="P93" s="1217"/>
      <c r="Q93" s="1217"/>
      <c r="R93" s="1217"/>
      <c r="S93" s="1217"/>
      <c r="T93" s="388" t="b" cm="1">
        <f t="array" ref="T93">T92</f>
        <v>1</v>
      </c>
      <c r="U93" s="1217"/>
      <c r="V93" s="1217"/>
      <c r="W93" s="1217"/>
      <c r="X93" s="2032"/>
      <c r="Y93" s="1217"/>
      <c r="Z93" s="2012"/>
      <c r="AA93" s="1217"/>
      <c r="AB93" s="217" t="s">
        <v>1281</v>
      </c>
      <c r="AC93" s="685" t="s">
        <v>1282</v>
      </c>
      <c r="AD93" s="218" t="s">
        <v>831</v>
      </c>
      <c r="AE93" s="692"/>
      <c r="AF93" s="692"/>
      <c r="AG93" s="692"/>
      <c r="AH93" s="692"/>
      <c r="AI93" s="692"/>
      <c r="AJ93" s="692"/>
      <c r="AK93" s="692"/>
      <c r="AL93" s="1404"/>
      <c r="AM93" s="1404"/>
      <c r="AN93" s="1404"/>
      <c r="AO93" s="1404"/>
      <c r="AP93" s="1404"/>
      <c r="AQ93" s="1404"/>
      <c r="AR93" s="692"/>
      <c r="AS93" s="692"/>
      <c r="AT93" s="692"/>
      <c r="AU93" s="692"/>
      <c r="AV93" s="1404"/>
      <c r="AW93" s="1404"/>
      <c r="AX93" s="1404"/>
      <c r="AY93" s="1404"/>
      <c r="AZ93" s="1404"/>
      <c r="BA93" s="1404"/>
      <c r="BB93" s="692"/>
      <c r="BC93" s="692"/>
      <c r="BD93" s="692"/>
      <c r="BE93" s="694"/>
      <c r="BF93" s="1217"/>
      <c r="BG93" s="1217"/>
      <c r="BH93" s="906" t="s">
        <v>1283</v>
      </c>
    </row>
    <row r="94" spans="1:60" s="1334" customFormat="1" ht="21.75" customHeight="1" x14ac:dyDescent="0.15">
      <c r="A94" s="1217"/>
      <c r="B94" s="41"/>
      <c r="C94" s="1217"/>
      <c r="D94" s="1217"/>
      <c r="E94" s="542">
        <v>22.5</v>
      </c>
      <c r="F94" s="3" t="str" cm="1">
        <f t="array" aca="1" ref="F94" ca="1">OFFSET(E94,-1,1)</f>
        <v>2</v>
      </c>
      <c r="G94" s="1217"/>
      <c r="H94" s="1217"/>
      <c r="I94" s="1217"/>
      <c r="J94" s="1217"/>
      <c r="K94" s="1217"/>
      <c r="L94" s="1217"/>
      <c r="M94" s="1217"/>
      <c r="N94" s="1217"/>
      <c r="O94" s="1217"/>
      <c r="P94" s="1217"/>
      <c r="Q94" s="1217"/>
      <c r="R94" s="1217"/>
      <c r="S94" s="1217"/>
      <c r="T94" s="388" t="b" cm="1">
        <f t="array" ref="T94">T93</f>
        <v>1</v>
      </c>
      <c r="U94" s="1217"/>
      <c r="V94" s="1217"/>
      <c r="W94" s="1217"/>
      <c r="X94" s="2032"/>
      <c r="Y94" s="1217"/>
      <c r="Z94" s="2012"/>
      <c r="AA94" s="1217"/>
      <c r="AB94" s="217" t="s">
        <v>1284</v>
      </c>
      <c r="AC94" s="685" t="s">
        <v>1285</v>
      </c>
      <c r="AD94" s="218" t="s">
        <v>831</v>
      </c>
      <c r="AE94" s="692">
        <f t="shared" ref="AE94:BD94" si="17">AE95+AE96+AE97+AE98</f>
        <v>0</v>
      </c>
      <c r="AF94" s="692">
        <f t="shared" si="17"/>
        <v>0</v>
      </c>
      <c r="AG94" s="692">
        <f t="shared" si="17"/>
        <v>0</v>
      </c>
      <c r="AH94" s="692">
        <f t="shared" si="17"/>
        <v>0</v>
      </c>
      <c r="AI94" s="692">
        <f t="shared" si="17"/>
        <v>0</v>
      </c>
      <c r="AJ94" s="692">
        <f t="shared" si="17"/>
        <v>0</v>
      </c>
      <c r="AK94" s="692">
        <f t="shared" si="17"/>
        <v>0</v>
      </c>
      <c r="AL94" s="1404">
        <f t="shared" si="17"/>
        <v>0</v>
      </c>
      <c r="AM94" s="1404">
        <f t="shared" si="17"/>
        <v>0</v>
      </c>
      <c r="AN94" s="1404">
        <f t="shared" si="17"/>
        <v>0</v>
      </c>
      <c r="AO94" s="1404">
        <f t="shared" si="17"/>
        <v>0</v>
      </c>
      <c r="AP94" s="1404">
        <f t="shared" si="17"/>
        <v>0</v>
      </c>
      <c r="AQ94" s="1404">
        <f t="shared" si="17"/>
        <v>0</v>
      </c>
      <c r="AR94" s="692">
        <f t="shared" si="17"/>
        <v>0</v>
      </c>
      <c r="AS94" s="692">
        <f t="shared" si="17"/>
        <v>0</v>
      </c>
      <c r="AT94" s="692">
        <f t="shared" si="17"/>
        <v>0</v>
      </c>
      <c r="AU94" s="692">
        <f t="shared" si="17"/>
        <v>0</v>
      </c>
      <c r="AV94" s="1404">
        <f t="shared" si="17"/>
        <v>0</v>
      </c>
      <c r="AW94" s="1404">
        <f t="shared" si="17"/>
        <v>0</v>
      </c>
      <c r="AX94" s="1404">
        <f t="shared" si="17"/>
        <v>0</v>
      </c>
      <c r="AY94" s="1404">
        <f t="shared" si="17"/>
        <v>0</v>
      </c>
      <c r="AZ94" s="1404">
        <f t="shared" si="17"/>
        <v>0</v>
      </c>
      <c r="BA94" s="1404">
        <f t="shared" si="17"/>
        <v>0</v>
      </c>
      <c r="BB94" s="692">
        <f t="shared" si="17"/>
        <v>0</v>
      </c>
      <c r="BC94" s="692">
        <f t="shared" si="17"/>
        <v>0</v>
      </c>
      <c r="BD94" s="692">
        <f t="shared" si="17"/>
        <v>0</v>
      </c>
      <c r="BE94" s="694"/>
      <c r="BF94" s="1217"/>
      <c r="BG94" s="1217"/>
      <c r="BH94" s="906" t="s">
        <v>1286</v>
      </c>
    </row>
    <row r="95" spans="1:60" s="1334" customFormat="1" ht="44.25" customHeight="1" x14ac:dyDescent="0.15">
      <c r="A95" s="1217"/>
      <c r="B95" s="41"/>
      <c r="C95" s="1217"/>
      <c r="D95" s="1217"/>
      <c r="E95" s="542">
        <v>45.75</v>
      </c>
      <c r="F95" s="3" t="str" cm="1">
        <f t="array" aca="1" ref="F95" ca="1">OFFSET(E95,-1,1)</f>
        <v>2</v>
      </c>
      <c r="G95" s="1217"/>
      <c r="H95" s="1217"/>
      <c r="I95" s="1217"/>
      <c r="J95" s="1217"/>
      <c r="K95" s="1217"/>
      <c r="L95" s="1217"/>
      <c r="M95" s="1217"/>
      <c r="N95" s="1217"/>
      <c r="O95" s="1217"/>
      <c r="P95" s="1217"/>
      <c r="Q95" s="1217"/>
      <c r="R95" s="1217"/>
      <c r="S95" s="1217"/>
      <c r="T95" s="388" t="b" cm="1">
        <f t="array" ref="T95">T94</f>
        <v>1</v>
      </c>
      <c r="U95" s="1217"/>
      <c r="V95" s="1217"/>
      <c r="W95" s="1217"/>
      <c r="X95" s="2032"/>
      <c r="Y95" s="1217"/>
      <c r="Z95" s="2012"/>
      <c r="AA95" s="1217"/>
      <c r="AB95" s="217" t="s">
        <v>1287</v>
      </c>
      <c r="AC95" s="688" t="s">
        <v>1288</v>
      </c>
      <c r="AD95" s="218" t="s">
        <v>831</v>
      </c>
      <c r="AE95" s="692"/>
      <c r="AF95" s="692"/>
      <c r="AG95" s="692"/>
      <c r="AH95" s="692"/>
      <c r="AI95" s="692"/>
      <c r="AJ95" s="692"/>
      <c r="AK95" s="692"/>
      <c r="AL95" s="1404"/>
      <c r="AM95" s="1404"/>
      <c r="AN95" s="1404"/>
      <c r="AO95" s="1404"/>
      <c r="AP95" s="1404"/>
      <c r="AQ95" s="1404"/>
      <c r="AR95" s="692"/>
      <c r="AS95" s="692"/>
      <c r="AT95" s="692"/>
      <c r="AU95" s="692"/>
      <c r="AV95" s="1404"/>
      <c r="AW95" s="1404"/>
      <c r="AX95" s="1404"/>
      <c r="AY95" s="1404"/>
      <c r="AZ95" s="1404"/>
      <c r="BA95" s="1404"/>
      <c r="BB95" s="692"/>
      <c r="BC95" s="692"/>
      <c r="BD95" s="692"/>
      <c r="BE95" s="694"/>
      <c r="BF95" s="1217"/>
      <c r="BG95" s="1217"/>
      <c r="BH95" s="906" t="s">
        <v>1289</v>
      </c>
    </row>
    <row r="96" spans="1:60" s="1334" customFormat="1" ht="44.25" customHeight="1" x14ac:dyDescent="0.15">
      <c r="A96" s="1217"/>
      <c r="B96" s="41"/>
      <c r="C96" s="1217"/>
      <c r="D96" s="1217"/>
      <c r="E96" s="542">
        <v>45.75</v>
      </c>
      <c r="F96" s="3" t="str" cm="1">
        <f t="array" aca="1" ref="F96" ca="1">OFFSET(E96,-1,1)</f>
        <v>2</v>
      </c>
      <c r="G96" s="1217"/>
      <c r="H96" s="1217"/>
      <c r="I96" s="1217"/>
      <c r="J96" s="1217"/>
      <c r="K96" s="1217"/>
      <c r="L96" s="1217"/>
      <c r="M96" s="1217"/>
      <c r="N96" s="1217"/>
      <c r="O96" s="1217"/>
      <c r="P96" s="1217"/>
      <c r="Q96" s="1217"/>
      <c r="R96" s="1217"/>
      <c r="S96" s="1217"/>
      <c r="T96" s="388" t="b" cm="1">
        <f t="array" ref="T96">T95</f>
        <v>1</v>
      </c>
      <c r="U96" s="1217"/>
      <c r="V96" s="1217"/>
      <c r="W96" s="1217"/>
      <c r="X96" s="2032"/>
      <c r="Y96" s="1217"/>
      <c r="Z96" s="2012"/>
      <c r="AA96" s="1217"/>
      <c r="AB96" s="217" t="s">
        <v>1290</v>
      </c>
      <c r="AC96" s="688" t="s">
        <v>1291</v>
      </c>
      <c r="AD96" s="218" t="s">
        <v>831</v>
      </c>
      <c r="AE96" s="692"/>
      <c r="AF96" s="692"/>
      <c r="AG96" s="692"/>
      <c r="AH96" s="692"/>
      <c r="AI96" s="692"/>
      <c r="AJ96" s="692"/>
      <c r="AK96" s="692"/>
      <c r="AL96" s="1404"/>
      <c r="AM96" s="1404"/>
      <c r="AN96" s="1404"/>
      <c r="AO96" s="1404"/>
      <c r="AP96" s="1404"/>
      <c r="AQ96" s="1404"/>
      <c r="AR96" s="692"/>
      <c r="AS96" s="692"/>
      <c r="AT96" s="692"/>
      <c r="AU96" s="692"/>
      <c r="AV96" s="1404"/>
      <c r="AW96" s="1404"/>
      <c r="AX96" s="1404"/>
      <c r="AY96" s="1404"/>
      <c r="AZ96" s="1404"/>
      <c r="BA96" s="1404"/>
      <c r="BB96" s="692"/>
      <c r="BC96" s="692"/>
      <c r="BD96" s="692"/>
      <c r="BE96" s="694"/>
      <c r="BF96" s="1217"/>
      <c r="BG96" s="1217"/>
      <c r="BH96" s="906" t="s">
        <v>1292</v>
      </c>
    </row>
    <row r="97" spans="1:60" s="1334" customFormat="1" ht="44.25" customHeight="1" x14ac:dyDescent="0.15">
      <c r="A97" s="1217"/>
      <c r="B97" s="41"/>
      <c r="C97" s="1217"/>
      <c r="D97" s="1217"/>
      <c r="E97" s="542">
        <v>45.75</v>
      </c>
      <c r="F97" s="3" t="str" cm="1">
        <f t="array" aca="1" ref="F97" ca="1">OFFSET(E97,-1,1)</f>
        <v>2</v>
      </c>
      <c r="G97" s="1217"/>
      <c r="H97" s="1217"/>
      <c r="I97" s="1217"/>
      <c r="J97" s="1217"/>
      <c r="K97" s="1217"/>
      <c r="L97" s="1217"/>
      <c r="M97" s="1217"/>
      <c r="N97" s="1217"/>
      <c r="O97" s="1217"/>
      <c r="P97" s="1217"/>
      <c r="Q97" s="1217"/>
      <c r="R97" s="1217"/>
      <c r="S97" s="1217"/>
      <c r="T97" s="388" t="b" cm="1">
        <f t="array" ref="T97">T96</f>
        <v>1</v>
      </c>
      <c r="U97" s="1217"/>
      <c r="V97" s="1217"/>
      <c r="W97" s="1217"/>
      <c r="X97" s="2032"/>
      <c r="Y97" s="1217"/>
      <c r="Z97" s="2012"/>
      <c r="AA97" s="1217"/>
      <c r="AB97" s="217" t="s">
        <v>1293</v>
      </c>
      <c r="AC97" s="688" t="s">
        <v>1294</v>
      </c>
      <c r="AD97" s="218" t="s">
        <v>831</v>
      </c>
      <c r="AE97" s="692"/>
      <c r="AF97" s="692"/>
      <c r="AG97" s="692"/>
      <c r="AH97" s="692"/>
      <c r="AI97" s="692"/>
      <c r="AJ97" s="692"/>
      <c r="AK97" s="692"/>
      <c r="AL97" s="1404"/>
      <c r="AM97" s="1404"/>
      <c r="AN97" s="1404"/>
      <c r="AO97" s="1404"/>
      <c r="AP97" s="1404"/>
      <c r="AQ97" s="1404"/>
      <c r="AR97" s="692"/>
      <c r="AS97" s="692"/>
      <c r="AT97" s="692"/>
      <c r="AU97" s="692"/>
      <c r="AV97" s="1404"/>
      <c r="AW97" s="1404"/>
      <c r="AX97" s="1404"/>
      <c r="AY97" s="1404"/>
      <c r="AZ97" s="1404"/>
      <c r="BA97" s="1404"/>
      <c r="BB97" s="692"/>
      <c r="BC97" s="692"/>
      <c r="BD97" s="692"/>
      <c r="BE97" s="694"/>
      <c r="BF97" s="1217"/>
      <c r="BG97" s="1217"/>
      <c r="BH97" s="906" t="s">
        <v>1295</v>
      </c>
    </row>
    <row r="98" spans="1:60" s="1334" customFormat="1" ht="21.75" customHeight="1" x14ac:dyDescent="0.15">
      <c r="A98" s="1217"/>
      <c r="B98" s="41"/>
      <c r="C98" s="1217"/>
      <c r="D98" s="1217"/>
      <c r="E98" s="542">
        <v>22.5</v>
      </c>
      <c r="F98" s="3" t="str" cm="1">
        <f t="array" aca="1" ref="F98" ca="1">OFFSET(E98,-1,1)</f>
        <v>2</v>
      </c>
      <c r="G98" s="1217"/>
      <c r="H98" s="1217"/>
      <c r="I98" s="1217"/>
      <c r="J98" s="1217"/>
      <c r="K98" s="1217"/>
      <c r="L98" s="1217"/>
      <c r="M98" s="1217"/>
      <c r="N98" s="1217"/>
      <c r="O98" s="1217"/>
      <c r="P98" s="1217"/>
      <c r="Q98" s="1217"/>
      <c r="R98" s="1217"/>
      <c r="S98" s="1217"/>
      <c r="T98" s="388" t="b" cm="1">
        <f t="array" ref="T98">T97</f>
        <v>1</v>
      </c>
      <c r="U98" s="1217"/>
      <c r="V98" s="1217"/>
      <c r="W98" s="1217"/>
      <c r="X98" s="2032"/>
      <c r="Y98" s="1217"/>
      <c r="Z98" s="2012"/>
      <c r="AA98" s="1217"/>
      <c r="AB98" s="217" t="s">
        <v>1296</v>
      </c>
      <c r="AC98" s="688" t="s">
        <v>1297</v>
      </c>
      <c r="AD98" s="218" t="s">
        <v>831</v>
      </c>
      <c r="AE98" s="692"/>
      <c r="AF98" s="692"/>
      <c r="AG98" s="692"/>
      <c r="AH98" s="692"/>
      <c r="AI98" s="692"/>
      <c r="AJ98" s="692"/>
      <c r="AK98" s="692"/>
      <c r="AL98" s="1404"/>
      <c r="AM98" s="1404"/>
      <c r="AN98" s="1404"/>
      <c r="AO98" s="1404"/>
      <c r="AP98" s="1404"/>
      <c r="AQ98" s="1404"/>
      <c r="AR98" s="692"/>
      <c r="AS98" s="692"/>
      <c r="AT98" s="692"/>
      <c r="AU98" s="692"/>
      <c r="AV98" s="1404"/>
      <c r="AW98" s="1404"/>
      <c r="AX98" s="1404"/>
      <c r="AY98" s="1404"/>
      <c r="AZ98" s="1404"/>
      <c r="BA98" s="1404"/>
      <c r="BB98" s="692"/>
      <c r="BC98" s="692"/>
      <c r="BD98" s="692"/>
      <c r="BE98" s="694"/>
      <c r="BF98" s="1217"/>
      <c r="BG98" s="1217"/>
      <c r="BH98" s="906" t="s">
        <v>1298</v>
      </c>
    </row>
    <row r="99" spans="1:60" s="1334" customFormat="1" ht="14.25" customHeight="1" x14ac:dyDescent="0.15">
      <c r="A99" s="1217"/>
      <c r="B99" s="41"/>
      <c r="C99" s="1217"/>
      <c r="D99" s="1217"/>
      <c r="E99" s="542">
        <v>15</v>
      </c>
      <c r="F99" s="3" t="str" cm="1">
        <f t="array" aca="1" ref="F99" ca="1">OFFSET(E99,-1,1)</f>
        <v>2</v>
      </c>
      <c r="G99" s="1217"/>
      <c r="H99" s="41" t="s">
        <v>498</v>
      </c>
      <c r="I99" s="1217"/>
      <c r="J99" s="1217"/>
      <c r="K99" s="1217"/>
      <c r="L99" s="1217"/>
      <c r="M99" s="1217"/>
      <c r="N99" s="1217"/>
      <c r="O99" s="1217"/>
      <c r="P99" s="1217"/>
      <c r="Q99" s="1217"/>
      <c r="R99" s="1217"/>
      <c r="S99" s="1217"/>
      <c r="T99" s="388" t="b" cm="1">
        <f t="array" ref="T99">T98</f>
        <v>1</v>
      </c>
      <c r="U99" s="1217"/>
      <c r="V99" s="1217"/>
      <c r="W99" s="1217"/>
      <c r="X99" s="2032"/>
      <c r="Y99" s="1217"/>
      <c r="Z99" s="2012"/>
      <c r="AA99" s="1217"/>
      <c r="AB99" s="217" t="s">
        <v>913</v>
      </c>
      <c r="AC99" s="682" t="s">
        <v>1299</v>
      </c>
      <c r="AD99" s="218" t="s">
        <v>831</v>
      </c>
      <c r="AE99" s="703">
        <f t="shared" ref="AE99:BD99" si="18">AE100+AE101+AE102</f>
        <v>0</v>
      </c>
      <c r="AF99" s="703">
        <f t="shared" si="18"/>
        <v>0</v>
      </c>
      <c r="AG99" s="703">
        <f t="shared" si="18"/>
        <v>0</v>
      </c>
      <c r="AH99" s="703">
        <f t="shared" si="18"/>
        <v>0</v>
      </c>
      <c r="AI99" s="703">
        <f t="shared" si="18"/>
        <v>0</v>
      </c>
      <c r="AJ99" s="703">
        <f t="shared" si="18"/>
        <v>0</v>
      </c>
      <c r="AK99" s="703">
        <f t="shared" si="18"/>
        <v>0</v>
      </c>
      <c r="AL99" s="703">
        <f t="shared" si="18"/>
        <v>0</v>
      </c>
      <c r="AM99" s="703">
        <f t="shared" si="18"/>
        <v>0</v>
      </c>
      <c r="AN99" s="703">
        <f t="shared" si="18"/>
        <v>0</v>
      </c>
      <c r="AO99" s="703">
        <f t="shared" si="18"/>
        <v>0</v>
      </c>
      <c r="AP99" s="703">
        <f t="shared" si="18"/>
        <v>0</v>
      </c>
      <c r="AQ99" s="703">
        <f t="shared" si="18"/>
        <v>0</v>
      </c>
      <c r="AR99" s="703">
        <f t="shared" si="18"/>
        <v>0</v>
      </c>
      <c r="AS99" s="703">
        <f t="shared" si="18"/>
        <v>0</v>
      </c>
      <c r="AT99" s="703">
        <f t="shared" si="18"/>
        <v>0</v>
      </c>
      <c r="AU99" s="703">
        <f t="shared" si="18"/>
        <v>0</v>
      </c>
      <c r="AV99" s="703">
        <f t="shared" si="18"/>
        <v>0</v>
      </c>
      <c r="AW99" s="703">
        <f t="shared" si="18"/>
        <v>0</v>
      </c>
      <c r="AX99" s="703">
        <f t="shared" si="18"/>
        <v>0</v>
      </c>
      <c r="AY99" s="703">
        <f t="shared" si="18"/>
        <v>0</v>
      </c>
      <c r="AZ99" s="703">
        <f t="shared" si="18"/>
        <v>0</v>
      </c>
      <c r="BA99" s="703">
        <f t="shared" si="18"/>
        <v>0</v>
      </c>
      <c r="BB99" s="703">
        <f t="shared" si="18"/>
        <v>0</v>
      </c>
      <c r="BC99" s="703">
        <f t="shared" si="18"/>
        <v>0</v>
      </c>
      <c r="BD99" s="703">
        <f t="shared" si="18"/>
        <v>0</v>
      </c>
      <c r="BE99" s="694"/>
      <c r="BF99" s="1217"/>
      <c r="BG99" s="1217"/>
      <c r="BH99" s="906" t="s">
        <v>1300</v>
      </c>
    </row>
    <row r="100" spans="1:60" s="1334" customFormat="1" ht="14.25" customHeight="1" x14ac:dyDescent="0.15">
      <c r="A100" s="1217"/>
      <c r="B100" s="41"/>
      <c r="C100" s="1217"/>
      <c r="D100" s="1217"/>
      <c r="E100" s="542">
        <v>15</v>
      </c>
      <c r="F100" s="3" t="str" cm="1">
        <f t="array" aca="1" ref="F100" ca="1">OFFSET(E100,-1,1)</f>
        <v>2</v>
      </c>
      <c r="G100" s="1217"/>
      <c r="H100" s="41" t="s">
        <v>1301</v>
      </c>
      <c r="I100" s="1217"/>
      <c r="J100" s="1217"/>
      <c r="K100" s="1217"/>
      <c r="L100" s="1217"/>
      <c r="M100" s="1217"/>
      <c r="N100" s="1217"/>
      <c r="O100" s="1217"/>
      <c r="P100" s="1217"/>
      <c r="Q100" s="1217"/>
      <c r="R100" s="1217"/>
      <c r="S100" s="1217"/>
      <c r="T100" s="388" t="b" cm="1">
        <f t="array" ref="T100">T99</f>
        <v>1</v>
      </c>
      <c r="U100" s="1217"/>
      <c r="V100" s="1217"/>
      <c r="W100" s="1217"/>
      <c r="X100" s="2032"/>
      <c r="Y100" s="1217"/>
      <c r="Z100" s="2012"/>
      <c r="AA100" s="1217"/>
      <c r="AB100" s="217" t="s">
        <v>1302</v>
      </c>
      <c r="AC100" s="685" t="s">
        <v>1303</v>
      </c>
      <c r="AD100" s="218" t="s">
        <v>831</v>
      </c>
      <c r="AE100" s="692"/>
      <c r="AF100" s="692"/>
      <c r="AG100" s="692"/>
      <c r="AH100" s="692"/>
      <c r="AI100" s="692"/>
      <c r="AJ100" s="692"/>
      <c r="AK100" s="692"/>
      <c r="AL100" s="1404"/>
      <c r="AM100" s="1404"/>
      <c r="AN100" s="1404"/>
      <c r="AO100" s="1404"/>
      <c r="AP100" s="1404"/>
      <c r="AQ100" s="1404"/>
      <c r="AR100" s="692"/>
      <c r="AS100" s="692"/>
      <c r="AT100" s="692"/>
      <c r="AU100" s="692"/>
      <c r="AV100" s="1404"/>
      <c r="AW100" s="1404"/>
      <c r="AX100" s="1404"/>
      <c r="AY100" s="1404"/>
      <c r="AZ100" s="1404"/>
      <c r="BA100" s="1404"/>
      <c r="BB100" s="692"/>
      <c r="BC100" s="692"/>
      <c r="BD100" s="692"/>
      <c r="BE100" s="694"/>
      <c r="BF100" s="1217"/>
      <c r="BG100" s="1217"/>
      <c r="BH100" s="906" t="s">
        <v>1222</v>
      </c>
    </row>
    <row r="101" spans="1:60" s="1334" customFormat="1" ht="14.25" customHeight="1" x14ac:dyDescent="0.15">
      <c r="A101" s="1217"/>
      <c r="B101" s="41"/>
      <c r="C101" s="1217"/>
      <c r="D101" s="1217"/>
      <c r="E101" s="542">
        <v>15</v>
      </c>
      <c r="F101" s="3" t="str" cm="1">
        <f t="array" aca="1" ref="F101" ca="1">OFFSET(E101,-1,1)</f>
        <v>2</v>
      </c>
      <c r="G101" s="1217"/>
      <c r="H101" s="41" t="s">
        <v>1304</v>
      </c>
      <c r="I101" s="1217"/>
      <c r="J101" s="1217"/>
      <c r="K101" s="1217"/>
      <c r="L101" s="1217"/>
      <c r="M101" s="1217"/>
      <c r="N101" s="1217"/>
      <c r="O101" s="1217"/>
      <c r="P101" s="1217"/>
      <c r="Q101" s="1217"/>
      <c r="R101" s="1217"/>
      <c r="S101" s="1217"/>
      <c r="T101" s="388" t="b" cm="1">
        <f t="array" ref="T101">T100</f>
        <v>1</v>
      </c>
      <c r="U101" s="1217"/>
      <c r="V101" s="1217"/>
      <c r="W101" s="1217"/>
      <c r="X101" s="2032"/>
      <c r="Y101" s="1217"/>
      <c r="Z101" s="2012"/>
      <c r="AA101" s="1217"/>
      <c r="AB101" s="217" t="s">
        <v>1305</v>
      </c>
      <c r="AC101" s="685" t="s">
        <v>1306</v>
      </c>
      <c r="AD101" s="218" t="s">
        <v>831</v>
      </c>
      <c r="AE101" s="692"/>
      <c r="AF101" s="692"/>
      <c r="AG101" s="692"/>
      <c r="AH101" s="692"/>
      <c r="AI101" s="692"/>
      <c r="AJ101" s="692"/>
      <c r="AK101" s="692"/>
      <c r="AL101" s="1404"/>
      <c r="AM101" s="1404"/>
      <c r="AN101" s="1404"/>
      <c r="AO101" s="1404"/>
      <c r="AP101" s="1404"/>
      <c r="AQ101" s="1404"/>
      <c r="AR101" s="692"/>
      <c r="AS101" s="692"/>
      <c r="AT101" s="692"/>
      <c r="AU101" s="692"/>
      <c r="AV101" s="1404"/>
      <c r="AW101" s="1404"/>
      <c r="AX101" s="1404"/>
      <c r="AY101" s="1404"/>
      <c r="AZ101" s="1404"/>
      <c r="BA101" s="1404"/>
      <c r="BB101" s="692"/>
      <c r="BC101" s="692"/>
      <c r="BD101" s="692"/>
      <c r="BE101" s="694"/>
      <c r="BF101" s="1217"/>
      <c r="BG101" s="1217"/>
      <c r="BH101" s="906" t="s">
        <v>1307</v>
      </c>
    </row>
    <row r="102" spans="1:60" s="1334" customFormat="1" ht="14.25" customHeight="1" x14ac:dyDescent="0.15">
      <c r="A102" s="1217"/>
      <c r="B102" s="41"/>
      <c r="C102" s="1217"/>
      <c r="D102" s="1217"/>
      <c r="E102" s="542">
        <v>15</v>
      </c>
      <c r="F102" s="3" t="str" cm="1">
        <f t="array" aca="1" ref="F102" ca="1">OFFSET(E102,-1,1)</f>
        <v>2</v>
      </c>
      <c r="G102" s="1217"/>
      <c r="H102" s="41" t="s">
        <v>1308</v>
      </c>
      <c r="I102" s="1217"/>
      <c r="J102" s="1217"/>
      <c r="K102" s="1217"/>
      <c r="L102" s="1217"/>
      <c r="M102" s="1217"/>
      <c r="N102" s="1217"/>
      <c r="O102" s="1217"/>
      <c r="P102" s="1217"/>
      <c r="Q102" s="1217"/>
      <c r="R102" s="1217"/>
      <c r="S102" s="1217"/>
      <c r="T102" s="388" t="b" cm="1">
        <f t="array" ref="T102">T101</f>
        <v>1</v>
      </c>
      <c r="U102" s="1217"/>
      <c r="V102" s="1217"/>
      <c r="W102" s="1217"/>
      <c r="X102" s="2032"/>
      <c r="Y102" s="1217"/>
      <c r="Z102" s="2012"/>
      <c r="AA102" s="1217"/>
      <c r="AB102" s="217" t="s">
        <v>1309</v>
      </c>
      <c r="AC102" s="685" t="s">
        <v>1310</v>
      </c>
      <c r="AD102" s="218" t="s">
        <v>831</v>
      </c>
      <c r="AE102" s="692"/>
      <c r="AF102" s="692"/>
      <c r="AG102" s="692"/>
      <c r="AH102" s="692"/>
      <c r="AI102" s="692"/>
      <c r="AJ102" s="692"/>
      <c r="AK102" s="692"/>
      <c r="AL102" s="1404"/>
      <c r="AM102" s="1404"/>
      <c r="AN102" s="1404"/>
      <c r="AO102" s="1404"/>
      <c r="AP102" s="1404"/>
      <c r="AQ102" s="1404"/>
      <c r="AR102" s="692"/>
      <c r="AS102" s="692"/>
      <c r="AT102" s="692"/>
      <c r="AU102" s="692"/>
      <c r="AV102" s="1404"/>
      <c r="AW102" s="1404"/>
      <c r="AX102" s="1404"/>
      <c r="AY102" s="1404"/>
      <c r="AZ102" s="1404"/>
      <c r="BA102" s="1404"/>
      <c r="BB102" s="692"/>
      <c r="BC102" s="692"/>
      <c r="BD102" s="692"/>
      <c r="BE102" s="694"/>
      <c r="BF102" s="1217"/>
      <c r="BG102" s="1217"/>
      <c r="BH102" s="906" t="s">
        <v>1311</v>
      </c>
    </row>
    <row r="103" spans="1:60" s="1334" customFormat="1" ht="14.25" customHeight="1" x14ac:dyDescent="0.15">
      <c r="A103" s="1217"/>
      <c r="B103" s="41"/>
      <c r="C103" s="1217"/>
      <c r="D103" s="1217"/>
      <c r="E103" s="542">
        <v>15</v>
      </c>
      <c r="F103" s="3" t="str" cm="1">
        <f t="array" aca="1" ref="F103" ca="1">OFFSET(E103,-1,1)</f>
        <v>2</v>
      </c>
      <c r="G103" s="1217"/>
      <c r="H103" s="41" t="s">
        <v>501</v>
      </c>
      <c r="I103" s="1217"/>
      <c r="J103" s="1217"/>
      <c r="K103" s="1217"/>
      <c r="L103" s="1217"/>
      <c r="M103" s="1217"/>
      <c r="N103" s="1217"/>
      <c r="O103" s="1217"/>
      <c r="P103" s="1217"/>
      <c r="Q103" s="1217"/>
      <c r="R103" s="1217"/>
      <c r="S103" s="1217"/>
      <c r="T103" s="388" t="b" cm="1">
        <f t="array" ref="T103">T102</f>
        <v>1</v>
      </c>
      <c r="U103" s="1217"/>
      <c r="V103" s="1217"/>
      <c r="W103" s="1217"/>
      <c r="X103" s="2032"/>
      <c r="Y103" s="1217"/>
      <c r="Z103" s="2012"/>
      <c r="AA103" s="1217"/>
      <c r="AB103" s="217" t="s">
        <v>916</v>
      </c>
      <c r="AC103" s="682" t="s">
        <v>1312</v>
      </c>
      <c r="AD103" s="218" t="s">
        <v>831</v>
      </c>
      <c r="AE103" s="703">
        <f t="shared" ref="AE103:BD103" si="19">AE104+AE105+AE106</f>
        <v>0</v>
      </c>
      <c r="AF103" s="703">
        <f t="shared" si="19"/>
        <v>0</v>
      </c>
      <c r="AG103" s="703">
        <f t="shared" si="19"/>
        <v>0</v>
      </c>
      <c r="AH103" s="703">
        <f t="shared" si="19"/>
        <v>0</v>
      </c>
      <c r="AI103" s="703">
        <f t="shared" si="19"/>
        <v>0</v>
      </c>
      <c r="AJ103" s="703">
        <f t="shared" si="19"/>
        <v>0</v>
      </c>
      <c r="AK103" s="703">
        <f t="shared" si="19"/>
        <v>0</v>
      </c>
      <c r="AL103" s="703">
        <f t="shared" si="19"/>
        <v>0</v>
      </c>
      <c r="AM103" s="703">
        <f t="shared" si="19"/>
        <v>0</v>
      </c>
      <c r="AN103" s="703">
        <f t="shared" si="19"/>
        <v>0</v>
      </c>
      <c r="AO103" s="703">
        <f t="shared" si="19"/>
        <v>0</v>
      </c>
      <c r="AP103" s="703">
        <f t="shared" si="19"/>
        <v>0</v>
      </c>
      <c r="AQ103" s="703">
        <f t="shared" si="19"/>
        <v>0</v>
      </c>
      <c r="AR103" s="703">
        <f t="shared" si="19"/>
        <v>0</v>
      </c>
      <c r="AS103" s="703">
        <f t="shared" si="19"/>
        <v>0</v>
      </c>
      <c r="AT103" s="703">
        <f t="shared" si="19"/>
        <v>0</v>
      </c>
      <c r="AU103" s="703">
        <f t="shared" si="19"/>
        <v>0</v>
      </c>
      <c r="AV103" s="703">
        <f t="shared" si="19"/>
        <v>0</v>
      </c>
      <c r="AW103" s="703">
        <f t="shared" si="19"/>
        <v>0</v>
      </c>
      <c r="AX103" s="703">
        <f t="shared" si="19"/>
        <v>0</v>
      </c>
      <c r="AY103" s="703">
        <f t="shared" si="19"/>
        <v>0</v>
      </c>
      <c r="AZ103" s="703">
        <f t="shared" si="19"/>
        <v>0</v>
      </c>
      <c r="BA103" s="703">
        <f t="shared" si="19"/>
        <v>0</v>
      </c>
      <c r="BB103" s="703">
        <f t="shared" si="19"/>
        <v>0</v>
      </c>
      <c r="BC103" s="703">
        <f t="shared" si="19"/>
        <v>0</v>
      </c>
      <c r="BD103" s="703">
        <f t="shared" si="19"/>
        <v>0</v>
      </c>
      <c r="BE103" s="694"/>
      <c r="BF103" s="1217"/>
      <c r="BG103" s="1217"/>
      <c r="BH103" s="906" t="s">
        <v>1313</v>
      </c>
    </row>
    <row r="104" spans="1:60" s="1334" customFormat="1" ht="14.25" customHeight="1" x14ac:dyDescent="0.15">
      <c r="A104" s="1217"/>
      <c r="B104" s="41"/>
      <c r="C104" s="1217"/>
      <c r="D104" s="1217"/>
      <c r="E104" s="542">
        <v>15</v>
      </c>
      <c r="F104" s="3" t="str" cm="1">
        <f t="array" aca="1" ref="F104" ca="1">OFFSET(E104,-1,1)</f>
        <v>2</v>
      </c>
      <c r="G104" s="1217"/>
      <c r="H104" s="41" t="s">
        <v>1314</v>
      </c>
      <c r="I104" s="1217"/>
      <c r="J104" s="1217"/>
      <c r="K104" s="1217"/>
      <c r="L104" s="1217"/>
      <c r="M104" s="1217"/>
      <c r="N104" s="1217"/>
      <c r="O104" s="1217"/>
      <c r="P104" s="1217"/>
      <c r="Q104" s="1217"/>
      <c r="R104" s="1217"/>
      <c r="S104" s="1217"/>
      <c r="T104" s="388" t="b" cm="1">
        <f t="array" ref="T104">T103</f>
        <v>1</v>
      </c>
      <c r="U104" s="1217"/>
      <c r="V104" s="1217"/>
      <c r="W104" s="1217"/>
      <c r="X104" s="2032"/>
      <c r="Y104" s="1217"/>
      <c r="Z104" s="2012"/>
      <c r="AA104" s="1217"/>
      <c r="AB104" s="217" t="s">
        <v>1315</v>
      </c>
      <c r="AC104" s="685" t="s">
        <v>1316</v>
      </c>
      <c r="AD104" s="218" t="s">
        <v>831</v>
      </c>
      <c r="AE104" s="692"/>
      <c r="AF104" s="692"/>
      <c r="AG104" s="692"/>
      <c r="AH104" s="692"/>
      <c r="AI104" s="692"/>
      <c r="AJ104" s="692"/>
      <c r="AK104" s="692"/>
      <c r="AL104" s="1404"/>
      <c r="AM104" s="1404"/>
      <c r="AN104" s="1404"/>
      <c r="AO104" s="1404"/>
      <c r="AP104" s="1404"/>
      <c r="AQ104" s="1404"/>
      <c r="AR104" s="692"/>
      <c r="AS104" s="692"/>
      <c r="AT104" s="692"/>
      <c r="AU104" s="692"/>
      <c r="AV104" s="1404"/>
      <c r="AW104" s="1404"/>
      <c r="AX104" s="1404"/>
      <c r="AY104" s="1404"/>
      <c r="AZ104" s="1404"/>
      <c r="BA104" s="1404"/>
      <c r="BB104" s="692"/>
      <c r="BC104" s="692"/>
      <c r="BD104" s="692"/>
      <c r="BE104" s="694"/>
      <c r="BF104" s="1217"/>
      <c r="BG104" s="1217"/>
      <c r="BH104" s="906" t="s">
        <v>1317</v>
      </c>
    </row>
    <row r="105" spans="1:60" s="1334" customFormat="1" ht="14.25" customHeight="1" x14ac:dyDescent="0.15">
      <c r="A105" s="1217"/>
      <c r="B105" s="41"/>
      <c r="C105" s="1217"/>
      <c r="D105" s="1217"/>
      <c r="E105" s="542">
        <v>15</v>
      </c>
      <c r="F105" s="3" t="str" cm="1">
        <f t="array" aca="1" ref="F105" ca="1">OFFSET(E105,-1,1)</f>
        <v>2</v>
      </c>
      <c r="G105" s="1217"/>
      <c r="H105" s="41" t="s">
        <v>1318</v>
      </c>
      <c r="I105" s="1217"/>
      <c r="J105" s="1217"/>
      <c r="K105" s="1217"/>
      <c r="L105" s="1217"/>
      <c r="M105" s="1217"/>
      <c r="N105" s="1217"/>
      <c r="O105" s="1217"/>
      <c r="P105" s="1217"/>
      <c r="Q105" s="1217"/>
      <c r="R105" s="1217"/>
      <c r="S105" s="1217"/>
      <c r="T105" s="388" t="b" cm="1">
        <f t="array" ref="T105">T104</f>
        <v>1</v>
      </c>
      <c r="U105" s="1217"/>
      <c r="V105" s="1217"/>
      <c r="W105" s="1217"/>
      <c r="X105" s="2032"/>
      <c r="Y105" s="1217"/>
      <c r="Z105" s="2012"/>
      <c r="AA105" s="1217"/>
      <c r="AB105" s="217" t="s">
        <v>1319</v>
      </c>
      <c r="AC105" s="685" t="s">
        <v>1320</v>
      </c>
      <c r="AD105" s="218" t="s">
        <v>831</v>
      </c>
      <c r="AE105" s="692"/>
      <c r="AF105" s="692"/>
      <c r="AG105" s="692"/>
      <c r="AH105" s="692"/>
      <c r="AI105" s="692"/>
      <c r="AJ105" s="692"/>
      <c r="AK105" s="692"/>
      <c r="AL105" s="1404"/>
      <c r="AM105" s="1404"/>
      <c r="AN105" s="1404"/>
      <c r="AO105" s="1404"/>
      <c r="AP105" s="1404"/>
      <c r="AQ105" s="1404"/>
      <c r="AR105" s="692"/>
      <c r="AS105" s="692"/>
      <c r="AT105" s="692"/>
      <c r="AU105" s="692"/>
      <c r="AV105" s="1404"/>
      <c r="AW105" s="1404"/>
      <c r="AX105" s="1404"/>
      <c r="AY105" s="1404"/>
      <c r="AZ105" s="1404"/>
      <c r="BA105" s="1404"/>
      <c r="BB105" s="692"/>
      <c r="BC105" s="692"/>
      <c r="BD105" s="692"/>
      <c r="BE105" s="694"/>
      <c r="BF105" s="1217"/>
      <c r="BG105" s="1217"/>
      <c r="BH105" s="906" t="s">
        <v>1321</v>
      </c>
    </row>
    <row r="106" spans="1:60" s="1334" customFormat="1" ht="14.25" customHeight="1" x14ac:dyDescent="0.15">
      <c r="A106" s="1217"/>
      <c r="B106" s="41"/>
      <c r="C106" s="1217"/>
      <c r="D106" s="1217"/>
      <c r="E106" s="542">
        <v>15</v>
      </c>
      <c r="F106" s="3" t="str" cm="1">
        <f t="array" aca="1" ref="F106" ca="1">OFFSET(E106,-1,1)</f>
        <v>2</v>
      </c>
      <c r="G106" s="1217"/>
      <c r="H106" s="41" t="s">
        <v>1322</v>
      </c>
      <c r="I106" s="1217"/>
      <c r="J106" s="1217"/>
      <c r="K106" s="1217"/>
      <c r="L106" s="1217"/>
      <c r="M106" s="1217"/>
      <c r="N106" s="1217"/>
      <c r="O106" s="1217"/>
      <c r="P106" s="1217"/>
      <c r="Q106" s="1217"/>
      <c r="R106" s="1217"/>
      <c r="S106" s="1217"/>
      <c r="T106" s="388" t="b" cm="1">
        <f t="array" ref="T106">T105</f>
        <v>1</v>
      </c>
      <c r="U106" s="1217"/>
      <c r="V106" s="1217"/>
      <c r="W106" s="1217"/>
      <c r="X106" s="2032"/>
      <c r="Y106" s="1217"/>
      <c r="Z106" s="2012"/>
      <c r="AA106" s="1217"/>
      <c r="AB106" s="217" t="s">
        <v>1323</v>
      </c>
      <c r="AC106" s="685" t="s">
        <v>1324</v>
      </c>
      <c r="AD106" s="218" t="s">
        <v>831</v>
      </c>
      <c r="AE106" s="692"/>
      <c r="AF106" s="692"/>
      <c r="AG106" s="692"/>
      <c r="AH106" s="692"/>
      <c r="AI106" s="692"/>
      <c r="AJ106" s="692"/>
      <c r="AK106" s="692"/>
      <c r="AL106" s="1404"/>
      <c r="AM106" s="1404"/>
      <c r="AN106" s="1404"/>
      <c r="AO106" s="1404"/>
      <c r="AP106" s="1404"/>
      <c r="AQ106" s="1404"/>
      <c r="AR106" s="692"/>
      <c r="AS106" s="692"/>
      <c r="AT106" s="692"/>
      <c r="AU106" s="692"/>
      <c r="AV106" s="1404"/>
      <c r="AW106" s="1404"/>
      <c r="AX106" s="1404"/>
      <c r="AY106" s="1404"/>
      <c r="AZ106" s="1404"/>
      <c r="BA106" s="1404"/>
      <c r="BB106" s="692"/>
      <c r="BC106" s="692"/>
      <c r="BD106" s="692"/>
      <c r="BE106" s="694"/>
      <c r="BF106" s="1217"/>
      <c r="BG106" s="1217"/>
      <c r="BH106" s="906" t="s">
        <v>1325</v>
      </c>
    </row>
    <row r="107" spans="1:60" s="1334" customFormat="1" ht="14.25" customHeight="1" x14ac:dyDescent="0.15">
      <c r="A107" s="1217"/>
      <c r="B107" s="41"/>
      <c r="C107" s="1217"/>
      <c r="D107" s="1217"/>
      <c r="E107" s="542">
        <v>15</v>
      </c>
      <c r="F107" s="3" t="str" cm="1">
        <f t="array" aca="1" ref="F107" ca="1">OFFSET(E107,-1,1)</f>
        <v>2</v>
      </c>
      <c r="G107" s="1217"/>
      <c r="H107" s="41" t="s">
        <v>505</v>
      </c>
      <c r="I107" s="1217"/>
      <c r="J107" s="1217"/>
      <c r="K107" s="1217"/>
      <c r="L107" s="1217"/>
      <c r="M107" s="1217"/>
      <c r="N107" s="1217"/>
      <c r="O107" s="1217"/>
      <c r="P107" s="1217"/>
      <c r="Q107" s="1217"/>
      <c r="R107" s="1217"/>
      <c r="S107" s="1217"/>
      <c r="T107" s="388" t="b" cm="1">
        <f t="array" ref="T107">T106</f>
        <v>1</v>
      </c>
      <c r="U107" s="1217"/>
      <c r="V107" s="1217"/>
      <c r="W107" s="1217"/>
      <c r="X107" s="2032"/>
      <c r="Y107" s="1217"/>
      <c r="Z107" s="2012"/>
      <c r="AA107" s="1217"/>
      <c r="AB107" s="217" t="s">
        <v>919</v>
      </c>
      <c r="AC107" s="682" t="s">
        <v>1326</v>
      </c>
      <c r="AD107" s="218" t="s">
        <v>831</v>
      </c>
      <c r="AE107" s="703">
        <f t="shared" ref="AE107:BD107" si="20">AE108+AE109+AE110+AE111</f>
        <v>0</v>
      </c>
      <c r="AF107" s="703">
        <f t="shared" si="20"/>
        <v>0</v>
      </c>
      <c r="AG107" s="703">
        <f t="shared" si="20"/>
        <v>0</v>
      </c>
      <c r="AH107" s="703">
        <f t="shared" si="20"/>
        <v>0</v>
      </c>
      <c r="AI107" s="703">
        <f t="shared" si="20"/>
        <v>0</v>
      </c>
      <c r="AJ107" s="703">
        <f t="shared" si="20"/>
        <v>0</v>
      </c>
      <c r="AK107" s="703">
        <f t="shared" si="20"/>
        <v>0</v>
      </c>
      <c r="AL107" s="703">
        <f t="shared" si="20"/>
        <v>0</v>
      </c>
      <c r="AM107" s="703">
        <f t="shared" si="20"/>
        <v>0</v>
      </c>
      <c r="AN107" s="703">
        <f t="shared" si="20"/>
        <v>0</v>
      </c>
      <c r="AO107" s="703">
        <f t="shared" si="20"/>
        <v>0</v>
      </c>
      <c r="AP107" s="703">
        <f t="shared" si="20"/>
        <v>0</v>
      </c>
      <c r="AQ107" s="703">
        <f t="shared" si="20"/>
        <v>0</v>
      </c>
      <c r="AR107" s="703">
        <f t="shared" si="20"/>
        <v>0</v>
      </c>
      <c r="AS107" s="703">
        <f t="shared" si="20"/>
        <v>0</v>
      </c>
      <c r="AT107" s="703">
        <f t="shared" si="20"/>
        <v>0</v>
      </c>
      <c r="AU107" s="703">
        <f t="shared" si="20"/>
        <v>0</v>
      </c>
      <c r="AV107" s="703">
        <f t="shared" si="20"/>
        <v>0</v>
      </c>
      <c r="AW107" s="703">
        <f t="shared" si="20"/>
        <v>0</v>
      </c>
      <c r="AX107" s="703">
        <f t="shared" si="20"/>
        <v>0</v>
      </c>
      <c r="AY107" s="703">
        <f t="shared" si="20"/>
        <v>0</v>
      </c>
      <c r="AZ107" s="703">
        <f t="shared" si="20"/>
        <v>0</v>
      </c>
      <c r="BA107" s="703">
        <f t="shared" si="20"/>
        <v>0</v>
      </c>
      <c r="BB107" s="703">
        <f t="shared" si="20"/>
        <v>0</v>
      </c>
      <c r="BC107" s="703">
        <f t="shared" si="20"/>
        <v>0</v>
      </c>
      <c r="BD107" s="703">
        <f t="shared" si="20"/>
        <v>0</v>
      </c>
      <c r="BE107" s="694"/>
      <c r="BF107" s="1217"/>
      <c r="BG107" s="1217"/>
      <c r="BH107" s="906" t="s">
        <v>1327</v>
      </c>
    </row>
    <row r="108" spans="1:60" s="1334" customFormat="1" ht="14.25" customHeight="1" x14ac:dyDescent="0.15">
      <c r="A108" s="1217"/>
      <c r="B108" s="41"/>
      <c r="C108" s="1217"/>
      <c r="D108" s="1217"/>
      <c r="E108" s="542">
        <v>15</v>
      </c>
      <c r="F108" s="3" t="str" cm="1">
        <f t="array" aca="1" ref="F108" ca="1">OFFSET(E108,-1,1)</f>
        <v>2</v>
      </c>
      <c r="G108" s="1217"/>
      <c r="H108" s="41" t="s">
        <v>1328</v>
      </c>
      <c r="I108" s="1217"/>
      <c r="J108" s="1217"/>
      <c r="K108" s="1217"/>
      <c r="L108" s="1217"/>
      <c r="M108" s="1217"/>
      <c r="N108" s="1217"/>
      <c r="O108" s="1217"/>
      <c r="P108" s="1217"/>
      <c r="Q108" s="1217"/>
      <c r="R108" s="1217"/>
      <c r="S108" s="1217"/>
      <c r="T108" s="388" t="b" cm="1">
        <f t="array" ref="T108">T107</f>
        <v>1</v>
      </c>
      <c r="U108" s="1217"/>
      <c r="V108" s="1217"/>
      <c r="W108" s="1217"/>
      <c r="X108" s="2032"/>
      <c r="Y108" s="1217"/>
      <c r="Z108" s="2012"/>
      <c r="AA108" s="1217"/>
      <c r="AB108" s="217" t="s">
        <v>1033</v>
      </c>
      <c r="AC108" s="685" t="s">
        <v>1027</v>
      </c>
      <c r="AD108" s="218" t="s">
        <v>831</v>
      </c>
      <c r="AE108" s="692"/>
      <c r="AF108" s="692"/>
      <c r="AG108" s="692"/>
      <c r="AH108" s="692"/>
      <c r="AI108" s="692"/>
      <c r="AJ108" s="692"/>
      <c r="AK108" s="692"/>
      <c r="AL108" s="1404"/>
      <c r="AM108" s="1404"/>
      <c r="AN108" s="1404"/>
      <c r="AO108" s="1404"/>
      <c r="AP108" s="1404"/>
      <c r="AQ108" s="1404"/>
      <c r="AR108" s="692"/>
      <c r="AS108" s="692"/>
      <c r="AT108" s="692"/>
      <c r="AU108" s="692"/>
      <c r="AV108" s="1404"/>
      <c r="AW108" s="1404"/>
      <c r="AX108" s="1404"/>
      <c r="AY108" s="1404"/>
      <c r="AZ108" s="1404"/>
      <c r="BA108" s="1404"/>
      <c r="BB108" s="692"/>
      <c r="BC108" s="692"/>
      <c r="BD108" s="692"/>
      <c r="BE108" s="694"/>
      <c r="BF108" s="1217"/>
      <c r="BG108" s="1217"/>
      <c r="BH108" s="906" t="s">
        <v>1029</v>
      </c>
    </row>
    <row r="109" spans="1:60" s="1334" customFormat="1" ht="21.75" customHeight="1" x14ac:dyDescent="0.15">
      <c r="A109" s="1217"/>
      <c r="B109" s="41"/>
      <c r="C109" s="1217"/>
      <c r="D109" s="1217"/>
      <c r="E109" s="542">
        <v>22.5</v>
      </c>
      <c r="F109" s="3" t="str" cm="1">
        <f t="array" aca="1" ref="F109" ca="1">OFFSET(E109,-1,1)</f>
        <v>2</v>
      </c>
      <c r="G109" s="1217"/>
      <c r="H109" s="41" t="s">
        <v>1329</v>
      </c>
      <c r="I109" s="1217"/>
      <c r="J109" s="1217"/>
      <c r="K109" s="1217"/>
      <c r="L109" s="1217"/>
      <c r="M109" s="1217"/>
      <c r="N109" s="1217"/>
      <c r="O109" s="1217"/>
      <c r="P109" s="1217"/>
      <c r="Q109" s="1217"/>
      <c r="R109" s="1217"/>
      <c r="S109" s="1217"/>
      <c r="T109" s="388" t="b" cm="1">
        <f t="array" ref="T109">T108</f>
        <v>1</v>
      </c>
      <c r="U109" s="1217"/>
      <c r="V109" s="1217"/>
      <c r="W109" s="1217"/>
      <c r="X109" s="2032"/>
      <c r="Y109" s="1217"/>
      <c r="Z109" s="2012"/>
      <c r="AA109" s="1217"/>
      <c r="AB109" s="217" t="s">
        <v>1036</v>
      </c>
      <c r="AC109" s="685" t="s">
        <v>1330</v>
      </c>
      <c r="AD109" s="218" t="s">
        <v>831</v>
      </c>
      <c r="AE109" s="692"/>
      <c r="AF109" s="692"/>
      <c r="AG109" s="692"/>
      <c r="AH109" s="692"/>
      <c r="AI109" s="692"/>
      <c r="AJ109" s="692"/>
      <c r="AK109" s="692"/>
      <c r="AL109" s="1404"/>
      <c r="AM109" s="1404"/>
      <c r="AN109" s="1404"/>
      <c r="AO109" s="1404"/>
      <c r="AP109" s="1404"/>
      <c r="AQ109" s="1404"/>
      <c r="AR109" s="692"/>
      <c r="AS109" s="692"/>
      <c r="AT109" s="692"/>
      <c r="AU109" s="692"/>
      <c r="AV109" s="1404"/>
      <c r="AW109" s="1404"/>
      <c r="AX109" s="1404"/>
      <c r="AY109" s="1404"/>
      <c r="AZ109" s="1404"/>
      <c r="BA109" s="1404"/>
      <c r="BB109" s="692"/>
      <c r="BC109" s="692"/>
      <c r="BD109" s="692"/>
      <c r="BE109" s="694"/>
      <c r="BF109" s="1217"/>
      <c r="BG109" s="1217"/>
      <c r="BH109" s="906" t="s">
        <v>1331</v>
      </c>
    </row>
    <row r="110" spans="1:60" s="1334" customFormat="1" ht="21.75" customHeight="1" x14ac:dyDescent="0.15">
      <c r="A110" s="1217"/>
      <c r="B110" s="41"/>
      <c r="C110" s="1217"/>
      <c r="D110" s="1217"/>
      <c r="E110" s="542">
        <v>22.5</v>
      </c>
      <c r="F110" s="3" t="str" cm="1">
        <f t="array" aca="1" ref="F110" ca="1">OFFSET(E110,-1,1)</f>
        <v>2</v>
      </c>
      <c r="G110" s="1217"/>
      <c r="H110" s="41" t="s">
        <v>1332</v>
      </c>
      <c r="I110" s="1217"/>
      <c r="J110" s="1217"/>
      <c r="K110" s="1217"/>
      <c r="L110" s="1217"/>
      <c r="M110" s="1217"/>
      <c r="N110" s="1217"/>
      <c r="O110" s="1217"/>
      <c r="P110" s="1217"/>
      <c r="Q110" s="1217"/>
      <c r="R110" s="1217"/>
      <c r="S110" s="1217"/>
      <c r="T110" s="388" t="b" cm="1">
        <f t="array" ref="T110">T109</f>
        <v>1</v>
      </c>
      <c r="U110" s="1217"/>
      <c r="V110" s="1217"/>
      <c r="W110" s="1217"/>
      <c r="X110" s="2032"/>
      <c r="Y110" s="1217"/>
      <c r="Z110" s="2012"/>
      <c r="AA110" s="1217"/>
      <c r="AB110" s="217" t="s">
        <v>1333</v>
      </c>
      <c r="AC110" s="685" t="s">
        <v>1334</v>
      </c>
      <c r="AD110" s="218" t="s">
        <v>831</v>
      </c>
      <c r="AE110" s="692"/>
      <c r="AF110" s="692"/>
      <c r="AG110" s="692"/>
      <c r="AH110" s="692"/>
      <c r="AI110" s="692"/>
      <c r="AJ110" s="692"/>
      <c r="AK110" s="692"/>
      <c r="AL110" s="1404"/>
      <c r="AM110" s="1404"/>
      <c r="AN110" s="1404"/>
      <c r="AO110" s="1404"/>
      <c r="AP110" s="1404"/>
      <c r="AQ110" s="1404"/>
      <c r="AR110" s="692"/>
      <c r="AS110" s="692"/>
      <c r="AT110" s="692"/>
      <c r="AU110" s="692"/>
      <c r="AV110" s="1404"/>
      <c r="AW110" s="1404"/>
      <c r="AX110" s="1404"/>
      <c r="AY110" s="1404"/>
      <c r="AZ110" s="1404"/>
      <c r="BA110" s="1404"/>
      <c r="BB110" s="692"/>
      <c r="BC110" s="692"/>
      <c r="BD110" s="692"/>
      <c r="BE110" s="694"/>
      <c r="BF110" s="1217"/>
      <c r="BG110" s="1217"/>
      <c r="BH110" s="906" t="s">
        <v>1335</v>
      </c>
    </row>
    <row r="111" spans="1:60" s="1334" customFormat="1" ht="14.25" customHeight="1" x14ac:dyDescent="0.15">
      <c r="A111" s="1217"/>
      <c r="B111" s="41"/>
      <c r="C111" s="1217"/>
      <c r="D111" s="1217"/>
      <c r="E111" s="542">
        <v>15</v>
      </c>
      <c r="F111" s="3" t="str" cm="1">
        <f t="array" aca="1" ref="F111" ca="1">OFFSET(E111,-1,1)</f>
        <v>2</v>
      </c>
      <c r="G111" s="1217"/>
      <c r="H111" s="41" t="s">
        <v>1336</v>
      </c>
      <c r="I111" s="1217"/>
      <c r="J111" s="1217"/>
      <c r="K111" s="1217"/>
      <c r="L111" s="1217"/>
      <c r="M111" s="1217"/>
      <c r="N111" s="1217"/>
      <c r="O111" s="1217"/>
      <c r="P111" s="1217"/>
      <c r="Q111" s="1217"/>
      <c r="R111" s="1217"/>
      <c r="S111" s="1217"/>
      <c r="T111" s="388" t="b" cm="1">
        <f t="array" ref="T111">T110</f>
        <v>1</v>
      </c>
      <c r="U111" s="1217"/>
      <c r="V111" s="1217"/>
      <c r="W111" s="1217"/>
      <c r="X111" s="2032"/>
      <c r="Y111" s="1217"/>
      <c r="Z111" s="2012"/>
      <c r="AA111" s="1217"/>
      <c r="AB111" s="217" t="s">
        <v>1337</v>
      </c>
      <c r="AC111" s="685" t="s">
        <v>1338</v>
      </c>
      <c r="AD111" s="218" t="s">
        <v>831</v>
      </c>
      <c r="AE111" s="692"/>
      <c r="AF111" s="692"/>
      <c r="AG111" s="692"/>
      <c r="AH111" s="692"/>
      <c r="AI111" s="692"/>
      <c r="AJ111" s="692"/>
      <c r="AK111" s="692"/>
      <c r="AL111" s="1404"/>
      <c r="AM111" s="1404"/>
      <c r="AN111" s="1404"/>
      <c r="AO111" s="1404"/>
      <c r="AP111" s="1404"/>
      <c r="AQ111" s="1404"/>
      <c r="AR111" s="692"/>
      <c r="AS111" s="692"/>
      <c r="AT111" s="692"/>
      <c r="AU111" s="692"/>
      <c r="AV111" s="1404"/>
      <c r="AW111" s="1404"/>
      <c r="AX111" s="1404"/>
      <c r="AY111" s="1404"/>
      <c r="AZ111" s="1404"/>
      <c r="BA111" s="1404"/>
      <c r="BB111" s="692"/>
      <c r="BC111" s="692"/>
      <c r="BD111" s="692"/>
      <c r="BE111" s="694"/>
      <c r="BF111" s="1217"/>
      <c r="BG111" s="1217"/>
      <c r="BH111" s="906" t="s">
        <v>1339</v>
      </c>
    </row>
    <row r="112" spans="1:60" s="1422" customFormat="1" ht="21.75" customHeight="1" x14ac:dyDescent="0.15">
      <c r="A112" s="621"/>
      <c r="B112" s="41"/>
      <c r="C112" s="621"/>
      <c r="D112" s="621"/>
      <c r="E112" s="614">
        <v>22.5</v>
      </c>
      <c r="F112" s="3" t="str" cm="1">
        <f t="array" aca="1" ref="F112" ca="1">OFFSET(E112,-1,1)</f>
        <v>2</v>
      </c>
      <c r="G112" s="41"/>
      <c r="H112" s="41" t="s">
        <v>332</v>
      </c>
      <c r="I112" s="621"/>
      <c r="J112" s="621"/>
      <c r="K112" s="621"/>
      <c r="L112" s="621"/>
      <c r="M112" s="621"/>
      <c r="N112" s="621"/>
      <c r="O112" s="621"/>
      <c r="P112" s="621"/>
      <c r="Q112" s="621"/>
      <c r="R112" s="621"/>
      <c r="S112" s="621"/>
      <c r="T112" s="388" t="b" cm="1">
        <f t="array" ref="T112">T111</f>
        <v>1</v>
      </c>
      <c r="U112" s="621"/>
      <c r="V112" s="621"/>
      <c r="W112" s="621"/>
      <c r="X112" s="2032"/>
      <c r="Y112" s="621"/>
      <c r="Z112" s="2012"/>
      <c r="AA112" s="621"/>
      <c r="AB112" s="137" t="s">
        <v>289</v>
      </c>
      <c r="AC112" s="138" t="s">
        <v>1340</v>
      </c>
      <c r="AD112" s="130" t="s">
        <v>831</v>
      </c>
      <c r="AE112" s="132">
        <f t="shared" ref="AE112:BD112" si="21">AE113+AE114+AE115</f>
        <v>0</v>
      </c>
      <c r="AF112" s="132">
        <f t="shared" si="21"/>
        <v>0</v>
      </c>
      <c r="AG112" s="132">
        <f t="shared" si="21"/>
        <v>0</v>
      </c>
      <c r="AH112" s="132">
        <f t="shared" si="21"/>
        <v>0</v>
      </c>
      <c r="AI112" s="132">
        <f t="shared" si="21"/>
        <v>0</v>
      </c>
      <c r="AJ112" s="132">
        <f t="shared" si="21"/>
        <v>0</v>
      </c>
      <c r="AK112" s="132">
        <f t="shared" si="21"/>
        <v>0</v>
      </c>
      <c r="AL112" s="132">
        <f t="shared" si="21"/>
        <v>0</v>
      </c>
      <c r="AM112" s="132">
        <f t="shared" si="21"/>
        <v>0</v>
      </c>
      <c r="AN112" s="132">
        <f t="shared" si="21"/>
        <v>0</v>
      </c>
      <c r="AO112" s="132">
        <f t="shared" si="21"/>
        <v>0</v>
      </c>
      <c r="AP112" s="132">
        <f t="shared" si="21"/>
        <v>0</v>
      </c>
      <c r="AQ112" s="132">
        <f t="shared" si="21"/>
        <v>0</v>
      </c>
      <c r="AR112" s="132">
        <f t="shared" si="21"/>
        <v>0</v>
      </c>
      <c r="AS112" s="132">
        <f t="shared" si="21"/>
        <v>0</v>
      </c>
      <c r="AT112" s="132">
        <f t="shared" si="21"/>
        <v>0</v>
      </c>
      <c r="AU112" s="132">
        <f t="shared" si="21"/>
        <v>0</v>
      </c>
      <c r="AV112" s="132">
        <f t="shared" si="21"/>
        <v>0</v>
      </c>
      <c r="AW112" s="132">
        <f t="shared" si="21"/>
        <v>0</v>
      </c>
      <c r="AX112" s="132">
        <f t="shared" si="21"/>
        <v>0</v>
      </c>
      <c r="AY112" s="132">
        <f t="shared" si="21"/>
        <v>0</v>
      </c>
      <c r="AZ112" s="132">
        <f t="shared" si="21"/>
        <v>0</v>
      </c>
      <c r="BA112" s="132">
        <f t="shared" si="21"/>
        <v>0</v>
      </c>
      <c r="BB112" s="132">
        <f t="shared" si="21"/>
        <v>0</v>
      </c>
      <c r="BC112" s="132">
        <f t="shared" si="21"/>
        <v>0</v>
      </c>
      <c r="BD112" s="132">
        <f t="shared" si="21"/>
        <v>0</v>
      </c>
      <c r="BE112" s="694"/>
      <c r="BF112" s="621"/>
      <c r="BG112" s="621"/>
      <c r="BH112" s="960" t="s">
        <v>1341</v>
      </c>
    </row>
    <row r="113" spans="1:60" s="1334" customFormat="1" ht="14.25" customHeight="1" x14ac:dyDescent="0.15">
      <c r="A113" s="1217"/>
      <c r="B113" s="41"/>
      <c r="C113" s="1217"/>
      <c r="D113" s="1217"/>
      <c r="E113" s="542">
        <v>15</v>
      </c>
      <c r="F113" s="3" t="str" cm="1">
        <f t="array" aca="1" ref="F113" ca="1">OFFSET(E113,-1,1)</f>
        <v>2</v>
      </c>
      <c r="G113" s="1217"/>
      <c r="H113" s="41" t="s">
        <v>512</v>
      </c>
      <c r="I113" s="1217"/>
      <c r="J113" s="1217"/>
      <c r="K113" s="43" t="str">
        <f ca="1">F113&amp;"2komm"</f>
        <v>22komm</v>
      </c>
      <c r="L113" s="43" cm="1">
        <f t="array" ref="L113">BE113</f>
        <v>0</v>
      </c>
      <c r="M113" s="1217"/>
      <c r="N113" s="1217"/>
      <c r="O113" s="1217"/>
      <c r="P113" s="1217"/>
      <c r="Q113" s="1217"/>
      <c r="R113" s="1217"/>
      <c r="S113" s="1217"/>
      <c r="T113" s="388" t="b" cm="1">
        <f t="array" ref="T113">T112</f>
        <v>1</v>
      </c>
      <c r="U113" s="1217"/>
      <c r="V113" s="1217"/>
      <c r="W113" s="1217"/>
      <c r="X113" s="2032"/>
      <c r="Y113" s="1217"/>
      <c r="Z113" s="2012"/>
      <c r="AA113" s="1217"/>
      <c r="AB113" s="217" t="s">
        <v>566</v>
      </c>
      <c r="AC113" s="682" t="s">
        <v>1342</v>
      </c>
      <c r="AD113" s="218" t="s">
        <v>831</v>
      </c>
      <c r="AE113" s="692"/>
      <c r="AF113" s="692"/>
      <c r="AG113" s="692"/>
      <c r="AH113" s="692"/>
      <c r="AI113" s="692"/>
      <c r="AJ113" s="692"/>
      <c r="AK113" s="692"/>
      <c r="AL113" s="1404"/>
      <c r="AM113" s="1404"/>
      <c r="AN113" s="1404"/>
      <c r="AO113" s="1404"/>
      <c r="AP113" s="1404"/>
      <c r="AQ113" s="1404"/>
      <c r="AR113" s="692"/>
      <c r="AS113" s="692"/>
      <c r="AT113" s="692"/>
      <c r="AU113" s="692"/>
      <c r="AV113" s="1404"/>
      <c r="AW113" s="1404"/>
      <c r="AX113" s="1404"/>
      <c r="AY113" s="1404"/>
      <c r="AZ113" s="1404"/>
      <c r="BA113" s="1404"/>
      <c r="BB113" s="692"/>
      <c r="BC113" s="692"/>
      <c r="BD113" s="692"/>
      <c r="BE113" s="694"/>
      <c r="BF113" s="1217"/>
      <c r="BG113" s="1217"/>
      <c r="BH113" s="906" t="s">
        <v>1343</v>
      </c>
    </row>
    <row r="114" spans="1:60" s="1334" customFormat="1" ht="14.25" customHeight="1" x14ac:dyDescent="0.15">
      <c r="A114" s="1217"/>
      <c r="B114" s="41"/>
      <c r="C114" s="1217"/>
      <c r="D114" s="1217"/>
      <c r="E114" s="542">
        <v>15</v>
      </c>
      <c r="F114" s="3" t="str" cm="1">
        <f t="array" aca="1" ref="F114" ca="1">OFFSET(E114,-1,1)</f>
        <v>2</v>
      </c>
      <c r="G114" s="1217"/>
      <c r="H114" s="41" t="s">
        <v>515</v>
      </c>
      <c r="I114" s="1217"/>
      <c r="J114" s="1217"/>
      <c r="K114" s="43" t="str">
        <f ca="1">F114&amp;"3komm"</f>
        <v>23komm</v>
      </c>
      <c r="L114" s="43" cm="1">
        <f t="array" ref="L114">BE114</f>
        <v>0</v>
      </c>
      <c r="M114" s="1217"/>
      <c r="N114" s="1217"/>
      <c r="O114" s="1217"/>
      <c r="P114" s="1217"/>
      <c r="Q114" s="1217"/>
      <c r="R114" s="1217"/>
      <c r="S114" s="1217"/>
      <c r="T114" s="388" t="b" cm="1">
        <f t="array" ref="T114">T113</f>
        <v>1</v>
      </c>
      <c r="U114" s="1217"/>
      <c r="V114" s="1217"/>
      <c r="W114" s="1217"/>
      <c r="X114" s="2032"/>
      <c r="Y114" s="1217"/>
      <c r="Z114" s="2012"/>
      <c r="AA114" s="1217"/>
      <c r="AB114" s="217" t="s">
        <v>570</v>
      </c>
      <c r="AC114" s="682" t="s">
        <v>1344</v>
      </c>
      <c r="AD114" s="218" t="s">
        <v>831</v>
      </c>
      <c r="AE114" s="692"/>
      <c r="AF114" s="692"/>
      <c r="AG114" s="692"/>
      <c r="AH114" s="692"/>
      <c r="AI114" s="692"/>
      <c r="AJ114" s="692"/>
      <c r="AK114" s="692"/>
      <c r="AL114" s="1404"/>
      <c r="AM114" s="1404"/>
      <c r="AN114" s="1404"/>
      <c r="AO114" s="1404"/>
      <c r="AP114" s="1404"/>
      <c r="AQ114" s="1404"/>
      <c r="AR114" s="692"/>
      <c r="AS114" s="692"/>
      <c r="AT114" s="692"/>
      <c r="AU114" s="692"/>
      <c r="AV114" s="1404"/>
      <c r="AW114" s="1404"/>
      <c r="AX114" s="1404"/>
      <c r="AY114" s="1404"/>
      <c r="AZ114" s="1404"/>
      <c r="BA114" s="1404"/>
      <c r="BB114" s="692"/>
      <c r="BC114" s="692"/>
      <c r="BD114" s="692"/>
      <c r="BE114" s="694"/>
      <c r="BF114" s="1217"/>
      <c r="BG114" s="1217"/>
      <c r="BH114" s="906" t="s">
        <v>1345</v>
      </c>
    </row>
    <row r="115" spans="1:60" s="1334" customFormat="1" ht="14.25" customHeight="1" x14ac:dyDescent="0.15">
      <c r="A115" s="1217"/>
      <c r="B115" s="41"/>
      <c r="C115" s="1217"/>
      <c r="D115" s="1217"/>
      <c r="E115" s="542">
        <v>15</v>
      </c>
      <c r="F115" s="3" t="str" cm="1">
        <f t="array" aca="1" ref="F115" ca="1">OFFSET(E115,-1,1)</f>
        <v>2</v>
      </c>
      <c r="G115" s="1217"/>
      <c r="H115" s="41" t="s">
        <v>930</v>
      </c>
      <c r="I115" s="1217"/>
      <c r="J115" s="1217"/>
      <c r="K115" s="1217"/>
      <c r="L115" s="1217"/>
      <c r="M115" s="1217"/>
      <c r="N115" s="1217"/>
      <c r="O115" s="1217"/>
      <c r="P115" s="1217"/>
      <c r="Q115" s="1217"/>
      <c r="R115" s="1217"/>
      <c r="S115" s="1217"/>
      <c r="T115" s="388" t="b" cm="1">
        <f t="array" ref="T115">T114</f>
        <v>1</v>
      </c>
      <c r="U115" s="1217"/>
      <c r="V115" s="1217"/>
      <c r="W115" s="1217"/>
      <c r="X115" s="2032"/>
      <c r="Y115" s="1217"/>
      <c r="Z115" s="2012"/>
      <c r="AA115" s="1217"/>
      <c r="AB115" s="217" t="s">
        <v>574</v>
      </c>
      <c r="AC115" s="682" t="s">
        <v>1346</v>
      </c>
      <c r="AD115" s="218" t="s">
        <v>831</v>
      </c>
      <c r="AE115" s="692"/>
      <c r="AF115" s="692"/>
      <c r="AG115" s="692"/>
      <c r="AH115" s="692"/>
      <c r="AI115" s="692"/>
      <c r="AJ115" s="692"/>
      <c r="AK115" s="692"/>
      <c r="AL115" s="1404"/>
      <c r="AM115" s="1404"/>
      <c r="AN115" s="1404"/>
      <c r="AO115" s="1404"/>
      <c r="AP115" s="1404"/>
      <c r="AQ115" s="1404"/>
      <c r="AR115" s="692"/>
      <c r="AS115" s="692"/>
      <c r="AT115" s="692"/>
      <c r="AU115" s="692"/>
      <c r="AV115" s="1404"/>
      <c r="AW115" s="1404"/>
      <c r="AX115" s="1404"/>
      <c r="AY115" s="1404"/>
      <c r="AZ115" s="1404"/>
      <c r="BA115" s="1404"/>
      <c r="BB115" s="692"/>
      <c r="BC115" s="692"/>
      <c r="BD115" s="692"/>
      <c r="BE115" s="694"/>
      <c r="BF115" s="1217"/>
      <c r="BG115" s="1217"/>
      <c r="BH115" s="906" t="s">
        <v>1347</v>
      </c>
    </row>
    <row r="116" spans="1:60" s="1334" customFormat="1" ht="25.35" customHeight="1" x14ac:dyDescent="0.15">
      <c r="A116" s="422"/>
      <c r="B116" s="582"/>
      <c r="C116" s="422"/>
      <c r="D116" s="422"/>
      <c r="E116" s="583">
        <v>26</v>
      </c>
      <c r="F116" s="422"/>
      <c r="G116" s="422"/>
      <c r="H116" s="422"/>
      <c r="I116" s="422"/>
      <c r="J116" s="422"/>
      <c r="K116" s="422"/>
      <c r="L116" s="422"/>
      <c r="M116" s="422"/>
      <c r="N116" s="422"/>
      <c r="O116" s="422"/>
      <c r="P116" s="422"/>
      <c r="Q116" s="265"/>
      <c r="R116" s="422"/>
      <c r="S116" s="422"/>
      <c r="T116" s="422"/>
      <c r="U116" s="405" t="s">
        <v>176</v>
      </c>
      <c r="V116" s="59" t="s">
        <v>1349</v>
      </c>
      <c r="W116" s="422"/>
      <c r="X116" s="422"/>
      <c r="Y116" s="422"/>
      <c r="Z116" s="422"/>
      <c r="AA116" s="41"/>
      <c r="AB116" s="41"/>
      <c r="AC116" s="17" t="s">
        <v>1350</v>
      </c>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H116" s="913"/>
    </row>
    <row r="117" spans="1:60" ht="14.65" customHeight="1" x14ac:dyDescent="0.15">
      <c r="E117" s="542">
        <v>15</v>
      </c>
      <c r="AB117" s="2035" t="s">
        <v>402</v>
      </c>
      <c r="AC117" s="2103"/>
      <c r="AD117" s="2103"/>
      <c r="AE117" s="2103"/>
      <c r="AF117" s="2103"/>
      <c r="AG117" s="2103"/>
      <c r="AH117" s="2103"/>
      <c r="AI117" s="2103"/>
      <c r="AJ117" s="2103"/>
      <c r="AK117" s="2103"/>
      <c r="AL117" s="2103"/>
      <c r="AM117" s="2103"/>
      <c r="AN117" s="2103"/>
      <c r="AO117" s="2103"/>
      <c r="AP117" s="2103"/>
      <c r="AQ117" s="2103"/>
      <c r="AR117" s="2103"/>
      <c r="AS117" s="2103"/>
      <c r="AT117" s="2103"/>
      <c r="AU117" s="2103"/>
      <c r="AV117" s="2103"/>
      <c r="AW117" s="2103"/>
      <c r="AX117" s="2103"/>
      <c r="AY117" s="2103"/>
      <c r="AZ117" s="2103"/>
      <c r="BA117" s="2103"/>
      <c r="BB117" s="2103"/>
      <c r="BC117" s="2103"/>
      <c r="BD117" s="2103"/>
      <c r="BE117" s="2103"/>
    </row>
    <row r="118" spans="1:60" ht="14.65" customHeight="1" x14ac:dyDescent="0.15">
      <c r="E118" s="542">
        <v>15</v>
      </c>
      <c r="AA118" s="92"/>
      <c r="AB118" s="2104"/>
      <c r="AC118" s="2104"/>
      <c r="AD118" s="2104"/>
      <c r="AE118" s="2104"/>
      <c r="AF118" s="2104"/>
      <c r="AG118" s="2104"/>
      <c r="AH118" s="2104"/>
      <c r="AI118" s="2104"/>
      <c r="AJ118" s="2104"/>
      <c r="AK118" s="2104"/>
      <c r="AL118" s="2105"/>
      <c r="AM118" s="2105"/>
      <c r="AN118" s="2105"/>
      <c r="AO118" s="2105"/>
      <c r="AP118" s="2105"/>
      <c r="AQ118" s="2105"/>
      <c r="AR118" s="2105"/>
      <c r="AS118" s="2105"/>
      <c r="AT118" s="2105"/>
      <c r="AU118" s="2104"/>
      <c r="AV118" s="2105"/>
      <c r="AW118" s="2105"/>
      <c r="AX118" s="2105"/>
      <c r="AY118" s="2105"/>
      <c r="AZ118" s="2105"/>
      <c r="BA118" s="2105"/>
      <c r="BB118" s="2105"/>
      <c r="BC118" s="2105"/>
      <c r="BD118" s="2105"/>
      <c r="BE118" s="2104"/>
    </row>
    <row r="119" spans="1:60" ht="14.65" hidden="1" customHeight="1" x14ac:dyDescent="0.15">
      <c r="E119" s="542">
        <v>15</v>
      </c>
      <c r="T119" s="388" t="b">
        <f>ROW(W119)&gt;ROW(W$119)</f>
        <v>0</v>
      </c>
      <c r="W119" s="677" t="s">
        <v>172</v>
      </c>
      <c r="AA119" s="342" t="s">
        <v>173</v>
      </c>
      <c r="AB119" s="2105" t="s">
        <v>147</v>
      </c>
      <c r="AC119" s="2105"/>
      <c r="AD119" s="2105"/>
      <c r="AE119" s="2105"/>
      <c r="AF119" s="2105"/>
      <c r="AG119" s="2105"/>
      <c r="AH119" s="2105"/>
      <c r="AI119" s="2105"/>
      <c r="AJ119" s="2105"/>
      <c r="AK119" s="2104"/>
      <c r="AL119" s="2105"/>
      <c r="AM119" s="2105"/>
      <c r="AN119" s="2105"/>
      <c r="AO119" s="2105"/>
      <c r="AP119" s="2105"/>
      <c r="AQ119" s="2105"/>
      <c r="AR119" s="2105"/>
      <c r="AS119" s="2105"/>
      <c r="AT119" s="2105"/>
      <c r="AU119" s="2104"/>
      <c r="AV119" s="2105"/>
      <c r="AW119" s="2105"/>
      <c r="AX119" s="2105"/>
      <c r="AY119" s="2105"/>
      <c r="AZ119" s="2105"/>
      <c r="BA119" s="2105"/>
      <c r="BB119" s="2105"/>
      <c r="BC119" s="2105"/>
      <c r="BD119" s="2105"/>
      <c r="BE119" s="2105"/>
    </row>
    <row r="120" spans="1:60" ht="14.65" customHeight="1" x14ac:dyDescent="0.15">
      <c r="E120" s="542">
        <v>15</v>
      </c>
      <c r="W120" s="677" t="s">
        <v>403</v>
      </c>
      <c r="AB120" s="571"/>
      <c r="AC120" s="437" t="s">
        <v>404</v>
      </c>
      <c r="AD120" s="227"/>
      <c r="AE120" s="227"/>
      <c r="AF120" s="227"/>
      <c r="AG120" s="227"/>
      <c r="AH120" s="227"/>
      <c r="AI120" s="227"/>
      <c r="AJ120" s="227"/>
      <c r="AK120" s="227"/>
      <c r="AL120" s="227"/>
      <c r="AM120" s="227"/>
      <c r="AN120" s="227"/>
      <c r="AO120" s="227"/>
      <c r="AP120" s="227"/>
      <c r="AQ120" s="227"/>
      <c r="AR120" s="227"/>
      <c r="AS120" s="227"/>
      <c r="AT120" s="227"/>
      <c r="AU120" s="227"/>
      <c r="AV120" s="227"/>
      <c r="AW120" s="227"/>
      <c r="AX120" s="227"/>
      <c r="AY120" s="227"/>
      <c r="AZ120" s="227"/>
      <c r="BA120" s="227"/>
      <c r="BB120" s="227"/>
      <c r="BC120" s="227"/>
      <c r="BD120" s="227"/>
      <c r="BE120" s="193"/>
    </row>
    <row r="121" spans="1:60" ht="10.7" customHeight="1" x14ac:dyDescent="0.15">
      <c r="E121" s="542">
        <v>11</v>
      </c>
      <c r="BF121" s="348"/>
    </row>
  </sheetData>
  <sheetProtection formatColumns="0" formatRows="0" insertRows="0" deleteColumns="0" deleteRows="0" sort="0" autoFilter="0"/>
  <mergeCells count="14">
    <mergeCell ref="AB118:BE118"/>
    <mergeCell ref="AB26:AB27"/>
    <mergeCell ref="AC26:AC27"/>
    <mergeCell ref="AD26:AD27"/>
    <mergeCell ref="AB119:BE119"/>
    <mergeCell ref="X29:X57"/>
    <mergeCell ref="Z29:Z57"/>
    <mergeCell ref="AB24:AC24"/>
    <mergeCell ref="BE26:BE27"/>
    <mergeCell ref="AB117:BE117"/>
    <mergeCell ref="X58:X86"/>
    <mergeCell ref="Z58:Z86"/>
    <mergeCell ref="X87:X115"/>
    <mergeCell ref="Z87:Z115"/>
  </mergeCells>
  <dataValidations count="1">
    <dataValidation type="list" allowBlank="1" showInputMessage="1" showErrorMessage="1" errorTitle="Внимание" error="Пожалуйста, выберите значение из списка!" sqref="AD24" xr:uid="{00000000-0002-0000-1600-000000000000}">
      <formula1>YES_NO</formula1>
    </dataValidation>
  </dataValidations>
  <pageMargins left="0.35" right="0.35" top="0.4" bottom="0.4" header="0.31" footer="0.31"/>
  <pageSetup paperSize="9" scale="46" fitToHeight="0"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9C078-9608-DF78-5CA8-CF22C32F75A8}">
  <sheetPr>
    <tabColor rgb="FF002060"/>
    <outlinePr summaryBelow="0" summaryRight="0"/>
  </sheetPr>
  <dimension ref="A1:BB56"/>
  <sheetViews>
    <sheetView showGridLines="0" workbookViewId="0">
      <pane xSplit="30" ySplit="25" topLeftCell="AE35"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217" hidden="1" customWidth="1"/>
    <col min="2" max="2" width="8.5703125" style="1111" hidden="1" customWidth="1"/>
    <col min="3" max="4" width="3.5703125" style="1217" hidden="1" customWidth="1"/>
    <col min="5" max="5" width="3.5703125" style="1080" hidden="1" customWidth="1"/>
    <col min="6" max="19" width="3.5703125" style="1217" hidden="1" customWidth="1"/>
    <col min="20" max="20" width="8.42578125" style="1217" hidden="1" customWidth="1"/>
    <col min="21" max="21" width="5.85546875" style="1217" hidden="1" customWidth="1"/>
    <col min="22" max="23" width="6.140625" style="1217" hidden="1" customWidth="1"/>
    <col min="24" max="25" width="5.5703125" style="1217" hidden="1" customWidth="1"/>
    <col min="26" max="26" width="5.28515625" style="1217" hidden="1" customWidth="1"/>
    <col min="27" max="27" width="3" style="1217" customWidth="1"/>
    <col min="28" max="28" width="11" style="1217" customWidth="1"/>
    <col min="29" max="29" width="50" style="1217" customWidth="1"/>
    <col min="30" max="30" width="10" style="1217" customWidth="1"/>
    <col min="31" max="31" width="12.5703125" style="1217" customWidth="1"/>
    <col min="32" max="40" width="12.5703125" style="1217" hidden="1" customWidth="1"/>
    <col min="41" max="41" width="12.5703125" style="1217" customWidth="1"/>
    <col min="42" max="50" width="12.5703125" style="1217" hidden="1" customWidth="1"/>
    <col min="51" max="51" width="20" style="1217" customWidth="1"/>
    <col min="52" max="52" width="3" style="1217" customWidth="1"/>
    <col min="53" max="53" width="9.140625" style="1217" hidden="1"/>
    <col min="54" max="54" width="9.140625" style="1133" hidden="1"/>
  </cols>
  <sheetData>
    <row r="1" spans="1:54" ht="11.25" hidden="1" customHeight="1" x14ac:dyDescent="0.15">
      <c r="E1" s="41"/>
      <c r="F1" s="41" t="s">
        <v>319</v>
      </c>
      <c r="G1" s="41" t="s">
        <v>330</v>
      </c>
      <c r="T1" s="388" t="s">
        <v>92</v>
      </c>
      <c r="U1" s="388" t="s">
        <v>97</v>
      </c>
      <c r="V1" s="388" t="s">
        <v>93</v>
      </c>
      <c r="W1" s="388" t="s">
        <v>94</v>
      </c>
      <c r="X1" s="388" t="s">
        <v>95</v>
      </c>
      <c r="Y1" s="390" t="s">
        <v>321</v>
      </c>
      <c r="Z1" s="388" t="s">
        <v>99</v>
      </c>
      <c r="AA1" s="389" t="s">
        <v>96</v>
      </c>
      <c r="AB1" s="4"/>
      <c r="AC1" s="389" t="s">
        <v>98</v>
      </c>
      <c r="BB1" s="906" t="s">
        <v>322</v>
      </c>
    </row>
    <row r="2" spans="1:54" s="1111" customFormat="1" ht="11.25" hidden="1" customHeight="1" x14ac:dyDescent="0.15">
      <c r="B2" s="368" t="s">
        <v>18</v>
      </c>
      <c r="AE2" s="368" t="b">
        <f t="shared" ref="AE2:AX2" si="0">AE6&lt;=last_year_vis</f>
        <v>1</v>
      </c>
      <c r="AF2" s="368" t="b">
        <f t="shared" si="0"/>
        <v>0</v>
      </c>
      <c r="AG2" s="368" t="b">
        <f t="shared" si="0"/>
        <v>0</v>
      </c>
      <c r="AH2" s="368" t="b">
        <f t="shared" si="0"/>
        <v>0</v>
      </c>
      <c r="AI2" s="368" t="b">
        <f t="shared" si="0"/>
        <v>0</v>
      </c>
      <c r="AJ2" s="368" t="b">
        <f t="shared" si="0"/>
        <v>0</v>
      </c>
      <c r="AK2" s="368" t="b">
        <f t="shared" si="0"/>
        <v>0</v>
      </c>
      <c r="AL2" s="368" t="b">
        <f t="shared" si="0"/>
        <v>0</v>
      </c>
      <c r="AM2" s="368" t="b">
        <f t="shared" si="0"/>
        <v>0</v>
      </c>
      <c r="AN2" s="368" t="b">
        <f t="shared" si="0"/>
        <v>0</v>
      </c>
      <c r="AO2" s="368" t="b">
        <f t="shared" si="0"/>
        <v>1</v>
      </c>
      <c r="AP2" s="368" t="b">
        <f t="shared" si="0"/>
        <v>0</v>
      </c>
      <c r="AQ2" s="368" t="b">
        <f t="shared" si="0"/>
        <v>0</v>
      </c>
      <c r="AR2" s="368" t="b">
        <f t="shared" si="0"/>
        <v>0</v>
      </c>
      <c r="AS2" s="368" t="b">
        <f t="shared" si="0"/>
        <v>0</v>
      </c>
      <c r="AT2" s="368" t="b">
        <f t="shared" si="0"/>
        <v>0</v>
      </c>
      <c r="AU2" s="368" t="b">
        <f t="shared" si="0"/>
        <v>0</v>
      </c>
      <c r="AV2" s="368" t="b">
        <f t="shared" si="0"/>
        <v>0</v>
      </c>
      <c r="AW2" s="368" t="b">
        <f t="shared" si="0"/>
        <v>0</v>
      </c>
      <c r="AX2" s="368" t="b">
        <f t="shared" si="0"/>
        <v>0</v>
      </c>
      <c r="BB2" s="918"/>
    </row>
    <row r="3" spans="1:54" ht="11.25" hidden="1" customHeight="1" x14ac:dyDescent="0.15">
      <c r="E3" s="41"/>
    </row>
    <row r="4" spans="1:54" ht="11.25" hidden="1" customHeight="1" x14ac:dyDescent="0.15">
      <c r="E4" s="41"/>
    </row>
    <row r="5" spans="1:54" s="1080" customFormat="1" ht="11.25" hidden="1" customHeight="1" x14ac:dyDescent="0.15">
      <c r="A5" s="41"/>
      <c r="B5" s="350"/>
      <c r="C5" s="41"/>
      <c r="D5" s="41"/>
      <c r="E5" s="542" t="s">
        <v>19</v>
      </c>
      <c r="AA5" s="542">
        <v>3</v>
      </c>
      <c r="AB5" s="542">
        <v>11</v>
      </c>
      <c r="AC5" s="542">
        <v>50</v>
      </c>
      <c r="AD5" s="542">
        <v>10</v>
      </c>
      <c r="AE5" s="542">
        <v>12.57</v>
      </c>
      <c r="AF5" s="542">
        <v>12.57</v>
      </c>
      <c r="AG5" s="542">
        <v>12.57</v>
      </c>
      <c r="AH5" s="542">
        <v>12.57</v>
      </c>
      <c r="AI5" s="542">
        <v>12.57</v>
      </c>
      <c r="AJ5" s="542">
        <v>12.57</v>
      </c>
      <c r="AK5" s="542">
        <v>12.57</v>
      </c>
      <c r="AL5" s="542">
        <v>12.57</v>
      </c>
      <c r="AM5" s="542">
        <v>12.57</v>
      </c>
      <c r="AN5" s="542">
        <v>12.57</v>
      </c>
      <c r="AO5" s="542">
        <v>12.57</v>
      </c>
      <c r="AP5" s="542">
        <v>12.57</v>
      </c>
      <c r="AQ5" s="542">
        <v>12.57</v>
      </c>
      <c r="AR5" s="542">
        <v>12.57</v>
      </c>
      <c r="AS5" s="542">
        <v>12.57</v>
      </c>
      <c r="AT5" s="542">
        <v>12.57</v>
      </c>
      <c r="AU5" s="542">
        <v>12.57</v>
      </c>
      <c r="AV5" s="542">
        <v>12.57</v>
      </c>
      <c r="AW5" s="542">
        <v>12.57</v>
      </c>
      <c r="AX5" s="542">
        <v>12.57</v>
      </c>
      <c r="AY5" s="542">
        <v>20</v>
      </c>
      <c r="AZ5" s="542">
        <v>3</v>
      </c>
      <c r="BB5" s="906"/>
    </row>
    <row r="6" spans="1:54" ht="11.25" hidden="1" customHeight="1" x14ac:dyDescent="0.15">
      <c r="A6" s="41" t="s">
        <v>357</v>
      </c>
      <c r="AE6" s="17" cm="1">
        <f t="array" ref="AE6">god</f>
        <v>2026</v>
      </c>
      <c r="AF6" s="17">
        <f>god+1</f>
        <v>2027</v>
      </c>
      <c r="AG6" s="17">
        <f>god+2</f>
        <v>2028</v>
      </c>
      <c r="AH6" s="17">
        <f>god+3</f>
        <v>2029</v>
      </c>
      <c r="AI6" s="17">
        <f>god+4</f>
        <v>2030</v>
      </c>
      <c r="AJ6" s="17">
        <f>god+5</f>
        <v>2031</v>
      </c>
      <c r="AK6" s="17">
        <f>god+6</f>
        <v>2032</v>
      </c>
      <c r="AL6" s="17">
        <f>god+7</f>
        <v>2033</v>
      </c>
      <c r="AM6" s="17">
        <f>god+8</f>
        <v>2034</v>
      </c>
      <c r="AN6" s="17">
        <f>god+9</f>
        <v>2035</v>
      </c>
      <c r="AO6" s="17" cm="1">
        <f t="array" ref="AO6">god</f>
        <v>2026</v>
      </c>
      <c r="AP6" s="17">
        <f>god+1</f>
        <v>2027</v>
      </c>
      <c r="AQ6" s="17">
        <f>god+2</f>
        <v>2028</v>
      </c>
      <c r="AR6" s="17">
        <f>god+3</f>
        <v>2029</v>
      </c>
      <c r="AS6" s="17">
        <f>god+4</f>
        <v>2030</v>
      </c>
      <c r="AT6" s="17">
        <f>god+5</f>
        <v>2031</v>
      </c>
      <c r="AU6" s="17">
        <f>god+6</f>
        <v>2032</v>
      </c>
      <c r="AV6" s="17">
        <f>god+7</f>
        <v>2033</v>
      </c>
      <c r="AW6" s="17">
        <f>god+8</f>
        <v>2034</v>
      </c>
      <c r="AX6" s="17">
        <f>god+9</f>
        <v>2035</v>
      </c>
    </row>
    <row r="7" spans="1:54" ht="11.25" hidden="1" customHeight="1" x14ac:dyDescent="0.15">
      <c r="A7" s="41" t="s">
        <v>358</v>
      </c>
      <c r="AE7" s="17" t="str" cm="1">
        <f t="array" ref="AE7">AE25</f>
        <v>Предложения организации</v>
      </c>
      <c r="AF7" s="17" t="str" cm="1">
        <f t="array" ref="AF7">AF25</f>
        <v>Предложения организации</v>
      </c>
      <c r="AG7" s="17" t="str" cm="1">
        <f t="array" ref="AG7">AG25</f>
        <v>Предложения организации</v>
      </c>
      <c r="AH7" s="17" t="str" cm="1">
        <f t="array" ref="AH7">AH25</f>
        <v>Предложения организации</v>
      </c>
      <c r="AI7" s="17" t="str" cm="1">
        <f t="array" ref="AI7">AI25</f>
        <v>Предложения организации</v>
      </c>
      <c r="AJ7" s="17" t="str" cm="1">
        <f t="array" ref="AJ7">AJ25</f>
        <v>Предложения организации</v>
      </c>
      <c r="AK7" s="17" t="str" cm="1">
        <f t="array" ref="AK7">AK25</f>
        <v>Предложения организации</v>
      </c>
      <c r="AL7" s="17" t="str" cm="1">
        <f t="array" ref="AL7">AL25</f>
        <v>Предложения организации</v>
      </c>
      <c r="AM7" s="17" t="str" cm="1">
        <f t="array" ref="AM7">AM25</f>
        <v>Предложения организации</v>
      </c>
      <c r="AN7" s="17" t="str" cm="1">
        <f t="array" ref="AN7">AN25</f>
        <v>Предложения организации</v>
      </c>
      <c r="AO7" s="17" t="str" cm="1">
        <f t="array" ref="AO7">AO25</f>
        <v>Принято органом регулирования</v>
      </c>
      <c r="AP7" s="17" t="str" cm="1">
        <f t="array" ref="AP7">AP25</f>
        <v>Принято органом регулирования</v>
      </c>
      <c r="AQ7" s="17" t="str" cm="1">
        <f t="array" ref="AQ7">AQ25</f>
        <v>Принято органом регулирования</v>
      </c>
      <c r="AR7" s="17" t="str" cm="1">
        <f t="array" ref="AR7">AR25</f>
        <v>Принято органом регулирования</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row>
    <row r="8" spans="1:54" ht="11.25" hidden="1" customHeight="1" x14ac:dyDescent="0.15"/>
    <row r="9" spans="1:54" s="1133" customFormat="1" ht="11.25" hidden="1" customHeight="1" x14ac:dyDescent="0.15">
      <c r="A9" s="906" t="s">
        <v>362</v>
      </c>
      <c r="B9" s="918"/>
      <c r="AE9" s="906" cm="1">
        <f t="array" ref="AE9">AE6</f>
        <v>2026</v>
      </c>
      <c r="AF9" s="906" cm="1">
        <f t="array" ref="AF9">AF6</f>
        <v>2027</v>
      </c>
      <c r="AG9" s="906" cm="1">
        <f t="array" ref="AG9">AG6</f>
        <v>2028</v>
      </c>
      <c r="AH9" s="906" cm="1">
        <f t="array" ref="AH9">AH6</f>
        <v>2029</v>
      </c>
      <c r="AI9" s="906" cm="1">
        <f t="array" ref="AI9">AI6</f>
        <v>2030</v>
      </c>
      <c r="AJ9" s="906" cm="1">
        <f t="array" ref="AJ9">AJ6</f>
        <v>2031</v>
      </c>
      <c r="AK9" s="906" cm="1">
        <f t="array" ref="AK9">AK6</f>
        <v>2032</v>
      </c>
      <c r="AL9" s="906" cm="1">
        <f t="array" ref="AL9">AL6</f>
        <v>2033</v>
      </c>
      <c r="AM9" s="906" cm="1">
        <f t="array" ref="AM9">AM6</f>
        <v>2034</v>
      </c>
      <c r="AN9" s="906" cm="1">
        <f t="array" ref="AN9">AN6</f>
        <v>2035</v>
      </c>
      <c r="AO9" s="906" cm="1">
        <f t="array" ref="AO9">AO6</f>
        <v>2026</v>
      </c>
      <c r="AP9" s="906" cm="1">
        <f t="array" ref="AP9">AP6</f>
        <v>2027</v>
      </c>
      <c r="AQ9" s="906" cm="1">
        <f t="array" ref="AQ9">AQ6</f>
        <v>2028</v>
      </c>
      <c r="AR9" s="906" cm="1">
        <f t="array" ref="AR9">AR6</f>
        <v>2029</v>
      </c>
      <c r="AS9" s="906" cm="1">
        <f t="array" ref="AS9">AS6</f>
        <v>2030</v>
      </c>
      <c r="AT9" s="906" cm="1">
        <f t="array" ref="AT9">AT6</f>
        <v>2031</v>
      </c>
      <c r="AU9" s="906" cm="1">
        <f t="array" ref="AU9">AU6</f>
        <v>2032</v>
      </c>
      <c r="AV9" s="906" cm="1">
        <f t="array" ref="AV9">AV6</f>
        <v>2033</v>
      </c>
      <c r="AW9" s="906" cm="1">
        <f t="array" ref="AW9">AW6</f>
        <v>2034</v>
      </c>
      <c r="AX9" s="906" cm="1">
        <f t="array" ref="AX9">AX6</f>
        <v>2035</v>
      </c>
    </row>
    <row r="10" spans="1:54" s="1133" customFormat="1" ht="11.25" hidden="1" customHeight="1" x14ac:dyDescent="0.15">
      <c r="A10" s="906" t="s">
        <v>363</v>
      </c>
      <c r="B10" s="918"/>
      <c r="AE10" s="906" t="str" cm="1">
        <f t="array" ref="AE10">AE25</f>
        <v>Предложения организации</v>
      </c>
      <c r="AF10" s="906" t="str" cm="1">
        <f t="array" ref="AF10">AF25</f>
        <v>Предложения организации</v>
      </c>
      <c r="AG10" s="906" t="str" cm="1">
        <f t="array" ref="AG10">AG25</f>
        <v>Предложения организации</v>
      </c>
      <c r="AH10" s="906" t="str" cm="1">
        <f t="array" ref="AH10">AH25</f>
        <v>Предложения организации</v>
      </c>
      <c r="AI10" s="906" t="str" cm="1">
        <f t="array" ref="AI10">AI25</f>
        <v>Предложения организации</v>
      </c>
      <c r="AJ10" s="906" t="str" cm="1">
        <f t="array" ref="AJ10">AJ25</f>
        <v>Предложения организации</v>
      </c>
      <c r="AK10" s="906" t="str" cm="1">
        <f t="array" ref="AK10">AK25</f>
        <v>Предложения организации</v>
      </c>
      <c r="AL10" s="906" t="str" cm="1">
        <f t="array" ref="AL10">AL25</f>
        <v>Предложения организации</v>
      </c>
      <c r="AM10" s="906" t="str" cm="1">
        <f t="array" ref="AM10">AM25</f>
        <v>Предложения организации</v>
      </c>
      <c r="AN10" s="906" t="str" cm="1">
        <f t="array" ref="AN10">AN25</f>
        <v>Предложения организации</v>
      </c>
      <c r="AO10" s="906" t="str" cm="1">
        <f t="array" ref="AO10">AO25</f>
        <v>Принято органом регулирования</v>
      </c>
      <c r="AP10" s="906" t="str" cm="1">
        <f t="array" ref="AP10">AP25</f>
        <v>Принято органом регулирования</v>
      </c>
      <c r="AQ10" s="906" t="str" cm="1">
        <f t="array" ref="AQ10">AQ25</f>
        <v>Принято органом регулирования</v>
      </c>
      <c r="AR10" s="906" t="str" cm="1">
        <f t="array" ref="AR10">AR25</f>
        <v>Принято органом регулирования</v>
      </c>
      <c r="AS10" s="906" t="str" cm="1">
        <f t="array" ref="AS10">AS25</f>
        <v>Принято органом регулирования</v>
      </c>
      <c r="AT10" s="906" t="str" cm="1">
        <f t="array" ref="AT10">AT25</f>
        <v>Принято органом регулирования</v>
      </c>
      <c r="AU10" s="906" t="str" cm="1">
        <f t="array" ref="AU10">AU25</f>
        <v>Принято органом регулирования</v>
      </c>
      <c r="AV10" s="906" t="str" cm="1">
        <f t="array" ref="AV10">AV25</f>
        <v>Принято органом регулирования</v>
      </c>
      <c r="AW10" s="906" t="str" cm="1">
        <f t="array" ref="AW10">AW25</f>
        <v>Принято органом регулирования</v>
      </c>
      <c r="AX10" s="906" t="str" cm="1">
        <f t="array" ref="AX10">AX25</f>
        <v>Принято органом регулирования</v>
      </c>
    </row>
    <row r="11" spans="1:54" s="1133" customFormat="1" ht="11.25" hidden="1" customHeight="1" x14ac:dyDescent="0.15">
      <c r="A11" s="906" t="s">
        <v>364</v>
      </c>
      <c r="B11" s="918"/>
      <c r="AY11" s="906" t="str" cm="1">
        <f t="array" ref="AY11">AY24</f>
        <v>Ссылка на правовую норму (основание для принятия показателя в расчет тарифа)</v>
      </c>
    </row>
    <row r="12" spans="1:54" ht="11.25" hidden="1" customHeight="1" x14ac:dyDescent="0.15"/>
    <row r="13" spans="1:54" ht="11.25" hidden="1" customHeight="1" x14ac:dyDescent="0.15">
      <c r="AE13" s="17"/>
      <c r="AF13" s="17"/>
      <c r="AG13" s="17"/>
      <c r="AH13" s="17"/>
      <c r="AI13" s="17"/>
      <c r="AJ13" s="17"/>
      <c r="AK13" s="17"/>
      <c r="AL13" s="17"/>
      <c r="AM13" s="17"/>
      <c r="AN13" s="17"/>
      <c r="AO13" s="17"/>
      <c r="AP13" s="17"/>
      <c r="AQ13" s="17"/>
      <c r="AR13" s="17"/>
      <c r="AS13" s="17"/>
      <c r="AT13" s="17"/>
      <c r="AU13" s="17"/>
      <c r="AV13" s="17"/>
      <c r="AW13" s="17"/>
      <c r="AX13" s="17"/>
    </row>
    <row r="14" spans="1:54" ht="11.25" hidden="1" customHeight="1" x14ac:dyDescent="0.15">
      <c r="AE14" s="17"/>
      <c r="AF14" s="17"/>
      <c r="AG14" s="17"/>
      <c r="AH14" s="17"/>
      <c r="AI14" s="17"/>
      <c r="AJ14" s="17"/>
      <c r="AK14" s="17"/>
      <c r="AL14" s="17"/>
      <c r="AM14" s="17"/>
      <c r="AN14" s="17"/>
      <c r="AO14" s="17"/>
      <c r="AP14" s="17"/>
      <c r="AQ14" s="17"/>
      <c r="AR14" s="17"/>
      <c r="AS14" s="17"/>
      <c r="AT14" s="17"/>
      <c r="AU14" s="17"/>
      <c r="AV14" s="17"/>
      <c r="AW14" s="17"/>
      <c r="AX14" s="17"/>
    </row>
    <row r="15" spans="1:54" ht="11.25" hidden="1" customHeight="1" x14ac:dyDescent="0.15">
      <c r="AE15" s="17"/>
      <c r="AF15" s="17"/>
      <c r="AG15" s="17"/>
      <c r="AH15" s="17"/>
      <c r="AI15" s="17"/>
      <c r="AJ15" s="17"/>
      <c r="AK15" s="17"/>
      <c r="AL15" s="17"/>
      <c r="AM15" s="17"/>
      <c r="AN15" s="17"/>
      <c r="AO15" s="17"/>
      <c r="AP15" s="17"/>
      <c r="AQ15" s="17"/>
      <c r="AR15" s="17"/>
      <c r="AS15" s="17"/>
      <c r="AT15" s="17"/>
      <c r="AU15" s="17"/>
      <c r="AV15" s="17"/>
      <c r="AW15" s="17"/>
      <c r="AX15" s="17"/>
    </row>
    <row r="16" spans="1:54" ht="11.25" hidden="1" customHeight="1" x14ac:dyDescent="0.15">
      <c r="AE16" s="17"/>
      <c r="AF16" s="17"/>
      <c r="AG16" s="17"/>
      <c r="AH16" s="17"/>
      <c r="AI16" s="17"/>
      <c r="AJ16" s="17"/>
      <c r="AK16" s="17"/>
      <c r="AL16" s="17"/>
      <c r="AM16" s="17"/>
      <c r="AN16" s="17"/>
      <c r="AO16" s="17"/>
      <c r="AP16" s="17"/>
      <c r="AQ16" s="17"/>
      <c r="AR16" s="17"/>
      <c r="AS16" s="17"/>
      <c r="AT16" s="17"/>
      <c r="AU16" s="17"/>
      <c r="AV16" s="17"/>
      <c r="AW16" s="17"/>
      <c r="AX16" s="17"/>
    </row>
    <row r="17" spans="1:54" ht="11.25" hidden="1" customHeight="1" x14ac:dyDescent="0.15"/>
    <row r="18" spans="1:54" ht="11.25" hidden="1" customHeight="1" x14ac:dyDescent="0.15"/>
    <row r="19" spans="1:54" ht="11.25" hidden="1" customHeight="1" x14ac:dyDescent="0.15"/>
    <row r="20" spans="1:54" ht="11.25" hidden="1" customHeight="1" x14ac:dyDescent="0.15"/>
    <row r="21" spans="1:54" ht="14.65" customHeight="1" x14ac:dyDescent="0.15">
      <c r="E21" s="542">
        <v>15</v>
      </c>
      <c r="AA21" s="347"/>
      <c r="AB21" s="75"/>
      <c r="AC21" s="3" t="str" cm="1">
        <f t="array" ref="AC21">tpl_title</f>
        <v>Кемеровская область / 2026 / ООО "Чистая вода" (ИНН:4246023100, КПП:424601001) / ДПР: 2024-2032</v>
      </c>
      <c r="AD21" s="75"/>
      <c r="AE21" s="75"/>
      <c r="AF21" s="75"/>
      <c r="AG21" s="75"/>
      <c r="AH21" s="75"/>
      <c r="AI21" s="75"/>
      <c r="AJ21" s="75"/>
      <c r="AK21" s="75"/>
      <c r="AL21" s="75"/>
      <c r="AM21" s="75"/>
      <c r="AN21" s="75"/>
      <c r="AO21" s="75"/>
      <c r="AP21" s="75"/>
      <c r="AQ21" s="75"/>
      <c r="AR21" s="75"/>
      <c r="AS21" s="75"/>
      <c r="AT21" s="75"/>
      <c r="AU21" s="75"/>
      <c r="AV21" s="75"/>
      <c r="AW21" s="75"/>
      <c r="AX21" s="75"/>
    </row>
    <row r="22" spans="1:54" ht="19.5" customHeight="1" x14ac:dyDescent="0.15">
      <c r="E22" s="542">
        <v>20</v>
      </c>
      <c r="AB22" s="236" t="s">
        <v>71</v>
      </c>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row>
    <row r="23" spans="1:54" ht="10.9" customHeight="1" x14ac:dyDescent="0.15">
      <c r="E23" s="542">
        <v>11.25</v>
      </c>
      <c r="AB23" s="75"/>
      <c r="AC23" s="75"/>
      <c r="AD23" s="75"/>
      <c r="AE23" s="75"/>
      <c r="AF23" s="75"/>
      <c r="AG23" s="75"/>
      <c r="AH23" s="75"/>
      <c r="AI23" s="75"/>
      <c r="AJ23" s="75"/>
      <c r="AK23" s="75"/>
      <c r="AL23" s="75"/>
      <c r="AM23" s="75"/>
      <c r="AN23" s="75"/>
      <c r="AO23" s="75"/>
      <c r="AP23" s="75"/>
      <c r="AQ23" s="75"/>
      <c r="AR23" s="75"/>
      <c r="AS23" s="75"/>
      <c r="AT23" s="75"/>
      <c r="AU23" s="75"/>
      <c r="AV23" s="75"/>
      <c r="AW23" s="75"/>
      <c r="AX23" s="75"/>
    </row>
    <row r="24" spans="1:54" ht="21" customHeight="1" x14ac:dyDescent="0.15">
      <c r="E24" s="542">
        <v>21.5</v>
      </c>
      <c r="AB24" s="2033" t="s">
        <v>21</v>
      </c>
      <c r="AC24" s="2106" t="s">
        <v>1351</v>
      </c>
      <c r="AD24" s="2106" t="s">
        <v>367</v>
      </c>
      <c r="AE24" s="1026" t="str">
        <f>god&amp;" год"</f>
        <v>2026 год</v>
      </c>
      <c r="AF24" s="1026" t="str">
        <f>god+1&amp;" год"</f>
        <v>2027 год</v>
      </c>
      <c r="AG24" s="1026" t="str">
        <f>god+2&amp;" год"</f>
        <v>2028 год</v>
      </c>
      <c r="AH24" s="1026" t="str">
        <f>god+3&amp;" год"</f>
        <v>2029 год</v>
      </c>
      <c r="AI24" s="1026" t="str">
        <f>god+4&amp;" год"</f>
        <v>2030 год</v>
      </c>
      <c r="AJ24" s="1026" t="str">
        <f>god+5&amp;" год"</f>
        <v>2031 год</v>
      </c>
      <c r="AK24" s="1026" t="str">
        <f>god+6&amp;" год"</f>
        <v>2032 год</v>
      </c>
      <c r="AL24" s="1026" t="str">
        <f>god+7&amp;" год"</f>
        <v>2033 год</v>
      </c>
      <c r="AM24" s="1026" t="str">
        <f>god+8&amp;" год"</f>
        <v>2034 год</v>
      </c>
      <c r="AN24" s="1026" t="str">
        <f>god+9&amp;" год"</f>
        <v>2035 год</v>
      </c>
      <c r="AO24" s="11" t="str">
        <f>god&amp;" год"</f>
        <v>2026 год</v>
      </c>
      <c r="AP24" s="11" t="str">
        <f>god+1&amp;" год"</f>
        <v>2027 год</v>
      </c>
      <c r="AQ24" s="11" t="str">
        <f>god+2&amp;" год"</f>
        <v>2028 год</v>
      </c>
      <c r="AR24" s="11" t="str">
        <f>god+3&amp;" год"</f>
        <v>2029 год</v>
      </c>
      <c r="AS24" s="11" t="str">
        <f>god+4&amp;" год"</f>
        <v>2030 год</v>
      </c>
      <c r="AT24" s="11" t="str">
        <f>god+5&amp;" год"</f>
        <v>2031 год</v>
      </c>
      <c r="AU24" s="11" t="str">
        <f>god+6&amp;" год"</f>
        <v>2032 год</v>
      </c>
      <c r="AV24" s="11" t="str">
        <f>god+7&amp;" год"</f>
        <v>2033 год</v>
      </c>
      <c r="AW24" s="11" t="str">
        <f>god+8&amp;" год"</f>
        <v>2034 год</v>
      </c>
      <c r="AX24" s="11" t="str">
        <f>god+9&amp;" год"</f>
        <v>2035 год</v>
      </c>
      <c r="AY24" s="2098" t="s">
        <v>558</v>
      </c>
    </row>
    <row r="25" spans="1:54" ht="56.25" customHeight="1" x14ac:dyDescent="0.15">
      <c r="E25" s="542">
        <v>57.75</v>
      </c>
      <c r="F25" s="348"/>
      <c r="G25" s="348"/>
      <c r="H25" s="348"/>
      <c r="I25" s="348"/>
      <c r="J25" s="348"/>
      <c r="AB25" s="2033"/>
      <c r="AC25" s="2106"/>
      <c r="AD25" s="2106"/>
      <c r="AE25" s="1028" t="s">
        <v>1352</v>
      </c>
      <c r="AF25" s="1028" t="s">
        <v>1352</v>
      </c>
      <c r="AG25" s="1028" t="s">
        <v>1352</v>
      </c>
      <c r="AH25" s="1028" t="s">
        <v>1352</v>
      </c>
      <c r="AI25" s="1028" t="s">
        <v>1352</v>
      </c>
      <c r="AJ25" s="1028" t="s">
        <v>1352</v>
      </c>
      <c r="AK25" s="1028" t="s">
        <v>1352</v>
      </c>
      <c r="AL25" s="1028" t="s">
        <v>1352</v>
      </c>
      <c r="AM25" s="1028" t="s">
        <v>1352</v>
      </c>
      <c r="AN25" s="1028" t="s">
        <v>1352</v>
      </c>
      <c r="AO25" s="10" t="s">
        <v>359</v>
      </c>
      <c r="AP25" s="10" t="s">
        <v>359</v>
      </c>
      <c r="AQ25" s="10" t="s">
        <v>359</v>
      </c>
      <c r="AR25" s="10" t="s">
        <v>359</v>
      </c>
      <c r="AS25" s="10" t="s">
        <v>359</v>
      </c>
      <c r="AT25" s="10" t="s">
        <v>359</v>
      </c>
      <c r="AU25" s="10" t="s">
        <v>359</v>
      </c>
      <c r="AV25" s="10" t="s">
        <v>359</v>
      </c>
      <c r="AW25" s="10" t="s">
        <v>359</v>
      </c>
      <c r="AX25" s="10" t="s">
        <v>359</v>
      </c>
      <c r="AY25" s="2098"/>
    </row>
    <row r="26" spans="1:54" ht="11.25" hidden="1" customHeight="1" x14ac:dyDescent="0.15">
      <c r="A26"/>
      <c r="B26" s="352"/>
      <c r="C26"/>
      <c r="D26"/>
      <c r="E26" s="542">
        <v>0</v>
      </c>
      <c r="F26" s="4"/>
      <c r="G26"/>
      <c r="H26"/>
      <c r="I26"/>
      <c r="J26"/>
      <c r="K26"/>
      <c r="L26"/>
      <c r="M26"/>
      <c r="N26"/>
      <c r="O26"/>
      <c r="P26"/>
      <c r="Q26"/>
      <c r="R26"/>
      <c r="S26"/>
      <c r="T26"/>
      <c r="U26"/>
      <c r="V26"/>
      <c r="W26"/>
      <c r="X26"/>
      <c r="Y26"/>
      <c r="Z26"/>
      <c r="AA26"/>
      <c r="AB26"/>
      <c r="AC26" s="19"/>
      <c r="AD26" s="19"/>
      <c r="AE26" s="19"/>
      <c r="AF26" s="19"/>
      <c r="AG26"/>
      <c r="AH26"/>
      <c r="AI26"/>
      <c r="AJ26"/>
      <c r="AK26"/>
      <c r="AL26"/>
      <c r="AM26"/>
      <c r="AN26"/>
      <c r="AO26"/>
      <c r="AP26"/>
      <c r="AQ26" s="20"/>
      <c r="AR26"/>
      <c r="AS26"/>
      <c r="AT26"/>
      <c r="AU26"/>
      <c r="AV26"/>
      <c r="AW26"/>
      <c r="AX26"/>
      <c r="AY26"/>
      <c r="AZ26"/>
    </row>
    <row r="27" spans="1:54" ht="14.65" hidden="1" customHeight="1" x14ac:dyDescent="0.15">
      <c r="E27" s="542">
        <v>15</v>
      </c>
      <c r="F27" s="416" cm="1">
        <f t="array" ref="F27">X27</f>
        <v>0</v>
      </c>
      <c r="G27" s="348"/>
      <c r="H27" s="348"/>
      <c r="I27" s="348"/>
      <c r="J27" s="348"/>
      <c r="T27" s="388" t="b">
        <f>X27&gt;0</f>
        <v>0</v>
      </c>
      <c r="V27" s="41" t="s">
        <v>271</v>
      </c>
      <c r="X27" s="2032">
        <v>0</v>
      </c>
      <c r="Y27" s="348"/>
      <c r="Z27" s="2067"/>
      <c r="AA27" s="348"/>
      <c r="AB27" s="161" t="str" cm="1">
        <f t="array" ref="AB27">INDEX('Общие сведения'!$AG$185:$AG$228,MATCH($X27,'Общие сведения'!$Z$185:$Z$228,0))</f>
        <v xml:space="preserve">Тариф 0 () - </v>
      </c>
      <c r="AC27" s="751"/>
      <c r="AD27" s="751"/>
      <c r="AE27" s="751"/>
      <c r="AF27" s="751"/>
      <c r="AG27" s="751"/>
      <c r="AH27" s="751"/>
      <c r="AI27" s="751"/>
      <c r="AJ27" s="751"/>
      <c r="AK27" s="751"/>
      <c r="AL27" s="751"/>
      <c r="AM27" s="751"/>
      <c r="AN27" s="751"/>
      <c r="AO27" s="751"/>
      <c r="AP27" s="751"/>
      <c r="AQ27" s="751"/>
      <c r="AR27" s="751"/>
      <c r="AS27" s="751"/>
      <c r="AT27" s="751"/>
      <c r="AU27" s="751"/>
      <c r="AV27" s="751"/>
      <c r="AW27" s="751"/>
      <c r="AX27" s="751"/>
      <c r="AY27" s="751"/>
      <c r="AZ27" s="348"/>
    </row>
    <row r="28" spans="1:54" ht="14.65" hidden="1" customHeight="1" x14ac:dyDescent="0.15">
      <c r="A28" s="160"/>
      <c r="B28" s="353"/>
      <c r="C28" s="160"/>
      <c r="D28" s="160"/>
      <c r="E28" s="614">
        <v>15</v>
      </c>
      <c r="F28" s="3" cm="1">
        <f t="array" aca="1" ref="F28" ca="1">OFFSET(E28,-1,1)</f>
        <v>0</v>
      </c>
      <c r="G28" s="348" t="s">
        <v>331</v>
      </c>
      <c r="H28" s="66"/>
      <c r="I28" s="66"/>
      <c r="J28" s="66"/>
      <c r="K28" s="160"/>
      <c r="L28" s="160"/>
      <c r="M28" s="160"/>
      <c r="N28" s="160"/>
      <c r="O28" s="160"/>
      <c r="P28" s="160"/>
      <c r="Q28" s="160"/>
      <c r="R28" s="160"/>
      <c r="S28" s="160"/>
      <c r="T28" s="388" t="b" cm="1">
        <f t="array" ref="T28">T27</f>
        <v>0</v>
      </c>
      <c r="U28" s="160"/>
      <c r="V28" s="160"/>
      <c r="W28" s="160"/>
      <c r="X28" s="2032"/>
      <c r="Y28" s="66"/>
      <c r="Z28" s="2067"/>
      <c r="AA28" s="66"/>
      <c r="AB28" s="166" t="s">
        <v>282</v>
      </c>
      <c r="AC28" s="165" t="s">
        <v>1353</v>
      </c>
      <c r="AD28" s="166" t="s">
        <v>831</v>
      </c>
      <c r="AE28" s="763">
        <f t="shared" ref="AE28:AX28" si="1">AE29+AE30+AE31</f>
        <v>0</v>
      </c>
      <c r="AF28" s="763">
        <f t="shared" si="1"/>
        <v>0</v>
      </c>
      <c r="AG28" s="763">
        <f t="shared" si="1"/>
        <v>0</v>
      </c>
      <c r="AH28" s="763">
        <f t="shared" si="1"/>
        <v>0</v>
      </c>
      <c r="AI28" s="763">
        <f t="shared" si="1"/>
        <v>0</v>
      </c>
      <c r="AJ28" s="763">
        <f t="shared" si="1"/>
        <v>0</v>
      </c>
      <c r="AK28" s="763">
        <f t="shared" si="1"/>
        <v>0</v>
      </c>
      <c r="AL28" s="763">
        <f t="shared" si="1"/>
        <v>0</v>
      </c>
      <c r="AM28" s="763">
        <f t="shared" si="1"/>
        <v>0</v>
      </c>
      <c r="AN28" s="763">
        <f t="shared" si="1"/>
        <v>0</v>
      </c>
      <c r="AO28" s="763">
        <f t="shared" si="1"/>
        <v>0</v>
      </c>
      <c r="AP28" s="763">
        <f t="shared" si="1"/>
        <v>0</v>
      </c>
      <c r="AQ28" s="763">
        <f t="shared" si="1"/>
        <v>0</v>
      </c>
      <c r="AR28" s="763">
        <f t="shared" si="1"/>
        <v>0</v>
      </c>
      <c r="AS28" s="763">
        <f t="shared" si="1"/>
        <v>0</v>
      </c>
      <c r="AT28" s="763">
        <f t="shared" si="1"/>
        <v>0</v>
      </c>
      <c r="AU28" s="763">
        <f t="shared" si="1"/>
        <v>0</v>
      </c>
      <c r="AV28" s="763">
        <f t="shared" si="1"/>
        <v>0</v>
      </c>
      <c r="AW28" s="763">
        <f t="shared" si="1"/>
        <v>0</v>
      </c>
      <c r="AX28" s="763">
        <f t="shared" si="1"/>
        <v>0</v>
      </c>
      <c r="AY28" s="1417"/>
      <c r="AZ28" s="66"/>
      <c r="BB28" s="906" t="s">
        <v>1286</v>
      </c>
    </row>
    <row r="29" spans="1:54" ht="14.65" hidden="1" customHeight="1" x14ac:dyDescent="0.15">
      <c r="E29" s="542">
        <v>15</v>
      </c>
      <c r="F29" s="3" cm="1">
        <f t="array" aca="1" ref="F29" ca="1">OFFSET(E29,-1,1)</f>
        <v>0</v>
      </c>
      <c r="G29" s="348" t="s">
        <v>494</v>
      </c>
      <c r="H29" s="348"/>
      <c r="I29" s="348"/>
      <c r="J29" s="348"/>
      <c r="T29" s="388" t="b" cm="1">
        <f t="array" ref="T29">T28</f>
        <v>0</v>
      </c>
      <c r="X29" s="2032"/>
      <c r="Y29" s="348"/>
      <c r="Z29" s="2067"/>
      <c r="AA29" s="348"/>
      <c r="AB29" s="769" t="s">
        <v>910</v>
      </c>
      <c r="AC29" s="770" t="s">
        <v>1354</v>
      </c>
      <c r="AD29" s="769" t="s">
        <v>831</v>
      </c>
      <c r="AE29" s="216"/>
      <c r="AF29" s="1407"/>
      <c r="AG29" s="1407"/>
      <c r="AH29" s="1407"/>
      <c r="AI29" s="1407"/>
      <c r="AJ29" s="1407"/>
      <c r="AK29" s="1407"/>
      <c r="AL29" s="1407"/>
      <c r="AM29" s="1407"/>
      <c r="AN29" s="1407"/>
      <c r="AO29" s="216"/>
      <c r="AP29" s="1407"/>
      <c r="AQ29" s="1407"/>
      <c r="AR29" s="1407"/>
      <c r="AS29" s="1407"/>
      <c r="AT29" s="1407"/>
      <c r="AU29" s="1407"/>
      <c r="AV29" s="1407"/>
      <c r="AW29" s="1407"/>
      <c r="AX29" s="1407"/>
      <c r="AY29" s="1417"/>
      <c r="AZ29" s="348"/>
      <c r="BB29" s="906" t="s">
        <v>1355</v>
      </c>
    </row>
    <row r="30" spans="1:54" ht="23.45" hidden="1" customHeight="1" x14ac:dyDescent="0.15">
      <c r="E30" s="542">
        <v>24</v>
      </c>
      <c r="F30" s="3" cm="1">
        <f t="array" aca="1" ref="F30" ca="1">OFFSET(E30,-1,1)</f>
        <v>0</v>
      </c>
      <c r="G30" s="348" t="s">
        <v>498</v>
      </c>
      <c r="H30" s="348"/>
      <c r="I30" s="348"/>
      <c r="J30" s="348"/>
      <c r="T30" s="388" t="b" cm="1">
        <f t="array" ref="T30">T29</f>
        <v>0</v>
      </c>
      <c r="X30" s="2032"/>
      <c r="Y30" s="348"/>
      <c r="Z30" s="2067"/>
      <c r="AA30" s="348"/>
      <c r="AB30" s="769" t="s">
        <v>913</v>
      </c>
      <c r="AC30" s="770" t="s">
        <v>1356</v>
      </c>
      <c r="AD30" s="769" t="s">
        <v>831</v>
      </c>
      <c r="AE30" s="216"/>
      <c r="AF30" s="1407"/>
      <c r="AG30" s="1407"/>
      <c r="AH30" s="1407"/>
      <c r="AI30" s="1407"/>
      <c r="AJ30" s="1407"/>
      <c r="AK30" s="1407"/>
      <c r="AL30" s="1407"/>
      <c r="AM30" s="1407"/>
      <c r="AN30" s="1407"/>
      <c r="AO30" s="216"/>
      <c r="AP30" s="1407"/>
      <c r="AQ30" s="1407"/>
      <c r="AR30" s="1407"/>
      <c r="AS30" s="1407"/>
      <c r="AT30" s="1407"/>
      <c r="AU30" s="1407"/>
      <c r="AV30" s="1407"/>
      <c r="AW30" s="1407"/>
      <c r="AX30" s="1407"/>
      <c r="AY30" s="1417"/>
      <c r="AZ30" s="348"/>
      <c r="BB30" s="906" t="s">
        <v>1357</v>
      </c>
    </row>
    <row r="31" spans="1:54" s="1334" customFormat="1" ht="33.4" hidden="1" customHeight="1" x14ac:dyDescent="0.15">
      <c r="A31" s="41"/>
      <c r="B31" s="350"/>
      <c r="C31" s="41"/>
      <c r="D31" s="41"/>
      <c r="E31" s="542">
        <v>34.200000000000003</v>
      </c>
      <c r="F31" s="1090" cm="1">
        <f t="array" aca="1" ref="F31" ca="1">OFFSET(E31,-1,1)</f>
        <v>0</v>
      </c>
      <c r="G31" s="348" t="s">
        <v>501</v>
      </c>
      <c r="H31" s="348"/>
      <c r="I31" s="348"/>
      <c r="J31" s="348"/>
      <c r="K31" s="41"/>
      <c r="L31" s="41"/>
      <c r="M31" s="41"/>
      <c r="N31" s="41"/>
      <c r="O31" s="41"/>
      <c r="P31" s="41"/>
      <c r="Q31" s="41"/>
      <c r="R31" s="41"/>
      <c r="S31" s="41"/>
      <c r="T31" s="388" t="b" cm="1">
        <f t="array" ref="T31">T30</f>
        <v>0</v>
      </c>
      <c r="U31" s="41"/>
      <c r="V31" s="41"/>
      <c r="W31" s="41"/>
      <c r="X31" s="2032"/>
      <c r="Y31" s="348"/>
      <c r="Z31" s="2067"/>
      <c r="AA31" s="348"/>
      <c r="AB31" s="769" t="s">
        <v>916</v>
      </c>
      <c r="AC31" s="770" t="s">
        <v>1358</v>
      </c>
      <c r="AD31" s="769" t="s">
        <v>831</v>
      </c>
      <c r="AE31" s="216"/>
      <c r="AF31" s="1407"/>
      <c r="AG31" s="1407"/>
      <c r="AH31" s="1407"/>
      <c r="AI31" s="1407"/>
      <c r="AJ31" s="1407"/>
      <c r="AK31" s="1407"/>
      <c r="AL31" s="1407"/>
      <c r="AM31" s="1407"/>
      <c r="AN31" s="1407"/>
      <c r="AO31" s="216"/>
      <c r="AP31" s="1407"/>
      <c r="AQ31" s="1407"/>
      <c r="AR31" s="1407"/>
      <c r="AS31" s="1407"/>
      <c r="AT31" s="1407"/>
      <c r="AU31" s="1407"/>
      <c r="AV31" s="1407"/>
      <c r="AW31" s="1407"/>
      <c r="AX31" s="1407"/>
      <c r="AY31" s="1417"/>
      <c r="AZ31" s="348"/>
      <c r="BB31" s="957" t="s">
        <v>1359</v>
      </c>
    </row>
    <row r="32" spans="1:54" ht="14.65" hidden="1" customHeight="1" x14ac:dyDescent="0.15">
      <c r="E32" s="542">
        <v>15</v>
      </c>
      <c r="F32" s="3" cm="1">
        <f t="array" aca="1" ref="F32" ca="1">OFFSET(E32,-1,1)</f>
        <v>0</v>
      </c>
      <c r="G32" s="348" t="s">
        <v>332</v>
      </c>
      <c r="H32" s="348"/>
      <c r="I32" s="348"/>
      <c r="J32" s="348"/>
      <c r="T32" s="388" t="b" cm="1">
        <f t="array" ref="T32">T31</f>
        <v>0</v>
      </c>
      <c r="X32" s="2032"/>
      <c r="Y32" s="348"/>
      <c r="Z32" s="2067"/>
      <c r="AA32" s="348"/>
      <c r="AB32" s="769" t="s">
        <v>289</v>
      </c>
      <c r="AC32" s="771" t="s">
        <v>1360</v>
      </c>
      <c r="AD32" s="769" t="s">
        <v>490</v>
      </c>
      <c r="AE32" s="772">
        <f ca="1">SUMIFS(Сценарии!AJ$25:AJ$109,Сценарии!$F$25:$F$109,$F32,Сценарии!$AC$25:$AC$109,"Индекс потребительских цен")</f>
        <v>0</v>
      </c>
      <c r="AF32" s="772">
        <f ca="1">SUMIFS(Сценарии!AO$25:AO$109,Сценарии!$F$25:$F$109,$F32,Сценарии!$AC$25:$AC$109,"Индекс потребительских цен")</f>
        <v>0</v>
      </c>
      <c r="AG32" s="772">
        <f ca="1">SUMIFS(Сценарии!AP$25:AP$109,Сценарии!$F$25:$F$109,$F32,Сценарии!$AC$25:$AC$109,"Индекс потребительских цен")</f>
        <v>0</v>
      </c>
      <c r="AH32" s="772">
        <f ca="1">SUMIFS(Сценарии!AQ$25:AQ$109,Сценарии!$F$25:$F$109,$F32,Сценарии!$AC$25:$AC$109,"Индекс потребительских цен")</f>
        <v>0</v>
      </c>
      <c r="AI32" s="772">
        <f ca="1">SUMIFS(Сценарии!AR$25:AR$109,Сценарии!$F$25:$F$109,$F32,Сценарии!$AC$25:$AC$109,"Индекс потребительских цен")</f>
        <v>0</v>
      </c>
      <c r="AJ32" s="772">
        <f ca="1">SUMIFS(Сценарии!AS$25:AS$109,Сценарии!$F$25:$F$109,$F32,Сценарии!$AC$25:$AC$109,"Индекс потребительских цен")</f>
        <v>0</v>
      </c>
      <c r="AK32" s="772">
        <f ca="1">SUMIFS(Сценарии!AT$25:AT$109,Сценарии!$F$25:$F$109,$F32,Сценарии!$AC$25:$AC$109,"Индекс потребительских цен")</f>
        <v>0</v>
      </c>
      <c r="AL32" s="772">
        <f ca="1">SUMIFS(Сценарии!AU$25:AU$109,Сценарии!$F$25:$F$109,$F32,Сценарии!$AC$25:$AC$109,"Индекс потребительских цен")</f>
        <v>0</v>
      </c>
      <c r="AM32" s="772">
        <f ca="1">SUMIFS(Сценарии!AV$25:AV$109,Сценарии!$F$25:$F$109,$F32,Сценарии!$AC$25:$AC$109,"Индекс потребительских цен")</f>
        <v>0</v>
      </c>
      <c r="AN32" s="772">
        <f ca="1">SUMIFS(Сценарии!AW$25:AW$109,Сценарии!$F$25:$F$109,$F32,Сценарии!$AC$25:$AC$109,"Индекс потребительских цен")</f>
        <v>0</v>
      </c>
      <c r="AO32" s="772">
        <f ca="1">SUMIFS(Сценарии!AK$25:AK$109,Сценарии!$F$25:$F$109,$F32,Сценарии!$AC$25:$AC$109,"Индекс потребительских цен")</f>
        <v>0</v>
      </c>
      <c r="AP32" s="772">
        <f ca="1">SUMIFS(Сценарии!AX$25:AX$109,Сценарии!$F$25:$F$109,$F32,Сценарии!$AC$25:$AC$109,"Индекс потребительских цен")</f>
        <v>0</v>
      </c>
      <c r="AQ32" s="772">
        <f ca="1">SUMIFS(Сценарии!AY$25:AY$109,Сценарии!$F$25:$F$109,$F32,Сценарии!$AC$25:$AC$109,"Индекс потребительских цен")</f>
        <v>0</v>
      </c>
      <c r="AR32" s="772">
        <f ca="1">SUMIFS(Сценарии!AZ$25:AZ$109,Сценарии!$F$25:$F$109,$F32,Сценарии!$AC$25:$AC$109,"Индекс потребительских цен")</f>
        <v>0</v>
      </c>
      <c r="AS32" s="772">
        <f ca="1">SUMIFS(Сценарии!BA$25:BA$109,Сценарии!$F$25:$F$109,$F32,Сценарии!$AC$25:$AC$109,"Индекс потребительских цен")</f>
        <v>0</v>
      </c>
      <c r="AT32" s="772">
        <f ca="1">SUMIFS(Сценарии!BB$25:BB$109,Сценарии!$F$25:$F$109,$F32,Сценарии!$AC$25:$AC$109,"Индекс потребительских цен")</f>
        <v>0</v>
      </c>
      <c r="AU32" s="772">
        <f ca="1">SUMIFS(Сценарии!BC$25:BC$109,Сценарии!$F$25:$F$109,$F32,Сценарии!$AC$25:$AC$109,"Индекс потребительских цен")</f>
        <v>0</v>
      </c>
      <c r="AV32" s="772">
        <f ca="1">SUMIFS(Сценарии!BD$25:BD$109,Сценарии!$F$25:$F$109,$F32,Сценарии!$AC$25:$AC$109,"Индекс потребительских цен")</f>
        <v>0</v>
      </c>
      <c r="AW32" s="772">
        <f ca="1">SUMIFS(Сценарии!BE$25:BE$109,Сценарии!$F$25:$F$109,$F32,Сценарии!$AC$25:$AC$109,"Индекс потребительских цен")</f>
        <v>0</v>
      </c>
      <c r="AX32" s="772">
        <f ca="1">SUMIFS(Сценарии!BF$25:BF$109,Сценарии!$F$25:$F$109,$F32,Сценарии!$AC$25:$AC$109,"Индекс потребительских цен")</f>
        <v>0</v>
      </c>
      <c r="AY32" s="1417"/>
      <c r="AZ32" s="348"/>
      <c r="BB32" s="906" t="s">
        <v>1361</v>
      </c>
    </row>
    <row r="33" spans="1:54" s="621" customFormat="1" ht="14.65" hidden="1" customHeight="1" x14ac:dyDescent="0.15">
      <c r="A33" s="41"/>
      <c r="B33" s="350"/>
      <c r="C33" s="41"/>
      <c r="D33" s="41"/>
      <c r="E33" s="542">
        <v>15</v>
      </c>
      <c r="F33" s="3" cm="1">
        <f t="array" aca="1" ref="F33" ca="1">OFFSET(E33,-1,1)</f>
        <v>0</v>
      </c>
      <c r="G33" s="348" t="s">
        <v>333</v>
      </c>
      <c r="H33" s="348"/>
      <c r="I33" s="348"/>
      <c r="J33" s="348"/>
      <c r="K33" s="41"/>
      <c r="L33" s="41"/>
      <c r="M33" s="41"/>
      <c r="N33" s="41"/>
      <c r="O33" s="41"/>
      <c r="P33" s="41"/>
      <c r="Q33" s="41"/>
      <c r="R33" s="41"/>
      <c r="S33" s="41"/>
      <c r="T33" s="388" t="b" cm="1">
        <f t="array" ref="T33">T32</f>
        <v>0</v>
      </c>
      <c r="U33" s="41"/>
      <c r="V33" s="41"/>
      <c r="W33" s="41"/>
      <c r="X33" s="2032"/>
      <c r="Y33" s="348"/>
      <c r="Z33" s="2067"/>
      <c r="AA33" s="348"/>
      <c r="AB33" s="686">
        <v>3</v>
      </c>
      <c r="AC33" s="771" t="s">
        <v>1362</v>
      </c>
      <c r="AD33" s="769" t="s">
        <v>490</v>
      </c>
      <c r="AE33" s="773" cm="1">
        <f t="array" aca="1" ref="AE33" ca="1">AE32</f>
        <v>0</v>
      </c>
      <c r="AF33" s="1423">
        <f t="shared" ref="AF33:AX33" ca="1" si="2">AE33*AF32/100</f>
        <v>0</v>
      </c>
      <c r="AG33" s="1423">
        <f t="shared" ca="1" si="2"/>
        <v>0</v>
      </c>
      <c r="AH33" s="1423">
        <f t="shared" ca="1" si="2"/>
        <v>0</v>
      </c>
      <c r="AI33" s="1423">
        <f t="shared" ca="1" si="2"/>
        <v>0</v>
      </c>
      <c r="AJ33" s="1423">
        <f t="shared" ca="1" si="2"/>
        <v>0</v>
      </c>
      <c r="AK33" s="1423">
        <f t="shared" ca="1" si="2"/>
        <v>0</v>
      </c>
      <c r="AL33" s="1423">
        <f t="shared" ca="1" si="2"/>
        <v>0</v>
      </c>
      <c r="AM33" s="1423">
        <f t="shared" ca="1" si="2"/>
        <v>0</v>
      </c>
      <c r="AN33" s="1423">
        <f t="shared" ca="1" si="2"/>
        <v>0</v>
      </c>
      <c r="AO33" s="773">
        <f t="shared" ca="1" si="2"/>
        <v>0</v>
      </c>
      <c r="AP33" s="1423">
        <f t="shared" ca="1" si="2"/>
        <v>0</v>
      </c>
      <c r="AQ33" s="1423">
        <f t="shared" ca="1" si="2"/>
        <v>0</v>
      </c>
      <c r="AR33" s="1423">
        <f t="shared" ca="1" si="2"/>
        <v>0</v>
      </c>
      <c r="AS33" s="1423">
        <f t="shared" ca="1" si="2"/>
        <v>0</v>
      </c>
      <c r="AT33" s="1423">
        <f t="shared" ca="1" si="2"/>
        <v>0</v>
      </c>
      <c r="AU33" s="1423">
        <f t="shared" ca="1" si="2"/>
        <v>0</v>
      </c>
      <c r="AV33" s="1423">
        <f t="shared" ca="1" si="2"/>
        <v>0</v>
      </c>
      <c r="AW33" s="1423">
        <f t="shared" ca="1" si="2"/>
        <v>0</v>
      </c>
      <c r="AX33" s="1423">
        <f t="shared" ca="1" si="2"/>
        <v>0</v>
      </c>
      <c r="AY33" s="1417"/>
      <c r="AZ33" s="348"/>
      <c r="BB33" s="960" t="s">
        <v>1363</v>
      </c>
    </row>
    <row r="34" spans="1:54" ht="14.65" hidden="1" customHeight="1" x14ac:dyDescent="0.15">
      <c r="A34" s="160"/>
      <c r="B34" s="353"/>
      <c r="C34" s="160"/>
      <c r="D34" s="160"/>
      <c r="E34" s="614">
        <v>15</v>
      </c>
      <c r="F34" s="3" cm="1">
        <f t="array" aca="1" ref="F34" ca="1">OFFSET(E34,-1,1)</f>
        <v>0</v>
      </c>
      <c r="G34" s="348" t="s">
        <v>335</v>
      </c>
      <c r="H34" s="348" t="s">
        <v>1364</v>
      </c>
      <c r="I34" s="66"/>
      <c r="J34" s="66"/>
      <c r="K34" s="160"/>
      <c r="L34" s="160"/>
      <c r="M34" s="160"/>
      <c r="N34" s="160"/>
      <c r="O34" s="160"/>
      <c r="P34" s="160"/>
      <c r="Q34" s="160"/>
      <c r="R34" s="160"/>
      <c r="S34" s="160"/>
      <c r="T34" s="388" t="b" cm="1">
        <f t="array" ref="T34">T33</f>
        <v>0</v>
      </c>
      <c r="U34" s="160"/>
      <c r="V34" s="160"/>
      <c r="W34" s="160"/>
      <c r="X34" s="2032"/>
      <c r="Y34" s="66"/>
      <c r="Z34" s="2067"/>
      <c r="AA34" s="66"/>
      <c r="AB34" s="166" t="s">
        <v>441</v>
      </c>
      <c r="AC34" s="165" t="s">
        <v>1365</v>
      </c>
      <c r="AD34" s="166" t="s">
        <v>831</v>
      </c>
      <c r="AE34" s="763">
        <f t="shared" ref="AE34:AX34" ca="1" si="3">AE28*AE33/100</f>
        <v>0</v>
      </c>
      <c r="AF34" s="763">
        <f t="shared" ca="1" si="3"/>
        <v>0</v>
      </c>
      <c r="AG34" s="763">
        <f t="shared" ca="1" si="3"/>
        <v>0</v>
      </c>
      <c r="AH34" s="763">
        <f t="shared" ca="1" si="3"/>
        <v>0</v>
      </c>
      <c r="AI34" s="763">
        <f t="shared" ca="1" si="3"/>
        <v>0</v>
      </c>
      <c r="AJ34" s="763">
        <f t="shared" ca="1" si="3"/>
        <v>0</v>
      </c>
      <c r="AK34" s="763">
        <f t="shared" ca="1" si="3"/>
        <v>0</v>
      </c>
      <c r="AL34" s="763">
        <f t="shared" ca="1" si="3"/>
        <v>0</v>
      </c>
      <c r="AM34" s="763">
        <f t="shared" ca="1" si="3"/>
        <v>0</v>
      </c>
      <c r="AN34" s="763">
        <f t="shared" ca="1" si="3"/>
        <v>0</v>
      </c>
      <c r="AO34" s="763">
        <f t="shared" ca="1" si="3"/>
        <v>0</v>
      </c>
      <c r="AP34" s="763">
        <f t="shared" ca="1" si="3"/>
        <v>0</v>
      </c>
      <c r="AQ34" s="763">
        <f t="shared" ca="1" si="3"/>
        <v>0</v>
      </c>
      <c r="AR34" s="763">
        <f t="shared" ca="1" si="3"/>
        <v>0</v>
      </c>
      <c r="AS34" s="763">
        <f t="shared" ca="1" si="3"/>
        <v>0</v>
      </c>
      <c r="AT34" s="763">
        <f t="shared" ca="1" si="3"/>
        <v>0</v>
      </c>
      <c r="AU34" s="763">
        <f t="shared" ca="1" si="3"/>
        <v>0</v>
      </c>
      <c r="AV34" s="763">
        <f t="shared" ca="1" si="3"/>
        <v>0</v>
      </c>
      <c r="AW34" s="763">
        <f t="shared" ca="1" si="3"/>
        <v>0</v>
      </c>
      <c r="AX34" s="763">
        <f t="shared" ca="1" si="3"/>
        <v>0</v>
      </c>
      <c r="AY34" s="1417"/>
      <c r="AZ34" s="66"/>
      <c r="BB34" s="906" t="s">
        <v>1366</v>
      </c>
    </row>
    <row r="35" spans="1:54" s="1334" customFormat="1" ht="14.25" customHeight="1" x14ac:dyDescent="0.15">
      <c r="A35" s="1217"/>
      <c r="B35" s="1111"/>
      <c r="C35" s="1217"/>
      <c r="D35" s="1217"/>
      <c r="E35" s="542">
        <v>15</v>
      </c>
      <c r="F35" s="416" t="str" cm="1">
        <f t="array" ref="F35">X35</f>
        <v>1</v>
      </c>
      <c r="G35" s="348"/>
      <c r="H35" s="348"/>
      <c r="I35" s="348"/>
      <c r="J35" s="348"/>
      <c r="K35" s="1217"/>
      <c r="L35" s="1217"/>
      <c r="M35" s="1217"/>
      <c r="N35" s="1217"/>
      <c r="O35" s="1217"/>
      <c r="P35" s="1217"/>
      <c r="Q35" s="1217"/>
      <c r="R35" s="1217"/>
      <c r="S35" s="1217"/>
      <c r="T35" s="388" t="b">
        <f>X35&gt;0</f>
        <v>1</v>
      </c>
      <c r="U35" s="1217"/>
      <c r="V35" s="41" t="str" cm="1">
        <f t="array" ref="V35">'ИП + источники'!$AB$58</f>
        <v>Тариф 1 (Водоснабжение) - тариф на питьевую воду</v>
      </c>
      <c r="W35" s="1217"/>
      <c r="X35" s="2032" t="s">
        <v>282</v>
      </c>
      <c r="Y35" s="348"/>
      <c r="Z35" s="2067"/>
      <c r="AA35" s="348"/>
      <c r="AB35" s="161" t="str" cm="1">
        <f t="array" ref="AB35">'ИП + источники'!$AB$58</f>
        <v>Тариф 1 (Водоснабжение) - тариф на питьевую воду</v>
      </c>
      <c r="AC35" s="751"/>
      <c r="AD35" s="751"/>
      <c r="AE35" s="751"/>
      <c r="AF35" s="751"/>
      <c r="AG35" s="751"/>
      <c r="AH35" s="751"/>
      <c r="AI35" s="751"/>
      <c r="AJ35" s="751"/>
      <c r="AK35" s="751"/>
      <c r="AL35" s="751"/>
      <c r="AM35" s="751"/>
      <c r="AN35" s="751"/>
      <c r="AO35" s="751"/>
      <c r="AP35" s="751"/>
      <c r="AQ35" s="751"/>
      <c r="AR35" s="751"/>
      <c r="AS35" s="751"/>
      <c r="AT35" s="751"/>
      <c r="AU35" s="751"/>
      <c r="AV35" s="751"/>
      <c r="AW35" s="751"/>
      <c r="AX35" s="751"/>
      <c r="AY35" s="751"/>
      <c r="AZ35" s="348"/>
      <c r="BA35" s="1217"/>
      <c r="BB35" s="1133"/>
    </row>
    <row r="36" spans="1:54" s="1334" customFormat="1" ht="14.25" customHeight="1" x14ac:dyDescent="0.15">
      <c r="A36" s="160"/>
      <c r="B36" s="353"/>
      <c r="C36" s="160"/>
      <c r="D36" s="160"/>
      <c r="E36" s="614">
        <v>15</v>
      </c>
      <c r="F36" s="3" t="str" cm="1">
        <f t="array" aca="1" ref="F36" ca="1">OFFSET(E36,-1,1)</f>
        <v>1</v>
      </c>
      <c r="G36" s="348" t="s">
        <v>331</v>
      </c>
      <c r="H36" s="66"/>
      <c r="I36" s="66"/>
      <c r="J36" s="66"/>
      <c r="K36" s="160"/>
      <c r="L36" s="160"/>
      <c r="M36" s="160"/>
      <c r="N36" s="160"/>
      <c r="O36" s="160"/>
      <c r="P36" s="160"/>
      <c r="Q36" s="160"/>
      <c r="R36" s="160"/>
      <c r="S36" s="160"/>
      <c r="T36" s="388" t="b" cm="1">
        <f t="array" ref="T36">T35</f>
        <v>1</v>
      </c>
      <c r="U36" s="160"/>
      <c r="V36" s="160"/>
      <c r="W36" s="160"/>
      <c r="X36" s="2032"/>
      <c r="Y36" s="66"/>
      <c r="Z36" s="2067"/>
      <c r="AA36" s="66"/>
      <c r="AB36" s="166" t="s">
        <v>282</v>
      </c>
      <c r="AC36" s="165" t="s">
        <v>1353</v>
      </c>
      <c r="AD36" s="166" t="s">
        <v>831</v>
      </c>
      <c r="AE36" s="763">
        <f t="shared" ref="AE36:AX36" si="4">AE37+AE38+AE39</f>
        <v>0</v>
      </c>
      <c r="AF36" s="763">
        <f t="shared" si="4"/>
        <v>0</v>
      </c>
      <c r="AG36" s="763">
        <f t="shared" si="4"/>
        <v>0</v>
      </c>
      <c r="AH36" s="763">
        <f t="shared" si="4"/>
        <v>0</v>
      </c>
      <c r="AI36" s="763">
        <f t="shared" si="4"/>
        <v>0</v>
      </c>
      <c r="AJ36" s="763">
        <f t="shared" si="4"/>
        <v>0</v>
      </c>
      <c r="AK36" s="763">
        <f t="shared" si="4"/>
        <v>0</v>
      </c>
      <c r="AL36" s="763">
        <f t="shared" si="4"/>
        <v>0</v>
      </c>
      <c r="AM36" s="763">
        <f t="shared" si="4"/>
        <v>0</v>
      </c>
      <c r="AN36" s="763">
        <f t="shared" si="4"/>
        <v>0</v>
      </c>
      <c r="AO36" s="763">
        <f t="shared" si="4"/>
        <v>0</v>
      </c>
      <c r="AP36" s="763">
        <f t="shared" si="4"/>
        <v>0</v>
      </c>
      <c r="AQ36" s="763">
        <f t="shared" si="4"/>
        <v>0</v>
      </c>
      <c r="AR36" s="763">
        <f t="shared" si="4"/>
        <v>0</v>
      </c>
      <c r="AS36" s="763">
        <f t="shared" si="4"/>
        <v>0</v>
      </c>
      <c r="AT36" s="763">
        <f t="shared" si="4"/>
        <v>0</v>
      </c>
      <c r="AU36" s="763">
        <f t="shared" si="4"/>
        <v>0</v>
      </c>
      <c r="AV36" s="763">
        <f t="shared" si="4"/>
        <v>0</v>
      </c>
      <c r="AW36" s="763">
        <f t="shared" si="4"/>
        <v>0</v>
      </c>
      <c r="AX36" s="763">
        <f t="shared" si="4"/>
        <v>0</v>
      </c>
      <c r="AY36" s="694"/>
      <c r="AZ36" s="66"/>
      <c r="BA36" s="1217"/>
      <c r="BB36" s="906" t="s">
        <v>1286</v>
      </c>
    </row>
    <row r="37" spans="1:54" s="1334" customFormat="1" ht="14.25" customHeight="1" x14ac:dyDescent="0.15">
      <c r="A37" s="1217"/>
      <c r="B37" s="1111"/>
      <c r="C37" s="1217"/>
      <c r="D37" s="1217"/>
      <c r="E37" s="542">
        <v>15</v>
      </c>
      <c r="F37" s="3" t="str" cm="1">
        <f t="array" aca="1" ref="F37" ca="1">OFFSET(E37,-1,1)</f>
        <v>1</v>
      </c>
      <c r="G37" s="348" t="s">
        <v>494</v>
      </c>
      <c r="H37" s="348"/>
      <c r="I37" s="348"/>
      <c r="J37" s="348"/>
      <c r="K37" s="1217"/>
      <c r="L37" s="1217"/>
      <c r="M37" s="1217"/>
      <c r="N37" s="1217"/>
      <c r="O37" s="1217"/>
      <c r="P37" s="1217"/>
      <c r="Q37" s="1217"/>
      <c r="R37" s="1217"/>
      <c r="S37" s="1217"/>
      <c r="T37" s="388" t="b" cm="1">
        <f t="array" ref="T37">T36</f>
        <v>1</v>
      </c>
      <c r="U37" s="1217"/>
      <c r="V37" s="1217"/>
      <c r="W37" s="1217"/>
      <c r="X37" s="2032"/>
      <c r="Y37" s="348"/>
      <c r="Z37" s="2067"/>
      <c r="AA37" s="348"/>
      <c r="AB37" s="769" t="s">
        <v>910</v>
      </c>
      <c r="AC37" s="770" t="s">
        <v>1354</v>
      </c>
      <c r="AD37" s="769" t="s">
        <v>831</v>
      </c>
      <c r="AE37" s="216"/>
      <c r="AF37" s="1407"/>
      <c r="AG37" s="1407"/>
      <c r="AH37" s="1407"/>
      <c r="AI37" s="1407"/>
      <c r="AJ37" s="1407"/>
      <c r="AK37" s="1407"/>
      <c r="AL37" s="216"/>
      <c r="AM37" s="216"/>
      <c r="AN37" s="216"/>
      <c r="AO37" s="216"/>
      <c r="AP37" s="1407"/>
      <c r="AQ37" s="1407"/>
      <c r="AR37" s="1407"/>
      <c r="AS37" s="1407"/>
      <c r="AT37" s="1407"/>
      <c r="AU37" s="1407"/>
      <c r="AV37" s="216"/>
      <c r="AW37" s="216"/>
      <c r="AX37" s="216"/>
      <c r="AY37" s="694"/>
      <c r="AZ37" s="348"/>
      <c r="BA37" s="1217"/>
      <c r="BB37" s="906" t="s">
        <v>1355</v>
      </c>
    </row>
    <row r="38" spans="1:54" s="1334" customFormat="1" ht="23.25" customHeight="1" x14ac:dyDescent="0.15">
      <c r="A38" s="1217"/>
      <c r="B38" s="1111"/>
      <c r="C38" s="1217"/>
      <c r="D38" s="1217"/>
      <c r="E38" s="542">
        <v>24</v>
      </c>
      <c r="F38" s="3" t="str" cm="1">
        <f t="array" aca="1" ref="F38" ca="1">OFFSET(E38,-1,1)</f>
        <v>1</v>
      </c>
      <c r="G38" s="348" t="s">
        <v>498</v>
      </c>
      <c r="H38" s="348"/>
      <c r="I38" s="348"/>
      <c r="J38" s="348"/>
      <c r="K38" s="1217"/>
      <c r="L38" s="1217"/>
      <c r="M38" s="1217"/>
      <c r="N38" s="1217"/>
      <c r="O38" s="1217"/>
      <c r="P38" s="1217"/>
      <c r="Q38" s="1217"/>
      <c r="R38" s="1217"/>
      <c r="S38" s="1217"/>
      <c r="T38" s="388" t="b" cm="1">
        <f t="array" ref="T38">T37</f>
        <v>1</v>
      </c>
      <c r="U38" s="1217"/>
      <c r="V38" s="1217"/>
      <c r="W38" s="1217"/>
      <c r="X38" s="2032"/>
      <c r="Y38" s="348"/>
      <c r="Z38" s="2067"/>
      <c r="AA38" s="348"/>
      <c r="AB38" s="769" t="s">
        <v>913</v>
      </c>
      <c r="AC38" s="770" t="s">
        <v>1356</v>
      </c>
      <c r="AD38" s="769" t="s">
        <v>831</v>
      </c>
      <c r="AE38" s="216"/>
      <c r="AF38" s="1407"/>
      <c r="AG38" s="1407"/>
      <c r="AH38" s="1407"/>
      <c r="AI38" s="1407"/>
      <c r="AJ38" s="1407"/>
      <c r="AK38" s="1407"/>
      <c r="AL38" s="216"/>
      <c r="AM38" s="216"/>
      <c r="AN38" s="216"/>
      <c r="AO38" s="216"/>
      <c r="AP38" s="1407"/>
      <c r="AQ38" s="1407"/>
      <c r="AR38" s="1407"/>
      <c r="AS38" s="1407"/>
      <c r="AT38" s="1407"/>
      <c r="AU38" s="1407"/>
      <c r="AV38" s="216"/>
      <c r="AW38" s="216"/>
      <c r="AX38" s="216"/>
      <c r="AY38" s="694"/>
      <c r="AZ38" s="348"/>
      <c r="BA38" s="1217"/>
      <c r="BB38" s="906" t="s">
        <v>1357</v>
      </c>
    </row>
    <row r="39" spans="1:54" s="1334" customFormat="1" ht="33" customHeight="1" x14ac:dyDescent="0.15">
      <c r="A39" s="41"/>
      <c r="B39" s="350"/>
      <c r="C39" s="41"/>
      <c r="D39" s="41"/>
      <c r="E39" s="542">
        <v>34.200000000000003</v>
      </c>
      <c r="F39" s="1090" t="str" cm="1">
        <f t="array" aca="1" ref="F39" ca="1">OFFSET(E39,-1,1)</f>
        <v>1</v>
      </c>
      <c r="G39" s="348" t="s">
        <v>501</v>
      </c>
      <c r="H39" s="348"/>
      <c r="I39" s="348"/>
      <c r="J39" s="348"/>
      <c r="K39" s="41"/>
      <c r="L39" s="41"/>
      <c r="M39" s="41"/>
      <c r="N39" s="41"/>
      <c r="O39" s="41"/>
      <c r="P39" s="41"/>
      <c r="Q39" s="41"/>
      <c r="R39" s="41"/>
      <c r="S39" s="41"/>
      <c r="T39" s="388" t="b" cm="1">
        <f t="array" ref="T39">T38</f>
        <v>1</v>
      </c>
      <c r="U39" s="41"/>
      <c r="V39" s="41"/>
      <c r="W39" s="41"/>
      <c r="X39" s="2032"/>
      <c r="Y39" s="348"/>
      <c r="Z39" s="2067"/>
      <c r="AA39" s="348"/>
      <c r="AB39" s="769" t="s">
        <v>916</v>
      </c>
      <c r="AC39" s="770" t="s">
        <v>1358</v>
      </c>
      <c r="AD39" s="769" t="s">
        <v>831</v>
      </c>
      <c r="AE39" s="216"/>
      <c r="AF39" s="1407"/>
      <c r="AG39" s="1407"/>
      <c r="AH39" s="1407"/>
      <c r="AI39" s="1407"/>
      <c r="AJ39" s="1407"/>
      <c r="AK39" s="1407"/>
      <c r="AL39" s="216"/>
      <c r="AM39" s="216"/>
      <c r="AN39" s="216"/>
      <c r="AO39" s="216"/>
      <c r="AP39" s="1407"/>
      <c r="AQ39" s="1407"/>
      <c r="AR39" s="1407"/>
      <c r="AS39" s="1407"/>
      <c r="AT39" s="1407"/>
      <c r="AU39" s="1407"/>
      <c r="AV39" s="216"/>
      <c r="AW39" s="216"/>
      <c r="AX39" s="216"/>
      <c r="AY39" s="694"/>
      <c r="AZ39" s="348"/>
      <c r="BB39" s="957" t="s">
        <v>1359</v>
      </c>
    </row>
    <row r="40" spans="1:54" s="1334" customFormat="1" ht="14.25" customHeight="1" x14ac:dyDescent="0.15">
      <c r="A40" s="1217"/>
      <c r="B40" s="1111"/>
      <c r="C40" s="1217"/>
      <c r="D40" s="1217"/>
      <c r="E40" s="542">
        <v>15</v>
      </c>
      <c r="F40" s="3" t="str" cm="1">
        <f t="array" aca="1" ref="F40" ca="1">OFFSET(E40,-1,1)</f>
        <v>1</v>
      </c>
      <c r="G40" s="348" t="s">
        <v>332</v>
      </c>
      <c r="H40" s="348"/>
      <c r="I40" s="348"/>
      <c r="J40" s="348"/>
      <c r="K40" s="1217"/>
      <c r="L40" s="1217"/>
      <c r="M40" s="1217"/>
      <c r="N40" s="1217"/>
      <c r="O40" s="1217"/>
      <c r="P40" s="1217"/>
      <c r="Q40" s="1217"/>
      <c r="R40" s="1217"/>
      <c r="S40" s="1217"/>
      <c r="T40" s="388" t="b" cm="1">
        <f t="array" ref="T40">T39</f>
        <v>1</v>
      </c>
      <c r="U40" s="1217"/>
      <c r="V40" s="1217"/>
      <c r="W40" s="1217"/>
      <c r="X40" s="2032"/>
      <c r="Y40" s="348"/>
      <c r="Z40" s="2067"/>
      <c r="AA40" s="348"/>
      <c r="AB40" s="769" t="s">
        <v>289</v>
      </c>
      <c r="AC40" s="771" t="s">
        <v>1360</v>
      </c>
      <c r="AD40" s="769" t="s">
        <v>490</v>
      </c>
      <c r="AE40" s="772">
        <f ca="1">SUMIFS(Сценарии!AJ$25:AJ$109,Сценарии!$F$25:$F$109,$F40,Сценарии!$AC$25:$AC$109,"Индекс потребительских цен")</f>
        <v>5</v>
      </c>
      <c r="AF40" s="772">
        <f ca="1">SUMIFS(Сценарии!AO$25:AO$109,Сценарии!$F$25:$F$109,$F40,Сценарии!$AC$25:$AC$109,"Индекс потребительских цен")</f>
        <v>5</v>
      </c>
      <c r="AG40" s="772">
        <f ca="1">SUMIFS(Сценарии!AP$25:AP$109,Сценарии!$F$25:$F$109,$F40,Сценарии!$AC$25:$AC$109,"Индекс потребительских цен")</f>
        <v>5</v>
      </c>
      <c r="AH40" s="772">
        <f ca="1">SUMIFS(Сценарии!AQ$25:AQ$109,Сценарии!$F$25:$F$109,$F40,Сценарии!$AC$25:$AC$109,"Индекс потребительских цен")</f>
        <v>5</v>
      </c>
      <c r="AI40" s="772">
        <f ca="1">SUMIFS(Сценарии!AR$25:AR$109,Сценарии!$F$25:$F$109,$F40,Сценарии!$AC$25:$AC$109,"Индекс потребительских цен")</f>
        <v>5</v>
      </c>
      <c r="AJ40" s="772">
        <f ca="1">SUMIFS(Сценарии!AS$25:AS$109,Сценарии!$F$25:$F$109,$F40,Сценарии!$AC$25:$AC$109,"Индекс потребительских цен")</f>
        <v>5</v>
      </c>
      <c r="AK40" s="772">
        <f ca="1">SUMIFS(Сценарии!AT$25:AT$109,Сценарии!$F$25:$F$109,$F40,Сценарии!$AC$25:$AC$109,"Индекс потребительских цен")</f>
        <v>5</v>
      </c>
      <c r="AL40" s="772">
        <f ca="1">SUMIFS(Сценарии!AU$25:AU$109,Сценарии!$F$25:$F$109,$F40,Сценарии!$AC$25:$AC$109,"Индекс потребительских цен")</f>
        <v>0</v>
      </c>
      <c r="AM40" s="772">
        <f ca="1">SUMIFS(Сценарии!AV$25:AV$109,Сценарии!$F$25:$F$109,$F40,Сценарии!$AC$25:$AC$109,"Индекс потребительских цен")</f>
        <v>0</v>
      </c>
      <c r="AN40" s="772">
        <f ca="1">SUMIFS(Сценарии!AW$25:AW$109,Сценарии!$F$25:$F$109,$F40,Сценарии!$AC$25:$AC$109,"Индекс потребительских цен")</f>
        <v>0</v>
      </c>
      <c r="AO40" s="772">
        <f ca="1">SUMIFS(Сценарии!AK$25:AK$109,Сценарии!$F$25:$F$109,$F40,Сценарии!$AC$25:$AC$109,"Индекс потребительских цен")</f>
        <v>5.0999999999999996</v>
      </c>
      <c r="AP40" s="772">
        <f ca="1">SUMIFS(Сценарии!AX$25:AX$109,Сценарии!$F$25:$F$109,$F40,Сценарии!$AC$25:$AC$109,"Индекс потребительских цен")</f>
        <v>4</v>
      </c>
      <c r="AQ40" s="772">
        <f ca="1">SUMIFS(Сценарии!AY$25:AY$109,Сценарии!$F$25:$F$109,$F40,Сценарии!$AC$25:$AC$109,"Индекс потребительских цен")</f>
        <v>4</v>
      </c>
      <c r="AR40" s="772">
        <f ca="1">SUMIFS(Сценарии!AZ$25:AZ$109,Сценарии!$F$25:$F$109,$F40,Сценарии!$AC$25:$AC$109,"Индекс потребительских цен")</f>
        <v>4</v>
      </c>
      <c r="AS40" s="772">
        <f ca="1">SUMIFS(Сценарии!BA$25:BA$109,Сценарии!$F$25:$F$109,$F40,Сценарии!$AC$25:$AC$109,"Индекс потребительских цен")</f>
        <v>4</v>
      </c>
      <c r="AT40" s="772">
        <f ca="1">SUMIFS(Сценарии!BB$25:BB$109,Сценарии!$F$25:$F$109,$F40,Сценарии!$AC$25:$AC$109,"Индекс потребительских цен")</f>
        <v>4</v>
      </c>
      <c r="AU40" s="772">
        <f ca="1">SUMIFS(Сценарии!BC$25:BC$109,Сценарии!$F$25:$F$109,$F40,Сценарии!$AC$25:$AC$109,"Индекс потребительских цен")</f>
        <v>4</v>
      </c>
      <c r="AV40" s="772">
        <f ca="1">SUMIFS(Сценарии!BD$25:BD$109,Сценарии!$F$25:$F$109,$F40,Сценарии!$AC$25:$AC$109,"Индекс потребительских цен")</f>
        <v>0</v>
      </c>
      <c r="AW40" s="772">
        <f ca="1">SUMIFS(Сценарии!BE$25:BE$109,Сценарии!$F$25:$F$109,$F40,Сценарии!$AC$25:$AC$109,"Индекс потребительских цен")</f>
        <v>0</v>
      </c>
      <c r="AX40" s="772">
        <f ca="1">SUMIFS(Сценарии!BF$25:BF$109,Сценарии!$F$25:$F$109,$F40,Сценарии!$AC$25:$AC$109,"Индекс потребительских цен")</f>
        <v>0</v>
      </c>
      <c r="AY40" s="694"/>
      <c r="AZ40" s="348"/>
      <c r="BA40" s="1217"/>
      <c r="BB40" s="906" t="s">
        <v>1361</v>
      </c>
    </row>
    <row r="41" spans="1:54" s="1424" customFormat="1" ht="14.65" customHeight="1" x14ac:dyDescent="0.15">
      <c r="A41" s="41"/>
      <c r="B41" s="350"/>
      <c r="C41" s="41"/>
      <c r="D41" s="41"/>
      <c r="E41" s="542">
        <v>15</v>
      </c>
      <c r="F41" s="3" t="str" cm="1">
        <f t="array" aca="1" ref="F41" ca="1">OFFSET(E41,-1,1)</f>
        <v>1</v>
      </c>
      <c r="G41" s="348" t="s">
        <v>333</v>
      </c>
      <c r="H41" s="348"/>
      <c r="I41" s="348"/>
      <c r="J41" s="348"/>
      <c r="K41" s="41"/>
      <c r="L41" s="41"/>
      <c r="M41" s="41"/>
      <c r="N41" s="41"/>
      <c r="O41" s="41"/>
      <c r="P41" s="41"/>
      <c r="Q41" s="41"/>
      <c r="R41" s="41"/>
      <c r="S41" s="41"/>
      <c r="T41" s="388" t="b" cm="1">
        <f t="array" ref="T41">T40</f>
        <v>1</v>
      </c>
      <c r="U41" s="41"/>
      <c r="V41" s="41"/>
      <c r="W41" s="41"/>
      <c r="X41" s="2032"/>
      <c r="Y41" s="348"/>
      <c r="Z41" s="2067"/>
      <c r="AA41" s="348"/>
      <c r="AB41" s="686">
        <v>3</v>
      </c>
      <c r="AC41" s="771" t="s">
        <v>1362</v>
      </c>
      <c r="AD41" s="769" t="s">
        <v>490</v>
      </c>
      <c r="AE41" s="773">
        <v>1.2500000000000001E-2</v>
      </c>
      <c r="AF41" s="1423">
        <v>6.2500000000000001E-4</v>
      </c>
      <c r="AG41" s="1423">
        <v>3.1250000000000001E-5</v>
      </c>
      <c r="AH41" s="1423">
        <v>1.5625000000000001E-6</v>
      </c>
      <c r="AI41" s="1423">
        <v>7.8100000000000005E-8</v>
      </c>
      <c r="AJ41" s="1423">
        <v>3.9000000000000002E-9</v>
      </c>
      <c r="AK41" s="1423">
        <v>2.0000000000000001E-10</v>
      </c>
      <c r="AL41" s="773">
        <f t="shared" ref="AL41:AX41" ca="1" si="5">AK41*AL40/100</f>
        <v>0</v>
      </c>
      <c r="AM41" s="773">
        <f t="shared" ca="1" si="5"/>
        <v>0</v>
      </c>
      <c r="AN41" s="773">
        <f t="shared" ca="1" si="5"/>
        <v>0</v>
      </c>
      <c r="AO41" s="773">
        <f t="shared" ca="1" si="5"/>
        <v>0</v>
      </c>
      <c r="AP41" s="1423">
        <f t="shared" ca="1" si="5"/>
        <v>0</v>
      </c>
      <c r="AQ41" s="1423">
        <f t="shared" ca="1" si="5"/>
        <v>0</v>
      </c>
      <c r="AR41" s="1423">
        <f t="shared" ca="1" si="5"/>
        <v>0</v>
      </c>
      <c r="AS41" s="1423">
        <f t="shared" ca="1" si="5"/>
        <v>0</v>
      </c>
      <c r="AT41" s="1423">
        <f t="shared" ca="1" si="5"/>
        <v>0</v>
      </c>
      <c r="AU41" s="1423">
        <f t="shared" ca="1" si="5"/>
        <v>0</v>
      </c>
      <c r="AV41" s="773">
        <f t="shared" ca="1" si="5"/>
        <v>0</v>
      </c>
      <c r="AW41" s="773">
        <f t="shared" ca="1" si="5"/>
        <v>0</v>
      </c>
      <c r="AX41" s="773">
        <f t="shared" ca="1" si="5"/>
        <v>0</v>
      </c>
      <c r="AY41" s="694"/>
      <c r="AZ41" s="348"/>
      <c r="BA41" s="621"/>
      <c r="BB41" s="960" t="s">
        <v>1363</v>
      </c>
    </row>
    <row r="42" spans="1:54" s="1334" customFormat="1" ht="14.25" customHeight="1" x14ac:dyDescent="0.15">
      <c r="A42" s="160"/>
      <c r="B42" s="353"/>
      <c r="C42" s="160"/>
      <c r="D42" s="160"/>
      <c r="E42" s="614">
        <v>15</v>
      </c>
      <c r="F42" s="3" t="str" cm="1">
        <f t="array" aca="1" ref="F42" ca="1">OFFSET(E42,-1,1)</f>
        <v>1</v>
      </c>
      <c r="G42" s="348" t="s">
        <v>335</v>
      </c>
      <c r="H42" s="348" t="s">
        <v>1364</v>
      </c>
      <c r="I42" s="66"/>
      <c r="J42" s="66"/>
      <c r="K42" s="160"/>
      <c r="L42" s="160"/>
      <c r="M42" s="160"/>
      <c r="N42" s="160"/>
      <c r="O42" s="160"/>
      <c r="P42" s="160"/>
      <c r="Q42" s="160"/>
      <c r="R42" s="160"/>
      <c r="S42" s="160"/>
      <c r="T42" s="388" t="b" cm="1">
        <f t="array" ref="T42">T41</f>
        <v>1</v>
      </c>
      <c r="U42" s="160"/>
      <c r="V42" s="160"/>
      <c r="W42" s="160"/>
      <c r="X42" s="2032"/>
      <c r="Y42" s="66"/>
      <c r="Z42" s="2067"/>
      <c r="AA42" s="66"/>
      <c r="AB42" s="166" t="s">
        <v>441</v>
      </c>
      <c r="AC42" s="165" t="s">
        <v>1365</v>
      </c>
      <c r="AD42" s="166" t="s">
        <v>831</v>
      </c>
      <c r="AE42" s="763">
        <f t="shared" ref="AE42:AX42" si="6">AE36*AE41/100</f>
        <v>0</v>
      </c>
      <c r="AF42" s="763">
        <f t="shared" si="6"/>
        <v>0</v>
      </c>
      <c r="AG42" s="763">
        <f t="shared" si="6"/>
        <v>0</v>
      </c>
      <c r="AH42" s="763">
        <f t="shared" si="6"/>
        <v>0</v>
      </c>
      <c r="AI42" s="763">
        <f t="shared" si="6"/>
        <v>0</v>
      </c>
      <c r="AJ42" s="763">
        <f t="shared" si="6"/>
        <v>0</v>
      </c>
      <c r="AK42" s="763">
        <f t="shared" si="6"/>
        <v>0</v>
      </c>
      <c r="AL42" s="763">
        <f t="shared" ca="1" si="6"/>
        <v>0</v>
      </c>
      <c r="AM42" s="763">
        <f t="shared" ca="1" si="6"/>
        <v>0</v>
      </c>
      <c r="AN42" s="763">
        <f t="shared" ca="1" si="6"/>
        <v>0</v>
      </c>
      <c r="AO42" s="763">
        <f t="shared" ca="1" si="6"/>
        <v>0</v>
      </c>
      <c r="AP42" s="763">
        <f t="shared" ca="1" si="6"/>
        <v>0</v>
      </c>
      <c r="AQ42" s="763">
        <f t="shared" ca="1" si="6"/>
        <v>0</v>
      </c>
      <c r="AR42" s="763">
        <f t="shared" ca="1" si="6"/>
        <v>0</v>
      </c>
      <c r="AS42" s="763">
        <f t="shared" ca="1" si="6"/>
        <v>0</v>
      </c>
      <c r="AT42" s="763">
        <f t="shared" ca="1" si="6"/>
        <v>0</v>
      </c>
      <c r="AU42" s="763">
        <f t="shared" ca="1" si="6"/>
        <v>0</v>
      </c>
      <c r="AV42" s="763">
        <f t="shared" ca="1" si="6"/>
        <v>0</v>
      </c>
      <c r="AW42" s="763">
        <f t="shared" ca="1" si="6"/>
        <v>0</v>
      </c>
      <c r="AX42" s="763">
        <f t="shared" ca="1" si="6"/>
        <v>0</v>
      </c>
      <c r="AY42" s="694"/>
      <c r="AZ42" s="66"/>
      <c r="BA42" s="1217"/>
      <c r="BB42" s="906" t="s">
        <v>1366</v>
      </c>
    </row>
    <row r="43" spans="1:54" s="1334" customFormat="1" ht="14.25" customHeight="1" x14ac:dyDescent="0.15">
      <c r="A43" s="1217"/>
      <c r="B43" s="1111"/>
      <c r="C43" s="1217"/>
      <c r="D43" s="1217"/>
      <c r="E43" s="542">
        <v>15</v>
      </c>
      <c r="F43" s="416" t="str" cm="1">
        <f t="array" ref="F43">X43</f>
        <v>2</v>
      </c>
      <c r="G43" s="348"/>
      <c r="H43" s="348"/>
      <c r="I43" s="348"/>
      <c r="J43" s="348"/>
      <c r="K43" s="1217"/>
      <c r="L43" s="1217"/>
      <c r="M43" s="1217"/>
      <c r="N43" s="1217"/>
      <c r="O43" s="1217"/>
      <c r="P43" s="1217"/>
      <c r="Q43" s="1217"/>
      <c r="R43" s="1217"/>
      <c r="S43" s="1217"/>
      <c r="T43" s="388" t="b">
        <f>X43&gt;0</f>
        <v>1</v>
      </c>
      <c r="U43" s="1217"/>
      <c r="V43" s="41" t="str" cm="1">
        <f t="array" ref="V43">'ИП + источники'!$AB$87</f>
        <v>Тариф 2 (Водоотведение) - тариф на водоотведение</v>
      </c>
      <c r="W43" s="1217"/>
      <c r="X43" s="2032" t="s">
        <v>289</v>
      </c>
      <c r="Y43" s="348"/>
      <c r="Z43" s="2067"/>
      <c r="AA43" s="348"/>
      <c r="AB43" s="161" t="str" cm="1">
        <f t="array" ref="AB43">'ИП + источники'!$AB$87</f>
        <v>Тариф 2 (Водоотведение) - тариф на водоотведение</v>
      </c>
      <c r="AC43" s="751"/>
      <c r="AD43" s="751"/>
      <c r="AE43" s="751"/>
      <c r="AF43" s="751"/>
      <c r="AG43" s="751"/>
      <c r="AH43" s="751"/>
      <c r="AI43" s="751"/>
      <c r="AJ43" s="751"/>
      <c r="AK43" s="751"/>
      <c r="AL43" s="751"/>
      <c r="AM43" s="751"/>
      <c r="AN43" s="751"/>
      <c r="AO43" s="751"/>
      <c r="AP43" s="751"/>
      <c r="AQ43" s="751"/>
      <c r="AR43" s="751"/>
      <c r="AS43" s="751"/>
      <c r="AT43" s="751"/>
      <c r="AU43" s="751"/>
      <c r="AV43" s="751"/>
      <c r="AW43" s="751"/>
      <c r="AX43" s="751"/>
      <c r="AY43" s="751"/>
      <c r="AZ43" s="348"/>
      <c r="BA43" s="1217"/>
      <c r="BB43" s="1133"/>
    </row>
    <row r="44" spans="1:54" s="1334" customFormat="1" ht="14.25" customHeight="1" x14ac:dyDescent="0.15">
      <c r="A44" s="160"/>
      <c r="B44" s="353"/>
      <c r="C44" s="160"/>
      <c r="D44" s="160"/>
      <c r="E44" s="614">
        <v>15</v>
      </c>
      <c r="F44" s="3" t="str" cm="1">
        <f t="array" aca="1" ref="F44" ca="1">OFFSET(E44,-1,1)</f>
        <v>2</v>
      </c>
      <c r="G44" s="348" t="s">
        <v>331</v>
      </c>
      <c r="H44" s="66"/>
      <c r="I44" s="66"/>
      <c r="J44" s="66"/>
      <c r="K44" s="160"/>
      <c r="L44" s="160"/>
      <c r="M44" s="160"/>
      <c r="N44" s="160"/>
      <c r="O44" s="160"/>
      <c r="P44" s="160"/>
      <c r="Q44" s="160"/>
      <c r="R44" s="160"/>
      <c r="S44" s="160"/>
      <c r="T44" s="388" t="b" cm="1">
        <f t="array" ref="T44">T43</f>
        <v>1</v>
      </c>
      <c r="U44" s="160"/>
      <c r="V44" s="160"/>
      <c r="W44" s="160"/>
      <c r="X44" s="2032"/>
      <c r="Y44" s="66"/>
      <c r="Z44" s="2067"/>
      <c r="AA44" s="66"/>
      <c r="AB44" s="166" t="s">
        <v>282</v>
      </c>
      <c r="AC44" s="165" t="s">
        <v>1353</v>
      </c>
      <c r="AD44" s="166" t="s">
        <v>831</v>
      </c>
      <c r="AE44" s="763">
        <f t="shared" ref="AE44:AX44" si="7">AE45+AE46+AE47</f>
        <v>0</v>
      </c>
      <c r="AF44" s="763">
        <f t="shared" si="7"/>
        <v>0</v>
      </c>
      <c r="AG44" s="763">
        <f t="shared" si="7"/>
        <v>0</v>
      </c>
      <c r="AH44" s="763">
        <f t="shared" si="7"/>
        <v>0</v>
      </c>
      <c r="AI44" s="763">
        <f t="shared" si="7"/>
        <v>0</v>
      </c>
      <c r="AJ44" s="763">
        <f t="shared" si="7"/>
        <v>0</v>
      </c>
      <c r="AK44" s="763">
        <f t="shared" si="7"/>
        <v>0</v>
      </c>
      <c r="AL44" s="763">
        <f t="shared" si="7"/>
        <v>0</v>
      </c>
      <c r="AM44" s="763">
        <f t="shared" si="7"/>
        <v>0</v>
      </c>
      <c r="AN44" s="763">
        <f t="shared" si="7"/>
        <v>0</v>
      </c>
      <c r="AO44" s="763">
        <f t="shared" si="7"/>
        <v>0</v>
      </c>
      <c r="AP44" s="763">
        <f t="shared" si="7"/>
        <v>0</v>
      </c>
      <c r="AQ44" s="763">
        <f t="shared" si="7"/>
        <v>0</v>
      </c>
      <c r="AR44" s="763">
        <f t="shared" si="7"/>
        <v>0</v>
      </c>
      <c r="AS44" s="763">
        <f t="shared" si="7"/>
        <v>0</v>
      </c>
      <c r="AT44" s="763">
        <f t="shared" si="7"/>
        <v>0</v>
      </c>
      <c r="AU44" s="763">
        <f t="shared" si="7"/>
        <v>0</v>
      </c>
      <c r="AV44" s="763">
        <f t="shared" si="7"/>
        <v>0</v>
      </c>
      <c r="AW44" s="763">
        <f t="shared" si="7"/>
        <v>0</v>
      </c>
      <c r="AX44" s="763">
        <f t="shared" si="7"/>
        <v>0</v>
      </c>
      <c r="AY44" s="694"/>
      <c r="AZ44" s="66"/>
      <c r="BA44" s="1217"/>
      <c r="BB44" s="906" t="s">
        <v>1286</v>
      </c>
    </row>
    <row r="45" spans="1:54" s="1334" customFormat="1" ht="14.25" customHeight="1" x14ac:dyDescent="0.15">
      <c r="A45" s="1217"/>
      <c r="B45" s="1111"/>
      <c r="C45" s="1217"/>
      <c r="D45" s="1217"/>
      <c r="E45" s="542">
        <v>15</v>
      </c>
      <c r="F45" s="3" t="str" cm="1">
        <f t="array" aca="1" ref="F45" ca="1">OFFSET(E45,-1,1)</f>
        <v>2</v>
      </c>
      <c r="G45" s="348" t="s">
        <v>494</v>
      </c>
      <c r="H45" s="348"/>
      <c r="I45" s="348"/>
      <c r="J45" s="348"/>
      <c r="K45" s="1217"/>
      <c r="L45" s="1217"/>
      <c r="M45" s="1217"/>
      <c r="N45" s="1217"/>
      <c r="O45" s="1217"/>
      <c r="P45" s="1217"/>
      <c r="Q45" s="1217"/>
      <c r="R45" s="1217"/>
      <c r="S45" s="1217"/>
      <c r="T45" s="388" t="b" cm="1">
        <f t="array" ref="T45">T44</f>
        <v>1</v>
      </c>
      <c r="U45" s="1217"/>
      <c r="V45" s="1217"/>
      <c r="W45" s="1217"/>
      <c r="X45" s="2032"/>
      <c r="Y45" s="348"/>
      <c r="Z45" s="2067"/>
      <c r="AA45" s="348"/>
      <c r="AB45" s="769" t="s">
        <v>910</v>
      </c>
      <c r="AC45" s="770" t="s">
        <v>1354</v>
      </c>
      <c r="AD45" s="769" t="s">
        <v>831</v>
      </c>
      <c r="AE45" s="216"/>
      <c r="AF45" s="1407"/>
      <c r="AG45" s="1407"/>
      <c r="AH45" s="1407"/>
      <c r="AI45" s="1407"/>
      <c r="AJ45" s="1407"/>
      <c r="AK45" s="1407"/>
      <c r="AL45" s="216"/>
      <c r="AM45" s="216"/>
      <c r="AN45" s="216"/>
      <c r="AO45" s="216"/>
      <c r="AP45" s="1407"/>
      <c r="AQ45" s="1407"/>
      <c r="AR45" s="1407"/>
      <c r="AS45" s="1407"/>
      <c r="AT45" s="1407"/>
      <c r="AU45" s="1407"/>
      <c r="AV45" s="216"/>
      <c r="AW45" s="216"/>
      <c r="AX45" s="216"/>
      <c r="AY45" s="694"/>
      <c r="AZ45" s="348"/>
      <c r="BA45" s="1217"/>
      <c r="BB45" s="906" t="s">
        <v>1355</v>
      </c>
    </row>
    <row r="46" spans="1:54" s="1334" customFormat="1" ht="23.25" customHeight="1" x14ac:dyDescent="0.15">
      <c r="A46" s="1217"/>
      <c r="B46" s="1111"/>
      <c r="C46" s="1217"/>
      <c r="D46" s="1217"/>
      <c r="E46" s="542">
        <v>24</v>
      </c>
      <c r="F46" s="3" t="str" cm="1">
        <f t="array" aca="1" ref="F46" ca="1">OFFSET(E46,-1,1)</f>
        <v>2</v>
      </c>
      <c r="G46" s="348" t="s">
        <v>498</v>
      </c>
      <c r="H46" s="348"/>
      <c r="I46" s="348"/>
      <c r="J46" s="348"/>
      <c r="K46" s="1217"/>
      <c r="L46" s="1217"/>
      <c r="M46" s="1217"/>
      <c r="N46" s="1217"/>
      <c r="O46" s="1217"/>
      <c r="P46" s="1217"/>
      <c r="Q46" s="1217"/>
      <c r="R46" s="1217"/>
      <c r="S46" s="1217"/>
      <c r="T46" s="388" t="b" cm="1">
        <f t="array" ref="T46">T45</f>
        <v>1</v>
      </c>
      <c r="U46" s="1217"/>
      <c r="V46" s="1217"/>
      <c r="W46" s="1217"/>
      <c r="X46" s="2032"/>
      <c r="Y46" s="348"/>
      <c r="Z46" s="2067"/>
      <c r="AA46" s="348"/>
      <c r="AB46" s="769" t="s">
        <v>913</v>
      </c>
      <c r="AC46" s="770" t="s">
        <v>1356</v>
      </c>
      <c r="AD46" s="769" t="s">
        <v>831</v>
      </c>
      <c r="AE46" s="216"/>
      <c r="AF46" s="1407"/>
      <c r="AG46" s="1407"/>
      <c r="AH46" s="1407"/>
      <c r="AI46" s="1407"/>
      <c r="AJ46" s="1407"/>
      <c r="AK46" s="1407"/>
      <c r="AL46" s="216"/>
      <c r="AM46" s="216"/>
      <c r="AN46" s="216"/>
      <c r="AO46" s="216"/>
      <c r="AP46" s="1407"/>
      <c r="AQ46" s="1407"/>
      <c r="AR46" s="1407"/>
      <c r="AS46" s="1407"/>
      <c r="AT46" s="1407"/>
      <c r="AU46" s="1407"/>
      <c r="AV46" s="216"/>
      <c r="AW46" s="216"/>
      <c r="AX46" s="216"/>
      <c r="AY46" s="694"/>
      <c r="AZ46" s="348"/>
      <c r="BA46" s="1217"/>
      <c r="BB46" s="906" t="s">
        <v>1357</v>
      </c>
    </row>
    <row r="47" spans="1:54" s="1334" customFormat="1" ht="33" customHeight="1" x14ac:dyDescent="0.15">
      <c r="A47" s="41"/>
      <c r="B47" s="350"/>
      <c r="C47" s="41"/>
      <c r="D47" s="41"/>
      <c r="E47" s="542">
        <v>34.200000000000003</v>
      </c>
      <c r="F47" s="1090" t="str" cm="1">
        <f t="array" aca="1" ref="F47" ca="1">OFFSET(E47,-1,1)</f>
        <v>2</v>
      </c>
      <c r="G47" s="348" t="s">
        <v>501</v>
      </c>
      <c r="H47" s="348"/>
      <c r="I47" s="348"/>
      <c r="J47" s="348"/>
      <c r="K47" s="41"/>
      <c r="L47" s="41"/>
      <c r="M47" s="41"/>
      <c r="N47" s="41"/>
      <c r="O47" s="41"/>
      <c r="P47" s="41"/>
      <c r="Q47" s="41"/>
      <c r="R47" s="41"/>
      <c r="S47" s="41"/>
      <c r="T47" s="388" t="b" cm="1">
        <f t="array" ref="T47">T46</f>
        <v>1</v>
      </c>
      <c r="U47" s="41"/>
      <c r="V47" s="41"/>
      <c r="W47" s="41"/>
      <c r="X47" s="2032"/>
      <c r="Y47" s="348"/>
      <c r="Z47" s="2067"/>
      <c r="AA47" s="348"/>
      <c r="AB47" s="769" t="s">
        <v>916</v>
      </c>
      <c r="AC47" s="770" t="s">
        <v>1358</v>
      </c>
      <c r="AD47" s="769" t="s">
        <v>831</v>
      </c>
      <c r="AE47" s="216"/>
      <c r="AF47" s="1407"/>
      <c r="AG47" s="1407"/>
      <c r="AH47" s="1407"/>
      <c r="AI47" s="1407"/>
      <c r="AJ47" s="1407"/>
      <c r="AK47" s="1407"/>
      <c r="AL47" s="216"/>
      <c r="AM47" s="216"/>
      <c r="AN47" s="216"/>
      <c r="AO47" s="216"/>
      <c r="AP47" s="1407"/>
      <c r="AQ47" s="1407"/>
      <c r="AR47" s="1407"/>
      <c r="AS47" s="1407"/>
      <c r="AT47" s="1407"/>
      <c r="AU47" s="1407"/>
      <c r="AV47" s="216"/>
      <c r="AW47" s="216"/>
      <c r="AX47" s="216"/>
      <c r="AY47" s="694"/>
      <c r="AZ47" s="348"/>
      <c r="BB47" s="957" t="s">
        <v>1359</v>
      </c>
    </row>
    <row r="48" spans="1:54" s="1334" customFormat="1" ht="14.25" customHeight="1" x14ac:dyDescent="0.15">
      <c r="A48" s="1217"/>
      <c r="B48" s="1111"/>
      <c r="C48" s="1217"/>
      <c r="D48" s="1217"/>
      <c r="E48" s="542">
        <v>15</v>
      </c>
      <c r="F48" s="3" t="str" cm="1">
        <f t="array" aca="1" ref="F48" ca="1">OFFSET(E48,-1,1)</f>
        <v>2</v>
      </c>
      <c r="G48" s="348" t="s">
        <v>332</v>
      </c>
      <c r="H48" s="348"/>
      <c r="I48" s="348"/>
      <c r="J48" s="348"/>
      <c r="K48" s="1217"/>
      <c r="L48" s="1217"/>
      <c r="M48" s="1217"/>
      <c r="N48" s="1217"/>
      <c r="O48" s="1217"/>
      <c r="P48" s="1217"/>
      <c r="Q48" s="1217"/>
      <c r="R48" s="1217"/>
      <c r="S48" s="1217"/>
      <c r="T48" s="388" t="b" cm="1">
        <f t="array" ref="T48">T47</f>
        <v>1</v>
      </c>
      <c r="U48" s="1217"/>
      <c r="V48" s="1217"/>
      <c r="W48" s="1217"/>
      <c r="X48" s="2032"/>
      <c r="Y48" s="348"/>
      <c r="Z48" s="2067"/>
      <c r="AA48" s="348"/>
      <c r="AB48" s="769" t="s">
        <v>289</v>
      </c>
      <c r="AC48" s="771" t="s">
        <v>1360</v>
      </c>
      <c r="AD48" s="769" t="s">
        <v>490</v>
      </c>
      <c r="AE48" s="772">
        <f ca="1">SUMIFS(Сценарии!AJ$25:AJ$109,Сценарии!$F$25:$F$109,$F48,Сценарии!$AC$25:$AC$109,"Индекс потребительских цен")</f>
        <v>5</v>
      </c>
      <c r="AF48" s="772">
        <f ca="1">SUMIFS(Сценарии!AO$25:AO$109,Сценарии!$F$25:$F$109,$F48,Сценарии!$AC$25:$AC$109,"Индекс потребительских цен")</f>
        <v>0</v>
      </c>
      <c r="AG48" s="772">
        <f ca="1">SUMIFS(Сценарии!AP$25:AP$109,Сценарии!$F$25:$F$109,$F48,Сценарии!$AC$25:$AC$109,"Индекс потребительских цен")</f>
        <v>0</v>
      </c>
      <c r="AH48" s="772">
        <f ca="1">SUMIFS(Сценарии!AQ$25:AQ$109,Сценарии!$F$25:$F$109,$F48,Сценарии!$AC$25:$AC$109,"Индекс потребительских цен")</f>
        <v>0</v>
      </c>
      <c r="AI48" s="772">
        <f ca="1">SUMIFS(Сценарии!AR$25:AR$109,Сценарии!$F$25:$F$109,$F48,Сценарии!$AC$25:$AC$109,"Индекс потребительских цен")</f>
        <v>0</v>
      </c>
      <c r="AJ48" s="772">
        <f ca="1">SUMIFS(Сценарии!AS$25:AS$109,Сценарии!$F$25:$F$109,$F48,Сценарии!$AC$25:$AC$109,"Индекс потребительских цен")</f>
        <v>0</v>
      </c>
      <c r="AK48" s="772">
        <f ca="1">SUMIFS(Сценарии!AT$25:AT$109,Сценарии!$F$25:$F$109,$F48,Сценарии!$AC$25:$AC$109,"Индекс потребительских цен")</f>
        <v>0</v>
      </c>
      <c r="AL48" s="772">
        <f ca="1">SUMIFS(Сценарии!AU$25:AU$109,Сценарии!$F$25:$F$109,$F48,Сценарии!$AC$25:$AC$109,"Индекс потребительских цен")</f>
        <v>0</v>
      </c>
      <c r="AM48" s="772">
        <f ca="1">SUMIFS(Сценарии!AV$25:AV$109,Сценарии!$F$25:$F$109,$F48,Сценарии!$AC$25:$AC$109,"Индекс потребительских цен")</f>
        <v>0</v>
      </c>
      <c r="AN48" s="772">
        <f ca="1">SUMIFS(Сценарии!AW$25:AW$109,Сценарии!$F$25:$F$109,$F48,Сценарии!$AC$25:$AC$109,"Индекс потребительских цен")</f>
        <v>0</v>
      </c>
      <c r="AO48" s="772">
        <f ca="1">SUMIFS(Сценарии!AK$25:AK$109,Сценарии!$F$25:$F$109,$F48,Сценарии!$AC$25:$AC$109,"Индекс потребительских цен")</f>
        <v>5.0999999999999996</v>
      </c>
      <c r="AP48" s="772">
        <f ca="1">SUMIFS(Сценарии!AX$25:AX$109,Сценарии!$F$25:$F$109,$F48,Сценарии!$AC$25:$AC$109,"Индекс потребительских цен")</f>
        <v>0</v>
      </c>
      <c r="AQ48" s="772">
        <f ca="1">SUMIFS(Сценарии!AY$25:AY$109,Сценарии!$F$25:$F$109,$F48,Сценарии!$AC$25:$AC$109,"Индекс потребительских цен")</f>
        <v>0</v>
      </c>
      <c r="AR48" s="772">
        <f ca="1">SUMIFS(Сценарии!AZ$25:AZ$109,Сценарии!$F$25:$F$109,$F48,Сценарии!$AC$25:$AC$109,"Индекс потребительских цен")</f>
        <v>0</v>
      </c>
      <c r="AS48" s="772">
        <f ca="1">SUMIFS(Сценарии!BA$25:BA$109,Сценарии!$F$25:$F$109,$F48,Сценарии!$AC$25:$AC$109,"Индекс потребительских цен")</f>
        <v>0</v>
      </c>
      <c r="AT48" s="772">
        <f ca="1">SUMIFS(Сценарии!BB$25:BB$109,Сценарии!$F$25:$F$109,$F48,Сценарии!$AC$25:$AC$109,"Индекс потребительских цен")</f>
        <v>0</v>
      </c>
      <c r="AU48" s="772">
        <f ca="1">SUMIFS(Сценарии!BC$25:BC$109,Сценарии!$F$25:$F$109,$F48,Сценарии!$AC$25:$AC$109,"Индекс потребительских цен")</f>
        <v>0</v>
      </c>
      <c r="AV48" s="772">
        <f ca="1">SUMIFS(Сценарии!BD$25:BD$109,Сценарии!$F$25:$F$109,$F48,Сценарии!$AC$25:$AC$109,"Индекс потребительских цен")</f>
        <v>0</v>
      </c>
      <c r="AW48" s="772">
        <f ca="1">SUMIFS(Сценарии!BE$25:BE$109,Сценарии!$F$25:$F$109,$F48,Сценарии!$AC$25:$AC$109,"Индекс потребительских цен")</f>
        <v>0</v>
      </c>
      <c r="AX48" s="772">
        <f ca="1">SUMIFS(Сценарии!BF$25:BF$109,Сценарии!$F$25:$F$109,$F48,Сценарии!$AC$25:$AC$109,"Индекс потребительских цен")</f>
        <v>0</v>
      </c>
      <c r="AY48" s="694"/>
      <c r="AZ48" s="348"/>
      <c r="BA48" s="1217"/>
      <c r="BB48" s="906" t="s">
        <v>1361</v>
      </c>
    </row>
    <row r="49" spans="1:54" s="1425" customFormat="1" ht="14.25" customHeight="1" x14ac:dyDescent="0.15">
      <c r="A49" s="41"/>
      <c r="B49" s="350"/>
      <c r="C49" s="41"/>
      <c r="D49" s="41"/>
      <c r="E49" s="542">
        <v>15</v>
      </c>
      <c r="F49" s="3" t="str" cm="1">
        <f t="array" aca="1" ref="F49" ca="1">OFFSET(E49,-1,1)</f>
        <v>2</v>
      </c>
      <c r="G49" s="348" t="s">
        <v>333</v>
      </c>
      <c r="H49" s="348"/>
      <c r="I49" s="348"/>
      <c r="J49" s="348"/>
      <c r="K49" s="41"/>
      <c r="L49" s="41"/>
      <c r="M49" s="41"/>
      <c r="N49" s="41"/>
      <c r="O49" s="41"/>
      <c r="P49" s="41"/>
      <c r="Q49" s="41"/>
      <c r="R49" s="41"/>
      <c r="S49" s="41"/>
      <c r="T49" s="388" t="b" cm="1">
        <f t="array" ref="T49">T48</f>
        <v>1</v>
      </c>
      <c r="U49" s="41"/>
      <c r="V49" s="41"/>
      <c r="W49" s="41"/>
      <c r="X49" s="2032"/>
      <c r="Y49" s="348"/>
      <c r="Z49" s="2067"/>
      <c r="AA49" s="348"/>
      <c r="AB49" s="686">
        <v>3</v>
      </c>
      <c r="AC49" s="771" t="s">
        <v>1362</v>
      </c>
      <c r="AD49" s="769" t="s">
        <v>490</v>
      </c>
      <c r="AE49" s="773" cm="1">
        <f t="array" aca="1" ref="AE49" ca="1">AE48</f>
        <v>5</v>
      </c>
      <c r="AF49" s="1423">
        <f t="shared" ref="AF49:AX49" ca="1" si="8">AE49*AF48/100</f>
        <v>0</v>
      </c>
      <c r="AG49" s="1423">
        <f t="shared" ca="1" si="8"/>
        <v>0</v>
      </c>
      <c r="AH49" s="1423">
        <f t="shared" ca="1" si="8"/>
        <v>0</v>
      </c>
      <c r="AI49" s="1423">
        <f t="shared" ca="1" si="8"/>
        <v>0</v>
      </c>
      <c r="AJ49" s="1423">
        <f t="shared" ca="1" si="8"/>
        <v>0</v>
      </c>
      <c r="AK49" s="1423">
        <f t="shared" ca="1" si="8"/>
        <v>0</v>
      </c>
      <c r="AL49" s="773">
        <f t="shared" ca="1" si="8"/>
        <v>0</v>
      </c>
      <c r="AM49" s="773">
        <f t="shared" ca="1" si="8"/>
        <v>0</v>
      </c>
      <c r="AN49" s="773">
        <f t="shared" ca="1" si="8"/>
        <v>0</v>
      </c>
      <c r="AO49" s="773">
        <f t="shared" ca="1" si="8"/>
        <v>0</v>
      </c>
      <c r="AP49" s="1423">
        <f t="shared" ca="1" si="8"/>
        <v>0</v>
      </c>
      <c r="AQ49" s="1423">
        <f t="shared" ca="1" si="8"/>
        <v>0</v>
      </c>
      <c r="AR49" s="1423">
        <f t="shared" ca="1" si="8"/>
        <v>0</v>
      </c>
      <c r="AS49" s="1423">
        <f t="shared" ca="1" si="8"/>
        <v>0</v>
      </c>
      <c r="AT49" s="1423">
        <f t="shared" ca="1" si="8"/>
        <v>0</v>
      </c>
      <c r="AU49" s="1423">
        <f t="shared" ca="1" si="8"/>
        <v>0</v>
      </c>
      <c r="AV49" s="773">
        <f t="shared" ca="1" si="8"/>
        <v>0</v>
      </c>
      <c r="AW49" s="773">
        <f t="shared" ca="1" si="8"/>
        <v>0</v>
      </c>
      <c r="AX49" s="773">
        <f t="shared" ca="1" si="8"/>
        <v>0</v>
      </c>
      <c r="AY49" s="694"/>
      <c r="AZ49" s="348"/>
      <c r="BA49" s="621"/>
      <c r="BB49" s="960" t="s">
        <v>1363</v>
      </c>
    </row>
    <row r="50" spans="1:54" s="1334" customFormat="1" ht="14.25" customHeight="1" x14ac:dyDescent="0.15">
      <c r="A50" s="160"/>
      <c r="B50" s="353"/>
      <c r="C50" s="160"/>
      <c r="D50" s="160"/>
      <c r="E50" s="614">
        <v>15</v>
      </c>
      <c r="F50" s="3" t="str" cm="1">
        <f t="array" aca="1" ref="F50" ca="1">OFFSET(E50,-1,1)</f>
        <v>2</v>
      </c>
      <c r="G50" s="348" t="s">
        <v>335</v>
      </c>
      <c r="H50" s="348" t="s">
        <v>1364</v>
      </c>
      <c r="I50" s="66"/>
      <c r="J50" s="66"/>
      <c r="K50" s="160"/>
      <c r="L50" s="160"/>
      <c r="M50" s="160"/>
      <c r="N50" s="160"/>
      <c r="O50" s="160"/>
      <c r="P50" s="160"/>
      <c r="Q50" s="160"/>
      <c r="R50" s="160"/>
      <c r="S50" s="160"/>
      <c r="T50" s="388" t="b" cm="1">
        <f t="array" ref="T50">T49</f>
        <v>1</v>
      </c>
      <c r="U50" s="160"/>
      <c r="V50" s="160"/>
      <c r="W50" s="160"/>
      <c r="X50" s="2032"/>
      <c r="Y50" s="66"/>
      <c r="Z50" s="2067"/>
      <c r="AA50" s="66"/>
      <c r="AB50" s="166" t="s">
        <v>441</v>
      </c>
      <c r="AC50" s="165" t="s">
        <v>1365</v>
      </c>
      <c r="AD50" s="166" t="s">
        <v>831</v>
      </c>
      <c r="AE50" s="763">
        <f t="shared" ref="AE50:AX50" ca="1" si="9">AE44*AE49/100</f>
        <v>0</v>
      </c>
      <c r="AF50" s="763">
        <f t="shared" ca="1" si="9"/>
        <v>0</v>
      </c>
      <c r="AG50" s="763">
        <f t="shared" ca="1" si="9"/>
        <v>0</v>
      </c>
      <c r="AH50" s="763">
        <f t="shared" ca="1" si="9"/>
        <v>0</v>
      </c>
      <c r="AI50" s="763">
        <f t="shared" ca="1" si="9"/>
        <v>0</v>
      </c>
      <c r="AJ50" s="763">
        <f t="shared" ca="1" si="9"/>
        <v>0</v>
      </c>
      <c r="AK50" s="763">
        <f t="shared" ca="1" si="9"/>
        <v>0</v>
      </c>
      <c r="AL50" s="763">
        <f t="shared" ca="1" si="9"/>
        <v>0</v>
      </c>
      <c r="AM50" s="763">
        <f t="shared" ca="1" si="9"/>
        <v>0</v>
      </c>
      <c r="AN50" s="763">
        <f t="shared" ca="1" si="9"/>
        <v>0</v>
      </c>
      <c r="AO50" s="763">
        <f t="shared" ca="1" si="9"/>
        <v>0</v>
      </c>
      <c r="AP50" s="763">
        <f t="shared" ca="1" si="9"/>
        <v>0</v>
      </c>
      <c r="AQ50" s="763">
        <f t="shared" ca="1" si="9"/>
        <v>0</v>
      </c>
      <c r="AR50" s="763">
        <f t="shared" ca="1" si="9"/>
        <v>0</v>
      </c>
      <c r="AS50" s="763">
        <f t="shared" ca="1" si="9"/>
        <v>0</v>
      </c>
      <c r="AT50" s="763">
        <f t="shared" ca="1" si="9"/>
        <v>0</v>
      </c>
      <c r="AU50" s="763">
        <f t="shared" ca="1" si="9"/>
        <v>0</v>
      </c>
      <c r="AV50" s="763">
        <f t="shared" ca="1" si="9"/>
        <v>0</v>
      </c>
      <c r="AW50" s="763">
        <f t="shared" ca="1" si="9"/>
        <v>0</v>
      </c>
      <c r="AX50" s="763">
        <f t="shared" ca="1" si="9"/>
        <v>0</v>
      </c>
      <c r="AY50" s="694"/>
      <c r="AZ50" s="66"/>
      <c r="BA50" s="1217"/>
      <c r="BB50" s="906" t="s">
        <v>1366</v>
      </c>
    </row>
    <row r="51" spans="1:54" ht="10.9" customHeight="1" x14ac:dyDescent="0.15">
      <c r="A51"/>
      <c r="B51" s="352"/>
      <c r="C51"/>
      <c r="D51"/>
      <c r="E51" s="548">
        <v>11.25</v>
      </c>
      <c r="F51"/>
      <c r="G51"/>
      <c r="H51"/>
      <c r="I51"/>
      <c r="J51"/>
      <c r="K51"/>
      <c r="L51"/>
      <c r="M51"/>
      <c r="N51"/>
      <c r="O51"/>
      <c r="P51"/>
      <c r="Q51"/>
      <c r="R51"/>
      <c r="S51"/>
      <c r="T51"/>
      <c r="U51" s="405" t="s">
        <v>176</v>
      </c>
      <c r="V51" s="59" t="s">
        <v>1367</v>
      </c>
      <c r="W51"/>
      <c r="X51"/>
      <c r="Y51"/>
      <c r="Z51"/>
      <c r="AA51"/>
      <c r="AB51"/>
      <c r="AC51" s="19"/>
      <c r="AD51" s="19"/>
      <c r="AE51" s="19"/>
      <c r="AF51" s="19"/>
      <c r="AG51"/>
      <c r="AH51"/>
      <c r="AI51"/>
      <c r="AJ51"/>
      <c r="AK51"/>
      <c r="AL51"/>
      <c r="AM51"/>
      <c r="AN51"/>
      <c r="AO51"/>
      <c r="AP51"/>
      <c r="AQ51" s="20"/>
      <c r="AR51"/>
      <c r="AS51"/>
      <c r="AT51"/>
      <c r="AU51"/>
      <c r="AV51"/>
      <c r="AW51"/>
      <c r="AX51"/>
      <c r="AY51"/>
      <c r="AZ51"/>
    </row>
    <row r="52" spans="1:54" ht="14.65" customHeight="1" x14ac:dyDescent="0.15">
      <c r="E52" s="542">
        <v>15</v>
      </c>
      <c r="F52" s="348"/>
      <c r="G52" s="348"/>
      <c r="H52" s="348"/>
      <c r="I52" s="348"/>
      <c r="J52" s="348"/>
      <c r="AB52" s="2035" t="s">
        <v>402</v>
      </c>
      <c r="AC52" s="2035"/>
      <c r="AD52" s="2035"/>
      <c r="AE52" s="2035"/>
      <c r="AF52" s="2035"/>
      <c r="AG52" s="2035"/>
      <c r="AH52" s="2035"/>
      <c r="AI52" s="2035"/>
      <c r="AJ52" s="2035"/>
      <c r="AK52" s="2035"/>
      <c r="AL52" s="2035"/>
      <c r="AM52" s="2035"/>
      <c r="AN52" s="2035"/>
      <c r="AO52" s="2035"/>
      <c r="AP52" s="2035"/>
      <c r="AQ52" s="2035"/>
      <c r="AR52" s="2035"/>
      <c r="AS52" s="2035"/>
      <c r="AT52" s="2035"/>
      <c r="AU52" s="2035"/>
      <c r="AV52" s="2035"/>
      <c r="AW52" s="2035"/>
      <c r="AX52" s="2068"/>
      <c r="AY52" s="2068"/>
    </row>
    <row r="53" spans="1:54" ht="14.65" customHeight="1" x14ac:dyDescent="0.15">
      <c r="E53" s="542">
        <v>15</v>
      </c>
      <c r="F53" s="348"/>
      <c r="G53" s="348"/>
      <c r="H53" s="348"/>
      <c r="I53" s="348"/>
      <c r="J53" s="348"/>
      <c r="AA53" s="92"/>
      <c r="AB53" s="2104"/>
      <c r="AC53" s="2107"/>
      <c r="AD53" s="2107"/>
      <c r="AE53" s="2107"/>
      <c r="AF53" s="2107"/>
      <c r="AG53" s="2107"/>
      <c r="AH53" s="2107"/>
      <c r="AI53" s="2107"/>
      <c r="AJ53" s="2107"/>
      <c r="AK53" s="2107"/>
      <c r="AL53" s="2107"/>
      <c r="AM53" s="2107"/>
      <c r="AN53" s="2107"/>
      <c r="AO53" s="2107"/>
      <c r="AP53" s="2107"/>
      <c r="AQ53" s="2107"/>
      <c r="AR53" s="2107"/>
      <c r="AS53" s="2107"/>
      <c r="AT53" s="2107"/>
      <c r="AU53" s="2107"/>
      <c r="AV53" s="2107"/>
      <c r="AW53" s="2107"/>
      <c r="AX53" s="2108"/>
      <c r="AY53" s="2108"/>
    </row>
    <row r="54" spans="1:54" ht="14.65" hidden="1" customHeight="1" x14ac:dyDescent="0.15">
      <c r="E54" s="542">
        <v>15</v>
      </c>
      <c r="T54" s="388" t="b">
        <f>ROW(W54)&gt;ROW(W$54)</f>
        <v>0</v>
      </c>
      <c r="W54" s="677" t="s">
        <v>172</v>
      </c>
      <c r="AA54" s="342" t="s">
        <v>173</v>
      </c>
      <c r="AB54" s="2105" t="s">
        <v>147</v>
      </c>
      <c r="AC54" s="2107"/>
      <c r="AD54" s="2107"/>
      <c r="AE54" s="2107"/>
      <c r="AF54" s="2107"/>
      <c r="AG54" s="2107"/>
      <c r="AH54" s="2107"/>
      <c r="AI54" s="2107"/>
      <c r="AJ54" s="2107"/>
      <c r="AK54" s="2107"/>
      <c r="AL54" s="2107"/>
      <c r="AM54" s="2107"/>
      <c r="AN54" s="2107"/>
      <c r="AO54" s="2107"/>
      <c r="AP54" s="2107"/>
      <c r="AQ54" s="2107"/>
      <c r="AR54" s="2107"/>
      <c r="AS54" s="2107"/>
      <c r="AT54" s="2107"/>
      <c r="AU54" s="2107"/>
      <c r="AV54" s="2107"/>
      <c r="AW54" s="2107"/>
      <c r="AX54" s="2108"/>
      <c r="AY54" s="2108"/>
    </row>
    <row r="55" spans="1:54" s="621" customFormat="1" ht="14.65" customHeight="1" x14ac:dyDescent="0.15">
      <c r="A55" s="41"/>
      <c r="B55" s="350"/>
      <c r="C55" s="41"/>
      <c r="D55" s="41"/>
      <c r="E55" s="542">
        <v>15</v>
      </c>
      <c r="F55" s="41"/>
      <c r="G55" s="41"/>
      <c r="H55" s="41"/>
      <c r="I55" s="41"/>
      <c r="J55" s="41"/>
      <c r="K55" s="41"/>
      <c r="L55" s="41"/>
      <c r="M55" s="41"/>
      <c r="N55" s="41"/>
      <c r="O55" s="41"/>
      <c r="P55" s="41"/>
      <c r="Q55" s="41"/>
      <c r="R55" s="41"/>
      <c r="S55" s="41"/>
      <c r="T55" s="41"/>
      <c r="U55" s="41"/>
      <c r="V55" s="41"/>
      <c r="W55" s="677" t="s">
        <v>403</v>
      </c>
      <c r="X55" s="41"/>
      <c r="Y55" s="41"/>
      <c r="Z55" s="41"/>
      <c r="AA55" s="41"/>
      <c r="AB55" s="571"/>
      <c r="AC55" s="437" t="s">
        <v>404</v>
      </c>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193"/>
      <c r="AZ55" s="41"/>
      <c r="BB55" s="960"/>
    </row>
    <row r="56" spans="1:54" s="1334" customFormat="1" ht="10.7" customHeight="1" x14ac:dyDescent="0.15">
      <c r="A56" s="41"/>
      <c r="B56" s="350"/>
      <c r="C56" s="41"/>
      <c r="D56" s="41"/>
      <c r="E56" s="542">
        <v>11</v>
      </c>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348"/>
      <c r="BB56" s="913"/>
    </row>
  </sheetData>
  <sheetProtection formatColumns="0" formatRows="0" insertRows="0" deleteColumns="0" deleteRows="0" sort="0" autoFilter="0"/>
  <mergeCells count="13">
    <mergeCell ref="X27:X34"/>
    <mergeCell ref="Z27:Z34"/>
    <mergeCell ref="AB52:AY52"/>
    <mergeCell ref="AB53:AY53"/>
    <mergeCell ref="X35:X42"/>
    <mergeCell ref="Z35:Z42"/>
    <mergeCell ref="X43:X50"/>
    <mergeCell ref="Z43:Z50"/>
    <mergeCell ref="AB24:AB25"/>
    <mergeCell ref="AC24:AC25"/>
    <mergeCell ref="AD24:AD25"/>
    <mergeCell ref="AY24:AY25"/>
    <mergeCell ref="AB54:AY54"/>
  </mergeCells>
  <dataValidations count="1">
    <dataValidation allowBlank="1" showInputMessage="1" showErrorMessage="1" sqref="AY52:AY54" xr:uid="{00000000-0002-0000-17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73DFD-233A-CE97-95F8-B68929792AD3}">
  <sheetPr>
    <tabColor rgb="FF002060"/>
  </sheetPr>
  <dimension ref="A1:AQ40"/>
  <sheetViews>
    <sheetView showGridLines="0" workbookViewId="0">
      <pane xSplit="30" ySplit="24" topLeftCell="AE25" activePane="bottomRight" state="frozen"/>
      <selection pane="topRight" activeCell="AE1" sqref="AE1"/>
      <selection pane="bottomLeft" activeCell="A25" sqref="A25"/>
      <selection pane="bottomRight" activeCell="AB37" sqref="AB37:AL37"/>
    </sheetView>
  </sheetViews>
  <sheetFormatPr defaultColWidth="9.140625" defaultRowHeight="11.25" customHeight="1" x14ac:dyDescent="0.15"/>
  <cols>
    <col min="1" max="1" width="3.5703125" style="1217" hidden="1" customWidth="1"/>
    <col min="2" max="2" width="8.5703125" style="1111" hidden="1" customWidth="1"/>
    <col min="3" max="4" width="3.5703125" style="1217" hidden="1" customWidth="1"/>
    <col min="5" max="5" width="3.5703125" style="1080" hidden="1" customWidth="1"/>
    <col min="6" max="6" width="3.5703125" style="1077" hidden="1" customWidth="1"/>
    <col min="7" max="19" width="3.5703125" style="1217" hidden="1" customWidth="1"/>
    <col min="20" max="20" width="10.42578125" style="1217" hidden="1" customWidth="1"/>
    <col min="21" max="21" width="5.85546875" style="1217" hidden="1" customWidth="1"/>
    <col min="22" max="23" width="6.140625" style="1217" hidden="1" customWidth="1"/>
    <col min="24" max="25" width="5.5703125" style="1217" hidden="1" customWidth="1"/>
    <col min="26" max="26" width="5.28515625" style="1217" hidden="1" customWidth="1"/>
    <col min="27" max="27" width="3" style="1217" customWidth="1"/>
    <col min="28" max="28" width="11" style="1217" customWidth="1"/>
    <col min="29" max="29" width="50" style="1217" customWidth="1"/>
    <col min="30" max="30" width="10" style="1217" customWidth="1"/>
    <col min="31" max="31" width="15" style="1217" customWidth="1"/>
    <col min="32" max="32" width="16.5703125" style="1217" customWidth="1"/>
    <col min="33" max="33" width="18.7109375" style="1217" customWidth="1"/>
    <col min="34" max="34" width="25.85546875" style="1217" customWidth="1"/>
    <col min="35" max="35" width="18.42578125" style="1217" customWidth="1"/>
    <col min="36" max="36" width="29.140625" style="1217" customWidth="1"/>
    <col min="37" max="37" width="18.42578125" style="1217" customWidth="1"/>
    <col min="38" max="38" width="15" style="1217" customWidth="1"/>
    <col min="39" max="39" width="3" style="1217" customWidth="1"/>
    <col min="40" max="40" width="9.140625" style="1217" hidden="1"/>
    <col min="41" max="41" width="9.140625" style="1133" hidden="1"/>
    <col min="42" max="43" width="9.140625" style="1217" hidden="1"/>
  </cols>
  <sheetData>
    <row r="1" spans="1:41" ht="11.25" hidden="1" customHeight="1" x14ac:dyDescent="0.15">
      <c r="E1" s="41"/>
      <c r="F1" s="669" t="s">
        <v>319</v>
      </c>
      <c r="G1" s="41" t="s">
        <v>330</v>
      </c>
      <c r="T1" s="388" t="s">
        <v>92</v>
      </c>
      <c r="U1" s="388" t="s">
        <v>97</v>
      </c>
      <c r="V1" s="388" t="s">
        <v>93</v>
      </c>
      <c r="W1" s="388" t="s">
        <v>94</v>
      </c>
      <c r="X1" s="388" t="s">
        <v>95</v>
      </c>
      <c r="Y1" s="390" t="s">
        <v>321</v>
      </c>
      <c r="Z1" s="388" t="s">
        <v>99</v>
      </c>
      <c r="AA1" s="389" t="s">
        <v>96</v>
      </c>
      <c r="AB1" s="4"/>
      <c r="AC1" s="389" t="s">
        <v>98</v>
      </c>
      <c r="AO1" s="906" t="s">
        <v>322</v>
      </c>
    </row>
    <row r="2" spans="1:41" s="1111" customFormat="1" ht="11.25" hidden="1" customHeight="1" x14ac:dyDescent="0.15">
      <c r="B2" s="368" t="s">
        <v>18</v>
      </c>
      <c r="F2" s="670"/>
      <c r="AO2" s="918"/>
    </row>
    <row r="3" spans="1:41" ht="11.25" hidden="1" customHeight="1" x14ac:dyDescent="0.15">
      <c r="E3" s="41"/>
    </row>
    <row r="4" spans="1:41" ht="11.25" hidden="1" customHeight="1" x14ac:dyDescent="0.15">
      <c r="E4" s="41"/>
    </row>
    <row r="5" spans="1:41" s="1080" customFormat="1" ht="11.25" hidden="1" customHeight="1" x14ac:dyDescent="0.15">
      <c r="A5" s="41"/>
      <c r="B5" s="350"/>
      <c r="C5" s="41"/>
      <c r="D5" s="41"/>
      <c r="E5" s="542" t="s">
        <v>19</v>
      </c>
      <c r="F5" s="671"/>
      <c r="AA5" s="542">
        <v>3</v>
      </c>
      <c r="AB5" s="542">
        <v>11</v>
      </c>
      <c r="AC5" s="542">
        <v>50</v>
      </c>
      <c r="AD5" s="542">
        <v>10</v>
      </c>
      <c r="AE5" s="542">
        <v>15</v>
      </c>
      <c r="AF5" s="542">
        <v>16.57</v>
      </c>
      <c r="AG5" s="542">
        <v>18.71</v>
      </c>
      <c r="AH5" s="542">
        <v>25.86</v>
      </c>
      <c r="AI5" s="542">
        <v>18.43</v>
      </c>
      <c r="AJ5" s="542">
        <v>29.14</v>
      </c>
      <c r="AK5" s="542">
        <v>18.43</v>
      </c>
      <c r="AL5" s="542">
        <v>15</v>
      </c>
      <c r="AM5" s="542">
        <v>3</v>
      </c>
      <c r="AO5" s="906"/>
    </row>
    <row r="6" spans="1:41" ht="11.25" hidden="1" customHeight="1" x14ac:dyDescent="0.15">
      <c r="A6" s="41" t="s">
        <v>354</v>
      </c>
      <c r="AE6" s="41" t="str" cm="1">
        <f t="array" ref="AE6">AE24</f>
        <v>Начислено в соответствии с пунктом 26(1) Основ ценообразования в сфере водоснабжения и водоотведения</v>
      </c>
      <c r="AF6" s="41" t="str" cm="1">
        <f t="array" ref="AF6">AF24</f>
        <v>Направлено на внесение платы за негативное воздействие на окружающую среду</v>
      </c>
      <c r="AG6" s="41" t="str" cm="1">
        <f t="array" ref="AG6">AG24</f>
        <v>Направлено на компенсацию вреда, причиненного водному объекту</v>
      </c>
      <c r="AH6" s="41" t="str" cm="1">
        <f t="array" ref="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41" t="str" cm="1">
        <f t="array" ref="AI6">AI24</f>
        <v>Предусмотрено на финансирование мероприятий производственной программы регулируемой организации</v>
      </c>
      <c r="AJ6" s="41" t="str" cm="1">
        <f t="array" ref="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41" t="str" cm="1">
        <f t="array" ref="AK6">AK24</f>
        <v>Налог на прибыль</v>
      </c>
      <c r="AL6" s="41" t="str" cm="1">
        <f t="array" ref="AL6">AL24</f>
        <v>Подлежит к исключению</v>
      </c>
    </row>
    <row r="7" spans="1:41" ht="11.25" hidden="1" customHeight="1" x14ac:dyDescent="0.15"/>
    <row r="8" spans="1:41" ht="11.25" hidden="1" customHeight="1" x14ac:dyDescent="0.15"/>
    <row r="9" spans="1:41" s="1133" customFormat="1" ht="11.25" hidden="1" customHeight="1" x14ac:dyDescent="0.15">
      <c r="A9" s="906" t="s">
        <v>364</v>
      </c>
      <c r="B9" s="918"/>
      <c r="F9" s="919"/>
      <c r="AE9" s="906" t="str" cm="1">
        <f t="array" ref="AE9">AE24</f>
        <v>Начислено в соответствии с пунктом 26(1) Основ ценообразования в сфере водоснабжения и водоотведения</v>
      </c>
      <c r="AF9" s="906" t="str" cm="1">
        <f t="array" ref="AF9">AF24</f>
        <v>Направлено на внесение платы за негативное воздействие на окружающую среду</v>
      </c>
      <c r="AG9" s="906" t="str" cm="1">
        <f t="array" ref="AG9">AG24</f>
        <v>Направлено на компенсацию вреда, причиненного водному объекту</v>
      </c>
      <c r="AH9" s="906" t="str" cm="1">
        <f t="array" ref="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906" t="str" cm="1">
        <f t="array" ref="AI9">AI24</f>
        <v>Предусмотрено на финансирование мероприятий производственной программы регулируемой организации</v>
      </c>
      <c r="AJ9" s="906" t="str" cm="1">
        <f t="array" ref="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906" t="str" cm="1">
        <f t="array" ref="AK9">AK24</f>
        <v>Налог на прибыль</v>
      </c>
      <c r="AL9" s="906" t="str" cm="1">
        <f t="array" ref="AL9">AL24</f>
        <v>Подлежит к исключению</v>
      </c>
    </row>
    <row r="10" spans="1:41" ht="11.25" hidden="1" customHeight="1" x14ac:dyDescent="0.15"/>
    <row r="11" spans="1:41" ht="11.25" hidden="1" customHeight="1" x14ac:dyDescent="0.15"/>
    <row r="12" spans="1:41" ht="11.25" hidden="1" customHeight="1" x14ac:dyDescent="0.15"/>
    <row r="13" spans="1:41" ht="11.25" hidden="1" customHeight="1" x14ac:dyDescent="0.15"/>
    <row r="14" spans="1:41" ht="11.25" hidden="1" customHeight="1" x14ac:dyDescent="0.15"/>
    <row r="15" spans="1:41" ht="11.25" hidden="1" customHeight="1" x14ac:dyDescent="0.15"/>
    <row r="16" spans="1:41" ht="11.25" hidden="1" customHeight="1" x14ac:dyDescent="0.15"/>
    <row r="17" spans="1:43" ht="11.25" hidden="1" customHeight="1" x14ac:dyDescent="0.15"/>
    <row r="18" spans="1:43" ht="11.25" hidden="1" customHeight="1" x14ac:dyDescent="0.15"/>
    <row r="19" spans="1:43" ht="11.25" hidden="1" customHeight="1" x14ac:dyDescent="0.15"/>
    <row r="20" spans="1:43" ht="11.25" hidden="1" customHeight="1" x14ac:dyDescent="0.15"/>
    <row r="21" spans="1:43" ht="10.9" customHeight="1" x14ac:dyDescent="0.15">
      <c r="E21" s="542">
        <v>11.25</v>
      </c>
      <c r="AA21" s="347"/>
      <c r="AB21" s="75"/>
      <c r="AC21" s="75"/>
      <c r="AD21" s="75"/>
      <c r="AE21" s="75"/>
      <c r="AF21" s="75"/>
      <c r="AG21" s="75"/>
      <c r="AH21" s="75"/>
      <c r="AI21" s="75"/>
      <c r="AJ21" s="75"/>
      <c r="AK21" s="75"/>
      <c r="AL21" s="75"/>
    </row>
    <row r="22" spans="1:43" ht="19.5" customHeight="1" x14ac:dyDescent="0.25">
      <c r="E22" s="542">
        <v>20</v>
      </c>
      <c r="AB22" s="236" t="s">
        <v>1368</v>
      </c>
      <c r="AC22" s="155"/>
      <c r="AD22" s="155"/>
      <c r="AE22" s="155"/>
      <c r="AF22" s="155"/>
      <c r="AG22" s="168"/>
      <c r="AH22" s="168"/>
      <c r="AI22" s="168"/>
      <c r="AJ22" s="168"/>
      <c r="AK22" s="168"/>
      <c r="AL22" s="168"/>
    </row>
    <row r="23" spans="1:43" ht="10.9" customHeight="1" x14ac:dyDescent="0.15">
      <c r="E23" s="542">
        <v>11.25</v>
      </c>
      <c r="AB23" s="75"/>
      <c r="AC23" s="75"/>
      <c r="AD23" s="75"/>
      <c r="AE23" s="75"/>
      <c r="AF23" s="75"/>
      <c r="AG23" s="75"/>
      <c r="AH23" s="75"/>
      <c r="AI23" s="75"/>
      <c r="AJ23" s="75"/>
      <c r="AK23" s="75"/>
      <c r="AL23" s="75"/>
    </row>
    <row r="24" spans="1:43" ht="108.95" customHeight="1" x14ac:dyDescent="0.15">
      <c r="E24" s="542">
        <v>111.75</v>
      </c>
      <c r="AB24" s="164" t="s">
        <v>1369</v>
      </c>
      <c r="AC24" s="5" t="s">
        <v>1351</v>
      </c>
      <c r="AD24" s="5" t="s">
        <v>367</v>
      </c>
      <c r="AE24" s="10" t="s">
        <v>1370</v>
      </c>
      <c r="AF24" s="10" t="s">
        <v>1371</v>
      </c>
      <c r="AG24" s="10" t="s">
        <v>1372</v>
      </c>
      <c r="AH24" s="10" t="s">
        <v>1373</v>
      </c>
      <c r="AI24" s="10" t="s">
        <v>1374</v>
      </c>
      <c r="AJ24" s="10" t="s">
        <v>1375</v>
      </c>
      <c r="AK24" s="10" t="s">
        <v>1248</v>
      </c>
      <c r="AL24" s="10" t="s">
        <v>1376</v>
      </c>
    </row>
    <row r="25" spans="1:43" s="1334" customFormat="1" ht="11.25" customHeight="1" x14ac:dyDescent="0.15">
      <c r="B25" s="352"/>
      <c r="E25" s="595" t="s">
        <v>370</v>
      </c>
      <c r="F25" s="992"/>
      <c r="AC25" s="19"/>
      <c r="AD25" s="19"/>
      <c r="AE25" s="19"/>
      <c r="AF25" s="19"/>
      <c r="AO25" s="913"/>
      <c r="AQ25" s="20"/>
    </row>
    <row r="26" spans="1:43" ht="14.65" hidden="1" customHeight="1" x14ac:dyDescent="0.15">
      <c r="E26" s="542">
        <v>15</v>
      </c>
      <c r="F26" s="265" cm="1">
        <f t="array" ref="F26">X26</f>
        <v>0</v>
      </c>
      <c r="T26" s="388" t="b">
        <f>X26&gt;0</f>
        <v>0</v>
      </c>
      <c r="V26" s="41" t="s">
        <v>271</v>
      </c>
      <c r="X26" s="2032">
        <v>0</v>
      </c>
      <c r="Z26" s="2012"/>
      <c r="AB26" s="161" t="str" cm="1">
        <f t="array" ref="AB26">INDEX('Общие сведения'!$AG$185:$AG$228,MATCH($X26,'Общие сведения'!$Z$185:$Z$228,0))</f>
        <v xml:space="preserve">Тариф 0 () - </v>
      </c>
      <c r="AC26" s="162"/>
      <c r="AD26" s="162"/>
      <c r="AE26" s="191">
        <f t="shared" ref="AE26:AL26" si="0">AE27+AE28</f>
        <v>0</v>
      </c>
      <c r="AF26" s="191">
        <f t="shared" si="0"/>
        <v>0</v>
      </c>
      <c r="AG26" s="191">
        <f t="shared" si="0"/>
        <v>0</v>
      </c>
      <c r="AH26" s="191">
        <f t="shared" si="0"/>
        <v>0</v>
      </c>
      <c r="AI26" s="191">
        <f t="shared" si="0"/>
        <v>0</v>
      </c>
      <c r="AJ26" s="191">
        <f t="shared" si="0"/>
        <v>0</v>
      </c>
      <c r="AK26" s="191">
        <f t="shared" si="0"/>
        <v>0</v>
      </c>
      <c r="AL26" s="191">
        <f t="shared" si="0"/>
        <v>0</v>
      </c>
    </row>
    <row r="27" spans="1:43" ht="33.4" hidden="1" customHeight="1" x14ac:dyDescent="0.15">
      <c r="B27" s="368" t="b">
        <f>IFERROR(IF(SEARCH("Водоотведение",AB26),TRUE,FALSE),FALSE)</f>
        <v>0</v>
      </c>
      <c r="E27" s="542">
        <v>34.25</v>
      </c>
      <c r="F27" s="3" cm="1">
        <f t="array" aca="1" ref="F27" ca="1">OFFSET(E27,-1,1)</f>
        <v>0</v>
      </c>
      <c r="G27" s="43">
        <v>1</v>
      </c>
      <c r="T27" s="388" t="b" cm="1">
        <f t="array" ref="T27">T26</f>
        <v>0</v>
      </c>
      <c r="X27" s="2032"/>
      <c r="Z27" s="2012"/>
      <c r="AB27" s="5" t="s">
        <v>282</v>
      </c>
      <c r="AC27" s="163" t="s">
        <v>1377</v>
      </c>
      <c r="AD27" s="5" t="s">
        <v>831</v>
      </c>
      <c r="AE27" s="1414"/>
      <c r="AF27" s="1426"/>
      <c r="AG27" s="1426"/>
      <c r="AH27" s="1426"/>
      <c r="AI27" s="1426"/>
      <c r="AJ27" s="1426"/>
      <c r="AK27" s="1426"/>
      <c r="AL27" s="1426">
        <f>IF(AE27-AF27-AG27-AH27-AI27-AJ27-AK27&lt;0,0,AE27-AF27-AG27-AH27-AI27-AJ27-AK27)</f>
        <v>0</v>
      </c>
      <c r="AO27" s="906" t="s">
        <v>1331</v>
      </c>
    </row>
    <row r="28" spans="1:43" ht="33.4" hidden="1" customHeight="1" x14ac:dyDescent="0.15">
      <c r="B28" s="368" t="b" cm="1">
        <f t="array" ref="B28">B27</f>
        <v>0</v>
      </c>
      <c r="E28" s="542">
        <v>34.25</v>
      </c>
      <c r="F28" s="3" cm="1">
        <f t="array" aca="1" ref="F28" ca="1">OFFSET(E28,-1,1)</f>
        <v>0</v>
      </c>
      <c r="G28" s="43">
        <v>2</v>
      </c>
      <c r="T28" s="388" t="b" cm="1">
        <f t="array" ref="T28">T27</f>
        <v>0</v>
      </c>
      <c r="X28" s="2032"/>
      <c r="Z28" s="2012"/>
      <c r="AB28" s="5" t="s">
        <v>289</v>
      </c>
      <c r="AC28" s="163" t="s">
        <v>1378</v>
      </c>
      <c r="AD28" s="5" t="s">
        <v>831</v>
      </c>
      <c r="AE28" s="1414"/>
      <c r="AF28" s="1426"/>
      <c r="AG28" s="1426"/>
      <c r="AH28" s="1426"/>
      <c r="AI28" s="1426"/>
      <c r="AJ28" s="1426"/>
      <c r="AK28" s="1426"/>
      <c r="AL28" s="1426">
        <f>IF(AE28-AF28-AG28-AH28-AI28-AJ28-AK28&lt;0,0,AE28-AF28-AG28-AH28-AI28-AJ28-AK28)</f>
        <v>0</v>
      </c>
      <c r="AO28" s="906" t="s">
        <v>1335</v>
      </c>
    </row>
    <row r="29" spans="1:43" s="1334" customFormat="1" ht="14.25" customHeight="1" x14ac:dyDescent="0.15">
      <c r="A29" s="1217"/>
      <c r="B29" s="1111"/>
      <c r="C29" s="1217"/>
      <c r="D29" s="1217"/>
      <c r="E29" s="542">
        <v>15</v>
      </c>
      <c r="F29" s="265" t="str" cm="1">
        <f t="array" ref="F29">X29</f>
        <v>1</v>
      </c>
      <c r="G29" s="1217"/>
      <c r="H29" s="1217"/>
      <c r="I29" s="1217"/>
      <c r="J29" s="1217"/>
      <c r="K29" s="1217"/>
      <c r="L29" s="1217"/>
      <c r="M29" s="1217"/>
      <c r="N29" s="1217"/>
      <c r="O29" s="1217"/>
      <c r="P29" s="1217"/>
      <c r="Q29" s="1217"/>
      <c r="R29" s="1217"/>
      <c r="S29" s="1217"/>
      <c r="T29" s="388" t="b">
        <f>X29&gt;0</f>
        <v>1</v>
      </c>
      <c r="U29" s="1217"/>
      <c r="V29" s="41" t="str" cm="1">
        <f t="array" ref="V29">Экономия_корр!$AB$35</f>
        <v>Тариф 1 (Водоснабжение) - тариф на питьевую воду</v>
      </c>
      <c r="W29" s="1217"/>
      <c r="X29" s="2032" t="s">
        <v>282</v>
      </c>
      <c r="Y29" s="1217"/>
      <c r="Z29" s="2012"/>
      <c r="AA29" s="1217"/>
      <c r="AB29" s="161" t="str" cm="1">
        <f t="array" ref="AB29">Экономия_корр!$AB$35</f>
        <v>Тариф 1 (Водоснабжение) - тариф на питьевую воду</v>
      </c>
      <c r="AC29" s="162"/>
      <c r="AD29" s="162"/>
      <c r="AE29" s="191">
        <f t="shared" ref="AE29:AL29" si="1">AE30+AE31</f>
        <v>0</v>
      </c>
      <c r="AF29" s="191">
        <f t="shared" si="1"/>
        <v>0</v>
      </c>
      <c r="AG29" s="191">
        <f t="shared" si="1"/>
        <v>0</v>
      </c>
      <c r="AH29" s="191">
        <f t="shared" si="1"/>
        <v>0</v>
      </c>
      <c r="AI29" s="191">
        <f t="shared" si="1"/>
        <v>0</v>
      </c>
      <c r="AJ29" s="191">
        <f t="shared" si="1"/>
        <v>0</v>
      </c>
      <c r="AK29" s="191">
        <f t="shared" si="1"/>
        <v>0</v>
      </c>
      <c r="AL29" s="191">
        <f t="shared" si="1"/>
        <v>0</v>
      </c>
      <c r="AM29" s="1217"/>
      <c r="AN29" s="1217"/>
      <c r="AO29" s="1133"/>
      <c r="AP29" s="1217"/>
      <c r="AQ29" s="1217"/>
    </row>
    <row r="30" spans="1:43" s="1334" customFormat="1" ht="33" hidden="1" customHeight="1" x14ac:dyDescent="0.15">
      <c r="A30" s="1217"/>
      <c r="B30" s="368" t="b">
        <f>IFERROR(IF(SEARCH("Водоотведение",AB29),TRUE,FALSE),FALSE)</f>
        <v>0</v>
      </c>
      <c r="C30" s="1217"/>
      <c r="D30" s="1217"/>
      <c r="E30" s="542">
        <v>34.25</v>
      </c>
      <c r="F30" s="3" t="str" cm="1">
        <f t="array" aca="1" ref="F30" ca="1">OFFSET(E30,-1,1)</f>
        <v>1</v>
      </c>
      <c r="G30" s="43">
        <v>1</v>
      </c>
      <c r="H30" s="1217"/>
      <c r="I30" s="1217"/>
      <c r="J30" s="1217"/>
      <c r="K30" s="1217"/>
      <c r="L30" s="1217"/>
      <c r="M30" s="1217"/>
      <c r="N30" s="1217"/>
      <c r="O30" s="1217"/>
      <c r="P30" s="1217"/>
      <c r="Q30" s="1217"/>
      <c r="R30" s="1217"/>
      <c r="S30" s="1217"/>
      <c r="T30" s="388" t="b" cm="1">
        <f t="array" ref="T30">T29</f>
        <v>1</v>
      </c>
      <c r="U30" s="1217"/>
      <c r="V30" s="1217"/>
      <c r="W30" s="1217"/>
      <c r="X30" s="2032"/>
      <c r="Y30" s="1217"/>
      <c r="Z30" s="2012"/>
      <c r="AA30" s="1217"/>
      <c r="AB30" s="5" t="s">
        <v>282</v>
      </c>
      <c r="AC30" s="163" t="s">
        <v>1377</v>
      </c>
      <c r="AD30" s="5" t="s">
        <v>831</v>
      </c>
      <c r="AE30" s="1414"/>
      <c r="AF30" s="1426"/>
      <c r="AG30" s="1426"/>
      <c r="AH30" s="1426"/>
      <c r="AI30" s="1426"/>
      <c r="AJ30" s="1426"/>
      <c r="AK30" s="1426"/>
      <c r="AL30" s="1426">
        <f>IF(AE30-AF30-AG30-AH30-AI30-AJ30-AK30&lt;0,0,AE30-AF30-AG30-AH30-AI30-AJ30-AK30)</f>
        <v>0</v>
      </c>
      <c r="AM30" s="1217"/>
      <c r="AN30" s="1217"/>
      <c r="AO30" s="906" t="s">
        <v>1331</v>
      </c>
      <c r="AP30" s="1217"/>
      <c r="AQ30" s="1217"/>
    </row>
    <row r="31" spans="1:43" s="1334" customFormat="1" ht="33" hidden="1" customHeight="1" x14ac:dyDescent="0.15">
      <c r="A31" s="1217"/>
      <c r="B31" s="368" t="b" cm="1">
        <f t="array" ref="B31">B30</f>
        <v>0</v>
      </c>
      <c r="C31" s="1217"/>
      <c r="D31" s="1217"/>
      <c r="E31" s="542">
        <v>34.25</v>
      </c>
      <c r="F31" s="3" t="str" cm="1">
        <f t="array" aca="1" ref="F31" ca="1">OFFSET(E31,-1,1)</f>
        <v>1</v>
      </c>
      <c r="G31" s="43">
        <v>2</v>
      </c>
      <c r="H31" s="1217"/>
      <c r="I31" s="1217"/>
      <c r="J31" s="1217"/>
      <c r="K31" s="1217"/>
      <c r="L31" s="1217"/>
      <c r="M31" s="1217"/>
      <c r="N31" s="1217"/>
      <c r="O31" s="1217"/>
      <c r="P31" s="1217"/>
      <c r="Q31" s="1217"/>
      <c r="R31" s="1217"/>
      <c r="S31" s="1217"/>
      <c r="T31" s="388" t="b" cm="1">
        <f t="array" ref="T31">T30</f>
        <v>1</v>
      </c>
      <c r="U31" s="1217"/>
      <c r="V31" s="1217"/>
      <c r="W31" s="1217"/>
      <c r="X31" s="2032"/>
      <c r="Y31" s="1217"/>
      <c r="Z31" s="2012"/>
      <c r="AA31" s="1217"/>
      <c r="AB31" s="5" t="s">
        <v>289</v>
      </c>
      <c r="AC31" s="163" t="s">
        <v>1378</v>
      </c>
      <c r="AD31" s="5" t="s">
        <v>831</v>
      </c>
      <c r="AE31" s="1414"/>
      <c r="AF31" s="1426"/>
      <c r="AG31" s="1426"/>
      <c r="AH31" s="1426"/>
      <c r="AI31" s="1426"/>
      <c r="AJ31" s="1426"/>
      <c r="AK31" s="1426"/>
      <c r="AL31" s="1426">
        <f>IF(AE31-AF31-AG31-AH31-AI31-AJ31-AK31&lt;0,0,AE31-AF31-AG31-AH31-AI31-AJ31-AK31)</f>
        <v>0</v>
      </c>
      <c r="AM31" s="1217"/>
      <c r="AN31" s="1217"/>
      <c r="AO31" s="906" t="s">
        <v>1335</v>
      </c>
      <c r="AP31" s="1217"/>
      <c r="AQ31" s="1217"/>
    </row>
    <row r="32" spans="1:43" s="1334" customFormat="1" ht="14.25" customHeight="1" x14ac:dyDescent="0.15">
      <c r="A32" s="1217"/>
      <c r="B32" s="1111"/>
      <c r="C32" s="1217"/>
      <c r="D32" s="1217"/>
      <c r="E32" s="542">
        <v>15</v>
      </c>
      <c r="F32" s="265" t="str" cm="1">
        <f t="array" ref="F32">X32</f>
        <v>2</v>
      </c>
      <c r="G32" s="1217"/>
      <c r="H32" s="1217"/>
      <c r="I32" s="1217"/>
      <c r="J32" s="1217"/>
      <c r="K32" s="1217"/>
      <c r="L32" s="1217"/>
      <c r="M32" s="1217"/>
      <c r="N32" s="1217"/>
      <c r="O32" s="1217"/>
      <c r="P32" s="1217"/>
      <c r="Q32" s="1217"/>
      <c r="R32" s="1217"/>
      <c r="S32" s="1217"/>
      <c r="T32" s="388" t="b">
        <f>X32&gt;0</f>
        <v>1</v>
      </c>
      <c r="U32" s="1217"/>
      <c r="V32" s="41" t="str" cm="1">
        <f t="array" ref="V32">Экономия_корр!$AB$43</f>
        <v>Тариф 2 (Водоотведение) - тариф на водоотведение</v>
      </c>
      <c r="W32" s="1217"/>
      <c r="X32" s="2032" t="s">
        <v>289</v>
      </c>
      <c r="Y32" s="1217"/>
      <c r="Z32" s="2012"/>
      <c r="AA32" s="1217"/>
      <c r="AB32" s="161" t="str" cm="1">
        <f t="array" ref="AB32">Экономия_корр!$AB$43</f>
        <v>Тариф 2 (Водоотведение) - тариф на водоотведение</v>
      </c>
      <c r="AC32" s="162"/>
      <c r="AD32" s="162"/>
      <c r="AE32" s="191">
        <f t="shared" ref="AE32:AL32" si="2">AE33+AE34</f>
        <v>19698.946670000001</v>
      </c>
      <c r="AF32" s="191">
        <f t="shared" si="2"/>
        <v>7.4254499999999997</v>
      </c>
      <c r="AG32" s="191">
        <f t="shared" si="2"/>
        <v>0</v>
      </c>
      <c r="AH32" s="191">
        <f t="shared" si="2"/>
        <v>0</v>
      </c>
      <c r="AI32" s="191">
        <f t="shared" si="2"/>
        <v>0</v>
      </c>
      <c r="AJ32" s="191">
        <f t="shared" si="2"/>
        <v>0</v>
      </c>
      <c r="AK32" s="191">
        <f t="shared" si="2"/>
        <v>0</v>
      </c>
      <c r="AL32" s="191">
        <f t="shared" si="2"/>
        <v>19691.521220000002</v>
      </c>
      <c r="AM32" s="1217"/>
      <c r="AN32" s="1217"/>
      <c r="AO32" s="1133"/>
      <c r="AP32" s="1217"/>
      <c r="AQ32" s="1217"/>
    </row>
    <row r="33" spans="1:43" s="1334" customFormat="1" ht="33" customHeight="1" x14ac:dyDescent="0.15">
      <c r="A33" s="1217"/>
      <c r="B33" s="368" t="b">
        <f>IFERROR(IF(SEARCH("Водоотведение",AB32),TRUE,FALSE),FALSE)</f>
        <v>1</v>
      </c>
      <c r="C33" s="1217"/>
      <c r="D33" s="1217"/>
      <c r="E33" s="542">
        <v>34.25</v>
      </c>
      <c r="F33" s="3" t="str" cm="1">
        <f t="array" aca="1" ref="F33" ca="1">OFFSET(E33,-1,1)</f>
        <v>2</v>
      </c>
      <c r="G33" s="43">
        <v>1</v>
      </c>
      <c r="H33" s="1217"/>
      <c r="I33" s="1217"/>
      <c r="J33" s="1217"/>
      <c r="K33" s="1217"/>
      <c r="L33" s="1217"/>
      <c r="M33" s="1217"/>
      <c r="N33" s="1217"/>
      <c r="O33" s="1217"/>
      <c r="P33" s="1217"/>
      <c r="Q33" s="1217"/>
      <c r="R33" s="1217"/>
      <c r="S33" s="1217"/>
      <c r="T33" s="388" t="b" cm="1">
        <f t="array" ref="T33">T32</f>
        <v>1</v>
      </c>
      <c r="U33" s="1217"/>
      <c r="V33" s="1217"/>
      <c r="W33" s="1217"/>
      <c r="X33" s="2032"/>
      <c r="Y33" s="1217"/>
      <c r="Z33" s="2012"/>
      <c r="AA33" s="1217"/>
      <c r="AB33" s="5" t="s">
        <v>282</v>
      </c>
      <c r="AC33" s="163" t="s">
        <v>1377</v>
      </c>
      <c r="AD33" s="5" t="s">
        <v>831</v>
      </c>
      <c r="AE33" s="148">
        <v>15759.841990000001</v>
      </c>
      <c r="AF33" s="167"/>
      <c r="AG33" s="167"/>
      <c r="AH33" s="167"/>
      <c r="AI33" s="167"/>
      <c r="AJ33" s="167"/>
      <c r="AK33" s="167"/>
      <c r="AL33" s="167">
        <f>IF(AE33-AF33-AG33-AH33-AI33-AJ33-AK33&lt;0,0,AE33-AF33-AG33-AH33-AI33-AJ33-AK33)</f>
        <v>15759.841990000001</v>
      </c>
      <c r="AM33" s="1217"/>
      <c r="AN33" s="1217"/>
      <c r="AO33" s="906" t="s">
        <v>1331</v>
      </c>
      <c r="AP33" s="1217"/>
      <c r="AQ33" s="1217"/>
    </row>
    <row r="34" spans="1:43" s="1334" customFormat="1" ht="33" customHeight="1" x14ac:dyDescent="0.15">
      <c r="A34" s="1217"/>
      <c r="B34" s="368" t="b" cm="1">
        <f t="array" ref="B34">B33</f>
        <v>1</v>
      </c>
      <c r="C34" s="1217"/>
      <c r="D34" s="1217"/>
      <c r="E34" s="542">
        <v>34.25</v>
      </c>
      <c r="F34" s="3" t="str" cm="1">
        <f t="array" aca="1" ref="F34" ca="1">OFFSET(E34,-1,1)</f>
        <v>2</v>
      </c>
      <c r="G34" s="43">
        <v>2</v>
      </c>
      <c r="H34" s="1217"/>
      <c r="I34" s="1217"/>
      <c r="J34" s="1217"/>
      <c r="K34" s="1217"/>
      <c r="L34" s="1217"/>
      <c r="M34" s="1217"/>
      <c r="N34" s="1217"/>
      <c r="O34" s="1217"/>
      <c r="P34" s="1217"/>
      <c r="Q34" s="1217"/>
      <c r="R34" s="1217"/>
      <c r="S34" s="1217"/>
      <c r="T34" s="388" t="b" cm="1">
        <f t="array" ref="T34">T33</f>
        <v>1</v>
      </c>
      <c r="U34" s="1217"/>
      <c r="V34" s="1217"/>
      <c r="W34" s="1217"/>
      <c r="X34" s="2032"/>
      <c r="Y34" s="1217"/>
      <c r="Z34" s="2012"/>
      <c r="AA34" s="1217"/>
      <c r="AB34" s="5" t="s">
        <v>289</v>
      </c>
      <c r="AC34" s="163" t="s">
        <v>1378</v>
      </c>
      <c r="AD34" s="5" t="s">
        <v>831</v>
      </c>
      <c r="AE34" s="148">
        <v>3939.1046799999999</v>
      </c>
      <c r="AF34" s="167">
        <v>7.4254499999999997</v>
      </c>
      <c r="AG34" s="167"/>
      <c r="AH34" s="167"/>
      <c r="AI34" s="167"/>
      <c r="AJ34" s="167"/>
      <c r="AK34" s="167"/>
      <c r="AL34" s="167">
        <f>IF(AE34-AF34-AG34-AH34-AI34-AJ34-AK34&lt;0,0,AE34-AF34-AG34-AH34-AI34-AJ34-AK34)</f>
        <v>3931.6792299999997</v>
      </c>
      <c r="AM34" s="1217"/>
      <c r="AN34" s="1217"/>
      <c r="AO34" s="906" t="s">
        <v>1335</v>
      </c>
      <c r="AP34" s="1217"/>
      <c r="AQ34" s="1217"/>
    </row>
    <row r="35" spans="1:43" s="1334" customFormat="1" ht="10.9" customHeight="1" x14ac:dyDescent="0.15">
      <c r="B35" s="352"/>
      <c r="E35" s="548">
        <v>11.25</v>
      </c>
      <c r="F35" s="993"/>
      <c r="U35" s="405" t="s">
        <v>176</v>
      </c>
      <c r="V35" s="59" t="s">
        <v>1379</v>
      </c>
      <c r="AC35" s="19"/>
      <c r="AD35" s="19"/>
      <c r="AE35" s="19"/>
      <c r="AF35" s="19"/>
      <c r="AO35" s="913"/>
      <c r="AQ35" s="20"/>
    </row>
    <row r="36" spans="1:43" ht="14.65" customHeight="1" x14ac:dyDescent="0.15">
      <c r="E36" s="542">
        <v>15</v>
      </c>
      <c r="AB36" s="2035" t="s">
        <v>402</v>
      </c>
      <c r="AC36" s="2035"/>
      <c r="AD36" s="2035"/>
      <c r="AE36" s="2035"/>
      <c r="AF36" s="2035"/>
      <c r="AG36" s="2035"/>
      <c r="AH36" s="2035"/>
      <c r="AI36" s="2035"/>
      <c r="AJ36" s="2035"/>
      <c r="AK36" s="2035"/>
      <c r="AL36" s="2068"/>
    </row>
    <row r="37" spans="1:43" ht="14.65" customHeight="1" x14ac:dyDescent="0.15">
      <c r="E37" s="542">
        <v>15</v>
      </c>
      <c r="AA37" s="92"/>
      <c r="AB37" s="2104" t="s">
        <v>1380</v>
      </c>
      <c r="AC37" s="2104"/>
      <c r="AD37" s="2104"/>
      <c r="AE37" s="2104"/>
      <c r="AF37" s="2104"/>
      <c r="AG37" s="2104"/>
      <c r="AH37" s="2104"/>
      <c r="AI37" s="2104"/>
      <c r="AJ37" s="2104"/>
      <c r="AK37" s="2104"/>
      <c r="AL37" s="2109"/>
    </row>
    <row r="38" spans="1:43" ht="14.65" hidden="1" customHeight="1" x14ac:dyDescent="0.15">
      <c r="E38" s="542">
        <v>15</v>
      </c>
      <c r="T38" s="388" t="b">
        <f>ROW(W38)&gt;ROW(W$38)</f>
        <v>0</v>
      </c>
      <c r="W38" s="677" t="s">
        <v>172</v>
      </c>
      <c r="AA38" s="342" t="s">
        <v>173</v>
      </c>
      <c r="AB38" s="2105" t="s">
        <v>147</v>
      </c>
      <c r="AC38" s="2105"/>
      <c r="AD38" s="2105"/>
      <c r="AE38" s="2105"/>
      <c r="AF38" s="2105"/>
      <c r="AG38" s="2105"/>
      <c r="AH38" s="2105"/>
      <c r="AI38" s="2105"/>
      <c r="AJ38" s="2105"/>
      <c r="AK38" s="2105"/>
      <c r="AL38" s="2110"/>
    </row>
    <row r="39" spans="1:43" ht="14.65" customHeight="1" x14ac:dyDescent="0.15">
      <c r="E39" s="542">
        <v>15</v>
      </c>
      <c r="W39" s="677" t="s">
        <v>403</v>
      </c>
      <c r="AB39" s="571"/>
      <c r="AC39" s="437" t="s">
        <v>404</v>
      </c>
      <c r="AD39" s="227"/>
      <c r="AE39" s="227"/>
      <c r="AF39" s="227"/>
      <c r="AG39" s="227"/>
      <c r="AH39" s="227"/>
      <c r="AI39" s="227"/>
      <c r="AJ39" s="227"/>
      <c r="AK39" s="227"/>
      <c r="AL39" s="193"/>
    </row>
    <row r="40" spans="1:43" ht="10.9" customHeight="1" x14ac:dyDescent="0.15">
      <c r="E40" s="542">
        <v>11.25</v>
      </c>
      <c r="AM40" s="348"/>
    </row>
  </sheetData>
  <sheetProtection formatColumns="0" formatRows="0" insertRows="0" deleteColumns="0" deleteRows="0" sort="0" autoFilter="0"/>
  <mergeCells count="9">
    <mergeCell ref="AB36:AL36"/>
    <mergeCell ref="AB37:AL37"/>
    <mergeCell ref="AB38:AL38"/>
    <mergeCell ref="X26:X28"/>
    <mergeCell ref="Z26:Z28"/>
    <mergeCell ref="X29:X31"/>
    <mergeCell ref="Z29:Z31"/>
    <mergeCell ref="X32:X34"/>
    <mergeCell ref="Z32:Z34"/>
  </mergeCells>
  <dataValidations count="1">
    <dataValidation type="decimal" allowBlank="1" showErrorMessage="1" errorTitle="Ошибка" error="Допускается ввод только неотрицательных чисел!" sqref="AL28 AL30:AL31 AL33:AL34 AK28 AK31 AK34 AJ28 AJ31 AJ34 AI28 AI31 AI34 AH28 AH30:AH31 AH33:AH34 AF27:AH27 AL27 AF30 AG30 AF33 AG33" xr:uid="{00000000-0002-0000-1800-000000000000}">
      <formula1>0</formula1>
      <formula2>9.99999999999999E+23</formula2>
    </dataValidation>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ED168-FE38-7E0A-F134-4E3A46F51E3D}">
  <sheetPr>
    <tabColor rgb="FF002060"/>
    <outlinePr summaryBelow="0" summaryRight="0"/>
    <pageSetUpPr fitToPage="1"/>
  </sheetPr>
  <dimension ref="A1:AQ186"/>
  <sheetViews>
    <sheetView showGridLines="0" workbookViewId="0">
      <pane xSplit="31" ySplit="25" topLeftCell="AF131" activePane="bottomRight" state="frozen"/>
      <selection pane="topRight" activeCell="AF1" sqref="AF1"/>
      <selection pane="bottomLeft" activeCell="A26" sqref="A26"/>
      <selection pane="bottomRight" activeCell="AH131" sqref="AH131"/>
    </sheetView>
  </sheetViews>
  <sheetFormatPr defaultColWidth="9.140625" defaultRowHeight="11.25" customHeight="1" x14ac:dyDescent="0.15"/>
  <cols>
    <col min="1" max="1" width="3.5703125" style="1217" hidden="1" customWidth="1"/>
    <col min="2" max="2" width="8.5703125" style="1111" hidden="1" customWidth="1"/>
    <col min="3" max="4" width="3.5703125" style="1217" hidden="1" customWidth="1"/>
    <col min="5" max="5" width="3.5703125" style="1080" hidden="1" customWidth="1"/>
    <col min="6" max="6" width="3.5703125" style="1217" hidden="1" customWidth="1"/>
    <col min="7" max="7" width="12.42578125" style="930" hidden="1" customWidth="1"/>
    <col min="8" max="8" width="15.140625" style="1217" hidden="1" customWidth="1"/>
    <col min="9" max="18" width="3.5703125" style="1217" hidden="1" customWidth="1"/>
    <col min="19" max="19" width="6.42578125" style="1321" hidden="1" customWidth="1"/>
    <col min="20" max="20" width="8.42578125" style="1217" hidden="1" customWidth="1"/>
    <col min="21" max="26" width="4.42578125" style="1217" hidden="1" customWidth="1"/>
    <col min="27" max="27" width="3" style="1217" customWidth="1"/>
    <col min="28" max="28" width="11" style="1214" customWidth="1"/>
    <col min="29" max="29" width="72.28515625" style="1217" customWidth="1"/>
    <col min="30" max="31" width="12" style="1217" customWidth="1"/>
    <col min="32" max="33" width="15" style="1217" customWidth="1"/>
    <col min="34" max="34" width="20" style="1217" customWidth="1"/>
    <col min="35" max="35" width="3" style="1217" customWidth="1"/>
    <col min="36" max="37" width="9.140625" style="1217" hidden="1"/>
    <col min="38" max="38" width="9.140625" style="1133" hidden="1"/>
    <col min="39" max="43" width="9.140625" style="1217" hidden="1"/>
  </cols>
  <sheetData>
    <row r="1" spans="1:38" ht="11.25" hidden="1" customHeight="1" x14ac:dyDescent="0.15">
      <c r="E1" s="41"/>
      <c r="F1" s="41" t="s">
        <v>319</v>
      </c>
      <c r="I1" s="41" t="s">
        <v>330</v>
      </c>
      <c r="T1" s="388" t="s">
        <v>92</v>
      </c>
      <c r="U1" s="388" t="s">
        <v>97</v>
      </c>
      <c r="V1" s="388" t="s">
        <v>93</v>
      </c>
      <c r="W1" s="388" t="s">
        <v>94</v>
      </c>
      <c r="X1" s="388" t="s">
        <v>95</v>
      </c>
      <c r="Y1" s="390" t="s">
        <v>321</v>
      </c>
      <c r="Z1" s="388" t="s">
        <v>99</v>
      </c>
      <c r="AA1" s="389" t="s">
        <v>96</v>
      </c>
      <c r="AC1" s="389" t="s">
        <v>98</v>
      </c>
      <c r="AL1" s="906" t="s">
        <v>322</v>
      </c>
    </row>
    <row r="2" spans="1:38" s="1111" customFormat="1" ht="11.25" hidden="1" customHeight="1" x14ac:dyDescent="0.15">
      <c r="B2" s="368" t="s">
        <v>18</v>
      </c>
      <c r="G2" s="419"/>
      <c r="S2" s="1130"/>
      <c r="AB2" s="349"/>
      <c r="AL2" s="918"/>
    </row>
    <row r="3" spans="1:38" ht="11.25" hidden="1" customHeight="1" x14ac:dyDescent="0.15">
      <c r="E3" s="41"/>
    </row>
    <row r="4" spans="1:38" ht="11.25" hidden="1" customHeight="1" x14ac:dyDescent="0.15">
      <c r="E4" s="41"/>
    </row>
    <row r="5" spans="1:38" s="1080" customFormat="1" ht="11.25" hidden="1" customHeight="1" x14ac:dyDescent="0.15">
      <c r="A5" s="41"/>
      <c r="B5" s="350"/>
      <c r="C5" s="41"/>
      <c r="D5" s="41"/>
      <c r="E5" s="542" t="s">
        <v>19</v>
      </c>
      <c r="G5" s="615"/>
      <c r="S5" s="1131"/>
      <c r="AA5" s="542">
        <v>3</v>
      </c>
      <c r="AB5" s="556">
        <v>11</v>
      </c>
      <c r="AC5" s="542">
        <v>72.290000000000006</v>
      </c>
      <c r="AD5" s="542">
        <v>12</v>
      </c>
      <c r="AE5" s="542">
        <v>12</v>
      </c>
      <c r="AF5" s="542">
        <v>15</v>
      </c>
      <c r="AG5" s="542">
        <v>15</v>
      </c>
      <c r="AH5" s="542">
        <v>20</v>
      </c>
      <c r="AI5" s="542">
        <v>3</v>
      </c>
      <c r="AL5" s="906"/>
    </row>
    <row r="6" spans="1:38" ht="11.25" hidden="1" customHeight="1" x14ac:dyDescent="0.15">
      <c r="AF6" s="41">
        <f>god-2</f>
        <v>2024</v>
      </c>
      <c r="AG6" s="41">
        <f>god-2</f>
        <v>2024</v>
      </c>
    </row>
    <row r="7" spans="1:38" ht="11.25" hidden="1" customHeight="1" x14ac:dyDescent="0.15">
      <c r="A7" s="41" t="s">
        <v>358</v>
      </c>
      <c r="AF7" s="41" t="str" cm="1">
        <f t="array" ref="AF7">AF25</f>
        <v>Факт по данным организации</v>
      </c>
      <c r="AG7" s="41" t="str" cm="1">
        <f t="array" ref="AG7">AG25</f>
        <v>Принято органом регулирования</v>
      </c>
    </row>
    <row r="8" spans="1:38" ht="11.25" hidden="1" customHeight="1" x14ac:dyDescent="0.15"/>
    <row r="9" spans="1:38" s="1133" customFormat="1" ht="11.25" hidden="1" customHeight="1" x14ac:dyDescent="0.15">
      <c r="A9" s="906" t="s">
        <v>362</v>
      </c>
      <c r="B9" s="918"/>
      <c r="AF9" s="906" cm="1">
        <f t="array" ref="AF9">AF6</f>
        <v>2024</v>
      </c>
      <c r="AG9" s="906" cm="1">
        <f t="array" ref="AG9">AG6</f>
        <v>2024</v>
      </c>
    </row>
    <row r="10" spans="1:38" s="1133" customFormat="1" ht="11.25" hidden="1" customHeight="1" x14ac:dyDescent="0.15">
      <c r="A10" s="906" t="s">
        <v>363</v>
      </c>
      <c r="B10" s="918"/>
      <c r="AF10" s="906" t="str" cm="1">
        <f t="array" ref="AF10">AF25</f>
        <v>Факт по данным организации</v>
      </c>
      <c r="AG10" s="906" t="str" cm="1">
        <f t="array" ref="AG10">AG25</f>
        <v>Принято органом регулирования</v>
      </c>
    </row>
    <row r="11" spans="1:38" s="1133" customFormat="1" ht="11.25" hidden="1" customHeight="1" x14ac:dyDescent="0.15">
      <c r="A11" s="906" t="s">
        <v>364</v>
      </c>
      <c r="B11" s="918"/>
      <c r="AH11" s="906" t="str" cm="1">
        <f t="array" ref="AH11">AH24</f>
        <v>Комментарии</v>
      </c>
    </row>
    <row r="12" spans="1:38" ht="11.25" hidden="1" customHeight="1" x14ac:dyDescent="0.15"/>
    <row r="13" spans="1:38" ht="11.25" hidden="1" customHeight="1" x14ac:dyDescent="0.15"/>
    <row r="14" spans="1:38" ht="11.25" hidden="1" customHeight="1" x14ac:dyDescent="0.15"/>
    <row r="15" spans="1:38" ht="11.25" hidden="1" customHeight="1" x14ac:dyDescent="0.15"/>
    <row r="16" spans="1:38" ht="11.25" hidden="1" customHeight="1" x14ac:dyDescent="0.15"/>
    <row r="17" spans="2:43" ht="11.25" hidden="1" customHeight="1" x14ac:dyDescent="0.15"/>
    <row r="18" spans="2:43" ht="11.25" hidden="1" customHeight="1" x14ac:dyDescent="0.15"/>
    <row r="19" spans="2:43" ht="11.25" hidden="1" customHeight="1" x14ac:dyDescent="0.15"/>
    <row r="20" spans="2:43" ht="11.25" hidden="1" customHeight="1" x14ac:dyDescent="0.15"/>
    <row r="21" spans="2:43" ht="14.65" customHeight="1" x14ac:dyDescent="0.15">
      <c r="E21" s="542">
        <v>15</v>
      </c>
      <c r="AA21" s="347"/>
      <c r="AB21" s="169"/>
      <c r="AC21" s="3" t="str" cm="1">
        <f t="array" ref="AC21">tpl_title</f>
        <v>Кемеровская область / 2026 / ООО "Чистая вода" (ИНН:4246023100, КПП:424601001) / ДПР: 2024-2032</v>
      </c>
      <c r="AD21" s="75"/>
      <c r="AE21" s="75"/>
      <c r="AF21" s="75"/>
      <c r="AG21" s="75"/>
    </row>
    <row r="22" spans="2:43" ht="21.95" customHeight="1" x14ac:dyDescent="0.15">
      <c r="E22" s="542">
        <v>22.5</v>
      </c>
      <c r="AB22" s="236" t="s">
        <v>75</v>
      </c>
      <c r="AC22" s="145"/>
      <c r="AD22" s="145"/>
      <c r="AE22" s="145"/>
      <c r="AF22" s="145"/>
      <c r="AG22" s="156"/>
      <c r="AH22" s="156"/>
    </row>
    <row r="23" spans="2:43" ht="10.9" customHeight="1" x14ac:dyDescent="0.15">
      <c r="E23" s="542">
        <v>11.25</v>
      </c>
      <c r="AB23" s="169"/>
      <c r="AC23" s="75"/>
      <c r="AD23" s="75"/>
      <c r="AE23" s="75"/>
      <c r="AF23" s="75"/>
      <c r="AG23" s="75"/>
    </row>
    <row r="24" spans="2:43" ht="19.350000000000001" customHeight="1" x14ac:dyDescent="0.15">
      <c r="E24" s="542">
        <v>19.75</v>
      </c>
      <c r="AB24" s="2035" t="s">
        <v>21</v>
      </c>
      <c r="AC24" s="2060" t="s">
        <v>366</v>
      </c>
      <c r="AD24" s="2035" t="s">
        <v>1381</v>
      </c>
      <c r="AE24" s="2060" t="s">
        <v>1009</v>
      </c>
      <c r="AF24" s="1034" t="str">
        <f>god-2&amp;" год"</f>
        <v>2024 год</v>
      </c>
      <c r="AG24" s="9" t="str">
        <f>god-2&amp;" год"</f>
        <v>2024 год</v>
      </c>
      <c r="AH24" s="2060" t="s">
        <v>368</v>
      </c>
    </row>
    <row r="25" spans="2:43" ht="31.35" customHeight="1" x14ac:dyDescent="0.15">
      <c r="E25" s="542">
        <v>32.25</v>
      </c>
      <c r="AB25" s="2035"/>
      <c r="AC25" s="2060"/>
      <c r="AD25" s="2035"/>
      <c r="AE25" s="2060"/>
      <c r="AF25" s="1034" t="s">
        <v>484</v>
      </c>
      <c r="AG25" s="9" t="s">
        <v>359</v>
      </c>
      <c r="AH25" s="2060"/>
      <c r="AK25" s="41" t="s">
        <v>1369</v>
      </c>
    </row>
    <row r="26" spans="2:43" s="1334" customFormat="1" ht="11.25" customHeight="1" x14ac:dyDescent="0.15">
      <c r="B26" s="352"/>
      <c r="E26" s="595" t="s">
        <v>370</v>
      </c>
      <c r="F26" s="91" t="s">
        <v>1382</v>
      </c>
      <c r="G26" s="410"/>
      <c r="S26" t="s">
        <v>1383</v>
      </c>
      <c r="T26"/>
      <c r="AC26" s="19"/>
      <c r="AD26" s="19"/>
      <c r="AE26" s="19"/>
      <c r="AF26" s="19"/>
      <c r="AL26" s="913"/>
      <c r="AQ26" s="20"/>
    </row>
    <row r="27" spans="2:43" ht="14.65" hidden="1" customHeight="1" x14ac:dyDescent="0.15">
      <c r="E27" s="542">
        <v>15</v>
      </c>
      <c r="F27" s="17" cm="1">
        <f t="array" ref="F27">X27</f>
        <v>0</v>
      </c>
      <c r="G27" s="416"/>
      <c r="H27" s="4"/>
      <c r="S27" s="1085" cm="1">
        <f t="array" ref="S27">INDEX('Общие сведения'!$AE$185:$AE$228,MATCH($X27,'Общие сведения'!$Z$185:$Z$228,0))</f>
        <v>0</v>
      </c>
      <c r="T27" s="388" t="b">
        <f>X27&gt;0</f>
        <v>0</v>
      </c>
      <c r="V27" s="41" t="s">
        <v>271</v>
      </c>
      <c r="X27" s="2032">
        <v>0</v>
      </c>
      <c r="Z27" s="2012"/>
      <c r="AB27" s="297" t="str" cm="1">
        <f t="array" ref="AB27">INDEX('Общие сведения'!$AG$185:$AG$228,MATCH($X27,'Общие сведения'!$Z$185:$Z$228,0))</f>
        <v xml:space="preserve">Тариф 0 () - </v>
      </c>
      <c r="AC27" s="297"/>
      <c r="AD27" s="297"/>
      <c r="AE27" s="297"/>
      <c r="AF27" s="297"/>
      <c r="AG27" s="297"/>
      <c r="AH27" s="297"/>
    </row>
    <row r="28" spans="2:43" s="621" customFormat="1" ht="43.9" hidden="1" customHeight="1" x14ac:dyDescent="0.15">
      <c r="B28" s="353"/>
      <c r="E28" s="614">
        <v>45</v>
      </c>
      <c r="F28" s="3" cm="1">
        <f t="array" aca="1" ref="F28" ca="1">OFFSET(E28,-1,1)</f>
        <v>0</v>
      </c>
      <c r="G28" s="420"/>
      <c r="I28" s="41" t="s">
        <v>331</v>
      </c>
      <c r="K28" s="43"/>
      <c r="L28" s="836"/>
      <c r="M28" s="420"/>
      <c r="T28" s="388" t="b" cm="1">
        <f t="array" ref="T28">T27</f>
        <v>0</v>
      </c>
      <c r="X28" s="2032"/>
      <c r="Z28" s="2012"/>
      <c r="AB28" s="760" t="s">
        <v>1384</v>
      </c>
      <c r="AC28" s="761" t="s">
        <v>1385</v>
      </c>
      <c r="AD28" s="760" t="s">
        <v>1386</v>
      </c>
      <c r="AE28" s="762" t="s">
        <v>831</v>
      </c>
      <c r="AF28" s="763">
        <f ca="1">AF30-AF29</f>
        <v>0</v>
      </c>
      <c r="AG28" s="763">
        <f ca="1">AG30-AG29</f>
        <v>0</v>
      </c>
      <c r="AH28" s="1427"/>
      <c r="AL28" s="960" t="s">
        <v>1387</v>
      </c>
    </row>
    <row r="29" spans="2:43" s="621" customFormat="1" ht="14.65" hidden="1" customHeight="1" x14ac:dyDescent="0.15">
      <c r="B29" s="353"/>
      <c r="E29" s="614">
        <v>15</v>
      </c>
      <c r="F29" s="3" cm="1">
        <f t="array" aca="1" ref="F29" ca="1">OFFSET(E29,-1,1)</f>
        <v>0</v>
      </c>
      <c r="G29" s="420"/>
      <c r="I29" s="41" t="s">
        <v>494</v>
      </c>
      <c r="K29" s="420"/>
      <c r="L29" s="420"/>
      <c r="M29" s="420"/>
      <c r="T29" s="388" t="b" cm="1">
        <f t="array" ref="T29">T28</f>
        <v>0</v>
      </c>
      <c r="X29" s="2032"/>
      <c r="Z29" s="2012"/>
      <c r="AB29" s="137" t="s">
        <v>282</v>
      </c>
      <c r="AC29" s="138" t="s">
        <v>1388</v>
      </c>
      <c r="AD29" s="130" t="s">
        <v>1389</v>
      </c>
      <c r="AE29" s="153" t="s">
        <v>831</v>
      </c>
      <c r="AF29" s="1428"/>
      <c r="AG29" s="1428"/>
      <c r="AH29" s="1427"/>
      <c r="AL29" s="960" t="s">
        <v>1390</v>
      </c>
    </row>
    <row r="30" spans="2:43" s="621" customFormat="1" ht="14.65" hidden="1" customHeight="1" x14ac:dyDescent="0.15">
      <c r="B30" s="353"/>
      <c r="E30" s="614">
        <v>15</v>
      </c>
      <c r="F30" s="3" cm="1">
        <f t="array" aca="1" ref="F30" ca="1">OFFSET(E30,-1,1)</f>
        <v>0</v>
      </c>
      <c r="G30" s="66"/>
      <c r="H30" s="66"/>
      <c r="I30" s="348" t="s">
        <v>498</v>
      </c>
      <c r="K30" s="420"/>
      <c r="L30" s="420"/>
      <c r="M30" s="420"/>
      <c r="T30" s="388" t="b" cm="1">
        <f t="array" ref="T30">T29</f>
        <v>0</v>
      </c>
      <c r="X30" s="2032"/>
      <c r="Z30" s="2012"/>
      <c r="AB30" s="137" t="s">
        <v>289</v>
      </c>
      <c r="AC30" s="131" t="s">
        <v>1391</v>
      </c>
      <c r="AD30" s="130" t="s">
        <v>1392</v>
      </c>
      <c r="AE30" s="153" t="s">
        <v>831</v>
      </c>
      <c r="AF30" s="763">
        <f ca="1">AF31+AF32+AF44+AF48+AF49+AF50+AF51+AF55+AF56+AF57+AF58+AF61+AF62</f>
        <v>0</v>
      </c>
      <c r="AG30" s="763">
        <f ca="1">AG31+AG32+AG44+AG48+AG49+AG50+AG51+AG55+AG56+AG57+AG58+AG61+AG62</f>
        <v>0</v>
      </c>
      <c r="AH30" s="1427"/>
      <c r="AL30" s="960" t="s">
        <v>1393</v>
      </c>
    </row>
    <row r="31" spans="2:43" ht="21.95" hidden="1" customHeight="1" x14ac:dyDescent="0.15">
      <c r="E31" s="542">
        <v>22.5</v>
      </c>
      <c r="F31" s="3" cm="1">
        <f t="array" aca="1" ref="F31" ca="1">OFFSET(E31,-1,1)</f>
        <v>0</v>
      </c>
      <c r="G31" s="348" t="s">
        <v>1394</v>
      </c>
      <c r="H31" s="4"/>
      <c r="I31" s="348" t="s">
        <v>1301</v>
      </c>
      <c r="K31" s="43"/>
      <c r="L31" s="43"/>
      <c r="M31" s="43"/>
      <c r="T31" s="388" t="b" cm="1">
        <f t="array" ref="T31">T30</f>
        <v>0</v>
      </c>
      <c r="X31" s="2032"/>
      <c r="Z31" s="2012"/>
      <c r="AB31" s="217" t="s">
        <v>566</v>
      </c>
      <c r="AC31" s="682" t="s">
        <v>1395</v>
      </c>
      <c r="AD31" s="218" t="s">
        <v>1396</v>
      </c>
      <c r="AE31" s="686" t="s">
        <v>831</v>
      </c>
      <c r="AF31" s="1407"/>
      <c r="AG31" s="1407"/>
      <c r="AH31" s="1362"/>
      <c r="AL31" s="906" t="s">
        <v>1397</v>
      </c>
    </row>
    <row r="32" spans="2:43" ht="21.95" hidden="1" customHeight="1" x14ac:dyDescent="0.15">
      <c r="E32" s="542">
        <v>22.5</v>
      </c>
      <c r="F32" s="3" cm="1">
        <f t="array" aca="1" ref="F32" ca="1">OFFSET(E32,-1,1)</f>
        <v>0</v>
      </c>
      <c r="G32" s="348"/>
      <c r="H32" s="4"/>
      <c r="I32" s="348" t="s">
        <v>1304</v>
      </c>
      <c r="K32" s="43"/>
      <c r="L32" s="43"/>
      <c r="M32" s="43"/>
      <c r="T32" s="388" t="b" cm="1">
        <f t="array" ref="T32">T31</f>
        <v>0</v>
      </c>
      <c r="X32" s="2032"/>
      <c r="Z32" s="2012"/>
      <c r="AB32" s="217" t="s">
        <v>570</v>
      </c>
      <c r="AC32" s="682" t="s">
        <v>1398</v>
      </c>
      <c r="AD32" s="218" t="s">
        <v>1399</v>
      </c>
      <c r="AE32" s="686" t="s">
        <v>831</v>
      </c>
      <c r="AF32" s="846">
        <f ca="1">SUM(AF33:AF43)</f>
        <v>0</v>
      </c>
      <c r="AG32" s="846">
        <f ca="1">SUM(AG33:AG43)</f>
        <v>0</v>
      </c>
      <c r="AH32" s="1362"/>
      <c r="AL32" s="906" t="s">
        <v>1400</v>
      </c>
    </row>
    <row r="33" spans="5:38" ht="21.95" hidden="1" customHeight="1" x14ac:dyDescent="0.15">
      <c r="E33" s="542">
        <v>22.5</v>
      </c>
      <c r="F33" s="3" cm="1">
        <f t="array" aca="1" ref="F33" ca="1">OFFSET(E33,-1,1)</f>
        <v>0</v>
      </c>
      <c r="G33" s="348"/>
      <c r="H33" s="4"/>
      <c r="I33" s="348" t="s">
        <v>1401</v>
      </c>
      <c r="K33" s="43"/>
      <c r="L33" s="43"/>
      <c r="M33" s="43"/>
      <c r="T33" s="388" t="b" cm="1">
        <f t="array" ref="T33">T32</f>
        <v>0</v>
      </c>
      <c r="X33" s="2032"/>
      <c r="Z33" s="2012"/>
      <c r="AB33" s="704" t="s">
        <v>526</v>
      </c>
      <c r="AC33" s="701" t="s">
        <v>1402</v>
      </c>
      <c r="AD33" s="686"/>
      <c r="AE33" s="686" t="s">
        <v>831</v>
      </c>
      <c r="AF33" s="1407">
        <f ca="1">SUMIFS(Покупка!$AF$25:$AF$117,Покупка!$F$25:$F$117,$F33,Покупка!$G$25:$G$117,"Итого")</f>
        <v>0</v>
      </c>
      <c r="AG33" s="1407">
        <f ca="1">SUMIFS(Покупка!$AG$25:$AG$117,Покупка!$F$25:$F$117,$F33,Покупка!$G$25:$G$117,"Итого")</f>
        <v>0</v>
      </c>
      <c r="AH33" s="1362"/>
      <c r="AL33" s="906" t="s">
        <v>1403</v>
      </c>
    </row>
    <row r="34" spans="5:38" ht="14.65" hidden="1" customHeight="1" x14ac:dyDescent="0.15">
      <c r="E34" s="542">
        <v>15</v>
      </c>
      <c r="F34" s="3" cm="1">
        <f t="array" aca="1" ref="F34" ca="1">OFFSET(E34,-1,1)</f>
        <v>0</v>
      </c>
      <c r="G34" s="348"/>
      <c r="H34" s="4"/>
      <c r="I34" s="348" t="s">
        <v>1404</v>
      </c>
      <c r="K34" s="43"/>
      <c r="L34" s="43"/>
      <c r="M34" s="43"/>
      <c r="T34" s="388" t="b" cm="1">
        <f t="array" ref="T34">T33</f>
        <v>0</v>
      </c>
      <c r="X34" s="2032"/>
      <c r="Z34" s="2012"/>
      <c r="AB34" s="704" t="s">
        <v>1405</v>
      </c>
      <c r="AC34" s="701" t="s">
        <v>1406</v>
      </c>
      <c r="AD34" s="686"/>
      <c r="AE34" s="686" t="s">
        <v>831</v>
      </c>
      <c r="AF34" s="1407"/>
      <c r="AG34" s="1407">
        <f ca="1">SUMIFS('Сырье и материалы'!AG$25:AG$47,'Сырье и материалы'!$F$25:$F$47,$F34,'Сырье и материалы'!$AC$25:$AC$47,"Всего по тарифу")</f>
        <v>0</v>
      </c>
      <c r="AH34" s="1362"/>
      <c r="AL34" s="906" t="s">
        <v>1407</v>
      </c>
    </row>
    <row r="35" spans="5:38" ht="14.65" hidden="1" customHeight="1" x14ac:dyDescent="0.15">
      <c r="E35" s="542">
        <v>15</v>
      </c>
      <c r="F35" s="3" cm="1">
        <f t="array" aca="1" ref="F35" ca="1">OFFSET(E35,-1,1)</f>
        <v>0</v>
      </c>
      <c r="G35" s="348"/>
      <c r="H35" s="4"/>
      <c r="I35" s="348" t="s">
        <v>1408</v>
      </c>
      <c r="K35" s="43"/>
      <c r="L35" s="43"/>
      <c r="M35" s="43"/>
      <c r="T35" s="388" t="b" cm="1">
        <f t="array" ref="T35">T34</f>
        <v>0</v>
      </c>
      <c r="X35" s="2032"/>
      <c r="Z35" s="2012"/>
      <c r="AB35" s="704" t="s">
        <v>1409</v>
      </c>
      <c r="AC35" s="701" t="s">
        <v>1410</v>
      </c>
      <c r="AD35" s="686"/>
      <c r="AE35" s="686" t="s">
        <v>831</v>
      </c>
      <c r="AF35" s="1407">
        <f ca="1">SUMIFS(Налоги!AF$25:AF$69,Налоги!$F$25:$F$69,$F35,Налоги!$AB$25:$AB$69,"0")</f>
        <v>0</v>
      </c>
      <c r="AG35" s="1407">
        <f ca="1">SUMIFS(Налоги!AG$25:AG$69,Налоги!$F$25:$F$69,$F35,Налоги!$AB$25:$AB$69,"0")</f>
        <v>0</v>
      </c>
      <c r="AH35" s="1362"/>
      <c r="AL35" s="906" t="s">
        <v>1411</v>
      </c>
    </row>
    <row r="36" spans="5:38" ht="65.849999999999994" hidden="1" customHeight="1" x14ac:dyDescent="0.15">
      <c r="E36" s="542">
        <v>67.5</v>
      </c>
      <c r="F36" s="3" cm="1">
        <f t="array" aca="1" ref="F36" ca="1">OFFSET(E36,-1,1)</f>
        <v>0</v>
      </c>
      <c r="G36" s="26" t="s">
        <v>1412</v>
      </c>
      <c r="H36" s="4"/>
      <c r="I36" s="416" t="s">
        <v>1413</v>
      </c>
      <c r="K36" s="43"/>
      <c r="L36" s="43"/>
      <c r="M36" s="43"/>
      <c r="T36" s="388" t="b" cm="1">
        <f t="array" ref="T36">T35</f>
        <v>0</v>
      </c>
      <c r="X36" s="2032"/>
      <c r="Z36" s="2012"/>
      <c r="AB36" s="704" t="s">
        <v>1414</v>
      </c>
      <c r="AC36" s="701" t="s">
        <v>1415</v>
      </c>
      <c r="AD36" s="686"/>
      <c r="AE36" s="686" t="s">
        <v>831</v>
      </c>
      <c r="AF36" s="1407"/>
      <c r="AG36" s="1407">
        <f ca="1">IF(AND(method_reg="Метод индексации",first_year=god),SUMIFS('Калькуляция (МИ)'!$AG$25:$AG$459,'Калькуляция (МИ)'!$F$25:$F$459,$F36,'Калькуляция (МИ)'!$G$25:$G$459,$G36),SUMIFS('Калькуляция (МИ корр)'!$AG$25:$AG$459,'Калькуляция (МИ корр)'!$F$25:$F$459,$F36,'Калькуляция (МИ корр)'!$G$25:$G$459,$G36))</f>
        <v>0</v>
      </c>
      <c r="AH36" s="1362"/>
      <c r="AL36" s="906" t="s">
        <v>1416</v>
      </c>
    </row>
    <row r="37" spans="5:38" ht="14.65" hidden="1" customHeight="1" x14ac:dyDescent="0.15">
      <c r="E37" s="542">
        <v>15</v>
      </c>
      <c r="F37" s="3" cm="1">
        <f t="array" aca="1" ref="F37" ca="1">OFFSET(E37,-1,1)</f>
        <v>0</v>
      </c>
      <c r="G37" s="26" t="s">
        <v>1011</v>
      </c>
      <c r="H37" s="4"/>
      <c r="I37" s="416" t="s">
        <v>1417</v>
      </c>
      <c r="K37" s="43"/>
      <c r="L37" s="43"/>
      <c r="M37" s="43"/>
      <c r="T37" s="388" t="b" cm="1">
        <f t="array" ref="T37">T36</f>
        <v>0</v>
      </c>
      <c r="X37" s="2032"/>
      <c r="Z37" s="2012"/>
      <c r="AB37" s="704" t="s">
        <v>1418</v>
      </c>
      <c r="AC37" s="701" t="s">
        <v>1419</v>
      </c>
      <c r="AD37" s="686"/>
      <c r="AE37" s="686" t="s">
        <v>831</v>
      </c>
      <c r="AF37" s="1407"/>
      <c r="AG37" s="1407">
        <f ca="1">IF(AND(method_reg="Метод индексации",first_year=god),SUMIFS('Калькуляция (МИ)'!$AG$25:$AG$459,'Калькуляция (МИ)'!$F$25:$F$459,$F37,'Калькуляция (МИ)'!$G$25:$G$459,$G37),SUMIFS('Калькуляция (МИ корр)'!$AG$25:$AG$459,'Калькуляция (МИ корр)'!$F$25:$F$459,$F37,'Калькуляция (МИ корр)'!$G$25:$G$459,$G37))</f>
        <v>0</v>
      </c>
      <c r="AH37" s="1362"/>
      <c r="AL37" s="906" t="s">
        <v>1420</v>
      </c>
    </row>
    <row r="38" spans="5:38" ht="14.65" hidden="1" customHeight="1" x14ac:dyDescent="0.15">
      <c r="E38" s="542">
        <v>15</v>
      </c>
      <c r="F38" s="3" cm="1">
        <f t="array" aca="1" ref="F38" ca="1">OFFSET(E38,-1,1)</f>
        <v>0</v>
      </c>
      <c r="G38" s="26" t="s">
        <v>1421</v>
      </c>
      <c r="H38" s="4"/>
      <c r="I38" s="416" t="s">
        <v>1422</v>
      </c>
      <c r="K38" s="43"/>
      <c r="L38" s="43"/>
      <c r="M38" s="43"/>
      <c r="T38" s="388" t="b" cm="1">
        <f t="array" ref="T38">T37</f>
        <v>0</v>
      </c>
      <c r="X38" s="2032"/>
      <c r="Z38" s="2012"/>
      <c r="AB38" s="704" t="s">
        <v>1423</v>
      </c>
      <c r="AC38" s="701" t="s">
        <v>1424</v>
      </c>
      <c r="AD38" s="686"/>
      <c r="AE38" s="686" t="s">
        <v>831</v>
      </c>
      <c r="AF38" s="1407"/>
      <c r="AG38" s="1407">
        <f ca="1">IF(AND(method_reg="Метод индексации",first_year=god),SUMIFS('Калькуляция (МИ)'!$AG$25:$AG$459,'Калькуляция (МИ)'!$F$25:$F$459,$F38,'Калькуляция (МИ)'!$G$25:$G$459,$G38),SUMIFS('Калькуляция (МИ корр)'!$AG$25:$AG$459,'Калькуляция (МИ корр)'!$F$25:$F$459,$F38,'Калькуляция (МИ корр)'!$G$25:$G$459,$G38))</f>
        <v>0</v>
      </c>
      <c r="AH38" s="1362"/>
      <c r="AL38" s="906" t="s">
        <v>1425</v>
      </c>
    </row>
    <row r="39" spans="5:38" ht="21.95" hidden="1" customHeight="1" x14ac:dyDescent="0.15">
      <c r="E39" s="542">
        <v>22.5</v>
      </c>
      <c r="F39" s="3" cm="1">
        <f t="array" aca="1" ref="F39" ca="1">OFFSET(E39,-1,1)</f>
        <v>0</v>
      </c>
      <c r="G39" s="26" t="s">
        <v>1426</v>
      </c>
      <c r="H39" s="4"/>
      <c r="I39" s="416" t="s">
        <v>1427</v>
      </c>
      <c r="K39" s="43"/>
      <c r="L39" s="43"/>
      <c r="M39" s="43"/>
      <c r="T39" s="388" t="b" cm="1">
        <f t="array" ref="T39">T38</f>
        <v>0</v>
      </c>
      <c r="X39" s="2032"/>
      <c r="Z39" s="2012"/>
      <c r="AB39" s="704" t="s">
        <v>1428</v>
      </c>
      <c r="AC39" s="701" t="s">
        <v>1429</v>
      </c>
      <c r="AD39" s="686"/>
      <c r="AE39" s="686" t="s">
        <v>831</v>
      </c>
      <c r="AF39" s="1407"/>
      <c r="AG39" s="1407">
        <f ca="1">IF(AND(method_reg="Метод индексации",first_year=god),SUMIFS('Калькуляция (МИ)'!$AG$25:$AG$459,'Калькуляция (МИ)'!$F$25:$F$459,$F39,'Калькуляция (МИ)'!$G$25:$G$459,$G39),SUMIFS('Калькуляция (МИ корр)'!$AG$25:$AG$459,'Калькуляция (МИ корр)'!$F$25:$F$459,$F39,'Калькуляция (МИ корр)'!$G$25:$G$459,$G39))</f>
        <v>0</v>
      </c>
      <c r="AH39" s="1362"/>
      <c r="AL39" s="906" t="s">
        <v>1430</v>
      </c>
    </row>
    <row r="40" spans="5:38" ht="21.95" hidden="1" customHeight="1" x14ac:dyDescent="0.15">
      <c r="E40" s="542">
        <v>22.5</v>
      </c>
      <c r="F40" s="3" cm="1">
        <f t="array" aca="1" ref="F40" ca="1">OFFSET(E40,-1,1)</f>
        <v>0</v>
      </c>
      <c r="G40" s="26" t="s">
        <v>1431</v>
      </c>
      <c r="H40" s="4"/>
      <c r="I40" s="416" t="s">
        <v>1432</v>
      </c>
      <c r="K40" s="43"/>
      <c r="L40" s="43"/>
      <c r="M40" s="43"/>
      <c r="T40" s="388" t="b" cm="1">
        <f t="array" ref="T40">T39</f>
        <v>0</v>
      </c>
      <c r="X40" s="2032"/>
      <c r="Z40" s="2012"/>
      <c r="AB40" s="704" t="s">
        <v>1433</v>
      </c>
      <c r="AC40" s="701" t="s">
        <v>1434</v>
      </c>
      <c r="AD40" s="847"/>
      <c r="AE40" s="686" t="s">
        <v>831</v>
      </c>
      <c r="AF40" s="1407"/>
      <c r="AG40" s="1407">
        <f ca="1">IF(AND(method_reg="Метод индексации",first_year=god),SUMIFS('Калькуляция (МИ)'!$AG$25:$AG$459,'Калькуляция (МИ)'!$F$25:$F$459,$F40,'Калькуляция (МИ)'!$G$25:$G$459,$G40),SUMIFS('Калькуляция (МИ корр)'!$AG$25:$AG$459,'Калькуляция (МИ корр)'!$F$25:$F$459,$F40,'Калькуляция (МИ корр)'!$G$25:$G$459,$G40))</f>
        <v>0</v>
      </c>
      <c r="AH40" s="1362"/>
      <c r="AL40" s="906" t="s">
        <v>1435</v>
      </c>
    </row>
    <row r="41" spans="5:38" ht="21.95" hidden="1" customHeight="1" x14ac:dyDescent="0.15">
      <c r="E41" s="542">
        <v>22.5</v>
      </c>
      <c r="F41" s="3" cm="1">
        <f t="array" aca="1" ref="F41" ca="1">OFFSET(E41,-1,1)</f>
        <v>0</v>
      </c>
      <c r="G41" s="26" t="s">
        <v>1436</v>
      </c>
      <c r="H41" s="4"/>
      <c r="I41" s="416" t="s">
        <v>1437</v>
      </c>
      <c r="K41" s="43"/>
      <c r="L41" s="43"/>
      <c r="M41" s="43"/>
      <c r="T41" s="388" t="b" cm="1">
        <f t="array" ref="T41">T40</f>
        <v>0</v>
      </c>
      <c r="X41" s="2032"/>
      <c r="Z41" s="2012"/>
      <c r="AB41" s="704" t="s">
        <v>1438</v>
      </c>
      <c r="AC41" s="701" t="s">
        <v>1439</v>
      </c>
      <c r="AD41" s="847"/>
      <c r="AE41" s="686" t="s">
        <v>831</v>
      </c>
      <c r="AF41" s="1407"/>
      <c r="AG41" s="1407">
        <f ca="1">IF(AND(method_reg="Метод индексации",first_year=god),SUMIFS('Калькуляция (МИ)'!$AG$25:$AG$459,'Калькуляция (МИ)'!$F$25:$F$459,$F41,'Калькуляция (МИ)'!$G$25:$G$459,$G41),SUMIFS('Калькуляция (МИ корр)'!$AG$25:$AG$459,'Калькуляция (МИ корр)'!$F$25:$F$459,$F41,'Калькуляция (МИ корр)'!$G$25:$G$459,$G41))</f>
        <v>0</v>
      </c>
      <c r="AH41" s="1362"/>
      <c r="AL41" s="906" t="s">
        <v>1440</v>
      </c>
    </row>
    <row r="42" spans="5:38" ht="14.65" hidden="1" customHeight="1" x14ac:dyDescent="0.15">
      <c r="E42" s="542">
        <v>15</v>
      </c>
      <c r="F42" s="3" cm="1">
        <f t="array" aca="1" ref="F42" ca="1">OFFSET(E42,-1,1)</f>
        <v>0</v>
      </c>
      <c r="G42" s="26" t="s">
        <v>1441</v>
      </c>
      <c r="H42" s="4"/>
      <c r="I42" s="416" t="s">
        <v>1442</v>
      </c>
      <c r="K42" s="43"/>
      <c r="L42" s="43"/>
      <c r="M42" s="43"/>
      <c r="T42" s="388" t="b" cm="1">
        <f t="array" ref="T42">T41</f>
        <v>0</v>
      </c>
      <c r="X42" s="2032"/>
      <c r="Z42" s="2012"/>
      <c r="AB42" s="704" t="s">
        <v>1443</v>
      </c>
      <c r="AC42" s="701" t="s">
        <v>1444</v>
      </c>
      <c r="AD42" s="847"/>
      <c r="AE42" s="686" t="s">
        <v>831</v>
      </c>
      <c r="AF42" s="1407"/>
      <c r="AG42" s="1407">
        <f ca="1">IF(AND(method_reg="Метод индексации",first_year=god),SUMIFS('Калькуляция (МИ)'!$AG$25:$AG$459,'Калькуляция (МИ)'!$F$25:$F$459,$F42,'Калькуляция (МИ)'!$G$25:$G$459,$G42),SUMIFS('Калькуляция (МИ корр)'!$AG$25:$AG$459,'Калькуляция (МИ корр)'!$F$25:$F$459,$F42,'Калькуляция (МИ корр)'!$G$25:$G$459,$G42))</f>
        <v>0</v>
      </c>
      <c r="AH42" s="1362"/>
      <c r="AL42" s="906" t="s">
        <v>1445</v>
      </c>
    </row>
    <row r="43" spans="5:38" ht="21.95" hidden="1" customHeight="1" x14ac:dyDescent="0.15">
      <c r="E43" s="542">
        <v>22.5</v>
      </c>
      <c r="F43" s="3" cm="1">
        <f t="array" aca="1" ref="F43" ca="1">OFFSET(E43,-1,1)</f>
        <v>0</v>
      </c>
      <c r="G43" s="26" t="s">
        <v>1446</v>
      </c>
      <c r="H43" s="4"/>
      <c r="I43" s="416" t="s">
        <v>1447</v>
      </c>
      <c r="K43" s="43"/>
      <c r="L43" s="43"/>
      <c r="M43" s="43"/>
      <c r="T43" s="388" t="b" cm="1">
        <f t="array" ref="T43">T42</f>
        <v>0</v>
      </c>
      <c r="X43" s="2032"/>
      <c r="Z43" s="2012"/>
      <c r="AB43" s="704" t="s">
        <v>1448</v>
      </c>
      <c r="AC43" s="701" t="s">
        <v>1449</v>
      </c>
      <c r="AD43" s="847"/>
      <c r="AE43" s="686" t="s">
        <v>831</v>
      </c>
      <c r="AF43" s="1407"/>
      <c r="AG43" s="1407">
        <f ca="1">IF(AND(method_reg="Метод индексации",first_year=god),SUMIFS('Калькуляция (МИ)'!$AG$25:$AG$459,'Калькуляция (МИ)'!$F$25:$F$459,$F43,'Калькуляция (МИ)'!$G$25:$G$459,$G43),SUMIFS('Калькуляция (МИ корр)'!$AG$25:$AG$459,'Калькуляция (МИ корр)'!$F$25:$F$459,$F43,'Калькуляция (МИ корр)'!$G$25:$G$459,$G43))</f>
        <v>0</v>
      </c>
      <c r="AH43" s="1362"/>
      <c r="AL43" s="906" t="s">
        <v>1450</v>
      </c>
    </row>
    <row r="44" spans="5:38" ht="14.65" hidden="1" customHeight="1" x14ac:dyDescent="0.15">
      <c r="E44" s="542">
        <v>15</v>
      </c>
      <c r="F44" s="3" cm="1">
        <f t="array" aca="1" ref="F44" ca="1">OFFSET(E44,-1,1)</f>
        <v>0</v>
      </c>
      <c r="G44" s="348"/>
      <c r="H44" s="4"/>
      <c r="I44" s="348" t="s">
        <v>1308</v>
      </c>
      <c r="K44" s="43"/>
      <c r="L44" s="43"/>
      <c r="M44" s="43"/>
      <c r="T44" s="388" t="b" cm="1">
        <f t="array" ref="T44">T43</f>
        <v>0</v>
      </c>
      <c r="X44" s="2032"/>
      <c r="Z44" s="2012"/>
      <c r="AB44" s="217" t="s">
        <v>574</v>
      </c>
      <c r="AC44" s="682" t="s">
        <v>1451</v>
      </c>
      <c r="AD44" s="218" t="s">
        <v>1452</v>
      </c>
      <c r="AE44" s="686" t="s">
        <v>831</v>
      </c>
      <c r="AF44" s="1407">
        <f>AF45*AF46*AF47</f>
        <v>0</v>
      </c>
      <c r="AG44" s="1407">
        <f ca="1">AG45*AG46*AG47</f>
        <v>0</v>
      </c>
      <c r="AH44" s="1362"/>
      <c r="AL44" s="906" t="s">
        <v>1453</v>
      </c>
    </row>
    <row r="45" spans="5:38" ht="21.95" hidden="1" customHeight="1" x14ac:dyDescent="0.15">
      <c r="E45" s="542">
        <v>22.5</v>
      </c>
      <c r="F45" s="3" cm="1">
        <f t="array" aca="1" ref="F45" ca="1">OFFSET(E45,-1,1)</f>
        <v>0</v>
      </c>
      <c r="G45" s="348"/>
      <c r="H45" s="4"/>
      <c r="I45" s="348" t="s">
        <v>1454</v>
      </c>
      <c r="K45" s="43"/>
      <c r="L45" s="43"/>
      <c r="M45" s="43"/>
      <c r="T45" s="388" t="b" cm="1">
        <f t="array" ref="T45">T44</f>
        <v>0</v>
      </c>
      <c r="X45" s="2032"/>
      <c r="Z45" s="2012"/>
      <c r="AB45" s="217" t="s">
        <v>531</v>
      </c>
      <c r="AC45" s="685" t="s">
        <v>1455</v>
      </c>
      <c r="AD45" s="218" t="s">
        <v>1456</v>
      </c>
      <c r="AE45" s="686" t="s">
        <v>863</v>
      </c>
      <c r="AF45" s="1407"/>
      <c r="AG45" s="1407">
        <f ca="1">SUMIFS(ЭЭ!AG$25:AG$117,ЭЭ!$F$25:$F$117,$F45,ЭЭ!$AC$25:$AC$117,"Удельный расход электроэнергии")</f>
        <v>0</v>
      </c>
      <c r="AH45" s="1362"/>
      <c r="AL45" s="906" t="s">
        <v>1457</v>
      </c>
    </row>
    <row r="46" spans="5:38" ht="14.65" hidden="1" customHeight="1" x14ac:dyDescent="0.15">
      <c r="E46" s="542">
        <v>15</v>
      </c>
      <c r="F46" s="3" cm="1">
        <f t="array" aca="1" ref="F46" ca="1">OFFSET(E46,-1,1)</f>
        <v>0</v>
      </c>
      <c r="G46" s="348"/>
      <c r="H46" s="4"/>
      <c r="I46" s="348" t="s">
        <v>1458</v>
      </c>
      <c r="K46" s="43"/>
      <c r="L46" s="43"/>
      <c r="M46" s="43"/>
      <c r="T46" s="388" t="b" cm="1">
        <f t="array" ref="T46">T45</f>
        <v>0</v>
      </c>
      <c r="X46" s="2032"/>
      <c r="Z46" s="2012"/>
      <c r="AB46" s="217" t="s">
        <v>1459</v>
      </c>
      <c r="AC46" s="685" t="s">
        <v>1460</v>
      </c>
      <c r="AD46" s="218" t="s">
        <v>1461</v>
      </c>
      <c r="AE46" s="686" t="s">
        <v>857</v>
      </c>
      <c r="AF46" s="1407"/>
      <c r="AG46" s="1407">
        <f ca="1">SUMIFS(ЭЭ!AG$25:AG$117,ЭЭ!$F$25:$F$117,$F45,ЭЭ!$AC$25:$AC$117,"Объём воды/сточных вод")</f>
        <v>0</v>
      </c>
      <c r="AH46" s="1362"/>
      <c r="AL46" s="906" t="s">
        <v>1462</v>
      </c>
    </row>
    <row r="47" spans="5:38" ht="21.95" hidden="1" customHeight="1" x14ac:dyDescent="0.15">
      <c r="E47" s="542">
        <v>22.5</v>
      </c>
      <c r="F47" s="3" cm="1">
        <f t="array" aca="1" ref="F47" ca="1">OFFSET(E47,-1,1)</f>
        <v>0</v>
      </c>
      <c r="G47" s="348"/>
      <c r="H47" s="4"/>
      <c r="I47" s="348" t="s">
        <v>1463</v>
      </c>
      <c r="K47" s="43"/>
      <c r="L47" s="43"/>
      <c r="M47" s="43"/>
      <c r="T47" s="388" t="b" cm="1">
        <f t="array" ref="T47">T46</f>
        <v>0</v>
      </c>
      <c r="X47" s="2032"/>
      <c r="Z47" s="2012"/>
      <c r="AB47" s="217" t="s">
        <v>1464</v>
      </c>
      <c r="AC47" s="685" t="s">
        <v>1465</v>
      </c>
      <c r="AD47" s="218" t="s">
        <v>1466</v>
      </c>
      <c r="AE47" s="686" t="s">
        <v>860</v>
      </c>
      <c r="AF47" s="1407"/>
      <c r="AG47" s="1407">
        <f ca="1">SUMIFS(ЭЭ!AG$25:AG$117,ЭЭ!$F$25:$F$117,$F45,ЭЭ!$AC$25:$AC$117,"Средний (расчетный) тариф")</f>
        <v>0</v>
      </c>
      <c r="AH47" s="1362"/>
      <c r="AL47" s="906" t="s">
        <v>1467</v>
      </c>
    </row>
    <row r="48" spans="5:38" ht="21.95" hidden="1" customHeight="1" x14ac:dyDescent="0.15">
      <c r="E48" s="542">
        <v>22.5</v>
      </c>
      <c r="F48" s="3" cm="1">
        <f t="array" aca="1" ref="F48" ca="1">OFFSET(E48,-1,1)</f>
        <v>0</v>
      </c>
      <c r="G48" s="348" t="s">
        <v>1468</v>
      </c>
      <c r="H48" s="4"/>
      <c r="I48" s="348" t="s">
        <v>1469</v>
      </c>
      <c r="K48" s="43"/>
      <c r="L48" s="43"/>
      <c r="M48" s="43"/>
      <c r="T48" s="388" t="b" cm="1">
        <f t="array" ref="T48">T47</f>
        <v>0</v>
      </c>
      <c r="X48" s="2032"/>
      <c r="Z48" s="2012"/>
      <c r="AB48" s="217" t="s">
        <v>933</v>
      </c>
      <c r="AC48" s="682" t="s">
        <v>1470</v>
      </c>
      <c r="AD48" s="218" t="s">
        <v>1471</v>
      </c>
      <c r="AE48" s="686" t="s">
        <v>831</v>
      </c>
      <c r="AF48" s="1407"/>
      <c r="AG48" s="1407">
        <f ca="1">IF(AND(method_reg="Метод индексации",first_year=god),SUMIFS('Калькуляция (МИ)'!$AG$25:$AG$459,'Калькуляция (МИ)'!$F$25:$F$459,$F48,'Калькуляция (МИ)'!$G$25:$G$459,$G48),SUMIFS('Калькуляция (МИ корр)'!$AG$25:$AG$459,'Калькуляция (МИ корр)'!$F$25:$F$459,$F48,'Калькуляция (МИ корр)'!$G$25:$G$459,$G48))</f>
        <v>0</v>
      </c>
      <c r="AH48" s="1362"/>
      <c r="AL48" s="906" t="s">
        <v>1199</v>
      </c>
    </row>
    <row r="49" spans="2:38" ht="14.65" hidden="1" customHeight="1" x14ac:dyDescent="0.15">
      <c r="E49" s="542">
        <v>15</v>
      </c>
      <c r="F49" s="3" cm="1">
        <f t="array" aca="1" ref="F49" ca="1">OFFSET(E49,-1,1)</f>
        <v>0</v>
      </c>
      <c r="G49" s="348" t="s">
        <v>1472</v>
      </c>
      <c r="H49" s="4"/>
      <c r="I49" s="348" t="s">
        <v>1473</v>
      </c>
      <c r="K49" s="43"/>
      <c r="L49" s="43"/>
      <c r="M49" s="43"/>
      <c r="T49" s="388" t="b" cm="1">
        <f t="array" ref="T49">T48</f>
        <v>0</v>
      </c>
      <c r="X49" s="2032"/>
      <c r="Z49" s="2012"/>
      <c r="AB49" s="217" t="s">
        <v>936</v>
      </c>
      <c r="AC49" s="848" t="s">
        <v>1474</v>
      </c>
      <c r="AD49" s="218" t="s">
        <v>1475</v>
      </c>
      <c r="AE49" s="686" t="s">
        <v>831</v>
      </c>
      <c r="AF49" s="1407"/>
      <c r="AG49" s="1407">
        <f ca="1">IF(AND(method_reg="Метод индексации",first_year=god),SUMIFS('Калькуляция (МИ)'!$AE$25:$AE$459,'Калькуляция (МИ)'!$F$25:$F$459,$F49,'Калькуляция (МИ)'!$G$25:$G$459,"Нормативная прибыль")-SUMIFS('Калькуляция (МИ)'!$AE$25:$AE$459,'Калькуляция (МИ)'!$F$25:$F$459,$F49,'Калькуляция (МИ)'!$G$25:$G$459,"иные экономически обоснованные расходы на социальные нужды")+SUMIFS('Калькуляция (МИ)'!$AG$25:$AG$459,'Калькуляция (МИ)'!$F$25:$F$459,$F49,'Калькуляция (МИ)'!$G$25:$G$459,"иные экономически обоснованные расходы на социальные нужды"),SUMIFS('Калькуляция (МИ корр)'!$AE$25:$AE$459,'Калькуляция (МИ корр)'!$F$25:$F$459,$F49,'Калькуляция (МИ корр)'!$G$25:$G$459,"Нормативная прибыль")-SUMIFS('Калькуляция (МИ корр)'!$AE$25:$AE$459,'Калькуляция (МИ корр)'!$F$25:$F$459,$F49,'Калькуляция (МИ корр)'!$G$25:$G$459,"иные экономически обоснованные расходы на социальные нужды")+SUMIFS('Калькуляция (МИ корр)'!$AG$25:$AG$459,'Калькуляция (МИ корр)'!$F$25:$F$459,$F49,'Калькуляция (МИ корр)'!$G$25:$G$459,"иные экономически обоснованные расходы на социальные нужды"))</f>
        <v>0</v>
      </c>
      <c r="AH49" s="1362"/>
      <c r="AL49" s="906" t="s">
        <v>1476</v>
      </c>
    </row>
    <row r="50" spans="2:38" ht="14.65" hidden="1" customHeight="1" x14ac:dyDescent="0.15">
      <c r="E50" s="542">
        <v>15</v>
      </c>
      <c r="F50" s="3" cm="1">
        <f t="array" aca="1" ref="F50" ca="1">OFFSET(E50,-1,1)</f>
        <v>0</v>
      </c>
      <c r="G50" s="26" t="s">
        <v>1477</v>
      </c>
      <c r="H50" s="4"/>
      <c r="I50" s="416" t="s">
        <v>1478</v>
      </c>
      <c r="K50" s="43"/>
      <c r="L50" s="43"/>
      <c r="M50" s="43"/>
      <c r="T50" s="388" t="b" cm="1">
        <f t="array" ref="T50">T49</f>
        <v>0</v>
      </c>
      <c r="X50" s="2032"/>
      <c r="Z50" s="2012"/>
      <c r="AB50" s="217" t="s">
        <v>1479</v>
      </c>
      <c r="AC50" s="682" t="s">
        <v>1480</v>
      </c>
      <c r="AD50" s="218" t="s">
        <v>1481</v>
      </c>
      <c r="AE50" s="686" t="s">
        <v>831</v>
      </c>
      <c r="AF50" s="1407"/>
      <c r="AG50" s="1407">
        <f ca="1">IF(AND(method_reg="Метод индексации",first_year=god),SUMIFS('Калькуляция (МИ)'!$AG$25:$AG$459,'Калькуляция (МИ)'!$F$25:$F$459,$F50,'Калькуляция (МИ)'!$G$25:$G$459,$G50),SUMIFS('Калькуляция (МИ корр)'!$AG$25:$AG$459,'Калькуляция (МИ корр)'!$F$25:$F$459,$F50,'Калькуляция (МИ корр)'!$G$25:$G$459,$G50))</f>
        <v>0</v>
      </c>
      <c r="AH50" s="1362"/>
      <c r="AL50" s="906" t="s">
        <v>1482</v>
      </c>
    </row>
    <row r="51" spans="2:38" ht="21.95" hidden="1" customHeight="1" x14ac:dyDescent="0.15">
      <c r="E51" s="542">
        <v>22.5</v>
      </c>
      <c r="F51" s="3" cm="1">
        <f t="array" aca="1" ref="F51" ca="1">OFFSET(E51,-1,1)</f>
        <v>0</v>
      </c>
      <c r="G51" s="26"/>
      <c r="H51" s="4"/>
      <c r="I51" s="348" t="s">
        <v>1483</v>
      </c>
      <c r="K51" s="43"/>
      <c r="L51" s="43"/>
      <c r="M51" s="43"/>
      <c r="T51" s="388" t="b" cm="1">
        <f t="array" ref="T51">T50</f>
        <v>0</v>
      </c>
      <c r="X51" s="2032"/>
      <c r="Z51" s="2012"/>
      <c r="AB51" s="217" t="s">
        <v>1484</v>
      </c>
      <c r="AC51" s="682" t="s">
        <v>1485</v>
      </c>
      <c r="AD51" s="218"/>
      <c r="AE51" s="686" t="s">
        <v>831</v>
      </c>
      <c r="AF51" s="1407">
        <f>AF52+AF53+AF54</f>
        <v>0</v>
      </c>
      <c r="AG51" s="1407">
        <f>AG52+AG53+AG54</f>
        <v>0</v>
      </c>
      <c r="AH51" s="1362"/>
      <c r="AL51" s="906" t="s">
        <v>1486</v>
      </c>
    </row>
    <row r="52" spans="2:38" ht="21.95" hidden="1" customHeight="1" x14ac:dyDescent="0.15">
      <c r="E52" s="542">
        <v>22.5</v>
      </c>
      <c r="F52" s="3" cm="1">
        <f t="array" aca="1" ref="F52" ca="1">OFFSET(E52,-1,1)</f>
        <v>0</v>
      </c>
      <c r="G52" s="348"/>
      <c r="H52" s="4"/>
      <c r="I52" s="348" t="s">
        <v>1487</v>
      </c>
      <c r="K52" s="43"/>
      <c r="L52" s="43"/>
      <c r="M52" s="43"/>
      <c r="T52" s="388" t="b" cm="1">
        <f t="array" ref="T52">T51</f>
        <v>0</v>
      </c>
      <c r="X52" s="2032"/>
      <c r="Z52" s="2012"/>
      <c r="AB52" s="217" t="s">
        <v>1488</v>
      </c>
      <c r="AC52" s="685" t="s">
        <v>1489</v>
      </c>
      <c r="AD52" s="218" t="s">
        <v>1490</v>
      </c>
      <c r="AE52" s="686" t="s">
        <v>831</v>
      </c>
      <c r="AF52" s="1407"/>
      <c r="AG52" s="1407"/>
      <c r="AH52" s="1362"/>
      <c r="AL52" s="906" t="s">
        <v>1491</v>
      </c>
    </row>
    <row r="53" spans="2:38" ht="14.65" hidden="1" customHeight="1" x14ac:dyDescent="0.15">
      <c r="E53" s="542">
        <v>15</v>
      </c>
      <c r="F53" s="3" cm="1">
        <f t="array" aca="1" ref="F53" ca="1">OFFSET(E53,-1,1)</f>
        <v>0</v>
      </c>
      <c r="G53" s="348"/>
      <c r="H53" s="4"/>
      <c r="I53" s="348" t="s">
        <v>1492</v>
      </c>
      <c r="K53" s="43"/>
      <c r="L53" s="43"/>
      <c r="M53" s="43"/>
      <c r="T53" s="388" t="b" cm="1">
        <f t="array" ref="T53">T52</f>
        <v>0</v>
      </c>
      <c r="X53" s="2032"/>
      <c r="Z53" s="2012"/>
      <c r="AB53" s="217" t="s">
        <v>1493</v>
      </c>
      <c r="AC53" s="685" t="s">
        <v>1494</v>
      </c>
      <c r="AD53" s="218" t="s">
        <v>1495</v>
      </c>
      <c r="AE53" s="686" t="s">
        <v>831</v>
      </c>
      <c r="AF53" s="1407"/>
      <c r="AG53" s="1407"/>
      <c r="AH53" s="1362"/>
      <c r="AL53" s="906" t="s">
        <v>1496</v>
      </c>
    </row>
    <row r="54" spans="2:38" ht="43.9" hidden="1" customHeight="1" x14ac:dyDescent="0.15">
      <c r="E54" s="542">
        <v>45</v>
      </c>
      <c r="F54" s="3" cm="1">
        <f t="array" aca="1" ref="F54" ca="1">OFFSET(E54,-1,1)</f>
        <v>0</v>
      </c>
      <c r="G54" s="348"/>
      <c r="H54" s="4"/>
      <c r="I54" s="348" t="s">
        <v>1497</v>
      </c>
      <c r="K54" s="43"/>
      <c r="L54" s="43"/>
      <c r="M54" s="43"/>
      <c r="T54" s="388" t="b" cm="1">
        <f t="array" ref="T54">T53</f>
        <v>0</v>
      </c>
      <c r="X54" s="2032"/>
      <c r="Z54" s="2012"/>
      <c r="AB54" s="217" t="s">
        <v>1498</v>
      </c>
      <c r="AC54" s="685" t="s">
        <v>1499</v>
      </c>
      <c r="AD54" s="686" t="s">
        <v>1500</v>
      </c>
      <c r="AE54" s="686" t="s">
        <v>831</v>
      </c>
      <c r="AF54" s="1407"/>
      <c r="AG54" s="1407"/>
      <c r="AH54" s="1362"/>
      <c r="AL54" s="906" t="s">
        <v>1501</v>
      </c>
    </row>
    <row r="55" spans="2:38" ht="21.95" hidden="1" customHeight="1" x14ac:dyDescent="0.15">
      <c r="E55" s="542">
        <v>22.5</v>
      </c>
      <c r="F55" s="3" cm="1">
        <f t="array" aca="1" ref="F55" ca="1">OFFSET(E55,-1,1)</f>
        <v>0</v>
      </c>
      <c r="G55" s="348"/>
      <c r="H55" s="4"/>
      <c r="I55" s="348" t="s">
        <v>1502</v>
      </c>
      <c r="K55" s="43"/>
      <c r="L55" s="43"/>
      <c r="M55" s="43"/>
      <c r="T55" s="388" t="b" cm="1">
        <f t="array" ref="T55">T54</f>
        <v>0</v>
      </c>
      <c r="X55" s="2032"/>
      <c r="Z55" s="2012"/>
      <c r="AB55" s="217" t="s">
        <v>1503</v>
      </c>
      <c r="AC55" s="682" t="s">
        <v>1504</v>
      </c>
      <c r="AD55" s="686" t="s">
        <v>1505</v>
      </c>
      <c r="AE55" s="686" t="s">
        <v>831</v>
      </c>
      <c r="AF55" s="1407"/>
      <c r="AG55" s="1407"/>
      <c r="AH55" s="1362"/>
      <c r="AL55" s="906" t="s">
        <v>1506</v>
      </c>
    </row>
    <row r="56" spans="2:38" ht="76.7" hidden="1" customHeight="1" x14ac:dyDescent="0.15">
      <c r="B56" s="350" t="b">
        <f>S27="Водоотведение"</f>
        <v>0</v>
      </c>
      <c r="E56" s="542">
        <v>78.75</v>
      </c>
      <c r="F56" s="3" cm="1">
        <f t="array" aca="1" ref="F56" ca="1">OFFSET(E56,-1,1)</f>
        <v>0</v>
      </c>
      <c r="G56" s="348"/>
      <c r="H56" s="4"/>
      <c r="I56" s="348"/>
      <c r="K56" s="43"/>
      <c r="L56" s="43"/>
      <c r="M56" s="43"/>
      <c r="T56" s="388" t="b" cm="1">
        <f t="array" ref="T56">T55</f>
        <v>0</v>
      </c>
      <c r="X56" s="2032"/>
      <c r="Z56" s="2012"/>
      <c r="AB56" s="217" t="s">
        <v>1507</v>
      </c>
      <c r="AC56" s="682" t="s">
        <v>1508</v>
      </c>
      <c r="AD56" s="686"/>
      <c r="AE56" s="686" t="s">
        <v>831</v>
      </c>
      <c r="AF56" s="1407"/>
      <c r="AG56" s="1407"/>
      <c r="AH56" s="1362"/>
      <c r="AL56" s="906" t="s">
        <v>1509</v>
      </c>
    </row>
    <row r="57" spans="2:38" ht="54.75" hidden="1" customHeight="1" x14ac:dyDescent="0.15">
      <c r="B57" s="350" t="b" cm="1">
        <f t="array" ref="B57">B56</f>
        <v>0</v>
      </c>
      <c r="E57" s="542">
        <v>56.25</v>
      </c>
      <c r="F57" s="3" cm="1">
        <f t="array" aca="1" ref="F57" ca="1">OFFSET(E57,-1,1)</f>
        <v>0</v>
      </c>
      <c r="G57" s="348"/>
      <c r="H57" s="4"/>
      <c r="I57" s="348"/>
      <c r="K57" s="43"/>
      <c r="L57" s="43"/>
      <c r="M57" s="43"/>
      <c r="T57" s="388" t="b" cm="1">
        <f t="array" ref="T57">T56</f>
        <v>0</v>
      </c>
      <c r="X57" s="2032"/>
      <c r="Z57" s="2012"/>
      <c r="AB57" s="217" t="s">
        <v>1510</v>
      </c>
      <c r="AC57" s="682" t="s">
        <v>1511</v>
      </c>
      <c r="AD57" s="686"/>
      <c r="AE57" s="686" t="s">
        <v>831</v>
      </c>
      <c r="AF57" s="1407"/>
      <c r="AG57" s="1407"/>
      <c r="AH57" s="1362"/>
      <c r="AL57" s="906" t="s">
        <v>1335</v>
      </c>
    </row>
    <row r="58" spans="2:38" ht="14.65" hidden="1" customHeight="1" x14ac:dyDescent="0.15">
      <c r="E58" s="542">
        <v>15</v>
      </c>
      <c r="F58" s="3" cm="1">
        <f t="array" aca="1" ref="F58" ca="1">OFFSET(E58,-1,1)</f>
        <v>0</v>
      </c>
      <c r="G58" s="348"/>
      <c r="H58" s="4"/>
      <c r="I58" s="348"/>
      <c r="K58" s="43"/>
      <c r="L58" s="43"/>
      <c r="M58" s="43"/>
      <c r="T58" s="388" t="b" cm="1">
        <f t="array" ref="T58">T57</f>
        <v>0</v>
      </c>
      <c r="X58" s="2032"/>
      <c r="Z58" s="2012"/>
      <c r="AB58" s="218" t="str">
        <f>IF(B57,"2.12","2.10")</f>
        <v>2.10</v>
      </c>
      <c r="AC58" s="682" t="s">
        <v>1512</v>
      </c>
      <c r="AD58" s="686" t="s">
        <v>1513</v>
      </c>
      <c r="AE58" s="686" t="s">
        <v>831</v>
      </c>
      <c r="AF58" s="1407">
        <f>AF59+AF60</f>
        <v>0</v>
      </c>
      <c r="AG58" s="1407">
        <f>AG59+AG60</f>
        <v>0</v>
      </c>
      <c r="AH58" s="1362"/>
      <c r="AL58" s="906" t="s">
        <v>1514</v>
      </c>
    </row>
    <row r="59" spans="2:38" ht="21.95" hidden="1" customHeight="1" x14ac:dyDescent="0.15">
      <c r="E59" s="542">
        <v>22.5</v>
      </c>
      <c r="F59" s="3" cm="1">
        <f t="array" aca="1" ref="F59" ca="1">OFFSET(E59,-1,1)</f>
        <v>0</v>
      </c>
      <c r="G59" s="348"/>
      <c r="H59" s="4"/>
      <c r="I59" s="348"/>
      <c r="K59" s="43"/>
      <c r="L59" s="43"/>
      <c r="M59" s="43"/>
      <c r="T59" s="388" t="b" cm="1">
        <f t="array" ref="T59">T58</f>
        <v>0</v>
      </c>
      <c r="X59" s="2032"/>
      <c r="Z59" s="2012"/>
      <c r="AB59" s="218" t="str">
        <f>AB58&amp;".1"</f>
        <v>2.10.1</v>
      </c>
      <c r="AC59" s="682" t="s">
        <v>1515</v>
      </c>
      <c r="AD59" s="686" t="s">
        <v>1513</v>
      </c>
      <c r="AE59" s="686" t="s">
        <v>831</v>
      </c>
      <c r="AF59" s="1407"/>
      <c r="AG59" s="1407"/>
      <c r="AH59" s="1362"/>
      <c r="AL59" s="906" t="s">
        <v>1516</v>
      </c>
    </row>
    <row r="60" spans="2:38" ht="21.95" hidden="1" customHeight="1" x14ac:dyDescent="0.15">
      <c r="E60" s="542">
        <v>22.5</v>
      </c>
      <c r="F60" s="3" cm="1">
        <f t="array" aca="1" ref="F60" ca="1">OFFSET(E60,-1,1)</f>
        <v>0</v>
      </c>
      <c r="G60" s="348"/>
      <c r="H60" s="4"/>
      <c r="I60" s="348"/>
      <c r="K60" s="43"/>
      <c r="L60" s="43"/>
      <c r="M60" s="43"/>
      <c r="T60" s="388" t="b" cm="1">
        <f t="array" ref="T60">T59</f>
        <v>0</v>
      </c>
      <c r="X60" s="2032"/>
      <c r="Z60" s="2012"/>
      <c r="AB60" s="218" t="str">
        <f>AB58&amp;".2"</f>
        <v>2.10.2</v>
      </c>
      <c r="AC60" s="682" t="s">
        <v>1517</v>
      </c>
      <c r="AD60" s="686" t="s">
        <v>1513</v>
      </c>
      <c r="AE60" s="686" t="s">
        <v>831</v>
      </c>
      <c r="AF60" s="1407"/>
      <c r="AG60" s="1407"/>
      <c r="AH60" s="1362"/>
      <c r="AL60" s="906" t="s">
        <v>1518</v>
      </c>
    </row>
    <row r="61" spans="2:38" ht="14.65" hidden="1" customHeight="1" x14ac:dyDescent="0.15">
      <c r="E61" s="542">
        <v>15</v>
      </c>
      <c r="F61" s="3" cm="1">
        <f t="array" aca="1" ref="F61" ca="1">OFFSET(E61,-1,1)</f>
        <v>0</v>
      </c>
      <c r="G61" s="348"/>
      <c r="H61" s="4"/>
      <c r="I61" s="348"/>
      <c r="K61" s="43"/>
      <c r="L61" s="43"/>
      <c r="M61" s="43"/>
      <c r="T61" s="388" t="b" cm="1">
        <f t="array" ref="T61">T60</f>
        <v>0</v>
      </c>
      <c r="X61" s="2032"/>
      <c r="Z61" s="2012"/>
      <c r="AB61" s="218" t="str">
        <f>IF(B57,"2.13","2.11")</f>
        <v>2.11</v>
      </c>
      <c r="AC61" s="682" t="s">
        <v>1519</v>
      </c>
      <c r="AD61" s="686" t="s">
        <v>1513</v>
      </c>
      <c r="AE61" s="686" t="s">
        <v>831</v>
      </c>
      <c r="AF61" s="1407"/>
      <c r="AG61" s="1407"/>
      <c r="AH61" s="1362"/>
      <c r="AL61" s="906" t="s">
        <v>1520</v>
      </c>
    </row>
    <row r="62" spans="2:38" ht="14.65" hidden="1" customHeight="1" x14ac:dyDescent="0.15">
      <c r="E62" s="542">
        <v>15</v>
      </c>
      <c r="F62" s="3" cm="1">
        <f t="array" aca="1" ref="F62" ca="1">OFFSET(E62,-1,1)</f>
        <v>0</v>
      </c>
      <c r="G62" s="348"/>
      <c r="H62" s="4"/>
      <c r="I62" s="348"/>
      <c r="K62" s="43"/>
      <c r="L62" s="43"/>
      <c r="M62" s="43"/>
      <c r="T62" s="388" t="b" cm="1">
        <f t="array" ref="T62">T61</f>
        <v>0</v>
      </c>
      <c r="X62" s="2032"/>
      <c r="Z62" s="2012"/>
      <c r="AB62" s="218" t="str">
        <f>IF(B57,"2.14","2.12")</f>
        <v>2.12</v>
      </c>
      <c r="AC62" s="682" t="s">
        <v>1521</v>
      </c>
      <c r="AD62" s="686" t="s">
        <v>1513</v>
      </c>
      <c r="AE62" s="686" t="s">
        <v>831</v>
      </c>
      <c r="AF62" s="1407"/>
      <c r="AG62" s="1407"/>
      <c r="AH62" s="1362"/>
      <c r="AL62" s="906" t="s">
        <v>1522</v>
      </c>
    </row>
    <row r="63" spans="2:38" s="621" customFormat="1" ht="21.95" hidden="1" customHeight="1" x14ac:dyDescent="0.15">
      <c r="B63" s="353"/>
      <c r="E63" s="614">
        <v>22.5</v>
      </c>
      <c r="F63" s="3" cm="1">
        <f t="array" aca="1" ref="F63" ca="1">OFFSET(E63,-1,1)</f>
        <v>0</v>
      </c>
      <c r="G63" s="66"/>
      <c r="H63" s="66"/>
      <c r="I63" s="348" t="s">
        <v>332</v>
      </c>
      <c r="K63" s="420"/>
      <c r="L63" s="420"/>
      <c r="M63" s="420"/>
      <c r="T63" s="388" t="b" cm="1">
        <f t="array" ref="T63">T62</f>
        <v>0</v>
      </c>
      <c r="X63" s="2032"/>
      <c r="Z63" s="2012"/>
      <c r="AB63" s="130" t="s">
        <v>1523</v>
      </c>
      <c r="AC63" s="131" t="s">
        <v>1524</v>
      </c>
      <c r="AD63" s="130" t="s">
        <v>1386</v>
      </c>
      <c r="AE63" s="153" t="s">
        <v>831</v>
      </c>
      <c r="AF63" s="763" cm="1">
        <f t="array" ref="AF63">AF64</f>
        <v>0</v>
      </c>
      <c r="AG63" s="763" cm="1">
        <f t="array" ref="AG63">AG64</f>
        <v>0</v>
      </c>
      <c r="AH63" s="1427"/>
      <c r="AL63" s="960" t="s">
        <v>1525</v>
      </c>
    </row>
    <row r="64" spans="2:38" ht="32.85" hidden="1" customHeight="1" x14ac:dyDescent="0.15">
      <c r="E64" s="542">
        <v>33.75</v>
      </c>
      <c r="F64" s="3" cm="1">
        <f t="array" aca="1" ref="F64" ca="1">OFFSET(E64,-1,1)</f>
        <v>0</v>
      </c>
      <c r="G64" s="348"/>
      <c r="H64" s="4"/>
      <c r="I64" s="348" t="s">
        <v>512</v>
      </c>
      <c r="K64" s="43"/>
      <c r="L64" s="43"/>
      <c r="M64" s="43"/>
      <c r="T64" s="388" t="b" cm="1">
        <f t="array" ref="T64">T63</f>
        <v>0</v>
      </c>
      <c r="X64" s="2032"/>
      <c r="Z64" s="2012"/>
      <c r="AB64" s="217" t="s">
        <v>282</v>
      </c>
      <c r="AC64" s="374" t="s">
        <v>1526</v>
      </c>
      <c r="AD64" s="218" t="s">
        <v>1527</v>
      </c>
      <c r="AE64" s="686" t="s">
        <v>831</v>
      </c>
      <c r="AF64" s="846">
        <f>AF65+AF66</f>
        <v>0</v>
      </c>
      <c r="AG64" s="846">
        <f>AG65+AG66</f>
        <v>0</v>
      </c>
      <c r="AH64" s="1362"/>
      <c r="AL64" s="906" t="s">
        <v>1528</v>
      </c>
    </row>
    <row r="65" spans="1:43" ht="43.9" hidden="1" customHeight="1" x14ac:dyDescent="0.15">
      <c r="E65" s="542">
        <v>45</v>
      </c>
      <c r="F65" s="3" cm="1">
        <f t="array" aca="1" ref="F65" ca="1">OFFSET(E65,-1,1)</f>
        <v>0</v>
      </c>
      <c r="G65" s="348"/>
      <c r="H65" s="4"/>
      <c r="I65" s="348" t="s">
        <v>1529</v>
      </c>
      <c r="K65" s="43"/>
      <c r="L65" s="43"/>
      <c r="M65" s="43"/>
      <c r="T65" s="388" t="b" cm="1">
        <f t="array" ref="T65">T64</f>
        <v>0</v>
      </c>
      <c r="X65" s="2032"/>
      <c r="Z65" s="2012"/>
      <c r="AB65" s="217" t="s">
        <v>910</v>
      </c>
      <c r="AC65" s="682" t="s">
        <v>1530</v>
      </c>
      <c r="AD65" s="218" t="s">
        <v>1531</v>
      </c>
      <c r="AE65" s="686" t="s">
        <v>831</v>
      </c>
      <c r="AF65" s="1407"/>
      <c r="AG65" s="1407"/>
      <c r="AH65" s="1362"/>
      <c r="AL65" s="906" t="s">
        <v>1532</v>
      </c>
    </row>
    <row r="66" spans="1:43" ht="32.85" hidden="1" customHeight="1" x14ac:dyDescent="0.15">
      <c r="E66" s="542">
        <v>33.75</v>
      </c>
      <c r="F66" s="3" cm="1">
        <f t="array" aca="1" ref="F66" ca="1">OFFSET(E66,-1,1)</f>
        <v>0</v>
      </c>
      <c r="G66" s="348"/>
      <c r="H66" s="4"/>
      <c r="I66" s="348" t="s">
        <v>1533</v>
      </c>
      <c r="K66" s="43"/>
      <c r="L66" s="43"/>
      <c r="M66" s="43"/>
      <c r="T66" s="388" t="b" cm="1">
        <f t="array" ref="T66">T65</f>
        <v>0</v>
      </c>
      <c r="X66" s="2032"/>
      <c r="Z66" s="2012"/>
      <c r="AB66" s="217" t="s">
        <v>913</v>
      </c>
      <c r="AC66" s="682" t="s">
        <v>1534</v>
      </c>
      <c r="AD66" s="218" t="s">
        <v>1535</v>
      </c>
      <c r="AE66" s="686" t="s">
        <v>831</v>
      </c>
      <c r="AF66" s="1407"/>
      <c r="AG66" s="1407"/>
      <c r="AH66" s="1362"/>
      <c r="AL66" s="906" t="s">
        <v>1536</v>
      </c>
    </row>
    <row r="67" spans="1:43" ht="34.15" hidden="1" customHeight="1" x14ac:dyDescent="0.15">
      <c r="E67" s="542">
        <v>35</v>
      </c>
      <c r="F67" s="3" cm="1">
        <f t="array" aca="1" ref="F67" ca="1">OFFSET(E67,-1,1)</f>
        <v>0</v>
      </c>
      <c r="G67" s="348"/>
      <c r="H67" s="4"/>
      <c r="I67" s="348" t="s">
        <v>333</v>
      </c>
      <c r="K67" s="43" t="str">
        <f ca="1">F67&amp;"1komm"</f>
        <v>01komm</v>
      </c>
      <c r="L67" s="832" cm="1">
        <f t="array" ref="L67">AH67</f>
        <v>0</v>
      </c>
      <c r="M67" s="43"/>
      <c r="T67" s="388" t="b" cm="1">
        <f t="array" ref="T67">T66</f>
        <v>0</v>
      </c>
      <c r="X67" s="2032"/>
      <c r="Z67" s="2012"/>
      <c r="AB67" s="153" t="s">
        <v>1537</v>
      </c>
      <c r="AC67" s="131" t="s">
        <v>1538</v>
      </c>
      <c r="AD67" s="130" t="s">
        <v>1539</v>
      </c>
      <c r="AE67" s="153" t="s">
        <v>831</v>
      </c>
      <c r="AF67" s="1428"/>
      <c r="AG67" s="1428"/>
      <c r="AH67" s="1362"/>
      <c r="AL67" s="906" t="s">
        <v>1540</v>
      </c>
    </row>
    <row r="68" spans="1:43" ht="107.25" hidden="1" customHeight="1" x14ac:dyDescent="0.15">
      <c r="E68" s="542">
        <v>110</v>
      </c>
      <c r="F68" s="3" cm="1">
        <f t="array" aca="1" ref="F68" ca="1">OFFSET(E68,-1,1)</f>
        <v>0</v>
      </c>
      <c r="G68" s="348"/>
      <c r="H68" s="4"/>
      <c r="I68" s="348" t="s">
        <v>335</v>
      </c>
      <c r="K68" s="43" t="str">
        <f ca="1">F68&amp;"2komm"</f>
        <v>02komm</v>
      </c>
      <c r="L68" s="832" cm="1">
        <f t="array" ref="L68">AH68</f>
        <v>0</v>
      </c>
      <c r="M68" s="43"/>
      <c r="T68" s="388" t="b" cm="1">
        <f t="array" ref="T68">T67</f>
        <v>0</v>
      </c>
      <c r="X68" s="2032"/>
      <c r="Z68" s="2012"/>
      <c r="AB68" s="153" t="s">
        <v>1541</v>
      </c>
      <c r="AC68" s="131" t="s">
        <v>1542</v>
      </c>
      <c r="AD68" s="130" t="s">
        <v>1543</v>
      </c>
      <c r="AE68" s="153" t="s">
        <v>831</v>
      </c>
      <c r="AF68" s="1428"/>
      <c r="AG68" s="1428"/>
      <c r="AH68" s="1362"/>
      <c r="AL68" s="906" t="s">
        <v>1026</v>
      </c>
    </row>
    <row r="69" spans="1:43" ht="76.7" hidden="1" customHeight="1" x14ac:dyDescent="0.25">
      <c r="B69" s="350" t="b">
        <f>S27="Водоотведение"</f>
        <v>0</v>
      </c>
      <c r="E69" s="542">
        <v>78.75</v>
      </c>
      <c r="F69" s="3" cm="1">
        <f t="array" aca="1" ref="F69" ca="1">OFFSET(E69,-1,1)</f>
        <v>0</v>
      </c>
      <c r="H69" s="2"/>
      <c r="I69" s="41" t="s">
        <v>334</v>
      </c>
      <c r="K69" s="43" t="str">
        <f ca="1">F69&amp;"3komm"</f>
        <v>03komm</v>
      </c>
      <c r="L69" s="832" cm="1">
        <f t="array" ref="L69">AH69</f>
        <v>0</v>
      </c>
      <c r="M69" s="43"/>
      <c r="T69" s="388" t="b" cm="1">
        <f t="array" ref="T69">T68</f>
        <v>0</v>
      </c>
      <c r="X69" s="2032"/>
      <c r="Z69" s="2012"/>
      <c r="AB69" s="153" t="s">
        <v>1544</v>
      </c>
      <c r="AC69" s="131" t="s">
        <v>1545</v>
      </c>
      <c r="AD69" s="130"/>
      <c r="AE69" s="153" t="s">
        <v>831</v>
      </c>
      <c r="AF69" s="1428"/>
      <c r="AG69" s="1406">
        <f ca="1">IFERROR(SUMIFS('Плата за негативное возд'!$AL$24:$AL$35,'Плата за негативное возд'!$F$24:$F$35,F69,'Плата за негативное возд'!$AB$24:$AB$35,"1"),0)</f>
        <v>0</v>
      </c>
      <c r="AH69" s="1362"/>
      <c r="AL69" s="906" t="s">
        <v>1546</v>
      </c>
    </row>
    <row r="70" spans="1:43" ht="54.75" hidden="1" customHeight="1" x14ac:dyDescent="0.25">
      <c r="B70" s="350" t="b" cm="1">
        <f t="array" ref="B70">B69</f>
        <v>0</v>
      </c>
      <c r="E70" s="542">
        <v>56.25</v>
      </c>
      <c r="F70" s="3" cm="1">
        <f t="array" aca="1" ref="F70" ca="1">OFFSET(E70,-1,1)</f>
        <v>0</v>
      </c>
      <c r="H70" s="2"/>
      <c r="I70" s="41" t="s">
        <v>544</v>
      </c>
      <c r="K70" s="43" t="str">
        <f ca="1">F70&amp;"4komm"</f>
        <v>04komm</v>
      </c>
      <c r="L70" s="832" cm="1">
        <f t="array" ref="L70">AH70</f>
        <v>0</v>
      </c>
      <c r="M70" s="43"/>
      <c r="T70" s="388" t="b" cm="1">
        <f t="array" ref="T70">T69</f>
        <v>0</v>
      </c>
      <c r="X70" s="2032"/>
      <c r="Z70" s="2012"/>
      <c r="AB70" s="153" t="s">
        <v>1547</v>
      </c>
      <c r="AC70" s="131" t="s">
        <v>1548</v>
      </c>
      <c r="AD70" s="130"/>
      <c r="AE70" s="153" t="s">
        <v>831</v>
      </c>
      <c r="AF70" s="1428"/>
      <c r="AG70" s="1406">
        <f ca="1">IFERROR(SUMIFS('Плата за негативное возд'!$AL$24:$AL$35,'Плата за негативное возд'!$F$24:$F$35,F70,'Плата за негативное возд'!$AB$24:$AB$35,"2"),0)</f>
        <v>0</v>
      </c>
      <c r="AH70" s="1362"/>
      <c r="AL70" s="906" t="s">
        <v>1549</v>
      </c>
    </row>
    <row r="71" spans="1:43" ht="14.65" hidden="1" customHeight="1" x14ac:dyDescent="0.15">
      <c r="E71" s="542">
        <v>15</v>
      </c>
      <c r="F71" s="3" cm="1">
        <f t="array" aca="1" ref="F71" ca="1">OFFSET(E71,-1,1)</f>
        <v>0</v>
      </c>
      <c r="H71" s="4"/>
      <c r="I71" s="41" t="s">
        <v>547</v>
      </c>
      <c r="K71" s="43" t="str">
        <f ca="1">F71&amp;"5komm"</f>
        <v>05komm</v>
      </c>
      <c r="L71" s="832" cm="1">
        <f t="array" ref="L71">AH71</f>
        <v>0</v>
      </c>
      <c r="M71" s="43"/>
      <c r="T71" s="388" t="b" cm="1">
        <f t="array" ref="T71">T70</f>
        <v>0</v>
      </c>
      <c r="X71" s="2032"/>
      <c r="Z71" s="2012"/>
      <c r="AB71" s="153" t="str">
        <f>IF(B70,"VII","V")</f>
        <v>V</v>
      </c>
      <c r="AC71" s="131" t="s">
        <v>1550</v>
      </c>
      <c r="AD71" s="130"/>
      <c r="AE71" s="153" t="s">
        <v>831</v>
      </c>
      <c r="AF71" s="1428"/>
      <c r="AG71" s="1428"/>
      <c r="AH71" s="1362"/>
      <c r="AL71" s="906" t="s">
        <v>1551</v>
      </c>
    </row>
    <row r="72" spans="1:43" s="621" customFormat="1" ht="14.65" hidden="1" customHeight="1" x14ac:dyDescent="0.15">
      <c r="B72" s="353"/>
      <c r="E72" s="614">
        <v>15</v>
      </c>
      <c r="F72" s="3" cm="1">
        <f t="array" aca="1" ref="F72" ca="1">OFFSET(E72,-1,1)</f>
        <v>0</v>
      </c>
      <c r="G72" s="420"/>
      <c r="I72" s="160" t="s">
        <v>591</v>
      </c>
      <c r="K72" s="43" t="str">
        <f ca="1">F72&amp;"6komm"</f>
        <v>06komm</v>
      </c>
      <c r="L72" s="832" cm="1">
        <f t="array" ref="L72">AH72</f>
        <v>0</v>
      </c>
      <c r="M72" s="420"/>
      <c r="T72" s="388" t="b" cm="1">
        <f t="array" ref="T72">T71</f>
        <v>0</v>
      </c>
      <c r="X72" s="2032"/>
      <c r="Z72" s="2012"/>
      <c r="AB72" s="153" t="str">
        <f>IF(B70,"VIII","VI")</f>
        <v>VI</v>
      </c>
      <c r="AC72" s="131" t="s">
        <v>1512</v>
      </c>
      <c r="AD72" s="130"/>
      <c r="AE72" s="153" t="s">
        <v>831</v>
      </c>
      <c r="AF72" s="1428">
        <f>AF73+AF74</f>
        <v>0</v>
      </c>
      <c r="AG72" s="1428">
        <f>AG73+AG74</f>
        <v>0</v>
      </c>
      <c r="AH72" s="1362"/>
      <c r="AL72" s="960" t="s">
        <v>1552</v>
      </c>
    </row>
    <row r="73" spans="1:43" ht="21.95" hidden="1" customHeight="1" x14ac:dyDescent="0.15">
      <c r="E73" s="542">
        <v>22.5</v>
      </c>
      <c r="F73" s="3" cm="1">
        <f t="array" aca="1" ref="F73" ca="1">OFFSET(E73,-1,1)</f>
        <v>0</v>
      </c>
      <c r="H73" s="4"/>
      <c r="I73" s="41" t="s">
        <v>594</v>
      </c>
      <c r="K73" s="43" t="str">
        <f ca="1">F73&amp;"7komm"</f>
        <v>07komm</v>
      </c>
      <c r="L73" s="832" cm="1">
        <f t="array" ref="L73">AH73</f>
        <v>0</v>
      </c>
      <c r="M73" s="43"/>
      <c r="T73" s="388" t="b" cm="1">
        <f t="array" ref="T73">T72</f>
        <v>0</v>
      </c>
      <c r="X73" s="2032"/>
      <c r="Z73" s="2012"/>
      <c r="AB73" s="686">
        <v>1</v>
      </c>
      <c r="AC73" s="682" t="s">
        <v>1515</v>
      </c>
      <c r="AD73" s="218"/>
      <c r="AE73" s="686" t="s">
        <v>831</v>
      </c>
      <c r="AF73" s="1407"/>
      <c r="AG73" s="1407"/>
      <c r="AH73" s="1362"/>
      <c r="AL73" s="906" t="s">
        <v>1553</v>
      </c>
    </row>
    <row r="74" spans="1:43" ht="21.95" hidden="1" customHeight="1" x14ac:dyDescent="0.15">
      <c r="E74" s="542">
        <v>22.5</v>
      </c>
      <c r="F74" s="3" cm="1">
        <f t="array" aca="1" ref="F74" ca="1">OFFSET(E74,-1,1)</f>
        <v>0</v>
      </c>
      <c r="H74" s="4"/>
      <c r="I74" s="41" t="s">
        <v>598</v>
      </c>
      <c r="K74" s="43" t="str">
        <f ca="1">F74&amp;"8komm"</f>
        <v>08komm</v>
      </c>
      <c r="L74" s="832" cm="1">
        <f t="array" ref="L74">AH74</f>
        <v>0</v>
      </c>
      <c r="M74" s="43"/>
      <c r="T74" s="388" t="b" cm="1">
        <f t="array" ref="T74">T73</f>
        <v>0</v>
      </c>
      <c r="X74" s="2032"/>
      <c r="Z74" s="2012"/>
      <c r="AB74" s="686">
        <v>2</v>
      </c>
      <c r="AC74" s="682" t="s">
        <v>1517</v>
      </c>
      <c r="AD74" s="218"/>
      <c r="AE74" s="686" t="s">
        <v>831</v>
      </c>
      <c r="AF74" s="1407"/>
      <c r="AG74" s="1407"/>
      <c r="AH74" s="1362"/>
      <c r="AL74" s="906" t="s">
        <v>1554</v>
      </c>
    </row>
    <row r="75" spans="1:43" ht="14.65" hidden="1" customHeight="1" x14ac:dyDescent="0.15">
      <c r="E75" s="542">
        <v>15</v>
      </c>
      <c r="F75" s="3" cm="1">
        <f t="array" aca="1" ref="F75" ca="1">OFFSET(E75,-1,1)</f>
        <v>0</v>
      </c>
      <c r="H75" s="4"/>
      <c r="I75" s="41" t="s">
        <v>606</v>
      </c>
      <c r="K75" s="43" t="str">
        <f ca="1">F75&amp;"9komm"</f>
        <v>09komm</v>
      </c>
      <c r="L75" s="832" cm="1">
        <f t="array" ref="L75">AH75</f>
        <v>0</v>
      </c>
      <c r="M75" s="43"/>
      <c r="T75" s="388" t="b" cm="1">
        <f t="array" ref="T75">T74</f>
        <v>0</v>
      </c>
      <c r="X75" s="2032"/>
      <c r="Z75" s="2012"/>
      <c r="AB75" s="153" t="str">
        <f>IF(B70,"IX","VIII")</f>
        <v>VIII</v>
      </c>
      <c r="AC75" s="131" t="s">
        <v>1519</v>
      </c>
      <c r="AD75" s="130"/>
      <c r="AE75" s="153" t="s">
        <v>831</v>
      </c>
      <c r="AF75" s="1428"/>
      <c r="AG75" s="1428"/>
      <c r="AH75" s="1362"/>
      <c r="AL75" s="906" t="s">
        <v>1555</v>
      </c>
    </row>
    <row r="76" spans="1:43" ht="14.65" hidden="1" customHeight="1" x14ac:dyDescent="0.15">
      <c r="E76" s="542">
        <v>15</v>
      </c>
      <c r="F76" s="3" cm="1">
        <f t="array" aca="1" ref="F76" ca="1">OFFSET(E76,-1,1)</f>
        <v>0</v>
      </c>
      <c r="H76" s="4"/>
      <c r="I76" s="41" t="s">
        <v>613</v>
      </c>
      <c r="K76" s="43" t="str">
        <f ca="1">F76&amp;"10komm"</f>
        <v>010komm</v>
      </c>
      <c r="L76" s="832" cm="1">
        <f t="array" ref="L76">AH76</f>
        <v>0</v>
      </c>
      <c r="M76" s="43"/>
      <c r="T76" s="388" t="b" cm="1">
        <f t="array" ref="T76">T75</f>
        <v>0</v>
      </c>
      <c r="X76" s="2032"/>
      <c r="Z76" s="2012"/>
      <c r="AB76" s="153" t="str">
        <f>IF(B70,"X","IX")</f>
        <v>IX</v>
      </c>
      <c r="AC76" s="131" t="s">
        <v>1521</v>
      </c>
      <c r="AD76" s="130"/>
      <c r="AE76" s="153" t="s">
        <v>831</v>
      </c>
      <c r="AF76" s="1428"/>
      <c r="AG76" s="1428"/>
      <c r="AH76" s="1362"/>
      <c r="AL76" s="906" t="s">
        <v>1556</v>
      </c>
    </row>
    <row r="77" spans="1:43" s="621" customFormat="1" ht="14.65" hidden="1" customHeight="1" x14ac:dyDescent="0.15">
      <c r="B77" s="353"/>
      <c r="E77" s="614">
        <v>15</v>
      </c>
      <c r="F77" s="3" cm="1">
        <f t="array" aca="1" ref="F77" ca="1">OFFSET(E77,-1,1)</f>
        <v>0</v>
      </c>
      <c r="G77" s="420"/>
      <c r="I77" s="160" t="s">
        <v>770</v>
      </c>
      <c r="K77" s="43" t="str">
        <f ca="1">F77&amp;"11komm"</f>
        <v>011komm</v>
      </c>
      <c r="L77" s="832" cm="1">
        <f t="array" ref="L77">AH77</f>
        <v>0</v>
      </c>
      <c r="M77" s="420"/>
      <c r="T77" s="388" t="b" cm="1">
        <f t="array" ref="T77">T76</f>
        <v>0</v>
      </c>
      <c r="X77" s="2032"/>
      <c r="Z77" s="2012"/>
      <c r="AB77" s="153" t="str">
        <f>IF(B70,"XI","X")</f>
        <v>X</v>
      </c>
      <c r="AC77" s="138" t="s">
        <v>1557</v>
      </c>
      <c r="AD77" s="130"/>
      <c r="AE77" s="153" t="s">
        <v>831</v>
      </c>
      <c r="AF77" s="849">
        <f ca="1">AF28+AF63+AF67+AF68+AF69+AF70+AF71+AF72+AF75+AF76</f>
        <v>0</v>
      </c>
      <c r="AG77" s="849">
        <f ca="1">AG28+AG63+AG67+AG68+AG69+AG70+AG71+AG72+AG75+AG76</f>
        <v>0</v>
      </c>
      <c r="AH77" s="1362"/>
      <c r="AL77" s="960" t="s">
        <v>1558</v>
      </c>
    </row>
    <row r="78" spans="1:43" s="1334" customFormat="1" ht="14.25" customHeight="1" x14ac:dyDescent="0.15">
      <c r="A78" s="1217"/>
      <c r="B78" s="1111"/>
      <c r="C78" s="1217"/>
      <c r="D78" s="1217"/>
      <c r="E78" s="542">
        <v>15</v>
      </c>
      <c r="F78" s="17" t="str" cm="1">
        <f t="array" ref="F78">X78</f>
        <v>1</v>
      </c>
      <c r="G78" s="416"/>
      <c r="H78" s="4"/>
      <c r="I78" s="1217"/>
      <c r="J78" s="1217"/>
      <c r="K78" s="1217"/>
      <c r="L78" s="1217"/>
      <c r="M78" s="1217"/>
      <c r="N78" s="1217"/>
      <c r="O78" s="1217"/>
      <c r="P78" s="1217"/>
      <c r="Q78" s="1217"/>
      <c r="R78" s="1217"/>
      <c r="S78" s="1085" t="str" cm="1">
        <f t="array" ref="S78">INDEX('Общие сведения'!$AE$185:$AE$228,MATCH($X78,'Общие сведения'!$Z$185:$Z$228,0))</f>
        <v>Водоснабжение</v>
      </c>
      <c r="T78" s="388" t="b">
        <f>X78&gt;0</f>
        <v>1</v>
      </c>
      <c r="U78" s="1217"/>
      <c r="V78" s="41" t="str" cm="1">
        <f t="array" ref="V78">'Плата за негативное возд'!$AB$29</f>
        <v>Тариф 1 (Водоснабжение) - тариф на питьевую воду</v>
      </c>
      <c r="W78" s="1217"/>
      <c r="X78" s="2032" t="s">
        <v>282</v>
      </c>
      <c r="Y78" s="1217"/>
      <c r="Z78" s="2012"/>
      <c r="AA78" s="1217"/>
      <c r="AB78" s="297" t="str" cm="1">
        <f t="array" ref="AB78">'Плата за негативное возд'!$AB$29</f>
        <v>Тариф 1 (Водоснабжение) - тариф на питьевую воду</v>
      </c>
      <c r="AC78" s="297"/>
      <c r="AD78" s="297"/>
      <c r="AE78" s="297"/>
      <c r="AF78" s="297"/>
      <c r="AG78" s="297"/>
      <c r="AH78" s="297"/>
      <c r="AI78" s="1217"/>
      <c r="AJ78" s="1217"/>
      <c r="AK78" s="1217"/>
      <c r="AL78" s="1133"/>
      <c r="AM78" s="1217"/>
      <c r="AN78" s="1217"/>
      <c r="AO78" s="1217"/>
      <c r="AP78" s="1217"/>
      <c r="AQ78" s="1217"/>
    </row>
    <row r="79" spans="1:43" s="1429" customFormat="1" ht="43.5" customHeight="1" x14ac:dyDescent="0.15">
      <c r="A79" s="621"/>
      <c r="B79" s="353"/>
      <c r="C79" s="621"/>
      <c r="D79" s="621"/>
      <c r="E79" s="614">
        <v>45</v>
      </c>
      <c r="F79" s="3" t="str" cm="1">
        <f t="array" aca="1" ref="F79" ca="1">OFFSET(E79,-1,1)</f>
        <v>1</v>
      </c>
      <c r="G79" s="420"/>
      <c r="H79" s="621"/>
      <c r="I79" s="41" t="s">
        <v>331</v>
      </c>
      <c r="J79" s="621"/>
      <c r="K79" s="43"/>
      <c r="L79" s="836"/>
      <c r="M79" s="420"/>
      <c r="N79" s="621"/>
      <c r="O79" s="621"/>
      <c r="P79" s="621"/>
      <c r="Q79" s="621"/>
      <c r="R79" s="621"/>
      <c r="S79" s="621"/>
      <c r="T79" s="388" t="b" cm="1">
        <f t="array" ref="T79">T78</f>
        <v>1</v>
      </c>
      <c r="U79" s="621"/>
      <c r="V79" s="621"/>
      <c r="W79" s="621"/>
      <c r="X79" s="2032"/>
      <c r="Y79" s="621"/>
      <c r="Z79" s="2012"/>
      <c r="AA79" s="621"/>
      <c r="AB79" s="760" t="s">
        <v>1384</v>
      </c>
      <c r="AC79" s="761" t="s">
        <v>1385</v>
      </c>
      <c r="AD79" s="760" t="s">
        <v>1386</v>
      </c>
      <c r="AE79" s="762" t="s">
        <v>831</v>
      </c>
      <c r="AF79" s="763">
        <f ca="1">AF81-AF80</f>
        <v>39751.880000000005</v>
      </c>
      <c r="AG79" s="763">
        <f ca="1">AG81-AG80</f>
        <v>9589.0499999999884</v>
      </c>
      <c r="AH79" s="764"/>
      <c r="AI79" s="621"/>
      <c r="AJ79" s="621"/>
      <c r="AK79" s="621"/>
      <c r="AL79" s="960" t="s">
        <v>1387</v>
      </c>
      <c r="AM79" s="621"/>
      <c r="AN79" s="621"/>
      <c r="AO79" s="621"/>
      <c r="AP79" s="621"/>
      <c r="AQ79" s="621"/>
    </row>
    <row r="80" spans="1:43" s="1430" customFormat="1" ht="14.25" customHeight="1" x14ac:dyDescent="0.15">
      <c r="A80" s="621"/>
      <c r="B80" s="353"/>
      <c r="C80" s="621"/>
      <c r="D80" s="621"/>
      <c r="E80" s="614">
        <v>15</v>
      </c>
      <c r="F80" s="3" t="str" cm="1">
        <f t="array" aca="1" ref="F80" ca="1">OFFSET(E80,-1,1)</f>
        <v>1</v>
      </c>
      <c r="G80" s="420"/>
      <c r="H80" s="621"/>
      <c r="I80" s="41" t="s">
        <v>494</v>
      </c>
      <c r="J80" s="621"/>
      <c r="K80" s="420"/>
      <c r="L80" s="420"/>
      <c r="M80" s="420"/>
      <c r="N80" s="621"/>
      <c r="O80" s="621"/>
      <c r="P80" s="621"/>
      <c r="Q80" s="621"/>
      <c r="R80" s="621"/>
      <c r="S80" s="621"/>
      <c r="T80" s="388" t="b" cm="1">
        <f t="array" ref="T80">T79</f>
        <v>1</v>
      </c>
      <c r="U80" s="621"/>
      <c r="V80" s="621"/>
      <c r="W80" s="621"/>
      <c r="X80" s="2032"/>
      <c r="Y80" s="621"/>
      <c r="Z80" s="2012"/>
      <c r="AA80" s="621"/>
      <c r="AB80" s="137" t="s">
        <v>282</v>
      </c>
      <c r="AC80" s="138" t="s">
        <v>1388</v>
      </c>
      <c r="AD80" s="130" t="s">
        <v>1389</v>
      </c>
      <c r="AE80" s="153" t="s">
        <v>831</v>
      </c>
      <c r="AF80" s="298">
        <v>195608.34</v>
      </c>
      <c r="AG80" s="298">
        <v>195608.34</v>
      </c>
      <c r="AH80" s="764" t="s">
        <v>1559</v>
      </c>
      <c r="AI80" s="621"/>
      <c r="AJ80" s="621"/>
      <c r="AK80" s="621"/>
      <c r="AL80" s="960" t="s">
        <v>1390</v>
      </c>
      <c r="AM80" s="621"/>
      <c r="AN80" s="621"/>
      <c r="AO80" s="621"/>
      <c r="AP80" s="621"/>
      <c r="AQ80" s="621"/>
    </row>
    <row r="81" spans="1:43" s="1431" customFormat="1" ht="14.25" customHeight="1" x14ac:dyDescent="0.15">
      <c r="A81" s="621"/>
      <c r="B81" s="353"/>
      <c r="C81" s="621"/>
      <c r="D81" s="621"/>
      <c r="E81" s="614">
        <v>15</v>
      </c>
      <c r="F81" s="3" t="str" cm="1">
        <f t="array" aca="1" ref="F81" ca="1">OFFSET(E81,-1,1)</f>
        <v>1</v>
      </c>
      <c r="G81" s="66"/>
      <c r="H81" s="66"/>
      <c r="I81" s="348" t="s">
        <v>498</v>
      </c>
      <c r="J81" s="621"/>
      <c r="K81" s="420"/>
      <c r="L81" s="420"/>
      <c r="M81" s="420"/>
      <c r="N81" s="621"/>
      <c r="O81" s="621"/>
      <c r="P81" s="621"/>
      <c r="Q81" s="621"/>
      <c r="R81" s="621"/>
      <c r="S81" s="621"/>
      <c r="T81" s="388" t="b" cm="1">
        <f t="array" ref="T81">T80</f>
        <v>1</v>
      </c>
      <c r="U81" s="621"/>
      <c r="V81" s="621"/>
      <c r="W81" s="621"/>
      <c r="X81" s="2032"/>
      <c r="Y81" s="621"/>
      <c r="Z81" s="2012"/>
      <c r="AA81" s="621"/>
      <c r="AB81" s="137" t="s">
        <v>289</v>
      </c>
      <c r="AC81" s="131" t="s">
        <v>1391</v>
      </c>
      <c r="AD81" s="130" t="s">
        <v>1392</v>
      </c>
      <c r="AE81" s="153" t="s">
        <v>831</v>
      </c>
      <c r="AF81" s="763">
        <f ca="1">AF82+AF83+AF95+AF99+AF100+AF101+AF102+AF106+AF107+AF108+AF109+AF112+AF113</f>
        <v>235360.22</v>
      </c>
      <c r="AG81" s="763">
        <f ca="1">AG82+AG83+AG95+AG99+AG100+AG101+AG102+AG106+AG107+AG108+AG109+AG112+AG113</f>
        <v>205197.38999999998</v>
      </c>
      <c r="AH81" s="764"/>
      <c r="AI81" s="621"/>
      <c r="AJ81" s="621"/>
      <c r="AK81" s="621"/>
      <c r="AL81" s="960" t="s">
        <v>1393</v>
      </c>
      <c r="AM81" s="621"/>
      <c r="AN81" s="621"/>
      <c r="AO81" s="621"/>
      <c r="AP81" s="621"/>
      <c r="AQ81" s="621"/>
    </row>
    <row r="82" spans="1:43" s="1334" customFormat="1" ht="21.75" customHeight="1" x14ac:dyDescent="0.15">
      <c r="A82" s="1217"/>
      <c r="B82" s="1111"/>
      <c r="C82" s="1217"/>
      <c r="D82" s="1217"/>
      <c r="E82" s="542">
        <v>22.5</v>
      </c>
      <c r="F82" s="3" t="str" cm="1">
        <f t="array" aca="1" ref="F82" ca="1">OFFSET(E82,-1,1)</f>
        <v>1</v>
      </c>
      <c r="G82" s="348" t="s">
        <v>1394</v>
      </c>
      <c r="H82" s="4"/>
      <c r="I82" s="348" t="s">
        <v>1301</v>
      </c>
      <c r="J82" s="1217"/>
      <c r="K82" s="43"/>
      <c r="L82" s="43"/>
      <c r="M82" s="43"/>
      <c r="N82" s="1217"/>
      <c r="O82" s="1217"/>
      <c r="P82" s="1217"/>
      <c r="Q82" s="1217"/>
      <c r="R82" s="1217"/>
      <c r="S82" s="1321"/>
      <c r="T82" s="388" t="b" cm="1">
        <f t="array" ref="T82">T81</f>
        <v>1</v>
      </c>
      <c r="U82" s="1217"/>
      <c r="V82" s="1217"/>
      <c r="W82" s="1217"/>
      <c r="X82" s="2032"/>
      <c r="Y82" s="1217"/>
      <c r="Z82" s="2012"/>
      <c r="AA82" s="1217"/>
      <c r="AB82" s="217" t="s">
        <v>566</v>
      </c>
      <c r="AC82" s="682" t="s">
        <v>1395</v>
      </c>
      <c r="AD82" s="218" t="s">
        <v>1396</v>
      </c>
      <c r="AE82" s="686" t="s">
        <v>831</v>
      </c>
      <c r="AF82" s="216">
        <v>85312.97</v>
      </c>
      <c r="AG82" s="216">
        <v>98802.675000000003</v>
      </c>
      <c r="AH82" s="765" t="s">
        <v>1560</v>
      </c>
      <c r="AI82" s="1217"/>
      <c r="AJ82" s="1217"/>
      <c r="AK82" s="1217"/>
      <c r="AL82" s="906" t="s">
        <v>1397</v>
      </c>
      <c r="AM82" s="1217"/>
      <c r="AN82" s="1217"/>
      <c r="AO82" s="1217"/>
      <c r="AP82" s="1217"/>
      <c r="AQ82" s="1217"/>
    </row>
    <row r="83" spans="1:43" s="1334" customFormat="1" ht="21.75" customHeight="1" x14ac:dyDescent="0.15">
      <c r="A83" s="1217"/>
      <c r="B83" s="1111"/>
      <c r="C83" s="1217"/>
      <c r="D83" s="1217"/>
      <c r="E83" s="542">
        <v>22.5</v>
      </c>
      <c r="F83" s="3" t="str" cm="1">
        <f t="array" aca="1" ref="F83" ca="1">OFFSET(E83,-1,1)</f>
        <v>1</v>
      </c>
      <c r="G83" s="348"/>
      <c r="H83" s="4"/>
      <c r="I83" s="348" t="s">
        <v>1304</v>
      </c>
      <c r="J83" s="1217"/>
      <c r="K83" s="43"/>
      <c r="L83" s="43"/>
      <c r="M83" s="43"/>
      <c r="N83" s="1217"/>
      <c r="O83" s="1217"/>
      <c r="P83" s="1217"/>
      <c r="Q83" s="1217"/>
      <c r="R83" s="1217"/>
      <c r="S83" s="1321"/>
      <c r="T83" s="388" t="b" cm="1">
        <f t="array" ref="T83">T82</f>
        <v>1</v>
      </c>
      <c r="U83" s="1217"/>
      <c r="V83" s="1217"/>
      <c r="W83" s="1217"/>
      <c r="X83" s="2032"/>
      <c r="Y83" s="1217"/>
      <c r="Z83" s="2012"/>
      <c r="AA83" s="1217"/>
      <c r="AB83" s="217" t="s">
        <v>570</v>
      </c>
      <c r="AC83" s="682" t="s">
        <v>1398</v>
      </c>
      <c r="AD83" s="218" t="s">
        <v>1399</v>
      </c>
      <c r="AE83" s="686" t="s">
        <v>831</v>
      </c>
      <c r="AF83" s="846">
        <f ca="1">SUM(AF84:AF94)</f>
        <v>47291.06</v>
      </c>
      <c r="AG83" s="846">
        <f ca="1">SUM(AG84:AG94)</f>
        <v>40948.885000000002</v>
      </c>
      <c r="AH83" s="765"/>
      <c r="AI83" s="1217"/>
      <c r="AJ83" s="1217"/>
      <c r="AK83" s="1217"/>
      <c r="AL83" s="906" t="s">
        <v>1400</v>
      </c>
      <c r="AM83" s="1217"/>
      <c r="AN83" s="1217"/>
      <c r="AO83" s="1217"/>
      <c r="AP83" s="1217"/>
      <c r="AQ83" s="1217"/>
    </row>
    <row r="84" spans="1:43" s="1334" customFormat="1" ht="21.75" customHeight="1" x14ac:dyDescent="0.15">
      <c r="A84" s="1217"/>
      <c r="B84" s="1111"/>
      <c r="C84" s="1217"/>
      <c r="D84" s="1217"/>
      <c r="E84" s="542">
        <v>22.5</v>
      </c>
      <c r="F84" s="3" t="str" cm="1">
        <f t="array" aca="1" ref="F84" ca="1">OFFSET(E84,-1,1)</f>
        <v>1</v>
      </c>
      <c r="G84" s="348"/>
      <c r="H84" s="4"/>
      <c r="I84" s="348" t="s">
        <v>1401</v>
      </c>
      <c r="J84" s="1217"/>
      <c r="K84" s="43"/>
      <c r="L84" s="43"/>
      <c r="M84" s="43"/>
      <c r="N84" s="1217"/>
      <c r="O84" s="1217"/>
      <c r="P84" s="1217"/>
      <c r="Q84" s="1217"/>
      <c r="R84" s="1217"/>
      <c r="S84" s="1321"/>
      <c r="T84" s="388" t="b" cm="1">
        <f t="array" ref="T84">T83</f>
        <v>1</v>
      </c>
      <c r="U84" s="1217"/>
      <c r="V84" s="1217"/>
      <c r="W84" s="1217"/>
      <c r="X84" s="2032"/>
      <c r="Y84" s="1217"/>
      <c r="Z84" s="2012"/>
      <c r="AA84" s="1217"/>
      <c r="AB84" s="704" t="s">
        <v>526</v>
      </c>
      <c r="AC84" s="701" t="s">
        <v>1402</v>
      </c>
      <c r="AD84" s="686"/>
      <c r="AE84" s="686" t="s">
        <v>831</v>
      </c>
      <c r="AF84" s="216">
        <v>9055.64</v>
      </c>
      <c r="AG84" s="216">
        <v>7743.8450000000003</v>
      </c>
      <c r="AH84" s="765" t="s">
        <v>1561</v>
      </c>
      <c r="AI84" s="1217"/>
      <c r="AJ84" s="1217"/>
      <c r="AK84" s="1217"/>
      <c r="AL84" s="906" t="s">
        <v>1403</v>
      </c>
      <c r="AM84" s="1217"/>
      <c r="AN84" s="1217"/>
      <c r="AO84" s="1217"/>
      <c r="AP84" s="1217"/>
      <c r="AQ84" s="1217"/>
    </row>
    <row r="85" spans="1:43" s="1334" customFormat="1" ht="14.25" customHeight="1" x14ac:dyDescent="0.15">
      <c r="A85" s="1217"/>
      <c r="B85" s="1111"/>
      <c r="C85" s="1217"/>
      <c r="D85" s="1217"/>
      <c r="E85" s="542">
        <v>15</v>
      </c>
      <c r="F85" s="3" t="str" cm="1">
        <f t="array" aca="1" ref="F85" ca="1">OFFSET(E85,-1,1)</f>
        <v>1</v>
      </c>
      <c r="G85" s="348"/>
      <c r="H85" s="4"/>
      <c r="I85" s="348" t="s">
        <v>1404</v>
      </c>
      <c r="J85" s="1217"/>
      <c r="K85" s="43"/>
      <c r="L85" s="43"/>
      <c r="M85" s="43"/>
      <c r="N85" s="1217"/>
      <c r="O85" s="1217"/>
      <c r="P85" s="1217"/>
      <c r="Q85" s="1217"/>
      <c r="R85" s="1217"/>
      <c r="S85" s="1321"/>
      <c r="T85" s="388" t="b" cm="1">
        <f t="array" ref="T85">T84</f>
        <v>1</v>
      </c>
      <c r="U85" s="1217"/>
      <c r="V85" s="1217"/>
      <c r="W85" s="1217"/>
      <c r="X85" s="2032"/>
      <c r="Y85" s="1217"/>
      <c r="Z85" s="2012"/>
      <c r="AA85" s="1217"/>
      <c r="AB85" s="704" t="s">
        <v>1405</v>
      </c>
      <c r="AC85" s="701" t="s">
        <v>1406</v>
      </c>
      <c r="AD85" s="686"/>
      <c r="AE85" s="686" t="s">
        <v>831</v>
      </c>
      <c r="AF85" s="216">
        <v>21908.58</v>
      </c>
      <c r="AG85" s="216">
        <v>21887.43</v>
      </c>
      <c r="AH85" s="765" t="s">
        <v>1562</v>
      </c>
      <c r="AI85" s="1217"/>
      <c r="AJ85" s="1217"/>
      <c r="AK85" s="1217"/>
      <c r="AL85" s="906" t="s">
        <v>1407</v>
      </c>
      <c r="AM85" s="1217"/>
      <c r="AN85" s="1217"/>
      <c r="AO85" s="1217"/>
      <c r="AP85" s="1217"/>
      <c r="AQ85" s="1217"/>
    </row>
    <row r="86" spans="1:43" s="1334" customFormat="1" ht="14.25" customHeight="1" x14ac:dyDescent="0.15">
      <c r="A86" s="1217"/>
      <c r="B86" s="1111"/>
      <c r="C86" s="1217"/>
      <c r="D86" s="1217"/>
      <c r="E86" s="542">
        <v>15</v>
      </c>
      <c r="F86" s="3" t="str" cm="1">
        <f t="array" aca="1" ref="F86" ca="1">OFFSET(E86,-1,1)</f>
        <v>1</v>
      </c>
      <c r="G86" s="348"/>
      <c r="H86" s="4"/>
      <c r="I86" s="348" t="s">
        <v>1408</v>
      </c>
      <c r="J86" s="1217"/>
      <c r="K86" s="43"/>
      <c r="L86" s="43"/>
      <c r="M86" s="43"/>
      <c r="N86" s="1217"/>
      <c r="O86" s="1217"/>
      <c r="P86" s="1217"/>
      <c r="Q86" s="1217"/>
      <c r="R86" s="1217"/>
      <c r="S86" s="1321"/>
      <c r="T86" s="388" t="b" cm="1">
        <f t="array" ref="T86">T85</f>
        <v>1</v>
      </c>
      <c r="U86" s="1217"/>
      <c r="V86" s="1217"/>
      <c r="W86" s="1217"/>
      <c r="X86" s="2032"/>
      <c r="Y86" s="1217"/>
      <c r="Z86" s="2012"/>
      <c r="AA86" s="1217"/>
      <c r="AB86" s="704" t="s">
        <v>1409</v>
      </c>
      <c r="AC86" s="701" t="s">
        <v>1410</v>
      </c>
      <c r="AD86" s="686"/>
      <c r="AE86" s="686" t="s">
        <v>831</v>
      </c>
      <c r="AF86" s="216">
        <f ca="1">SUMIFS(Налоги!AF$25:AF$69,Налоги!$F$25:$F$69,$F86,Налоги!$AB$25:$AB$69,"0")</f>
        <v>16073.75</v>
      </c>
      <c r="AG86" s="216">
        <f ca="1">SUMIFS(Налоги!AG$25:AG$69,Налоги!$F$25:$F$69,$F86,Налоги!$AB$25:$AB$69,"0")</f>
        <v>11219.74</v>
      </c>
      <c r="AH86" s="765" t="s">
        <v>1563</v>
      </c>
      <c r="AI86" s="1217"/>
      <c r="AJ86" s="1217"/>
      <c r="AK86" s="1217"/>
      <c r="AL86" s="906" t="s">
        <v>1411</v>
      </c>
      <c r="AM86" s="1217"/>
      <c r="AN86" s="1217"/>
      <c r="AO86" s="1217"/>
      <c r="AP86" s="1217"/>
      <c r="AQ86" s="1217"/>
    </row>
    <row r="87" spans="1:43" s="1334" customFormat="1" ht="65.25" customHeight="1" x14ac:dyDescent="0.15">
      <c r="A87" s="1217"/>
      <c r="B87" s="1111"/>
      <c r="C87" s="1217"/>
      <c r="D87" s="1217"/>
      <c r="E87" s="542">
        <v>67.5</v>
      </c>
      <c r="F87" s="3" t="str" cm="1">
        <f t="array" aca="1" ref="F87" ca="1">OFFSET(E87,-1,1)</f>
        <v>1</v>
      </c>
      <c r="G87" s="26" t="s">
        <v>1412</v>
      </c>
      <c r="H87" s="4"/>
      <c r="I87" s="416" t="s">
        <v>1413</v>
      </c>
      <c r="J87" s="1217"/>
      <c r="K87" s="43"/>
      <c r="L87" s="43"/>
      <c r="M87" s="43"/>
      <c r="N87" s="1217"/>
      <c r="O87" s="1217"/>
      <c r="P87" s="1217"/>
      <c r="Q87" s="1217"/>
      <c r="R87" s="1217"/>
      <c r="S87" s="1321"/>
      <c r="T87" s="388" t="b" cm="1">
        <f t="array" ref="T87">T86</f>
        <v>1</v>
      </c>
      <c r="U87" s="1217"/>
      <c r="V87" s="1217"/>
      <c r="W87" s="1217"/>
      <c r="X87" s="2032"/>
      <c r="Y87" s="1217"/>
      <c r="Z87" s="2012"/>
      <c r="AA87" s="1217"/>
      <c r="AB87" s="704" t="s">
        <v>1414</v>
      </c>
      <c r="AC87" s="701" t="s">
        <v>1415</v>
      </c>
      <c r="AD87" s="686"/>
      <c r="AE87" s="686" t="s">
        <v>831</v>
      </c>
      <c r="AF87" s="216"/>
      <c r="AG87" s="216">
        <f ca="1">IF(AND(method_reg="Метод индексации",first_year=god),SUMIFS('Калькуляция (МИ)'!$AG$25:$AG$459,'Калькуляция (МИ)'!$F$25:$F$459,$F87,'Калькуляция (МИ)'!$G$25:$G$459,$G87),SUMIFS('Калькуляция (МИ корр)'!$AG$25:$AG$459,'Калькуляция (МИ корр)'!$F$25:$F$459,$F87,'Калькуляция (МИ корр)'!$G$25:$G$459,$G87))</f>
        <v>0</v>
      </c>
      <c r="AH87" s="765"/>
      <c r="AI87" s="1217"/>
      <c r="AJ87" s="1217"/>
      <c r="AK87" s="1217"/>
      <c r="AL87" s="906" t="s">
        <v>1416</v>
      </c>
      <c r="AM87" s="1217"/>
      <c r="AN87" s="1217"/>
      <c r="AO87" s="1217"/>
      <c r="AP87" s="1217"/>
      <c r="AQ87" s="1217"/>
    </row>
    <row r="88" spans="1:43" s="1334" customFormat="1" ht="14.25" customHeight="1" x14ac:dyDescent="0.15">
      <c r="A88" s="1217"/>
      <c r="B88" s="1111"/>
      <c r="C88" s="1217"/>
      <c r="D88" s="1217"/>
      <c r="E88" s="542">
        <v>15</v>
      </c>
      <c r="F88" s="3" t="str" cm="1">
        <f t="array" aca="1" ref="F88" ca="1">OFFSET(E88,-1,1)</f>
        <v>1</v>
      </c>
      <c r="G88" s="26" t="s">
        <v>1011</v>
      </c>
      <c r="H88" s="4"/>
      <c r="I88" s="416" t="s">
        <v>1417</v>
      </c>
      <c r="J88" s="1217"/>
      <c r="K88" s="43"/>
      <c r="L88" s="43"/>
      <c r="M88" s="43"/>
      <c r="N88" s="1217"/>
      <c r="O88" s="1217"/>
      <c r="P88" s="1217"/>
      <c r="Q88" s="1217"/>
      <c r="R88" s="1217"/>
      <c r="S88" s="1321"/>
      <c r="T88" s="388" t="b" cm="1">
        <f t="array" ref="T88">T87</f>
        <v>1</v>
      </c>
      <c r="U88" s="1217"/>
      <c r="V88" s="1217"/>
      <c r="W88" s="1217"/>
      <c r="X88" s="2032"/>
      <c r="Y88" s="1217"/>
      <c r="Z88" s="2012"/>
      <c r="AA88" s="1217"/>
      <c r="AB88" s="704" t="s">
        <v>1418</v>
      </c>
      <c r="AC88" s="701" t="s">
        <v>1419</v>
      </c>
      <c r="AD88" s="686"/>
      <c r="AE88" s="686" t="s">
        <v>831</v>
      </c>
      <c r="AF88" s="216">
        <v>253.09</v>
      </c>
      <c r="AG88" s="216">
        <f ca="1">IF(AND(method_reg="Метод индексации",first_year=god),SUMIFS('Калькуляция (МИ)'!$AG$25:$AG$459,'Калькуляция (МИ)'!$F$25:$F$459,$F88,'Калькуляция (МИ)'!$G$25:$G$459,$G88),SUMIFS('Калькуляция (МИ корр)'!$AG$25:$AG$459,'Калькуляция (МИ корр)'!$F$25:$F$459,$F88,'Калькуляция (МИ корр)'!$G$25:$G$459,$G88))</f>
        <v>97.87</v>
      </c>
      <c r="AH88" s="765" t="s">
        <v>1564</v>
      </c>
      <c r="AI88" s="1217"/>
      <c r="AJ88" s="1217"/>
      <c r="AK88" s="1217"/>
      <c r="AL88" s="906" t="s">
        <v>1420</v>
      </c>
      <c r="AM88" s="1217"/>
      <c r="AN88" s="1217"/>
      <c r="AO88" s="1217"/>
      <c r="AP88" s="1217"/>
      <c r="AQ88" s="1217"/>
    </row>
    <row r="89" spans="1:43" s="1334" customFormat="1" ht="14.25" customHeight="1" x14ac:dyDescent="0.15">
      <c r="A89" s="1217"/>
      <c r="B89" s="1111"/>
      <c r="C89" s="1217"/>
      <c r="D89" s="1217"/>
      <c r="E89" s="542">
        <v>15</v>
      </c>
      <c r="F89" s="3" t="str" cm="1">
        <f t="array" aca="1" ref="F89" ca="1">OFFSET(E89,-1,1)</f>
        <v>1</v>
      </c>
      <c r="G89" s="26" t="s">
        <v>1421</v>
      </c>
      <c r="H89" s="4"/>
      <c r="I89" s="416" t="s">
        <v>1422</v>
      </c>
      <c r="J89" s="1217"/>
      <c r="K89" s="43"/>
      <c r="L89" s="43"/>
      <c r="M89" s="43"/>
      <c r="N89" s="1217"/>
      <c r="O89" s="1217"/>
      <c r="P89" s="1217"/>
      <c r="Q89" s="1217"/>
      <c r="R89" s="1217"/>
      <c r="S89" s="1321"/>
      <c r="T89" s="388" t="b" cm="1">
        <f t="array" ref="T89">T88</f>
        <v>1</v>
      </c>
      <c r="U89" s="1217"/>
      <c r="V89" s="1217"/>
      <c r="W89" s="1217"/>
      <c r="X89" s="2032"/>
      <c r="Y89" s="1217"/>
      <c r="Z89" s="2012"/>
      <c r="AA89" s="1217"/>
      <c r="AB89" s="704" t="s">
        <v>1423</v>
      </c>
      <c r="AC89" s="701" t="s">
        <v>1424</v>
      </c>
      <c r="AD89" s="686"/>
      <c r="AE89" s="686" t="s">
        <v>831</v>
      </c>
      <c r="AF89" s="216"/>
      <c r="AG89" s="216">
        <f ca="1">IF(AND(method_reg="Метод индексации",first_year=god),SUMIFS('Калькуляция (МИ)'!$AG$25:$AG$459,'Калькуляция (МИ)'!$F$25:$F$459,$F89,'Калькуляция (МИ)'!$G$25:$G$459,$G89),SUMIFS('Калькуляция (МИ корр)'!$AG$25:$AG$459,'Калькуляция (МИ корр)'!$F$25:$F$459,$F89,'Калькуляция (МИ корр)'!$G$25:$G$459,$G89))</f>
        <v>0</v>
      </c>
      <c r="AH89" s="765"/>
      <c r="AI89" s="1217"/>
      <c r="AJ89" s="1217"/>
      <c r="AK89" s="1217"/>
      <c r="AL89" s="906" t="s">
        <v>1425</v>
      </c>
      <c r="AM89" s="1217"/>
      <c r="AN89" s="1217"/>
      <c r="AO89" s="1217"/>
      <c r="AP89" s="1217"/>
      <c r="AQ89" s="1217"/>
    </row>
    <row r="90" spans="1:43" s="1334" customFormat="1" ht="21.75" customHeight="1" x14ac:dyDescent="0.15">
      <c r="A90" s="1217"/>
      <c r="B90" s="1111"/>
      <c r="C90" s="1217"/>
      <c r="D90" s="1217"/>
      <c r="E90" s="542">
        <v>22.5</v>
      </c>
      <c r="F90" s="3" t="str" cm="1">
        <f t="array" aca="1" ref="F90" ca="1">OFFSET(E90,-1,1)</f>
        <v>1</v>
      </c>
      <c r="G90" s="26" t="s">
        <v>1426</v>
      </c>
      <c r="H90" s="4"/>
      <c r="I90" s="416" t="s">
        <v>1427</v>
      </c>
      <c r="J90" s="1217"/>
      <c r="K90" s="43"/>
      <c r="L90" s="43"/>
      <c r="M90" s="43"/>
      <c r="N90" s="1217"/>
      <c r="O90" s="1217"/>
      <c r="P90" s="1217"/>
      <c r="Q90" s="1217"/>
      <c r="R90" s="1217"/>
      <c r="S90" s="1321"/>
      <c r="T90" s="388" t="b" cm="1">
        <f t="array" ref="T90">T89</f>
        <v>1</v>
      </c>
      <c r="U90" s="1217"/>
      <c r="V90" s="1217"/>
      <c r="W90" s="1217"/>
      <c r="X90" s="2032"/>
      <c r="Y90" s="1217"/>
      <c r="Z90" s="2012"/>
      <c r="AA90" s="1217"/>
      <c r="AB90" s="704" t="s">
        <v>1428</v>
      </c>
      <c r="AC90" s="701" t="s">
        <v>1429</v>
      </c>
      <c r="AD90" s="686"/>
      <c r="AE90" s="686" t="s">
        <v>831</v>
      </c>
      <c r="AF90" s="216"/>
      <c r="AG90" s="216">
        <f ca="1">IF(AND(method_reg="Метод индексации",first_year=god),SUMIFS('Калькуляция (МИ)'!$AG$25:$AG$459,'Калькуляция (МИ)'!$F$25:$F$459,$F90,'Калькуляция (МИ)'!$G$25:$G$459,$G90),SUMIFS('Калькуляция (МИ корр)'!$AG$25:$AG$459,'Калькуляция (МИ корр)'!$F$25:$F$459,$F90,'Калькуляция (МИ корр)'!$G$25:$G$459,$G90))</f>
        <v>0</v>
      </c>
      <c r="AH90" s="765"/>
      <c r="AI90" s="1217"/>
      <c r="AJ90" s="1217"/>
      <c r="AK90" s="1217"/>
      <c r="AL90" s="906" t="s">
        <v>1430</v>
      </c>
      <c r="AM90" s="1217"/>
      <c r="AN90" s="1217"/>
      <c r="AO90" s="1217"/>
      <c r="AP90" s="1217"/>
      <c r="AQ90" s="1217"/>
    </row>
    <row r="91" spans="1:43" s="1334" customFormat="1" ht="21.75" customHeight="1" x14ac:dyDescent="0.15">
      <c r="A91" s="1217"/>
      <c r="B91" s="1111"/>
      <c r="C91" s="1217"/>
      <c r="D91" s="1217"/>
      <c r="E91" s="542">
        <v>22.5</v>
      </c>
      <c r="F91" s="3" t="str" cm="1">
        <f t="array" aca="1" ref="F91" ca="1">OFFSET(E91,-1,1)</f>
        <v>1</v>
      </c>
      <c r="G91" s="26" t="s">
        <v>1431</v>
      </c>
      <c r="H91" s="4"/>
      <c r="I91" s="416" t="s">
        <v>1432</v>
      </c>
      <c r="J91" s="1217"/>
      <c r="K91" s="43"/>
      <c r="L91" s="43"/>
      <c r="M91" s="43"/>
      <c r="N91" s="1217"/>
      <c r="O91" s="1217"/>
      <c r="P91" s="1217"/>
      <c r="Q91" s="1217"/>
      <c r="R91" s="1217"/>
      <c r="S91" s="1321"/>
      <c r="T91" s="388" t="b" cm="1">
        <f t="array" ref="T91">T90</f>
        <v>1</v>
      </c>
      <c r="U91" s="1217"/>
      <c r="V91" s="1217"/>
      <c r="W91" s="1217"/>
      <c r="X91" s="2032"/>
      <c r="Y91" s="1217"/>
      <c r="Z91" s="2012"/>
      <c r="AA91" s="1217"/>
      <c r="AB91" s="704" t="s">
        <v>1433</v>
      </c>
      <c r="AC91" s="701" t="s">
        <v>1434</v>
      </c>
      <c r="AD91" s="847"/>
      <c r="AE91" s="686" t="s">
        <v>831</v>
      </c>
      <c r="AF91" s="216"/>
      <c r="AG91" s="216">
        <f ca="1">IF(AND(method_reg="Метод индексации",first_year=god),SUMIFS('Калькуляция (МИ)'!$AG$25:$AG$459,'Калькуляция (МИ)'!$F$25:$F$459,$F91,'Калькуляция (МИ)'!$G$25:$G$459,$G91),SUMIFS('Калькуляция (МИ корр)'!$AG$25:$AG$459,'Калькуляция (МИ корр)'!$F$25:$F$459,$F91,'Калькуляция (МИ корр)'!$G$25:$G$459,$G91))</f>
        <v>0</v>
      </c>
      <c r="AH91" s="765"/>
      <c r="AI91" s="1217"/>
      <c r="AJ91" s="1217"/>
      <c r="AK91" s="1217"/>
      <c r="AL91" s="906" t="s">
        <v>1435</v>
      </c>
      <c r="AM91" s="1217"/>
      <c r="AN91" s="1217"/>
      <c r="AO91" s="1217"/>
      <c r="AP91" s="1217"/>
      <c r="AQ91" s="1217"/>
    </row>
    <row r="92" spans="1:43" s="1334" customFormat="1" ht="21.75" customHeight="1" x14ac:dyDescent="0.15">
      <c r="A92" s="1217"/>
      <c r="B92" s="1111"/>
      <c r="C92" s="1217"/>
      <c r="D92" s="1217"/>
      <c r="E92" s="542">
        <v>22.5</v>
      </c>
      <c r="F92" s="3" t="str" cm="1">
        <f t="array" aca="1" ref="F92" ca="1">OFFSET(E92,-1,1)</f>
        <v>1</v>
      </c>
      <c r="G92" s="26" t="s">
        <v>1436</v>
      </c>
      <c r="H92" s="4"/>
      <c r="I92" s="416" t="s">
        <v>1437</v>
      </c>
      <c r="J92" s="1217"/>
      <c r="K92" s="43"/>
      <c r="L92" s="43"/>
      <c r="M92" s="43"/>
      <c r="N92" s="1217"/>
      <c r="O92" s="1217"/>
      <c r="P92" s="1217"/>
      <c r="Q92" s="1217"/>
      <c r="R92" s="1217"/>
      <c r="S92" s="1321"/>
      <c r="T92" s="388" t="b" cm="1">
        <f t="array" ref="T92">T91</f>
        <v>1</v>
      </c>
      <c r="U92" s="1217"/>
      <c r="V92" s="1217"/>
      <c r="W92" s="1217"/>
      <c r="X92" s="2032"/>
      <c r="Y92" s="1217"/>
      <c r="Z92" s="2012"/>
      <c r="AA92" s="1217"/>
      <c r="AB92" s="704" t="s">
        <v>1438</v>
      </c>
      <c r="AC92" s="701" t="s">
        <v>1439</v>
      </c>
      <c r="AD92" s="847"/>
      <c r="AE92" s="686" t="s">
        <v>831</v>
      </c>
      <c r="AF92" s="216"/>
      <c r="AG92" s="216">
        <f ca="1">IF(AND(method_reg="Метод индексации",first_year=god),SUMIFS('Калькуляция (МИ)'!$AG$25:$AG$459,'Калькуляция (МИ)'!$F$25:$F$459,$F92,'Калькуляция (МИ)'!$G$25:$G$459,$G92),SUMIFS('Калькуляция (МИ корр)'!$AG$25:$AG$459,'Калькуляция (МИ корр)'!$F$25:$F$459,$F92,'Калькуляция (МИ корр)'!$G$25:$G$459,$G92))</f>
        <v>0</v>
      </c>
      <c r="AH92" s="765"/>
      <c r="AI92" s="1217"/>
      <c r="AJ92" s="1217"/>
      <c r="AK92" s="1217"/>
      <c r="AL92" s="906" t="s">
        <v>1440</v>
      </c>
      <c r="AM92" s="1217"/>
      <c r="AN92" s="1217"/>
      <c r="AO92" s="1217"/>
      <c r="AP92" s="1217"/>
      <c r="AQ92" s="1217"/>
    </row>
    <row r="93" spans="1:43" s="1334" customFormat="1" ht="14.25" customHeight="1" x14ac:dyDescent="0.15">
      <c r="A93" s="1217"/>
      <c r="B93" s="1111"/>
      <c r="C93" s="1217"/>
      <c r="D93" s="1217"/>
      <c r="E93" s="542">
        <v>15</v>
      </c>
      <c r="F93" s="3" t="str" cm="1">
        <f t="array" aca="1" ref="F93" ca="1">OFFSET(E93,-1,1)</f>
        <v>1</v>
      </c>
      <c r="G93" s="26" t="s">
        <v>1441</v>
      </c>
      <c r="H93" s="4"/>
      <c r="I93" s="416" t="s">
        <v>1442</v>
      </c>
      <c r="J93" s="1217"/>
      <c r="K93" s="43"/>
      <c r="L93" s="43"/>
      <c r="M93" s="43"/>
      <c r="N93" s="1217"/>
      <c r="O93" s="1217"/>
      <c r="P93" s="1217"/>
      <c r="Q93" s="1217"/>
      <c r="R93" s="1217"/>
      <c r="S93" s="1321"/>
      <c r="T93" s="388" t="b" cm="1">
        <f t="array" ref="T93">T92</f>
        <v>1</v>
      </c>
      <c r="U93" s="1217"/>
      <c r="V93" s="1217"/>
      <c r="W93" s="1217"/>
      <c r="X93" s="2032"/>
      <c r="Y93" s="1217"/>
      <c r="Z93" s="2012"/>
      <c r="AA93" s="1217"/>
      <c r="AB93" s="704" t="s">
        <v>1443</v>
      </c>
      <c r="AC93" s="701" t="s">
        <v>1444</v>
      </c>
      <c r="AD93" s="847"/>
      <c r="AE93" s="686" t="s">
        <v>831</v>
      </c>
      <c r="AF93" s="216"/>
      <c r="AG93" s="216">
        <f ca="1">IF(AND(method_reg="Метод индексации",first_year=god),SUMIFS('Калькуляция (МИ)'!$AG$25:$AG$459,'Калькуляция (МИ)'!$F$25:$F$459,$F93,'Калькуляция (МИ)'!$G$25:$G$459,$G93),SUMIFS('Калькуляция (МИ корр)'!$AG$25:$AG$459,'Калькуляция (МИ корр)'!$F$25:$F$459,$F93,'Калькуляция (МИ корр)'!$G$25:$G$459,$G93))</f>
        <v>0</v>
      </c>
      <c r="AH93" s="765"/>
      <c r="AI93" s="1217"/>
      <c r="AJ93" s="1217"/>
      <c r="AK93" s="1217"/>
      <c r="AL93" s="906" t="s">
        <v>1445</v>
      </c>
      <c r="AM93" s="1217"/>
      <c r="AN93" s="1217"/>
      <c r="AO93" s="1217"/>
      <c r="AP93" s="1217"/>
      <c r="AQ93" s="1217"/>
    </row>
    <row r="94" spans="1:43" s="1334" customFormat="1" ht="21.75" customHeight="1" x14ac:dyDescent="0.15">
      <c r="A94" s="1217"/>
      <c r="B94" s="1111"/>
      <c r="C94" s="1217"/>
      <c r="D94" s="1217"/>
      <c r="E94" s="542">
        <v>22.5</v>
      </c>
      <c r="F94" s="3" t="str" cm="1">
        <f t="array" aca="1" ref="F94" ca="1">OFFSET(E94,-1,1)</f>
        <v>1</v>
      </c>
      <c r="G94" s="26" t="s">
        <v>1446</v>
      </c>
      <c r="H94" s="4"/>
      <c r="I94" s="416" t="s">
        <v>1447</v>
      </c>
      <c r="J94" s="1217"/>
      <c r="K94" s="43"/>
      <c r="L94" s="43"/>
      <c r="M94" s="43"/>
      <c r="N94" s="1217"/>
      <c r="O94" s="1217"/>
      <c r="P94" s="1217"/>
      <c r="Q94" s="1217"/>
      <c r="R94" s="1217"/>
      <c r="S94" s="1321"/>
      <c r="T94" s="388" t="b" cm="1">
        <f t="array" ref="T94">T93</f>
        <v>1</v>
      </c>
      <c r="U94" s="1217"/>
      <c r="V94" s="1217"/>
      <c r="W94" s="1217"/>
      <c r="X94" s="2032"/>
      <c r="Y94" s="1217"/>
      <c r="Z94" s="2012"/>
      <c r="AA94" s="1217"/>
      <c r="AB94" s="704" t="s">
        <v>1448</v>
      </c>
      <c r="AC94" s="701" t="s">
        <v>1449</v>
      </c>
      <c r="AD94" s="847"/>
      <c r="AE94" s="686" t="s">
        <v>831</v>
      </c>
      <c r="AF94" s="216"/>
      <c r="AG94" s="216">
        <f ca="1">IF(AND(method_reg="Метод индексации",first_year=god),SUMIFS('Калькуляция (МИ)'!$AG$25:$AG$459,'Калькуляция (МИ)'!$F$25:$F$459,$F94,'Калькуляция (МИ)'!$G$25:$G$459,$G94),SUMIFS('Калькуляция (МИ корр)'!$AG$25:$AG$459,'Калькуляция (МИ корр)'!$F$25:$F$459,$F94,'Калькуляция (МИ корр)'!$G$25:$G$459,$G94))</f>
        <v>0</v>
      </c>
      <c r="AH94" s="765"/>
      <c r="AI94" s="1217"/>
      <c r="AJ94" s="1217"/>
      <c r="AK94" s="1217"/>
      <c r="AL94" s="906" t="s">
        <v>1450</v>
      </c>
      <c r="AM94" s="1217"/>
      <c r="AN94" s="1217"/>
      <c r="AO94" s="1217"/>
      <c r="AP94" s="1217"/>
      <c r="AQ94" s="1217"/>
    </row>
    <row r="95" spans="1:43" s="1334" customFormat="1" ht="14.25" customHeight="1" x14ac:dyDescent="0.15">
      <c r="A95" s="1217"/>
      <c r="B95" s="1111"/>
      <c r="C95" s="1217"/>
      <c r="D95" s="1217"/>
      <c r="E95" s="542">
        <v>15</v>
      </c>
      <c r="F95" s="3" t="str" cm="1">
        <f t="array" aca="1" ref="F95" ca="1">OFFSET(E95,-1,1)</f>
        <v>1</v>
      </c>
      <c r="G95" s="348"/>
      <c r="H95" s="4"/>
      <c r="I95" s="348" t="s">
        <v>1308</v>
      </c>
      <c r="J95" s="1217"/>
      <c r="K95" s="43"/>
      <c r="L95" s="43"/>
      <c r="M95" s="43"/>
      <c r="N95" s="1217"/>
      <c r="O95" s="1217"/>
      <c r="P95" s="1217"/>
      <c r="Q95" s="1217"/>
      <c r="R95" s="1217"/>
      <c r="S95" s="1321"/>
      <c r="T95" s="388" t="b" cm="1">
        <f t="array" ref="T95">T94</f>
        <v>1</v>
      </c>
      <c r="U95" s="1217"/>
      <c r="V95" s="1217"/>
      <c r="W95" s="1217"/>
      <c r="X95" s="2032"/>
      <c r="Y95" s="1217"/>
      <c r="Z95" s="2012"/>
      <c r="AA95" s="1217"/>
      <c r="AB95" s="217" t="s">
        <v>574</v>
      </c>
      <c r="AC95" s="682" t="s">
        <v>1451</v>
      </c>
      <c r="AD95" s="218" t="s">
        <v>1452</v>
      </c>
      <c r="AE95" s="686" t="s">
        <v>831</v>
      </c>
      <c r="AF95" s="216">
        <v>73107.179999999993</v>
      </c>
      <c r="AG95" s="216">
        <v>73107.179999999993</v>
      </c>
      <c r="AH95" s="765" t="s">
        <v>1565</v>
      </c>
      <c r="AI95" s="1217"/>
      <c r="AJ95" s="1217"/>
      <c r="AK95" s="1217"/>
      <c r="AL95" s="906" t="s">
        <v>1453</v>
      </c>
      <c r="AM95" s="1217"/>
      <c r="AN95" s="1217"/>
      <c r="AO95" s="1217"/>
      <c r="AP95" s="1217"/>
      <c r="AQ95" s="1217"/>
    </row>
    <row r="96" spans="1:43" s="1334" customFormat="1" ht="21.75" customHeight="1" x14ac:dyDescent="0.15">
      <c r="A96" s="1217"/>
      <c r="B96" s="1111"/>
      <c r="C96" s="1217"/>
      <c r="D96" s="1217"/>
      <c r="E96" s="542">
        <v>22.5</v>
      </c>
      <c r="F96" s="3" t="str" cm="1">
        <f t="array" aca="1" ref="F96" ca="1">OFFSET(E96,-1,1)</f>
        <v>1</v>
      </c>
      <c r="G96" s="348"/>
      <c r="H96" s="4"/>
      <c r="I96" s="348" t="s">
        <v>1454</v>
      </c>
      <c r="J96" s="1217"/>
      <c r="K96" s="43"/>
      <c r="L96" s="43"/>
      <c r="M96" s="43"/>
      <c r="N96" s="1217"/>
      <c r="O96" s="1217"/>
      <c r="P96" s="1217"/>
      <c r="Q96" s="1217"/>
      <c r="R96" s="1217"/>
      <c r="S96" s="1321"/>
      <c r="T96" s="388" t="b" cm="1">
        <f t="array" ref="T96">T95</f>
        <v>1</v>
      </c>
      <c r="U96" s="1217"/>
      <c r="V96" s="1217"/>
      <c r="W96" s="1217"/>
      <c r="X96" s="2032"/>
      <c r="Y96" s="1217"/>
      <c r="Z96" s="2012"/>
      <c r="AA96" s="1217"/>
      <c r="AB96" s="217" t="s">
        <v>531</v>
      </c>
      <c r="AC96" s="685" t="s">
        <v>1455</v>
      </c>
      <c r="AD96" s="218" t="s">
        <v>1456</v>
      </c>
      <c r="AE96" s="686" t="s">
        <v>863</v>
      </c>
      <c r="AF96" s="216"/>
      <c r="AG96" s="216"/>
      <c r="AH96" s="765"/>
      <c r="AI96" s="1217"/>
      <c r="AJ96" s="1217"/>
      <c r="AK96" s="1217"/>
      <c r="AL96" s="906" t="s">
        <v>1457</v>
      </c>
      <c r="AM96" s="1217"/>
      <c r="AN96" s="1217"/>
      <c r="AO96" s="1217"/>
      <c r="AP96" s="1217"/>
      <c r="AQ96" s="1217"/>
    </row>
    <row r="97" spans="1:43" s="1334" customFormat="1" ht="14.25" customHeight="1" x14ac:dyDescent="0.15">
      <c r="A97" s="1217"/>
      <c r="B97" s="1111"/>
      <c r="C97" s="1217"/>
      <c r="D97" s="1217"/>
      <c r="E97" s="542">
        <v>15</v>
      </c>
      <c r="F97" s="3" t="str" cm="1">
        <f t="array" aca="1" ref="F97" ca="1">OFFSET(E97,-1,1)</f>
        <v>1</v>
      </c>
      <c r="G97" s="348"/>
      <c r="H97" s="4"/>
      <c r="I97" s="348" t="s">
        <v>1458</v>
      </c>
      <c r="J97" s="1217"/>
      <c r="K97" s="43"/>
      <c r="L97" s="43"/>
      <c r="M97" s="43"/>
      <c r="N97" s="1217"/>
      <c r="O97" s="1217"/>
      <c r="P97" s="1217"/>
      <c r="Q97" s="1217"/>
      <c r="R97" s="1217"/>
      <c r="S97" s="1321"/>
      <c r="T97" s="388" t="b" cm="1">
        <f t="array" ref="T97">T96</f>
        <v>1</v>
      </c>
      <c r="U97" s="1217"/>
      <c r="V97" s="1217"/>
      <c r="W97" s="1217"/>
      <c r="X97" s="2032"/>
      <c r="Y97" s="1217"/>
      <c r="Z97" s="2012"/>
      <c r="AA97" s="1217"/>
      <c r="AB97" s="217" t="s">
        <v>1459</v>
      </c>
      <c r="AC97" s="685" t="s">
        <v>1460</v>
      </c>
      <c r="AD97" s="218" t="s">
        <v>1461</v>
      </c>
      <c r="AE97" s="686" t="s">
        <v>857</v>
      </c>
      <c r="AF97" s="216"/>
      <c r="AG97" s="216"/>
      <c r="AH97" s="765"/>
      <c r="AI97" s="1217"/>
      <c r="AJ97" s="1217"/>
      <c r="AK97" s="1217"/>
      <c r="AL97" s="906" t="s">
        <v>1462</v>
      </c>
      <c r="AM97" s="1217"/>
      <c r="AN97" s="1217"/>
      <c r="AO97" s="1217"/>
      <c r="AP97" s="1217"/>
      <c r="AQ97" s="1217"/>
    </row>
    <row r="98" spans="1:43" s="1334" customFormat="1" ht="21.75" customHeight="1" x14ac:dyDescent="0.15">
      <c r="A98" s="1217"/>
      <c r="B98" s="1111"/>
      <c r="C98" s="1217"/>
      <c r="D98" s="1217"/>
      <c r="E98" s="542">
        <v>22.5</v>
      </c>
      <c r="F98" s="3" t="str" cm="1">
        <f t="array" aca="1" ref="F98" ca="1">OFFSET(E98,-1,1)</f>
        <v>1</v>
      </c>
      <c r="G98" s="348"/>
      <c r="H98" s="4"/>
      <c r="I98" s="348" t="s">
        <v>1463</v>
      </c>
      <c r="J98" s="1217"/>
      <c r="K98" s="43"/>
      <c r="L98" s="43"/>
      <c r="M98" s="43"/>
      <c r="N98" s="1217"/>
      <c r="O98" s="1217"/>
      <c r="P98" s="1217"/>
      <c r="Q98" s="1217"/>
      <c r="R98" s="1217"/>
      <c r="S98" s="1321"/>
      <c r="T98" s="388" t="b" cm="1">
        <f t="array" ref="T98">T97</f>
        <v>1</v>
      </c>
      <c r="U98" s="1217"/>
      <c r="V98" s="1217"/>
      <c r="W98" s="1217"/>
      <c r="X98" s="2032"/>
      <c r="Y98" s="1217"/>
      <c r="Z98" s="2012"/>
      <c r="AA98" s="1217"/>
      <c r="AB98" s="217" t="s">
        <v>1464</v>
      </c>
      <c r="AC98" s="685" t="s">
        <v>1465</v>
      </c>
      <c r="AD98" s="218" t="s">
        <v>1466</v>
      </c>
      <c r="AE98" s="686" t="s">
        <v>860</v>
      </c>
      <c r="AF98" s="216"/>
      <c r="AG98" s="216"/>
      <c r="AH98" s="765"/>
      <c r="AI98" s="1217"/>
      <c r="AJ98" s="1217"/>
      <c r="AK98" s="1217"/>
      <c r="AL98" s="906" t="s">
        <v>1467</v>
      </c>
      <c r="AM98" s="1217"/>
      <c r="AN98" s="1217"/>
      <c r="AO98" s="1217"/>
      <c r="AP98" s="1217"/>
      <c r="AQ98" s="1217"/>
    </row>
    <row r="99" spans="1:43" s="1334" customFormat="1" ht="21.75" customHeight="1" x14ac:dyDescent="0.15">
      <c r="A99" s="1217"/>
      <c r="B99" s="1111"/>
      <c r="C99" s="1217"/>
      <c r="D99" s="1217"/>
      <c r="E99" s="542">
        <v>22.5</v>
      </c>
      <c r="F99" s="3" t="str" cm="1">
        <f t="array" aca="1" ref="F99" ca="1">OFFSET(E99,-1,1)</f>
        <v>1</v>
      </c>
      <c r="G99" s="348" t="s">
        <v>1468</v>
      </c>
      <c r="H99" s="4"/>
      <c r="I99" s="348" t="s">
        <v>1469</v>
      </c>
      <c r="J99" s="1217"/>
      <c r="K99" s="43"/>
      <c r="L99" s="43"/>
      <c r="M99" s="43"/>
      <c r="N99" s="1217"/>
      <c r="O99" s="1217"/>
      <c r="P99" s="1217"/>
      <c r="Q99" s="1217"/>
      <c r="R99" s="1217"/>
      <c r="S99" s="1321"/>
      <c r="T99" s="388" t="b" cm="1">
        <f t="array" ref="T99">T98</f>
        <v>1</v>
      </c>
      <c r="U99" s="1217"/>
      <c r="V99" s="1217"/>
      <c r="W99" s="1217"/>
      <c r="X99" s="2032"/>
      <c r="Y99" s="1217"/>
      <c r="Z99" s="2012"/>
      <c r="AA99" s="1217"/>
      <c r="AB99" s="217" t="s">
        <v>933</v>
      </c>
      <c r="AC99" s="682" t="s">
        <v>1470</v>
      </c>
      <c r="AD99" s="218" t="s">
        <v>1471</v>
      </c>
      <c r="AE99" s="686" t="s">
        <v>831</v>
      </c>
      <c r="AF99" s="216">
        <v>29649.01</v>
      </c>
      <c r="AG99" s="216">
        <f ca="1">IF(AND(method_reg="Метод индексации",first_year=god),SUMIFS('Калькуляция (МИ)'!$AG$25:$AG$459,'Калькуляция (МИ)'!$F$25:$F$459,$F99,'Калькуляция (МИ)'!$G$25:$G$459,$G99),SUMIFS('Калькуляция (МИ корр)'!$AG$25:$AG$459,'Калькуляция (МИ корр)'!$F$25:$F$459,$F99,'Калькуляция (МИ корр)'!$G$25:$G$459,$G99))</f>
        <v>0</v>
      </c>
      <c r="AH99" s="765" t="s">
        <v>1566</v>
      </c>
      <c r="AI99" s="1217"/>
      <c r="AJ99" s="1217"/>
      <c r="AK99" s="1217"/>
      <c r="AL99" s="906" t="s">
        <v>1199</v>
      </c>
      <c r="AM99" s="1217"/>
      <c r="AN99" s="1217"/>
      <c r="AO99" s="1217"/>
      <c r="AP99" s="1217"/>
      <c r="AQ99" s="1217"/>
    </row>
    <row r="100" spans="1:43" s="1334" customFormat="1" ht="14.25" customHeight="1" x14ac:dyDescent="0.15">
      <c r="A100" s="1217"/>
      <c r="B100" s="1111"/>
      <c r="C100" s="1217"/>
      <c r="D100" s="1217"/>
      <c r="E100" s="542">
        <v>15</v>
      </c>
      <c r="F100" s="3" t="str" cm="1">
        <f t="array" aca="1" ref="F100" ca="1">OFFSET(E100,-1,1)</f>
        <v>1</v>
      </c>
      <c r="G100" s="348" t="s">
        <v>1472</v>
      </c>
      <c r="H100" s="4"/>
      <c r="I100" s="348" t="s">
        <v>1473</v>
      </c>
      <c r="J100" s="1217"/>
      <c r="K100" s="43"/>
      <c r="L100" s="43"/>
      <c r="M100" s="43"/>
      <c r="N100" s="1217"/>
      <c r="O100" s="1217"/>
      <c r="P100" s="1217"/>
      <c r="Q100" s="1217"/>
      <c r="R100" s="1217"/>
      <c r="S100" s="1321"/>
      <c r="T100" s="388" t="b" cm="1">
        <f t="array" ref="T100">T99</f>
        <v>1</v>
      </c>
      <c r="U100" s="1217"/>
      <c r="V100" s="1217"/>
      <c r="W100" s="1217"/>
      <c r="X100" s="2032"/>
      <c r="Y100" s="1217"/>
      <c r="Z100" s="2012"/>
      <c r="AA100" s="1217"/>
      <c r="AB100" s="217" t="s">
        <v>936</v>
      </c>
      <c r="AC100" s="848" t="s">
        <v>1474</v>
      </c>
      <c r="AD100" s="218" t="s">
        <v>1475</v>
      </c>
      <c r="AE100" s="686" t="s">
        <v>831</v>
      </c>
      <c r="AF100" s="216"/>
      <c r="AG100" s="216">
        <f ca="1">IF(AND(method_reg="Метод индексации",first_year=god),SUMIFS('Калькуляция (МИ)'!$AE$25:$AE$459,'Калькуляция (МИ)'!$F$25:$F$459,$F100,'Калькуляция (МИ)'!$G$25:$G$459,"Нормативная прибыль")-SUMIFS('Калькуляция (МИ)'!$AE$25:$AE$459,'Калькуляция (МИ)'!$F$25:$F$459,$F100,'Калькуляция (МИ)'!$G$25:$G$459,"иные экономически обоснованные расходы на социальные нужды")+SUMIFS('Калькуляция (МИ)'!$AG$25:$AG$459,'Калькуляция (МИ)'!$F$25:$F$459,$F100,'Калькуляция (МИ)'!$G$25:$G$459,"иные экономически обоснованные расходы на социальные нужды"),SUMIFS('Калькуляция (МИ корр)'!$AE$25:$AE$459,'Калькуляция (МИ корр)'!$F$25:$F$459,$F100,'Калькуляция (МИ корр)'!$G$25:$G$459,"Нормативная прибыль")-SUMIFS('Калькуляция (МИ корр)'!$AE$25:$AE$459,'Калькуляция (МИ корр)'!$F$25:$F$459,$F100,'Калькуляция (МИ корр)'!$G$25:$G$459,"иные экономически обоснованные расходы на социальные нужды")+SUMIFS('Калькуляция (МИ корр)'!$AG$25:$AG$459,'Калькуляция (МИ корр)'!$F$25:$F$459,$F100,'Калькуляция (МИ корр)'!$G$25:$G$459,"иные экономически обоснованные расходы на социальные нужды"))</f>
        <v>0</v>
      </c>
      <c r="AH100" s="765"/>
      <c r="AI100" s="1217"/>
      <c r="AJ100" s="1217"/>
      <c r="AK100" s="1217"/>
      <c r="AL100" s="906" t="s">
        <v>1476</v>
      </c>
      <c r="AM100" s="1217"/>
      <c r="AN100" s="1217"/>
      <c r="AO100" s="1217"/>
      <c r="AP100" s="1217"/>
      <c r="AQ100" s="1217"/>
    </row>
    <row r="101" spans="1:43" s="1334" customFormat="1" ht="14.25" customHeight="1" x14ac:dyDescent="0.15">
      <c r="A101" s="1217"/>
      <c r="B101" s="1111"/>
      <c r="C101" s="1217"/>
      <c r="D101" s="1217"/>
      <c r="E101" s="542">
        <v>15</v>
      </c>
      <c r="F101" s="3" t="str" cm="1">
        <f t="array" aca="1" ref="F101" ca="1">OFFSET(E101,-1,1)</f>
        <v>1</v>
      </c>
      <c r="G101" s="26" t="s">
        <v>1477</v>
      </c>
      <c r="H101" s="4"/>
      <c r="I101" s="416" t="s">
        <v>1478</v>
      </c>
      <c r="J101" s="1217"/>
      <c r="K101" s="43"/>
      <c r="L101" s="43"/>
      <c r="M101" s="43"/>
      <c r="N101" s="1217"/>
      <c r="O101" s="1217"/>
      <c r="P101" s="1217"/>
      <c r="Q101" s="1217"/>
      <c r="R101" s="1217"/>
      <c r="S101" s="1321"/>
      <c r="T101" s="388" t="b" cm="1">
        <f t="array" ref="T101">T100</f>
        <v>1</v>
      </c>
      <c r="U101" s="1217"/>
      <c r="V101" s="1217"/>
      <c r="W101" s="1217"/>
      <c r="X101" s="2032"/>
      <c r="Y101" s="1217"/>
      <c r="Z101" s="2012"/>
      <c r="AA101" s="1217"/>
      <c r="AB101" s="217" t="s">
        <v>1479</v>
      </c>
      <c r="AC101" s="682" t="s">
        <v>1480</v>
      </c>
      <c r="AD101" s="218" t="s">
        <v>1481</v>
      </c>
      <c r="AE101" s="686" t="s">
        <v>831</v>
      </c>
      <c r="AF101" s="216"/>
      <c r="AG101" s="216">
        <v>1030.8800000000001</v>
      </c>
      <c r="AH101" s="765" t="s">
        <v>1567</v>
      </c>
      <c r="AI101" s="1217"/>
      <c r="AJ101" s="1217"/>
      <c r="AK101" s="1217"/>
      <c r="AL101" s="906" t="s">
        <v>1482</v>
      </c>
      <c r="AM101" s="1217"/>
      <c r="AN101" s="1217"/>
      <c r="AO101" s="1217"/>
      <c r="AP101" s="1217"/>
      <c r="AQ101" s="1217"/>
    </row>
    <row r="102" spans="1:43" s="1334" customFormat="1" ht="21.75" customHeight="1" x14ac:dyDescent="0.15">
      <c r="A102" s="1217"/>
      <c r="B102" s="1111"/>
      <c r="C102" s="1217"/>
      <c r="D102" s="1217"/>
      <c r="E102" s="542">
        <v>22.5</v>
      </c>
      <c r="F102" s="3" t="str" cm="1">
        <f t="array" aca="1" ref="F102" ca="1">OFFSET(E102,-1,1)</f>
        <v>1</v>
      </c>
      <c r="G102" s="26"/>
      <c r="H102" s="4"/>
      <c r="I102" s="348" t="s">
        <v>1483</v>
      </c>
      <c r="J102" s="1217"/>
      <c r="K102" s="43"/>
      <c r="L102" s="43"/>
      <c r="M102" s="43"/>
      <c r="N102" s="1217"/>
      <c r="O102" s="1217"/>
      <c r="P102" s="1217"/>
      <c r="Q102" s="1217"/>
      <c r="R102" s="1217"/>
      <c r="S102" s="1321"/>
      <c r="T102" s="388" t="b" cm="1">
        <f t="array" ref="T102">T101</f>
        <v>1</v>
      </c>
      <c r="U102" s="1217"/>
      <c r="V102" s="1217"/>
      <c r="W102" s="1217"/>
      <c r="X102" s="2032"/>
      <c r="Y102" s="1217"/>
      <c r="Z102" s="2012"/>
      <c r="AA102" s="1217"/>
      <c r="AB102" s="217" t="s">
        <v>1484</v>
      </c>
      <c r="AC102" s="682" t="s">
        <v>1485</v>
      </c>
      <c r="AD102" s="218"/>
      <c r="AE102" s="686" t="s">
        <v>831</v>
      </c>
      <c r="AF102" s="216">
        <f>AF103+AF104+AF105</f>
        <v>0</v>
      </c>
      <c r="AG102" s="216">
        <f>AG103+AG104+AG105</f>
        <v>0</v>
      </c>
      <c r="AH102" s="765"/>
      <c r="AI102" s="1217"/>
      <c r="AJ102" s="1217"/>
      <c r="AK102" s="1217"/>
      <c r="AL102" s="906" t="s">
        <v>1486</v>
      </c>
      <c r="AM102" s="1217"/>
      <c r="AN102" s="1217"/>
      <c r="AO102" s="1217"/>
      <c r="AP102" s="1217"/>
      <c r="AQ102" s="1217"/>
    </row>
    <row r="103" spans="1:43" s="1334" customFormat="1" ht="21.75" customHeight="1" x14ac:dyDescent="0.15">
      <c r="A103" s="1217"/>
      <c r="B103" s="1111"/>
      <c r="C103" s="1217"/>
      <c r="D103" s="1217"/>
      <c r="E103" s="542">
        <v>22.5</v>
      </c>
      <c r="F103" s="3" t="str" cm="1">
        <f t="array" aca="1" ref="F103" ca="1">OFFSET(E103,-1,1)</f>
        <v>1</v>
      </c>
      <c r="G103" s="348"/>
      <c r="H103" s="4"/>
      <c r="I103" s="348" t="s">
        <v>1487</v>
      </c>
      <c r="J103" s="1217"/>
      <c r="K103" s="43"/>
      <c r="L103" s="43"/>
      <c r="M103" s="43"/>
      <c r="N103" s="1217"/>
      <c r="O103" s="1217"/>
      <c r="P103" s="1217"/>
      <c r="Q103" s="1217"/>
      <c r="R103" s="1217"/>
      <c r="S103" s="1321"/>
      <c r="T103" s="388" t="b" cm="1">
        <f t="array" ref="T103">T102</f>
        <v>1</v>
      </c>
      <c r="U103" s="1217"/>
      <c r="V103" s="1217"/>
      <c r="W103" s="1217"/>
      <c r="X103" s="2032"/>
      <c r="Y103" s="1217"/>
      <c r="Z103" s="2012"/>
      <c r="AA103" s="1217"/>
      <c r="AB103" s="217" t="s">
        <v>1488</v>
      </c>
      <c r="AC103" s="685" t="s">
        <v>1489</v>
      </c>
      <c r="AD103" s="218" t="s">
        <v>1490</v>
      </c>
      <c r="AE103" s="686" t="s">
        <v>831</v>
      </c>
      <c r="AF103" s="216"/>
      <c r="AG103" s="216"/>
      <c r="AH103" s="765"/>
      <c r="AI103" s="1217"/>
      <c r="AJ103" s="1217"/>
      <c r="AK103" s="1217"/>
      <c r="AL103" s="906" t="s">
        <v>1491</v>
      </c>
      <c r="AM103" s="1217"/>
      <c r="AN103" s="1217"/>
      <c r="AO103" s="1217"/>
      <c r="AP103" s="1217"/>
      <c r="AQ103" s="1217"/>
    </row>
    <row r="104" spans="1:43" s="1334" customFormat="1" ht="14.25" customHeight="1" x14ac:dyDescent="0.15">
      <c r="A104" s="1217"/>
      <c r="B104" s="1111"/>
      <c r="C104" s="1217"/>
      <c r="D104" s="1217"/>
      <c r="E104" s="542">
        <v>15</v>
      </c>
      <c r="F104" s="3" t="str" cm="1">
        <f t="array" aca="1" ref="F104" ca="1">OFFSET(E104,-1,1)</f>
        <v>1</v>
      </c>
      <c r="G104" s="348"/>
      <c r="H104" s="4"/>
      <c r="I104" s="348" t="s">
        <v>1492</v>
      </c>
      <c r="J104" s="1217"/>
      <c r="K104" s="43"/>
      <c r="L104" s="43"/>
      <c r="M104" s="43"/>
      <c r="N104" s="1217"/>
      <c r="O104" s="1217"/>
      <c r="P104" s="1217"/>
      <c r="Q104" s="1217"/>
      <c r="R104" s="1217"/>
      <c r="S104" s="1321"/>
      <c r="T104" s="388" t="b" cm="1">
        <f t="array" ref="T104">T103</f>
        <v>1</v>
      </c>
      <c r="U104" s="1217"/>
      <c r="V104" s="1217"/>
      <c r="W104" s="1217"/>
      <c r="X104" s="2032"/>
      <c r="Y104" s="1217"/>
      <c r="Z104" s="2012"/>
      <c r="AA104" s="1217"/>
      <c r="AB104" s="217" t="s">
        <v>1493</v>
      </c>
      <c r="AC104" s="685" t="s">
        <v>1494</v>
      </c>
      <c r="AD104" s="218" t="s">
        <v>1495</v>
      </c>
      <c r="AE104" s="686" t="s">
        <v>831</v>
      </c>
      <c r="AF104" s="216"/>
      <c r="AG104" s="216"/>
      <c r="AH104" s="765"/>
      <c r="AI104" s="1217"/>
      <c r="AJ104" s="1217"/>
      <c r="AK104" s="1217"/>
      <c r="AL104" s="906" t="s">
        <v>1496</v>
      </c>
      <c r="AM104" s="1217"/>
      <c r="AN104" s="1217"/>
      <c r="AO104" s="1217"/>
      <c r="AP104" s="1217"/>
      <c r="AQ104" s="1217"/>
    </row>
    <row r="105" spans="1:43" s="1334" customFormat="1" ht="43.5" customHeight="1" x14ac:dyDescent="0.15">
      <c r="A105" s="1217"/>
      <c r="B105" s="1111"/>
      <c r="C105" s="1217"/>
      <c r="D105" s="1217"/>
      <c r="E105" s="542">
        <v>45</v>
      </c>
      <c r="F105" s="3" t="str" cm="1">
        <f t="array" aca="1" ref="F105" ca="1">OFFSET(E105,-1,1)</f>
        <v>1</v>
      </c>
      <c r="G105" s="348"/>
      <c r="H105" s="4"/>
      <c r="I105" s="348" t="s">
        <v>1497</v>
      </c>
      <c r="J105" s="1217"/>
      <c r="K105" s="43"/>
      <c r="L105" s="43"/>
      <c r="M105" s="43"/>
      <c r="N105" s="1217"/>
      <c r="O105" s="1217"/>
      <c r="P105" s="1217"/>
      <c r="Q105" s="1217"/>
      <c r="R105" s="1217"/>
      <c r="S105" s="1321"/>
      <c r="T105" s="388" t="b" cm="1">
        <f t="array" ref="T105">T104</f>
        <v>1</v>
      </c>
      <c r="U105" s="1217"/>
      <c r="V105" s="1217"/>
      <c r="W105" s="1217"/>
      <c r="X105" s="2032"/>
      <c r="Y105" s="1217"/>
      <c r="Z105" s="2012"/>
      <c r="AA105" s="1217"/>
      <c r="AB105" s="217" t="s">
        <v>1498</v>
      </c>
      <c r="AC105" s="685" t="s">
        <v>1499</v>
      </c>
      <c r="AD105" s="686" t="s">
        <v>1500</v>
      </c>
      <c r="AE105" s="686" t="s">
        <v>831</v>
      </c>
      <c r="AF105" s="216"/>
      <c r="AG105" s="216"/>
      <c r="AH105" s="765"/>
      <c r="AI105" s="1217"/>
      <c r="AJ105" s="1217"/>
      <c r="AK105" s="1217"/>
      <c r="AL105" s="906" t="s">
        <v>1501</v>
      </c>
      <c r="AM105" s="1217"/>
      <c r="AN105" s="1217"/>
      <c r="AO105" s="1217"/>
      <c r="AP105" s="1217"/>
      <c r="AQ105" s="1217"/>
    </row>
    <row r="106" spans="1:43" s="1334" customFormat="1" ht="21.75" customHeight="1" x14ac:dyDescent="0.15">
      <c r="A106" s="1217"/>
      <c r="B106" s="1111"/>
      <c r="C106" s="1217"/>
      <c r="D106" s="1217"/>
      <c r="E106" s="542">
        <v>22.5</v>
      </c>
      <c r="F106" s="3" t="str" cm="1">
        <f t="array" aca="1" ref="F106" ca="1">OFFSET(E106,-1,1)</f>
        <v>1</v>
      </c>
      <c r="G106" s="348"/>
      <c r="H106" s="4"/>
      <c r="I106" s="348" t="s">
        <v>1502</v>
      </c>
      <c r="J106" s="1217"/>
      <c r="K106" s="43"/>
      <c r="L106" s="43"/>
      <c r="M106" s="43"/>
      <c r="N106" s="1217"/>
      <c r="O106" s="1217"/>
      <c r="P106" s="1217"/>
      <c r="Q106" s="1217"/>
      <c r="R106" s="1217"/>
      <c r="S106" s="1321"/>
      <c r="T106" s="388" t="b" cm="1">
        <f t="array" ref="T106">T105</f>
        <v>1</v>
      </c>
      <c r="U106" s="1217"/>
      <c r="V106" s="1217"/>
      <c r="W106" s="1217"/>
      <c r="X106" s="2032"/>
      <c r="Y106" s="1217"/>
      <c r="Z106" s="2012"/>
      <c r="AA106" s="1217"/>
      <c r="AB106" s="217" t="s">
        <v>1503</v>
      </c>
      <c r="AC106" s="682" t="s">
        <v>1504</v>
      </c>
      <c r="AD106" s="686" t="s">
        <v>1505</v>
      </c>
      <c r="AE106" s="686" t="s">
        <v>831</v>
      </c>
      <c r="AF106" s="216"/>
      <c r="AG106" s="216"/>
      <c r="AH106" s="765"/>
      <c r="AI106" s="1217"/>
      <c r="AJ106" s="1217"/>
      <c r="AK106" s="1217"/>
      <c r="AL106" s="906" t="s">
        <v>1506</v>
      </c>
      <c r="AM106" s="1217"/>
      <c r="AN106" s="1217"/>
      <c r="AO106" s="1217"/>
      <c r="AP106" s="1217"/>
      <c r="AQ106" s="1217"/>
    </row>
    <row r="107" spans="1:43" s="1334" customFormat="1" ht="76.5" hidden="1" customHeight="1" x14ac:dyDescent="0.15">
      <c r="A107" s="1217"/>
      <c r="B107" s="350" t="b">
        <f>S78="Водоотведение"</f>
        <v>0</v>
      </c>
      <c r="C107" s="1217"/>
      <c r="D107" s="1217"/>
      <c r="E107" s="542">
        <v>78.75</v>
      </c>
      <c r="F107" s="3" t="str" cm="1">
        <f t="array" aca="1" ref="F107" ca="1">OFFSET(E107,-1,1)</f>
        <v>1</v>
      </c>
      <c r="G107" s="348"/>
      <c r="H107" s="4"/>
      <c r="I107" s="348"/>
      <c r="J107" s="1217"/>
      <c r="K107" s="43"/>
      <c r="L107" s="43"/>
      <c r="M107" s="43"/>
      <c r="N107" s="1217"/>
      <c r="O107" s="1217"/>
      <c r="P107" s="1217"/>
      <c r="Q107" s="1217"/>
      <c r="R107" s="1217"/>
      <c r="S107" s="1321"/>
      <c r="T107" s="388" t="b" cm="1">
        <f t="array" ref="T107">T106</f>
        <v>1</v>
      </c>
      <c r="U107" s="1217"/>
      <c r="V107" s="1217"/>
      <c r="W107" s="1217"/>
      <c r="X107" s="2032"/>
      <c r="Y107" s="1217"/>
      <c r="Z107" s="2012"/>
      <c r="AA107" s="1217"/>
      <c r="AB107" s="217" t="s">
        <v>1507</v>
      </c>
      <c r="AC107" s="682" t="s">
        <v>1508</v>
      </c>
      <c r="AD107" s="686"/>
      <c r="AE107" s="686" t="s">
        <v>831</v>
      </c>
      <c r="AF107" s="1407"/>
      <c r="AG107" s="1407"/>
      <c r="AH107" s="1362"/>
      <c r="AI107" s="1217"/>
      <c r="AJ107" s="1217"/>
      <c r="AK107" s="1217"/>
      <c r="AL107" s="906" t="s">
        <v>1509</v>
      </c>
      <c r="AM107" s="1217"/>
      <c r="AN107" s="1217"/>
      <c r="AO107" s="1217"/>
      <c r="AP107" s="1217"/>
      <c r="AQ107" s="1217"/>
    </row>
    <row r="108" spans="1:43" s="1334" customFormat="1" ht="54.75" hidden="1" customHeight="1" x14ac:dyDescent="0.15">
      <c r="A108" s="1217"/>
      <c r="B108" s="350" t="b" cm="1">
        <f t="array" ref="B108">B107</f>
        <v>0</v>
      </c>
      <c r="C108" s="1217"/>
      <c r="D108" s="1217"/>
      <c r="E108" s="542">
        <v>56.25</v>
      </c>
      <c r="F108" s="3" t="str" cm="1">
        <f t="array" aca="1" ref="F108" ca="1">OFFSET(E108,-1,1)</f>
        <v>1</v>
      </c>
      <c r="G108" s="348"/>
      <c r="H108" s="4"/>
      <c r="I108" s="348"/>
      <c r="J108" s="1217"/>
      <c r="K108" s="43"/>
      <c r="L108" s="43"/>
      <c r="M108" s="43"/>
      <c r="N108" s="1217"/>
      <c r="O108" s="1217"/>
      <c r="P108" s="1217"/>
      <c r="Q108" s="1217"/>
      <c r="R108" s="1217"/>
      <c r="S108" s="1321"/>
      <c r="T108" s="388" t="b" cm="1">
        <f t="array" ref="T108">T107</f>
        <v>1</v>
      </c>
      <c r="U108" s="1217"/>
      <c r="V108" s="1217"/>
      <c r="W108" s="1217"/>
      <c r="X108" s="2032"/>
      <c r="Y108" s="1217"/>
      <c r="Z108" s="2012"/>
      <c r="AA108" s="1217"/>
      <c r="AB108" s="217" t="s">
        <v>1510</v>
      </c>
      <c r="AC108" s="682" t="s">
        <v>1511</v>
      </c>
      <c r="AD108" s="686"/>
      <c r="AE108" s="686" t="s">
        <v>831</v>
      </c>
      <c r="AF108" s="1407"/>
      <c r="AG108" s="1407"/>
      <c r="AH108" s="1362"/>
      <c r="AI108" s="1217"/>
      <c r="AJ108" s="1217"/>
      <c r="AK108" s="1217"/>
      <c r="AL108" s="906" t="s">
        <v>1335</v>
      </c>
      <c r="AM108" s="1217"/>
      <c r="AN108" s="1217"/>
      <c r="AO108" s="1217"/>
      <c r="AP108" s="1217"/>
      <c r="AQ108" s="1217"/>
    </row>
    <row r="109" spans="1:43" s="1334" customFormat="1" ht="14.25" customHeight="1" x14ac:dyDescent="0.15">
      <c r="A109" s="1217"/>
      <c r="B109" s="1111"/>
      <c r="C109" s="1217"/>
      <c r="D109" s="1217"/>
      <c r="E109" s="542">
        <v>15</v>
      </c>
      <c r="F109" s="3" t="str" cm="1">
        <f t="array" aca="1" ref="F109" ca="1">OFFSET(E109,-1,1)</f>
        <v>1</v>
      </c>
      <c r="G109" s="348"/>
      <c r="H109" s="4"/>
      <c r="I109" s="348"/>
      <c r="J109" s="1217"/>
      <c r="K109" s="43"/>
      <c r="L109" s="43"/>
      <c r="M109" s="43"/>
      <c r="N109" s="1217"/>
      <c r="O109" s="1217"/>
      <c r="P109" s="1217"/>
      <c r="Q109" s="1217"/>
      <c r="R109" s="1217"/>
      <c r="S109" s="1321"/>
      <c r="T109" s="388" t="b" cm="1">
        <f t="array" ref="T109">T108</f>
        <v>1</v>
      </c>
      <c r="U109" s="1217"/>
      <c r="V109" s="1217"/>
      <c r="W109" s="1217"/>
      <c r="X109" s="2032"/>
      <c r="Y109" s="1217"/>
      <c r="Z109" s="2012"/>
      <c r="AA109" s="1217"/>
      <c r="AB109" s="218" t="str">
        <f>IF(B108,"2.12","2.10")</f>
        <v>2.10</v>
      </c>
      <c r="AC109" s="682" t="s">
        <v>1512</v>
      </c>
      <c r="AD109" s="686" t="s">
        <v>1513</v>
      </c>
      <c r="AE109" s="686" t="s">
        <v>831</v>
      </c>
      <c r="AF109" s="216">
        <f>AF110+AF111</f>
        <v>0</v>
      </c>
      <c r="AG109" s="216">
        <v>-8692.23</v>
      </c>
      <c r="AH109" s="765"/>
      <c r="AI109" s="1217"/>
      <c r="AJ109" s="1217"/>
      <c r="AK109" s="1217"/>
      <c r="AL109" s="906" t="s">
        <v>1514</v>
      </c>
      <c r="AM109" s="1217"/>
      <c r="AN109" s="1217"/>
      <c r="AO109" s="1217"/>
      <c r="AP109" s="1217"/>
      <c r="AQ109" s="1217"/>
    </row>
    <row r="110" spans="1:43" s="1334" customFormat="1" ht="21.75" customHeight="1" x14ac:dyDescent="0.15">
      <c r="A110" s="1217"/>
      <c r="B110" s="1111"/>
      <c r="C110" s="1217"/>
      <c r="D110" s="1217"/>
      <c r="E110" s="542">
        <v>22.5</v>
      </c>
      <c r="F110" s="3" t="str" cm="1">
        <f t="array" aca="1" ref="F110" ca="1">OFFSET(E110,-1,1)</f>
        <v>1</v>
      </c>
      <c r="G110" s="348"/>
      <c r="H110" s="4"/>
      <c r="I110" s="348"/>
      <c r="J110" s="1217"/>
      <c r="K110" s="43"/>
      <c r="L110" s="43"/>
      <c r="M110" s="43"/>
      <c r="N110" s="1217"/>
      <c r="O110" s="1217"/>
      <c r="P110" s="1217"/>
      <c r="Q110" s="1217"/>
      <c r="R110" s="1217"/>
      <c r="S110" s="1321"/>
      <c r="T110" s="388" t="b" cm="1">
        <f t="array" ref="T110">T109</f>
        <v>1</v>
      </c>
      <c r="U110" s="1217"/>
      <c r="V110" s="1217"/>
      <c r="W110" s="1217"/>
      <c r="X110" s="2032"/>
      <c r="Y110" s="1217"/>
      <c r="Z110" s="2012"/>
      <c r="AA110" s="1217"/>
      <c r="AB110" s="218" t="str">
        <f>AB109&amp;".1"</f>
        <v>2.10.1</v>
      </c>
      <c r="AC110" s="682" t="s">
        <v>1515</v>
      </c>
      <c r="AD110" s="686" t="s">
        <v>1513</v>
      </c>
      <c r="AE110" s="686" t="s">
        <v>831</v>
      </c>
      <c r="AF110" s="216"/>
      <c r="AG110" s="216">
        <v>-8692.23</v>
      </c>
      <c r="AH110" s="765"/>
      <c r="AI110" s="1217"/>
      <c r="AJ110" s="1217"/>
      <c r="AK110" s="1217"/>
      <c r="AL110" s="906" t="s">
        <v>1516</v>
      </c>
      <c r="AM110" s="1217"/>
      <c r="AN110" s="1217"/>
      <c r="AO110" s="1217"/>
      <c r="AP110" s="1217"/>
      <c r="AQ110" s="1217"/>
    </row>
    <row r="111" spans="1:43" s="1334" customFormat="1" ht="21.75" customHeight="1" x14ac:dyDescent="0.15">
      <c r="A111" s="1217"/>
      <c r="B111" s="1111"/>
      <c r="C111" s="1217"/>
      <c r="D111" s="1217"/>
      <c r="E111" s="542">
        <v>22.5</v>
      </c>
      <c r="F111" s="3" t="str" cm="1">
        <f t="array" aca="1" ref="F111" ca="1">OFFSET(E111,-1,1)</f>
        <v>1</v>
      </c>
      <c r="G111" s="348"/>
      <c r="H111" s="4"/>
      <c r="I111" s="348"/>
      <c r="J111" s="1217"/>
      <c r="K111" s="43"/>
      <c r="L111" s="43"/>
      <c r="M111" s="43"/>
      <c r="N111" s="1217"/>
      <c r="O111" s="1217"/>
      <c r="P111" s="1217"/>
      <c r="Q111" s="1217"/>
      <c r="R111" s="1217"/>
      <c r="S111" s="1321"/>
      <c r="T111" s="388" t="b" cm="1">
        <f t="array" ref="T111">T110</f>
        <v>1</v>
      </c>
      <c r="U111" s="1217"/>
      <c r="V111" s="1217"/>
      <c r="W111" s="1217"/>
      <c r="X111" s="2032"/>
      <c r="Y111" s="1217"/>
      <c r="Z111" s="2012"/>
      <c r="AA111" s="1217"/>
      <c r="AB111" s="218" t="str">
        <f>AB109&amp;".2"</f>
        <v>2.10.2</v>
      </c>
      <c r="AC111" s="682" t="s">
        <v>1517</v>
      </c>
      <c r="AD111" s="686" t="s">
        <v>1513</v>
      </c>
      <c r="AE111" s="686" t="s">
        <v>831</v>
      </c>
      <c r="AF111" s="216"/>
      <c r="AG111" s="216"/>
      <c r="AH111" s="765"/>
      <c r="AI111" s="1217"/>
      <c r="AJ111" s="1217"/>
      <c r="AK111" s="1217"/>
      <c r="AL111" s="906" t="s">
        <v>1518</v>
      </c>
      <c r="AM111" s="1217"/>
      <c r="AN111" s="1217"/>
      <c r="AO111" s="1217"/>
      <c r="AP111" s="1217"/>
      <c r="AQ111" s="1217"/>
    </row>
    <row r="112" spans="1:43" s="1334" customFormat="1" ht="14.25" customHeight="1" x14ac:dyDescent="0.15">
      <c r="A112" s="1217"/>
      <c r="B112" s="1111"/>
      <c r="C112" s="1217"/>
      <c r="D112" s="1217"/>
      <c r="E112" s="542">
        <v>15</v>
      </c>
      <c r="F112" s="3" t="str" cm="1">
        <f t="array" aca="1" ref="F112" ca="1">OFFSET(E112,-1,1)</f>
        <v>1</v>
      </c>
      <c r="G112" s="348"/>
      <c r="H112" s="4"/>
      <c r="I112" s="348"/>
      <c r="J112" s="1217"/>
      <c r="K112" s="43"/>
      <c r="L112" s="43"/>
      <c r="M112" s="43"/>
      <c r="N112" s="1217"/>
      <c r="O112" s="1217"/>
      <c r="P112" s="1217"/>
      <c r="Q112" s="1217"/>
      <c r="R112" s="1217"/>
      <c r="S112" s="1321"/>
      <c r="T112" s="388" t="b" cm="1">
        <f t="array" ref="T112">T111</f>
        <v>1</v>
      </c>
      <c r="U112" s="1217"/>
      <c r="V112" s="1217"/>
      <c r="W112" s="1217"/>
      <c r="X112" s="2032"/>
      <c r="Y112" s="1217"/>
      <c r="Z112" s="2012"/>
      <c r="AA112" s="1217"/>
      <c r="AB112" s="218" t="str">
        <f>IF(B108,"2.13","2.11")</f>
        <v>2.11</v>
      </c>
      <c r="AC112" s="682" t="s">
        <v>1519</v>
      </c>
      <c r="AD112" s="686" t="s">
        <v>1513</v>
      </c>
      <c r="AE112" s="686" t="s">
        <v>831</v>
      </c>
      <c r="AF112" s="216"/>
      <c r="AG112" s="216"/>
      <c r="AH112" s="765"/>
      <c r="AI112" s="1217"/>
      <c r="AJ112" s="1217"/>
      <c r="AK112" s="1217"/>
      <c r="AL112" s="906" t="s">
        <v>1520</v>
      </c>
      <c r="AM112" s="1217"/>
      <c r="AN112" s="1217"/>
      <c r="AO112" s="1217"/>
      <c r="AP112" s="1217"/>
      <c r="AQ112" s="1217"/>
    </row>
    <row r="113" spans="1:43" s="1334" customFormat="1" ht="14.25" customHeight="1" x14ac:dyDescent="0.15">
      <c r="A113" s="1217"/>
      <c r="B113" s="1111"/>
      <c r="C113" s="1217"/>
      <c r="D113" s="1217"/>
      <c r="E113" s="542">
        <v>15</v>
      </c>
      <c r="F113" s="3" t="str" cm="1">
        <f t="array" aca="1" ref="F113" ca="1">OFFSET(E113,-1,1)</f>
        <v>1</v>
      </c>
      <c r="G113" s="348"/>
      <c r="H113" s="4"/>
      <c r="I113" s="348"/>
      <c r="J113" s="1217"/>
      <c r="K113" s="43"/>
      <c r="L113" s="43"/>
      <c r="M113" s="43"/>
      <c r="N113" s="1217"/>
      <c r="O113" s="1217"/>
      <c r="P113" s="1217"/>
      <c r="Q113" s="1217"/>
      <c r="R113" s="1217"/>
      <c r="S113" s="1321"/>
      <c r="T113" s="388" t="b" cm="1">
        <f t="array" ref="T113">T112</f>
        <v>1</v>
      </c>
      <c r="U113" s="1217"/>
      <c r="V113" s="1217"/>
      <c r="W113" s="1217"/>
      <c r="X113" s="2032"/>
      <c r="Y113" s="1217"/>
      <c r="Z113" s="2012"/>
      <c r="AA113" s="1217"/>
      <c r="AB113" s="218" t="str">
        <f>IF(B108,"2.14","2.12")</f>
        <v>2.12</v>
      </c>
      <c r="AC113" s="682" t="s">
        <v>1521</v>
      </c>
      <c r="AD113" s="686" t="s">
        <v>1513</v>
      </c>
      <c r="AE113" s="686" t="s">
        <v>831</v>
      </c>
      <c r="AF113" s="216"/>
      <c r="AG113" s="216"/>
      <c r="AH113" s="765"/>
      <c r="AI113" s="1217"/>
      <c r="AJ113" s="1217"/>
      <c r="AK113" s="1217"/>
      <c r="AL113" s="906" t="s">
        <v>1522</v>
      </c>
      <c r="AM113" s="1217"/>
      <c r="AN113" s="1217"/>
      <c r="AO113" s="1217"/>
      <c r="AP113" s="1217"/>
      <c r="AQ113" s="1217"/>
    </row>
    <row r="114" spans="1:43" s="1432" customFormat="1" ht="21.75" customHeight="1" x14ac:dyDescent="0.15">
      <c r="A114" s="621"/>
      <c r="B114" s="353"/>
      <c r="C114" s="621"/>
      <c r="D114" s="621"/>
      <c r="E114" s="614">
        <v>22.5</v>
      </c>
      <c r="F114" s="3" t="str" cm="1">
        <f t="array" aca="1" ref="F114" ca="1">OFFSET(E114,-1,1)</f>
        <v>1</v>
      </c>
      <c r="G114" s="66"/>
      <c r="H114" s="66"/>
      <c r="I114" s="348" t="s">
        <v>332</v>
      </c>
      <c r="J114" s="621"/>
      <c r="K114" s="420"/>
      <c r="L114" s="420"/>
      <c r="M114" s="420"/>
      <c r="N114" s="621"/>
      <c r="O114" s="621"/>
      <c r="P114" s="621"/>
      <c r="Q114" s="621"/>
      <c r="R114" s="621"/>
      <c r="S114" s="621"/>
      <c r="T114" s="388" t="b" cm="1">
        <f t="array" ref="T114">T113</f>
        <v>1</v>
      </c>
      <c r="U114" s="621"/>
      <c r="V114" s="621"/>
      <c r="W114" s="621"/>
      <c r="X114" s="2032"/>
      <c r="Y114" s="621"/>
      <c r="Z114" s="2012"/>
      <c r="AA114" s="621"/>
      <c r="AB114" s="130" t="s">
        <v>1523</v>
      </c>
      <c r="AC114" s="131" t="s">
        <v>1524</v>
      </c>
      <c r="AD114" s="130" t="s">
        <v>1386</v>
      </c>
      <c r="AE114" s="153" t="s">
        <v>831</v>
      </c>
      <c r="AF114" s="763" cm="1">
        <f t="array" ref="AF114">AF115</f>
        <v>0</v>
      </c>
      <c r="AG114" s="763" cm="1">
        <f t="array" ref="AG114">AG115</f>
        <v>0</v>
      </c>
      <c r="AH114" s="764"/>
      <c r="AI114" s="621"/>
      <c r="AJ114" s="621"/>
      <c r="AK114" s="621"/>
      <c r="AL114" s="960" t="s">
        <v>1525</v>
      </c>
      <c r="AM114" s="621"/>
      <c r="AN114" s="621"/>
      <c r="AO114" s="621"/>
      <c r="AP114" s="621"/>
      <c r="AQ114" s="621"/>
    </row>
    <row r="115" spans="1:43" s="1334" customFormat="1" ht="32.25" customHeight="1" x14ac:dyDescent="0.15">
      <c r="A115" s="1217"/>
      <c r="B115" s="1111"/>
      <c r="C115" s="1217"/>
      <c r="D115" s="1217"/>
      <c r="E115" s="542">
        <v>33.75</v>
      </c>
      <c r="F115" s="3" t="str" cm="1">
        <f t="array" aca="1" ref="F115" ca="1">OFFSET(E115,-1,1)</f>
        <v>1</v>
      </c>
      <c r="G115" s="348"/>
      <c r="H115" s="4"/>
      <c r="I115" s="348" t="s">
        <v>512</v>
      </c>
      <c r="J115" s="1217"/>
      <c r="K115" s="43"/>
      <c r="L115" s="43"/>
      <c r="M115" s="43"/>
      <c r="N115" s="1217"/>
      <c r="O115" s="1217"/>
      <c r="P115" s="1217"/>
      <c r="Q115" s="1217"/>
      <c r="R115" s="1217"/>
      <c r="S115" s="1321"/>
      <c r="T115" s="388" t="b" cm="1">
        <f t="array" ref="T115">T114</f>
        <v>1</v>
      </c>
      <c r="U115" s="1217"/>
      <c r="V115" s="1217"/>
      <c r="W115" s="1217"/>
      <c r="X115" s="2032"/>
      <c r="Y115" s="1217"/>
      <c r="Z115" s="2012"/>
      <c r="AA115" s="1217"/>
      <c r="AB115" s="217" t="s">
        <v>282</v>
      </c>
      <c r="AC115" s="374" t="s">
        <v>1526</v>
      </c>
      <c r="AD115" s="218" t="s">
        <v>1527</v>
      </c>
      <c r="AE115" s="686" t="s">
        <v>831</v>
      </c>
      <c r="AF115" s="846">
        <f>AF116+AF117</f>
        <v>0</v>
      </c>
      <c r="AG115" s="846">
        <f>AG116+AG117</f>
        <v>0</v>
      </c>
      <c r="AH115" s="765"/>
      <c r="AI115" s="1217"/>
      <c r="AJ115" s="1217"/>
      <c r="AK115" s="1217"/>
      <c r="AL115" s="906" t="s">
        <v>1528</v>
      </c>
      <c r="AM115" s="1217"/>
      <c r="AN115" s="1217"/>
      <c r="AO115" s="1217"/>
      <c r="AP115" s="1217"/>
      <c r="AQ115" s="1217"/>
    </row>
    <row r="116" spans="1:43" s="1334" customFormat="1" ht="43.5" customHeight="1" x14ac:dyDescent="0.15">
      <c r="A116" s="1217"/>
      <c r="B116" s="1111"/>
      <c r="C116" s="1217"/>
      <c r="D116" s="1217"/>
      <c r="E116" s="542">
        <v>45</v>
      </c>
      <c r="F116" s="3" t="str" cm="1">
        <f t="array" aca="1" ref="F116" ca="1">OFFSET(E116,-1,1)</f>
        <v>1</v>
      </c>
      <c r="G116" s="348"/>
      <c r="H116" s="4"/>
      <c r="I116" s="348" t="s">
        <v>1529</v>
      </c>
      <c r="J116" s="1217"/>
      <c r="K116" s="43"/>
      <c r="L116" s="43"/>
      <c r="M116" s="43"/>
      <c r="N116" s="1217"/>
      <c r="O116" s="1217"/>
      <c r="P116" s="1217"/>
      <c r="Q116" s="1217"/>
      <c r="R116" s="1217"/>
      <c r="S116" s="1321"/>
      <c r="T116" s="388" t="b" cm="1">
        <f t="array" ref="T116">T115</f>
        <v>1</v>
      </c>
      <c r="U116" s="1217"/>
      <c r="V116" s="1217"/>
      <c r="W116" s="1217"/>
      <c r="X116" s="2032"/>
      <c r="Y116" s="1217"/>
      <c r="Z116" s="2012"/>
      <c r="AA116" s="1217"/>
      <c r="AB116" s="217" t="s">
        <v>910</v>
      </c>
      <c r="AC116" s="682" t="s">
        <v>1530</v>
      </c>
      <c r="AD116" s="218" t="s">
        <v>1531</v>
      </c>
      <c r="AE116" s="686" t="s">
        <v>831</v>
      </c>
      <c r="AF116" s="216"/>
      <c r="AG116" s="216"/>
      <c r="AH116" s="765"/>
      <c r="AI116" s="1217"/>
      <c r="AJ116" s="1217"/>
      <c r="AK116" s="1217"/>
      <c r="AL116" s="906" t="s">
        <v>1532</v>
      </c>
      <c r="AM116" s="1217"/>
      <c r="AN116" s="1217"/>
      <c r="AO116" s="1217"/>
      <c r="AP116" s="1217"/>
      <c r="AQ116" s="1217"/>
    </row>
    <row r="117" spans="1:43" s="1334" customFormat="1" ht="32.25" customHeight="1" x14ac:dyDescent="0.15">
      <c r="A117" s="1217"/>
      <c r="B117" s="1111"/>
      <c r="C117" s="1217"/>
      <c r="D117" s="1217"/>
      <c r="E117" s="542">
        <v>33.75</v>
      </c>
      <c r="F117" s="3" t="str" cm="1">
        <f t="array" aca="1" ref="F117" ca="1">OFFSET(E117,-1,1)</f>
        <v>1</v>
      </c>
      <c r="G117" s="348"/>
      <c r="H117" s="4"/>
      <c r="I117" s="348" t="s">
        <v>1533</v>
      </c>
      <c r="J117" s="1217"/>
      <c r="K117" s="43"/>
      <c r="L117" s="43"/>
      <c r="M117" s="43"/>
      <c r="N117" s="1217"/>
      <c r="O117" s="1217"/>
      <c r="P117" s="1217"/>
      <c r="Q117" s="1217"/>
      <c r="R117" s="1217"/>
      <c r="S117" s="1321"/>
      <c r="T117" s="388" t="b" cm="1">
        <f t="array" ref="T117">T116</f>
        <v>1</v>
      </c>
      <c r="U117" s="1217"/>
      <c r="V117" s="1217"/>
      <c r="W117" s="1217"/>
      <c r="X117" s="2032"/>
      <c r="Y117" s="1217"/>
      <c r="Z117" s="2012"/>
      <c r="AA117" s="1217"/>
      <c r="AB117" s="217" t="s">
        <v>913</v>
      </c>
      <c r="AC117" s="682" t="s">
        <v>1534</v>
      </c>
      <c r="AD117" s="218" t="s">
        <v>1535</v>
      </c>
      <c r="AE117" s="686" t="s">
        <v>831</v>
      </c>
      <c r="AF117" s="216"/>
      <c r="AG117" s="216"/>
      <c r="AH117" s="765"/>
      <c r="AI117" s="1217"/>
      <c r="AJ117" s="1217"/>
      <c r="AK117" s="1217"/>
      <c r="AL117" s="906" t="s">
        <v>1536</v>
      </c>
      <c r="AM117" s="1217"/>
      <c r="AN117" s="1217"/>
      <c r="AO117" s="1217"/>
      <c r="AP117" s="1217"/>
      <c r="AQ117" s="1217"/>
    </row>
    <row r="118" spans="1:43" s="1334" customFormat="1" ht="33.75" customHeight="1" x14ac:dyDescent="0.15">
      <c r="A118" s="1217"/>
      <c r="B118" s="1111"/>
      <c r="C118" s="1217"/>
      <c r="D118" s="1217"/>
      <c r="E118" s="542">
        <v>35</v>
      </c>
      <c r="F118" s="3" t="str" cm="1">
        <f t="array" aca="1" ref="F118" ca="1">OFFSET(E118,-1,1)</f>
        <v>1</v>
      </c>
      <c r="G118" s="348"/>
      <c r="H118" s="4"/>
      <c r="I118" s="348" t="s">
        <v>333</v>
      </c>
      <c r="J118" s="1217"/>
      <c r="K118" s="43" t="str">
        <f ca="1">F118&amp;"1komm"</f>
        <v>11komm</v>
      </c>
      <c r="L118" s="832" cm="1">
        <f t="array" ref="L118">AH118</f>
        <v>0</v>
      </c>
      <c r="M118" s="43"/>
      <c r="N118" s="1217"/>
      <c r="O118" s="1217"/>
      <c r="P118" s="1217"/>
      <c r="Q118" s="1217"/>
      <c r="R118" s="1217"/>
      <c r="S118" s="1321"/>
      <c r="T118" s="388" t="b" cm="1">
        <f t="array" ref="T118">T117</f>
        <v>1</v>
      </c>
      <c r="U118" s="1217"/>
      <c r="V118" s="1217"/>
      <c r="W118" s="1217"/>
      <c r="X118" s="2032"/>
      <c r="Y118" s="1217"/>
      <c r="Z118" s="2012"/>
      <c r="AA118" s="1217"/>
      <c r="AB118" s="153" t="s">
        <v>1537</v>
      </c>
      <c r="AC118" s="131" t="s">
        <v>1538</v>
      </c>
      <c r="AD118" s="130" t="s">
        <v>1539</v>
      </c>
      <c r="AE118" s="153" t="s">
        <v>831</v>
      </c>
      <c r="AF118" s="298"/>
      <c r="AG118" s="298"/>
      <c r="AH118" s="765"/>
      <c r="AI118" s="1217"/>
      <c r="AJ118" s="1217"/>
      <c r="AK118" s="1217"/>
      <c r="AL118" s="906" t="s">
        <v>1540</v>
      </c>
      <c r="AM118" s="1217"/>
      <c r="AN118" s="1217"/>
      <c r="AO118" s="1217"/>
      <c r="AP118" s="1217"/>
      <c r="AQ118" s="1217"/>
    </row>
    <row r="119" spans="1:43" s="1334" customFormat="1" ht="107.25" customHeight="1" x14ac:dyDescent="0.15">
      <c r="A119" s="1217"/>
      <c r="B119" s="1111"/>
      <c r="C119" s="1217"/>
      <c r="D119" s="1217"/>
      <c r="E119" s="542">
        <v>110</v>
      </c>
      <c r="F119" s="3" t="str" cm="1">
        <f t="array" aca="1" ref="F119" ca="1">OFFSET(E119,-1,1)</f>
        <v>1</v>
      </c>
      <c r="G119" s="348"/>
      <c r="H119" s="4"/>
      <c r="I119" s="348" t="s">
        <v>335</v>
      </c>
      <c r="J119" s="1217"/>
      <c r="K119" s="43" t="str">
        <f ca="1">F119&amp;"2komm"</f>
        <v>12komm</v>
      </c>
      <c r="L119" s="832" cm="1">
        <f t="array" ref="L119">AH119</f>
        <v>0</v>
      </c>
      <c r="M119" s="43"/>
      <c r="N119" s="1217"/>
      <c r="O119" s="1217"/>
      <c r="P119" s="1217"/>
      <c r="Q119" s="1217"/>
      <c r="R119" s="1217"/>
      <c r="S119" s="1321"/>
      <c r="T119" s="388" t="b" cm="1">
        <f t="array" ref="T119">T118</f>
        <v>1</v>
      </c>
      <c r="U119" s="1217"/>
      <c r="V119" s="1217"/>
      <c r="W119" s="1217"/>
      <c r="X119" s="2032"/>
      <c r="Y119" s="1217"/>
      <c r="Z119" s="2012"/>
      <c r="AA119" s="1217"/>
      <c r="AB119" s="153" t="s">
        <v>1541</v>
      </c>
      <c r="AC119" s="131" t="s">
        <v>1542</v>
      </c>
      <c r="AD119" s="130" t="s">
        <v>1543</v>
      </c>
      <c r="AE119" s="153" t="s">
        <v>831</v>
      </c>
      <c r="AF119" s="298"/>
      <c r="AG119" s="298"/>
      <c r="AH119" s="765"/>
      <c r="AI119" s="1217"/>
      <c r="AJ119" s="1217"/>
      <c r="AK119" s="1217"/>
      <c r="AL119" s="906" t="s">
        <v>1026</v>
      </c>
      <c r="AM119" s="1217"/>
      <c r="AN119" s="1217"/>
      <c r="AO119" s="1217"/>
      <c r="AP119" s="1217"/>
      <c r="AQ119" s="1217"/>
    </row>
    <row r="120" spans="1:43" s="1334" customFormat="1" ht="76.5" hidden="1" customHeight="1" x14ac:dyDescent="0.25">
      <c r="A120" s="1217"/>
      <c r="B120" s="350" t="b">
        <f>S78="Водоотведение"</f>
        <v>0</v>
      </c>
      <c r="C120" s="1217"/>
      <c r="D120" s="1217"/>
      <c r="E120" s="542">
        <v>78.75</v>
      </c>
      <c r="F120" s="3" t="str" cm="1">
        <f t="array" aca="1" ref="F120" ca="1">OFFSET(E120,-1,1)</f>
        <v>1</v>
      </c>
      <c r="G120" s="930"/>
      <c r="H120" s="2"/>
      <c r="I120" s="41" t="s">
        <v>334</v>
      </c>
      <c r="J120" s="1217"/>
      <c r="K120" s="43" t="str">
        <f ca="1">F120&amp;"3komm"</f>
        <v>13komm</v>
      </c>
      <c r="L120" s="832" cm="1">
        <f t="array" ref="L120">AH120</f>
        <v>0</v>
      </c>
      <c r="M120" s="43"/>
      <c r="N120" s="1217"/>
      <c r="O120" s="1217"/>
      <c r="P120" s="1217"/>
      <c r="Q120" s="1217"/>
      <c r="R120" s="1217"/>
      <c r="S120" s="1321"/>
      <c r="T120" s="388" t="b" cm="1">
        <f t="array" ref="T120">T119</f>
        <v>1</v>
      </c>
      <c r="U120" s="1217"/>
      <c r="V120" s="1217"/>
      <c r="W120" s="1217"/>
      <c r="X120" s="2032"/>
      <c r="Y120" s="1217"/>
      <c r="Z120" s="2012"/>
      <c r="AA120" s="1217"/>
      <c r="AB120" s="153" t="s">
        <v>1544</v>
      </c>
      <c r="AC120" s="131" t="s">
        <v>1545</v>
      </c>
      <c r="AD120" s="130"/>
      <c r="AE120" s="153" t="s">
        <v>831</v>
      </c>
      <c r="AF120" s="1428"/>
      <c r="AG120" s="1406">
        <f ca="1">IFERROR(SUMIFS('Плата за негативное возд'!$AL$24:$AL$35,'Плата за негативное возд'!$F$24:$F$35,F120,'Плата за негативное возд'!$AB$24:$AB$35,"1"),0)</f>
        <v>0</v>
      </c>
      <c r="AH120" s="1362"/>
      <c r="AI120" s="1217"/>
      <c r="AJ120" s="1217"/>
      <c r="AK120" s="1217"/>
      <c r="AL120" s="906" t="s">
        <v>1546</v>
      </c>
      <c r="AM120" s="1217"/>
      <c r="AN120" s="1217"/>
      <c r="AO120" s="1217"/>
      <c r="AP120" s="1217"/>
      <c r="AQ120" s="1217"/>
    </row>
    <row r="121" spans="1:43" s="1334" customFormat="1" ht="54.75" hidden="1" customHeight="1" x14ac:dyDescent="0.25">
      <c r="A121" s="1217"/>
      <c r="B121" s="350" t="b" cm="1">
        <f t="array" ref="B121">B120</f>
        <v>0</v>
      </c>
      <c r="C121" s="1217"/>
      <c r="D121" s="1217"/>
      <c r="E121" s="542">
        <v>56.25</v>
      </c>
      <c r="F121" s="3" t="str" cm="1">
        <f t="array" aca="1" ref="F121" ca="1">OFFSET(E121,-1,1)</f>
        <v>1</v>
      </c>
      <c r="G121" s="930"/>
      <c r="H121" s="2"/>
      <c r="I121" s="41" t="s">
        <v>544</v>
      </c>
      <c r="J121" s="1217"/>
      <c r="K121" s="43" t="str">
        <f ca="1">F121&amp;"4komm"</f>
        <v>14komm</v>
      </c>
      <c r="L121" s="832" cm="1">
        <f t="array" ref="L121">AH121</f>
        <v>0</v>
      </c>
      <c r="M121" s="43"/>
      <c r="N121" s="1217"/>
      <c r="O121" s="1217"/>
      <c r="P121" s="1217"/>
      <c r="Q121" s="1217"/>
      <c r="R121" s="1217"/>
      <c r="S121" s="1321"/>
      <c r="T121" s="388" t="b" cm="1">
        <f t="array" ref="T121">T120</f>
        <v>1</v>
      </c>
      <c r="U121" s="1217"/>
      <c r="V121" s="1217"/>
      <c r="W121" s="1217"/>
      <c r="X121" s="2032"/>
      <c r="Y121" s="1217"/>
      <c r="Z121" s="2012"/>
      <c r="AA121" s="1217"/>
      <c r="AB121" s="153" t="s">
        <v>1547</v>
      </c>
      <c r="AC121" s="131" t="s">
        <v>1548</v>
      </c>
      <c r="AD121" s="130"/>
      <c r="AE121" s="153" t="s">
        <v>831</v>
      </c>
      <c r="AF121" s="1428"/>
      <c r="AG121" s="1406">
        <f ca="1">IFERROR(SUMIFS('Плата за негативное возд'!$AL$24:$AL$35,'Плата за негативное возд'!$F$24:$F$35,F121,'Плата за негативное возд'!$AB$24:$AB$35,"2"),0)</f>
        <v>0</v>
      </c>
      <c r="AH121" s="1362"/>
      <c r="AI121" s="1217"/>
      <c r="AJ121" s="1217"/>
      <c r="AK121" s="1217"/>
      <c r="AL121" s="906" t="s">
        <v>1549</v>
      </c>
      <c r="AM121" s="1217"/>
      <c r="AN121" s="1217"/>
      <c r="AO121" s="1217"/>
      <c r="AP121" s="1217"/>
      <c r="AQ121" s="1217"/>
    </row>
    <row r="122" spans="1:43" s="1334" customFormat="1" ht="14.25" customHeight="1" x14ac:dyDescent="0.15">
      <c r="A122" s="1217"/>
      <c r="B122" s="1111"/>
      <c r="C122" s="1217"/>
      <c r="D122" s="1217"/>
      <c r="E122" s="542">
        <v>15</v>
      </c>
      <c r="F122" s="3" t="str" cm="1">
        <f t="array" aca="1" ref="F122" ca="1">OFFSET(E122,-1,1)</f>
        <v>1</v>
      </c>
      <c r="G122" s="930"/>
      <c r="H122" s="4"/>
      <c r="I122" s="41" t="s">
        <v>547</v>
      </c>
      <c r="J122" s="1217"/>
      <c r="K122" s="43" t="str">
        <f ca="1">F122&amp;"5komm"</f>
        <v>15komm</v>
      </c>
      <c r="L122" s="832" cm="1">
        <f t="array" ref="L122">AH122</f>
        <v>0</v>
      </c>
      <c r="M122" s="43"/>
      <c r="N122" s="1217"/>
      <c r="O122" s="1217"/>
      <c r="P122" s="1217"/>
      <c r="Q122" s="1217"/>
      <c r="R122" s="1217"/>
      <c r="S122" s="1321"/>
      <c r="T122" s="388" t="b" cm="1">
        <f t="array" ref="T122">T121</f>
        <v>1</v>
      </c>
      <c r="U122" s="1217"/>
      <c r="V122" s="1217"/>
      <c r="W122" s="1217"/>
      <c r="X122" s="2032"/>
      <c r="Y122" s="1217"/>
      <c r="Z122" s="2012"/>
      <c r="AA122" s="1217"/>
      <c r="AB122" s="153" t="str">
        <f>IF(B121,"VII","V")</f>
        <v>V</v>
      </c>
      <c r="AC122" s="131" t="s">
        <v>1550</v>
      </c>
      <c r="AD122" s="130"/>
      <c r="AE122" s="153" t="s">
        <v>831</v>
      </c>
      <c r="AF122" s="298"/>
      <c r="AG122" s="298"/>
      <c r="AH122" s="765"/>
      <c r="AI122" s="1217"/>
      <c r="AJ122" s="1217"/>
      <c r="AK122" s="1217"/>
      <c r="AL122" s="906" t="s">
        <v>1551</v>
      </c>
      <c r="AM122" s="1217"/>
      <c r="AN122" s="1217"/>
      <c r="AO122" s="1217"/>
      <c r="AP122" s="1217"/>
      <c r="AQ122" s="1217"/>
    </row>
    <row r="123" spans="1:43" s="1433" customFormat="1" ht="14.25" customHeight="1" x14ac:dyDescent="0.15">
      <c r="A123" s="621"/>
      <c r="B123" s="353"/>
      <c r="C123" s="621"/>
      <c r="D123" s="621"/>
      <c r="E123" s="614">
        <v>15</v>
      </c>
      <c r="F123" s="3" t="str" cm="1">
        <f t="array" aca="1" ref="F123" ca="1">OFFSET(E123,-1,1)</f>
        <v>1</v>
      </c>
      <c r="G123" s="420"/>
      <c r="H123" s="621"/>
      <c r="I123" s="160" t="s">
        <v>591</v>
      </c>
      <c r="J123" s="621"/>
      <c r="K123" s="43" t="str">
        <f ca="1">F123&amp;"6komm"</f>
        <v>16komm</v>
      </c>
      <c r="L123" s="832" cm="1">
        <f t="array" ref="L123">AH123</f>
        <v>0</v>
      </c>
      <c r="M123" s="420"/>
      <c r="N123" s="621"/>
      <c r="O123" s="621"/>
      <c r="P123" s="621"/>
      <c r="Q123" s="621"/>
      <c r="R123" s="621"/>
      <c r="S123" s="621"/>
      <c r="T123" s="388" t="b" cm="1">
        <f t="array" ref="T123">T122</f>
        <v>1</v>
      </c>
      <c r="U123" s="621"/>
      <c r="V123" s="621"/>
      <c r="W123" s="621"/>
      <c r="X123" s="2032"/>
      <c r="Y123" s="621"/>
      <c r="Z123" s="2012"/>
      <c r="AA123" s="621"/>
      <c r="AB123" s="153" t="str">
        <f>IF(B121,"VIII","VI")</f>
        <v>VI</v>
      </c>
      <c r="AC123" s="131" t="s">
        <v>1512</v>
      </c>
      <c r="AD123" s="130"/>
      <c r="AE123" s="153" t="s">
        <v>831</v>
      </c>
      <c r="AF123" s="298">
        <f>AF124+AF125</f>
        <v>0</v>
      </c>
      <c r="AG123" s="298">
        <f>AG124+AG125</f>
        <v>0</v>
      </c>
      <c r="AH123" s="765"/>
      <c r="AI123" s="621"/>
      <c r="AJ123" s="621"/>
      <c r="AK123" s="621"/>
      <c r="AL123" s="960" t="s">
        <v>1552</v>
      </c>
      <c r="AM123" s="621"/>
      <c r="AN123" s="621"/>
      <c r="AO123" s="621"/>
      <c r="AP123" s="621"/>
      <c r="AQ123" s="621"/>
    </row>
    <row r="124" spans="1:43" s="1334" customFormat="1" ht="21.75" customHeight="1" x14ac:dyDescent="0.15">
      <c r="A124" s="1217"/>
      <c r="B124" s="1111"/>
      <c r="C124" s="1217"/>
      <c r="D124" s="1217"/>
      <c r="E124" s="542">
        <v>22.5</v>
      </c>
      <c r="F124" s="3" t="str" cm="1">
        <f t="array" aca="1" ref="F124" ca="1">OFFSET(E124,-1,1)</f>
        <v>1</v>
      </c>
      <c r="G124" s="930"/>
      <c r="H124" s="4"/>
      <c r="I124" s="41" t="s">
        <v>594</v>
      </c>
      <c r="J124" s="1217"/>
      <c r="K124" s="43" t="str">
        <f ca="1">F124&amp;"7komm"</f>
        <v>17komm</v>
      </c>
      <c r="L124" s="832" cm="1">
        <f t="array" ref="L124">AH124</f>
        <v>0</v>
      </c>
      <c r="M124" s="43"/>
      <c r="N124" s="1217"/>
      <c r="O124" s="1217"/>
      <c r="P124" s="1217"/>
      <c r="Q124" s="1217"/>
      <c r="R124" s="1217"/>
      <c r="S124" s="1321"/>
      <c r="T124" s="388" t="b" cm="1">
        <f t="array" ref="T124">T123</f>
        <v>1</v>
      </c>
      <c r="U124" s="1217"/>
      <c r="V124" s="1217"/>
      <c r="W124" s="1217"/>
      <c r="X124" s="2032"/>
      <c r="Y124" s="1217"/>
      <c r="Z124" s="2012"/>
      <c r="AA124" s="1217"/>
      <c r="AB124" s="686">
        <v>1</v>
      </c>
      <c r="AC124" s="682" t="s">
        <v>1515</v>
      </c>
      <c r="AD124" s="218"/>
      <c r="AE124" s="686" t="s">
        <v>831</v>
      </c>
      <c r="AF124" s="216"/>
      <c r="AG124" s="216"/>
      <c r="AH124" s="765"/>
      <c r="AI124" s="1217"/>
      <c r="AJ124" s="1217"/>
      <c r="AK124" s="1217"/>
      <c r="AL124" s="906" t="s">
        <v>1553</v>
      </c>
      <c r="AM124" s="1217"/>
      <c r="AN124" s="1217"/>
      <c r="AO124" s="1217"/>
      <c r="AP124" s="1217"/>
      <c r="AQ124" s="1217"/>
    </row>
    <row r="125" spans="1:43" s="1334" customFormat="1" ht="21.75" customHeight="1" x14ac:dyDescent="0.15">
      <c r="A125" s="1217"/>
      <c r="B125" s="1111"/>
      <c r="C125" s="1217"/>
      <c r="D125" s="1217"/>
      <c r="E125" s="542">
        <v>22.5</v>
      </c>
      <c r="F125" s="3" t="str" cm="1">
        <f t="array" aca="1" ref="F125" ca="1">OFFSET(E125,-1,1)</f>
        <v>1</v>
      </c>
      <c r="G125" s="930"/>
      <c r="H125" s="4"/>
      <c r="I125" s="41" t="s">
        <v>598</v>
      </c>
      <c r="J125" s="1217"/>
      <c r="K125" s="43" t="str">
        <f ca="1">F125&amp;"8komm"</f>
        <v>18komm</v>
      </c>
      <c r="L125" s="832" cm="1">
        <f t="array" ref="L125">AH125</f>
        <v>0</v>
      </c>
      <c r="M125" s="43"/>
      <c r="N125" s="1217"/>
      <c r="O125" s="1217"/>
      <c r="P125" s="1217"/>
      <c r="Q125" s="1217"/>
      <c r="R125" s="1217"/>
      <c r="S125" s="1321"/>
      <c r="T125" s="388" t="b" cm="1">
        <f t="array" ref="T125">T124</f>
        <v>1</v>
      </c>
      <c r="U125" s="1217"/>
      <c r="V125" s="1217"/>
      <c r="W125" s="1217"/>
      <c r="X125" s="2032"/>
      <c r="Y125" s="1217"/>
      <c r="Z125" s="2012"/>
      <c r="AA125" s="1217"/>
      <c r="AB125" s="686">
        <v>2</v>
      </c>
      <c r="AC125" s="682" t="s">
        <v>1517</v>
      </c>
      <c r="AD125" s="218"/>
      <c r="AE125" s="686" t="s">
        <v>831</v>
      </c>
      <c r="AF125" s="216"/>
      <c r="AG125" s="216"/>
      <c r="AH125" s="765"/>
      <c r="AI125" s="1217"/>
      <c r="AJ125" s="1217"/>
      <c r="AK125" s="1217"/>
      <c r="AL125" s="906" t="s">
        <v>1554</v>
      </c>
      <c r="AM125" s="1217"/>
      <c r="AN125" s="1217"/>
      <c r="AO125" s="1217"/>
      <c r="AP125" s="1217"/>
      <c r="AQ125" s="1217"/>
    </row>
    <row r="126" spans="1:43" s="1334" customFormat="1" ht="14.25" customHeight="1" x14ac:dyDescent="0.15">
      <c r="A126" s="1217"/>
      <c r="B126" s="1111"/>
      <c r="C126" s="1217"/>
      <c r="D126" s="1217"/>
      <c r="E126" s="542">
        <v>15</v>
      </c>
      <c r="F126" s="3" t="str" cm="1">
        <f t="array" aca="1" ref="F126" ca="1">OFFSET(E126,-1,1)</f>
        <v>1</v>
      </c>
      <c r="G126" s="930"/>
      <c r="H126" s="4"/>
      <c r="I126" s="41" t="s">
        <v>606</v>
      </c>
      <c r="J126" s="1217"/>
      <c r="K126" s="43" t="str">
        <f ca="1">F126&amp;"9komm"</f>
        <v>19komm</v>
      </c>
      <c r="L126" s="832" cm="1">
        <f t="array" ref="L126">AH126</f>
        <v>0</v>
      </c>
      <c r="M126" s="43"/>
      <c r="N126" s="1217"/>
      <c r="O126" s="1217"/>
      <c r="P126" s="1217"/>
      <c r="Q126" s="1217"/>
      <c r="R126" s="1217"/>
      <c r="S126" s="1321"/>
      <c r="T126" s="388" t="b" cm="1">
        <f t="array" ref="T126">T125</f>
        <v>1</v>
      </c>
      <c r="U126" s="1217"/>
      <c r="V126" s="1217"/>
      <c r="W126" s="1217"/>
      <c r="X126" s="2032"/>
      <c r="Y126" s="1217"/>
      <c r="Z126" s="2012"/>
      <c r="AA126" s="1217"/>
      <c r="AB126" s="153" t="str">
        <f>IF(B121,"IX","VIII")</f>
        <v>VIII</v>
      </c>
      <c r="AC126" s="131" t="s">
        <v>1519</v>
      </c>
      <c r="AD126" s="130"/>
      <c r="AE126" s="153" t="s">
        <v>831</v>
      </c>
      <c r="AF126" s="298"/>
      <c r="AG126" s="298"/>
      <c r="AH126" s="765"/>
      <c r="AI126" s="1217"/>
      <c r="AJ126" s="1217"/>
      <c r="AK126" s="1217"/>
      <c r="AL126" s="906" t="s">
        <v>1555</v>
      </c>
      <c r="AM126" s="1217"/>
      <c r="AN126" s="1217"/>
      <c r="AO126" s="1217"/>
      <c r="AP126" s="1217"/>
      <c r="AQ126" s="1217"/>
    </row>
    <row r="127" spans="1:43" s="1334" customFormat="1" ht="14.25" customHeight="1" x14ac:dyDescent="0.15">
      <c r="A127" s="1217"/>
      <c r="B127" s="1111"/>
      <c r="C127" s="1217"/>
      <c r="D127" s="1217"/>
      <c r="E127" s="542">
        <v>15</v>
      </c>
      <c r="F127" s="3" t="str" cm="1">
        <f t="array" aca="1" ref="F127" ca="1">OFFSET(E127,-1,1)</f>
        <v>1</v>
      </c>
      <c r="G127" s="930"/>
      <c r="H127" s="4"/>
      <c r="I127" s="41" t="s">
        <v>613</v>
      </c>
      <c r="J127" s="1217"/>
      <c r="K127" s="43" t="str">
        <f ca="1">F127&amp;"10komm"</f>
        <v>110komm</v>
      </c>
      <c r="L127" s="832" cm="1">
        <f t="array" ref="L127">AH127</f>
        <v>0</v>
      </c>
      <c r="M127" s="43"/>
      <c r="N127" s="1217"/>
      <c r="O127" s="1217"/>
      <c r="P127" s="1217"/>
      <c r="Q127" s="1217"/>
      <c r="R127" s="1217"/>
      <c r="S127" s="1321"/>
      <c r="T127" s="388" t="b" cm="1">
        <f t="array" ref="T127">T126</f>
        <v>1</v>
      </c>
      <c r="U127" s="1217"/>
      <c r="V127" s="1217"/>
      <c r="W127" s="1217"/>
      <c r="X127" s="2032"/>
      <c r="Y127" s="1217"/>
      <c r="Z127" s="2012"/>
      <c r="AA127" s="1217"/>
      <c r="AB127" s="153" t="str">
        <f>IF(B121,"X","IX")</f>
        <v>IX</v>
      </c>
      <c r="AC127" s="131" t="s">
        <v>1521</v>
      </c>
      <c r="AD127" s="130"/>
      <c r="AE127" s="153" t="s">
        <v>831</v>
      </c>
      <c r="AF127" s="298"/>
      <c r="AG127" s="298"/>
      <c r="AH127" s="765"/>
      <c r="AI127" s="1217"/>
      <c r="AJ127" s="1217"/>
      <c r="AK127" s="1217"/>
      <c r="AL127" s="906" t="s">
        <v>1556</v>
      </c>
      <c r="AM127" s="1217"/>
      <c r="AN127" s="1217"/>
      <c r="AO127" s="1217"/>
      <c r="AP127" s="1217"/>
      <c r="AQ127" s="1217"/>
    </row>
    <row r="128" spans="1:43" s="1434" customFormat="1" ht="14.25" customHeight="1" x14ac:dyDescent="0.15">
      <c r="A128" s="621"/>
      <c r="B128" s="353"/>
      <c r="C128" s="621"/>
      <c r="D128" s="621"/>
      <c r="E128" s="614">
        <v>15</v>
      </c>
      <c r="F128" s="3" t="str" cm="1">
        <f t="array" aca="1" ref="F128" ca="1">OFFSET(E128,-1,1)</f>
        <v>1</v>
      </c>
      <c r="G128" s="420"/>
      <c r="H128" s="621"/>
      <c r="I128" s="160" t="s">
        <v>770</v>
      </c>
      <c r="J128" s="621"/>
      <c r="K128" s="43" t="str">
        <f ca="1">F128&amp;"11komm"</f>
        <v>111komm</v>
      </c>
      <c r="L128" s="832" cm="1">
        <f t="array" ref="L128">AH128</f>
        <v>0</v>
      </c>
      <c r="M128" s="420"/>
      <c r="N128" s="621"/>
      <c r="O128" s="621"/>
      <c r="P128" s="621"/>
      <c r="Q128" s="621"/>
      <c r="R128" s="621"/>
      <c r="S128" s="621"/>
      <c r="T128" s="388" t="b" cm="1">
        <f t="array" ref="T128">T127</f>
        <v>1</v>
      </c>
      <c r="U128" s="621"/>
      <c r="V128" s="621"/>
      <c r="W128" s="621"/>
      <c r="X128" s="2032"/>
      <c r="Y128" s="621"/>
      <c r="Z128" s="2012"/>
      <c r="AA128" s="621"/>
      <c r="AB128" s="153" t="str">
        <f>IF(B121,"XI","X")</f>
        <v>X</v>
      </c>
      <c r="AC128" s="138" t="s">
        <v>1557</v>
      </c>
      <c r="AD128" s="130"/>
      <c r="AE128" s="153" t="s">
        <v>831</v>
      </c>
      <c r="AF128" s="849">
        <f ca="1">AF79+AF114+AF118+AF119+AF120+AF121+AF122+AF123+AF126+AF127</f>
        <v>39751.880000000005</v>
      </c>
      <c r="AG128" s="849">
        <f ca="1">AG79+AG114+AG118+AG119+AG120+AG121+AG122+AG123+AG126+AG127</f>
        <v>9589.0499999999884</v>
      </c>
      <c r="AH128" s="765"/>
      <c r="AI128" s="621"/>
      <c r="AJ128" s="621"/>
      <c r="AK128" s="621"/>
      <c r="AL128" s="960" t="s">
        <v>1558</v>
      </c>
      <c r="AM128" s="621"/>
      <c r="AN128" s="621"/>
      <c r="AO128" s="621"/>
      <c r="AP128" s="621"/>
      <c r="AQ128" s="621"/>
    </row>
    <row r="129" spans="1:43" s="1334" customFormat="1" ht="14.25" customHeight="1" x14ac:dyDescent="0.15">
      <c r="A129" s="1217"/>
      <c r="B129" s="1111"/>
      <c r="C129" s="1217"/>
      <c r="D129" s="1217"/>
      <c r="E129" s="542">
        <v>15</v>
      </c>
      <c r="F129" s="17" t="str" cm="1">
        <f t="array" ref="F129">X129</f>
        <v>2</v>
      </c>
      <c r="G129" s="416"/>
      <c r="H129" s="4"/>
      <c r="I129" s="1217"/>
      <c r="J129" s="1217"/>
      <c r="K129" s="1217"/>
      <c r="L129" s="1217"/>
      <c r="M129" s="1217"/>
      <c r="N129" s="1217"/>
      <c r="O129" s="1217"/>
      <c r="P129" s="1217"/>
      <c r="Q129" s="1217"/>
      <c r="R129" s="1217"/>
      <c r="S129" s="1085" t="str" cm="1">
        <f t="array" ref="S129">INDEX('Общие сведения'!$AE$185:$AE$228,MATCH($X129,'Общие сведения'!$Z$185:$Z$228,0))</f>
        <v>Водоотведение</v>
      </c>
      <c r="T129" s="388" t="b">
        <f>X129&gt;0</f>
        <v>1</v>
      </c>
      <c r="U129" s="1217"/>
      <c r="V129" s="41" t="str" cm="1">
        <f t="array" ref="V129">'Плата за негативное возд'!$AB$32</f>
        <v>Тариф 2 (Водоотведение) - тариф на водоотведение</v>
      </c>
      <c r="W129" s="1217"/>
      <c r="X129" s="2032" t="s">
        <v>289</v>
      </c>
      <c r="Y129" s="1217"/>
      <c r="Z129" s="2012"/>
      <c r="AA129" s="1217"/>
      <c r="AB129" s="297" t="str" cm="1">
        <f t="array" ref="AB129">'Плата за негативное возд'!$AB$32</f>
        <v>Тариф 2 (Водоотведение) - тариф на водоотведение</v>
      </c>
      <c r="AC129" s="297"/>
      <c r="AD129" s="297"/>
      <c r="AE129" s="297"/>
      <c r="AF129" s="297"/>
      <c r="AG129" s="297"/>
      <c r="AH129" s="297"/>
      <c r="AI129" s="1217"/>
      <c r="AJ129" s="1217"/>
      <c r="AK129" s="1217"/>
      <c r="AL129" s="1133"/>
      <c r="AM129" s="1217"/>
      <c r="AN129" s="1217"/>
      <c r="AO129" s="1217"/>
      <c r="AP129" s="1217"/>
      <c r="AQ129" s="1217"/>
    </row>
    <row r="130" spans="1:43" s="1435" customFormat="1" ht="43.5" customHeight="1" x14ac:dyDescent="0.15">
      <c r="A130" s="621"/>
      <c r="B130" s="353"/>
      <c r="C130" s="621"/>
      <c r="D130" s="621"/>
      <c r="E130" s="614">
        <v>45</v>
      </c>
      <c r="F130" s="3" t="str" cm="1">
        <f t="array" aca="1" ref="F130" ca="1">OFFSET(E130,-1,1)</f>
        <v>2</v>
      </c>
      <c r="G130" s="420"/>
      <c r="H130" s="621"/>
      <c r="I130" s="41" t="s">
        <v>331</v>
      </c>
      <c r="J130" s="621"/>
      <c r="K130" s="43"/>
      <c r="L130" s="836"/>
      <c r="M130" s="420"/>
      <c r="N130" s="621"/>
      <c r="O130" s="621"/>
      <c r="P130" s="621"/>
      <c r="Q130" s="621"/>
      <c r="R130" s="621"/>
      <c r="S130" s="621"/>
      <c r="T130" s="388" t="b" cm="1">
        <f t="array" ref="T130">T129</f>
        <v>1</v>
      </c>
      <c r="U130" s="621"/>
      <c r="V130" s="621"/>
      <c r="W130" s="621"/>
      <c r="X130" s="2032"/>
      <c r="Y130" s="621"/>
      <c r="Z130" s="2012"/>
      <c r="AA130" s="621"/>
      <c r="AB130" s="760" t="s">
        <v>1384</v>
      </c>
      <c r="AC130" s="761" t="s">
        <v>1385</v>
      </c>
      <c r="AD130" s="760" t="s">
        <v>1386</v>
      </c>
      <c r="AE130" s="762" t="s">
        <v>831</v>
      </c>
      <c r="AF130" s="763">
        <f>AF132-AF131</f>
        <v>3885.6199999999953</v>
      </c>
      <c r="AG130" s="763">
        <f ca="1">AG132-AG131</f>
        <v>-1272.0620000000054</v>
      </c>
      <c r="AH130" s="764"/>
      <c r="AI130" s="621"/>
      <c r="AJ130" s="621"/>
      <c r="AK130" s="621"/>
      <c r="AL130" s="960" t="s">
        <v>1387</v>
      </c>
      <c r="AM130" s="621"/>
      <c r="AN130" s="621"/>
      <c r="AO130" s="621"/>
      <c r="AP130" s="621"/>
      <c r="AQ130" s="621"/>
    </row>
    <row r="131" spans="1:43" s="1436" customFormat="1" ht="14.25" customHeight="1" x14ac:dyDescent="0.15">
      <c r="A131" s="621"/>
      <c r="B131" s="353"/>
      <c r="C131" s="621"/>
      <c r="D131" s="621"/>
      <c r="E131" s="614">
        <v>15</v>
      </c>
      <c r="F131" s="3" t="str" cm="1">
        <f t="array" aca="1" ref="F131" ca="1">OFFSET(E131,-1,1)</f>
        <v>2</v>
      </c>
      <c r="G131" s="420"/>
      <c r="H131" s="621"/>
      <c r="I131" s="41" t="s">
        <v>494</v>
      </c>
      <c r="J131" s="621"/>
      <c r="K131" s="420"/>
      <c r="L131" s="420"/>
      <c r="M131" s="420"/>
      <c r="N131" s="621"/>
      <c r="O131" s="621"/>
      <c r="P131" s="621"/>
      <c r="Q131" s="621"/>
      <c r="R131" s="621"/>
      <c r="S131" s="621"/>
      <c r="T131" s="388" t="b" cm="1">
        <f t="array" ref="T131">T130</f>
        <v>1</v>
      </c>
      <c r="U131" s="621"/>
      <c r="V131" s="621"/>
      <c r="W131" s="621"/>
      <c r="X131" s="2032"/>
      <c r="Y131" s="621"/>
      <c r="Z131" s="2012"/>
      <c r="AA131" s="621"/>
      <c r="AB131" s="137" t="s">
        <v>282</v>
      </c>
      <c r="AC131" s="138" t="s">
        <v>1388</v>
      </c>
      <c r="AD131" s="130" t="s">
        <v>1389</v>
      </c>
      <c r="AE131" s="153" t="s">
        <v>831</v>
      </c>
      <c r="AF131" s="298">
        <v>101801.9</v>
      </c>
      <c r="AG131" s="298">
        <v>101801.9</v>
      </c>
      <c r="AH131" s="764" t="s">
        <v>1568</v>
      </c>
      <c r="AI131" s="621"/>
      <c r="AJ131" s="621"/>
      <c r="AK131" s="621"/>
      <c r="AL131" s="960" t="s">
        <v>1390</v>
      </c>
      <c r="AM131" s="621"/>
      <c r="AN131" s="621"/>
      <c r="AO131" s="621"/>
      <c r="AP131" s="621"/>
      <c r="AQ131" s="621"/>
    </row>
    <row r="132" spans="1:43" s="1437" customFormat="1" ht="14.25" customHeight="1" x14ac:dyDescent="0.15">
      <c r="A132" s="621"/>
      <c r="B132" s="353"/>
      <c r="C132" s="621"/>
      <c r="D132" s="621"/>
      <c r="E132" s="614">
        <v>15</v>
      </c>
      <c r="F132" s="3" t="str" cm="1">
        <f t="array" aca="1" ref="F132" ca="1">OFFSET(E132,-1,1)</f>
        <v>2</v>
      </c>
      <c r="G132" s="66"/>
      <c r="H132" s="66"/>
      <c r="I132" s="348" t="s">
        <v>498</v>
      </c>
      <c r="J132" s="621"/>
      <c r="K132" s="420"/>
      <c r="L132" s="420"/>
      <c r="M132" s="420"/>
      <c r="N132" s="621"/>
      <c r="O132" s="621"/>
      <c r="P132" s="621"/>
      <c r="Q132" s="621"/>
      <c r="R132" s="621"/>
      <c r="S132" s="621"/>
      <c r="T132" s="388" t="b" cm="1">
        <f t="array" ref="T132">T131</f>
        <v>1</v>
      </c>
      <c r="U132" s="621"/>
      <c r="V132" s="621"/>
      <c r="W132" s="621"/>
      <c r="X132" s="2032"/>
      <c r="Y132" s="621"/>
      <c r="Z132" s="2012"/>
      <c r="AA132" s="621"/>
      <c r="AB132" s="137" t="s">
        <v>289</v>
      </c>
      <c r="AC132" s="131" t="s">
        <v>1391</v>
      </c>
      <c r="AD132" s="130" t="s">
        <v>1392</v>
      </c>
      <c r="AE132" s="153" t="s">
        <v>831</v>
      </c>
      <c r="AF132" s="763">
        <f>AF133+AF134+AF146+AF150+AF151+AF152+AF153+AF157+AF158+AF159+AF160+AF163+AF164</f>
        <v>105687.51999999999</v>
      </c>
      <c r="AG132" s="763">
        <f ca="1">AG133+AG134+AG146+AG150+AG151+AG152+AG153+AG157+AG158+AG159+AG160+AG163+AG164</f>
        <v>100529.83799999999</v>
      </c>
      <c r="AH132" s="764"/>
      <c r="AI132" s="621"/>
      <c r="AJ132" s="621"/>
      <c r="AK132" s="621"/>
      <c r="AL132" s="960" t="s">
        <v>1393</v>
      </c>
      <c r="AM132" s="621"/>
      <c r="AN132" s="621"/>
      <c r="AO132" s="621"/>
      <c r="AP132" s="621"/>
      <c r="AQ132" s="621"/>
    </row>
    <row r="133" spans="1:43" s="1334" customFormat="1" ht="21.75" customHeight="1" x14ac:dyDescent="0.15">
      <c r="A133" s="1217"/>
      <c r="B133" s="1111"/>
      <c r="C133" s="1217"/>
      <c r="D133" s="1217"/>
      <c r="E133" s="542">
        <v>22.5</v>
      </c>
      <c r="F133" s="3" t="str" cm="1">
        <f t="array" aca="1" ref="F133" ca="1">OFFSET(E133,-1,1)</f>
        <v>2</v>
      </c>
      <c r="G133" s="348" t="s">
        <v>1394</v>
      </c>
      <c r="H133" s="4"/>
      <c r="I133" s="348" t="s">
        <v>1301</v>
      </c>
      <c r="J133" s="1217"/>
      <c r="K133" s="43"/>
      <c r="L133" s="43"/>
      <c r="M133" s="43"/>
      <c r="N133" s="1217"/>
      <c r="O133" s="1217"/>
      <c r="P133" s="1217"/>
      <c r="Q133" s="1217"/>
      <c r="R133" s="1217"/>
      <c r="S133" s="1321"/>
      <c r="T133" s="388" t="b" cm="1">
        <f t="array" ref="T133">T132</f>
        <v>1</v>
      </c>
      <c r="U133" s="1217"/>
      <c r="V133" s="1217"/>
      <c r="W133" s="1217"/>
      <c r="X133" s="2032"/>
      <c r="Y133" s="1217"/>
      <c r="Z133" s="2012"/>
      <c r="AA133" s="1217"/>
      <c r="AB133" s="217" t="s">
        <v>566</v>
      </c>
      <c r="AC133" s="682" t="s">
        <v>1395</v>
      </c>
      <c r="AD133" s="218" t="s">
        <v>1396</v>
      </c>
      <c r="AE133" s="686" t="s">
        <v>831</v>
      </c>
      <c r="AF133" s="216">
        <v>77617.539999999994</v>
      </c>
      <c r="AG133" s="216">
        <v>82559.483999999997</v>
      </c>
      <c r="AH133" s="765" t="s">
        <v>1569</v>
      </c>
      <c r="AI133" s="1217"/>
      <c r="AJ133" s="1217"/>
      <c r="AK133" s="1217"/>
      <c r="AL133" s="906" t="s">
        <v>1397</v>
      </c>
      <c r="AM133" s="1217"/>
      <c r="AN133" s="1217"/>
      <c r="AO133" s="1217"/>
      <c r="AP133" s="1217"/>
      <c r="AQ133" s="1217"/>
    </row>
    <row r="134" spans="1:43" s="1334" customFormat="1" ht="21.75" customHeight="1" x14ac:dyDescent="0.15">
      <c r="A134" s="1217"/>
      <c r="B134" s="1111"/>
      <c r="C134" s="1217"/>
      <c r="D134" s="1217"/>
      <c r="E134" s="542">
        <v>22.5</v>
      </c>
      <c r="F134" s="3" t="str" cm="1">
        <f t="array" aca="1" ref="F134" ca="1">OFFSET(E134,-1,1)</f>
        <v>2</v>
      </c>
      <c r="G134" s="348"/>
      <c r="H134" s="4"/>
      <c r="I134" s="348" t="s">
        <v>1304</v>
      </c>
      <c r="J134" s="1217"/>
      <c r="K134" s="43"/>
      <c r="L134" s="43"/>
      <c r="M134" s="43"/>
      <c r="N134" s="1217"/>
      <c r="O134" s="1217"/>
      <c r="P134" s="1217"/>
      <c r="Q134" s="1217"/>
      <c r="R134" s="1217"/>
      <c r="S134" s="1321"/>
      <c r="T134" s="388" t="b" cm="1">
        <f t="array" ref="T134">T133</f>
        <v>1</v>
      </c>
      <c r="U134" s="1217"/>
      <c r="V134" s="1217"/>
      <c r="W134" s="1217"/>
      <c r="X134" s="2032"/>
      <c r="Y134" s="1217"/>
      <c r="Z134" s="2012"/>
      <c r="AA134" s="1217"/>
      <c r="AB134" s="217" t="s">
        <v>570</v>
      </c>
      <c r="AC134" s="682" t="s">
        <v>1398</v>
      </c>
      <c r="AD134" s="218" t="s">
        <v>1399</v>
      </c>
      <c r="AE134" s="686" t="s">
        <v>831</v>
      </c>
      <c r="AF134" s="846">
        <f>SUM(AF135:AF145)</f>
        <v>2310.8000000000002</v>
      </c>
      <c r="AG134" s="846">
        <f ca="1">SUM(AG135:AG145)</f>
        <v>2130.2539999999999</v>
      </c>
      <c r="AH134" s="765"/>
      <c r="AI134" s="1217"/>
      <c r="AJ134" s="1217"/>
      <c r="AK134" s="1217"/>
      <c r="AL134" s="906" t="s">
        <v>1400</v>
      </c>
      <c r="AM134" s="1217"/>
      <c r="AN134" s="1217"/>
      <c r="AO134" s="1217"/>
      <c r="AP134" s="1217"/>
      <c r="AQ134" s="1217"/>
    </row>
    <row r="135" spans="1:43" s="1334" customFormat="1" ht="21.75" customHeight="1" x14ac:dyDescent="0.15">
      <c r="A135" s="1217"/>
      <c r="B135" s="1111"/>
      <c r="C135" s="1217"/>
      <c r="D135" s="1217"/>
      <c r="E135" s="542">
        <v>22.5</v>
      </c>
      <c r="F135" s="3" t="str" cm="1">
        <f t="array" aca="1" ref="F135" ca="1">OFFSET(E135,-1,1)</f>
        <v>2</v>
      </c>
      <c r="G135" s="348"/>
      <c r="H135" s="4"/>
      <c r="I135" s="348" t="s">
        <v>1401</v>
      </c>
      <c r="J135" s="1217"/>
      <c r="K135" s="43"/>
      <c r="L135" s="43"/>
      <c r="M135" s="43"/>
      <c r="N135" s="1217"/>
      <c r="O135" s="1217"/>
      <c r="P135" s="1217"/>
      <c r="Q135" s="1217"/>
      <c r="R135" s="1217"/>
      <c r="S135" s="1321"/>
      <c r="T135" s="388" t="b" cm="1">
        <f t="array" ref="T135">T134</f>
        <v>1</v>
      </c>
      <c r="U135" s="1217"/>
      <c r="V135" s="1217"/>
      <c r="W135" s="1217"/>
      <c r="X135" s="2032"/>
      <c r="Y135" s="1217"/>
      <c r="Z135" s="2012"/>
      <c r="AA135" s="1217"/>
      <c r="AB135" s="704" t="s">
        <v>526</v>
      </c>
      <c r="AC135" s="701" t="s">
        <v>1402</v>
      </c>
      <c r="AD135" s="686"/>
      <c r="AE135" s="686" t="s">
        <v>831</v>
      </c>
      <c r="AF135" s="216">
        <v>629.13</v>
      </c>
      <c r="AG135" s="216">
        <v>538.28399999999999</v>
      </c>
      <c r="AH135" s="765" t="s">
        <v>1570</v>
      </c>
      <c r="AI135" s="1217"/>
      <c r="AJ135" s="1217"/>
      <c r="AK135" s="1217"/>
      <c r="AL135" s="906" t="s">
        <v>1403</v>
      </c>
      <c r="AM135" s="1217"/>
      <c r="AN135" s="1217"/>
      <c r="AO135" s="1217"/>
      <c r="AP135" s="1217"/>
      <c r="AQ135" s="1217"/>
    </row>
    <row r="136" spans="1:43" s="1334" customFormat="1" ht="14.25" customHeight="1" x14ac:dyDescent="0.15">
      <c r="A136" s="1217"/>
      <c r="B136" s="1111"/>
      <c r="C136" s="1217"/>
      <c r="D136" s="1217"/>
      <c r="E136" s="542">
        <v>15</v>
      </c>
      <c r="F136" s="3" t="str" cm="1">
        <f t="array" aca="1" ref="F136" ca="1">OFFSET(E136,-1,1)</f>
        <v>2</v>
      </c>
      <c r="G136" s="348"/>
      <c r="H136" s="4"/>
      <c r="I136" s="348" t="s">
        <v>1404</v>
      </c>
      <c r="J136" s="1217"/>
      <c r="K136" s="43"/>
      <c r="L136" s="43"/>
      <c r="M136" s="43"/>
      <c r="N136" s="1217"/>
      <c r="O136" s="1217"/>
      <c r="P136" s="1217"/>
      <c r="Q136" s="1217"/>
      <c r="R136" s="1217"/>
      <c r="S136" s="1321"/>
      <c r="T136" s="388" t="b" cm="1">
        <f t="array" ref="T136">T135</f>
        <v>1</v>
      </c>
      <c r="U136" s="1217"/>
      <c r="V136" s="1217"/>
      <c r="W136" s="1217"/>
      <c r="X136" s="2032"/>
      <c r="Y136" s="1217"/>
      <c r="Z136" s="2012"/>
      <c r="AA136" s="1217"/>
      <c r="AB136" s="704" t="s">
        <v>1405</v>
      </c>
      <c r="AC136" s="701" t="s">
        <v>1406</v>
      </c>
      <c r="AD136" s="686"/>
      <c r="AE136" s="686" t="s">
        <v>831</v>
      </c>
      <c r="AF136" s="216">
        <v>1124.97</v>
      </c>
      <c r="AG136" s="216">
        <v>1111.6199999999999</v>
      </c>
      <c r="AH136" s="765" t="s">
        <v>1571</v>
      </c>
      <c r="AI136" s="1217"/>
      <c r="AJ136" s="1217"/>
      <c r="AK136" s="1217"/>
      <c r="AL136" s="906" t="s">
        <v>1407</v>
      </c>
      <c r="AM136" s="1217"/>
      <c r="AN136" s="1217"/>
      <c r="AO136" s="1217"/>
      <c r="AP136" s="1217"/>
      <c r="AQ136" s="1217"/>
    </row>
    <row r="137" spans="1:43" s="1334" customFormat="1" ht="14.25" customHeight="1" x14ac:dyDescent="0.15">
      <c r="A137" s="1217"/>
      <c r="B137" s="1111"/>
      <c r="C137" s="1217"/>
      <c r="D137" s="1217"/>
      <c r="E137" s="542">
        <v>15</v>
      </c>
      <c r="F137" s="3" t="str" cm="1">
        <f t="array" aca="1" ref="F137" ca="1">OFFSET(E137,-1,1)</f>
        <v>2</v>
      </c>
      <c r="G137" s="348"/>
      <c r="H137" s="4"/>
      <c r="I137" s="348" t="s">
        <v>1408</v>
      </c>
      <c r="J137" s="1217"/>
      <c r="K137" s="43"/>
      <c r="L137" s="43"/>
      <c r="M137" s="43"/>
      <c r="N137" s="1217"/>
      <c r="O137" s="1217"/>
      <c r="P137" s="1217"/>
      <c r="Q137" s="1217"/>
      <c r="R137" s="1217"/>
      <c r="S137" s="1321"/>
      <c r="T137" s="388" t="b" cm="1">
        <f t="array" ref="T137">T136</f>
        <v>1</v>
      </c>
      <c r="U137" s="1217"/>
      <c r="V137" s="1217"/>
      <c r="W137" s="1217"/>
      <c r="X137" s="2032"/>
      <c r="Y137" s="1217"/>
      <c r="Z137" s="2012"/>
      <c r="AA137" s="1217"/>
      <c r="AB137" s="704" t="s">
        <v>1409</v>
      </c>
      <c r="AC137" s="701" t="s">
        <v>1410</v>
      </c>
      <c r="AD137" s="686"/>
      <c r="AE137" s="686" t="s">
        <v>831</v>
      </c>
      <c r="AF137" s="216">
        <v>370.28</v>
      </c>
      <c r="AG137" s="216">
        <v>370.28</v>
      </c>
      <c r="AH137" s="765" t="s">
        <v>1572</v>
      </c>
      <c r="AI137" s="1217"/>
      <c r="AJ137" s="1217"/>
      <c r="AK137" s="1217"/>
      <c r="AL137" s="906" t="s">
        <v>1411</v>
      </c>
      <c r="AM137" s="1217"/>
      <c r="AN137" s="1217"/>
      <c r="AO137" s="1217"/>
      <c r="AP137" s="1217"/>
      <c r="AQ137" s="1217"/>
    </row>
    <row r="138" spans="1:43" s="1334" customFormat="1" ht="65.25" customHeight="1" x14ac:dyDescent="0.15">
      <c r="A138" s="1217"/>
      <c r="B138" s="1111"/>
      <c r="C138" s="1217"/>
      <c r="D138" s="1217"/>
      <c r="E138" s="542">
        <v>67.5</v>
      </c>
      <c r="F138" s="3" t="str" cm="1">
        <f t="array" aca="1" ref="F138" ca="1">OFFSET(E138,-1,1)</f>
        <v>2</v>
      </c>
      <c r="G138" s="26" t="s">
        <v>1412</v>
      </c>
      <c r="H138" s="4"/>
      <c r="I138" s="416" t="s">
        <v>1413</v>
      </c>
      <c r="J138" s="1217"/>
      <c r="K138" s="43"/>
      <c r="L138" s="43"/>
      <c r="M138" s="43"/>
      <c r="N138" s="1217"/>
      <c r="O138" s="1217"/>
      <c r="P138" s="1217"/>
      <c r="Q138" s="1217"/>
      <c r="R138" s="1217"/>
      <c r="S138" s="1321"/>
      <c r="T138" s="388" t="b" cm="1">
        <f t="array" ref="T138">T137</f>
        <v>1</v>
      </c>
      <c r="U138" s="1217"/>
      <c r="V138" s="1217"/>
      <c r="W138" s="1217"/>
      <c r="X138" s="2032"/>
      <c r="Y138" s="1217"/>
      <c r="Z138" s="2012"/>
      <c r="AA138" s="1217"/>
      <c r="AB138" s="704" t="s">
        <v>1414</v>
      </c>
      <c r="AC138" s="701" t="s">
        <v>1415</v>
      </c>
      <c r="AD138" s="686"/>
      <c r="AE138" s="686" t="s">
        <v>831</v>
      </c>
      <c r="AF138" s="216"/>
      <c r="AG138" s="216">
        <f ca="1">IF(AND(method_reg="Метод индексации",first_year=god),SUMIFS('Калькуляция (МИ)'!$AG$25:$AG$459,'Калькуляция (МИ)'!$F$25:$F$459,$F138,'Калькуляция (МИ)'!$G$25:$G$459,$G138),SUMIFS('Калькуляция (МИ корр)'!$AG$25:$AG$459,'Калькуляция (МИ корр)'!$F$25:$F$459,$F138,'Калькуляция (МИ корр)'!$G$25:$G$459,$G138))</f>
        <v>0</v>
      </c>
      <c r="AH138" s="765"/>
      <c r="AI138" s="1217"/>
      <c r="AJ138" s="1217"/>
      <c r="AK138" s="1217"/>
      <c r="AL138" s="906" t="s">
        <v>1416</v>
      </c>
      <c r="AM138" s="1217"/>
      <c r="AN138" s="1217"/>
      <c r="AO138" s="1217"/>
      <c r="AP138" s="1217"/>
      <c r="AQ138" s="1217"/>
    </row>
    <row r="139" spans="1:43" s="1334" customFormat="1" ht="14.25" customHeight="1" x14ac:dyDescent="0.15">
      <c r="A139" s="1217"/>
      <c r="B139" s="1111"/>
      <c r="C139" s="1217"/>
      <c r="D139" s="1217"/>
      <c r="E139" s="542">
        <v>15</v>
      </c>
      <c r="F139" s="3" t="str" cm="1">
        <f t="array" aca="1" ref="F139" ca="1">OFFSET(E139,-1,1)</f>
        <v>2</v>
      </c>
      <c r="G139" s="26" t="s">
        <v>1011</v>
      </c>
      <c r="H139" s="4"/>
      <c r="I139" s="416" t="s">
        <v>1417</v>
      </c>
      <c r="J139" s="1217"/>
      <c r="K139" s="43"/>
      <c r="L139" s="43"/>
      <c r="M139" s="43"/>
      <c r="N139" s="1217"/>
      <c r="O139" s="1217"/>
      <c r="P139" s="1217"/>
      <c r="Q139" s="1217"/>
      <c r="R139" s="1217"/>
      <c r="S139" s="1321"/>
      <c r="T139" s="388" t="b" cm="1">
        <f t="array" ref="T139">T138</f>
        <v>1</v>
      </c>
      <c r="U139" s="1217"/>
      <c r="V139" s="1217"/>
      <c r="W139" s="1217"/>
      <c r="X139" s="2032"/>
      <c r="Y139" s="1217"/>
      <c r="Z139" s="2012"/>
      <c r="AA139" s="1217"/>
      <c r="AB139" s="704" t="s">
        <v>1418</v>
      </c>
      <c r="AC139" s="701" t="s">
        <v>1419</v>
      </c>
      <c r="AD139" s="686"/>
      <c r="AE139" s="686" t="s">
        <v>831</v>
      </c>
      <c r="AF139" s="216">
        <v>186.42</v>
      </c>
      <c r="AG139" s="216">
        <f ca="1">IF(AND(method_reg="Метод индексации",first_year=god),SUMIFS('Калькуляция (МИ)'!$AG$25:$AG$459,'Калькуляция (МИ)'!$F$25:$F$459,$F139,'Калькуляция (МИ)'!$G$25:$G$459,$G139),SUMIFS('Калькуляция (МИ корр)'!$AG$25:$AG$459,'Калькуляция (МИ корр)'!$F$25:$F$459,$F139,'Калькуляция (МИ корр)'!$G$25:$G$459,$G139))</f>
        <v>110.07</v>
      </c>
      <c r="AH139" s="765" t="s">
        <v>1573</v>
      </c>
      <c r="AI139" s="1217"/>
      <c r="AJ139" s="1217"/>
      <c r="AK139" s="1217"/>
      <c r="AL139" s="906" t="s">
        <v>1420</v>
      </c>
      <c r="AM139" s="1217"/>
      <c r="AN139" s="1217"/>
      <c r="AO139" s="1217"/>
      <c r="AP139" s="1217"/>
      <c r="AQ139" s="1217"/>
    </row>
    <row r="140" spans="1:43" s="1334" customFormat="1" ht="14.25" customHeight="1" x14ac:dyDescent="0.15">
      <c r="A140" s="1217"/>
      <c r="B140" s="1111"/>
      <c r="C140" s="1217"/>
      <c r="D140" s="1217"/>
      <c r="E140" s="542">
        <v>15</v>
      </c>
      <c r="F140" s="3" t="str" cm="1">
        <f t="array" aca="1" ref="F140" ca="1">OFFSET(E140,-1,1)</f>
        <v>2</v>
      </c>
      <c r="G140" s="26" t="s">
        <v>1421</v>
      </c>
      <c r="H140" s="4"/>
      <c r="I140" s="416" t="s">
        <v>1422</v>
      </c>
      <c r="J140" s="1217"/>
      <c r="K140" s="43"/>
      <c r="L140" s="43"/>
      <c r="M140" s="43"/>
      <c r="N140" s="1217"/>
      <c r="O140" s="1217"/>
      <c r="P140" s="1217"/>
      <c r="Q140" s="1217"/>
      <c r="R140" s="1217"/>
      <c r="S140" s="1321"/>
      <c r="T140" s="388" t="b" cm="1">
        <f t="array" ref="T140">T139</f>
        <v>1</v>
      </c>
      <c r="U140" s="1217"/>
      <c r="V140" s="1217"/>
      <c r="W140" s="1217"/>
      <c r="X140" s="2032"/>
      <c r="Y140" s="1217"/>
      <c r="Z140" s="2012"/>
      <c r="AA140" s="1217"/>
      <c r="AB140" s="704" t="s">
        <v>1423</v>
      </c>
      <c r="AC140" s="701" t="s">
        <v>1424</v>
      </c>
      <c r="AD140" s="686"/>
      <c r="AE140" s="686" t="s">
        <v>831</v>
      </c>
      <c r="AF140" s="216"/>
      <c r="AG140" s="216">
        <f ca="1">IF(AND(method_reg="Метод индексации",first_year=god),SUMIFS('Калькуляция (МИ)'!$AG$25:$AG$459,'Калькуляция (МИ)'!$F$25:$F$459,$F140,'Калькуляция (МИ)'!$G$25:$G$459,$G140),SUMIFS('Калькуляция (МИ корр)'!$AG$25:$AG$459,'Калькуляция (МИ корр)'!$F$25:$F$459,$F140,'Калькуляция (МИ корр)'!$G$25:$G$459,$G140))</f>
        <v>0</v>
      </c>
      <c r="AH140" s="765"/>
      <c r="AI140" s="1217"/>
      <c r="AJ140" s="1217"/>
      <c r="AK140" s="1217"/>
      <c r="AL140" s="906" t="s">
        <v>1425</v>
      </c>
      <c r="AM140" s="1217"/>
      <c r="AN140" s="1217"/>
      <c r="AO140" s="1217"/>
      <c r="AP140" s="1217"/>
      <c r="AQ140" s="1217"/>
    </row>
    <row r="141" spans="1:43" s="1334" customFormat="1" ht="21.75" customHeight="1" x14ac:dyDescent="0.15">
      <c r="A141" s="1217"/>
      <c r="B141" s="1111"/>
      <c r="C141" s="1217"/>
      <c r="D141" s="1217"/>
      <c r="E141" s="542">
        <v>22.5</v>
      </c>
      <c r="F141" s="3" t="str" cm="1">
        <f t="array" aca="1" ref="F141" ca="1">OFFSET(E141,-1,1)</f>
        <v>2</v>
      </c>
      <c r="G141" s="26" t="s">
        <v>1426</v>
      </c>
      <c r="H141" s="4"/>
      <c r="I141" s="416" t="s">
        <v>1427</v>
      </c>
      <c r="J141" s="1217"/>
      <c r="K141" s="43"/>
      <c r="L141" s="43"/>
      <c r="M141" s="43"/>
      <c r="N141" s="1217"/>
      <c r="O141" s="1217"/>
      <c r="P141" s="1217"/>
      <c r="Q141" s="1217"/>
      <c r="R141" s="1217"/>
      <c r="S141" s="1321"/>
      <c r="T141" s="388" t="b" cm="1">
        <f t="array" ref="T141">T140</f>
        <v>1</v>
      </c>
      <c r="U141" s="1217"/>
      <c r="V141" s="1217"/>
      <c r="W141" s="1217"/>
      <c r="X141" s="2032"/>
      <c r="Y141" s="1217"/>
      <c r="Z141" s="2012"/>
      <c r="AA141" s="1217"/>
      <c r="AB141" s="704" t="s">
        <v>1428</v>
      </c>
      <c r="AC141" s="701" t="s">
        <v>1429</v>
      </c>
      <c r="AD141" s="686"/>
      <c r="AE141" s="686" t="s">
        <v>831</v>
      </c>
      <c r="AF141" s="216"/>
      <c r="AG141" s="216">
        <f ca="1">IF(AND(method_reg="Метод индексации",first_year=god),SUMIFS('Калькуляция (МИ)'!$AG$25:$AG$459,'Калькуляция (МИ)'!$F$25:$F$459,$F141,'Калькуляция (МИ)'!$G$25:$G$459,$G141),SUMIFS('Калькуляция (МИ корр)'!$AG$25:$AG$459,'Калькуляция (МИ корр)'!$F$25:$F$459,$F141,'Калькуляция (МИ корр)'!$G$25:$G$459,$G141))</f>
        <v>0</v>
      </c>
      <c r="AH141" s="765"/>
      <c r="AI141" s="1217"/>
      <c r="AJ141" s="1217"/>
      <c r="AK141" s="1217"/>
      <c r="AL141" s="906" t="s">
        <v>1430</v>
      </c>
      <c r="AM141" s="1217"/>
      <c r="AN141" s="1217"/>
      <c r="AO141" s="1217"/>
      <c r="AP141" s="1217"/>
      <c r="AQ141" s="1217"/>
    </row>
    <row r="142" spans="1:43" s="1334" customFormat="1" ht="21.75" customHeight="1" x14ac:dyDescent="0.15">
      <c r="A142" s="1217"/>
      <c r="B142" s="1111"/>
      <c r="C142" s="1217"/>
      <c r="D142" s="1217"/>
      <c r="E142" s="542">
        <v>22.5</v>
      </c>
      <c r="F142" s="3" t="str" cm="1">
        <f t="array" aca="1" ref="F142" ca="1">OFFSET(E142,-1,1)</f>
        <v>2</v>
      </c>
      <c r="G142" s="26" t="s">
        <v>1431</v>
      </c>
      <c r="H142" s="4"/>
      <c r="I142" s="416" t="s">
        <v>1432</v>
      </c>
      <c r="J142" s="1217"/>
      <c r="K142" s="43"/>
      <c r="L142" s="43"/>
      <c r="M142" s="43"/>
      <c r="N142" s="1217"/>
      <c r="O142" s="1217"/>
      <c r="P142" s="1217"/>
      <c r="Q142" s="1217"/>
      <c r="R142" s="1217"/>
      <c r="S142" s="1321"/>
      <c r="T142" s="388" t="b" cm="1">
        <f t="array" ref="T142">T141</f>
        <v>1</v>
      </c>
      <c r="U142" s="1217"/>
      <c r="V142" s="1217"/>
      <c r="W142" s="1217"/>
      <c r="X142" s="2032"/>
      <c r="Y142" s="1217"/>
      <c r="Z142" s="2012"/>
      <c r="AA142" s="1217"/>
      <c r="AB142" s="704" t="s">
        <v>1433</v>
      </c>
      <c r="AC142" s="701" t="s">
        <v>1434</v>
      </c>
      <c r="AD142" s="847"/>
      <c r="AE142" s="686" t="s">
        <v>831</v>
      </c>
      <c r="AF142" s="216"/>
      <c r="AG142" s="216">
        <f ca="1">IF(AND(method_reg="Метод индексации",first_year=god),SUMIFS('Калькуляция (МИ)'!$AG$25:$AG$459,'Калькуляция (МИ)'!$F$25:$F$459,$F142,'Калькуляция (МИ)'!$G$25:$G$459,$G142),SUMIFS('Калькуляция (МИ корр)'!$AG$25:$AG$459,'Калькуляция (МИ корр)'!$F$25:$F$459,$F142,'Калькуляция (МИ корр)'!$G$25:$G$459,$G142))</f>
        <v>0</v>
      </c>
      <c r="AH142" s="765"/>
      <c r="AI142" s="1217"/>
      <c r="AJ142" s="1217"/>
      <c r="AK142" s="1217"/>
      <c r="AL142" s="906" t="s">
        <v>1435</v>
      </c>
      <c r="AM142" s="1217"/>
      <c r="AN142" s="1217"/>
      <c r="AO142" s="1217"/>
      <c r="AP142" s="1217"/>
      <c r="AQ142" s="1217"/>
    </row>
    <row r="143" spans="1:43" s="1334" customFormat="1" ht="21.75" customHeight="1" x14ac:dyDescent="0.15">
      <c r="A143" s="1217"/>
      <c r="B143" s="1111"/>
      <c r="C143" s="1217"/>
      <c r="D143" s="1217"/>
      <c r="E143" s="542">
        <v>22.5</v>
      </c>
      <c r="F143" s="3" t="str" cm="1">
        <f t="array" aca="1" ref="F143" ca="1">OFFSET(E143,-1,1)</f>
        <v>2</v>
      </c>
      <c r="G143" s="26" t="s">
        <v>1436</v>
      </c>
      <c r="H143" s="4"/>
      <c r="I143" s="416" t="s">
        <v>1437</v>
      </c>
      <c r="J143" s="1217"/>
      <c r="K143" s="43"/>
      <c r="L143" s="43"/>
      <c r="M143" s="43"/>
      <c r="N143" s="1217"/>
      <c r="O143" s="1217"/>
      <c r="P143" s="1217"/>
      <c r="Q143" s="1217"/>
      <c r="R143" s="1217"/>
      <c r="S143" s="1321"/>
      <c r="T143" s="388" t="b" cm="1">
        <f t="array" ref="T143">T142</f>
        <v>1</v>
      </c>
      <c r="U143" s="1217"/>
      <c r="V143" s="1217"/>
      <c r="W143" s="1217"/>
      <c r="X143" s="2032"/>
      <c r="Y143" s="1217"/>
      <c r="Z143" s="2012"/>
      <c r="AA143" s="1217"/>
      <c r="AB143" s="704" t="s">
        <v>1438</v>
      </c>
      <c r="AC143" s="701" t="s">
        <v>1439</v>
      </c>
      <c r="AD143" s="847"/>
      <c r="AE143" s="686" t="s">
        <v>831</v>
      </c>
      <c r="AF143" s="216"/>
      <c r="AG143" s="216">
        <f ca="1">IF(AND(method_reg="Метод индексации",first_year=god),SUMIFS('Калькуляция (МИ)'!$AG$25:$AG$459,'Калькуляция (МИ)'!$F$25:$F$459,$F143,'Калькуляция (МИ)'!$G$25:$G$459,$G143),SUMIFS('Калькуляция (МИ корр)'!$AG$25:$AG$459,'Калькуляция (МИ корр)'!$F$25:$F$459,$F143,'Калькуляция (МИ корр)'!$G$25:$G$459,$G143))</f>
        <v>0</v>
      </c>
      <c r="AH143" s="765"/>
      <c r="AI143" s="1217"/>
      <c r="AJ143" s="1217"/>
      <c r="AK143" s="1217"/>
      <c r="AL143" s="906" t="s">
        <v>1440</v>
      </c>
      <c r="AM143" s="1217"/>
      <c r="AN143" s="1217"/>
      <c r="AO143" s="1217"/>
      <c r="AP143" s="1217"/>
      <c r="AQ143" s="1217"/>
    </row>
    <row r="144" spans="1:43" s="1334" customFormat="1" ht="14.25" customHeight="1" x14ac:dyDescent="0.15">
      <c r="A144" s="1217"/>
      <c r="B144" s="1111"/>
      <c r="C144" s="1217"/>
      <c r="D144" s="1217"/>
      <c r="E144" s="542">
        <v>15</v>
      </c>
      <c r="F144" s="3" t="str" cm="1">
        <f t="array" aca="1" ref="F144" ca="1">OFFSET(E144,-1,1)</f>
        <v>2</v>
      </c>
      <c r="G144" s="26" t="s">
        <v>1441</v>
      </c>
      <c r="H144" s="4"/>
      <c r="I144" s="416" t="s">
        <v>1442</v>
      </c>
      <c r="J144" s="1217"/>
      <c r="K144" s="43"/>
      <c r="L144" s="43"/>
      <c r="M144" s="43"/>
      <c r="N144" s="1217"/>
      <c r="O144" s="1217"/>
      <c r="P144" s="1217"/>
      <c r="Q144" s="1217"/>
      <c r="R144" s="1217"/>
      <c r="S144" s="1321"/>
      <c r="T144" s="388" t="b" cm="1">
        <f t="array" ref="T144">T143</f>
        <v>1</v>
      </c>
      <c r="U144" s="1217"/>
      <c r="V144" s="1217"/>
      <c r="W144" s="1217"/>
      <c r="X144" s="2032"/>
      <c r="Y144" s="1217"/>
      <c r="Z144" s="2012"/>
      <c r="AA144" s="1217"/>
      <c r="AB144" s="704" t="s">
        <v>1443</v>
      </c>
      <c r="AC144" s="701" t="s">
        <v>1444</v>
      </c>
      <c r="AD144" s="847"/>
      <c r="AE144" s="686" t="s">
        <v>831</v>
      </c>
      <c r="AF144" s="216"/>
      <c r="AG144" s="216">
        <f ca="1">IF(AND(method_reg="Метод индексации",first_year=god),SUMIFS('Калькуляция (МИ)'!$AG$25:$AG$459,'Калькуляция (МИ)'!$F$25:$F$459,$F144,'Калькуляция (МИ)'!$G$25:$G$459,$G144),SUMIFS('Калькуляция (МИ корр)'!$AG$25:$AG$459,'Калькуляция (МИ корр)'!$F$25:$F$459,$F144,'Калькуляция (МИ корр)'!$G$25:$G$459,$G144))</f>
        <v>0</v>
      </c>
      <c r="AH144" s="765"/>
      <c r="AI144" s="1217"/>
      <c r="AJ144" s="1217"/>
      <c r="AK144" s="1217"/>
      <c r="AL144" s="906" t="s">
        <v>1445</v>
      </c>
      <c r="AM144" s="1217"/>
      <c r="AN144" s="1217"/>
      <c r="AO144" s="1217"/>
      <c r="AP144" s="1217"/>
      <c r="AQ144" s="1217"/>
    </row>
    <row r="145" spans="1:43" s="1334" customFormat="1" ht="21.75" customHeight="1" x14ac:dyDescent="0.15">
      <c r="A145" s="1217"/>
      <c r="B145" s="1111"/>
      <c r="C145" s="1217"/>
      <c r="D145" s="1217"/>
      <c r="E145" s="542">
        <v>22.5</v>
      </c>
      <c r="F145" s="3" t="str" cm="1">
        <f t="array" aca="1" ref="F145" ca="1">OFFSET(E145,-1,1)</f>
        <v>2</v>
      </c>
      <c r="G145" s="26" t="s">
        <v>1446</v>
      </c>
      <c r="H145" s="4"/>
      <c r="I145" s="416" t="s">
        <v>1447</v>
      </c>
      <c r="J145" s="1217"/>
      <c r="K145" s="43"/>
      <c r="L145" s="43"/>
      <c r="M145" s="43"/>
      <c r="N145" s="1217"/>
      <c r="O145" s="1217"/>
      <c r="P145" s="1217"/>
      <c r="Q145" s="1217"/>
      <c r="R145" s="1217"/>
      <c r="S145" s="1321"/>
      <c r="T145" s="388" t="b" cm="1">
        <f t="array" ref="T145">T144</f>
        <v>1</v>
      </c>
      <c r="U145" s="1217"/>
      <c r="V145" s="1217"/>
      <c r="W145" s="1217"/>
      <c r="X145" s="2032"/>
      <c r="Y145" s="1217"/>
      <c r="Z145" s="2012"/>
      <c r="AA145" s="1217"/>
      <c r="AB145" s="704" t="s">
        <v>1448</v>
      </c>
      <c r="AC145" s="701" t="s">
        <v>1449</v>
      </c>
      <c r="AD145" s="847"/>
      <c r="AE145" s="686" t="s">
        <v>831</v>
      </c>
      <c r="AF145" s="216"/>
      <c r="AG145" s="216">
        <f ca="1">IF(AND(method_reg="Метод индексации",first_year=god),SUMIFS('Калькуляция (МИ)'!$AG$25:$AG$459,'Калькуляция (МИ)'!$F$25:$F$459,$F145,'Калькуляция (МИ)'!$G$25:$G$459,$G145),SUMIFS('Калькуляция (МИ корр)'!$AG$25:$AG$459,'Калькуляция (МИ корр)'!$F$25:$F$459,$F145,'Калькуляция (МИ корр)'!$G$25:$G$459,$G145))</f>
        <v>0</v>
      </c>
      <c r="AH145" s="765"/>
      <c r="AI145" s="1217"/>
      <c r="AJ145" s="1217"/>
      <c r="AK145" s="1217"/>
      <c r="AL145" s="906" t="s">
        <v>1450</v>
      </c>
      <c r="AM145" s="1217"/>
      <c r="AN145" s="1217"/>
      <c r="AO145" s="1217"/>
      <c r="AP145" s="1217"/>
      <c r="AQ145" s="1217"/>
    </row>
    <row r="146" spans="1:43" s="1334" customFormat="1" ht="14.25" customHeight="1" x14ac:dyDescent="0.15">
      <c r="A146" s="1217"/>
      <c r="B146" s="1111"/>
      <c r="C146" s="1217"/>
      <c r="D146" s="1217"/>
      <c r="E146" s="542">
        <v>15</v>
      </c>
      <c r="F146" s="3" t="str" cm="1">
        <f t="array" aca="1" ref="F146" ca="1">OFFSET(E146,-1,1)</f>
        <v>2</v>
      </c>
      <c r="G146" s="348"/>
      <c r="H146" s="4"/>
      <c r="I146" s="348" t="s">
        <v>1308</v>
      </c>
      <c r="J146" s="1217"/>
      <c r="K146" s="43"/>
      <c r="L146" s="43"/>
      <c r="M146" s="43"/>
      <c r="N146" s="1217"/>
      <c r="O146" s="1217"/>
      <c r="P146" s="1217"/>
      <c r="Q146" s="1217"/>
      <c r="R146" s="1217"/>
      <c r="S146" s="1321"/>
      <c r="T146" s="388" t="b" cm="1">
        <f t="array" ref="T146">T145</f>
        <v>1</v>
      </c>
      <c r="U146" s="1217"/>
      <c r="V146" s="1217"/>
      <c r="W146" s="1217"/>
      <c r="X146" s="2032"/>
      <c r="Y146" s="1217"/>
      <c r="Z146" s="2012"/>
      <c r="AA146" s="1217"/>
      <c r="AB146" s="217" t="s">
        <v>574</v>
      </c>
      <c r="AC146" s="682" t="s">
        <v>1451</v>
      </c>
      <c r="AD146" s="218" t="s">
        <v>1452</v>
      </c>
      <c r="AE146" s="686" t="s">
        <v>831</v>
      </c>
      <c r="AF146" s="216">
        <v>25759.18</v>
      </c>
      <c r="AG146" s="216">
        <v>24260.99</v>
      </c>
      <c r="AH146" s="765" t="s">
        <v>1574</v>
      </c>
      <c r="AI146" s="1217"/>
      <c r="AJ146" s="1217"/>
      <c r="AK146" s="1217"/>
      <c r="AL146" s="906" t="s">
        <v>1453</v>
      </c>
      <c r="AM146" s="1217"/>
      <c r="AN146" s="1217"/>
      <c r="AO146" s="1217"/>
      <c r="AP146" s="1217"/>
      <c r="AQ146" s="1217"/>
    </row>
    <row r="147" spans="1:43" s="1334" customFormat="1" ht="21.75" customHeight="1" x14ac:dyDescent="0.15">
      <c r="A147" s="1217"/>
      <c r="B147" s="1111"/>
      <c r="C147" s="1217"/>
      <c r="D147" s="1217"/>
      <c r="E147" s="542">
        <v>22.5</v>
      </c>
      <c r="F147" s="3" t="str" cm="1">
        <f t="array" aca="1" ref="F147" ca="1">OFFSET(E147,-1,1)</f>
        <v>2</v>
      </c>
      <c r="G147" s="348"/>
      <c r="H147" s="4"/>
      <c r="I147" s="348" t="s">
        <v>1454</v>
      </c>
      <c r="J147" s="1217"/>
      <c r="K147" s="43"/>
      <c r="L147" s="43"/>
      <c r="M147" s="43"/>
      <c r="N147" s="1217"/>
      <c r="O147" s="1217"/>
      <c r="P147" s="1217"/>
      <c r="Q147" s="1217"/>
      <c r="R147" s="1217"/>
      <c r="S147" s="1321"/>
      <c r="T147" s="388" t="b" cm="1">
        <f t="array" ref="T147">T146</f>
        <v>1</v>
      </c>
      <c r="U147" s="1217"/>
      <c r="V147" s="1217"/>
      <c r="W147" s="1217"/>
      <c r="X147" s="2032"/>
      <c r="Y147" s="1217"/>
      <c r="Z147" s="2012"/>
      <c r="AA147" s="1217"/>
      <c r="AB147" s="217" t="s">
        <v>531</v>
      </c>
      <c r="AC147" s="685" t="s">
        <v>1455</v>
      </c>
      <c r="AD147" s="218" t="s">
        <v>1456</v>
      </c>
      <c r="AE147" s="686" t="s">
        <v>863</v>
      </c>
      <c r="AF147" s="216"/>
      <c r="AG147" s="216"/>
      <c r="AH147" s="765"/>
      <c r="AI147" s="1217"/>
      <c r="AJ147" s="1217"/>
      <c r="AK147" s="1217"/>
      <c r="AL147" s="906" t="s">
        <v>1457</v>
      </c>
      <c r="AM147" s="1217"/>
      <c r="AN147" s="1217"/>
      <c r="AO147" s="1217"/>
      <c r="AP147" s="1217"/>
      <c r="AQ147" s="1217"/>
    </row>
    <row r="148" spans="1:43" s="1334" customFormat="1" ht="14.25" customHeight="1" x14ac:dyDescent="0.15">
      <c r="A148" s="1217"/>
      <c r="B148" s="1111"/>
      <c r="C148" s="1217"/>
      <c r="D148" s="1217"/>
      <c r="E148" s="542">
        <v>15</v>
      </c>
      <c r="F148" s="3" t="str" cm="1">
        <f t="array" aca="1" ref="F148" ca="1">OFFSET(E148,-1,1)</f>
        <v>2</v>
      </c>
      <c r="G148" s="348"/>
      <c r="H148" s="4"/>
      <c r="I148" s="348" t="s">
        <v>1458</v>
      </c>
      <c r="J148" s="1217"/>
      <c r="K148" s="43"/>
      <c r="L148" s="43"/>
      <c r="M148" s="43"/>
      <c r="N148" s="1217"/>
      <c r="O148" s="1217"/>
      <c r="P148" s="1217"/>
      <c r="Q148" s="1217"/>
      <c r="R148" s="1217"/>
      <c r="S148" s="1321"/>
      <c r="T148" s="388" t="b" cm="1">
        <f t="array" ref="T148">T147</f>
        <v>1</v>
      </c>
      <c r="U148" s="1217"/>
      <c r="V148" s="1217"/>
      <c r="W148" s="1217"/>
      <c r="X148" s="2032"/>
      <c r="Y148" s="1217"/>
      <c r="Z148" s="2012"/>
      <c r="AA148" s="1217"/>
      <c r="AB148" s="217" t="s">
        <v>1459</v>
      </c>
      <c r="AC148" s="685" t="s">
        <v>1460</v>
      </c>
      <c r="AD148" s="218" t="s">
        <v>1461</v>
      </c>
      <c r="AE148" s="686" t="s">
        <v>857</v>
      </c>
      <c r="AF148" s="216"/>
      <c r="AG148" s="216"/>
      <c r="AH148" s="765"/>
      <c r="AI148" s="1217"/>
      <c r="AJ148" s="1217"/>
      <c r="AK148" s="1217"/>
      <c r="AL148" s="906" t="s">
        <v>1462</v>
      </c>
      <c r="AM148" s="1217"/>
      <c r="AN148" s="1217"/>
      <c r="AO148" s="1217"/>
      <c r="AP148" s="1217"/>
      <c r="AQ148" s="1217"/>
    </row>
    <row r="149" spans="1:43" s="1334" customFormat="1" ht="21.75" customHeight="1" x14ac:dyDescent="0.15">
      <c r="A149" s="1217"/>
      <c r="B149" s="1111"/>
      <c r="C149" s="1217"/>
      <c r="D149" s="1217"/>
      <c r="E149" s="542">
        <v>22.5</v>
      </c>
      <c r="F149" s="3" t="str" cm="1">
        <f t="array" aca="1" ref="F149" ca="1">OFFSET(E149,-1,1)</f>
        <v>2</v>
      </c>
      <c r="G149" s="348"/>
      <c r="H149" s="4"/>
      <c r="I149" s="348" t="s">
        <v>1463</v>
      </c>
      <c r="J149" s="1217"/>
      <c r="K149" s="43"/>
      <c r="L149" s="43"/>
      <c r="M149" s="43"/>
      <c r="N149" s="1217"/>
      <c r="O149" s="1217"/>
      <c r="P149" s="1217"/>
      <c r="Q149" s="1217"/>
      <c r="R149" s="1217"/>
      <c r="S149" s="1321"/>
      <c r="T149" s="388" t="b" cm="1">
        <f t="array" ref="T149">T148</f>
        <v>1</v>
      </c>
      <c r="U149" s="1217"/>
      <c r="V149" s="1217"/>
      <c r="W149" s="1217"/>
      <c r="X149" s="2032"/>
      <c r="Y149" s="1217"/>
      <c r="Z149" s="2012"/>
      <c r="AA149" s="1217"/>
      <c r="AB149" s="217" t="s">
        <v>1464</v>
      </c>
      <c r="AC149" s="685" t="s">
        <v>1465</v>
      </c>
      <c r="AD149" s="218" t="s">
        <v>1466</v>
      </c>
      <c r="AE149" s="686" t="s">
        <v>860</v>
      </c>
      <c r="AF149" s="216"/>
      <c r="AG149" s="216"/>
      <c r="AH149" s="765"/>
      <c r="AI149" s="1217"/>
      <c r="AJ149" s="1217"/>
      <c r="AK149" s="1217"/>
      <c r="AL149" s="906" t="s">
        <v>1467</v>
      </c>
      <c r="AM149" s="1217"/>
      <c r="AN149" s="1217"/>
      <c r="AO149" s="1217"/>
      <c r="AP149" s="1217"/>
      <c r="AQ149" s="1217"/>
    </row>
    <row r="150" spans="1:43" s="1334" customFormat="1" ht="21.75" customHeight="1" x14ac:dyDescent="0.15">
      <c r="A150" s="1217"/>
      <c r="B150" s="1111"/>
      <c r="C150" s="1217"/>
      <c r="D150" s="1217"/>
      <c r="E150" s="542">
        <v>22.5</v>
      </c>
      <c r="F150" s="3" t="str" cm="1">
        <f t="array" aca="1" ref="F150" ca="1">OFFSET(E150,-1,1)</f>
        <v>2</v>
      </c>
      <c r="G150" s="348" t="s">
        <v>1468</v>
      </c>
      <c r="H150" s="4"/>
      <c r="I150" s="348" t="s">
        <v>1469</v>
      </c>
      <c r="J150" s="1217"/>
      <c r="K150" s="43"/>
      <c r="L150" s="43"/>
      <c r="M150" s="43"/>
      <c r="N150" s="1217"/>
      <c r="O150" s="1217"/>
      <c r="P150" s="1217"/>
      <c r="Q150" s="1217"/>
      <c r="R150" s="1217"/>
      <c r="S150" s="1321"/>
      <c r="T150" s="388" t="b" cm="1">
        <f t="array" ref="T150">T149</f>
        <v>1</v>
      </c>
      <c r="U150" s="1217"/>
      <c r="V150" s="1217"/>
      <c r="W150" s="1217"/>
      <c r="X150" s="2032"/>
      <c r="Y150" s="1217"/>
      <c r="Z150" s="2012"/>
      <c r="AA150" s="1217"/>
      <c r="AB150" s="217" t="s">
        <v>933</v>
      </c>
      <c r="AC150" s="682" t="s">
        <v>1470</v>
      </c>
      <c r="AD150" s="218" t="s">
        <v>1471</v>
      </c>
      <c r="AE150" s="686" t="s">
        <v>831</v>
      </c>
      <c r="AF150" s="216"/>
      <c r="AG150" s="216">
        <f ca="1">IF(AND(method_reg="Метод индексации",first_year=god),SUMIFS('Калькуляция (МИ)'!$AG$25:$AG$459,'Калькуляция (МИ)'!$F$25:$F$459,$F150,'Калькуляция (МИ)'!$G$25:$G$459,$G150),SUMIFS('Калькуляция (МИ корр)'!$AG$25:$AG$459,'Калькуляция (МИ корр)'!$F$25:$F$459,$F150,'Калькуляция (МИ корр)'!$G$25:$G$459,$G150))</f>
        <v>0</v>
      </c>
      <c r="AH150" s="765"/>
      <c r="AI150" s="1217"/>
      <c r="AJ150" s="1217"/>
      <c r="AK150" s="1217"/>
      <c r="AL150" s="906" t="s">
        <v>1199</v>
      </c>
      <c r="AM150" s="1217"/>
      <c r="AN150" s="1217"/>
      <c r="AO150" s="1217"/>
      <c r="AP150" s="1217"/>
      <c r="AQ150" s="1217"/>
    </row>
    <row r="151" spans="1:43" s="1334" customFormat="1" ht="14.25" customHeight="1" x14ac:dyDescent="0.15">
      <c r="A151" s="1217"/>
      <c r="B151" s="1111"/>
      <c r="C151" s="1217"/>
      <c r="D151" s="1217"/>
      <c r="E151" s="542">
        <v>15</v>
      </c>
      <c r="F151" s="3" t="str" cm="1">
        <f t="array" aca="1" ref="F151" ca="1">OFFSET(E151,-1,1)</f>
        <v>2</v>
      </c>
      <c r="G151" s="348" t="s">
        <v>1472</v>
      </c>
      <c r="H151" s="4"/>
      <c r="I151" s="348" t="s">
        <v>1473</v>
      </c>
      <c r="J151" s="1217"/>
      <c r="K151" s="43"/>
      <c r="L151" s="43"/>
      <c r="M151" s="43"/>
      <c r="N151" s="1217"/>
      <c r="O151" s="1217"/>
      <c r="P151" s="1217"/>
      <c r="Q151" s="1217"/>
      <c r="R151" s="1217"/>
      <c r="S151" s="1321"/>
      <c r="T151" s="388" t="b" cm="1">
        <f t="array" ref="T151">T150</f>
        <v>1</v>
      </c>
      <c r="U151" s="1217"/>
      <c r="V151" s="1217"/>
      <c r="W151" s="1217"/>
      <c r="X151" s="2032"/>
      <c r="Y151" s="1217"/>
      <c r="Z151" s="2012"/>
      <c r="AA151" s="1217"/>
      <c r="AB151" s="217" t="s">
        <v>936</v>
      </c>
      <c r="AC151" s="848" t="s">
        <v>1474</v>
      </c>
      <c r="AD151" s="218" t="s">
        <v>1475</v>
      </c>
      <c r="AE151" s="686" t="s">
        <v>831</v>
      </c>
      <c r="AF151" s="216"/>
      <c r="AG151" s="216">
        <f ca="1">IF(AND(method_reg="Метод индексации",first_year=god),SUMIFS('Калькуляция (МИ)'!$AE$25:$AE$459,'Калькуляция (МИ)'!$F$25:$F$459,$F151,'Калькуляция (МИ)'!$G$25:$G$459,"Нормативная прибыль")-SUMIFS('Калькуляция (МИ)'!$AE$25:$AE$459,'Калькуляция (МИ)'!$F$25:$F$459,$F151,'Калькуляция (МИ)'!$G$25:$G$459,"иные экономически обоснованные расходы на социальные нужды")+SUMIFS('Калькуляция (МИ)'!$AG$25:$AG$459,'Калькуляция (МИ)'!$F$25:$F$459,$F151,'Калькуляция (МИ)'!$G$25:$G$459,"иные экономически обоснованные расходы на социальные нужды"),SUMIFS('Калькуляция (МИ корр)'!$AE$25:$AE$459,'Калькуляция (МИ корр)'!$F$25:$F$459,$F151,'Калькуляция (МИ корр)'!$G$25:$G$459,"Нормативная прибыль")-SUMIFS('Калькуляция (МИ корр)'!$AE$25:$AE$459,'Калькуляция (МИ корр)'!$F$25:$F$459,$F151,'Калькуляция (МИ корр)'!$G$25:$G$459,"иные экономически обоснованные расходы на социальные нужды")+SUMIFS('Калькуляция (МИ корр)'!$AG$25:$AG$459,'Калькуляция (МИ корр)'!$F$25:$F$459,$F151,'Калькуляция (МИ корр)'!$G$25:$G$459,"иные экономически обоснованные расходы на социальные нужды"))</f>
        <v>0</v>
      </c>
      <c r="AH151" s="765"/>
      <c r="AI151" s="1217"/>
      <c r="AJ151" s="1217"/>
      <c r="AK151" s="1217"/>
      <c r="AL151" s="906" t="s">
        <v>1476</v>
      </c>
      <c r="AM151" s="1217"/>
      <c r="AN151" s="1217"/>
      <c r="AO151" s="1217"/>
      <c r="AP151" s="1217"/>
      <c r="AQ151" s="1217"/>
    </row>
    <row r="152" spans="1:43" s="1334" customFormat="1" ht="14.25" customHeight="1" x14ac:dyDescent="0.15">
      <c r="A152" s="1217"/>
      <c r="B152" s="1111"/>
      <c r="C152" s="1217"/>
      <c r="D152" s="1217"/>
      <c r="E152" s="542">
        <v>15</v>
      </c>
      <c r="F152" s="3" t="str" cm="1">
        <f t="array" aca="1" ref="F152" ca="1">OFFSET(E152,-1,1)</f>
        <v>2</v>
      </c>
      <c r="G152" s="26" t="s">
        <v>1477</v>
      </c>
      <c r="H152" s="4"/>
      <c r="I152" s="416" t="s">
        <v>1478</v>
      </c>
      <c r="J152" s="1217"/>
      <c r="K152" s="43"/>
      <c r="L152" s="43"/>
      <c r="M152" s="43"/>
      <c r="N152" s="1217"/>
      <c r="O152" s="1217"/>
      <c r="P152" s="1217"/>
      <c r="Q152" s="1217"/>
      <c r="R152" s="1217"/>
      <c r="S152" s="1321"/>
      <c r="T152" s="388" t="b" cm="1">
        <f t="array" ref="T152">T151</f>
        <v>1</v>
      </c>
      <c r="U152" s="1217"/>
      <c r="V152" s="1217"/>
      <c r="W152" s="1217"/>
      <c r="X152" s="2032"/>
      <c r="Y152" s="1217"/>
      <c r="Z152" s="2012"/>
      <c r="AA152" s="1217"/>
      <c r="AB152" s="217" t="s">
        <v>1479</v>
      </c>
      <c r="AC152" s="682" t="s">
        <v>1480</v>
      </c>
      <c r="AD152" s="218" t="s">
        <v>1481</v>
      </c>
      <c r="AE152" s="686" t="s">
        <v>831</v>
      </c>
      <c r="AF152" s="216">
        <v>0</v>
      </c>
      <c r="AG152" s="216">
        <v>388.95</v>
      </c>
      <c r="AH152" s="765"/>
      <c r="AI152" s="1217"/>
      <c r="AJ152" s="1217"/>
      <c r="AK152" s="1217"/>
      <c r="AL152" s="906" t="s">
        <v>1482</v>
      </c>
      <c r="AM152" s="1217"/>
      <c r="AN152" s="1217"/>
      <c r="AO152" s="1217"/>
      <c r="AP152" s="1217"/>
      <c r="AQ152" s="1217"/>
    </row>
    <row r="153" spans="1:43" s="1334" customFormat="1" ht="21.75" customHeight="1" x14ac:dyDescent="0.15">
      <c r="A153" s="1217"/>
      <c r="B153" s="1111"/>
      <c r="C153" s="1217"/>
      <c r="D153" s="1217"/>
      <c r="E153" s="542">
        <v>22.5</v>
      </c>
      <c r="F153" s="3" t="str" cm="1">
        <f t="array" aca="1" ref="F153" ca="1">OFFSET(E153,-1,1)</f>
        <v>2</v>
      </c>
      <c r="G153" s="26"/>
      <c r="H153" s="4"/>
      <c r="I153" s="348" t="s">
        <v>1483</v>
      </c>
      <c r="J153" s="1217"/>
      <c r="K153" s="43"/>
      <c r="L153" s="43"/>
      <c r="M153" s="43"/>
      <c r="N153" s="1217"/>
      <c r="O153" s="1217"/>
      <c r="P153" s="1217"/>
      <c r="Q153" s="1217"/>
      <c r="R153" s="1217"/>
      <c r="S153" s="1321"/>
      <c r="T153" s="388" t="b" cm="1">
        <f t="array" ref="T153">T152</f>
        <v>1</v>
      </c>
      <c r="U153" s="1217"/>
      <c r="V153" s="1217"/>
      <c r="W153" s="1217"/>
      <c r="X153" s="2032"/>
      <c r="Y153" s="1217"/>
      <c r="Z153" s="2012"/>
      <c r="AA153" s="1217"/>
      <c r="AB153" s="217" t="s">
        <v>1484</v>
      </c>
      <c r="AC153" s="682" t="s">
        <v>1485</v>
      </c>
      <c r="AD153" s="218"/>
      <c r="AE153" s="686" t="s">
        <v>831</v>
      </c>
      <c r="AF153" s="216">
        <f>AF154+AF155+AF156</f>
        <v>0</v>
      </c>
      <c r="AG153" s="216">
        <f>AG154+AG155+AG156</f>
        <v>0</v>
      </c>
      <c r="AH153" s="765"/>
      <c r="AI153" s="1217"/>
      <c r="AJ153" s="1217"/>
      <c r="AK153" s="1217"/>
      <c r="AL153" s="906" t="s">
        <v>1486</v>
      </c>
      <c r="AM153" s="1217"/>
      <c r="AN153" s="1217"/>
      <c r="AO153" s="1217"/>
      <c r="AP153" s="1217"/>
      <c r="AQ153" s="1217"/>
    </row>
    <row r="154" spans="1:43" s="1334" customFormat="1" ht="21.75" customHeight="1" x14ac:dyDescent="0.15">
      <c r="A154" s="1217"/>
      <c r="B154" s="1111"/>
      <c r="C154" s="1217"/>
      <c r="D154" s="1217"/>
      <c r="E154" s="542">
        <v>22.5</v>
      </c>
      <c r="F154" s="3" t="str" cm="1">
        <f t="array" aca="1" ref="F154" ca="1">OFFSET(E154,-1,1)</f>
        <v>2</v>
      </c>
      <c r="G154" s="348"/>
      <c r="H154" s="4"/>
      <c r="I154" s="348" t="s">
        <v>1487</v>
      </c>
      <c r="J154" s="1217"/>
      <c r="K154" s="43"/>
      <c r="L154" s="43"/>
      <c r="M154" s="43"/>
      <c r="N154" s="1217"/>
      <c r="O154" s="1217"/>
      <c r="P154" s="1217"/>
      <c r="Q154" s="1217"/>
      <c r="R154" s="1217"/>
      <c r="S154" s="1321"/>
      <c r="T154" s="388" t="b" cm="1">
        <f t="array" ref="T154">T153</f>
        <v>1</v>
      </c>
      <c r="U154" s="1217"/>
      <c r="V154" s="1217"/>
      <c r="W154" s="1217"/>
      <c r="X154" s="2032"/>
      <c r="Y154" s="1217"/>
      <c r="Z154" s="2012"/>
      <c r="AA154" s="1217"/>
      <c r="AB154" s="217" t="s">
        <v>1488</v>
      </c>
      <c r="AC154" s="685" t="s">
        <v>1489</v>
      </c>
      <c r="AD154" s="218" t="s">
        <v>1490</v>
      </c>
      <c r="AE154" s="686" t="s">
        <v>831</v>
      </c>
      <c r="AF154" s="216"/>
      <c r="AG154" s="216"/>
      <c r="AH154" s="765"/>
      <c r="AI154" s="1217"/>
      <c r="AJ154" s="1217"/>
      <c r="AK154" s="1217"/>
      <c r="AL154" s="906" t="s">
        <v>1491</v>
      </c>
      <c r="AM154" s="1217"/>
      <c r="AN154" s="1217"/>
      <c r="AO154" s="1217"/>
      <c r="AP154" s="1217"/>
      <c r="AQ154" s="1217"/>
    </row>
    <row r="155" spans="1:43" s="1334" customFormat="1" ht="14.25" customHeight="1" x14ac:dyDescent="0.15">
      <c r="A155" s="1217"/>
      <c r="B155" s="1111"/>
      <c r="C155" s="1217"/>
      <c r="D155" s="1217"/>
      <c r="E155" s="542">
        <v>15</v>
      </c>
      <c r="F155" s="3" t="str" cm="1">
        <f t="array" aca="1" ref="F155" ca="1">OFFSET(E155,-1,1)</f>
        <v>2</v>
      </c>
      <c r="G155" s="348"/>
      <c r="H155" s="4"/>
      <c r="I155" s="348" t="s">
        <v>1492</v>
      </c>
      <c r="J155" s="1217"/>
      <c r="K155" s="43"/>
      <c r="L155" s="43"/>
      <c r="M155" s="43"/>
      <c r="N155" s="1217"/>
      <c r="O155" s="1217"/>
      <c r="P155" s="1217"/>
      <c r="Q155" s="1217"/>
      <c r="R155" s="1217"/>
      <c r="S155" s="1321"/>
      <c r="T155" s="388" t="b" cm="1">
        <f t="array" ref="T155">T154</f>
        <v>1</v>
      </c>
      <c r="U155" s="1217"/>
      <c r="V155" s="1217"/>
      <c r="W155" s="1217"/>
      <c r="X155" s="2032"/>
      <c r="Y155" s="1217"/>
      <c r="Z155" s="2012"/>
      <c r="AA155" s="1217"/>
      <c r="AB155" s="217" t="s">
        <v>1493</v>
      </c>
      <c r="AC155" s="685" t="s">
        <v>1494</v>
      </c>
      <c r="AD155" s="218" t="s">
        <v>1495</v>
      </c>
      <c r="AE155" s="686" t="s">
        <v>831</v>
      </c>
      <c r="AF155" s="216"/>
      <c r="AG155" s="216"/>
      <c r="AH155" s="765"/>
      <c r="AI155" s="1217"/>
      <c r="AJ155" s="1217"/>
      <c r="AK155" s="1217"/>
      <c r="AL155" s="906" t="s">
        <v>1496</v>
      </c>
      <c r="AM155" s="1217"/>
      <c r="AN155" s="1217"/>
      <c r="AO155" s="1217"/>
      <c r="AP155" s="1217"/>
      <c r="AQ155" s="1217"/>
    </row>
    <row r="156" spans="1:43" s="1334" customFormat="1" ht="43.5" customHeight="1" x14ac:dyDescent="0.15">
      <c r="A156" s="1217"/>
      <c r="B156" s="1111"/>
      <c r="C156" s="1217"/>
      <c r="D156" s="1217"/>
      <c r="E156" s="542">
        <v>45</v>
      </c>
      <c r="F156" s="3" t="str" cm="1">
        <f t="array" aca="1" ref="F156" ca="1">OFFSET(E156,-1,1)</f>
        <v>2</v>
      </c>
      <c r="G156" s="348"/>
      <c r="H156" s="4"/>
      <c r="I156" s="348" t="s">
        <v>1497</v>
      </c>
      <c r="J156" s="1217"/>
      <c r="K156" s="43"/>
      <c r="L156" s="43"/>
      <c r="M156" s="43"/>
      <c r="N156" s="1217"/>
      <c r="O156" s="1217"/>
      <c r="P156" s="1217"/>
      <c r="Q156" s="1217"/>
      <c r="R156" s="1217"/>
      <c r="S156" s="1321"/>
      <c r="T156" s="388" t="b" cm="1">
        <f t="array" ref="T156">T155</f>
        <v>1</v>
      </c>
      <c r="U156" s="1217"/>
      <c r="V156" s="1217"/>
      <c r="W156" s="1217"/>
      <c r="X156" s="2032"/>
      <c r="Y156" s="1217"/>
      <c r="Z156" s="2012"/>
      <c r="AA156" s="1217"/>
      <c r="AB156" s="217" t="s">
        <v>1498</v>
      </c>
      <c r="AC156" s="685" t="s">
        <v>1499</v>
      </c>
      <c r="AD156" s="686" t="s">
        <v>1500</v>
      </c>
      <c r="AE156" s="686" t="s">
        <v>831</v>
      </c>
      <c r="AF156" s="216"/>
      <c r="AG156" s="216"/>
      <c r="AH156" s="765"/>
      <c r="AI156" s="1217"/>
      <c r="AJ156" s="1217"/>
      <c r="AK156" s="1217"/>
      <c r="AL156" s="906" t="s">
        <v>1501</v>
      </c>
      <c r="AM156" s="1217"/>
      <c r="AN156" s="1217"/>
      <c r="AO156" s="1217"/>
      <c r="AP156" s="1217"/>
      <c r="AQ156" s="1217"/>
    </row>
    <row r="157" spans="1:43" s="1334" customFormat="1" ht="21.75" customHeight="1" x14ac:dyDescent="0.15">
      <c r="A157" s="1217"/>
      <c r="B157" s="1111"/>
      <c r="C157" s="1217"/>
      <c r="D157" s="1217"/>
      <c r="E157" s="542">
        <v>22.5</v>
      </c>
      <c r="F157" s="3" t="str" cm="1">
        <f t="array" aca="1" ref="F157" ca="1">OFFSET(E157,-1,1)</f>
        <v>2</v>
      </c>
      <c r="G157" s="348"/>
      <c r="H157" s="4"/>
      <c r="I157" s="348" t="s">
        <v>1502</v>
      </c>
      <c r="J157" s="1217"/>
      <c r="K157" s="43"/>
      <c r="L157" s="43"/>
      <c r="M157" s="43"/>
      <c r="N157" s="1217"/>
      <c r="O157" s="1217"/>
      <c r="P157" s="1217"/>
      <c r="Q157" s="1217"/>
      <c r="R157" s="1217"/>
      <c r="S157" s="1321"/>
      <c r="T157" s="388" t="b" cm="1">
        <f t="array" ref="T157">T156</f>
        <v>1</v>
      </c>
      <c r="U157" s="1217"/>
      <c r="V157" s="1217"/>
      <c r="W157" s="1217"/>
      <c r="X157" s="2032"/>
      <c r="Y157" s="1217"/>
      <c r="Z157" s="2012"/>
      <c r="AA157" s="1217"/>
      <c r="AB157" s="217" t="s">
        <v>1503</v>
      </c>
      <c r="AC157" s="682" t="s">
        <v>1504</v>
      </c>
      <c r="AD157" s="686" t="s">
        <v>1505</v>
      </c>
      <c r="AE157" s="686" t="s">
        <v>831</v>
      </c>
      <c r="AF157" s="216">
        <v>0</v>
      </c>
      <c r="AG157" s="216">
        <v>-8389.99</v>
      </c>
      <c r="AH157" s="765" t="s">
        <v>1575</v>
      </c>
      <c r="AI157" s="1217"/>
      <c r="AJ157" s="1217"/>
      <c r="AK157" s="1217"/>
      <c r="AL157" s="906" t="s">
        <v>1506</v>
      </c>
      <c r="AM157" s="1217"/>
      <c r="AN157" s="1217"/>
      <c r="AO157" s="1217"/>
      <c r="AP157" s="1217"/>
      <c r="AQ157" s="1217"/>
    </row>
    <row r="158" spans="1:43" s="1334" customFormat="1" ht="76.5" customHeight="1" x14ac:dyDescent="0.15">
      <c r="A158" s="1217"/>
      <c r="B158" s="350" t="b">
        <f>S129="Водоотведение"</f>
        <v>1</v>
      </c>
      <c r="C158" s="1217"/>
      <c r="D158" s="1217"/>
      <c r="E158" s="542">
        <v>78.75</v>
      </c>
      <c r="F158" s="3" t="str" cm="1">
        <f t="array" aca="1" ref="F158" ca="1">OFFSET(E158,-1,1)</f>
        <v>2</v>
      </c>
      <c r="G158" s="348"/>
      <c r="H158" s="4"/>
      <c r="I158" s="348"/>
      <c r="J158" s="1217"/>
      <c r="K158" s="43"/>
      <c r="L158" s="43"/>
      <c r="M158" s="43"/>
      <c r="N158" s="1217"/>
      <c r="O158" s="1217"/>
      <c r="P158" s="1217"/>
      <c r="Q158" s="1217"/>
      <c r="R158" s="1217"/>
      <c r="S158" s="1321"/>
      <c r="T158" s="388" t="b" cm="1">
        <f t="array" ref="T158">T157</f>
        <v>1</v>
      </c>
      <c r="U158" s="1217"/>
      <c r="V158" s="1217"/>
      <c r="W158" s="1217"/>
      <c r="X158" s="2032"/>
      <c r="Y158" s="1217"/>
      <c r="Z158" s="2012"/>
      <c r="AA158" s="1217"/>
      <c r="AB158" s="217" t="s">
        <v>1507</v>
      </c>
      <c r="AC158" s="682" t="s">
        <v>1508</v>
      </c>
      <c r="AD158" s="686"/>
      <c r="AE158" s="686" t="s">
        <v>831</v>
      </c>
      <c r="AF158" s="216"/>
      <c r="AG158" s="216"/>
      <c r="AH158" s="765"/>
      <c r="AI158" s="1217"/>
      <c r="AJ158" s="1217"/>
      <c r="AK158" s="1217"/>
      <c r="AL158" s="906" t="s">
        <v>1509</v>
      </c>
      <c r="AM158" s="1217"/>
      <c r="AN158" s="1217"/>
      <c r="AO158" s="1217"/>
      <c r="AP158" s="1217"/>
      <c r="AQ158" s="1217"/>
    </row>
    <row r="159" spans="1:43" s="1334" customFormat="1" ht="54.75" customHeight="1" x14ac:dyDescent="0.15">
      <c r="A159" s="1217"/>
      <c r="B159" s="350" t="b" cm="1">
        <f t="array" ref="B159">B158</f>
        <v>1</v>
      </c>
      <c r="C159" s="1217"/>
      <c r="D159" s="1217"/>
      <c r="E159" s="542">
        <v>56.25</v>
      </c>
      <c r="F159" s="3" t="str" cm="1">
        <f t="array" aca="1" ref="F159" ca="1">OFFSET(E159,-1,1)</f>
        <v>2</v>
      </c>
      <c r="G159" s="348"/>
      <c r="H159" s="4"/>
      <c r="I159" s="348"/>
      <c r="J159" s="1217"/>
      <c r="K159" s="43"/>
      <c r="L159" s="43"/>
      <c r="M159" s="43"/>
      <c r="N159" s="1217"/>
      <c r="O159" s="1217"/>
      <c r="P159" s="1217"/>
      <c r="Q159" s="1217"/>
      <c r="R159" s="1217"/>
      <c r="S159" s="1321"/>
      <c r="T159" s="388" t="b" cm="1">
        <f t="array" ref="T159">T158</f>
        <v>1</v>
      </c>
      <c r="U159" s="1217"/>
      <c r="V159" s="1217"/>
      <c r="W159" s="1217"/>
      <c r="X159" s="2032"/>
      <c r="Y159" s="1217"/>
      <c r="Z159" s="2012"/>
      <c r="AA159" s="1217"/>
      <c r="AB159" s="217" t="s">
        <v>1510</v>
      </c>
      <c r="AC159" s="682" t="s">
        <v>1511</v>
      </c>
      <c r="AD159" s="686"/>
      <c r="AE159" s="686" t="s">
        <v>831</v>
      </c>
      <c r="AF159" s="216"/>
      <c r="AG159" s="216"/>
      <c r="AH159" s="765"/>
      <c r="AI159" s="1217"/>
      <c r="AJ159" s="1217"/>
      <c r="AK159" s="1217"/>
      <c r="AL159" s="906" t="s">
        <v>1335</v>
      </c>
      <c r="AM159" s="1217"/>
      <c r="AN159" s="1217"/>
      <c r="AO159" s="1217"/>
      <c r="AP159" s="1217"/>
      <c r="AQ159" s="1217"/>
    </row>
    <row r="160" spans="1:43" s="1334" customFormat="1" ht="14.25" customHeight="1" x14ac:dyDescent="0.15">
      <c r="A160" s="1217"/>
      <c r="B160" s="1111"/>
      <c r="C160" s="1217"/>
      <c r="D160" s="1217"/>
      <c r="E160" s="542">
        <v>15</v>
      </c>
      <c r="F160" s="3" t="str" cm="1">
        <f t="array" aca="1" ref="F160" ca="1">OFFSET(E160,-1,1)</f>
        <v>2</v>
      </c>
      <c r="G160" s="348"/>
      <c r="H160" s="4"/>
      <c r="I160" s="348"/>
      <c r="J160" s="1217"/>
      <c r="K160" s="43"/>
      <c r="L160" s="43"/>
      <c r="M160" s="43"/>
      <c r="N160" s="1217"/>
      <c r="O160" s="1217"/>
      <c r="P160" s="1217"/>
      <c r="Q160" s="1217"/>
      <c r="R160" s="1217"/>
      <c r="S160" s="1321"/>
      <c r="T160" s="388" t="b" cm="1">
        <f t="array" ref="T160">T159</f>
        <v>1</v>
      </c>
      <c r="U160" s="1217"/>
      <c r="V160" s="1217"/>
      <c r="W160" s="1217"/>
      <c r="X160" s="2032"/>
      <c r="Y160" s="1217"/>
      <c r="Z160" s="2012"/>
      <c r="AA160" s="1217"/>
      <c r="AB160" s="218" t="str">
        <f>IF(B159,"2.12","2.10")</f>
        <v>2.12</v>
      </c>
      <c r="AC160" s="682" t="s">
        <v>1512</v>
      </c>
      <c r="AD160" s="686" t="s">
        <v>1513</v>
      </c>
      <c r="AE160" s="686" t="s">
        <v>831</v>
      </c>
      <c r="AF160" s="216">
        <f>AF161+AF162</f>
        <v>0</v>
      </c>
      <c r="AG160" s="216">
        <f>AG161+AG162</f>
        <v>-419.85</v>
      </c>
      <c r="AH160" s="765"/>
      <c r="AI160" s="1217"/>
      <c r="AJ160" s="1217"/>
      <c r="AK160" s="1217"/>
      <c r="AL160" s="906" t="s">
        <v>1514</v>
      </c>
      <c r="AM160" s="1217"/>
      <c r="AN160" s="1217"/>
      <c r="AO160" s="1217"/>
      <c r="AP160" s="1217"/>
      <c r="AQ160" s="1217"/>
    </row>
    <row r="161" spans="1:43" s="1334" customFormat="1" ht="21.75" customHeight="1" x14ac:dyDescent="0.15">
      <c r="A161" s="1217"/>
      <c r="B161" s="1111"/>
      <c r="C161" s="1217"/>
      <c r="D161" s="1217"/>
      <c r="E161" s="542">
        <v>22.5</v>
      </c>
      <c r="F161" s="3" t="str" cm="1">
        <f t="array" aca="1" ref="F161" ca="1">OFFSET(E161,-1,1)</f>
        <v>2</v>
      </c>
      <c r="G161" s="348"/>
      <c r="H161" s="4"/>
      <c r="I161" s="348"/>
      <c r="J161" s="1217"/>
      <c r="K161" s="43"/>
      <c r="L161" s="43"/>
      <c r="M161" s="43"/>
      <c r="N161" s="1217"/>
      <c r="O161" s="1217"/>
      <c r="P161" s="1217"/>
      <c r="Q161" s="1217"/>
      <c r="R161" s="1217"/>
      <c r="S161" s="1321"/>
      <c r="T161" s="388" t="b" cm="1">
        <f t="array" ref="T161">T160</f>
        <v>1</v>
      </c>
      <c r="U161" s="1217"/>
      <c r="V161" s="1217"/>
      <c r="W161" s="1217"/>
      <c r="X161" s="2032"/>
      <c r="Y161" s="1217"/>
      <c r="Z161" s="2012"/>
      <c r="AA161" s="1217"/>
      <c r="AB161" s="218" t="str">
        <f>AB160&amp;".1"</f>
        <v>2.12.1</v>
      </c>
      <c r="AC161" s="682" t="s">
        <v>1515</v>
      </c>
      <c r="AD161" s="686" t="s">
        <v>1513</v>
      </c>
      <c r="AE161" s="686" t="s">
        <v>831</v>
      </c>
      <c r="AF161" s="216">
        <v>0</v>
      </c>
      <c r="AG161" s="216">
        <v>-419.85</v>
      </c>
      <c r="AH161" s="765" t="s">
        <v>1575</v>
      </c>
      <c r="AI161" s="1217"/>
      <c r="AJ161" s="1217"/>
      <c r="AK161" s="1217"/>
      <c r="AL161" s="906" t="s">
        <v>1516</v>
      </c>
      <c r="AM161" s="1217"/>
      <c r="AN161" s="1217"/>
      <c r="AO161" s="1217"/>
      <c r="AP161" s="1217"/>
      <c r="AQ161" s="1217"/>
    </row>
    <row r="162" spans="1:43" s="1334" customFormat="1" ht="21.75" customHeight="1" x14ac:dyDescent="0.15">
      <c r="A162" s="1217"/>
      <c r="B162" s="1111"/>
      <c r="C162" s="1217"/>
      <c r="D162" s="1217"/>
      <c r="E162" s="542">
        <v>22.5</v>
      </c>
      <c r="F162" s="3" t="str" cm="1">
        <f t="array" aca="1" ref="F162" ca="1">OFFSET(E162,-1,1)</f>
        <v>2</v>
      </c>
      <c r="G162" s="348"/>
      <c r="H162" s="4"/>
      <c r="I162" s="348"/>
      <c r="J162" s="1217"/>
      <c r="K162" s="43"/>
      <c r="L162" s="43"/>
      <c r="M162" s="43"/>
      <c r="N162" s="1217"/>
      <c r="O162" s="1217"/>
      <c r="P162" s="1217"/>
      <c r="Q162" s="1217"/>
      <c r="R162" s="1217"/>
      <c r="S162" s="1321"/>
      <c r="T162" s="388" t="b" cm="1">
        <f t="array" ref="T162">T161</f>
        <v>1</v>
      </c>
      <c r="U162" s="1217"/>
      <c r="V162" s="1217"/>
      <c r="W162" s="1217"/>
      <c r="X162" s="2032"/>
      <c r="Y162" s="1217"/>
      <c r="Z162" s="2012"/>
      <c r="AA162" s="1217"/>
      <c r="AB162" s="218" t="str">
        <f>AB160&amp;".2"</f>
        <v>2.12.2</v>
      </c>
      <c r="AC162" s="682" t="s">
        <v>1517</v>
      </c>
      <c r="AD162" s="686" t="s">
        <v>1513</v>
      </c>
      <c r="AE162" s="686" t="s">
        <v>831</v>
      </c>
      <c r="AF162" s="216"/>
      <c r="AG162" s="216"/>
      <c r="AH162" s="765"/>
      <c r="AI162" s="1217"/>
      <c r="AJ162" s="1217"/>
      <c r="AK162" s="1217"/>
      <c r="AL162" s="906" t="s">
        <v>1518</v>
      </c>
      <c r="AM162" s="1217"/>
      <c r="AN162" s="1217"/>
      <c r="AO162" s="1217"/>
      <c r="AP162" s="1217"/>
      <c r="AQ162" s="1217"/>
    </row>
    <row r="163" spans="1:43" s="1334" customFormat="1" ht="14.25" customHeight="1" x14ac:dyDescent="0.15">
      <c r="A163" s="1217"/>
      <c r="B163" s="1111"/>
      <c r="C163" s="1217"/>
      <c r="D163" s="1217"/>
      <c r="E163" s="542">
        <v>15</v>
      </c>
      <c r="F163" s="3" t="str" cm="1">
        <f t="array" aca="1" ref="F163" ca="1">OFFSET(E163,-1,1)</f>
        <v>2</v>
      </c>
      <c r="G163" s="348"/>
      <c r="H163" s="4"/>
      <c r="I163" s="348"/>
      <c r="J163" s="1217"/>
      <c r="K163" s="43"/>
      <c r="L163" s="43"/>
      <c r="M163" s="43"/>
      <c r="N163" s="1217"/>
      <c r="O163" s="1217"/>
      <c r="P163" s="1217"/>
      <c r="Q163" s="1217"/>
      <c r="R163" s="1217"/>
      <c r="S163" s="1321"/>
      <c r="T163" s="388" t="b" cm="1">
        <f t="array" ref="T163">T162</f>
        <v>1</v>
      </c>
      <c r="U163" s="1217"/>
      <c r="V163" s="1217"/>
      <c r="W163" s="1217"/>
      <c r="X163" s="2032"/>
      <c r="Y163" s="1217"/>
      <c r="Z163" s="2012"/>
      <c r="AA163" s="1217"/>
      <c r="AB163" s="218" t="str">
        <f>IF(B159,"2.13","2.11")</f>
        <v>2.13</v>
      </c>
      <c r="AC163" s="682" t="s">
        <v>1519</v>
      </c>
      <c r="AD163" s="686" t="s">
        <v>1513</v>
      </c>
      <c r="AE163" s="686" t="s">
        <v>831</v>
      </c>
      <c r="AF163" s="216"/>
      <c r="AG163" s="216"/>
      <c r="AH163" s="765"/>
      <c r="AI163" s="1217"/>
      <c r="AJ163" s="1217"/>
      <c r="AK163" s="1217"/>
      <c r="AL163" s="906" t="s">
        <v>1520</v>
      </c>
      <c r="AM163" s="1217"/>
      <c r="AN163" s="1217"/>
      <c r="AO163" s="1217"/>
      <c r="AP163" s="1217"/>
      <c r="AQ163" s="1217"/>
    </row>
    <row r="164" spans="1:43" s="1334" customFormat="1" ht="14.25" customHeight="1" x14ac:dyDescent="0.15">
      <c r="A164" s="1217"/>
      <c r="B164" s="1111"/>
      <c r="C164" s="1217"/>
      <c r="D164" s="1217"/>
      <c r="E164" s="542">
        <v>15</v>
      </c>
      <c r="F164" s="3" t="str" cm="1">
        <f t="array" aca="1" ref="F164" ca="1">OFFSET(E164,-1,1)</f>
        <v>2</v>
      </c>
      <c r="G164" s="348"/>
      <c r="H164" s="4"/>
      <c r="I164" s="348"/>
      <c r="J164" s="1217"/>
      <c r="K164" s="43"/>
      <c r="L164" s="43"/>
      <c r="M164" s="43"/>
      <c r="N164" s="1217"/>
      <c r="O164" s="1217"/>
      <c r="P164" s="1217"/>
      <c r="Q164" s="1217"/>
      <c r="R164" s="1217"/>
      <c r="S164" s="1321"/>
      <c r="T164" s="388" t="b" cm="1">
        <f t="array" ref="T164">T163</f>
        <v>1</v>
      </c>
      <c r="U164" s="1217"/>
      <c r="V164" s="1217"/>
      <c r="W164" s="1217"/>
      <c r="X164" s="2032"/>
      <c r="Y164" s="1217"/>
      <c r="Z164" s="2012"/>
      <c r="AA164" s="1217"/>
      <c r="AB164" s="218" t="str">
        <f>IF(B159,"2.14","2.12")</f>
        <v>2.14</v>
      </c>
      <c r="AC164" s="682" t="s">
        <v>1521</v>
      </c>
      <c r="AD164" s="686" t="s">
        <v>1513</v>
      </c>
      <c r="AE164" s="686" t="s">
        <v>831</v>
      </c>
      <c r="AF164" s="216"/>
      <c r="AG164" s="216"/>
      <c r="AH164" s="765"/>
      <c r="AI164" s="1217"/>
      <c r="AJ164" s="1217"/>
      <c r="AK164" s="1217"/>
      <c r="AL164" s="906" t="s">
        <v>1522</v>
      </c>
      <c r="AM164" s="1217"/>
      <c r="AN164" s="1217"/>
      <c r="AO164" s="1217"/>
      <c r="AP164" s="1217"/>
      <c r="AQ164" s="1217"/>
    </row>
    <row r="165" spans="1:43" s="1438" customFormat="1" ht="21.75" customHeight="1" x14ac:dyDescent="0.15">
      <c r="A165" s="621"/>
      <c r="B165" s="353"/>
      <c r="C165" s="621"/>
      <c r="D165" s="621"/>
      <c r="E165" s="614">
        <v>22.5</v>
      </c>
      <c r="F165" s="3" t="str" cm="1">
        <f t="array" aca="1" ref="F165" ca="1">OFFSET(E165,-1,1)</f>
        <v>2</v>
      </c>
      <c r="G165" s="66"/>
      <c r="H165" s="66"/>
      <c r="I165" s="348" t="s">
        <v>332</v>
      </c>
      <c r="J165" s="621"/>
      <c r="K165" s="420"/>
      <c r="L165" s="420"/>
      <c r="M165" s="420"/>
      <c r="N165" s="621"/>
      <c r="O165" s="621"/>
      <c r="P165" s="621"/>
      <c r="Q165" s="621"/>
      <c r="R165" s="621"/>
      <c r="S165" s="621"/>
      <c r="T165" s="388" t="b" cm="1">
        <f t="array" ref="T165">T164</f>
        <v>1</v>
      </c>
      <c r="U165" s="621"/>
      <c r="V165" s="621"/>
      <c r="W165" s="621"/>
      <c r="X165" s="2032"/>
      <c r="Y165" s="621"/>
      <c r="Z165" s="2012"/>
      <c r="AA165" s="621"/>
      <c r="AB165" s="130" t="s">
        <v>1523</v>
      </c>
      <c r="AC165" s="131" t="s">
        <v>1524</v>
      </c>
      <c r="AD165" s="130" t="s">
        <v>1386</v>
      </c>
      <c r="AE165" s="153" t="s">
        <v>831</v>
      </c>
      <c r="AF165" s="763" cm="1">
        <f t="array" ref="AF165">AF166</f>
        <v>0</v>
      </c>
      <c r="AG165" s="763" cm="1">
        <f t="array" ref="AG165">AG166</f>
        <v>0</v>
      </c>
      <c r="AH165" s="764"/>
      <c r="AI165" s="621"/>
      <c r="AJ165" s="621"/>
      <c r="AK165" s="621"/>
      <c r="AL165" s="960" t="s">
        <v>1525</v>
      </c>
      <c r="AM165" s="621"/>
      <c r="AN165" s="621"/>
      <c r="AO165" s="621"/>
      <c r="AP165" s="621"/>
      <c r="AQ165" s="621"/>
    </row>
    <row r="166" spans="1:43" s="1334" customFormat="1" ht="32.25" customHeight="1" x14ac:dyDescent="0.15">
      <c r="A166" s="1217"/>
      <c r="B166" s="1111"/>
      <c r="C166" s="1217"/>
      <c r="D166" s="1217"/>
      <c r="E166" s="542">
        <v>33.75</v>
      </c>
      <c r="F166" s="3" t="str" cm="1">
        <f t="array" aca="1" ref="F166" ca="1">OFFSET(E166,-1,1)</f>
        <v>2</v>
      </c>
      <c r="G166" s="348"/>
      <c r="H166" s="4"/>
      <c r="I166" s="348" t="s">
        <v>512</v>
      </c>
      <c r="J166" s="1217"/>
      <c r="K166" s="43"/>
      <c r="L166" s="43"/>
      <c r="M166" s="43"/>
      <c r="N166" s="1217"/>
      <c r="O166" s="1217"/>
      <c r="P166" s="1217"/>
      <c r="Q166" s="1217"/>
      <c r="R166" s="1217"/>
      <c r="S166" s="1321"/>
      <c r="T166" s="388" t="b" cm="1">
        <f t="array" ref="T166">T165</f>
        <v>1</v>
      </c>
      <c r="U166" s="1217"/>
      <c r="V166" s="1217"/>
      <c r="W166" s="1217"/>
      <c r="X166" s="2032"/>
      <c r="Y166" s="1217"/>
      <c r="Z166" s="2012"/>
      <c r="AA166" s="1217"/>
      <c r="AB166" s="217" t="s">
        <v>282</v>
      </c>
      <c r="AC166" s="374" t="s">
        <v>1526</v>
      </c>
      <c r="AD166" s="218" t="s">
        <v>1527</v>
      </c>
      <c r="AE166" s="686" t="s">
        <v>831</v>
      </c>
      <c r="AF166" s="846">
        <f>AF167+AF168</f>
        <v>0</v>
      </c>
      <c r="AG166" s="846">
        <f>AG167+AG168</f>
        <v>0</v>
      </c>
      <c r="AH166" s="765"/>
      <c r="AI166" s="1217"/>
      <c r="AJ166" s="1217"/>
      <c r="AK166" s="1217"/>
      <c r="AL166" s="906" t="s">
        <v>1528</v>
      </c>
      <c r="AM166" s="1217"/>
      <c r="AN166" s="1217"/>
      <c r="AO166" s="1217"/>
      <c r="AP166" s="1217"/>
      <c r="AQ166" s="1217"/>
    </row>
    <row r="167" spans="1:43" s="1334" customFormat="1" ht="43.5" customHeight="1" x14ac:dyDescent="0.15">
      <c r="A167" s="1217"/>
      <c r="B167" s="1111"/>
      <c r="C167" s="1217"/>
      <c r="D167" s="1217"/>
      <c r="E167" s="542">
        <v>45</v>
      </c>
      <c r="F167" s="3" t="str" cm="1">
        <f t="array" aca="1" ref="F167" ca="1">OFFSET(E167,-1,1)</f>
        <v>2</v>
      </c>
      <c r="G167" s="348"/>
      <c r="H167" s="4"/>
      <c r="I167" s="348" t="s">
        <v>1529</v>
      </c>
      <c r="J167" s="1217"/>
      <c r="K167" s="43"/>
      <c r="L167" s="43"/>
      <c r="M167" s="43"/>
      <c r="N167" s="1217"/>
      <c r="O167" s="1217"/>
      <c r="P167" s="1217"/>
      <c r="Q167" s="1217"/>
      <c r="R167" s="1217"/>
      <c r="S167" s="1321"/>
      <c r="T167" s="388" t="b" cm="1">
        <f t="array" ref="T167">T166</f>
        <v>1</v>
      </c>
      <c r="U167" s="1217"/>
      <c r="V167" s="1217"/>
      <c r="W167" s="1217"/>
      <c r="X167" s="2032"/>
      <c r="Y167" s="1217"/>
      <c r="Z167" s="2012"/>
      <c r="AA167" s="1217"/>
      <c r="AB167" s="217" t="s">
        <v>910</v>
      </c>
      <c r="AC167" s="682" t="s">
        <v>1530</v>
      </c>
      <c r="AD167" s="218" t="s">
        <v>1531</v>
      </c>
      <c r="AE167" s="686" t="s">
        <v>831</v>
      </c>
      <c r="AF167" s="216"/>
      <c r="AG167" s="216"/>
      <c r="AH167" s="765"/>
      <c r="AI167" s="1217"/>
      <c r="AJ167" s="1217"/>
      <c r="AK167" s="1217"/>
      <c r="AL167" s="906" t="s">
        <v>1532</v>
      </c>
      <c r="AM167" s="1217"/>
      <c r="AN167" s="1217"/>
      <c r="AO167" s="1217"/>
      <c r="AP167" s="1217"/>
      <c r="AQ167" s="1217"/>
    </row>
    <row r="168" spans="1:43" s="1334" customFormat="1" ht="32.25" customHeight="1" x14ac:dyDescent="0.15">
      <c r="A168" s="1217"/>
      <c r="B168" s="1111"/>
      <c r="C168" s="1217"/>
      <c r="D168" s="1217"/>
      <c r="E168" s="542">
        <v>33.75</v>
      </c>
      <c r="F168" s="3" t="str" cm="1">
        <f t="array" aca="1" ref="F168" ca="1">OFFSET(E168,-1,1)</f>
        <v>2</v>
      </c>
      <c r="G168" s="348"/>
      <c r="H168" s="4"/>
      <c r="I168" s="348" t="s">
        <v>1533</v>
      </c>
      <c r="J168" s="1217"/>
      <c r="K168" s="43"/>
      <c r="L168" s="43"/>
      <c r="M168" s="43"/>
      <c r="N168" s="1217"/>
      <c r="O168" s="1217"/>
      <c r="P168" s="1217"/>
      <c r="Q168" s="1217"/>
      <c r="R168" s="1217"/>
      <c r="S168" s="1321"/>
      <c r="T168" s="388" t="b" cm="1">
        <f t="array" ref="T168">T167</f>
        <v>1</v>
      </c>
      <c r="U168" s="1217"/>
      <c r="V168" s="1217"/>
      <c r="W168" s="1217"/>
      <c r="X168" s="2032"/>
      <c r="Y168" s="1217"/>
      <c r="Z168" s="2012"/>
      <c r="AA168" s="1217"/>
      <c r="AB168" s="217" t="s">
        <v>913</v>
      </c>
      <c r="AC168" s="682" t="s">
        <v>1534</v>
      </c>
      <c r="AD168" s="218" t="s">
        <v>1535</v>
      </c>
      <c r="AE168" s="686" t="s">
        <v>831</v>
      </c>
      <c r="AF168" s="216"/>
      <c r="AG168" s="216"/>
      <c r="AH168" s="765"/>
      <c r="AI168" s="1217"/>
      <c r="AJ168" s="1217"/>
      <c r="AK168" s="1217"/>
      <c r="AL168" s="906" t="s">
        <v>1536</v>
      </c>
      <c r="AM168" s="1217"/>
      <c r="AN168" s="1217"/>
      <c r="AO168" s="1217"/>
      <c r="AP168" s="1217"/>
      <c r="AQ168" s="1217"/>
    </row>
    <row r="169" spans="1:43" s="1334" customFormat="1" ht="33.75" customHeight="1" x14ac:dyDescent="0.15">
      <c r="A169" s="1217"/>
      <c r="B169" s="1111"/>
      <c r="C169" s="1217"/>
      <c r="D169" s="1217"/>
      <c r="E169" s="542">
        <v>35</v>
      </c>
      <c r="F169" s="3" t="str" cm="1">
        <f t="array" aca="1" ref="F169" ca="1">OFFSET(E169,-1,1)</f>
        <v>2</v>
      </c>
      <c r="G169" s="348"/>
      <c r="H169" s="4"/>
      <c r="I169" s="348" t="s">
        <v>333</v>
      </c>
      <c r="J169" s="1217"/>
      <c r="K169" s="43" t="str">
        <f ca="1">F169&amp;"1komm"</f>
        <v>21komm</v>
      </c>
      <c r="L169" s="832" cm="1">
        <f t="array" ref="L169">AH169</f>
        <v>0</v>
      </c>
      <c r="M169" s="43"/>
      <c r="N169" s="1217"/>
      <c r="O169" s="1217"/>
      <c r="P169" s="1217"/>
      <c r="Q169" s="1217"/>
      <c r="R169" s="1217"/>
      <c r="S169" s="1321"/>
      <c r="T169" s="388" t="b" cm="1">
        <f t="array" ref="T169">T168</f>
        <v>1</v>
      </c>
      <c r="U169" s="1217"/>
      <c r="V169" s="1217"/>
      <c r="W169" s="1217"/>
      <c r="X169" s="2032"/>
      <c r="Y169" s="1217"/>
      <c r="Z169" s="2012"/>
      <c r="AA169" s="1217"/>
      <c r="AB169" s="153" t="s">
        <v>1537</v>
      </c>
      <c r="AC169" s="131" t="s">
        <v>1538</v>
      </c>
      <c r="AD169" s="130" t="s">
        <v>1539</v>
      </c>
      <c r="AE169" s="153" t="s">
        <v>831</v>
      </c>
      <c r="AF169" s="298"/>
      <c r="AG169" s="298"/>
      <c r="AH169" s="765"/>
      <c r="AI169" s="1217"/>
      <c r="AJ169" s="1217"/>
      <c r="AK169" s="1217"/>
      <c r="AL169" s="906" t="s">
        <v>1540</v>
      </c>
      <c r="AM169" s="1217"/>
      <c r="AN169" s="1217"/>
      <c r="AO169" s="1217"/>
      <c r="AP169" s="1217"/>
      <c r="AQ169" s="1217"/>
    </row>
    <row r="170" spans="1:43" s="1334" customFormat="1" ht="107.25" customHeight="1" x14ac:dyDescent="0.15">
      <c r="A170" s="1217"/>
      <c r="B170" s="1111"/>
      <c r="C170" s="1217"/>
      <c r="D170" s="1217"/>
      <c r="E170" s="542">
        <v>110</v>
      </c>
      <c r="F170" s="3" t="str" cm="1">
        <f t="array" aca="1" ref="F170" ca="1">OFFSET(E170,-1,1)</f>
        <v>2</v>
      </c>
      <c r="G170" s="348"/>
      <c r="H170" s="4"/>
      <c r="I170" s="348" t="s">
        <v>335</v>
      </c>
      <c r="J170" s="1217"/>
      <c r="K170" s="43" t="str">
        <f ca="1">F170&amp;"2komm"</f>
        <v>22komm</v>
      </c>
      <c r="L170" s="832" cm="1">
        <f t="array" ref="L170">AH170</f>
        <v>0</v>
      </c>
      <c r="M170" s="43"/>
      <c r="N170" s="1217"/>
      <c r="O170" s="1217"/>
      <c r="P170" s="1217"/>
      <c r="Q170" s="1217"/>
      <c r="R170" s="1217"/>
      <c r="S170" s="1321"/>
      <c r="T170" s="388" t="b" cm="1">
        <f t="array" ref="T170">T169</f>
        <v>1</v>
      </c>
      <c r="U170" s="1217"/>
      <c r="V170" s="1217"/>
      <c r="W170" s="1217"/>
      <c r="X170" s="2032"/>
      <c r="Y170" s="1217"/>
      <c r="Z170" s="2012"/>
      <c r="AA170" s="1217"/>
      <c r="AB170" s="153" t="s">
        <v>1541</v>
      </c>
      <c r="AC170" s="131" t="s">
        <v>1542</v>
      </c>
      <c r="AD170" s="130" t="s">
        <v>1543</v>
      </c>
      <c r="AE170" s="153" t="s">
        <v>831</v>
      </c>
      <c r="AF170" s="298"/>
      <c r="AG170" s="298"/>
      <c r="AH170" s="765"/>
      <c r="AI170" s="1217"/>
      <c r="AJ170" s="1217"/>
      <c r="AK170" s="1217"/>
      <c r="AL170" s="906" t="s">
        <v>1026</v>
      </c>
      <c r="AM170" s="1217"/>
      <c r="AN170" s="1217"/>
      <c r="AO170" s="1217"/>
      <c r="AP170" s="1217"/>
      <c r="AQ170" s="1217"/>
    </row>
    <row r="171" spans="1:43" s="1334" customFormat="1" ht="76.5" customHeight="1" x14ac:dyDescent="0.25">
      <c r="A171" s="1217"/>
      <c r="B171" s="350" t="b">
        <f>S129="Водоотведение"</f>
        <v>1</v>
      </c>
      <c r="C171" s="1217"/>
      <c r="D171" s="1217"/>
      <c r="E171" s="542">
        <v>78.75</v>
      </c>
      <c r="F171" s="3" t="str" cm="1">
        <f t="array" aca="1" ref="F171" ca="1">OFFSET(E171,-1,1)</f>
        <v>2</v>
      </c>
      <c r="G171" s="930"/>
      <c r="H171" s="2"/>
      <c r="I171" s="41" t="s">
        <v>334</v>
      </c>
      <c r="J171" s="1217"/>
      <c r="K171" s="43" t="str">
        <f ca="1">F171&amp;"3komm"</f>
        <v>23komm</v>
      </c>
      <c r="L171" s="832" cm="1">
        <f t="array" ref="L171">AH171</f>
        <v>0</v>
      </c>
      <c r="M171" s="43"/>
      <c r="N171" s="1217"/>
      <c r="O171" s="1217"/>
      <c r="P171" s="1217"/>
      <c r="Q171" s="1217"/>
      <c r="R171" s="1217"/>
      <c r="S171" s="1321"/>
      <c r="T171" s="388" t="b" cm="1">
        <f t="array" ref="T171">T170</f>
        <v>1</v>
      </c>
      <c r="U171" s="1217"/>
      <c r="V171" s="1217"/>
      <c r="W171" s="1217"/>
      <c r="X171" s="2032"/>
      <c r="Y171" s="1217"/>
      <c r="Z171" s="2012"/>
      <c r="AA171" s="1217"/>
      <c r="AB171" s="153" t="s">
        <v>1544</v>
      </c>
      <c r="AC171" s="131" t="s">
        <v>1545</v>
      </c>
      <c r="AD171" s="130"/>
      <c r="AE171" s="153" t="s">
        <v>831</v>
      </c>
      <c r="AF171" s="298"/>
      <c r="AG171" s="144">
        <f ca="1">IFERROR(SUMIFS('Плата за негативное возд'!$AL$24:$AL$35,'Плата за негативное возд'!$F$24:$F$35,F171,'Плата за негативное возд'!$AB$24:$AB$35,"1"),0)</f>
        <v>15759.841990000001</v>
      </c>
      <c r="AH171" s="765"/>
      <c r="AI171" s="1217"/>
      <c r="AJ171" s="1217"/>
      <c r="AK171" s="1217"/>
      <c r="AL171" s="906" t="s">
        <v>1546</v>
      </c>
      <c r="AM171" s="1217"/>
      <c r="AN171" s="1217"/>
      <c r="AO171" s="1217"/>
      <c r="AP171" s="1217"/>
      <c r="AQ171" s="1217"/>
    </row>
    <row r="172" spans="1:43" s="1334" customFormat="1" ht="54.75" customHeight="1" x14ac:dyDescent="0.25">
      <c r="A172" s="1217"/>
      <c r="B172" s="350" t="b" cm="1">
        <f t="array" ref="B172">B171</f>
        <v>1</v>
      </c>
      <c r="C172" s="1217"/>
      <c r="D172" s="1217"/>
      <c r="E172" s="542">
        <v>56.25</v>
      </c>
      <c r="F172" s="3" t="str" cm="1">
        <f t="array" aca="1" ref="F172" ca="1">OFFSET(E172,-1,1)</f>
        <v>2</v>
      </c>
      <c r="G172" s="930"/>
      <c r="H172" s="2"/>
      <c r="I172" s="41" t="s">
        <v>544</v>
      </c>
      <c r="J172" s="1217"/>
      <c r="K172" s="43" t="str">
        <f ca="1">F172&amp;"4komm"</f>
        <v>24komm</v>
      </c>
      <c r="L172" s="832" cm="1">
        <f t="array" ref="L172">AH172</f>
        <v>0</v>
      </c>
      <c r="M172" s="43"/>
      <c r="N172" s="1217"/>
      <c r="O172" s="1217"/>
      <c r="P172" s="1217"/>
      <c r="Q172" s="1217"/>
      <c r="R172" s="1217"/>
      <c r="S172" s="1321"/>
      <c r="T172" s="388" t="b" cm="1">
        <f t="array" ref="T172">T171</f>
        <v>1</v>
      </c>
      <c r="U172" s="1217"/>
      <c r="V172" s="1217"/>
      <c r="W172" s="1217"/>
      <c r="X172" s="2032"/>
      <c r="Y172" s="1217"/>
      <c r="Z172" s="2012"/>
      <c r="AA172" s="1217"/>
      <c r="AB172" s="153" t="s">
        <v>1547</v>
      </c>
      <c r="AC172" s="131" t="s">
        <v>1548</v>
      </c>
      <c r="AD172" s="130"/>
      <c r="AE172" s="153" t="s">
        <v>831</v>
      </c>
      <c r="AF172" s="298"/>
      <c r="AG172" s="144">
        <f ca="1">IFERROR(SUMIFS('Плата за негативное возд'!$AL$24:$AL$35,'Плата за негативное возд'!$F$24:$F$35,F172,'Плата за негативное возд'!$AB$24:$AB$35,"2"),0)</f>
        <v>3931.6792299999997</v>
      </c>
      <c r="AH172" s="765"/>
      <c r="AI172" s="1217"/>
      <c r="AJ172" s="1217"/>
      <c r="AK172" s="1217"/>
      <c r="AL172" s="906" t="s">
        <v>1549</v>
      </c>
      <c r="AM172" s="1217"/>
      <c r="AN172" s="1217"/>
      <c r="AO172" s="1217"/>
      <c r="AP172" s="1217"/>
      <c r="AQ172" s="1217"/>
    </row>
    <row r="173" spans="1:43" s="1334" customFormat="1" ht="14.25" customHeight="1" x14ac:dyDescent="0.15">
      <c r="A173" s="1217"/>
      <c r="B173" s="1111"/>
      <c r="C173" s="1217"/>
      <c r="D173" s="1217"/>
      <c r="E173" s="542">
        <v>15</v>
      </c>
      <c r="F173" s="3" t="str" cm="1">
        <f t="array" aca="1" ref="F173" ca="1">OFFSET(E173,-1,1)</f>
        <v>2</v>
      </c>
      <c r="G173" s="930"/>
      <c r="H173" s="4"/>
      <c r="I173" s="41" t="s">
        <v>547</v>
      </c>
      <c r="J173" s="1217"/>
      <c r="K173" s="43" t="str">
        <f ca="1">F173&amp;"5komm"</f>
        <v>25komm</v>
      </c>
      <c r="L173" s="832" cm="1">
        <f t="array" ref="L173">AH173</f>
        <v>0</v>
      </c>
      <c r="M173" s="43"/>
      <c r="N173" s="1217"/>
      <c r="O173" s="1217"/>
      <c r="P173" s="1217"/>
      <c r="Q173" s="1217"/>
      <c r="R173" s="1217"/>
      <c r="S173" s="1321"/>
      <c r="T173" s="388" t="b" cm="1">
        <f t="array" ref="T173">T172</f>
        <v>1</v>
      </c>
      <c r="U173" s="1217"/>
      <c r="V173" s="1217"/>
      <c r="W173" s="1217"/>
      <c r="X173" s="2032"/>
      <c r="Y173" s="1217"/>
      <c r="Z173" s="2012"/>
      <c r="AA173" s="1217"/>
      <c r="AB173" s="153" t="str">
        <f>IF(B172,"VII","V")</f>
        <v>VII</v>
      </c>
      <c r="AC173" s="131" t="s">
        <v>1550</v>
      </c>
      <c r="AD173" s="130"/>
      <c r="AE173" s="153" t="s">
        <v>831</v>
      </c>
      <c r="AF173" s="298"/>
      <c r="AG173" s="298"/>
      <c r="AH173" s="765"/>
      <c r="AI173" s="1217"/>
      <c r="AJ173" s="1217"/>
      <c r="AK173" s="1217"/>
      <c r="AL173" s="906" t="s">
        <v>1551</v>
      </c>
      <c r="AM173" s="1217"/>
      <c r="AN173" s="1217"/>
      <c r="AO173" s="1217"/>
      <c r="AP173" s="1217"/>
      <c r="AQ173" s="1217"/>
    </row>
    <row r="174" spans="1:43" s="1439" customFormat="1" ht="14.25" customHeight="1" x14ac:dyDescent="0.15">
      <c r="A174" s="621"/>
      <c r="B174" s="353"/>
      <c r="C174" s="621"/>
      <c r="D174" s="621"/>
      <c r="E174" s="614">
        <v>15</v>
      </c>
      <c r="F174" s="3" t="str" cm="1">
        <f t="array" aca="1" ref="F174" ca="1">OFFSET(E174,-1,1)</f>
        <v>2</v>
      </c>
      <c r="G174" s="420"/>
      <c r="H174" s="621"/>
      <c r="I174" s="160" t="s">
        <v>591</v>
      </c>
      <c r="J174" s="621"/>
      <c r="K174" s="43" t="str">
        <f ca="1">F174&amp;"6komm"</f>
        <v>26komm</v>
      </c>
      <c r="L174" s="832" cm="1">
        <f t="array" ref="L174">AH174</f>
        <v>0</v>
      </c>
      <c r="M174" s="420"/>
      <c r="N174" s="621"/>
      <c r="O174" s="621"/>
      <c r="P174" s="621"/>
      <c r="Q174" s="621"/>
      <c r="R174" s="621"/>
      <c r="S174" s="621"/>
      <c r="T174" s="388" t="b" cm="1">
        <f t="array" ref="T174">T173</f>
        <v>1</v>
      </c>
      <c r="U174" s="621"/>
      <c r="V174" s="621"/>
      <c r="W174" s="621"/>
      <c r="X174" s="2032"/>
      <c r="Y174" s="621"/>
      <c r="Z174" s="2012"/>
      <c r="AA174" s="621"/>
      <c r="AB174" s="153" t="str">
        <f>IF(B172,"VIII","VI")</f>
        <v>VIII</v>
      </c>
      <c r="AC174" s="131" t="s">
        <v>1512</v>
      </c>
      <c r="AD174" s="130"/>
      <c r="AE174" s="153" t="s">
        <v>831</v>
      </c>
      <c r="AF174" s="298">
        <f>AF175+AF176</f>
        <v>0</v>
      </c>
      <c r="AG174" s="298">
        <f>AG175+AG176</f>
        <v>0</v>
      </c>
      <c r="AH174" s="765"/>
      <c r="AI174" s="621"/>
      <c r="AJ174" s="621"/>
      <c r="AK174" s="621"/>
      <c r="AL174" s="960" t="s">
        <v>1552</v>
      </c>
      <c r="AM174" s="621"/>
      <c r="AN174" s="621"/>
      <c r="AO174" s="621"/>
      <c r="AP174" s="621"/>
      <c r="AQ174" s="621"/>
    </row>
    <row r="175" spans="1:43" s="1334" customFormat="1" ht="21.75" customHeight="1" x14ac:dyDescent="0.15">
      <c r="A175" s="1217"/>
      <c r="B175" s="1111"/>
      <c r="C175" s="1217"/>
      <c r="D175" s="1217"/>
      <c r="E175" s="542">
        <v>22.5</v>
      </c>
      <c r="F175" s="3" t="str" cm="1">
        <f t="array" aca="1" ref="F175" ca="1">OFFSET(E175,-1,1)</f>
        <v>2</v>
      </c>
      <c r="G175" s="930"/>
      <c r="H175" s="4"/>
      <c r="I175" s="41" t="s">
        <v>594</v>
      </c>
      <c r="J175" s="1217"/>
      <c r="K175" s="43" t="str">
        <f ca="1">F175&amp;"7komm"</f>
        <v>27komm</v>
      </c>
      <c r="L175" s="832" cm="1">
        <f t="array" ref="L175">AH175</f>
        <v>0</v>
      </c>
      <c r="M175" s="43"/>
      <c r="N175" s="1217"/>
      <c r="O175" s="1217"/>
      <c r="P175" s="1217"/>
      <c r="Q175" s="1217"/>
      <c r="R175" s="1217"/>
      <c r="S175" s="1321"/>
      <c r="T175" s="388" t="b" cm="1">
        <f t="array" ref="T175">T174</f>
        <v>1</v>
      </c>
      <c r="U175" s="1217"/>
      <c r="V175" s="1217"/>
      <c r="W175" s="1217"/>
      <c r="X175" s="2032"/>
      <c r="Y175" s="1217"/>
      <c r="Z175" s="2012"/>
      <c r="AA175" s="1217"/>
      <c r="AB175" s="686">
        <v>1</v>
      </c>
      <c r="AC175" s="682" t="s">
        <v>1515</v>
      </c>
      <c r="AD175" s="218"/>
      <c r="AE175" s="686" t="s">
        <v>831</v>
      </c>
      <c r="AF175" s="216"/>
      <c r="AG175" s="216"/>
      <c r="AH175" s="765"/>
      <c r="AI175" s="1217"/>
      <c r="AJ175" s="1217"/>
      <c r="AK175" s="1217"/>
      <c r="AL175" s="906" t="s">
        <v>1553</v>
      </c>
      <c r="AM175" s="1217"/>
      <c r="AN175" s="1217"/>
      <c r="AO175" s="1217"/>
      <c r="AP175" s="1217"/>
      <c r="AQ175" s="1217"/>
    </row>
    <row r="176" spans="1:43" s="1334" customFormat="1" ht="21.75" customHeight="1" x14ac:dyDescent="0.15">
      <c r="A176" s="1217"/>
      <c r="B176" s="1111"/>
      <c r="C176" s="1217"/>
      <c r="D176" s="1217"/>
      <c r="E176" s="542">
        <v>22.5</v>
      </c>
      <c r="F176" s="3" t="str" cm="1">
        <f t="array" aca="1" ref="F176" ca="1">OFFSET(E176,-1,1)</f>
        <v>2</v>
      </c>
      <c r="G176" s="930"/>
      <c r="H176" s="4"/>
      <c r="I176" s="41" t="s">
        <v>598</v>
      </c>
      <c r="J176" s="1217"/>
      <c r="K176" s="43" t="str">
        <f ca="1">F176&amp;"8komm"</f>
        <v>28komm</v>
      </c>
      <c r="L176" s="832" cm="1">
        <f t="array" ref="L176">AH176</f>
        <v>0</v>
      </c>
      <c r="M176" s="43"/>
      <c r="N176" s="1217"/>
      <c r="O176" s="1217"/>
      <c r="P176" s="1217"/>
      <c r="Q176" s="1217"/>
      <c r="R176" s="1217"/>
      <c r="S176" s="1321"/>
      <c r="T176" s="388" t="b" cm="1">
        <f t="array" ref="T176">T175</f>
        <v>1</v>
      </c>
      <c r="U176" s="1217"/>
      <c r="V176" s="1217"/>
      <c r="W176" s="1217"/>
      <c r="X176" s="2032"/>
      <c r="Y176" s="1217"/>
      <c r="Z176" s="2012"/>
      <c r="AA176" s="1217"/>
      <c r="AB176" s="686">
        <v>2</v>
      </c>
      <c r="AC176" s="682" t="s">
        <v>1517</v>
      </c>
      <c r="AD176" s="218"/>
      <c r="AE176" s="686" t="s">
        <v>831</v>
      </c>
      <c r="AF176" s="216"/>
      <c r="AG176" s="216"/>
      <c r="AH176" s="765"/>
      <c r="AI176" s="1217"/>
      <c r="AJ176" s="1217"/>
      <c r="AK176" s="1217"/>
      <c r="AL176" s="906" t="s">
        <v>1554</v>
      </c>
      <c r="AM176" s="1217"/>
      <c r="AN176" s="1217"/>
      <c r="AO176" s="1217"/>
      <c r="AP176" s="1217"/>
      <c r="AQ176" s="1217"/>
    </row>
    <row r="177" spans="1:43" s="1334" customFormat="1" ht="14.25" customHeight="1" x14ac:dyDescent="0.15">
      <c r="A177" s="1217"/>
      <c r="B177" s="1111"/>
      <c r="C177" s="1217"/>
      <c r="D177" s="1217"/>
      <c r="E177" s="542">
        <v>15</v>
      </c>
      <c r="F177" s="3" t="str" cm="1">
        <f t="array" aca="1" ref="F177" ca="1">OFFSET(E177,-1,1)</f>
        <v>2</v>
      </c>
      <c r="G177" s="930"/>
      <c r="H177" s="4"/>
      <c r="I177" s="41" t="s">
        <v>606</v>
      </c>
      <c r="J177" s="1217"/>
      <c r="K177" s="43" t="str">
        <f ca="1">F177&amp;"9komm"</f>
        <v>29komm</v>
      </c>
      <c r="L177" s="832" cm="1">
        <f t="array" ref="L177">AH177</f>
        <v>0</v>
      </c>
      <c r="M177" s="43"/>
      <c r="N177" s="1217"/>
      <c r="O177" s="1217"/>
      <c r="P177" s="1217"/>
      <c r="Q177" s="1217"/>
      <c r="R177" s="1217"/>
      <c r="S177" s="1321"/>
      <c r="T177" s="388" t="b" cm="1">
        <f t="array" ref="T177">T176</f>
        <v>1</v>
      </c>
      <c r="U177" s="1217"/>
      <c r="V177" s="1217"/>
      <c r="W177" s="1217"/>
      <c r="X177" s="2032"/>
      <c r="Y177" s="1217"/>
      <c r="Z177" s="2012"/>
      <c r="AA177" s="1217"/>
      <c r="AB177" s="153" t="str">
        <f>IF(B172,"IX","VIII")</f>
        <v>IX</v>
      </c>
      <c r="AC177" s="131" t="s">
        <v>1519</v>
      </c>
      <c r="AD177" s="130"/>
      <c r="AE177" s="153" t="s">
        <v>831</v>
      </c>
      <c r="AF177" s="298"/>
      <c r="AG177" s="298"/>
      <c r="AH177" s="765"/>
      <c r="AI177" s="1217"/>
      <c r="AJ177" s="1217"/>
      <c r="AK177" s="1217"/>
      <c r="AL177" s="906" t="s">
        <v>1555</v>
      </c>
      <c r="AM177" s="1217"/>
      <c r="AN177" s="1217"/>
      <c r="AO177" s="1217"/>
      <c r="AP177" s="1217"/>
      <c r="AQ177" s="1217"/>
    </row>
    <row r="178" spans="1:43" s="1334" customFormat="1" ht="14.25" customHeight="1" x14ac:dyDescent="0.15">
      <c r="A178" s="1217"/>
      <c r="B178" s="1111"/>
      <c r="C178" s="1217"/>
      <c r="D178" s="1217"/>
      <c r="E178" s="542">
        <v>15</v>
      </c>
      <c r="F178" s="3" t="str" cm="1">
        <f t="array" aca="1" ref="F178" ca="1">OFFSET(E178,-1,1)</f>
        <v>2</v>
      </c>
      <c r="G178" s="930"/>
      <c r="H178" s="4"/>
      <c r="I178" s="41" t="s">
        <v>613</v>
      </c>
      <c r="J178" s="1217"/>
      <c r="K178" s="43" t="str">
        <f ca="1">F178&amp;"10komm"</f>
        <v>210komm</v>
      </c>
      <c r="L178" s="832" cm="1">
        <f t="array" ref="L178">AH178</f>
        <v>0</v>
      </c>
      <c r="M178" s="43"/>
      <c r="N178" s="1217"/>
      <c r="O178" s="1217"/>
      <c r="P178" s="1217"/>
      <c r="Q178" s="1217"/>
      <c r="R178" s="1217"/>
      <c r="S178" s="1321"/>
      <c r="T178" s="388" t="b" cm="1">
        <f t="array" ref="T178">T177</f>
        <v>1</v>
      </c>
      <c r="U178" s="1217"/>
      <c r="V178" s="1217"/>
      <c r="W178" s="1217"/>
      <c r="X178" s="2032"/>
      <c r="Y178" s="1217"/>
      <c r="Z178" s="2012"/>
      <c r="AA178" s="1217"/>
      <c r="AB178" s="153" t="str">
        <f>IF(B172,"X","IX")</f>
        <v>X</v>
      </c>
      <c r="AC178" s="131" t="s">
        <v>1521</v>
      </c>
      <c r="AD178" s="130"/>
      <c r="AE178" s="153" t="s">
        <v>831</v>
      </c>
      <c r="AF178" s="298"/>
      <c r="AG178" s="298"/>
      <c r="AH178" s="765"/>
      <c r="AI178" s="1217"/>
      <c r="AJ178" s="1217"/>
      <c r="AK178" s="1217"/>
      <c r="AL178" s="906" t="s">
        <v>1556</v>
      </c>
      <c r="AM178" s="1217"/>
      <c r="AN178" s="1217"/>
      <c r="AO178" s="1217"/>
      <c r="AP178" s="1217"/>
      <c r="AQ178" s="1217"/>
    </row>
    <row r="179" spans="1:43" s="1440" customFormat="1" ht="14.25" customHeight="1" x14ac:dyDescent="0.15">
      <c r="A179" s="621"/>
      <c r="B179" s="353"/>
      <c r="C179" s="621"/>
      <c r="D179" s="621"/>
      <c r="E179" s="614">
        <v>15</v>
      </c>
      <c r="F179" s="3" t="str" cm="1">
        <f t="array" aca="1" ref="F179" ca="1">OFFSET(E179,-1,1)</f>
        <v>2</v>
      </c>
      <c r="G179" s="420"/>
      <c r="H179" s="621"/>
      <c r="I179" s="160" t="s">
        <v>770</v>
      </c>
      <c r="J179" s="621"/>
      <c r="K179" s="43" t="str">
        <f ca="1">F179&amp;"11komm"</f>
        <v>211komm</v>
      </c>
      <c r="L179" s="832" cm="1">
        <f t="array" ref="L179">AH179</f>
        <v>0</v>
      </c>
      <c r="M179" s="420"/>
      <c r="N179" s="621"/>
      <c r="O179" s="621"/>
      <c r="P179" s="621"/>
      <c r="Q179" s="621"/>
      <c r="R179" s="621"/>
      <c r="S179" s="621"/>
      <c r="T179" s="388" t="b" cm="1">
        <f t="array" ref="T179">T178</f>
        <v>1</v>
      </c>
      <c r="U179" s="621"/>
      <c r="V179" s="621"/>
      <c r="W179" s="621"/>
      <c r="X179" s="2032"/>
      <c r="Y179" s="621"/>
      <c r="Z179" s="2012"/>
      <c r="AA179" s="621"/>
      <c r="AB179" s="153" t="str">
        <f>IF(B172,"XI","X")</f>
        <v>XI</v>
      </c>
      <c r="AC179" s="138" t="s">
        <v>1557</v>
      </c>
      <c r="AD179" s="130"/>
      <c r="AE179" s="153" t="s">
        <v>831</v>
      </c>
      <c r="AF179" s="849">
        <f>AF130+AF165+AF169+AF170+AF171+AF172+AF173+AF174+AF177+AF178</f>
        <v>3885.6199999999953</v>
      </c>
      <c r="AG179" s="849">
        <f ca="1">AG130+AG165+AG169+AG170+AG171+AG172+AG173+AG174+AG177+AG178</f>
        <v>18419.459219999997</v>
      </c>
      <c r="AH179" s="765"/>
      <c r="AI179" s="621"/>
      <c r="AJ179" s="621"/>
      <c r="AK179" s="621"/>
      <c r="AL179" s="960" t="s">
        <v>1558</v>
      </c>
      <c r="AM179" s="621"/>
      <c r="AN179" s="621"/>
      <c r="AO179" s="621"/>
      <c r="AP179" s="621"/>
      <c r="AQ179" s="621"/>
    </row>
    <row r="180" spans="1:43" s="1334" customFormat="1" ht="10.9" customHeight="1" x14ac:dyDescent="0.15">
      <c r="B180" s="352"/>
      <c r="E180" s="548">
        <v>11.25</v>
      </c>
      <c r="G180" s="410"/>
      <c r="K180" s="43"/>
      <c r="L180" s="832"/>
      <c r="M180" s="410"/>
      <c r="T180"/>
      <c r="U180" s="405" t="s">
        <v>176</v>
      </c>
      <c r="V180" s="59" t="s">
        <v>1576</v>
      </c>
      <c r="AB180"/>
      <c r="AC180" s="405"/>
      <c r="AD180" s="405"/>
      <c r="AE180" s="405"/>
      <c r="AF180" s="405"/>
      <c r="AG180"/>
      <c r="AH180"/>
      <c r="AL180" s="913"/>
      <c r="AQ180" s="20"/>
    </row>
    <row r="181" spans="1:43" ht="14.65" customHeight="1" x14ac:dyDescent="0.15">
      <c r="E181" s="542">
        <v>15</v>
      </c>
      <c r="AB181" s="2035" t="s">
        <v>402</v>
      </c>
      <c r="AC181" s="2035"/>
      <c r="AD181" s="2035"/>
      <c r="AE181" s="2035"/>
      <c r="AF181" s="2035"/>
      <c r="AG181" s="2035"/>
      <c r="AH181" s="2035"/>
    </row>
    <row r="182" spans="1:43" ht="14.65" customHeight="1" x14ac:dyDescent="0.15">
      <c r="E182" s="542">
        <v>15</v>
      </c>
      <c r="AA182" s="92"/>
      <c r="AB182" s="2104"/>
      <c r="AC182" s="2104"/>
      <c r="AD182" s="2104"/>
      <c r="AE182" s="2104"/>
      <c r="AF182" s="2104"/>
      <c r="AG182" s="2104"/>
      <c r="AH182" s="2104"/>
    </row>
    <row r="183" spans="1:43" ht="14.65" hidden="1" customHeight="1" x14ac:dyDescent="0.15">
      <c r="E183" s="542">
        <v>15</v>
      </c>
      <c r="T183" s="388" t="b">
        <f>ROW(W183)&gt;ROW(W$183)</f>
        <v>0</v>
      </c>
      <c r="W183" s="677" t="s">
        <v>172</v>
      </c>
      <c r="AA183" s="342" t="s">
        <v>173</v>
      </c>
      <c r="AB183" s="2105" t="s">
        <v>147</v>
      </c>
      <c r="AC183" s="2105"/>
      <c r="AD183" s="2105"/>
      <c r="AE183" s="2105"/>
      <c r="AF183" s="2105"/>
      <c r="AG183" s="2105"/>
      <c r="AH183" s="2105"/>
    </row>
    <row r="184" spans="1:43" ht="14.65" customHeight="1" x14ac:dyDescent="0.15">
      <c r="E184" s="542">
        <v>15</v>
      </c>
      <c r="W184" s="677" t="s">
        <v>403</v>
      </c>
      <c r="AB184" s="571"/>
      <c r="AC184" s="437" t="s">
        <v>404</v>
      </c>
      <c r="AD184" s="227"/>
      <c r="AE184" s="227"/>
      <c r="AF184" s="227"/>
      <c r="AG184" s="227"/>
      <c r="AH184" s="299"/>
    </row>
    <row r="185" spans="1:43" ht="10.7" customHeight="1" x14ac:dyDescent="0.15">
      <c r="E185" s="542">
        <v>11</v>
      </c>
      <c r="AI185" s="348"/>
    </row>
    <row r="186" spans="1:43" ht="10.7" hidden="1" customHeight="1" x14ac:dyDescent="0.15">
      <c r="E186" s="542">
        <v>11</v>
      </c>
      <c r="AB186" s="416" t="s">
        <v>1577</v>
      </c>
    </row>
  </sheetData>
  <sheetProtection formatColumns="0" formatRows="0" insertRows="0" deleteColumns="0" deleteRows="0" sort="0" autoFilter="0"/>
  <mergeCells count="14">
    <mergeCell ref="AB181:AH181"/>
    <mergeCell ref="AB182:AH182"/>
    <mergeCell ref="AB183:AH183"/>
    <mergeCell ref="X27:X77"/>
    <mergeCell ref="Z27:Z77"/>
    <mergeCell ref="X78:X128"/>
    <mergeCell ref="Z78:Z128"/>
    <mergeCell ref="X129:X179"/>
    <mergeCell ref="Z129:Z179"/>
    <mergeCell ref="AH24:AH25"/>
    <mergeCell ref="AB24:AB25"/>
    <mergeCell ref="AC24:AC25"/>
    <mergeCell ref="AD24:AD25"/>
    <mergeCell ref="AE24:AE25"/>
  </mergeCells>
  <pageMargins left="0.35" right="0.35" top="0.4" bottom="0.4" header="0.31" footer="0.31"/>
  <pageSetup paperSize="9" scale="61" fitToHeight="0"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67E48-0C6E-3DF8-E078-32692D9C0338}">
  <sheetPr>
    <tabColor rgb="FF002060"/>
    <outlinePr summaryBelow="0" summaryRight="0"/>
  </sheetPr>
  <dimension ref="A1:GD202"/>
  <sheetViews>
    <sheetView showGridLines="0" tabSelected="1" workbookViewId="0">
      <pane xSplit="29" ySplit="26" topLeftCell="AD94" activePane="bottomRight" state="frozen"/>
      <selection pane="topRight" activeCell="AD1" sqref="AD1"/>
      <selection pane="bottomLeft" activeCell="A27" sqref="A27"/>
      <selection pane="bottomRight" activeCell="AD152" sqref="AD152"/>
    </sheetView>
  </sheetViews>
  <sheetFormatPr defaultColWidth="9.140625" defaultRowHeight="11.25" customHeight="1" x14ac:dyDescent="0.15"/>
  <cols>
    <col min="1" max="1" width="3.5703125" style="1214" hidden="1" customWidth="1"/>
    <col min="2" max="2" width="8.5703125" style="790" hidden="1" customWidth="1"/>
    <col min="3" max="4" width="3.5703125" style="1214" hidden="1" customWidth="1"/>
    <col min="5" max="5" width="3.5703125" style="1215" hidden="1" customWidth="1"/>
    <col min="6" max="6" width="5.42578125" style="1247" hidden="1" customWidth="1"/>
    <col min="7" max="7" width="19.42578125" style="1214" hidden="1" customWidth="1"/>
    <col min="8" max="10" width="3.5703125" style="1214" hidden="1" customWidth="1"/>
    <col min="11" max="11" width="6.42578125" style="1214" hidden="1" customWidth="1"/>
    <col min="12" max="12" width="8.5703125" style="1214" hidden="1" customWidth="1"/>
    <col min="13" max="16" width="3.5703125" style="1214" hidden="1" customWidth="1"/>
    <col min="17" max="17" width="18.85546875" style="1214" hidden="1" customWidth="1"/>
    <col min="18" max="18" width="17.7109375" style="1214" hidden="1" customWidth="1"/>
    <col min="19" max="19" width="11.85546875" style="1214" hidden="1" customWidth="1"/>
    <col min="20" max="20" width="9.42578125" style="1214" hidden="1" customWidth="1"/>
    <col min="21" max="21" width="5.85546875" style="1214" hidden="1" customWidth="1"/>
    <col min="22" max="23" width="6.140625" style="1214" hidden="1" customWidth="1"/>
    <col min="24" max="25" width="5.5703125" style="1214" hidden="1" customWidth="1"/>
    <col min="26" max="26" width="5.28515625" style="1214" hidden="1" customWidth="1"/>
    <col min="27" max="27" width="3" style="1214" customWidth="1"/>
    <col min="28" max="28" width="56" style="126" customWidth="1"/>
    <col min="29" max="29" width="12.5703125" style="1086" customWidth="1"/>
    <col min="30" max="32" width="14.140625" style="1214" customWidth="1"/>
    <col min="33" max="179" width="14.140625" style="1214" hidden="1" customWidth="1"/>
    <col min="180" max="180" width="3" style="1214" customWidth="1"/>
    <col min="181" max="181" width="9.140625" style="1214" hidden="1"/>
    <col min="182" max="182" width="31.7109375" style="1216" hidden="1" customWidth="1"/>
    <col min="183" max="184" width="9.140625" style="1216" hidden="1"/>
    <col min="185" max="186" width="9.140625" style="1215" hidden="1"/>
  </cols>
  <sheetData>
    <row r="1" spans="1:186" ht="11.25" hidden="1" customHeight="1" x14ac:dyDescent="0.15">
      <c r="E1" s="17"/>
      <c r="F1" s="417" t="s">
        <v>319</v>
      </c>
      <c r="H1" s="17" t="s">
        <v>330</v>
      </c>
      <c r="I1" s="17" t="s">
        <v>354</v>
      </c>
      <c r="T1" s="388" t="s">
        <v>92</v>
      </c>
      <c r="U1" s="388" t="s">
        <v>97</v>
      </c>
      <c r="V1" s="388" t="s">
        <v>93</v>
      </c>
      <c r="W1" s="388" t="s">
        <v>94</v>
      </c>
      <c r="X1" s="388" t="s">
        <v>95</v>
      </c>
      <c r="Y1" s="390" t="s">
        <v>321</v>
      </c>
      <c r="Z1" s="388" t="s">
        <v>99</v>
      </c>
      <c r="AA1" s="390" t="s">
        <v>96</v>
      </c>
      <c r="AB1" s="389" t="s">
        <v>98</v>
      </c>
      <c r="FZ1" s="924" t="s">
        <v>322</v>
      </c>
      <c r="GA1" s="924" t="s">
        <v>323</v>
      </c>
      <c r="GB1" s="924" t="s">
        <v>324</v>
      </c>
      <c r="GC1" s="556" t="s">
        <v>327</v>
      </c>
      <c r="GD1" s="556" t="s">
        <v>328</v>
      </c>
    </row>
    <row r="2" spans="1:186" s="1083" customFormat="1" ht="11.25" hidden="1" customHeight="1" x14ac:dyDescent="0.15">
      <c r="B2" s="837" t="s">
        <v>18</v>
      </c>
      <c r="F2" s="417"/>
      <c r="AB2" s="351"/>
      <c r="AC2" s="351"/>
      <c r="AG2" s="423" t="b">
        <f t="shared" ref="AG2:BL2" si="0">AG6&lt;=last_year_vis</f>
        <v>0</v>
      </c>
      <c r="AH2" s="423" t="b">
        <f t="shared" si="0"/>
        <v>0</v>
      </c>
      <c r="AI2" s="423" t="b">
        <f t="shared" si="0"/>
        <v>0</v>
      </c>
      <c r="AJ2" s="423" t="b">
        <f t="shared" si="0"/>
        <v>0</v>
      </c>
      <c r="AK2" s="423" t="b">
        <f t="shared" si="0"/>
        <v>0</v>
      </c>
      <c r="AL2" s="423" t="b">
        <f t="shared" si="0"/>
        <v>0</v>
      </c>
      <c r="AM2" s="423" t="b">
        <f t="shared" si="0"/>
        <v>0</v>
      </c>
      <c r="AN2" s="423" t="b">
        <f t="shared" si="0"/>
        <v>0</v>
      </c>
      <c r="AO2" s="423" t="b">
        <f t="shared" si="0"/>
        <v>0</v>
      </c>
      <c r="AP2" s="423" t="b">
        <f t="shared" si="0"/>
        <v>0</v>
      </c>
      <c r="AQ2" s="423" t="b">
        <f t="shared" si="0"/>
        <v>0</v>
      </c>
      <c r="AR2" s="423" t="b">
        <f t="shared" si="0"/>
        <v>0</v>
      </c>
      <c r="AS2" s="423" t="b">
        <f t="shared" si="0"/>
        <v>0</v>
      </c>
      <c r="AT2" s="423" t="b">
        <f t="shared" si="0"/>
        <v>0</v>
      </c>
      <c r="AU2" s="423" t="b">
        <f t="shared" si="0"/>
        <v>0</v>
      </c>
      <c r="AV2" s="423" t="b">
        <f t="shared" si="0"/>
        <v>0</v>
      </c>
      <c r="AW2" s="423" t="b">
        <f t="shared" si="0"/>
        <v>0</v>
      </c>
      <c r="AX2" s="423" t="b">
        <f t="shared" si="0"/>
        <v>0</v>
      </c>
      <c r="AY2" s="423" t="b">
        <f t="shared" si="0"/>
        <v>0</v>
      </c>
      <c r="AZ2" s="423" t="b">
        <f t="shared" si="0"/>
        <v>0</v>
      </c>
      <c r="BA2" s="423" t="b">
        <f t="shared" si="0"/>
        <v>0</v>
      </c>
      <c r="BB2" s="423" t="b">
        <f t="shared" si="0"/>
        <v>0</v>
      </c>
      <c r="BC2" s="423" t="b">
        <f t="shared" si="0"/>
        <v>0</v>
      </c>
      <c r="BD2" s="423" t="b">
        <f t="shared" si="0"/>
        <v>0</v>
      </c>
      <c r="BE2" s="423" t="b">
        <f t="shared" si="0"/>
        <v>0</v>
      </c>
      <c r="BF2" s="423" t="b">
        <f t="shared" si="0"/>
        <v>0</v>
      </c>
      <c r="BG2" s="423" t="b">
        <f t="shared" si="0"/>
        <v>0</v>
      </c>
      <c r="BH2" s="423" t="b">
        <f t="shared" si="0"/>
        <v>0</v>
      </c>
      <c r="BI2" s="423" t="b">
        <f t="shared" si="0"/>
        <v>0</v>
      </c>
      <c r="BJ2" s="423" t="b">
        <f t="shared" si="0"/>
        <v>0</v>
      </c>
      <c r="BK2" s="423" t="b">
        <f t="shared" si="0"/>
        <v>0</v>
      </c>
      <c r="BL2" s="423" t="b">
        <f t="shared" si="0"/>
        <v>0</v>
      </c>
      <c r="BM2" s="423" t="b">
        <f t="shared" ref="BM2:CR2" si="1">BM6&lt;=last_year_vis</f>
        <v>0</v>
      </c>
      <c r="BN2" s="423" t="b">
        <f t="shared" si="1"/>
        <v>0</v>
      </c>
      <c r="BO2" s="423" t="b">
        <f t="shared" si="1"/>
        <v>0</v>
      </c>
      <c r="BP2" s="423" t="b">
        <f t="shared" si="1"/>
        <v>0</v>
      </c>
      <c r="BQ2" s="423" t="b">
        <f t="shared" si="1"/>
        <v>0</v>
      </c>
      <c r="BR2" s="423" t="b">
        <f t="shared" si="1"/>
        <v>0</v>
      </c>
      <c r="BS2" s="423" t="b">
        <f t="shared" si="1"/>
        <v>0</v>
      </c>
      <c r="BT2" s="423" t="b">
        <f t="shared" si="1"/>
        <v>0</v>
      </c>
      <c r="BU2" s="423" t="b">
        <f t="shared" si="1"/>
        <v>0</v>
      </c>
      <c r="BV2" s="423" t="b">
        <f t="shared" si="1"/>
        <v>0</v>
      </c>
      <c r="BW2" s="423" t="b">
        <f t="shared" si="1"/>
        <v>0</v>
      </c>
      <c r="BX2" s="423" t="b">
        <f t="shared" si="1"/>
        <v>0</v>
      </c>
      <c r="BY2" s="423" t="b">
        <f t="shared" si="1"/>
        <v>0</v>
      </c>
      <c r="BZ2" s="423" t="b">
        <f t="shared" si="1"/>
        <v>0</v>
      </c>
      <c r="CA2" s="423" t="b">
        <f t="shared" si="1"/>
        <v>0</v>
      </c>
      <c r="CB2" s="423" t="b">
        <f t="shared" si="1"/>
        <v>0</v>
      </c>
      <c r="CC2" s="423" t="b">
        <f t="shared" si="1"/>
        <v>0</v>
      </c>
      <c r="CD2" s="423" t="b">
        <f t="shared" si="1"/>
        <v>0</v>
      </c>
      <c r="CE2" s="423" t="b">
        <f t="shared" si="1"/>
        <v>0</v>
      </c>
      <c r="CF2" s="423" t="b">
        <f t="shared" si="1"/>
        <v>0</v>
      </c>
      <c r="CG2" s="423" t="b">
        <f t="shared" si="1"/>
        <v>0</v>
      </c>
      <c r="CH2" s="423" t="b">
        <f t="shared" si="1"/>
        <v>0</v>
      </c>
      <c r="CI2" s="423" t="b">
        <f t="shared" si="1"/>
        <v>0</v>
      </c>
      <c r="CJ2" s="423" t="b">
        <f t="shared" si="1"/>
        <v>0</v>
      </c>
      <c r="CK2" s="423" t="b">
        <f t="shared" si="1"/>
        <v>0</v>
      </c>
      <c r="CL2" s="423" t="b">
        <f t="shared" si="1"/>
        <v>0</v>
      </c>
      <c r="CM2" s="423" t="b">
        <f t="shared" si="1"/>
        <v>0</v>
      </c>
      <c r="CN2" s="423" t="b">
        <f t="shared" si="1"/>
        <v>0</v>
      </c>
      <c r="CO2" s="423" t="b">
        <f t="shared" si="1"/>
        <v>0</v>
      </c>
      <c r="CP2" s="423" t="b">
        <f t="shared" si="1"/>
        <v>0</v>
      </c>
      <c r="CQ2" s="423" t="b">
        <f t="shared" si="1"/>
        <v>0</v>
      </c>
      <c r="CR2" s="423" t="b">
        <f t="shared" si="1"/>
        <v>0</v>
      </c>
      <c r="CS2" s="423" t="b">
        <f t="shared" ref="CS2:DX2" si="2">CS6&lt;=last_year_vis</f>
        <v>0</v>
      </c>
      <c r="CT2" s="423" t="b">
        <f t="shared" si="2"/>
        <v>0</v>
      </c>
      <c r="CU2" s="423" t="b">
        <f t="shared" si="2"/>
        <v>0</v>
      </c>
      <c r="CV2" s="423" t="b">
        <f t="shared" si="2"/>
        <v>0</v>
      </c>
      <c r="CW2" s="423" t="b">
        <f t="shared" si="2"/>
        <v>0</v>
      </c>
      <c r="CX2" s="423" t="b">
        <f t="shared" si="2"/>
        <v>0</v>
      </c>
      <c r="CY2" s="423" t="b">
        <f t="shared" si="2"/>
        <v>0</v>
      </c>
      <c r="CZ2" s="423" t="b">
        <f t="shared" si="2"/>
        <v>0</v>
      </c>
      <c r="DA2" s="423" t="b">
        <f t="shared" si="2"/>
        <v>0</v>
      </c>
      <c r="DB2" s="423" t="b">
        <f t="shared" si="2"/>
        <v>0</v>
      </c>
      <c r="DC2" s="423" t="b">
        <f t="shared" si="2"/>
        <v>0</v>
      </c>
      <c r="DD2" s="423" t="b">
        <f t="shared" si="2"/>
        <v>0</v>
      </c>
      <c r="DE2" s="423" t="b">
        <f t="shared" si="2"/>
        <v>0</v>
      </c>
      <c r="DF2" s="423" t="b">
        <f t="shared" si="2"/>
        <v>0</v>
      </c>
      <c r="DG2" s="423" t="b">
        <f t="shared" si="2"/>
        <v>0</v>
      </c>
      <c r="DH2" s="423" t="b">
        <f t="shared" si="2"/>
        <v>0</v>
      </c>
      <c r="DI2" s="423" t="b">
        <f t="shared" si="2"/>
        <v>0</v>
      </c>
      <c r="DJ2" s="423" t="b">
        <f t="shared" si="2"/>
        <v>0</v>
      </c>
      <c r="DK2" s="423" t="b">
        <f t="shared" si="2"/>
        <v>0</v>
      </c>
      <c r="DL2" s="423" t="b">
        <f t="shared" si="2"/>
        <v>0</v>
      </c>
      <c r="DM2" s="423" t="b">
        <f t="shared" si="2"/>
        <v>0</v>
      </c>
      <c r="DN2" s="423" t="b">
        <f t="shared" si="2"/>
        <v>0</v>
      </c>
      <c r="DO2" s="423" t="b">
        <f t="shared" si="2"/>
        <v>0</v>
      </c>
      <c r="DP2" s="423" t="b">
        <f t="shared" si="2"/>
        <v>0</v>
      </c>
      <c r="DQ2" s="423" t="b">
        <f t="shared" si="2"/>
        <v>0</v>
      </c>
      <c r="DR2" s="423" t="b">
        <f t="shared" si="2"/>
        <v>0</v>
      </c>
      <c r="DS2" s="423" t="b">
        <f t="shared" si="2"/>
        <v>0</v>
      </c>
      <c r="DT2" s="423" t="b">
        <f t="shared" si="2"/>
        <v>0</v>
      </c>
      <c r="DU2" s="423" t="b">
        <f t="shared" si="2"/>
        <v>0</v>
      </c>
      <c r="DV2" s="423" t="b">
        <f t="shared" si="2"/>
        <v>0</v>
      </c>
      <c r="DW2" s="423" t="b">
        <f t="shared" si="2"/>
        <v>0</v>
      </c>
      <c r="DX2" s="423" t="b">
        <f t="shared" si="2"/>
        <v>0</v>
      </c>
      <c r="DY2" s="423" t="b">
        <f t="shared" ref="DY2:FD2" si="3">DY6&lt;=last_year_vis</f>
        <v>0</v>
      </c>
      <c r="DZ2" s="423" t="b">
        <f t="shared" si="3"/>
        <v>0</v>
      </c>
      <c r="EA2" s="423" t="b">
        <f t="shared" si="3"/>
        <v>0</v>
      </c>
      <c r="EB2" s="423" t="b">
        <f t="shared" si="3"/>
        <v>0</v>
      </c>
      <c r="EC2" s="423" t="b">
        <f t="shared" si="3"/>
        <v>0</v>
      </c>
      <c r="ED2" s="423" t="b">
        <f t="shared" si="3"/>
        <v>0</v>
      </c>
      <c r="EE2" s="423" t="b">
        <f t="shared" si="3"/>
        <v>0</v>
      </c>
      <c r="EF2" s="423" t="b">
        <f t="shared" si="3"/>
        <v>0</v>
      </c>
      <c r="EG2" s="423" t="b">
        <f t="shared" si="3"/>
        <v>0</v>
      </c>
      <c r="EH2" s="423" t="b">
        <f t="shared" si="3"/>
        <v>0</v>
      </c>
      <c r="EI2" s="423" t="b">
        <f t="shared" si="3"/>
        <v>0</v>
      </c>
      <c r="EJ2" s="423" t="b">
        <f t="shared" si="3"/>
        <v>0</v>
      </c>
      <c r="EK2" s="423" t="b">
        <f t="shared" si="3"/>
        <v>0</v>
      </c>
      <c r="EL2" s="423" t="b">
        <f t="shared" si="3"/>
        <v>0</v>
      </c>
      <c r="EM2" s="423" t="b">
        <f t="shared" si="3"/>
        <v>0</v>
      </c>
      <c r="EN2" s="423" t="b">
        <f t="shared" si="3"/>
        <v>0</v>
      </c>
      <c r="EO2" s="423" t="b">
        <f t="shared" si="3"/>
        <v>0</v>
      </c>
      <c r="EP2" s="423" t="b">
        <f t="shared" si="3"/>
        <v>0</v>
      </c>
      <c r="EQ2" s="423" t="b">
        <f t="shared" si="3"/>
        <v>0</v>
      </c>
      <c r="ER2" s="423" t="b">
        <f t="shared" si="3"/>
        <v>0</v>
      </c>
      <c r="ES2" s="423" t="b">
        <f t="shared" si="3"/>
        <v>0</v>
      </c>
      <c r="ET2" s="423" t="b">
        <f t="shared" si="3"/>
        <v>0</v>
      </c>
      <c r="EU2" s="423" t="b">
        <f t="shared" si="3"/>
        <v>0</v>
      </c>
      <c r="EV2" s="423" t="b">
        <f t="shared" si="3"/>
        <v>0</v>
      </c>
      <c r="EW2" s="423" t="b">
        <f t="shared" si="3"/>
        <v>0</v>
      </c>
      <c r="EX2" s="423" t="b">
        <f t="shared" si="3"/>
        <v>0</v>
      </c>
      <c r="EY2" s="423" t="b">
        <f t="shared" si="3"/>
        <v>0</v>
      </c>
      <c r="EZ2" s="423" t="b">
        <f t="shared" si="3"/>
        <v>0</v>
      </c>
      <c r="FA2" s="423" t="b">
        <f t="shared" si="3"/>
        <v>0</v>
      </c>
      <c r="FB2" s="423" t="b">
        <f t="shared" si="3"/>
        <v>0</v>
      </c>
      <c r="FC2" s="423" t="b">
        <f t="shared" si="3"/>
        <v>0</v>
      </c>
      <c r="FD2" s="423" t="b">
        <f t="shared" si="3"/>
        <v>0</v>
      </c>
      <c r="FE2" s="423" t="b">
        <f t="shared" ref="FE2:FW2" si="4">FE6&lt;=last_year_vis</f>
        <v>0</v>
      </c>
      <c r="FF2" s="423" t="b">
        <f t="shared" si="4"/>
        <v>0</v>
      </c>
      <c r="FG2" s="423" t="b">
        <f t="shared" si="4"/>
        <v>0</v>
      </c>
      <c r="FH2" s="423" t="b">
        <f t="shared" si="4"/>
        <v>0</v>
      </c>
      <c r="FI2" s="423" t="b">
        <f t="shared" si="4"/>
        <v>0</v>
      </c>
      <c r="FJ2" s="423" t="b">
        <f t="shared" si="4"/>
        <v>0</v>
      </c>
      <c r="FK2" s="423" t="b">
        <f t="shared" si="4"/>
        <v>0</v>
      </c>
      <c r="FL2" s="423" t="b">
        <f t="shared" si="4"/>
        <v>0</v>
      </c>
      <c r="FM2" s="423" t="b">
        <f t="shared" si="4"/>
        <v>0</v>
      </c>
      <c r="FN2" s="423" t="b">
        <f t="shared" si="4"/>
        <v>0</v>
      </c>
      <c r="FO2" s="423" t="b">
        <f t="shared" si="4"/>
        <v>0</v>
      </c>
      <c r="FP2" s="423" t="b">
        <f t="shared" si="4"/>
        <v>0</v>
      </c>
      <c r="FQ2" s="423" t="b">
        <f t="shared" si="4"/>
        <v>0</v>
      </c>
      <c r="FR2" s="423" t="b">
        <f t="shared" si="4"/>
        <v>0</v>
      </c>
      <c r="FS2" s="423" t="b">
        <f t="shared" si="4"/>
        <v>0</v>
      </c>
      <c r="FT2" s="423" t="b">
        <f t="shared" si="4"/>
        <v>0</v>
      </c>
      <c r="FU2" s="423" t="b">
        <f t="shared" si="4"/>
        <v>0</v>
      </c>
      <c r="FV2" s="423" t="b">
        <f t="shared" si="4"/>
        <v>0</v>
      </c>
      <c r="FW2" s="423" t="b">
        <f t="shared" si="4"/>
        <v>0</v>
      </c>
      <c r="FZ2" s="925"/>
      <c r="GA2" s="925"/>
      <c r="GB2" s="925"/>
      <c r="GC2" s="938"/>
      <c r="GD2" s="938"/>
    </row>
    <row r="3" spans="1:186" ht="11.25" hidden="1" customHeight="1" x14ac:dyDescent="0.15">
      <c r="E3" s="17"/>
    </row>
    <row r="4" spans="1:186" ht="11.25" hidden="1" customHeight="1" x14ac:dyDescent="0.15">
      <c r="E4" s="17"/>
    </row>
    <row r="5" spans="1:186" s="1215" customFormat="1" ht="11.25" hidden="1" customHeight="1" x14ac:dyDescent="0.15">
      <c r="A5" s="17"/>
      <c r="B5" s="758"/>
      <c r="C5" s="17"/>
      <c r="D5" s="17"/>
      <c r="E5" s="556" t="s">
        <v>19</v>
      </c>
      <c r="F5" s="821"/>
      <c r="AA5" s="556">
        <v>3</v>
      </c>
      <c r="AB5" s="616">
        <v>56</v>
      </c>
      <c r="AC5" s="554">
        <v>12.57</v>
      </c>
      <c r="AD5" s="556">
        <v>14.14</v>
      </c>
      <c r="AE5" s="556">
        <v>14.14</v>
      </c>
      <c r="AF5" s="556">
        <v>14.14</v>
      </c>
      <c r="AG5" s="556">
        <v>14.14</v>
      </c>
      <c r="AH5" s="556">
        <v>14.14</v>
      </c>
      <c r="AI5" s="556">
        <v>14.14</v>
      </c>
      <c r="AJ5" s="556">
        <v>14.14</v>
      </c>
      <c r="AK5" s="556">
        <v>14.14</v>
      </c>
      <c r="AL5" s="556">
        <v>14.14</v>
      </c>
      <c r="AM5" s="556">
        <v>14.14</v>
      </c>
      <c r="AN5" s="556">
        <v>14.14</v>
      </c>
      <c r="AO5" s="556">
        <v>14.14</v>
      </c>
      <c r="AP5" s="556">
        <v>14.14</v>
      </c>
      <c r="AQ5" s="556">
        <v>14.14</v>
      </c>
      <c r="AR5" s="556">
        <v>14.14</v>
      </c>
      <c r="AS5" s="556">
        <v>14.14</v>
      </c>
      <c r="AT5" s="556">
        <v>14.14</v>
      </c>
      <c r="AU5" s="556">
        <v>14.14</v>
      </c>
      <c r="AV5" s="556">
        <v>14.14</v>
      </c>
      <c r="AW5" s="556">
        <v>14.14</v>
      </c>
      <c r="AX5" s="556">
        <v>14.14</v>
      </c>
      <c r="AY5" s="556">
        <v>14.14</v>
      </c>
      <c r="AZ5" s="556">
        <v>14.14</v>
      </c>
      <c r="BA5" s="556">
        <v>14.14</v>
      </c>
      <c r="BB5" s="556">
        <v>14.14</v>
      </c>
      <c r="BC5" s="556">
        <v>14.14</v>
      </c>
      <c r="BD5" s="556">
        <v>14.14</v>
      </c>
      <c r="BE5" s="556">
        <v>14.14</v>
      </c>
      <c r="BF5" s="556">
        <v>14.14</v>
      </c>
      <c r="BG5" s="556">
        <v>14.14</v>
      </c>
      <c r="BH5" s="556">
        <v>14.14</v>
      </c>
      <c r="BI5" s="556">
        <v>14.14</v>
      </c>
      <c r="BJ5" s="556">
        <v>14.14</v>
      </c>
      <c r="BK5" s="556">
        <v>14.14</v>
      </c>
      <c r="BL5" s="556">
        <v>14.14</v>
      </c>
      <c r="BM5" s="556">
        <v>14.14</v>
      </c>
      <c r="BN5" s="556">
        <v>14.14</v>
      </c>
      <c r="BO5" s="556">
        <v>14.14</v>
      </c>
      <c r="BP5" s="556">
        <v>14.14</v>
      </c>
      <c r="BQ5" s="556">
        <v>14.14</v>
      </c>
      <c r="BR5" s="556">
        <v>14.14</v>
      </c>
      <c r="BS5" s="556">
        <v>14.14</v>
      </c>
      <c r="BT5" s="556">
        <v>14.14</v>
      </c>
      <c r="BU5" s="556">
        <v>14.14</v>
      </c>
      <c r="BV5" s="556">
        <v>14.14</v>
      </c>
      <c r="BW5" s="556">
        <v>14.14</v>
      </c>
      <c r="BX5" s="556">
        <v>14.14</v>
      </c>
      <c r="BY5" s="556">
        <v>14.14</v>
      </c>
      <c r="BZ5" s="556">
        <v>14.14</v>
      </c>
      <c r="CA5" s="556">
        <v>14.14</v>
      </c>
      <c r="CB5" s="556">
        <v>14.14</v>
      </c>
      <c r="CC5" s="556">
        <v>14.14</v>
      </c>
      <c r="CD5" s="556">
        <v>14.14</v>
      </c>
      <c r="CE5" s="556">
        <v>14.14</v>
      </c>
      <c r="CF5" s="556">
        <v>14.14</v>
      </c>
      <c r="CG5" s="556">
        <v>14.14</v>
      </c>
      <c r="CH5" s="556">
        <v>14.14</v>
      </c>
      <c r="CI5" s="556">
        <v>14.14</v>
      </c>
      <c r="CJ5" s="556">
        <v>14.14</v>
      </c>
      <c r="CK5" s="556">
        <v>14.14</v>
      </c>
      <c r="CL5" s="556">
        <v>14.14</v>
      </c>
      <c r="CM5" s="556">
        <v>14.14</v>
      </c>
      <c r="CN5" s="556">
        <v>14.14</v>
      </c>
      <c r="CO5" s="556">
        <v>14.14</v>
      </c>
      <c r="CP5" s="556">
        <v>14.14</v>
      </c>
      <c r="CQ5" s="556">
        <v>14.14</v>
      </c>
      <c r="CR5" s="556">
        <v>14.14</v>
      </c>
      <c r="CS5" s="556">
        <v>14.14</v>
      </c>
      <c r="CT5" s="556">
        <v>14.14</v>
      </c>
      <c r="CU5" s="556">
        <v>14.14</v>
      </c>
      <c r="CV5" s="556">
        <v>14.14</v>
      </c>
      <c r="CW5" s="556">
        <v>14.14</v>
      </c>
      <c r="CX5" s="556">
        <v>14.14</v>
      </c>
      <c r="CY5" s="556">
        <v>14.14</v>
      </c>
      <c r="CZ5" s="556">
        <v>14.14</v>
      </c>
      <c r="DA5" s="556">
        <v>14.14</v>
      </c>
      <c r="DB5" s="556">
        <v>14.14</v>
      </c>
      <c r="DC5" s="556">
        <v>14.14</v>
      </c>
      <c r="DD5" s="556">
        <v>14.14</v>
      </c>
      <c r="DE5" s="556">
        <v>14.14</v>
      </c>
      <c r="DF5" s="556">
        <v>14.14</v>
      </c>
      <c r="DG5" s="556">
        <v>14.14</v>
      </c>
      <c r="DH5" s="556">
        <v>14.14</v>
      </c>
      <c r="DI5" s="556">
        <v>14.14</v>
      </c>
      <c r="DJ5" s="556">
        <v>14.14</v>
      </c>
      <c r="DK5" s="556">
        <v>14.14</v>
      </c>
      <c r="DL5" s="556">
        <v>14.14</v>
      </c>
      <c r="DM5" s="556">
        <v>14.14</v>
      </c>
      <c r="DN5" s="556">
        <v>14.14</v>
      </c>
      <c r="DO5" s="556">
        <v>14.14</v>
      </c>
      <c r="DP5" s="556">
        <v>14.14</v>
      </c>
      <c r="DQ5" s="556">
        <v>14.14</v>
      </c>
      <c r="DR5" s="556">
        <v>14.14</v>
      </c>
      <c r="DS5" s="556">
        <v>14.14</v>
      </c>
      <c r="DT5" s="556">
        <v>14.14</v>
      </c>
      <c r="DU5" s="556">
        <v>14.14</v>
      </c>
      <c r="DV5" s="556">
        <v>14.14</v>
      </c>
      <c r="DW5" s="556">
        <v>14.14</v>
      </c>
      <c r="DX5" s="556">
        <v>14.14</v>
      </c>
      <c r="DY5" s="556">
        <v>14.14</v>
      </c>
      <c r="DZ5" s="556">
        <v>14.14</v>
      </c>
      <c r="EA5" s="556">
        <v>14.14</v>
      </c>
      <c r="EB5" s="556">
        <v>14.14</v>
      </c>
      <c r="EC5" s="556">
        <v>14.14</v>
      </c>
      <c r="ED5" s="556">
        <v>14.14</v>
      </c>
      <c r="EE5" s="556">
        <v>14.14</v>
      </c>
      <c r="EF5" s="556">
        <v>14.14</v>
      </c>
      <c r="EG5" s="556">
        <v>14.14</v>
      </c>
      <c r="EH5" s="556">
        <v>14.14</v>
      </c>
      <c r="EI5" s="556">
        <v>14.14</v>
      </c>
      <c r="EJ5" s="556">
        <v>14.14</v>
      </c>
      <c r="EK5" s="556">
        <v>14.14</v>
      </c>
      <c r="EL5" s="556">
        <v>14.14</v>
      </c>
      <c r="EM5" s="556">
        <v>14.14</v>
      </c>
      <c r="EN5" s="556">
        <v>14.14</v>
      </c>
      <c r="EO5" s="556">
        <v>14.14</v>
      </c>
      <c r="EP5" s="556">
        <v>14.14</v>
      </c>
      <c r="EQ5" s="556">
        <v>14.14</v>
      </c>
      <c r="ER5" s="556">
        <v>14.14</v>
      </c>
      <c r="ES5" s="556">
        <v>14.14</v>
      </c>
      <c r="ET5" s="556">
        <v>14.14</v>
      </c>
      <c r="EU5" s="556">
        <v>14.14</v>
      </c>
      <c r="EV5" s="556">
        <v>14.14</v>
      </c>
      <c r="EW5" s="556">
        <v>14.14</v>
      </c>
      <c r="EX5" s="556">
        <v>14.14</v>
      </c>
      <c r="EY5" s="556">
        <v>14.14</v>
      </c>
      <c r="EZ5" s="556">
        <v>14.14</v>
      </c>
      <c r="FA5" s="556">
        <v>14.14</v>
      </c>
      <c r="FB5" s="556">
        <v>14.14</v>
      </c>
      <c r="FC5" s="556">
        <v>14.14</v>
      </c>
      <c r="FD5" s="556">
        <v>14.14</v>
      </c>
      <c r="FE5" s="556">
        <v>14.14</v>
      </c>
      <c r="FF5" s="556">
        <v>14.14</v>
      </c>
      <c r="FG5" s="556">
        <v>14.14</v>
      </c>
      <c r="FH5" s="556">
        <v>14.14</v>
      </c>
      <c r="FI5" s="556">
        <v>14.14</v>
      </c>
      <c r="FJ5" s="556">
        <v>14.14</v>
      </c>
      <c r="FK5" s="556">
        <v>14.14</v>
      </c>
      <c r="FL5" s="556">
        <v>14.14</v>
      </c>
      <c r="FM5" s="556">
        <v>14.14</v>
      </c>
      <c r="FN5" s="556">
        <v>14.14</v>
      </c>
      <c r="FO5" s="556">
        <v>14.14</v>
      </c>
      <c r="FP5" s="556">
        <v>14.14</v>
      </c>
      <c r="FQ5" s="556">
        <v>14.14</v>
      </c>
      <c r="FR5" s="556">
        <v>14.14</v>
      </c>
      <c r="FS5" s="556">
        <v>14.14</v>
      </c>
      <c r="FT5" s="556">
        <v>14.14</v>
      </c>
      <c r="FU5" s="556">
        <v>14.14</v>
      </c>
      <c r="FV5" s="556">
        <v>14.14</v>
      </c>
      <c r="FW5" s="556">
        <v>14.14</v>
      </c>
      <c r="FX5" s="556">
        <v>3</v>
      </c>
      <c r="FZ5" s="924"/>
      <c r="GA5" s="924"/>
      <c r="GB5" s="924"/>
    </row>
    <row r="6" spans="1:186" ht="11.25" hidden="1" customHeight="1" x14ac:dyDescent="0.15">
      <c r="A6" s="17" t="s">
        <v>357</v>
      </c>
      <c r="AD6" s="17" cm="1">
        <f t="array" ref="AD6">god</f>
        <v>2026</v>
      </c>
      <c r="AE6" s="17" cm="1">
        <f t="array" ref="AE6">god</f>
        <v>2026</v>
      </c>
      <c r="AF6" s="17" cm="1">
        <f t="array" ref="AF6">god</f>
        <v>2026</v>
      </c>
      <c r="AG6" s="17">
        <f>god+1</f>
        <v>2027</v>
      </c>
      <c r="AH6" s="17">
        <f>god+1</f>
        <v>2027</v>
      </c>
      <c r="AI6" s="17">
        <f>god+1</f>
        <v>2027</v>
      </c>
      <c r="AJ6" s="17">
        <f>god+2</f>
        <v>2028</v>
      </c>
      <c r="AK6" s="17">
        <f>god+2</f>
        <v>2028</v>
      </c>
      <c r="AL6" s="17">
        <f>god+2</f>
        <v>2028</v>
      </c>
      <c r="AM6" s="17">
        <f>god+3</f>
        <v>2029</v>
      </c>
      <c r="AN6" s="17">
        <f>god+3</f>
        <v>2029</v>
      </c>
      <c r="AO6" s="17">
        <f>god+3</f>
        <v>2029</v>
      </c>
      <c r="AP6" s="17">
        <f>god+4</f>
        <v>2030</v>
      </c>
      <c r="AQ6" s="17">
        <f>god+4</f>
        <v>2030</v>
      </c>
      <c r="AR6" s="17">
        <f>god+4</f>
        <v>2030</v>
      </c>
      <c r="AS6" s="17">
        <f>god+5</f>
        <v>2031</v>
      </c>
      <c r="AT6" s="17">
        <f>god+5</f>
        <v>2031</v>
      </c>
      <c r="AU6" s="17">
        <f>god+5</f>
        <v>2031</v>
      </c>
      <c r="AV6" s="17">
        <f>god+6</f>
        <v>2032</v>
      </c>
      <c r="AW6" s="17">
        <f>god+6</f>
        <v>2032</v>
      </c>
      <c r="AX6" s="17">
        <f>god+6</f>
        <v>2032</v>
      </c>
      <c r="AY6" s="17">
        <f>god+7</f>
        <v>2033</v>
      </c>
      <c r="AZ6" s="17">
        <f>god+7</f>
        <v>2033</v>
      </c>
      <c r="BA6" s="17">
        <f>god+7</f>
        <v>2033</v>
      </c>
      <c r="BB6" s="17">
        <f>god+8</f>
        <v>2034</v>
      </c>
      <c r="BC6" s="17">
        <f>god+8</f>
        <v>2034</v>
      </c>
      <c r="BD6" s="17">
        <f>god+8</f>
        <v>2034</v>
      </c>
      <c r="BE6" s="17">
        <f>god+9</f>
        <v>2035</v>
      </c>
      <c r="BF6" s="17">
        <f>god+9</f>
        <v>2035</v>
      </c>
      <c r="BG6" s="17">
        <f>god+9</f>
        <v>2035</v>
      </c>
      <c r="BH6" s="17">
        <f>god+10</f>
        <v>2036</v>
      </c>
      <c r="BI6" s="17">
        <f>god+10</f>
        <v>2036</v>
      </c>
      <c r="BJ6" s="17">
        <f>god+10</f>
        <v>2036</v>
      </c>
      <c r="BK6" s="17">
        <f>god+11</f>
        <v>2037</v>
      </c>
      <c r="BL6" s="17">
        <f>god+11</f>
        <v>2037</v>
      </c>
      <c r="BM6" s="17">
        <f>god+11</f>
        <v>2037</v>
      </c>
      <c r="BN6" s="17">
        <f>god+12</f>
        <v>2038</v>
      </c>
      <c r="BO6" s="17">
        <f>god+12</f>
        <v>2038</v>
      </c>
      <c r="BP6" s="17">
        <f>god+12</f>
        <v>2038</v>
      </c>
      <c r="BQ6" s="17">
        <f>god+13</f>
        <v>2039</v>
      </c>
      <c r="BR6" s="17">
        <f>god+13</f>
        <v>2039</v>
      </c>
      <c r="BS6" s="17">
        <f>god+13</f>
        <v>2039</v>
      </c>
      <c r="BT6" s="17">
        <f>god+14</f>
        <v>2040</v>
      </c>
      <c r="BU6" s="17">
        <f>god+14</f>
        <v>2040</v>
      </c>
      <c r="BV6" s="17">
        <f>god+14</f>
        <v>2040</v>
      </c>
      <c r="BW6" s="17">
        <f>god+15</f>
        <v>2041</v>
      </c>
      <c r="BX6" s="17">
        <f>god+15</f>
        <v>2041</v>
      </c>
      <c r="BY6" s="17">
        <f>god+15</f>
        <v>2041</v>
      </c>
      <c r="BZ6" s="17">
        <f>god+16</f>
        <v>2042</v>
      </c>
      <c r="CA6" s="17">
        <f>god+16</f>
        <v>2042</v>
      </c>
      <c r="CB6" s="17">
        <f>god+16</f>
        <v>2042</v>
      </c>
      <c r="CC6" s="17">
        <f>god+17</f>
        <v>2043</v>
      </c>
      <c r="CD6" s="17">
        <f>god+17</f>
        <v>2043</v>
      </c>
      <c r="CE6" s="17">
        <f>god+17</f>
        <v>2043</v>
      </c>
      <c r="CF6" s="17">
        <f>god+18</f>
        <v>2044</v>
      </c>
      <c r="CG6" s="17">
        <f>god+18</f>
        <v>2044</v>
      </c>
      <c r="CH6" s="17">
        <f>god+18</f>
        <v>2044</v>
      </c>
      <c r="CI6" s="17">
        <f>god+19</f>
        <v>2045</v>
      </c>
      <c r="CJ6" s="17">
        <f>god+19</f>
        <v>2045</v>
      </c>
      <c r="CK6" s="17">
        <f>god+19</f>
        <v>2045</v>
      </c>
      <c r="CL6" s="17">
        <f>god+20</f>
        <v>2046</v>
      </c>
      <c r="CM6" s="17">
        <f>god+20</f>
        <v>2046</v>
      </c>
      <c r="CN6" s="17">
        <f>god+20</f>
        <v>2046</v>
      </c>
      <c r="CO6" s="17">
        <f>god+21</f>
        <v>2047</v>
      </c>
      <c r="CP6" s="17">
        <f>god+21</f>
        <v>2047</v>
      </c>
      <c r="CQ6" s="17">
        <f>god+21</f>
        <v>2047</v>
      </c>
      <c r="CR6" s="17">
        <f>god+22</f>
        <v>2048</v>
      </c>
      <c r="CS6" s="17">
        <f>god+22</f>
        <v>2048</v>
      </c>
      <c r="CT6" s="17">
        <f>god+22</f>
        <v>2048</v>
      </c>
      <c r="CU6" s="17">
        <f>god+23</f>
        <v>2049</v>
      </c>
      <c r="CV6" s="17">
        <f>god+23</f>
        <v>2049</v>
      </c>
      <c r="CW6" s="17">
        <f>god+23</f>
        <v>2049</v>
      </c>
      <c r="CX6" s="17">
        <f>god+24</f>
        <v>2050</v>
      </c>
      <c r="CY6" s="17">
        <f>god+24</f>
        <v>2050</v>
      </c>
      <c r="CZ6" s="17">
        <f>god+24</f>
        <v>2050</v>
      </c>
      <c r="DA6" s="17">
        <f>god+25</f>
        <v>2051</v>
      </c>
      <c r="DB6" s="17">
        <f>god+25</f>
        <v>2051</v>
      </c>
      <c r="DC6" s="17">
        <f>god+25</f>
        <v>2051</v>
      </c>
      <c r="DD6" s="17">
        <f>god+26</f>
        <v>2052</v>
      </c>
      <c r="DE6" s="17">
        <f>god+26</f>
        <v>2052</v>
      </c>
      <c r="DF6" s="17">
        <f>god+26</f>
        <v>2052</v>
      </c>
      <c r="DG6" s="17">
        <f>god+27</f>
        <v>2053</v>
      </c>
      <c r="DH6" s="17">
        <f>god+27</f>
        <v>2053</v>
      </c>
      <c r="DI6" s="17">
        <f>god+27</f>
        <v>2053</v>
      </c>
      <c r="DJ6" s="17">
        <f>god+28</f>
        <v>2054</v>
      </c>
      <c r="DK6" s="17">
        <f>god+28</f>
        <v>2054</v>
      </c>
      <c r="DL6" s="17">
        <f>god+28</f>
        <v>2054</v>
      </c>
      <c r="DM6" s="17">
        <f>god+29</f>
        <v>2055</v>
      </c>
      <c r="DN6" s="17">
        <f>god+29</f>
        <v>2055</v>
      </c>
      <c r="DO6" s="17">
        <f>god+29</f>
        <v>2055</v>
      </c>
      <c r="DP6" s="17">
        <f>god+30</f>
        <v>2056</v>
      </c>
      <c r="DQ6" s="17">
        <f>god+30</f>
        <v>2056</v>
      </c>
      <c r="DR6" s="17">
        <f>god+30</f>
        <v>2056</v>
      </c>
      <c r="DS6" s="17">
        <f>god+31</f>
        <v>2057</v>
      </c>
      <c r="DT6" s="17">
        <f>god+31</f>
        <v>2057</v>
      </c>
      <c r="DU6" s="17">
        <f>god+31</f>
        <v>2057</v>
      </c>
      <c r="DV6" s="17">
        <f>god+32</f>
        <v>2058</v>
      </c>
      <c r="DW6" s="17">
        <f>god+32</f>
        <v>2058</v>
      </c>
      <c r="DX6" s="17">
        <f>god+32</f>
        <v>2058</v>
      </c>
      <c r="DY6" s="17">
        <f>god+33</f>
        <v>2059</v>
      </c>
      <c r="DZ6" s="17">
        <f>god+33</f>
        <v>2059</v>
      </c>
      <c r="EA6" s="17">
        <f>god+33</f>
        <v>2059</v>
      </c>
      <c r="EB6" s="17">
        <f>god+34</f>
        <v>2060</v>
      </c>
      <c r="EC6" s="17">
        <f>god+34</f>
        <v>2060</v>
      </c>
      <c r="ED6" s="17">
        <f>god+34</f>
        <v>2060</v>
      </c>
      <c r="EE6" s="17">
        <f>god+35</f>
        <v>2061</v>
      </c>
      <c r="EF6" s="17">
        <f>god+35</f>
        <v>2061</v>
      </c>
      <c r="EG6" s="17">
        <f>god+35</f>
        <v>2061</v>
      </c>
      <c r="EH6" s="17">
        <f>god+36</f>
        <v>2062</v>
      </c>
      <c r="EI6" s="17">
        <f>god+36</f>
        <v>2062</v>
      </c>
      <c r="EJ6" s="17">
        <f>god+36</f>
        <v>2062</v>
      </c>
      <c r="EK6" s="17">
        <f>god+37</f>
        <v>2063</v>
      </c>
      <c r="EL6" s="17">
        <f>god+37</f>
        <v>2063</v>
      </c>
      <c r="EM6" s="17">
        <f>god+37</f>
        <v>2063</v>
      </c>
      <c r="EN6" s="17">
        <f>god+38</f>
        <v>2064</v>
      </c>
      <c r="EO6" s="17">
        <f>god+38</f>
        <v>2064</v>
      </c>
      <c r="EP6" s="17">
        <f>god+38</f>
        <v>2064</v>
      </c>
      <c r="EQ6" s="17">
        <f>god+39</f>
        <v>2065</v>
      </c>
      <c r="ER6" s="17">
        <f>god+39</f>
        <v>2065</v>
      </c>
      <c r="ES6" s="17">
        <f>god+39</f>
        <v>2065</v>
      </c>
      <c r="ET6" s="17">
        <f>god+40</f>
        <v>2066</v>
      </c>
      <c r="EU6" s="17">
        <f>god+40</f>
        <v>2066</v>
      </c>
      <c r="EV6" s="17">
        <f>god+40</f>
        <v>2066</v>
      </c>
      <c r="EW6" s="17">
        <f>god+41</f>
        <v>2067</v>
      </c>
      <c r="EX6" s="17">
        <f>god+41</f>
        <v>2067</v>
      </c>
      <c r="EY6" s="17">
        <f>god+41</f>
        <v>2067</v>
      </c>
      <c r="EZ6" s="17">
        <f>god+42</f>
        <v>2068</v>
      </c>
      <c r="FA6" s="17">
        <f>god+42</f>
        <v>2068</v>
      </c>
      <c r="FB6" s="17">
        <f>god+42</f>
        <v>2068</v>
      </c>
      <c r="FC6" s="17">
        <f>god+43</f>
        <v>2069</v>
      </c>
      <c r="FD6" s="17">
        <f>god+43</f>
        <v>2069</v>
      </c>
      <c r="FE6" s="17">
        <f>god+43</f>
        <v>2069</v>
      </c>
      <c r="FF6" s="17">
        <f>god+44</f>
        <v>2070</v>
      </c>
      <c r="FG6" s="17">
        <f>god+44</f>
        <v>2070</v>
      </c>
      <c r="FH6" s="17">
        <f>god+44</f>
        <v>2070</v>
      </c>
      <c r="FI6" s="17">
        <f>god+45</f>
        <v>2071</v>
      </c>
      <c r="FJ6" s="17">
        <f>god+45</f>
        <v>2071</v>
      </c>
      <c r="FK6" s="17">
        <f>god+45</f>
        <v>2071</v>
      </c>
      <c r="FL6" s="17">
        <f>god+46</f>
        <v>2072</v>
      </c>
      <c r="FM6" s="17">
        <f>god+46</f>
        <v>2072</v>
      </c>
      <c r="FN6" s="17">
        <f>god+46</f>
        <v>2072</v>
      </c>
      <c r="FO6" s="17">
        <f>god+47</f>
        <v>2073</v>
      </c>
      <c r="FP6" s="17">
        <f>god+47</f>
        <v>2073</v>
      </c>
      <c r="FQ6" s="17">
        <f>god+47</f>
        <v>2073</v>
      </c>
      <c r="FR6" s="17">
        <f>god+48</f>
        <v>2074</v>
      </c>
      <c r="FS6" s="17">
        <f>god+48</f>
        <v>2074</v>
      </c>
      <c r="FT6" s="17">
        <f>god+48</f>
        <v>2074</v>
      </c>
      <c r="FU6" s="17">
        <f>god+49</f>
        <v>2075</v>
      </c>
      <c r="FV6" s="17">
        <f>god+49</f>
        <v>2075</v>
      </c>
      <c r="FW6" s="17">
        <f>god+49</f>
        <v>2075</v>
      </c>
    </row>
    <row r="7" spans="1:186" ht="11.25" hidden="1" customHeight="1" x14ac:dyDescent="0.15">
      <c r="A7" s="17" t="s">
        <v>358</v>
      </c>
      <c r="AD7" s="17" t="str" cm="1">
        <f t="array" ref="AD7">AD26</f>
        <v>Предложение организации</v>
      </c>
      <c r="AE7" s="17" t="str" cm="1">
        <f t="array" ref="AE7">AE26</f>
        <v>Принято органом регулирования</v>
      </c>
      <c r="AF7" s="17" t="str" cm="1">
        <f t="array" ref="AF7">AF26</f>
        <v>Отклонение, %</v>
      </c>
      <c r="AG7" s="17" t="str" cm="1">
        <f t="array" ref="AG7">AG26</f>
        <v>Предложение организации</v>
      </c>
      <c r="AH7" s="17" t="str" cm="1">
        <f t="array" ref="AH7">AH26</f>
        <v>Принято органом регулирования</v>
      </c>
      <c r="AI7" s="17" t="str" cm="1">
        <f t="array" ref="AI7">AI26</f>
        <v>Отклонение, %</v>
      </c>
      <c r="AJ7" s="17" t="str" cm="1">
        <f t="array" ref="AJ7">AJ26</f>
        <v>Предложение организации</v>
      </c>
      <c r="AK7" s="17" t="str" cm="1">
        <f t="array" ref="AK7">AK26</f>
        <v>Принято органом регулирования</v>
      </c>
      <c r="AL7" s="17" t="str" cm="1">
        <f t="array" ref="AL7">AL26</f>
        <v>Отклонение, %</v>
      </c>
      <c r="AM7" s="17" t="str" cm="1">
        <f t="array" ref="AM7">AM26</f>
        <v>Предложение организации</v>
      </c>
      <c r="AN7" s="17" t="str" cm="1">
        <f t="array" ref="AN7">AN26</f>
        <v>Принято органом регулирования</v>
      </c>
      <c r="AO7" s="17" t="str" cm="1">
        <f t="array" ref="AO7">AO26</f>
        <v>Отклонение, %</v>
      </c>
      <c r="AP7" s="17" t="str" cm="1">
        <f t="array" ref="AP7">AP26</f>
        <v>Предложение организации</v>
      </c>
      <c r="AQ7" s="17" t="str" cm="1">
        <f t="array" ref="AQ7">AQ26</f>
        <v>Принято органом регулирования</v>
      </c>
      <c r="AR7" s="17" t="str" cm="1">
        <f t="array" ref="AR7">AR26</f>
        <v>Отклонение, %</v>
      </c>
      <c r="AS7" s="17" t="str" cm="1">
        <f t="array" ref="AS7">AS26</f>
        <v>Предложение организации</v>
      </c>
      <c r="AT7" s="17" t="str" cm="1">
        <f t="array" ref="AT7">AT26</f>
        <v>Принято органом регулирования</v>
      </c>
      <c r="AU7" s="17" t="str" cm="1">
        <f t="array" ref="AU7">AU26</f>
        <v>Отклонение, %</v>
      </c>
      <c r="AV7" s="17" t="str" cm="1">
        <f t="array" ref="AV7">AV26</f>
        <v>Предложение организации</v>
      </c>
      <c r="AW7" s="17" t="str" cm="1">
        <f t="array" ref="AW7">AW26</f>
        <v>Принято органом регулирования</v>
      </c>
      <c r="AX7" s="17" t="str" cm="1">
        <f t="array" ref="AX7">AX26</f>
        <v>Отклонение, %</v>
      </c>
      <c r="AY7" s="17" t="str" cm="1">
        <f t="array" ref="AY7">AY26</f>
        <v>Предложение организации</v>
      </c>
      <c r="AZ7" s="17" t="str" cm="1">
        <f t="array" ref="AZ7">AZ26</f>
        <v>Принято органом регулирования</v>
      </c>
      <c r="BA7" s="17" t="str" cm="1">
        <f t="array" ref="BA7">BA26</f>
        <v>Отклонение, %</v>
      </c>
      <c r="BB7" s="17" t="str" cm="1">
        <f t="array" ref="BB7">BB26</f>
        <v>Предложение организации</v>
      </c>
      <c r="BC7" s="17" t="str" cm="1">
        <f t="array" ref="BC7">BC26</f>
        <v>Принято органом регулирования</v>
      </c>
      <c r="BD7" s="17" t="str" cm="1">
        <f t="array" ref="BD7">BD26</f>
        <v>Отклонение, %</v>
      </c>
      <c r="BE7" s="17" t="str" cm="1">
        <f t="array" ref="BE7">BE26</f>
        <v>Предложение организации</v>
      </c>
      <c r="BF7" s="17" t="str" cm="1">
        <f t="array" ref="BF7">BF26</f>
        <v>Принято органом регулирования</v>
      </c>
      <c r="BG7" s="17" t="str" cm="1">
        <f t="array" ref="BG7">BG26</f>
        <v>Отклонение, %</v>
      </c>
      <c r="BH7" s="17" t="str" cm="1">
        <f t="array" ref="BH7">BH26</f>
        <v>Предложение организации</v>
      </c>
      <c r="BI7" s="17" t="str" cm="1">
        <f t="array" ref="BI7">BI26</f>
        <v>Принято органом регулирования</v>
      </c>
      <c r="BJ7" s="17" t="str" cm="1">
        <f t="array" ref="BJ7">BJ26</f>
        <v>Отклонение, %</v>
      </c>
      <c r="BK7" s="17" t="str" cm="1">
        <f t="array" ref="BK7">BK26</f>
        <v>Предложение организации</v>
      </c>
      <c r="BL7" s="17" t="str" cm="1">
        <f t="array" ref="BL7">BL26</f>
        <v>Принято органом регулирования</v>
      </c>
      <c r="BM7" s="17" t="str" cm="1">
        <f t="array" ref="BM7">BM26</f>
        <v>Отклонение, %</v>
      </c>
      <c r="BN7" s="17" t="str" cm="1">
        <f t="array" ref="BN7">BN26</f>
        <v>Предложение организации</v>
      </c>
      <c r="BO7" s="17" t="str" cm="1">
        <f t="array" ref="BO7">BO26</f>
        <v>Принято органом регулирования</v>
      </c>
      <c r="BP7" s="17" t="str" cm="1">
        <f t="array" ref="BP7">BP26</f>
        <v>Отклонение, %</v>
      </c>
      <c r="BQ7" s="17" t="str" cm="1">
        <f t="array" ref="BQ7">BQ26</f>
        <v>Предложение организации</v>
      </c>
      <c r="BR7" s="17" t="str" cm="1">
        <f t="array" ref="BR7">BR26</f>
        <v>Принято органом регулирования</v>
      </c>
      <c r="BS7" s="17" t="str" cm="1">
        <f t="array" ref="BS7">BS26</f>
        <v>Отклонение, %</v>
      </c>
      <c r="BT7" s="17" t="str" cm="1">
        <f t="array" ref="BT7">BT26</f>
        <v>Предложение организации</v>
      </c>
      <c r="BU7" s="17" t="str" cm="1">
        <f t="array" ref="BU7">BU26</f>
        <v>Принято органом регулирования</v>
      </c>
      <c r="BV7" s="17" t="str" cm="1">
        <f t="array" ref="BV7">BV26</f>
        <v>Отклонение, %</v>
      </c>
      <c r="BW7" s="17" t="str" cm="1">
        <f t="array" ref="BW7">BW26</f>
        <v>Предложение организации</v>
      </c>
      <c r="BX7" s="17" t="str" cm="1">
        <f t="array" ref="BX7">BX26</f>
        <v>Принято органом регулирования</v>
      </c>
      <c r="BY7" s="17" t="str" cm="1">
        <f t="array" ref="BY7">BY26</f>
        <v>Отклонение, %</v>
      </c>
      <c r="BZ7" s="17" t="str" cm="1">
        <f t="array" ref="BZ7">BZ26</f>
        <v>Предложение организации</v>
      </c>
      <c r="CA7" s="17" t="str" cm="1">
        <f t="array" ref="CA7">CA26</f>
        <v>Принято органом регулирования</v>
      </c>
      <c r="CB7" s="17" t="str" cm="1">
        <f t="array" ref="CB7">CB26</f>
        <v>Отклонение, %</v>
      </c>
      <c r="CC7" s="17" t="str" cm="1">
        <f t="array" ref="CC7">CC26</f>
        <v>Предложение организации</v>
      </c>
      <c r="CD7" s="17" t="str" cm="1">
        <f t="array" ref="CD7">CD26</f>
        <v>Принято органом регулирования</v>
      </c>
      <c r="CE7" s="17" t="str" cm="1">
        <f t="array" ref="CE7">CE26</f>
        <v>Отклонение, %</v>
      </c>
      <c r="CF7" s="17" t="str" cm="1">
        <f t="array" ref="CF7">CF26</f>
        <v>Предложение организации</v>
      </c>
      <c r="CG7" s="17" t="str" cm="1">
        <f t="array" ref="CG7">CG26</f>
        <v>Принято органом регулирования</v>
      </c>
      <c r="CH7" s="17" t="str" cm="1">
        <f t="array" ref="CH7">CH26</f>
        <v>Отклонение, %</v>
      </c>
      <c r="CI7" s="17" t="str" cm="1">
        <f t="array" ref="CI7">CI26</f>
        <v>Предложение организации</v>
      </c>
      <c r="CJ7" s="17" t="str" cm="1">
        <f t="array" ref="CJ7">CJ26</f>
        <v>Принято органом регулирования</v>
      </c>
      <c r="CK7" s="17" t="str" cm="1">
        <f t="array" ref="CK7">CK26</f>
        <v>Отклонение, %</v>
      </c>
      <c r="CL7" s="17" t="str" cm="1">
        <f t="array" ref="CL7">CL26</f>
        <v>Предложение организации</v>
      </c>
      <c r="CM7" s="17" t="str" cm="1">
        <f t="array" ref="CM7">CM26</f>
        <v>Принято органом регулирования</v>
      </c>
      <c r="CN7" s="17" t="str" cm="1">
        <f t="array" ref="CN7">CN26</f>
        <v>Отклонение, %</v>
      </c>
      <c r="CO7" s="17" t="str" cm="1">
        <f t="array" ref="CO7">CO26</f>
        <v>Предложение организации</v>
      </c>
      <c r="CP7" s="17" t="str" cm="1">
        <f t="array" ref="CP7">CP26</f>
        <v>Принято органом регулирования</v>
      </c>
      <c r="CQ7" s="17" t="str" cm="1">
        <f t="array" ref="CQ7">CQ26</f>
        <v>Отклонение, %</v>
      </c>
      <c r="CR7" s="17" t="str" cm="1">
        <f t="array" ref="CR7">CR26</f>
        <v>Предложение организации</v>
      </c>
      <c r="CS7" s="17" t="str" cm="1">
        <f t="array" ref="CS7">CS26</f>
        <v>Принято органом регулирования</v>
      </c>
      <c r="CT7" s="17" t="str" cm="1">
        <f t="array" ref="CT7">CT26</f>
        <v>Отклонение, %</v>
      </c>
      <c r="CU7" s="17" t="str" cm="1">
        <f t="array" ref="CU7">CU26</f>
        <v>Предложение организации</v>
      </c>
      <c r="CV7" s="17" t="str" cm="1">
        <f t="array" ref="CV7">CV26</f>
        <v>Принято органом регулирования</v>
      </c>
      <c r="CW7" s="17" t="str" cm="1">
        <f t="array" ref="CW7">CW26</f>
        <v>Отклонение, %</v>
      </c>
      <c r="CX7" s="17" t="str" cm="1">
        <f t="array" ref="CX7">CX26</f>
        <v>Предложение организации</v>
      </c>
      <c r="CY7" s="17" t="str" cm="1">
        <f t="array" ref="CY7">CY26</f>
        <v>Принято органом регулирования</v>
      </c>
      <c r="CZ7" s="17" t="str" cm="1">
        <f t="array" ref="CZ7">CZ26</f>
        <v>Отклонение, %</v>
      </c>
      <c r="DA7" s="17" t="str" cm="1">
        <f t="array" ref="DA7">DA26</f>
        <v>Предложение организации</v>
      </c>
      <c r="DB7" s="17" t="str" cm="1">
        <f t="array" ref="DB7">DB26</f>
        <v>Принято органом регулирования</v>
      </c>
      <c r="DC7" s="17" t="str" cm="1">
        <f t="array" ref="DC7">DC26</f>
        <v>Отклонение, %</v>
      </c>
      <c r="DD7" s="17" t="str" cm="1">
        <f t="array" ref="DD7">DD26</f>
        <v>Предложение организации</v>
      </c>
      <c r="DE7" s="17" t="str" cm="1">
        <f t="array" ref="DE7">DE26</f>
        <v>Принято органом регулирования</v>
      </c>
      <c r="DF7" s="17" t="str" cm="1">
        <f t="array" ref="DF7">DF26</f>
        <v>Отклонение, %</v>
      </c>
      <c r="DG7" s="17" t="str" cm="1">
        <f t="array" ref="DG7">DG26</f>
        <v>Предложение организации</v>
      </c>
      <c r="DH7" s="17" t="str" cm="1">
        <f t="array" ref="DH7">DH26</f>
        <v>Принято органом регулирования</v>
      </c>
      <c r="DI7" s="17" t="str" cm="1">
        <f t="array" ref="DI7">DI26</f>
        <v>Отклонение, %</v>
      </c>
      <c r="DJ7" s="17" t="str" cm="1">
        <f t="array" ref="DJ7">DJ26</f>
        <v>Предложение организации</v>
      </c>
      <c r="DK7" s="17" t="str" cm="1">
        <f t="array" ref="DK7">DK26</f>
        <v>Принято органом регулирования</v>
      </c>
      <c r="DL7" s="17" t="str" cm="1">
        <f t="array" ref="DL7">DL26</f>
        <v>Отклонение, %</v>
      </c>
      <c r="DM7" s="17" t="str" cm="1">
        <f t="array" ref="DM7">DM26</f>
        <v>Предложение организации</v>
      </c>
      <c r="DN7" s="17" t="str" cm="1">
        <f t="array" ref="DN7">DN26</f>
        <v>Принято органом регулирования</v>
      </c>
      <c r="DO7" s="17" t="str" cm="1">
        <f t="array" ref="DO7">DO26</f>
        <v>Отклонение, %</v>
      </c>
      <c r="DP7" s="17" t="str" cm="1">
        <f t="array" ref="DP7">DP26</f>
        <v>Предложение организации</v>
      </c>
      <c r="DQ7" s="17" t="str" cm="1">
        <f t="array" ref="DQ7">DQ26</f>
        <v>Принято органом регулирования</v>
      </c>
      <c r="DR7" s="17" t="str" cm="1">
        <f t="array" ref="DR7">DR26</f>
        <v>Отклонение, %</v>
      </c>
      <c r="DS7" s="17" t="str" cm="1">
        <f t="array" ref="DS7">DS26</f>
        <v>Предложение организации</v>
      </c>
      <c r="DT7" s="17" t="str" cm="1">
        <f t="array" ref="DT7">DT26</f>
        <v>Принято органом регулирования</v>
      </c>
      <c r="DU7" s="17" t="str" cm="1">
        <f t="array" ref="DU7">DU26</f>
        <v>Отклонение, %</v>
      </c>
      <c r="DV7" s="17" t="str" cm="1">
        <f t="array" ref="DV7">DV26</f>
        <v>Предложение организации</v>
      </c>
      <c r="DW7" s="17" t="str" cm="1">
        <f t="array" ref="DW7">DW26</f>
        <v>Принято органом регулирования</v>
      </c>
      <c r="DX7" s="17" t="str" cm="1">
        <f t="array" ref="DX7">DX26</f>
        <v>Отклонение, %</v>
      </c>
      <c r="DY7" s="17" t="str" cm="1">
        <f t="array" ref="DY7">DY26</f>
        <v>Предложение организации</v>
      </c>
      <c r="DZ7" s="17" t="str" cm="1">
        <f t="array" ref="DZ7">DZ26</f>
        <v>Принято органом регулирования</v>
      </c>
      <c r="EA7" s="17" t="str" cm="1">
        <f t="array" ref="EA7">EA26</f>
        <v>Отклонение, %</v>
      </c>
      <c r="EB7" s="17" t="str" cm="1">
        <f t="array" ref="EB7">EB26</f>
        <v>Предложение организации</v>
      </c>
      <c r="EC7" s="17" t="str" cm="1">
        <f t="array" ref="EC7">EC26</f>
        <v>Принято органом регулирования</v>
      </c>
      <c r="ED7" s="17" t="str" cm="1">
        <f t="array" ref="ED7">ED26</f>
        <v>Отклонение, %</v>
      </c>
      <c r="EE7" s="17" t="str" cm="1">
        <f t="array" ref="EE7">EE26</f>
        <v>Предложение организации</v>
      </c>
      <c r="EF7" s="17" t="str" cm="1">
        <f t="array" ref="EF7">EF26</f>
        <v>Принято органом регулирования</v>
      </c>
      <c r="EG7" s="17" t="str" cm="1">
        <f t="array" ref="EG7">EG26</f>
        <v>Отклонение, %</v>
      </c>
      <c r="EH7" s="17" t="str" cm="1">
        <f t="array" ref="EH7">EH26</f>
        <v>Предложение организации</v>
      </c>
      <c r="EI7" s="17" t="str" cm="1">
        <f t="array" ref="EI7">EI26</f>
        <v>Принято органом регулирования</v>
      </c>
      <c r="EJ7" s="17" t="str" cm="1">
        <f t="array" ref="EJ7">EJ26</f>
        <v>Отклонение, %</v>
      </c>
      <c r="EK7" s="17" t="str" cm="1">
        <f t="array" ref="EK7">EK26</f>
        <v>Предложение организации</v>
      </c>
      <c r="EL7" s="17" t="str" cm="1">
        <f t="array" ref="EL7">EL26</f>
        <v>Принято органом регулирования</v>
      </c>
      <c r="EM7" s="17" t="str" cm="1">
        <f t="array" ref="EM7">EM26</f>
        <v>Отклонение, %</v>
      </c>
      <c r="EN7" s="17" t="str" cm="1">
        <f t="array" ref="EN7">EN26</f>
        <v>Предложение организации</v>
      </c>
      <c r="EO7" s="17" t="str" cm="1">
        <f t="array" ref="EO7">EO26</f>
        <v>Принято органом регулирования</v>
      </c>
      <c r="EP7" s="17" t="str" cm="1">
        <f t="array" ref="EP7">EP26</f>
        <v>Отклонение, %</v>
      </c>
      <c r="EQ7" s="17" t="str" cm="1">
        <f t="array" ref="EQ7">EQ26</f>
        <v>Предложение организации</v>
      </c>
      <c r="ER7" s="17" t="str" cm="1">
        <f t="array" ref="ER7">ER26</f>
        <v>Принято органом регулирования</v>
      </c>
      <c r="ES7" s="17" t="str" cm="1">
        <f t="array" ref="ES7">ES26</f>
        <v>Отклонение, %</v>
      </c>
      <c r="ET7" s="17" t="str" cm="1">
        <f t="array" ref="ET7">ET26</f>
        <v>Предложение организации</v>
      </c>
      <c r="EU7" s="17" t="str" cm="1">
        <f t="array" ref="EU7">EU26</f>
        <v>Принято органом регулирования</v>
      </c>
      <c r="EV7" s="17" t="str" cm="1">
        <f t="array" ref="EV7">EV26</f>
        <v>Отклонение, %</v>
      </c>
      <c r="EW7" s="17" t="str" cm="1">
        <f t="array" ref="EW7">EW26</f>
        <v>Предложение организации</v>
      </c>
      <c r="EX7" s="17" t="str" cm="1">
        <f t="array" ref="EX7">EX26</f>
        <v>Принято органом регулирования</v>
      </c>
      <c r="EY7" s="17" t="str" cm="1">
        <f t="array" ref="EY7">EY26</f>
        <v>Отклонение, %</v>
      </c>
      <c r="EZ7" s="17" t="str" cm="1">
        <f t="array" ref="EZ7">EZ26</f>
        <v>Предложение организации</v>
      </c>
      <c r="FA7" s="17" t="str" cm="1">
        <f t="array" ref="FA7">FA26</f>
        <v>Принято органом регулирования</v>
      </c>
      <c r="FB7" s="17" t="str" cm="1">
        <f t="array" ref="FB7">FB26</f>
        <v>Отклонение, %</v>
      </c>
      <c r="FC7" s="17" t="str" cm="1">
        <f t="array" ref="FC7">FC26</f>
        <v>Предложение организации</v>
      </c>
      <c r="FD7" s="17" t="str" cm="1">
        <f t="array" ref="FD7">FD26</f>
        <v>Принято органом регулирования</v>
      </c>
      <c r="FE7" s="17" t="str" cm="1">
        <f t="array" ref="FE7">FE26</f>
        <v>Отклонение, %</v>
      </c>
      <c r="FF7" s="17" t="str" cm="1">
        <f t="array" ref="FF7">FF26</f>
        <v>Предложение организации</v>
      </c>
      <c r="FG7" s="17" t="str" cm="1">
        <f t="array" ref="FG7">FG26</f>
        <v>Принято органом регулирования</v>
      </c>
      <c r="FH7" s="17" t="str" cm="1">
        <f t="array" ref="FH7">FH26</f>
        <v>Отклонение, %</v>
      </c>
      <c r="FI7" s="17" t="str" cm="1">
        <f t="array" ref="FI7">FI26</f>
        <v>Предложение организации</v>
      </c>
      <c r="FJ7" s="17" t="str" cm="1">
        <f t="array" ref="FJ7">FJ26</f>
        <v>Принято органом регулирования</v>
      </c>
      <c r="FK7" s="17" t="str" cm="1">
        <f t="array" ref="FK7">FK26</f>
        <v>Отклонение, %</v>
      </c>
      <c r="FL7" s="17" t="str" cm="1">
        <f t="array" ref="FL7">FL26</f>
        <v>Предложение организации</v>
      </c>
      <c r="FM7" s="17" t="str" cm="1">
        <f t="array" ref="FM7">FM26</f>
        <v>Принято органом регулирования</v>
      </c>
      <c r="FN7" s="17" t="str" cm="1">
        <f t="array" ref="FN7">FN26</f>
        <v>Отклонение, %</v>
      </c>
      <c r="FO7" s="17" t="str" cm="1">
        <f t="array" ref="FO7">FO26</f>
        <v>Предложение организации</v>
      </c>
      <c r="FP7" s="17" t="str" cm="1">
        <f t="array" ref="FP7">FP26</f>
        <v>Принято органом регулирования</v>
      </c>
      <c r="FQ7" s="17" t="str" cm="1">
        <f t="array" ref="FQ7">FQ26</f>
        <v>Отклонение, %</v>
      </c>
      <c r="FR7" s="17" t="str" cm="1">
        <f t="array" ref="FR7">FR26</f>
        <v>Предложение организации</v>
      </c>
      <c r="FS7" s="17" t="str" cm="1">
        <f t="array" ref="FS7">FS26</f>
        <v>Принято органом регулирования</v>
      </c>
      <c r="FT7" s="17" t="str" cm="1">
        <f t="array" ref="FT7">FT26</f>
        <v>Отклонение, %</v>
      </c>
      <c r="FU7" s="17" t="str" cm="1">
        <f t="array" ref="FU7">FU26</f>
        <v>Предложение организации</v>
      </c>
      <c r="FV7" s="17" t="str" cm="1">
        <f t="array" ref="FV7">FV26</f>
        <v>Принято органом регулирования</v>
      </c>
      <c r="FW7" s="17" t="str" cm="1">
        <f t="array" ref="FW7">FW26</f>
        <v>Отклонение, %</v>
      </c>
    </row>
    <row r="8" spans="1:186" ht="11.25" hidden="1" customHeight="1" x14ac:dyDescent="0.15">
      <c r="AD8" s="17" t="str">
        <f t="shared" ref="AD8:BI8" si="5">AD6&amp;AD7</f>
        <v>2026Предложение организации</v>
      </c>
      <c r="AE8" s="17" t="str">
        <f t="shared" si="5"/>
        <v>2026Принято органом регулирования</v>
      </c>
      <c r="AF8" s="17" t="str">
        <f t="shared" si="5"/>
        <v>2026Отклонение, %</v>
      </c>
      <c r="AG8" s="17" t="str">
        <f t="shared" si="5"/>
        <v>2027Предложение организации</v>
      </c>
      <c r="AH8" s="17" t="str">
        <f t="shared" si="5"/>
        <v>2027Принято органом регулирования</v>
      </c>
      <c r="AI8" s="17" t="str">
        <f t="shared" si="5"/>
        <v>2027Отклонение, %</v>
      </c>
      <c r="AJ8" s="17" t="str">
        <f t="shared" si="5"/>
        <v>2028Предложение организации</v>
      </c>
      <c r="AK8" s="17" t="str">
        <f t="shared" si="5"/>
        <v>2028Принято органом регулирования</v>
      </c>
      <c r="AL8" s="17" t="str">
        <f t="shared" si="5"/>
        <v>2028Отклонение, %</v>
      </c>
      <c r="AM8" s="17" t="str">
        <f t="shared" si="5"/>
        <v>2029Предложение организации</v>
      </c>
      <c r="AN8" s="17" t="str">
        <f t="shared" si="5"/>
        <v>2029Принято органом регулирования</v>
      </c>
      <c r="AO8" s="17" t="str">
        <f t="shared" si="5"/>
        <v>2029Отклонение, %</v>
      </c>
      <c r="AP8" s="17" t="str">
        <f t="shared" si="5"/>
        <v>2030Предложение организации</v>
      </c>
      <c r="AQ8" s="17" t="str">
        <f t="shared" si="5"/>
        <v>2030Принято органом регулирования</v>
      </c>
      <c r="AR8" s="17" t="str">
        <f t="shared" si="5"/>
        <v>2030Отклонение, %</v>
      </c>
      <c r="AS8" s="17" t="str">
        <f t="shared" si="5"/>
        <v>2031Предложение организации</v>
      </c>
      <c r="AT8" s="17" t="str">
        <f t="shared" si="5"/>
        <v>2031Принято органом регулирования</v>
      </c>
      <c r="AU8" s="17" t="str">
        <f t="shared" si="5"/>
        <v>2031Отклонение, %</v>
      </c>
      <c r="AV8" s="17" t="str">
        <f t="shared" si="5"/>
        <v>2032Предложение организации</v>
      </c>
      <c r="AW8" s="17" t="str">
        <f t="shared" si="5"/>
        <v>2032Принято органом регулирования</v>
      </c>
      <c r="AX8" s="17" t="str">
        <f t="shared" si="5"/>
        <v>2032Отклонение, %</v>
      </c>
      <c r="AY8" s="17" t="str">
        <f t="shared" si="5"/>
        <v>2033Предложение организации</v>
      </c>
      <c r="AZ8" s="17" t="str">
        <f t="shared" si="5"/>
        <v>2033Принято органом регулирования</v>
      </c>
      <c r="BA8" s="17" t="str">
        <f t="shared" si="5"/>
        <v>2033Отклонение, %</v>
      </c>
      <c r="BB8" s="17" t="str">
        <f t="shared" si="5"/>
        <v>2034Предложение организации</v>
      </c>
      <c r="BC8" s="17" t="str">
        <f t="shared" si="5"/>
        <v>2034Принято органом регулирования</v>
      </c>
      <c r="BD8" s="17" t="str">
        <f t="shared" si="5"/>
        <v>2034Отклонение, %</v>
      </c>
      <c r="BE8" s="17" t="str">
        <f t="shared" si="5"/>
        <v>2035Предложение организации</v>
      </c>
      <c r="BF8" s="17" t="str">
        <f t="shared" si="5"/>
        <v>2035Принято органом регулирования</v>
      </c>
      <c r="BG8" s="17" t="str">
        <f t="shared" si="5"/>
        <v>2035Отклонение, %</v>
      </c>
      <c r="BH8" s="17" t="str">
        <f t="shared" si="5"/>
        <v>2036Предложение организации</v>
      </c>
      <c r="BI8" s="17" t="str">
        <f t="shared" si="5"/>
        <v>2036Принято органом регулирования</v>
      </c>
      <c r="BJ8" s="17" t="str">
        <f t="shared" ref="BJ8:CO8" si="6">BJ6&amp;BJ7</f>
        <v>2036Отклонение, %</v>
      </c>
      <c r="BK8" s="17" t="str">
        <f t="shared" si="6"/>
        <v>2037Предложение организации</v>
      </c>
      <c r="BL8" s="17" t="str">
        <f t="shared" si="6"/>
        <v>2037Принято органом регулирования</v>
      </c>
      <c r="BM8" s="17" t="str">
        <f t="shared" si="6"/>
        <v>2037Отклонение, %</v>
      </c>
      <c r="BN8" s="17" t="str">
        <f t="shared" si="6"/>
        <v>2038Предложение организации</v>
      </c>
      <c r="BO8" s="17" t="str">
        <f t="shared" si="6"/>
        <v>2038Принято органом регулирования</v>
      </c>
      <c r="BP8" s="17" t="str">
        <f t="shared" si="6"/>
        <v>2038Отклонение, %</v>
      </c>
      <c r="BQ8" s="17" t="str">
        <f t="shared" si="6"/>
        <v>2039Предложение организации</v>
      </c>
      <c r="BR8" s="17" t="str">
        <f t="shared" si="6"/>
        <v>2039Принято органом регулирования</v>
      </c>
      <c r="BS8" s="17" t="str">
        <f t="shared" si="6"/>
        <v>2039Отклонение, %</v>
      </c>
      <c r="BT8" s="17" t="str">
        <f t="shared" si="6"/>
        <v>2040Предложение организации</v>
      </c>
      <c r="BU8" s="17" t="str">
        <f t="shared" si="6"/>
        <v>2040Принято органом регулирования</v>
      </c>
      <c r="BV8" s="17" t="str">
        <f t="shared" si="6"/>
        <v>2040Отклонение, %</v>
      </c>
      <c r="BW8" s="17" t="str">
        <f t="shared" si="6"/>
        <v>2041Предложение организации</v>
      </c>
      <c r="BX8" s="17" t="str">
        <f t="shared" si="6"/>
        <v>2041Принято органом регулирования</v>
      </c>
      <c r="BY8" s="17" t="str">
        <f t="shared" si="6"/>
        <v>2041Отклонение, %</v>
      </c>
      <c r="BZ8" s="17" t="str">
        <f t="shared" si="6"/>
        <v>2042Предложение организации</v>
      </c>
      <c r="CA8" s="17" t="str">
        <f t="shared" si="6"/>
        <v>2042Принято органом регулирования</v>
      </c>
      <c r="CB8" s="17" t="str">
        <f t="shared" si="6"/>
        <v>2042Отклонение, %</v>
      </c>
      <c r="CC8" s="17" t="str">
        <f t="shared" si="6"/>
        <v>2043Предложение организации</v>
      </c>
      <c r="CD8" s="17" t="str">
        <f t="shared" si="6"/>
        <v>2043Принято органом регулирования</v>
      </c>
      <c r="CE8" s="17" t="str">
        <f t="shared" si="6"/>
        <v>2043Отклонение, %</v>
      </c>
      <c r="CF8" s="17" t="str">
        <f t="shared" si="6"/>
        <v>2044Предложение организации</v>
      </c>
      <c r="CG8" s="17" t="str">
        <f t="shared" si="6"/>
        <v>2044Принято органом регулирования</v>
      </c>
      <c r="CH8" s="17" t="str">
        <f t="shared" si="6"/>
        <v>2044Отклонение, %</v>
      </c>
      <c r="CI8" s="17" t="str">
        <f t="shared" si="6"/>
        <v>2045Предложение организации</v>
      </c>
      <c r="CJ8" s="17" t="str">
        <f t="shared" si="6"/>
        <v>2045Принято органом регулирования</v>
      </c>
      <c r="CK8" s="17" t="str">
        <f t="shared" si="6"/>
        <v>2045Отклонение, %</v>
      </c>
      <c r="CL8" s="17" t="str">
        <f t="shared" si="6"/>
        <v>2046Предложение организации</v>
      </c>
      <c r="CM8" s="17" t="str">
        <f t="shared" si="6"/>
        <v>2046Принято органом регулирования</v>
      </c>
      <c r="CN8" s="17" t="str">
        <f t="shared" si="6"/>
        <v>2046Отклонение, %</v>
      </c>
      <c r="CO8" s="17" t="str">
        <f t="shared" si="6"/>
        <v>2047Предложение организации</v>
      </c>
      <c r="CP8" s="17" t="str">
        <f t="shared" ref="CP8:DU8" si="7">CP6&amp;CP7</f>
        <v>2047Принято органом регулирования</v>
      </c>
      <c r="CQ8" s="17" t="str">
        <f t="shared" si="7"/>
        <v>2047Отклонение, %</v>
      </c>
      <c r="CR8" s="17" t="str">
        <f t="shared" si="7"/>
        <v>2048Предложение организации</v>
      </c>
      <c r="CS8" s="17" t="str">
        <f t="shared" si="7"/>
        <v>2048Принято органом регулирования</v>
      </c>
      <c r="CT8" s="17" t="str">
        <f t="shared" si="7"/>
        <v>2048Отклонение, %</v>
      </c>
      <c r="CU8" s="17" t="str">
        <f t="shared" si="7"/>
        <v>2049Предложение организации</v>
      </c>
      <c r="CV8" s="17" t="str">
        <f t="shared" si="7"/>
        <v>2049Принято органом регулирования</v>
      </c>
      <c r="CW8" s="17" t="str">
        <f t="shared" si="7"/>
        <v>2049Отклонение, %</v>
      </c>
      <c r="CX8" s="17" t="str">
        <f t="shared" si="7"/>
        <v>2050Предложение организации</v>
      </c>
      <c r="CY8" s="17" t="str">
        <f t="shared" si="7"/>
        <v>2050Принято органом регулирования</v>
      </c>
      <c r="CZ8" s="17" t="str">
        <f t="shared" si="7"/>
        <v>2050Отклонение, %</v>
      </c>
      <c r="DA8" s="17" t="str">
        <f t="shared" si="7"/>
        <v>2051Предложение организации</v>
      </c>
      <c r="DB8" s="17" t="str">
        <f t="shared" si="7"/>
        <v>2051Принято органом регулирования</v>
      </c>
      <c r="DC8" s="17" t="str">
        <f t="shared" si="7"/>
        <v>2051Отклонение, %</v>
      </c>
      <c r="DD8" s="17" t="str">
        <f t="shared" si="7"/>
        <v>2052Предложение организации</v>
      </c>
      <c r="DE8" s="17" t="str">
        <f t="shared" si="7"/>
        <v>2052Принято органом регулирования</v>
      </c>
      <c r="DF8" s="17" t="str">
        <f t="shared" si="7"/>
        <v>2052Отклонение, %</v>
      </c>
      <c r="DG8" s="17" t="str">
        <f t="shared" si="7"/>
        <v>2053Предложение организации</v>
      </c>
      <c r="DH8" s="17" t="str">
        <f t="shared" si="7"/>
        <v>2053Принято органом регулирования</v>
      </c>
      <c r="DI8" s="17" t="str">
        <f t="shared" si="7"/>
        <v>2053Отклонение, %</v>
      </c>
      <c r="DJ8" s="17" t="str">
        <f t="shared" si="7"/>
        <v>2054Предложение организации</v>
      </c>
      <c r="DK8" s="17" t="str">
        <f t="shared" si="7"/>
        <v>2054Принято органом регулирования</v>
      </c>
      <c r="DL8" s="17" t="str">
        <f t="shared" si="7"/>
        <v>2054Отклонение, %</v>
      </c>
      <c r="DM8" s="17" t="str">
        <f t="shared" si="7"/>
        <v>2055Предложение организации</v>
      </c>
      <c r="DN8" s="17" t="str">
        <f t="shared" si="7"/>
        <v>2055Принято органом регулирования</v>
      </c>
      <c r="DO8" s="17" t="str">
        <f t="shared" si="7"/>
        <v>2055Отклонение, %</v>
      </c>
      <c r="DP8" s="17" t="str">
        <f t="shared" si="7"/>
        <v>2056Предложение организации</v>
      </c>
      <c r="DQ8" s="17" t="str">
        <f t="shared" si="7"/>
        <v>2056Принято органом регулирования</v>
      </c>
      <c r="DR8" s="17" t="str">
        <f t="shared" si="7"/>
        <v>2056Отклонение, %</v>
      </c>
      <c r="DS8" s="17" t="str">
        <f t="shared" si="7"/>
        <v>2057Предложение организации</v>
      </c>
      <c r="DT8" s="17" t="str">
        <f t="shared" si="7"/>
        <v>2057Принято органом регулирования</v>
      </c>
      <c r="DU8" s="17" t="str">
        <f t="shared" si="7"/>
        <v>2057Отклонение, %</v>
      </c>
      <c r="DV8" s="17" t="str">
        <f t="shared" ref="DV8:FA8" si="8">DV6&amp;DV7</f>
        <v>2058Предложение организации</v>
      </c>
      <c r="DW8" s="17" t="str">
        <f t="shared" si="8"/>
        <v>2058Принято органом регулирования</v>
      </c>
      <c r="DX8" s="17" t="str">
        <f t="shared" si="8"/>
        <v>2058Отклонение, %</v>
      </c>
      <c r="DY8" s="17" t="str">
        <f t="shared" si="8"/>
        <v>2059Предложение организации</v>
      </c>
      <c r="DZ8" s="17" t="str">
        <f t="shared" si="8"/>
        <v>2059Принято органом регулирования</v>
      </c>
      <c r="EA8" s="17" t="str">
        <f t="shared" si="8"/>
        <v>2059Отклонение, %</v>
      </c>
      <c r="EB8" s="17" t="str">
        <f t="shared" si="8"/>
        <v>2060Предложение организации</v>
      </c>
      <c r="EC8" s="17" t="str">
        <f t="shared" si="8"/>
        <v>2060Принято органом регулирования</v>
      </c>
      <c r="ED8" s="17" t="str">
        <f t="shared" si="8"/>
        <v>2060Отклонение, %</v>
      </c>
      <c r="EE8" s="17" t="str">
        <f t="shared" si="8"/>
        <v>2061Предложение организации</v>
      </c>
      <c r="EF8" s="17" t="str">
        <f t="shared" si="8"/>
        <v>2061Принято органом регулирования</v>
      </c>
      <c r="EG8" s="17" t="str">
        <f t="shared" si="8"/>
        <v>2061Отклонение, %</v>
      </c>
      <c r="EH8" s="17" t="str">
        <f t="shared" si="8"/>
        <v>2062Предложение организации</v>
      </c>
      <c r="EI8" s="17" t="str">
        <f t="shared" si="8"/>
        <v>2062Принято органом регулирования</v>
      </c>
      <c r="EJ8" s="17" t="str">
        <f t="shared" si="8"/>
        <v>2062Отклонение, %</v>
      </c>
      <c r="EK8" s="17" t="str">
        <f t="shared" si="8"/>
        <v>2063Предложение организации</v>
      </c>
      <c r="EL8" s="17" t="str">
        <f t="shared" si="8"/>
        <v>2063Принято органом регулирования</v>
      </c>
      <c r="EM8" s="17" t="str">
        <f t="shared" si="8"/>
        <v>2063Отклонение, %</v>
      </c>
      <c r="EN8" s="17" t="str">
        <f t="shared" si="8"/>
        <v>2064Предложение организации</v>
      </c>
      <c r="EO8" s="17" t="str">
        <f t="shared" si="8"/>
        <v>2064Принято органом регулирования</v>
      </c>
      <c r="EP8" s="17" t="str">
        <f t="shared" si="8"/>
        <v>2064Отклонение, %</v>
      </c>
      <c r="EQ8" s="17" t="str">
        <f t="shared" si="8"/>
        <v>2065Предложение организации</v>
      </c>
      <c r="ER8" s="17" t="str">
        <f t="shared" si="8"/>
        <v>2065Принято органом регулирования</v>
      </c>
      <c r="ES8" s="17" t="str">
        <f t="shared" si="8"/>
        <v>2065Отклонение, %</v>
      </c>
      <c r="ET8" s="17" t="str">
        <f t="shared" si="8"/>
        <v>2066Предложение организации</v>
      </c>
      <c r="EU8" s="17" t="str">
        <f t="shared" si="8"/>
        <v>2066Принято органом регулирования</v>
      </c>
      <c r="EV8" s="17" t="str">
        <f t="shared" si="8"/>
        <v>2066Отклонение, %</v>
      </c>
      <c r="EW8" s="17" t="str">
        <f t="shared" si="8"/>
        <v>2067Предложение организации</v>
      </c>
      <c r="EX8" s="17" t="str">
        <f t="shared" si="8"/>
        <v>2067Принято органом регулирования</v>
      </c>
      <c r="EY8" s="17" t="str">
        <f t="shared" si="8"/>
        <v>2067Отклонение, %</v>
      </c>
      <c r="EZ8" s="17" t="str">
        <f t="shared" si="8"/>
        <v>2068Предложение организации</v>
      </c>
      <c r="FA8" s="17" t="str">
        <f t="shared" si="8"/>
        <v>2068Принято органом регулирования</v>
      </c>
      <c r="FB8" s="17" t="str">
        <f t="shared" ref="FB8:GG8" si="9">FB6&amp;FB7</f>
        <v>2068Отклонение, %</v>
      </c>
      <c r="FC8" s="17" t="str">
        <f t="shared" si="9"/>
        <v>2069Предложение организации</v>
      </c>
      <c r="FD8" s="17" t="str">
        <f t="shared" si="9"/>
        <v>2069Принято органом регулирования</v>
      </c>
      <c r="FE8" s="17" t="str">
        <f t="shared" si="9"/>
        <v>2069Отклонение, %</v>
      </c>
      <c r="FF8" s="17" t="str">
        <f t="shared" si="9"/>
        <v>2070Предложение организации</v>
      </c>
      <c r="FG8" s="17" t="str">
        <f t="shared" si="9"/>
        <v>2070Принято органом регулирования</v>
      </c>
      <c r="FH8" s="17" t="str">
        <f t="shared" si="9"/>
        <v>2070Отклонение, %</v>
      </c>
      <c r="FI8" s="17" t="str">
        <f t="shared" si="9"/>
        <v>2071Предложение организации</v>
      </c>
      <c r="FJ8" s="17" t="str">
        <f t="shared" si="9"/>
        <v>2071Принято органом регулирования</v>
      </c>
      <c r="FK8" s="17" t="str">
        <f t="shared" si="9"/>
        <v>2071Отклонение, %</v>
      </c>
      <c r="FL8" s="17" t="str">
        <f t="shared" si="9"/>
        <v>2072Предложение организации</v>
      </c>
      <c r="FM8" s="17" t="str">
        <f t="shared" si="9"/>
        <v>2072Принято органом регулирования</v>
      </c>
      <c r="FN8" s="17" t="str">
        <f t="shared" si="9"/>
        <v>2072Отклонение, %</v>
      </c>
      <c r="FO8" s="17" t="str">
        <f t="shared" si="9"/>
        <v>2073Предложение организации</v>
      </c>
      <c r="FP8" s="17" t="str">
        <f t="shared" si="9"/>
        <v>2073Принято органом регулирования</v>
      </c>
      <c r="FQ8" s="17" t="str">
        <f t="shared" si="9"/>
        <v>2073Отклонение, %</v>
      </c>
      <c r="FR8" s="17" t="str">
        <f t="shared" si="9"/>
        <v>2074Предложение организации</v>
      </c>
      <c r="FS8" s="17" t="str">
        <f t="shared" si="9"/>
        <v>2074Принято органом регулирования</v>
      </c>
      <c r="FT8" s="17" t="str">
        <f t="shared" si="9"/>
        <v>2074Отклонение, %</v>
      </c>
      <c r="FU8" s="17" t="str">
        <f t="shared" si="9"/>
        <v>2075Предложение организации</v>
      </c>
      <c r="FV8" s="17" t="str">
        <f t="shared" si="9"/>
        <v>2075Принято органом регулирования</v>
      </c>
      <c r="FW8" s="17" t="str">
        <f t="shared" si="9"/>
        <v>2075Отклонение, %</v>
      </c>
    </row>
    <row r="9" spans="1:186" s="1216" customFormat="1" ht="11.25" hidden="1" customHeight="1" x14ac:dyDescent="0.15">
      <c r="A9" s="924" t="s">
        <v>362</v>
      </c>
      <c r="B9" s="961"/>
      <c r="F9" s="962"/>
      <c r="AB9" s="963"/>
      <c r="AC9" s="922"/>
      <c r="AD9" s="924" cm="1">
        <f t="array" ref="AD9">AD6</f>
        <v>2026</v>
      </c>
      <c r="AE9" s="924" cm="1">
        <f t="array" ref="AE9">AE6</f>
        <v>2026</v>
      </c>
      <c r="AF9" s="924" cm="1">
        <f t="array" ref="AF9">AF6</f>
        <v>2026</v>
      </c>
      <c r="AG9" s="924" cm="1">
        <f t="array" ref="AG9">AG6</f>
        <v>2027</v>
      </c>
      <c r="AH9" s="924" cm="1">
        <f t="array" ref="AH9">AH6</f>
        <v>2027</v>
      </c>
      <c r="AI9" s="924" cm="1">
        <f t="array" ref="AI9">AI6</f>
        <v>2027</v>
      </c>
      <c r="AJ9" s="924" cm="1">
        <f t="array" ref="AJ9">AJ6</f>
        <v>2028</v>
      </c>
      <c r="AK9" s="924" cm="1">
        <f t="array" ref="AK9">AK6</f>
        <v>2028</v>
      </c>
      <c r="AL9" s="924" cm="1">
        <f t="array" ref="AL9">AL6</f>
        <v>2028</v>
      </c>
      <c r="AM9" s="924" cm="1">
        <f t="array" ref="AM9">AM6</f>
        <v>2029</v>
      </c>
      <c r="AN9" s="924" cm="1">
        <f t="array" ref="AN9">AN6</f>
        <v>2029</v>
      </c>
      <c r="AO9" s="924" cm="1">
        <f t="array" ref="AO9">AO6</f>
        <v>2029</v>
      </c>
      <c r="AP9" s="924" cm="1">
        <f t="array" ref="AP9">AP6</f>
        <v>2030</v>
      </c>
      <c r="AQ9" s="924" cm="1">
        <f t="array" ref="AQ9">AQ6</f>
        <v>2030</v>
      </c>
      <c r="AR9" s="924" cm="1">
        <f t="array" ref="AR9">AR6</f>
        <v>2030</v>
      </c>
      <c r="AS9" s="924" cm="1">
        <f t="array" ref="AS9">AS6</f>
        <v>2031</v>
      </c>
      <c r="AT9" s="924" cm="1">
        <f t="array" ref="AT9">AT6</f>
        <v>2031</v>
      </c>
      <c r="AU9" s="924" cm="1">
        <f t="array" ref="AU9">AU6</f>
        <v>2031</v>
      </c>
      <c r="AV9" s="924" cm="1">
        <f t="array" ref="AV9">AV6</f>
        <v>2032</v>
      </c>
      <c r="AW9" s="924" cm="1">
        <f t="array" ref="AW9">AW6</f>
        <v>2032</v>
      </c>
      <c r="AX9" s="924" cm="1">
        <f t="array" ref="AX9">AX6</f>
        <v>2032</v>
      </c>
      <c r="AY9" s="924" cm="1">
        <f t="array" ref="AY9">AY6</f>
        <v>2033</v>
      </c>
      <c r="AZ9" s="924" cm="1">
        <f t="array" ref="AZ9">AZ6</f>
        <v>2033</v>
      </c>
      <c r="BA9" s="924" cm="1">
        <f t="array" ref="BA9">BA6</f>
        <v>2033</v>
      </c>
      <c r="BB9" s="924" cm="1">
        <f t="array" ref="BB9">BB6</f>
        <v>2034</v>
      </c>
      <c r="BC9" s="924" cm="1">
        <f t="array" ref="BC9">BC6</f>
        <v>2034</v>
      </c>
      <c r="BD9" s="924" cm="1">
        <f t="array" ref="BD9">BD6</f>
        <v>2034</v>
      </c>
      <c r="BE9" s="924" cm="1">
        <f t="array" ref="BE9">BE6</f>
        <v>2035</v>
      </c>
      <c r="BF9" s="924" cm="1">
        <f t="array" ref="BF9">BF6</f>
        <v>2035</v>
      </c>
      <c r="BG9" s="924" cm="1">
        <f t="array" ref="BG9">BG6</f>
        <v>2035</v>
      </c>
      <c r="BH9" s="924" cm="1">
        <f t="array" ref="BH9">BH6</f>
        <v>2036</v>
      </c>
      <c r="BI9" s="924" cm="1">
        <f t="array" ref="BI9">BI6</f>
        <v>2036</v>
      </c>
      <c r="BJ9" s="924" cm="1">
        <f t="array" ref="BJ9">BJ6</f>
        <v>2036</v>
      </c>
      <c r="BK9" s="924" cm="1">
        <f t="array" ref="BK9">BK6</f>
        <v>2037</v>
      </c>
      <c r="BL9" s="924" cm="1">
        <f t="array" ref="BL9">BL6</f>
        <v>2037</v>
      </c>
      <c r="BM9" s="924" cm="1">
        <f t="array" ref="BM9">BM6</f>
        <v>2037</v>
      </c>
      <c r="BN9" s="924" cm="1">
        <f t="array" ref="BN9">BN6</f>
        <v>2038</v>
      </c>
      <c r="BO9" s="924" cm="1">
        <f t="array" ref="BO9">BO6</f>
        <v>2038</v>
      </c>
      <c r="BP9" s="924" cm="1">
        <f t="array" ref="BP9">BP6</f>
        <v>2038</v>
      </c>
      <c r="BQ9" s="924" cm="1">
        <f t="array" ref="BQ9">BQ6</f>
        <v>2039</v>
      </c>
      <c r="BR9" s="924" cm="1">
        <f t="array" ref="BR9">BR6</f>
        <v>2039</v>
      </c>
      <c r="BS9" s="924" cm="1">
        <f t="array" ref="BS9">BS6</f>
        <v>2039</v>
      </c>
      <c r="BT9" s="924" cm="1">
        <f t="array" ref="BT9">BT6</f>
        <v>2040</v>
      </c>
      <c r="BU9" s="924" cm="1">
        <f t="array" ref="BU9">BU6</f>
        <v>2040</v>
      </c>
      <c r="BV9" s="924" cm="1">
        <f t="array" ref="BV9">BV6</f>
        <v>2040</v>
      </c>
      <c r="BW9" s="924" cm="1">
        <f t="array" ref="BW9">BW6</f>
        <v>2041</v>
      </c>
      <c r="BX9" s="924" cm="1">
        <f t="array" ref="BX9">BX6</f>
        <v>2041</v>
      </c>
      <c r="BY9" s="924" cm="1">
        <f t="array" ref="BY9">BY6</f>
        <v>2041</v>
      </c>
      <c r="BZ9" s="924" cm="1">
        <f t="array" ref="BZ9">BZ6</f>
        <v>2042</v>
      </c>
      <c r="CA9" s="924" cm="1">
        <f t="array" ref="CA9">CA6</f>
        <v>2042</v>
      </c>
      <c r="CB9" s="924" cm="1">
        <f t="array" ref="CB9">CB6</f>
        <v>2042</v>
      </c>
      <c r="CC9" s="924" cm="1">
        <f t="array" ref="CC9">CC6</f>
        <v>2043</v>
      </c>
      <c r="CD9" s="924" cm="1">
        <f t="array" ref="CD9">CD6</f>
        <v>2043</v>
      </c>
      <c r="CE9" s="924" cm="1">
        <f t="array" ref="CE9">CE6</f>
        <v>2043</v>
      </c>
      <c r="CF9" s="924" cm="1">
        <f t="array" ref="CF9">CF6</f>
        <v>2044</v>
      </c>
      <c r="CG9" s="924" cm="1">
        <f t="array" ref="CG9">CG6</f>
        <v>2044</v>
      </c>
      <c r="CH9" s="924" cm="1">
        <f t="array" ref="CH9">CH6</f>
        <v>2044</v>
      </c>
      <c r="CI9" s="924" cm="1">
        <f t="array" ref="CI9">CI6</f>
        <v>2045</v>
      </c>
      <c r="CJ9" s="924" cm="1">
        <f t="array" ref="CJ9">CJ6</f>
        <v>2045</v>
      </c>
      <c r="CK9" s="924" cm="1">
        <f t="array" ref="CK9">CK6</f>
        <v>2045</v>
      </c>
      <c r="CL9" s="924" cm="1">
        <f t="array" ref="CL9">CL6</f>
        <v>2046</v>
      </c>
      <c r="CM9" s="924" cm="1">
        <f t="array" ref="CM9">CM6</f>
        <v>2046</v>
      </c>
      <c r="CN9" s="924" cm="1">
        <f t="array" ref="CN9">CN6</f>
        <v>2046</v>
      </c>
      <c r="CO9" s="924" cm="1">
        <f t="array" ref="CO9">CO6</f>
        <v>2047</v>
      </c>
      <c r="CP9" s="924" cm="1">
        <f t="array" ref="CP9">CP6</f>
        <v>2047</v>
      </c>
      <c r="CQ9" s="924" cm="1">
        <f t="array" ref="CQ9">CQ6</f>
        <v>2047</v>
      </c>
      <c r="CR9" s="924" cm="1">
        <f t="array" ref="CR9">CR6</f>
        <v>2048</v>
      </c>
      <c r="CS9" s="924" cm="1">
        <f t="array" ref="CS9">CS6</f>
        <v>2048</v>
      </c>
      <c r="CT9" s="924" cm="1">
        <f t="array" ref="CT9">CT6</f>
        <v>2048</v>
      </c>
      <c r="CU9" s="924" cm="1">
        <f t="array" ref="CU9">CU6</f>
        <v>2049</v>
      </c>
      <c r="CV9" s="924" cm="1">
        <f t="array" ref="CV9">CV6</f>
        <v>2049</v>
      </c>
      <c r="CW9" s="924" cm="1">
        <f t="array" ref="CW9">CW6</f>
        <v>2049</v>
      </c>
      <c r="CX9" s="924" cm="1">
        <f t="array" ref="CX9">CX6</f>
        <v>2050</v>
      </c>
      <c r="CY9" s="924" cm="1">
        <f t="array" ref="CY9">CY6</f>
        <v>2050</v>
      </c>
      <c r="CZ9" s="924" cm="1">
        <f t="array" ref="CZ9">CZ6</f>
        <v>2050</v>
      </c>
      <c r="DA9" s="924" cm="1">
        <f t="array" ref="DA9">DA6</f>
        <v>2051</v>
      </c>
      <c r="DB9" s="924" cm="1">
        <f t="array" ref="DB9">DB6</f>
        <v>2051</v>
      </c>
      <c r="DC9" s="924" cm="1">
        <f t="array" ref="DC9">DC6</f>
        <v>2051</v>
      </c>
      <c r="DD9" s="924" cm="1">
        <f t="array" ref="DD9">DD6</f>
        <v>2052</v>
      </c>
      <c r="DE9" s="924" cm="1">
        <f t="array" ref="DE9">DE6</f>
        <v>2052</v>
      </c>
      <c r="DF9" s="924" cm="1">
        <f t="array" ref="DF9">DF6</f>
        <v>2052</v>
      </c>
      <c r="DG9" s="924" cm="1">
        <f t="array" ref="DG9">DG6</f>
        <v>2053</v>
      </c>
      <c r="DH9" s="924" cm="1">
        <f t="array" ref="DH9">DH6</f>
        <v>2053</v>
      </c>
      <c r="DI9" s="924" cm="1">
        <f t="array" ref="DI9">DI6</f>
        <v>2053</v>
      </c>
      <c r="DJ9" s="924" cm="1">
        <f t="array" ref="DJ9">DJ6</f>
        <v>2054</v>
      </c>
      <c r="DK9" s="924" cm="1">
        <f t="array" ref="DK9">DK6</f>
        <v>2054</v>
      </c>
      <c r="DL9" s="924" cm="1">
        <f t="array" ref="DL9">DL6</f>
        <v>2054</v>
      </c>
      <c r="DM9" s="924" cm="1">
        <f t="array" ref="DM9">DM6</f>
        <v>2055</v>
      </c>
      <c r="DN9" s="924" cm="1">
        <f t="array" ref="DN9">DN6</f>
        <v>2055</v>
      </c>
      <c r="DO9" s="924" cm="1">
        <f t="array" ref="DO9">DO6</f>
        <v>2055</v>
      </c>
      <c r="DP9" s="924" cm="1">
        <f t="array" ref="DP9">DP6</f>
        <v>2056</v>
      </c>
      <c r="DQ9" s="924" cm="1">
        <f t="array" ref="DQ9">DQ6</f>
        <v>2056</v>
      </c>
      <c r="DR9" s="924" cm="1">
        <f t="array" ref="DR9">DR6</f>
        <v>2056</v>
      </c>
      <c r="DS9" s="924" cm="1">
        <f t="array" ref="DS9">DS6</f>
        <v>2057</v>
      </c>
      <c r="DT9" s="924" cm="1">
        <f t="array" ref="DT9">DT6</f>
        <v>2057</v>
      </c>
      <c r="DU9" s="924" cm="1">
        <f t="array" ref="DU9">DU6</f>
        <v>2057</v>
      </c>
      <c r="DV9" s="924" cm="1">
        <f t="array" ref="DV9">DV6</f>
        <v>2058</v>
      </c>
      <c r="DW9" s="924" cm="1">
        <f t="array" ref="DW9">DW6</f>
        <v>2058</v>
      </c>
      <c r="DX9" s="924" cm="1">
        <f t="array" ref="DX9">DX6</f>
        <v>2058</v>
      </c>
      <c r="DY9" s="924" cm="1">
        <f t="array" ref="DY9">DY6</f>
        <v>2059</v>
      </c>
      <c r="DZ9" s="924" cm="1">
        <f t="array" ref="DZ9">DZ6</f>
        <v>2059</v>
      </c>
      <c r="EA9" s="924" cm="1">
        <f t="array" ref="EA9">EA6</f>
        <v>2059</v>
      </c>
      <c r="EB9" s="924" cm="1">
        <f t="array" ref="EB9">EB6</f>
        <v>2060</v>
      </c>
      <c r="EC9" s="924" cm="1">
        <f t="array" ref="EC9">EC6</f>
        <v>2060</v>
      </c>
      <c r="ED9" s="924" cm="1">
        <f t="array" ref="ED9">ED6</f>
        <v>2060</v>
      </c>
      <c r="EE9" s="924" cm="1">
        <f t="array" ref="EE9">EE6</f>
        <v>2061</v>
      </c>
      <c r="EF9" s="924" cm="1">
        <f t="array" ref="EF9">EF6</f>
        <v>2061</v>
      </c>
      <c r="EG9" s="924" cm="1">
        <f t="array" ref="EG9">EG6</f>
        <v>2061</v>
      </c>
      <c r="EH9" s="924" cm="1">
        <f t="array" ref="EH9">EH6</f>
        <v>2062</v>
      </c>
      <c r="EI9" s="924" cm="1">
        <f t="array" ref="EI9">EI6</f>
        <v>2062</v>
      </c>
      <c r="EJ9" s="924" cm="1">
        <f t="array" ref="EJ9">EJ6</f>
        <v>2062</v>
      </c>
      <c r="EK9" s="924" cm="1">
        <f t="array" ref="EK9">EK6</f>
        <v>2063</v>
      </c>
      <c r="EL9" s="924" cm="1">
        <f t="array" ref="EL9">EL6</f>
        <v>2063</v>
      </c>
      <c r="EM9" s="924" cm="1">
        <f t="array" ref="EM9">EM6</f>
        <v>2063</v>
      </c>
      <c r="EN9" s="924" cm="1">
        <f t="array" ref="EN9">EN6</f>
        <v>2064</v>
      </c>
      <c r="EO9" s="924" cm="1">
        <f t="array" ref="EO9">EO6</f>
        <v>2064</v>
      </c>
      <c r="EP9" s="924" cm="1">
        <f t="array" ref="EP9">EP6</f>
        <v>2064</v>
      </c>
      <c r="EQ9" s="924" cm="1">
        <f t="array" ref="EQ9">EQ6</f>
        <v>2065</v>
      </c>
      <c r="ER9" s="924" cm="1">
        <f t="array" ref="ER9">ER6</f>
        <v>2065</v>
      </c>
      <c r="ES9" s="924" cm="1">
        <f t="array" ref="ES9">ES6</f>
        <v>2065</v>
      </c>
      <c r="ET9" s="924" cm="1">
        <f t="array" ref="ET9">ET6</f>
        <v>2066</v>
      </c>
      <c r="EU9" s="924" cm="1">
        <f t="array" ref="EU9">EU6</f>
        <v>2066</v>
      </c>
      <c r="EV9" s="924" cm="1">
        <f t="array" ref="EV9">EV6</f>
        <v>2066</v>
      </c>
      <c r="EW9" s="924" cm="1">
        <f t="array" ref="EW9">EW6</f>
        <v>2067</v>
      </c>
      <c r="EX9" s="924" cm="1">
        <f t="array" ref="EX9">EX6</f>
        <v>2067</v>
      </c>
      <c r="EY9" s="924" cm="1">
        <f t="array" ref="EY9">EY6</f>
        <v>2067</v>
      </c>
      <c r="EZ9" s="924" cm="1">
        <f t="array" ref="EZ9">EZ6</f>
        <v>2068</v>
      </c>
      <c r="FA9" s="924" cm="1">
        <f t="array" ref="FA9">FA6</f>
        <v>2068</v>
      </c>
      <c r="FB9" s="924" cm="1">
        <f t="array" ref="FB9">FB6</f>
        <v>2068</v>
      </c>
      <c r="FC9" s="924" cm="1">
        <f t="array" ref="FC9">FC6</f>
        <v>2069</v>
      </c>
      <c r="FD9" s="924" cm="1">
        <f t="array" ref="FD9">FD6</f>
        <v>2069</v>
      </c>
      <c r="FE9" s="924" cm="1">
        <f t="array" ref="FE9">FE6</f>
        <v>2069</v>
      </c>
      <c r="FF9" s="924" cm="1">
        <f t="array" ref="FF9">FF6</f>
        <v>2070</v>
      </c>
      <c r="FG9" s="924" cm="1">
        <f t="array" ref="FG9">FG6</f>
        <v>2070</v>
      </c>
      <c r="FH9" s="924" cm="1">
        <f t="array" ref="FH9">FH6</f>
        <v>2070</v>
      </c>
      <c r="FI9" s="924" cm="1">
        <f t="array" ref="FI9">FI6</f>
        <v>2071</v>
      </c>
      <c r="FJ9" s="924" cm="1">
        <f t="array" ref="FJ9">FJ6</f>
        <v>2071</v>
      </c>
      <c r="FK9" s="924" cm="1">
        <f t="array" ref="FK9">FK6</f>
        <v>2071</v>
      </c>
      <c r="FL9" s="924" cm="1">
        <f t="array" ref="FL9">FL6</f>
        <v>2072</v>
      </c>
      <c r="FM9" s="924" cm="1">
        <f t="array" ref="FM9">FM6</f>
        <v>2072</v>
      </c>
      <c r="FN9" s="924" cm="1">
        <f t="array" ref="FN9">FN6</f>
        <v>2072</v>
      </c>
      <c r="FO9" s="924" cm="1">
        <f t="array" ref="FO9">FO6</f>
        <v>2073</v>
      </c>
      <c r="FP9" s="924" cm="1">
        <f t="array" ref="FP9">FP6</f>
        <v>2073</v>
      </c>
      <c r="FQ9" s="924" cm="1">
        <f t="array" ref="FQ9">FQ6</f>
        <v>2073</v>
      </c>
      <c r="FR9" s="924" cm="1">
        <f t="array" ref="FR9">FR6</f>
        <v>2074</v>
      </c>
      <c r="FS9" s="924" cm="1">
        <f t="array" ref="FS9">FS6</f>
        <v>2074</v>
      </c>
      <c r="FT9" s="924" cm="1">
        <f t="array" ref="FT9">FT6</f>
        <v>2074</v>
      </c>
      <c r="FU9" s="924" cm="1">
        <f t="array" ref="FU9">FU6</f>
        <v>2075</v>
      </c>
      <c r="FV9" s="924" cm="1">
        <f t="array" ref="FV9">FV6</f>
        <v>2075</v>
      </c>
      <c r="FW9" s="924" cm="1">
        <f t="array" ref="FW9">FW6</f>
        <v>2075</v>
      </c>
      <c r="GC9" s="556"/>
      <c r="GD9" s="556"/>
    </row>
    <row r="10" spans="1:186" s="1216" customFormat="1" ht="11.25" hidden="1" customHeight="1" x14ac:dyDescent="0.15">
      <c r="A10" s="924" t="s">
        <v>363</v>
      </c>
      <c r="B10" s="961"/>
      <c r="F10" s="962"/>
      <c r="AB10" s="963"/>
      <c r="AC10" s="922"/>
      <c r="AD10" s="924" t="str" cm="1">
        <f t="array" ref="AD10">AD26</f>
        <v>Предложение организации</v>
      </c>
      <c r="AE10" s="924" t="str" cm="1">
        <f t="array" ref="AE10">AE26</f>
        <v>Принято органом регулирования</v>
      </c>
      <c r="AF10" s="924" t="str" cm="1">
        <f t="array" ref="AF10">AF26</f>
        <v>Отклонение, %</v>
      </c>
      <c r="AG10" s="924" t="str" cm="1">
        <f t="array" ref="AG10">AG26</f>
        <v>Предложение организации</v>
      </c>
      <c r="AH10" s="924" t="str" cm="1">
        <f t="array" ref="AH10">AH26</f>
        <v>Принято органом регулирования</v>
      </c>
      <c r="AI10" s="924" t="str" cm="1">
        <f t="array" ref="AI10">AI26</f>
        <v>Отклонение, %</v>
      </c>
      <c r="AJ10" s="924" t="str" cm="1">
        <f t="array" ref="AJ10">AJ26</f>
        <v>Предложение организации</v>
      </c>
      <c r="AK10" s="924" t="str" cm="1">
        <f t="array" ref="AK10">AK26</f>
        <v>Принято органом регулирования</v>
      </c>
      <c r="AL10" s="924" t="str" cm="1">
        <f t="array" ref="AL10">AL26</f>
        <v>Отклонение, %</v>
      </c>
      <c r="AM10" s="924" t="str" cm="1">
        <f t="array" ref="AM10">AM26</f>
        <v>Предложение организации</v>
      </c>
      <c r="AN10" s="924" t="str" cm="1">
        <f t="array" ref="AN10">AN26</f>
        <v>Принято органом регулирования</v>
      </c>
      <c r="AO10" s="924" t="str" cm="1">
        <f t="array" ref="AO10">AO26</f>
        <v>Отклонение, %</v>
      </c>
      <c r="AP10" s="924" t="str" cm="1">
        <f t="array" ref="AP10">AP26</f>
        <v>Предложение организации</v>
      </c>
      <c r="AQ10" s="924" t="str" cm="1">
        <f t="array" ref="AQ10">AQ26</f>
        <v>Принято органом регулирования</v>
      </c>
      <c r="AR10" s="924" t="str" cm="1">
        <f t="array" ref="AR10">AR26</f>
        <v>Отклонение, %</v>
      </c>
      <c r="AS10" s="924" t="str" cm="1">
        <f t="array" ref="AS10">AS26</f>
        <v>Предложение организации</v>
      </c>
      <c r="AT10" s="924" t="str" cm="1">
        <f t="array" ref="AT10">AT26</f>
        <v>Принято органом регулирования</v>
      </c>
      <c r="AU10" s="924" t="str" cm="1">
        <f t="array" ref="AU10">AU26</f>
        <v>Отклонение, %</v>
      </c>
      <c r="AV10" s="924" t="str" cm="1">
        <f t="array" ref="AV10">AV26</f>
        <v>Предложение организации</v>
      </c>
      <c r="AW10" s="924" t="str" cm="1">
        <f t="array" ref="AW10">AW26</f>
        <v>Принято органом регулирования</v>
      </c>
      <c r="AX10" s="924" t="str" cm="1">
        <f t="array" ref="AX10">AX26</f>
        <v>Отклонение, %</v>
      </c>
      <c r="AY10" s="924" t="str" cm="1">
        <f t="array" ref="AY10">AY26</f>
        <v>Предложение организации</v>
      </c>
      <c r="AZ10" s="924" t="str" cm="1">
        <f t="array" ref="AZ10">AZ26</f>
        <v>Принято органом регулирования</v>
      </c>
      <c r="BA10" s="924" t="str" cm="1">
        <f t="array" ref="BA10">BA26</f>
        <v>Отклонение, %</v>
      </c>
      <c r="BB10" s="924" t="str" cm="1">
        <f t="array" ref="BB10">BB26</f>
        <v>Предложение организации</v>
      </c>
      <c r="BC10" s="924" t="str" cm="1">
        <f t="array" ref="BC10">BC26</f>
        <v>Принято органом регулирования</v>
      </c>
      <c r="BD10" s="924" t="str" cm="1">
        <f t="array" ref="BD10">BD26</f>
        <v>Отклонение, %</v>
      </c>
      <c r="BE10" s="924" t="str" cm="1">
        <f t="array" ref="BE10">BE26</f>
        <v>Предложение организации</v>
      </c>
      <c r="BF10" s="924" t="str" cm="1">
        <f t="array" ref="BF10">BF26</f>
        <v>Принято органом регулирования</v>
      </c>
      <c r="BG10" s="924" t="str" cm="1">
        <f t="array" ref="BG10">BG26</f>
        <v>Отклонение, %</v>
      </c>
      <c r="BH10" s="924" t="str" cm="1">
        <f t="array" ref="BH10">BH26</f>
        <v>Предложение организации</v>
      </c>
      <c r="BI10" s="924" t="str" cm="1">
        <f t="array" ref="BI10">BI26</f>
        <v>Принято органом регулирования</v>
      </c>
      <c r="BJ10" s="924" t="str" cm="1">
        <f t="array" ref="BJ10">BJ26</f>
        <v>Отклонение, %</v>
      </c>
      <c r="BK10" s="924" t="str" cm="1">
        <f t="array" ref="BK10">BK26</f>
        <v>Предложение организации</v>
      </c>
      <c r="BL10" s="924" t="str" cm="1">
        <f t="array" ref="BL10">BL26</f>
        <v>Принято органом регулирования</v>
      </c>
      <c r="BM10" s="924" t="str" cm="1">
        <f t="array" ref="BM10">BM26</f>
        <v>Отклонение, %</v>
      </c>
      <c r="BN10" s="924" t="str" cm="1">
        <f t="array" ref="BN10">BN26</f>
        <v>Предложение организации</v>
      </c>
      <c r="BO10" s="924" t="str" cm="1">
        <f t="array" ref="BO10">BO26</f>
        <v>Принято органом регулирования</v>
      </c>
      <c r="BP10" s="924" t="str" cm="1">
        <f t="array" ref="BP10">BP26</f>
        <v>Отклонение, %</v>
      </c>
      <c r="BQ10" s="924" t="str" cm="1">
        <f t="array" ref="BQ10">BQ26</f>
        <v>Предложение организации</v>
      </c>
      <c r="BR10" s="924" t="str" cm="1">
        <f t="array" ref="BR10">BR26</f>
        <v>Принято органом регулирования</v>
      </c>
      <c r="BS10" s="924" t="str" cm="1">
        <f t="array" ref="BS10">BS26</f>
        <v>Отклонение, %</v>
      </c>
      <c r="BT10" s="924" t="str" cm="1">
        <f t="array" ref="BT10">BT26</f>
        <v>Предложение организации</v>
      </c>
      <c r="BU10" s="924" t="str" cm="1">
        <f t="array" ref="BU10">BU26</f>
        <v>Принято органом регулирования</v>
      </c>
      <c r="BV10" s="924" t="str" cm="1">
        <f t="array" ref="BV10">BV26</f>
        <v>Отклонение, %</v>
      </c>
      <c r="BW10" s="924" t="str" cm="1">
        <f t="array" ref="BW10">BW26</f>
        <v>Предложение организации</v>
      </c>
      <c r="BX10" s="924" t="str" cm="1">
        <f t="array" ref="BX10">BX26</f>
        <v>Принято органом регулирования</v>
      </c>
      <c r="BY10" s="924" t="str" cm="1">
        <f t="array" ref="BY10">BY26</f>
        <v>Отклонение, %</v>
      </c>
      <c r="BZ10" s="924" t="str" cm="1">
        <f t="array" ref="BZ10">BZ26</f>
        <v>Предложение организации</v>
      </c>
      <c r="CA10" s="924" t="str" cm="1">
        <f t="array" ref="CA10">CA26</f>
        <v>Принято органом регулирования</v>
      </c>
      <c r="CB10" s="924" t="str" cm="1">
        <f t="array" ref="CB10">CB26</f>
        <v>Отклонение, %</v>
      </c>
      <c r="CC10" s="924" t="str" cm="1">
        <f t="array" ref="CC10">CC26</f>
        <v>Предложение организации</v>
      </c>
      <c r="CD10" s="924" t="str" cm="1">
        <f t="array" ref="CD10">CD26</f>
        <v>Принято органом регулирования</v>
      </c>
      <c r="CE10" s="924" t="str" cm="1">
        <f t="array" ref="CE10">CE26</f>
        <v>Отклонение, %</v>
      </c>
      <c r="CF10" s="924" t="str" cm="1">
        <f t="array" ref="CF10">CF26</f>
        <v>Предложение организации</v>
      </c>
      <c r="CG10" s="924" t="str" cm="1">
        <f t="array" ref="CG10">CG26</f>
        <v>Принято органом регулирования</v>
      </c>
      <c r="CH10" s="924" t="str" cm="1">
        <f t="array" ref="CH10">CH26</f>
        <v>Отклонение, %</v>
      </c>
      <c r="CI10" s="924" t="str" cm="1">
        <f t="array" ref="CI10">CI26</f>
        <v>Предложение организации</v>
      </c>
      <c r="CJ10" s="924" t="str" cm="1">
        <f t="array" ref="CJ10">CJ26</f>
        <v>Принято органом регулирования</v>
      </c>
      <c r="CK10" s="924" t="str" cm="1">
        <f t="array" ref="CK10">CK26</f>
        <v>Отклонение, %</v>
      </c>
      <c r="CL10" s="924" t="str" cm="1">
        <f t="array" ref="CL10">CL26</f>
        <v>Предложение организации</v>
      </c>
      <c r="CM10" s="924" t="str" cm="1">
        <f t="array" ref="CM10">CM26</f>
        <v>Принято органом регулирования</v>
      </c>
      <c r="CN10" s="924" t="str" cm="1">
        <f t="array" ref="CN10">CN26</f>
        <v>Отклонение, %</v>
      </c>
      <c r="CO10" s="924" t="str" cm="1">
        <f t="array" ref="CO10">CO26</f>
        <v>Предложение организации</v>
      </c>
      <c r="CP10" s="924" t="str" cm="1">
        <f t="array" ref="CP10">CP26</f>
        <v>Принято органом регулирования</v>
      </c>
      <c r="CQ10" s="924" t="str" cm="1">
        <f t="array" ref="CQ10">CQ26</f>
        <v>Отклонение, %</v>
      </c>
      <c r="CR10" s="924" t="str" cm="1">
        <f t="array" ref="CR10">CR26</f>
        <v>Предложение организации</v>
      </c>
      <c r="CS10" s="924" t="str" cm="1">
        <f t="array" ref="CS10">CS26</f>
        <v>Принято органом регулирования</v>
      </c>
      <c r="CT10" s="924" t="str" cm="1">
        <f t="array" ref="CT10">CT26</f>
        <v>Отклонение, %</v>
      </c>
      <c r="CU10" s="924" t="str" cm="1">
        <f t="array" ref="CU10">CU26</f>
        <v>Предложение организации</v>
      </c>
      <c r="CV10" s="924" t="str" cm="1">
        <f t="array" ref="CV10">CV26</f>
        <v>Принято органом регулирования</v>
      </c>
      <c r="CW10" s="924" t="str" cm="1">
        <f t="array" ref="CW10">CW26</f>
        <v>Отклонение, %</v>
      </c>
      <c r="CX10" s="924" t="str" cm="1">
        <f t="array" ref="CX10">CX26</f>
        <v>Предложение организации</v>
      </c>
      <c r="CY10" s="924" t="str" cm="1">
        <f t="array" ref="CY10">CY26</f>
        <v>Принято органом регулирования</v>
      </c>
      <c r="CZ10" s="924" t="str" cm="1">
        <f t="array" ref="CZ10">CZ26</f>
        <v>Отклонение, %</v>
      </c>
      <c r="DA10" s="924" t="str" cm="1">
        <f t="array" ref="DA10">DA26</f>
        <v>Предложение организации</v>
      </c>
      <c r="DB10" s="924" t="str" cm="1">
        <f t="array" ref="DB10">DB26</f>
        <v>Принято органом регулирования</v>
      </c>
      <c r="DC10" s="924" t="str" cm="1">
        <f t="array" ref="DC10">DC26</f>
        <v>Отклонение, %</v>
      </c>
      <c r="DD10" s="924" t="str" cm="1">
        <f t="array" ref="DD10">DD26</f>
        <v>Предложение организации</v>
      </c>
      <c r="DE10" s="924" t="str" cm="1">
        <f t="array" ref="DE10">DE26</f>
        <v>Принято органом регулирования</v>
      </c>
      <c r="DF10" s="924" t="str" cm="1">
        <f t="array" ref="DF10">DF26</f>
        <v>Отклонение, %</v>
      </c>
      <c r="DG10" s="924" t="str" cm="1">
        <f t="array" ref="DG10">DG26</f>
        <v>Предложение организации</v>
      </c>
      <c r="DH10" s="924" t="str" cm="1">
        <f t="array" ref="DH10">DH26</f>
        <v>Принято органом регулирования</v>
      </c>
      <c r="DI10" s="924" t="str" cm="1">
        <f t="array" ref="DI10">DI26</f>
        <v>Отклонение, %</v>
      </c>
      <c r="DJ10" s="924" t="str" cm="1">
        <f t="array" ref="DJ10">DJ26</f>
        <v>Предложение организации</v>
      </c>
      <c r="DK10" s="924" t="str" cm="1">
        <f t="array" ref="DK10">DK26</f>
        <v>Принято органом регулирования</v>
      </c>
      <c r="DL10" s="924" t="str" cm="1">
        <f t="array" ref="DL10">DL26</f>
        <v>Отклонение, %</v>
      </c>
      <c r="DM10" s="924" t="str" cm="1">
        <f t="array" ref="DM10">DM26</f>
        <v>Предложение организации</v>
      </c>
      <c r="DN10" s="924" t="str" cm="1">
        <f t="array" ref="DN10">DN26</f>
        <v>Принято органом регулирования</v>
      </c>
      <c r="DO10" s="924" t="str" cm="1">
        <f t="array" ref="DO10">DO26</f>
        <v>Отклонение, %</v>
      </c>
      <c r="DP10" s="924" t="str" cm="1">
        <f t="array" ref="DP10">DP26</f>
        <v>Предложение организации</v>
      </c>
      <c r="DQ10" s="924" t="str" cm="1">
        <f t="array" ref="DQ10">DQ26</f>
        <v>Принято органом регулирования</v>
      </c>
      <c r="DR10" s="924" t="str" cm="1">
        <f t="array" ref="DR10">DR26</f>
        <v>Отклонение, %</v>
      </c>
      <c r="DS10" s="924" t="str" cm="1">
        <f t="array" ref="DS10">DS26</f>
        <v>Предложение организации</v>
      </c>
      <c r="DT10" s="924" t="str" cm="1">
        <f t="array" ref="DT10">DT26</f>
        <v>Принято органом регулирования</v>
      </c>
      <c r="DU10" s="924" t="str" cm="1">
        <f t="array" ref="DU10">DU26</f>
        <v>Отклонение, %</v>
      </c>
      <c r="DV10" s="924" t="str" cm="1">
        <f t="array" ref="DV10">DV26</f>
        <v>Предложение организации</v>
      </c>
      <c r="DW10" s="924" t="str" cm="1">
        <f t="array" ref="DW10">DW26</f>
        <v>Принято органом регулирования</v>
      </c>
      <c r="DX10" s="924" t="str" cm="1">
        <f t="array" ref="DX10">DX26</f>
        <v>Отклонение, %</v>
      </c>
      <c r="DY10" s="924" t="str" cm="1">
        <f t="array" ref="DY10">DY26</f>
        <v>Предложение организации</v>
      </c>
      <c r="DZ10" s="924" t="str" cm="1">
        <f t="array" ref="DZ10">DZ26</f>
        <v>Принято органом регулирования</v>
      </c>
      <c r="EA10" s="924" t="str" cm="1">
        <f t="array" ref="EA10">EA26</f>
        <v>Отклонение, %</v>
      </c>
      <c r="EB10" s="924" t="str" cm="1">
        <f t="array" ref="EB10">EB26</f>
        <v>Предложение организации</v>
      </c>
      <c r="EC10" s="924" t="str" cm="1">
        <f t="array" ref="EC10">EC26</f>
        <v>Принято органом регулирования</v>
      </c>
      <c r="ED10" s="924" t="str" cm="1">
        <f t="array" ref="ED10">ED26</f>
        <v>Отклонение, %</v>
      </c>
      <c r="EE10" s="924" t="str" cm="1">
        <f t="array" ref="EE10">EE26</f>
        <v>Предложение организации</v>
      </c>
      <c r="EF10" s="924" t="str" cm="1">
        <f t="array" ref="EF10">EF26</f>
        <v>Принято органом регулирования</v>
      </c>
      <c r="EG10" s="924" t="str" cm="1">
        <f t="array" ref="EG10">EG26</f>
        <v>Отклонение, %</v>
      </c>
      <c r="EH10" s="924" t="str" cm="1">
        <f t="array" ref="EH10">EH26</f>
        <v>Предложение организации</v>
      </c>
      <c r="EI10" s="924" t="str" cm="1">
        <f t="array" ref="EI10">EI26</f>
        <v>Принято органом регулирования</v>
      </c>
      <c r="EJ10" s="924" t="str" cm="1">
        <f t="array" ref="EJ10">EJ26</f>
        <v>Отклонение, %</v>
      </c>
      <c r="EK10" s="924" t="str" cm="1">
        <f t="array" ref="EK10">EK26</f>
        <v>Предложение организации</v>
      </c>
      <c r="EL10" s="924" t="str" cm="1">
        <f t="array" ref="EL10">EL26</f>
        <v>Принято органом регулирования</v>
      </c>
      <c r="EM10" s="924" t="str" cm="1">
        <f t="array" ref="EM10">EM26</f>
        <v>Отклонение, %</v>
      </c>
      <c r="EN10" s="924" t="str" cm="1">
        <f t="array" ref="EN10">EN26</f>
        <v>Предложение организации</v>
      </c>
      <c r="EO10" s="924" t="str" cm="1">
        <f t="array" ref="EO10">EO26</f>
        <v>Принято органом регулирования</v>
      </c>
      <c r="EP10" s="924" t="str" cm="1">
        <f t="array" ref="EP10">EP26</f>
        <v>Отклонение, %</v>
      </c>
      <c r="EQ10" s="924" t="str" cm="1">
        <f t="array" ref="EQ10">EQ26</f>
        <v>Предложение организации</v>
      </c>
      <c r="ER10" s="924" t="str" cm="1">
        <f t="array" ref="ER10">ER26</f>
        <v>Принято органом регулирования</v>
      </c>
      <c r="ES10" s="924" t="str" cm="1">
        <f t="array" ref="ES10">ES26</f>
        <v>Отклонение, %</v>
      </c>
      <c r="ET10" s="924" t="str" cm="1">
        <f t="array" ref="ET10">ET26</f>
        <v>Предложение организации</v>
      </c>
      <c r="EU10" s="924" t="str" cm="1">
        <f t="array" ref="EU10">EU26</f>
        <v>Принято органом регулирования</v>
      </c>
      <c r="EV10" s="924" t="str" cm="1">
        <f t="array" ref="EV10">EV26</f>
        <v>Отклонение, %</v>
      </c>
      <c r="EW10" s="924" t="str" cm="1">
        <f t="array" ref="EW10">EW26</f>
        <v>Предложение организации</v>
      </c>
      <c r="EX10" s="924" t="str" cm="1">
        <f t="array" ref="EX10">EX26</f>
        <v>Принято органом регулирования</v>
      </c>
      <c r="EY10" s="924" t="str" cm="1">
        <f t="array" ref="EY10">EY26</f>
        <v>Отклонение, %</v>
      </c>
      <c r="EZ10" s="924" t="str" cm="1">
        <f t="array" ref="EZ10">EZ26</f>
        <v>Предложение организации</v>
      </c>
      <c r="FA10" s="924" t="str" cm="1">
        <f t="array" ref="FA10">FA26</f>
        <v>Принято органом регулирования</v>
      </c>
      <c r="FB10" s="924" t="str" cm="1">
        <f t="array" ref="FB10">FB26</f>
        <v>Отклонение, %</v>
      </c>
      <c r="FC10" s="924" t="str" cm="1">
        <f t="array" ref="FC10">FC26</f>
        <v>Предложение организации</v>
      </c>
      <c r="FD10" s="924" t="str" cm="1">
        <f t="array" ref="FD10">FD26</f>
        <v>Принято органом регулирования</v>
      </c>
      <c r="FE10" s="924" t="str" cm="1">
        <f t="array" ref="FE10">FE26</f>
        <v>Отклонение, %</v>
      </c>
      <c r="FF10" s="924" t="str" cm="1">
        <f t="array" ref="FF10">FF26</f>
        <v>Предложение организации</v>
      </c>
      <c r="FG10" s="924" t="str" cm="1">
        <f t="array" ref="FG10">FG26</f>
        <v>Принято органом регулирования</v>
      </c>
      <c r="FH10" s="924" t="str" cm="1">
        <f t="array" ref="FH10">FH26</f>
        <v>Отклонение, %</v>
      </c>
      <c r="FI10" s="924" t="str" cm="1">
        <f t="array" ref="FI10">FI26</f>
        <v>Предложение организации</v>
      </c>
      <c r="FJ10" s="924" t="str" cm="1">
        <f t="array" ref="FJ10">FJ26</f>
        <v>Принято органом регулирования</v>
      </c>
      <c r="FK10" s="924" t="str" cm="1">
        <f t="array" ref="FK10">FK26</f>
        <v>Отклонение, %</v>
      </c>
      <c r="FL10" s="924" t="str" cm="1">
        <f t="array" ref="FL10">FL26</f>
        <v>Предложение организации</v>
      </c>
      <c r="FM10" s="924" t="str" cm="1">
        <f t="array" ref="FM10">FM26</f>
        <v>Принято органом регулирования</v>
      </c>
      <c r="FN10" s="924" t="str" cm="1">
        <f t="array" ref="FN10">FN26</f>
        <v>Отклонение, %</v>
      </c>
      <c r="FO10" s="924" t="str" cm="1">
        <f t="array" ref="FO10">FO26</f>
        <v>Предложение организации</v>
      </c>
      <c r="FP10" s="924" t="str" cm="1">
        <f t="array" ref="FP10">FP26</f>
        <v>Принято органом регулирования</v>
      </c>
      <c r="FQ10" s="924" t="str" cm="1">
        <f t="array" ref="FQ10">FQ26</f>
        <v>Отклонение, %</v>
      </c>
      <c r="FR10" s="924" t="str" cm="1">
        <f t="array" ref="FR10">FR26</f>
        <v>Предложение организации</v>
      </c>
      <c r="FS10" s="924" t="str" cm="1">
        <f t="array" ref="FS10">FS26</f>
        <v>Принято органом регулирования</v>
      </c>
      <c r="FT10" s="924" t="str" cm="1">
        <f t="array" ref="FT10">FT26</f>
        <v>Отклонение, %</v>
      </c>
      <c r="FU10" s="924" t="str" cm="1">
        <f t="array" ref="FU10">FU26</f>
        <v>Предложение организации</v>
      </c>
      <c r="FV10" s="924" t="str" cm="1">
        <f t="array" ref="FV10">FV26</f>
        <v>Принято органом регулирования</v>
      </c>
      <c r="FW10" s="924" t="str" cm="1">
        <f t="array" ref="FW10">FW26</f>
        <v>Отклонение, %</v>
      </c>
      <c r="GC10" s="556"/>
      <c r="GD10" s="556"/>
    </row>
    <row r="11" spans="1:186" s="1216" customFormat="1" ht="11.25" hidden="1" customHeight="1" x14ac:dyDescent="0.15">
      <c r="A11" s="924" t="s">
        <v>337</v>
      </c>
      <c r="B11" s="961"/>
      <c r="F11" s="962"/>
      <c r="AB11" s="963" t="s">
        <v>324</v>
      </c>
      <c r="AC11" s="922"/>
      <c r="GC11" s="556"/>
      <c r="GD11" s="556"/>
    </row>
    <row r="12" spans="1:186" ht="11.25" hidden="1" customHeight="1" x14ac:dyDescent="0.15"/>
    <row r="13" spans="1:186" ht="11.25" hidden="1" customHeight="1" x14ac:dyDescent="0.15"/>
    <row r="14" spans="1:186" ht="11.25" hidden="1" customHeight="1" x14ac:dyDescent="0.15"/>
    <row r="15" spans="1:186" ht="11.25" hidden="1" customHeight="1" x14ac:dyDescent="0.15"/>
    <row r="16" spans="1:186" ht="11.25" hidden="1" customHeight="1" x14ac:dyDescent="0.15"/>
    <row r="17" spans="1:186" ht="11.25" hidden="1" customHeight="1" x14ac:dyDescent="0.15"/>
    <row r="18" spans="1:186" ht="11.25" hidden="1" customHeight="1" x14ac:dyDescent="0.15">
      <c r="A18" s="17" t="s">
        <v>365</v>
      </c>
      <c r="AB18" s="126" t="s">
        <v>366</v>
      </c>
    </row>
    <row r="19" spans="1:186" ht="11.25" hidden="1" customHeight="1" x14ac:dyDescent="0.15"/>
    <row r="20" spans="1:186" ht="11.25" hidden="1" customHeight="1" x14ac:dyDescent="0.15"/>
    <row r="21" spans="1:186" ht="14.65" customHeight="1" x14ac:dyDescent="0.15">
      <c r="E21" s="556">
        <v>15</v>
      </c>
      <c r="AA21" s="581"/>
      <c r="AB21" s="283" t="str" cm="1">
        <f t="array" ref="AB21">tpl_title</f>
        <v>Кемеровская область / 2026 / ООО "Чистая вода" (ИНН:4246023100, КПП:424601001) / ДПР: 2024-2032</v>
      </c>
    </row>
    <row r="22" spans="1:186" s="1249" customFormat="1" ht="23.45" customHeight="1" x14ac:dyDescent="0.15">
      <c r="B22" s="758"/>
      <c r="E22" s="557">
        <v>24</v>
      </c>
      <c r="F22" s="417"/>
      <c r="S22" s="416"/>
      <c r="AB22" s="236" t="s">
        <v>82</v>
      </c>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c r="BE22" s="203"/>
      <c r="BF22" s="203"/>
      <c r="BG22" s="203"/>
      <c r="BH22" s="203"/>
      <c r="BI22" s="203"/>
      <c r="BJ22" s="203"/>
      <c r="BK22" s="203"/>
      <c r="BL22" s="203"/>
      <c r="BM22" s="203"/>
      <c r="BN22" s="203"/>
      <c r="BO22" s="203"/>
      <c r="BP22" s="203"/>
      <c r="BQ22" s="203"/>
      <c r="BR22" s="203"/>
      <c r="BS22" s="203"/>
      <c r="BT22" s="203"/>
      <c r="BU22" s="203"/>
      <c r="BV22" s="203"/>
      <c r="BW22" s="203"/>
      <c r="BX22" s="203"/>
      <c r="BY22" s="203"/>
      <c r="BZ22" s="203"/>
      <c r="CA22" s="203"/>
      <c r="CB22" s="203"/>
      <c r="CC22" s="203"/>
      <c r="CD22" s="203"/>
      <c r="CE22" s="203"/>
      <c r="CF22" s="203"/>
      <c r="CG22" s="203"/>
      <c r="CH22" s="203"/>
      <c r="CI22" s="203"/>
      <c r="CJ22" s="203"/>
      <c r="CK22" s="203"/>
      <c r="CL22" s="203"/>
      <c r="CM22" s="203"/>
      <c r="CN22" s="203"/>
      <c r="CO22" s="203"/>
      <c r="CP22" s="203"/>
      <c r="CQ22" s="203"/>
      <c r="CR22" s="203"/>
      <c r="CS22" s="203"/>
      <c r="CT22" s="203"/>
      <c r="CU22" s="203"/>
      <c r="CV22" s="203"/>
      <c r="CW22" s="203"/>
      <c r="CX22" s="203"/>
      <c r="CY22" s="203"/>
      <c r="CZ22" s="203"/>
      <c r="DA22" s="203"/>
      <c r="DB22" s="203"/>
      <c r="DC22" s="203"/>
      <c r="DD22" s="203"/>
      <c r="DE22" s="203"/>
      <c r="DF22" s="203"/>
      <c r="DG22" s="203"/>
      <c r="DH22" s="203"/>
      <c r="DI22" s="203"/>
      <c r="DJ22" s="203"/>
      <c r="DK22" s="203"/>
      <c r="DL22" s="203"/>
      <c r="DM22" s="203"/>
      <c r="DN22" s="203"/>
      <c r="DO22" s="203"/>
      <c r="DP22" s="203"/>
      <c r="DQ22" s="203"/>
      <c r="DR22" s="203"/>
      <c r="DS22" s="203"/>
      <c r="DT22" s="203"/>
      <c r="DU22" s="203"/>
      <c r="DV22" s="203"/>
      <c r="DW22" s="203"/>
      <c r="DX22" s="203"/>
      <c r="DY22" s="203"/>
      <c r="DZ22" s="203"/>
      <c r="EA22" s="203"/>
      <c r="EB22" s="203"/>
      <c r="EC22" s="203"/>
      <c r="ED22" s="203"/>
      <c r="EE22" s="203"/>
      <c r="EF22" s="203"/>
      <c r="EG22" s="203"/>
      <c r="EH22" s="203"/>
      <c r="EI22" s="203"/>
      <c r="EJ22" s="203"/>
      <c r="EK22" s="203"/>
      <c r="EL22" s="203"/>
      <c r="EM22" s="203"/>
      <c r="EN22" s="203"/>
      <c r="EO22" s="203"/>
      <c r="EP22" s="203"/>
      <c r="EQ22" s="203"/>
      <c r="ER22" s="203"/>
      <c r="ES22" s="203"/>
      <c r="ET22" s="203"/>
      <c r="EU22" s="203"/>
      <c r="EV22" s="203"/>
      <c r="EW22" s="203"/>
      <c r="EX22" s="203"/>
      <c r="EY22" s="203"/>
      <c r="EZ22" s="203"/>
      <c r="FA22" s="203"/>
      <c r="FB22" s="203"/>
      <c r="FC22" s="203"/>
      <c r="FD22" s="203"/>
      <c r="FE22" s="203"/>
      <c r="FF22" s="203"/>
      <c r="FG22" s="203"/>
      <c r="FH22" s="203"/>
      <c r="FI22" s="203"/>
      <c r="FJ22" s="203"/>
      <c r="FK22" s="203"/>
      <c r="FL22" s="203"/>
      <c r="FM22" s="203"/>
      <c r="FN22" s="203"/>
      <c r="FO22" s="203"/>
      <c r="FP22" s="203"/>
      <c r="FQ22" s="203"/>
      <c r="FR22" s="203"/>
      <c r="FS22" s="203"/>
      <c r="FT22" s="203"/>
      <c r="FU22" s="203"/>
      <c r="FV22" s="203"/>
      <c r="FW22" s="203"/>
      <c r="FZ22" s="927"/>
      <c r="GA22" s="927"/>
      <c r="GB22" s="927"/>
      <c r="GC22" s="557"/>
      <c r="GD22" s="557"/>
    </row>
    <row r="23" spans="1:186" ht="10.9" customHeight="1" x14ac:dyDescent="0.15">
      <c r="E23" s="556">
        <v>11.25</v>
      </c>
      <c r="AB23" s="63"/>
      <c r="AD23" s="63"/>
    </row>
    <row r="24" spans="1:186" s="1249" customFormat="1" ht="18.95" customHeight="1" x14ac:dyDescent="0.15">
      <c r="B24" s="416"/>
      <c r="E24" s="557">
        <v>19.5</v>
      </c>
      <c r="F24" s="417"/>
      <c r="T24" s="388" t="b">
        <f>OR(hasVS,hasVO)</f>
        <v>1</v>
      </c>
      <c r="AA24" s="303"/>
      <c r="AB24" s="328" t="s">
        <v>82</v>
      </c>
      <c r="AC24" s="286"/>
      <c r="AD24" s="286"/>
      <c r="AE24" s="286"/>
      <c r="AF24" s="286"/>
      <c r="AG24" s="286"/>
      <c r="AH24" s="286"/>
      <c r="AI24" s="286"/>
      <c r="AJ24" s="286"/>
      <c r="AK24" s="286"/>
      <c r="AL24" s="286"/>
      <c r="AM24" s="286"/>
      <c r="AN24" s="286"/>
      <c r="AO24" s="286"/>
      <c r="AP24" s="286"/>
      <c r="AQ24" s="286"/>
      <c r="AR24" s="286"/>
      <c r="AS24" s="286"/>
      <c r="AT24" s="286"/>
      <c r="AU24" s="286"/>
      <c r="AV24" s="286"/>
      <c r="AW24" s="286"/>
      <c r="AX24" s="286"/>
      <c r="AY24" s="286"/>
      <c r="AZ24" s="286"/>
      <c r="BA24" s="286"/>
      <c r="BB24" s="286"/>
      <c r="BC24" s="286"/>
      <c r="BD24" s="286"/>
      <c r="BE24" s="286"/>
      <c r="BF24" s="286"/>
      <c r="BG24" s="287"/>
      <c r="BH24" s="287"/>
      <c r="BI24" s="287"/>
      <c r="BJ24" s="287"/>
      <c r="BK24" s="287"/>
      <c r="BL24" s="287"/>
      <c r="BM24" s="287"/>
      <c r="BN24" s="287"/>
      <c r="BO24" s="287"/>
      <c r="BP24" s="287"/>
      <c r="BQ24" s="287"/>
      <c r="BR24" s="287"/>
      <c r="BS24" s="287"/>
      <c r="BT24" s="287"/>
      <c r="BU24" s="287"/>
      <c r="BV24" s="287"/>
      <c r="BW24" s="287"/>
      <c r="BX24" s="287"/>
      <c r="BY24" s="287"/>
      <c r="BZ24" s="287"/>
      <c r="CA24" s="287"/>
      <c r="CB24" s="287"/>
      <c r="CC24" s="287"/>
      <c r="CD24" s="287"/>
      <c r="CE24" s="287"/>
      <c r="CF24" s="287"/>
      <c r="CG24" s="287"/>
      <c r="CH24" s="287"/>
      <c r="CI24" s="287"/>
      <c r="CJ24" s="287"/>
      <c r="CK24" s="287"/>
      <c r="CL24" s="287"/>
      <c r="CM24" s="287"/>
      <c r="CN24" s="287"/>
      <c r="CO24" s="287"/>
      <c r="CP24" s="287"/>
      <c r="CQ24" s="287"/>
      <c r="CR24" s="287"/>
      <c r="CS24" s="287"/>
      <c r="CT24" s="287"/>
      <c r="CU24" s="287"/>
      <c r="CV24" s="287"/>
      <c r="CW24" s="287"/>
      <c r="CX24" s="287"/>
      <c r="CY24" s="287"/>
      <c r="CZ24" s="287"/>
      <c r="DA24" s="287"/>
      <c r="DB24" s="287"/>
      <c r="DC24" s="287"/>
      <c r="DD24" s="287"/>
      <c r="DE24" s="287"/>
      <c r="DF24" s="287"/>
      <c r="DG24" s="287"/>
      <c r="DH24" s="287"/>
      <c r="DI24" s="287"/>
      <c r="DJ24" s="287"/>
      <c r="DK24" s="287"/>
      <c r="DL24" s="287"/>
      <c r="DM24" s="287"/>
      <c r="DN24" s="287"/>
      <c r="DO24" s="287"/>
      <c r="DP24" s="287"/>
      <c r="DQ24" s="287"/>
      <c r="DR24" s="287"/>
      <c r="DS24" s="287"/>
      <c r="DT24" s="287"/>
      <c r="DU24" s="287"/>
      <c r="DV24" s="287"/>
      <c r="DW24" s="287"/>
      <c r="DX24" s="287"/>
      <c r="DY24" s="287"/>
      <c r="DZ24" s="287"/>
      <c r="EA24" s="287"/>
      <c r="EB24" s="287"/>
      <c r="EC24" s="287"/>
      <c r="ED24" s="287"/>
      <c r="EE24" s="287"/>
      <c r="EF24" s="287"/>
      <c r="EG24" s="287"/>
      <c r="EH24" s="287"/>
      <c r="EI24" s="287"/>
      <c r="EJ24" s="287"/>
      <c r="EK24" s="287"/>
      <c r="EL24" s="287"/>
      <c r="EM24" s="287"/>
      <c r="EN24" s="287"/>
      <c r="EO24" s="287"/>
      <c r="EP24" s="287"/>
      <c r="EQ24" s="287"/>
      <c r="ER24" s="287"/>
      <c r="ES24" s="287"/>
      <c r="ET24" s="287"/>
      <c r="EU24" s="287"/>
      <c r="EV24" s="287"/>
      <c r="EW24" s="287"/>
      <c r="EX24" s="287"/>
      <c r="EY24" s="287"/>
      <c r="EZ24" s="287"/>
      <c r="FA24" s="287"/>
      <c r="FB24" s="287"/>
      <c r="FC24" s="287"/>
      <c r="FD24" s="287"/>
      <c r="FE24" s="287"/>
      <c r="FF24" s="287"/>
      <c r="FG24" s="287"/>
      <c r="FH24" s="287"/>
      <c r="FI24" s="287"/>
      <c r="FJ24" s="287"/>
      <c r="FK24" s="287"/>
      <c r="FL24" s="287"/>
      <c r="FM24" s="287"/>
      <c r="FN24" s="287"/>
      <c r="FO24" s="287"/>
      <c r="FP24" s="287"/>
      <c r="FQ24" s="287"/>
      <c r="FR24" s="287"/>
      <c r="FS24" s="287"/>
      <c r="FT24" s="287"/>
      <c r="FU24" s="287"/>
      <c r="FV24" s="287"/>
      <c r="FW24" s="287"/>
      <c r="FZ24" s="927"/>
      <c r="GA24" s="927"/>
      <c r="GB24" s="927"/>
      <c r="GC24" s="557"/>
      <c r="GD24" s="557"/>
    </row>
    <row r="25" spans="1:186" ht="10.9" customHeight="1" x14ac:dyDescent="0.15">
      <c r="E25" s="556">
        <v>11.25</v>
      </c>
      <c r="T25" s="388" t="b">
        <f>OR(hasVS,hasVO)</f>
        <v>1</v>
      </c>
      <c r="AB25" s="2033" t="s">
        <v>366</v>
      </c>
      <c r="AC25" s="2033" t="s">
        <v>367</v>
      </c>
      <c r="AD25" s="2111" t="str">
        <f>AD6&amp;" год"</f>
        <v>2026 год</v>
      </c>
      <c r="AE25" s="2112"/>
      <c r="AF25" s="2113"/>
      <c r="AG25" s="2111" t="str">
        <f>AG6&amp;" год"</f>
        <v>2027 год</v>
      </c>
      <c r="AH25" s="2112"/>
      <c r="AI25" s="2113"/>
      <c r="AJ25" s="2111" t="str">
        <f>AJ6&amp;" год"</f>
        <v>2028 год</v>
      </c>
      <c r="AK25" s="2112"/>
      <c r="AL25" s="2113"/>
      <c r="AM25" s="2111" t="str">
        <f>AM6&amp;" год"</f>
        <v>2029 год</v>
      </c>
      <c r="AN25" s="2112"/>
      <c r="AO25" s="2113"/>
      <c r="AP25" s="2111" t="str">
        <f>AP6&amp;" год"</f>
        <v>2030 год</v>
      </c>
      <c r="AQ25" s="2112"/>
      <c r="AR25" s="2113"/>
      <c r="AS25" s="2111" t="str">
        <f>AS6&amp;" год"</f>
        <v>2031 год</v>
      </c>
      <c r="AT25" s="2112"/>
      <c r="AU25" s="2113"/>
      <c r="AV25" s="2111" t="str">
        <f>AV6&amp;" год"</f>
        <v>2032 год</v>
      </c>
      <c r="AW25" s="2112"/>
      <c r="AX25" s="2113"/>
      <c r="AY25" s="2111" t="str">
        <f>AY6&amp;" год"</f>
        <v>2033 год</v>
      </c>
      <c r="AZ25" s="2112"/>
      <c r="BA25" s="2113"/>
      <c r="BB25" s="2111" t="str">
        <f>BB6&amp;" год"</f>
        <v>2034 год</v>
      </c>
      <c r="BC25" s="2112"/>
      <c r="BD25" s="2113"/>
      <c r="BE25" s="2111" t="str">
        <f>BE6&amp;" год"</f>
        <v>2035 год</v>
      </c>
      <c r="BF25" s="2112"/>
      <c r="BG25" s="2113"/>
      <c r="BH25" s="2111" t="str">
        <f>BH6&amp;" год"</f>
        <v>2036 год</v>
      </c>
      <c r="BI25" s="2112"/>
      <c r="BJ25" s="2113"/>
      <c r="BK25" s="2111" t="str">
        <f>BK6&amp;" год"</f>
        <v>2037 год</v>
      </c>
      <c r="BL25" s="2112"/>
      <c r="BM25" s="2113"/>
      <c r="BN25" s="2111" t="str">
        <f>BN6&amp;" год"</f>
        <v>2038 год</v>
      </c>
      <c r="BO25" s="2112"/>
      <c r="BP25" s="2113"/>
      <c r="BQ25" s="2111" t="str">
        <f>BQ6&amp;" год"</f>
        <v>2039 год</v>
      </c>
      <c r="BR25" s="2112"/>
      <c r="BS25" s="2113"/>
      <c r="BT25" s="2111" t="str">
        <f>BT6&amp;" год"</f>
        <v>2040 год</v>
      </c>
      <c r="BU25" s="2112"/>
      <c r="BV25" s="2113"/>
      <c r="BW25" s="2111" t="str">
        <f>BW6&amp;" год"</f>
        <v>2041 год</v>
      </c>
      <c r="BX25" s="2112"/>
      <c r="BY25" s="2113"/>
      <c r="BZ25" s="2111" t="str">
        <f>BZ6&amp;" год"</f>
        <v>2042 год</v>
      </c>
      <c r="CA25" s="2112"/>
      <c r="CB25" s="2113"/>
      <c r="CC25" s="2111" t="str">
        <f>CC6&amp;" год"</f>
        <v>2043 год</v>
      </c>
      <c r="CD25" s="2112"/>
      <c r="CE25" s="2113"/>
      <c r="CF25" s="2111" t="str">
        <f>CF6&amp;" год"</f>
        <v>2044 год</v>
      </c>
      <c r="CG25" s="2112"/>
      <c r="CH25" s="2113"/>
      <c r="CI25" s="2111" t="str">
        <f>CI6&amp;" год"</f>
        <v>2045 год</v>
      </c>
      <c r="CJ25" s="2112"/>
      <c r="CK25" s="2113"/>
      <c r="CL25" s="2111" t="str">
        <f>CL6&amp;" год"</f>
        <v>2046 год</v>
      </c>
      <c r="CM25" s="2112"/>
      <c r="CN25" s="2113"/>
      <c r="CO25" s="2111" t="str">
        <f>CO6&amp;" год"</f>
        <v>2047 год</v>
      </c>
      <c r="CP25" s="2112"/>
      <c r="CQ25" s="2113"/>
      <c r="CR25" s="2111" t="str">
        <f>CR6&amp;" год"</f>
        <v>2048 год</v>
      </c>
      <c r="CS25" s="2112"/>
      <c r="CT25" s="2113"/>
      <c r="CU25" s="2111" t="str">
        <f>CU6&amp;" год"</f>
        <v>2049 год</v>
      </c>
      <c r="CV25" s="2112"/>
      <c r="CW25" s="2113"/>
      <c r="CX25" s="2111" t="str">
        <f>CX6&amp;" год"</f>
        <v>2050 год</v>
      </c>
      <c r="CY25" s="2112"/>
      <c r="CZ25" s="2113"/>
      <c r="DA25" s="2111" t="str">
        <f>DA6&amp;" год"</f>
        <v>2051 год</v>
      </c>
      <c r="DB25" s="2112"/>
      <c r="DC25" s="2113"/>
      <c r="DD25" s="2111" t="str">
        <f>DD6&amp;" год"</f>
        <v>2052 год</v>
      </c>
      <c r="DE25" s="2112"/>
      <c r="DF25" s="2113"/>
      <c r="DG25" s="2111" t="str">
        <f>DG6&amp;" год"</f>
        <v>2053 год</v>
      </c>
      <c r="DH25" s="2112"/>
      <c r="DI25" s="2113"/>
      <c r="DJ25" s="2111" t="str">
        <f>DJ6&amp;" год"</f>
        <v>2054 год</v>
      </c>
      <c r="DK25" s="2112"/>
      <c r="DL25" s="2113"/>
      <c r="DM25" s="2111" t="str">
        <f>DM6&amp;" год"</f>
        <v>2055 год</v>
      </c>
      <c r="DN25" s="2112"/>
      <c r="DO25" s="2113"/>
      <c r="DP25" s="2111" t="str">
        <f>DP6&amp;" год"</f>
        <v>2056 год</v>
      </c>
      <c r="DQ25" s="2112"/>
      <c r="DR25" s="2113"/>
      <c r="DS25" s="2111" t="str">
        <f>DS6&amp;" год"</f>
        <v>2057 год</v>
      </c>
      <c r="DT25" s="2112"/>
      <c r="DU25" s="2113"/>
      <c r="DV25" s="2111" t="str">
        <f>DV6&amp;" год"</f>
        <v>2058 год</v>
      </c>
      <c r="DW25" s="2112"/>
      <c r="DX25" s="2113"/>
      <c r="DY25" s="2111" t="str">
        <f>DY6&amp;" год"</f>
        <v>2059 год</v>
      </c>
      <c r="DZ25" s="2112"/>
      <c r="EA25" s="2113"/>
      <c r="EB25" s="2111" t="str">
        <f>EB6&amp;" год"</f>
        <v>2060 год</v>
      </c>
      <c r="EC25" s="2112"/>
      <c r="ED25" s="2113"/>
      <c r="EE25" s="2111" t="str">
        <f>EE6&amp;" год"</f>
        <v>2061 год</v>
      </c>
      <c r="EF25" s="2112"/>
      <c r="EG25" s="2113"/>
      <c r="EH25" s="2111" t="str">
        <f>EH6&amp;" год"</f>
        <v>2062 год</v>
      </c>
      <c r="EI25" s="2112"/>
      <c r="EJ25" s="2113"/>
      <c r="EK25" s="2111" t="str">
        <f>EK6&amp;" год"</f>
        <v>2063 год</v>
      </c>
      <c r="EL25" s="2112"/>
      <c r="EM25" s="2113"/>
      <c r="EN25" s="2111" t="str">
        <f>EN6&amp;" год"</f>
        <v>2064 год</v>
      </c>
      <c r="EO25" s="2112"/>
      <c r="EP25" s="2113"/>
      <c r="EQ25" s="2111" t="str">
        <f>EQ6&amp;" год"</f>
        <v>2065 год</v>
      </c>
      <c r="ER25" s="2112"/>
      <c r="ES25" s="2113"/>
      <c r="ET25" s="2111" t="str">
        <f>ET6&amp;" год"</f>
        <v>2066 год</v>
      </c>
      <c r="EU25" s="2112"/>
      <c r="EV25" s="2113"/>
      <c r="EW25" s="2111" t="str">
        <f>EW6&amp;" год"</f>
        <v>2067 год</v>
      </c>
      <c r="EX25" s="2112"/>
      <c r="EY25" s="2113"/>
      <c r="EZ25" s="2111" t="str">
        <f>EZ6&amp;" год"</f>
        <v>2068 год</v>
      </c>
      <c r="FA25" s="2112"/>
      <c r="FB25" s="2113"/>
      <c r="FC25" s="2111" t="str">
        <f>FC6&amp;" год"</f>
        <v>2069 год</v>
      </c>
      <c r="FD25" s="2112"/>
      <c r="FE25" s="2113"/>
      <c r="FF25" s="2111" t="str">
        <f>FF6&amp;" год"</f>
        <v>2070 год</v>
      </c>
      <c r="FG25" s="2112"/>
      <c r="FH25" s="2113"/>
      <c r="FI25" s="2111" t="str">
        <f>FI6&amp;" год"</f>
        <v>2071 год</v>
      </c>
      <c r="FJ25" s="2112"/>
      <c r="FK25" s="2113"/>
      <c r="FL25" s="2111" t="str">
        <f>FL6&amp;" год"</f>
        <v>2072 год</v>
      </c>
      <c r="FM25" s="2112"/>
      <c r="FN25" s="2113"/>
      <c r="FO25" s="2111" t="str">
        <f>FO6&amp;" год"</f>
        <v>2073 год</v>
      </c>
      <c r="FP25" s="2112"/>
      <c r="FQ25" s="2113"/>
      <c r="FR25" s="2111" t="str">
        <f>FR6&amp;" год"</f>
        <v>2074 год</v>
      </c>
      <c r="FS25" s="2112"/>
      <c r="FT25" s="2113"/>
      <c r="FU25" s="2111" t="str">
        <f>FU6&amp;" год"</f>
        <v>2075 год</v>
      </c>
      <c r="FV25" s="2112"/>
      <c r="FW25" s="2113"/>
    </row>
    <row r="26" spans="1:186" ht="33.4" customHeight="1" x14ac:dyDescent="0.15">
      <c r="E26" s="556">
        <v>34.25</v>
      </c>
      <c r="T26" s="388" t="b">
        <f>OR(hasVS,hasVO)</f>
        <v>1</v>
      </c>
      <c r="AB26" s="2033"/>
      <c r="AC26" s="2033"/>
      <c r="AD26" s="1027" t="s">
        <v>360</v>
      </c>
      <c r="AE26" s="12" t="s">
        <v>359</v>
      </c>
      <c r="AF26" s="12" t="s">
        <v>1578</v>
      </c>
      <c r="AG26" s="1027" t="s">
        <v>360</v>
      </c>
      <c r="AH26" s="12" t="s">
        <v>359</v>
      </c>
      <c r="AI26" s="12" t="s">
        <v>1578</v>
      </c>
      <c r="AJ26" s="1027" t="s">
        <v>360</v>
      </c>
      <c r="AK26" s="12" t="s">
        <v>359</v>
      </c>
      <c r="AL26" s="12" t="s">
        <v>1578</v>
      </c>
      <c r="AM26" s="1027" t="s">
        <v>360</v>
      </c>
      <c r="AN26" s="12" t="s">
        <v>359</v>
      </c>
      <c r="AO26" s="12" t="s">
        <v>1578</v>
      </c>
      <c r="AP26" s="1027" t="s">
        <v>360</v>
      </c>
      <c r="AQ26" s="12" t="s">
        <v>359</v>
      </c>
      <c r="AR26" s="12" t="s">
        <v>1578</v>
      </c>
      <c r="AS26" s="1027" t="s">
        <v>360</v>
      </c>
      <c r="AT26" s="12" t="s">
        <v>359</v>
      </c>
      <c r="AU26" s="12" t="s">
        <v>1578</v>
      </c>
      <c r="AV26" s="1027" t="s">
        <v>360</v>
      </c>
      <c r="AW26" s="12" t="s">
        <v>359</v>
      </c>
      <c r="AX26" s="12" t="s">
        <v>1578</v>
      </c>
      <c r="AY26" s="1027" t="s">
        <v>360</v>
      </c>
      <c r="AZ26" s="12" t="s">
        <v>359</v>
      </c>
      <c r="BA26" s="12" t="s">
        <v>1578</v>
      </c>
      <c r="BB26" s="1027" t="s">
        <v>360</v>
      </c>
      <c r="BC26" s="12" t="s">
        <v>359</v>
      </c>
      <c r="BD26" s="12" t="s">
        <v>1578</v>
      </c>
      <c r="BE26" s="1027" t="s">
        <v>360</v>
      </c>
      <c r="BF26" s="12" t="s">
        <v>359</v>
      </c>
      <c r="BG26" s="12" t="s">
        <v>1578</v>
      </c>
      <c r="BH26" s="1027" t="s">
        <v>360</v>
      </c>
      <c r="BI26" s="12" t="s">
        <v>359</v>
      </c>
      <c r="BJ26" s="12" t="s">
        <v>1578</v>
      </c>
      <c r="BK26" s="1027" t="s">
        <v>360</v>
      </c>
      <c r="BL26" s="12" t="s">
        <v>359</v>
      </c>
      <c r="BM26" s="12" t="s">
        <v>1578</v>
      </c>
      <c r="BN26" s="1027" t="s">
        <v>360</v>
      </c>
      <c r="BO26" s="12" t="s">
        <v>359</v>
      </c>
      <c r="BP26" s="12" t="s">
        <v>1578</v>
      </c>
      <c r="BQ26" s="1027" t="s">
        <v>360</v>
      </c>
      <c r="BR26" s="12" t="s">
        <v>359</v>
      </c>
      <c r="BS26" s="12" t="s">
        <v>1578</v>
      </c>
      <c r="BT26" s="1027" t="s">
        <v>360</v>
      </c>
      <c r="BU26" s="12" t="s">
        <v>359</v>
      </c>
      <c r="BV26" s="12" t="s">
        <v>1578</v>
      </c>
      <c r="BW26" s="1027" t="s">
        <v>360</v>
      </c>
      <c r="BX26" s="12" t="s">
        <v>359</v>
      </c>
      <c r="BY26" s="12" t="s">
        <v>1578</v>
      </c>
      <c r="BZ26" s="1027" t="s">
        <v>360</v>
      </c>
      <c r="CA26" s="12" t="s">
        <v>359</v>
      </c>
      <c r="CB26" s="12" t="s">
        <v>1578</v>
      </c>
      <c r="CC26" s="1027" t="s">
        <v>360</v>
      </c>
      <c r="CD26" s="12" t="s">
        <v>359</v>
      </c>
      <c r="CE26" s="12" t="s">
        <v>1578</v>
      </c>
      <c r="CF26" s="1027" t="s">
        <v>360</v>
      </c>
      <c r="CG26" s="12" t="s">
        <v>359</v>
      </c>
      <c r="CH26" s="12" t="s">
        <v>1578</v>
      </c>
      <c r="CI26" s="1027" t="s">
        <v>360</v>
      </c>
      <c r="CJ26" s="12" t="s">
        <v>359</v>
      </c>
      <c r="CK26" s="12" t="s">
        <v>1578</v>
      </c>
      <c r="CL26" s="1027" t="s">
        <v>360</v>
      </c>
      <c r="CM26" s="12" t="s">
        <v>359</v>
      </c>
      <c r="CN26" s="12" t="s">
        <v>1578</v>
      </c>
      <c r="CO26" s="1027" t="s">
        <v>360</v>
      </c>
      <c r="CP26" s="12" t="s">
        <v>359</v>
      </c>
      <c r="CQ26" s="12" t="s">
        <v>1578</v>
      </c>
      <c r="CR26" s="1027" t="s">
        <v>360</v>
      </c>
      <c r="CS26" s="12" t="s">
        <v>359</v>
      </c>
      <c r="CT26" s="12" t="s">
        <v>1578</v>
      </c>
      <c r="CU26" s="1027" t="s">
        <v>360</v>
      </c>
      <c r="CV26" s="12" t="s">
        <v>359</v>
      </c>
      <c r="CW26" s="12" t="s">
        <v>1578</v>
      </c>
      <c r="CX26" s="1027" t="s">
        <v>360</v>
      </c>
      <c r="CY26" s="12" t="s">
        <v>359</v>
      </c>
      <c r="CZ26" s="12" t="s">
        <v>1578</v>
      </c>
      <c r="DA26" s="1027" t="s">
        <v>360</v>
      </c>
      <c r="DB26" s="12" t="s">
        <v>359</v>
      </c>
      <c r="DC26" s="12" t="s">
        <v>1578</v>
      </c>
      <c r="DD26" s="1027" t="s">
        <v>360</v>
      </c>
      <c r="DE26" s="12" t="s">
        <v>359</v>
      </c>
      <c r="DF26" s="12" t="s">
        <v>1578</v>
      </c>
      <c r="DG26" s="1027" t="s">
        <v>360</v>
      </c>
      <c r="DH26" s="12" t="s">
        <v>359</v>
      </c>
      <c r="DI26" s="12" t="s">
        <v>1578</v>
      </c>
      <c r="DJ26" s="1027" t="s">
        <v>360</v>
      </c>
      <c r="DK26" s="12" t="s">
        <v>359</v>
      </c>
      <c r="DL26" s="12" t="s">
        <v>1578</v>
      </c>
      <c r="DM26" s="1027" t="s">
        <v>360</v>
      </c>
      <c r="DN26" s="12" t="s">
        <v>359</v>
      </c>
      <c r="DO26" s="12" t="s">
        <v>1578</v>
      </c>
      <c r="DP26" s="1027" t="s">
        <v>360</v>
      </c>
      <c r="DQ26" s="12" t="s">
        <v>359</v>
      </c>
      <c r="DR26" s="12" t="s">
        <v>1578</v>
      </c>
      <c r="DS26" s="1027" t="s">
        <v>360</v>
      </c>
      <c r="DT26" s="12" t="s">
        <v>359</v>
      </c>
      <c r="DU26" s="12" t="s">
        <v>1578</v>
      </c>
      <c r="DV26" s="1027" t="s">
        <v>360</v>
      </c>
      <c r="DW26" s="12" t="s">
        <v>359</v>
      </c>
      <c r="DX26" s="12" t="s">
        <v>1578</v>
      </c>
      <c r="DY26" s="1027" t="s">
        <v>360</v>
      </c>
      <c r="DZ26" s="12" t="s">
        <v>359</v>
      </c>
      <c r="EA26" s="12" t="s">
        <v>1578</v>
      </c>
      <c r="EB26" s="1027" t="s">
        <v>360</v>
      </c>
      <c r="EC26" s="12" t="s">
        <v>359</v>
      </c>
      <c r="ED26" s="12" t="s">
        <v>1578</v>
      </c>
      <c r="EE26" s="1027" t="s">
        <v>360</v>
      </c>
      <c r="EF26" s="12" t="s">
        <v>359</v>
      </c>
      <c r="EG26" s="12" t="s">
        <v>1578</v>
      </c>
      <c r="EH26" s="1027" t="s">
        <v>360</v>
      </c>
      <c r="EI26" s="12" t="s">
        <v>359</v>
      </c>
      <c r="EJ26" s="12" t="s">
        <v>1578</v>
      </c>
      <c r="EK26" s="1027" t="s">
        <v>360</v>
      </c>
      <c r="EL26" s="12" t="s">
        <v>359</v>
      </c>
      <c r="EM26" s="12" t="s">
        <v>1578</v>
      </c>
      <c r="EN26" s="1027" t="s">
        <v>360</v>
      </c>
      <c r="EO26" s="12" t="s">
        <v>359</v>
      </c>
      <c r="EP26" s="12" t="s">
        <v>1578</v>
      </c>
      <c r="EQ26" s="1027" t="s">
        <v>360</v>
      </c>
      <c r="ER26" s="12" t="s">
        <v>359</v>
      </c>
      <c r="ES26" s="12" t="s">
        <v>1578</v>
      </c>
      <c r="ET26" s="1027" t="s">
        <v>360</v>
      </c>
      <c r="EU26" s="12" t="s">
        <v>359</v>
      </c>
      <c r="EV26" s="12" t="s">
        <v>1578</v>
      </c>
      <c r="EW26" s="1027" t="s">
        <v>360</v>
      </c>
      <c r="EX26" s="12" t="s">
        <v>359</v>
      </c>
      <c r="EY26" s="12" t="s">
        <v>1578</v>
      </c>
      <c r="EZ26" s="1027" t="s">
        <v>360</v>
      </c>
      <c r="FA26" s="12" t="s">
        <v>359</v>
      </c>
      <c r="FB26" s="12" t="s">
        <v>1578</v>
      </c>
      <c r="FC26" s="1027" t="s">
        <v>360</v>
      </c>
      <c r="FD26" s="12" t="s">
        <v>359</v>
      </c>
      <c r="FE26" s="12" t="s">
        <v>1578</v>
      </c>
      <c r="FF26" s="1027" t="s">
        <v>360</v>
      </c>
      <c r="FG26" s="12" t="s">
        <v>359</v>
      </c>
      <c r="FH26" s="12" t="s">
        <v>1578</v>
      </c>
      <c r="FI26" s="1027" t="s">
        <v>360</v>
      </c>
      <c r="FJ26" s="12" t="s">
        <v>359</v>
      </c>
      <c r="FK26" s="12" t="s">
        <v>1578</v>
      </c>
      <c r="FL26" s="1027" t="s">
        <v>360</v>
      </c>
      <c r="FM26" s="12" t="s">
        <v>359</v>
      </c>
      <c r="FN26" s="12" t="s">
        <v>1578</v>
      </c>
      <c r="FO26" s="1027" t="s">
        <v>360</v>
      </c>
      <c r="FP26" s="12" t="s">
        <v>359</v>
      </c>
      <c r="FQ26" s="12" t="s">
        <v>1578</v>
      </c>
      <c r="FR26" s="1027" t="s">
        <v>360</v>
      </c>
      <c r="FS26" s="12" t="s">
        <v>359</v>
      </c>
      <c r="FT26" s="12" t="s">
        <v>1578</v>
      </c>
      <c r="FU26" s="1027" t="s">
        <v>360</v>
      </c>
      <c r="FV26" s="12" t="s">
        <v>359</v>
      </c>
      <c r="FW26" s="12" t="s">
        <v>1578</v>
      </c>
    </row>
    <row r="27" spans="1:186" ht="11.25" hidden="1" customHeight="1" x14ac:dyDescent="0.15">
      <c r="E27" s="556">
        <v>0</v>
      </c>
      <c r="T27" s="388" t="b">
        <f>OR(hasVS,hasVO)</f>
        <v>1</v>
      </c>
      <c r="AB27" s="123"/>
      <c r="AC27" s="215"/>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row>
    <row r="28" spans="1:186" s="1334" customFormat="1" ht="11.25" hidden="1" customHeight="1" x14ac:dyDescent="0.15">
      <c r="A28" s="422"/>
      <c r="B28" s="838"/>
      <c r="C28" s="422"/>
      <c r="D28" s="422"/>
      <c r="E28" s="785">
        <v>0</v>
      </c>
      <c r="F28" s="667" t="s">
        <v>1579</v>
      </c>
      <c r="G28" s="405"/>
      <c r="H28" s="422"/>
      <c r="I28" s="422"/>
      <c r="J28" s="422"/>
      <c r="K28" s="422"/>
      <c r="L28" s="422"/>
      <c r="M28" s="422"/>
      <c r="N28" s="422"/>
      <c r="O28" s="422"/>
      <c r="P28" s="422"/>
      <c r="Q28" s="405" t="s">
        <v>1580</v>
      </c>
      <c r="R28" s="839" t="s">
        <v>1581</v>
      </c>
      <c r="S28" s="839" t="s">
        <v>270</v>
      </c>
      <c r="T28" s="388"/>
      <c r="U28" s="422"/>
      <c r="V28" s="422"/>
      <c r="W28" s="422"/>
      <c r="X28" s="422"/>
      <c r="Y28" s="422"/>
      <c r="Z28" s="422"/>
      <c r="AA28" s="422"/>
      <c r="AC28" s="19"/>
      <c r="AD28" s="19"/>
      <c r="AE28" s="19"/>
      <c r="AF28" s="19"/>
      <c r="AQ28" s="20"/>
      <c r="FZ28" s="913"/>
      <c r="GA28" s="913"/>
      <c r="GB28" s="907"/>
      <c r="GC28" s="548"/>
      <c r="GD28" s="548"/>
    </row>
    <row r="29" spans="1:186" ht="14.65" hidden="1" customHeight="1" x14ac:dyDescent="0.15">
      <c r="A29" s="416"/>
      <c r="C29" s="416"/>
      <c r="D29" s="416"/>
      <c r="E29" s="759">
        <v>15</v>
      </c>
      <c r="F29" s="417" cm="1">
        <f t="array" ref="F29">X29</f>
        <v>0</v>
      </c>
      <c r="G29" s="416" cm="1">
        <f t="array" ref="G29">INDEX('Общие сведения'!$AK$185:$AK$228,MATCH($X29,'Общие сведения'!$Z$185:$Z$228,0))</f>
        <v>0</v>
      </c>
      <c r="H29" s="416"/>
      <c r="I29" s="416"/>
      <c r="J29" s="416"/>
      <c r="K29" s="416"/>
      <c r="L29" s="416"/>
      <c r="M29" s="416"/>
      <c r="N29" s="416"/>
      <c r="O29" s="416"/>
      <c r="P29" s="416"/>
      <c r="Q29" s="416" cm="1">
        <f t="array" ref="Q29">INDEX('Общие сведения'!$AE$185:$AE$228,MATCH($X29,'Общие сведения'!$Z$185:$Z$228,0))</f>
        <v>0</v>
      </c>
      <c r="R29" s="407" cm="1">
        <f t="array" ref="R29">INDEX('Общие сведения'!$AK$185:$AK$228,MATCH($X29,'Общие сведения'!$Z$185:$Z$228,0))</f>
        <v>0</v>
      </c>
      <c r="S29" s="416" t="b" cm="1">
        <f t="array" ref="S29">INDEX('Общие сведения'!$AN$185:$AN$228,MATCH($X29,'Общие сведения'!$Z$185:$Z$228,0))</f>
        <v>0</v>
      </c>
      <c r="T29" s="388" t="b">
        <f>X29&gt;0</f>
        <v>0</v>
      </c>
      <c r="U29" s="416"/>
      <c r="V29" s="416" t="s">
        <v>271</v>
      </c>
      <c r="W29" s="416"/>
      <c r="X29" s="2066">
        <v>0</v>
      </c>
      <c r="Y29" s="416"/>
      <c r="Z29" s="2011"/>
      <c r="AA29" s="416"/>
      <c r="AB29" s="2114" t="s">
        <v>21</v>
      </c>
      <c r="AC29" s="2115"/>
      <c r="AD29" s="809" t="str" cm="1">
        <f t="array" ref="AD29">INDEX('Общие сведения'!$AG$185:$AG$228,MATCH($X29,'Общие сведения'!$Z$185:$Z$228,0))</f>
        <v xml:space="preserve">Тариф 0 () - </v>
      </c>
      <c r="AE29" s="204"/>
      <c r="AF29" s="204"/>
      <c r="AG29" s="204"/>
      <c r="AH29" s="204"/>
      <c r="AI29" s="204"/>
      <c r="AJ29" s="204"/>
      <c r="AK29" s="204"/>
      <c r="AL29" s="204"/>
      <c r="AM29" s="204"/>
      <c r="AN29" s="204"/>
      <c r="AO29" s="204"/>
      <c r="AP29" s="204"/>
      <c r="AQ29" s="204"/>
      <c r="AR29" s="204"/>
      <c r="AS29" s="204"/>
      <c r="AT29" s="204"/>
      <c r="AU29" s="204"/>
      <c r="AV29" s="204"/>
      <c r="AW29" s="204"/>
      <c r="AX29" s="204"/>
      <c r="AY29" s="204"/>
      <c r="AZ29" s="204"/>
      <c r="BA29" s="204"/>
      <c r="BB29" s="204"/>
      <c r="BC29" s="204"/>
      <c r="BD29" s="204"/>
      <c r="BE29" s="204"/>
      <c r="BF29" s="204"/>
      <c r="BG29" s="204"/>
      <c r="BH29" s="204"/>
      <c r="BI29" s="204"/>
      <c r="BJ29" s="204"/>
      <c r="BK29" s="204"/>
      <c r="BL29" s="204"/>
      <c r="BM29" s="204"/>
      <c r="BN29" s="204"/>
      <c r="BO29" s="204"/>
      <c r="BP29" s="204"/>
      <c r="BQ29" s="204"/>
      <c r="BR29" s="204"/>
      <c r="BS29" s="204"/>
      <c r="BT29" s="204"/>
      <c r="BU29" s="204"/>
      <c r="BV29" s="204"/>
      <c r="BW29" s="204"/>
      <c r="BX29" s="204"/>
      <c r="BY29" s="204"/>
      <c r="BZ29" s="204"/>
      <c r="CA29" s="204"/>
      <c r="CB29" s="204"/>
      <c r="CC29" s="204"/>
      <c r="CD29" s="204"/>
      <c r="CE29" s="204"/>
      <c r="CF29" s="204"/>
      <c r="CG29" s="204"/>
      <c r="CH29" s="204"/>
      <c r="CI29" s="204"/>
      <c r="CJ29" s="204"/>
      <c r="CK29" s="204"/>
      <c r="CL29" s="204"/>
      <c r="CM29" s="204"/>
      <c r="CN29" s="204"/>
      <c r="CO29" s="204"/>
      <c r="CP29" s="204"/>
      <c r="CQ29" s="204"/>
      <c r="CR29" s="204"/>
      <c r="CS29" s="204"/>
      <c r="CT29" s="204"/>
      <c r="CU29" s="204"/>
      <c r="CV29" s="204"/>
      <c r="CW29" s="204"/>
      <c r="CX29" s="204"/>
      <c r="CY29" s="204"/>
      <c r="CZ29" s="204"/>
      <c r="DA29" s="204"/>
      <c r="DB29" s="204"/>
      <c r="DC29" s="204"/>
      <c r="DD29" s="204"/>
      <c r="DE29" s="204"/>
      <c r="DF29" s="204"/>
      <c r="DG29" s="204"/>
      <c r="DH29" s="204"/>
      <c r="DI29" s="204"/>
      <c r="DJ29" s="204"/>
      <c r="DK29" s="204"/>
      <c r="DL29" s="204"/>
      <c r="DM29" s="204"/>
      <c r="DN29" s="204"/>
      <c r="DO29" s="204"/>
      <c r="DP29" s="204"/>
      <c r="DQ29" s="204"/>
      <c r="DR29" s="204"/>
      <c r="DS29" s="204"/>
      <c r="DT29" s="204"/>
      <c r="DU29" s="204"/>
      <c r="DV29" s="204"/>
      <c r="DW29" s="204"/>
      <c r="DX29" s="204"/>
      <c r="DY29" s="204"/>
      <c r="DZ29" s="204"/>
      <c r="EA29" s="204"/>
      <c r="EB29" s="204"/>
      <c r="EC29" s="204"/>
      <c r="ED29" s="204"/>
      <c r="EE29" s="204"/>
      <c r="EF29" s="204"/>
      <c r="EG29" s="204"/>
      <c r="EH29" s="204"/>
      <c r="EI29" s="204"/>
      <c r="EJ29" s="204"/>
      <c r="EK29" s="204"/>
      <c r="EL29" s="204"/>
      <c r="EM29" s="204"/>
      <c r="EN29" s="204"/>
      <c r="EO29" s="204"/>
      <c r="EP29" s="204"/>
      <c r="EQ29" s="204"/>
      <c r="ER29" s="204"/>
      <c r="ES29" s="204"/>
      <c r="ET29" s="204"/>
      <c r="EU29" s="204"/>
      <c r="EV29" s="204"/>
      <c r="EW29" s="204"/>
      <c r="EX29" s="204"/>
      <c r="EY29" s="204"/>
      <c r="EZ29" s="204"/>
      <c r="FA29" s="204"/>
      <c r="FB29" s="204"/>
      <c r="FC29" s="204"/>
      <c r="FD29" s="204"/>
      <c r="FE29" s="204"/>
      <c r="FF29" s="204"/>
      <c r="FG29" s="204"/>
      <c r="FH29" s="204"/>
      <c r="FI29" s="204"/>
      <c r="FJ29" s="204"/>
      <c r="FK29" s="204"/>
      <c r="FL29" s="204"/>
      <c r="FM29" s="204"/>
      <c r="FN29" s="204"/>
      <c r="FO29" s="204"/>
      <c r="FP29" s="204"/>
      <c r="FQ29" s="204"/>
      <c r="FR29" s="204"/>
      <c r="FS29" s="204"/>
      <c r="FT29" s="204"/>
      <c r="FU29" s="204"/>
      <c r="FV29" s="204"/>
      <c r="FW29" s="205"/>
    </row>
    <row r="30" spans="1:186" ht="14.65" hidden="1" customHeight="1" x14ac:dyDescent="0.15">
      <c r="A30" s="416"/>
      <c r="C30" s="416"/>
      <c r="D30" s="416"/>
      <c r="E30" s="759">
        <v>15</v>
      </c>
      <c r="F30" s="3" cm="1">
        <f t="array" aca="1" ref="F30" ca="1">OFFSET(E30,-1,1)</f>
        <v>0</v>
      </c>
      <c r="G30" s="416"/>
      <c r="H30" s="416"/>
      <c r="I30" s="416"/>
      <c r="J30" s="416"/>
      <c r="K30" s="416"/>
      <c r="L30" s="416"/>
      <c r="M30" s="416"/>
      <c r="N30" s="416"/>
      <c r="O30" s="416"/>
      <c r="P30" s="416"/>
      <c r="Q30" s="416"/>
      <c r="R30" s="407"/>
      <c r="S30" s="407"/>
      <c r="T30" s="388" t="b" cm="1">
        <f t="array" ref="T30">T29</f>
        <v>0</v>
      </c>
      <c r="U30" s="416"/>
      <c r="V30" s="416"/>
      <c r="W30" s="416"/>
      <c r="X30" s="2066"/>
      <c r="Y30" s="416"/>
      <c r="Z30" s="2011"/>
      <c r="AA30" s="416"/>
      <c r="AB30" s="1967" t="str">
        <f>"Вид "&amp;IF(ISERROR(SEARCH("Водоснабжение",AD29)),"сточных вод","воды")</f>
        <v>Вид сточных вод</v>
      </c>
      <c r="AC30" s="1969"/>
      <c r="AD30" s="809" cm="1">
        <f t="array" ref="AD30">INDEX('Общие сведения'!$AH$185:$AH$228,MATCH($X29,'Общие сведения'!$Z$185:$Z$228,0))</f>
        <v>0</v>
      </c>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c r="CJ30" s="206"/>
      <c r="CK30" s="206"/>
      <c r="CL30" s="206"/>
      <c r="CM30" s="206"/>
      <c r="CN30" s="206"/>
      <c r="CO30" s="206"/>
      <c r="CP30" s="206"/>
      <c r="CQ30" s="206"/>
      <c r="CR30" s="206"/>
      <c r="CS30" s="206"/>
      <c r="CT30" s="206"/>
      <c r="CU30" s="206"/>
      <c r="CV30" s="206"/>
      <c r="CW30" s="206"/>
      <c r="CX30" s="206"/>
      <c r="CY30" s="206"/>
      <c r="CZ30" s="206"/>
      <c r="DA30" s="206"/>
      <c r="DB30" s="206"/>
      <c r="DC30" s="206"/>
      <c r="DD30" s="206"/>
      <c r="DE30" s="206"/>
      <c r="DF30" s="206"/>
      <c r="DG30" s="206"/>
      <c r="DH30" s="206"/>
      <c r="DI30" s="206"/>
      <c r="DJ30" s="206"/>
      <c r="DK30" s="206"/>
      <c r="DL30" s="206"/>
      <c r="DM30" s="206"/>
      <c r="DN30" s="206"/>
      <c r="DO30" s="206"/>
      <c r="DP30" s="206"/>
      <c r="DQ30" s="206"/>
      <c r="DR30" s="206"/>
      <c r="DS30" s="206"/>
      <c r="DT30" s="206"/>
      <c r="DU30" s="206"/>
      <c r="DV30" s="206"/>
      <c r="DW30" s="206"/>
      <c r="DX30" s="206"/>
      <c r="DY30" s="206"/>
      <c r="DZ30" s="206"/>
      <c r="EA30" s="206"/>
      <c r="EB30" s="206"/>
      <c r="EC30" s="206"/>
      <c r="ED30" s="206"/>
      <c r="EE30" s="206"/>
      <c r="EF30" s="206"/>
      <c r="EG30" s="206"/>
      <c r="EH30" s="206"/>
      <c r="EI30" s="206"/>
      <c r="EJ30" s="206"/>
      <c r="EK30" s="206"/>
      <c r="EL30" s="206"/>
      <c r="EM30" s="206"/>
      <c r="EN30" s="206"/>
      <c r="EO30" s="206"/>
      <c r="EP30" s="206"/>
      <c r="EQ30" s="206"/>
      <c r="ER30" s="206"/>
      <c r="ES30" s="206"/>
      <c r="ET30" s="206"/>
      <c r="EU30" s="206"/>
      <c r="EV30" s="206"/>
      <c r="EW30" s="206"/>
      <c r="EX30" s="206"/>
      <c r="EY30" s="206"/>
      <c r="EZ30" s="206"/>
      <c r="FA30" s="206"/>
      <c r="FB30" s="206"/>
      <c r="FC30" s="206"/>
      <c r="FD30" s="206"/>
      <c r="FE30" s="206"/>
      <c r="FF30" s="206"/>
      <c r="FG30" s="206"/>
      <c r="FH30" s="206"/>
      <c r="FI30" s="206"/>
      <c r="FJ30" s="206"/>
      <c r="FK30" s="206"/>
      <c r="FL30" s="206"/>
      <c r="FM30" s="206"/>
      <c r="FN30" s="206"/>
      <c r="FO30" s="206"/>
      <c r="FP30" s="206"/>
      <c r="FQ30" s="206"/>
      <c r="FR30" s="206"/>
      <c r="FS30" s="206"/>
      <c r="FT30" s="206"/>
      <c r="FU30" s="206"/>
      <c r="FV30" s="206"/>
      <c r="FW30" s="207"/>
    </row>
    <row r="31" spans="1:186" ht="14.65" hidden="1" customHeight="1" x14ac:dyDescent="0.15">
      <c r="A31" s="416"/>
      <c r="C31" s="416"/>
      <c r="D31" s="416"/>
      <c r="E31" s="759">
        <v>15</v>
      </c>
      <c r="F31" s="3" cm="1">
        <f t="array" aca="1" ref="F31" ca="1">OFFSET(E31,-1,1)</f>
        <v>0</v>
      </c>
      <c r="G31" s="416"/>
      <c r="H31" s="416"/>
      <c r="I31" s="416"/>
      <c r="J31" s="416"/>
      <c r="K31" s="416"/>
      <c r="L31" s="416"/>
      <c r="M31" s="416"/>
      <c r="N31" s="416"/>
      <c r="O31" s="416"/>
      <c r="P31" s="416"/>
      <c r="Q31" s="416"/>
      <c r="R31" s="407"/>
      <c r="S31" s="407"/>
      <c r="T31" s="388" t="b" cm="1">
        <f t="array" ref="T31">T30</f>
        <v>0</v>
      </c>
      <c r="U31" s="416"/>
      <c r="V31" s="416"/>
      <c r="W31" s="416"/>
      <c r="X31" s="2066"/>
      <c r="Y31" s="416"/>
      <c r="Z31" s="2011"/>
      <c r="AA31" s="416"/>
      <c r="AB31" s="1967" t="s">
        <v>1582</v>
      </c>
      <c r="AC31" s="1969"/>
      <c r="AD31" s="809" cm="1">
        <f t="array" ref="AD31">INDEX('Общие сведения'!$AI$185:$AI$228,MATCH($X29,'Общие сведения'!$Z$185:$Z$228,0))</f>
        <v>0</v>
      </c>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c r="BI31" s="206"/>
      <c r="BJ31" s="206"/>
      <c r="BK31" s="206"/>
      <c r="BL31" s="206"/>
      <c r="BM31" s="206"/>
      <c r="BN31" s="206"/>
      <c r="BO31" s="206"/>
      <c r="BP31" s="206"/>
      <c r="BQ31" s="206"/>
      <c r="BR31" s="206"/>
      <c r="BS31" s="206"/>
      <c r="BT31" s="206"/>
      <c r="BU31" s="206"/>
      <c r="BV31" s="206"/>
      <c r="BW31" s="206"/>
      <c r="BX31" s="206"/>
      <c r="BY31" s="206"/>
      <c r="BZ31" s="206"/>
      <c r="CA31" s="206"/>
      <c r="CB31" s="206"/>
      <c r="CC31" s="206"/>
      <c r="CD31" s="206"/>
      <c r="CE31" s="206"/>
      <c r="CF31" s="206"/>
      <c r="CG31" s="206"/>
      <c r="CH31" s="206"/>
      <c r="CI31" s="206"/>
      <c r="CJ31" s="206"/>
      <c r="CK31" s="206"/>
      <c r="CL31" s="206"/>
      <c r="CM31" s="206"/>
      <c r="CN31" s="206"/>
      <c r="CO31" s="206"/>
      <c r="CP31" s="206"/>
      <c r="CQ31" s="206"/>
      <c r="CR31" s="206"/>
      <c r="CS31" s="206"/>
      <c r="CT31" s="206"/>
      <c r="CU31" s="206"/>
      <c r="CV31" s="206"/>
      <c r="CW31" s="206"/>
      <c r="CX31" s="206"/>
      <c r="CY31" s="206"/>
      <c r="CZ31" s="206"/>
      <c r="DA31" s="206"/>
      <c r="DB31" s="206"/>
      <c r="DC31" s="206"/>
      <c r="DD31" s="206"/>
      <c r="DE31" s="206"/>
      <c r="DF31" s="206"/>
      <c r="DG31" s="206"/>
      <c r="DH31" s="206"/>
      <c r="DI31" s="206"/>
      <c r="DJ31" s="206"/>
      <c r="DK31" s="206"/>
      <c r="DL31" s="206"/>
      <c r="DM31" s="206"/>
      <c r="DN31" s="206"/>
      <c r="DO31" s="206"/>
      <c r="DP31" s="206"/>
      <c r="DQ31" s="206"/>
      <c r="DR31" s="206"/>
      <c r="DS31" s="206"/>
      <c r="DT31" s="206"/>
      <c r="DU31" s="206"/>
      <c r="DV31" s="206"/>
      <c r="DW31" s="206"/>
      <c r="DX31" s="206"/>
      <c r="DY31" s="206"/>
      <c r="DZ31" s="206"/>
      <c r="EA31" s="206"/>
      <c r="EB31" s="206"/>
      <c r="EC31" s="206"/>
      <c r="ED31" s="206"/>
      <c r="EE31" s="206"/>
      <c r="EF31" s="206"/>
      <c r="EG31" s="206"/>
      <c r="EH31" s="206"/>
      <c r="EI31" s="206"/>
      <c r="EJ31" s="206"/>
      <c r="EK31" s="206"/>
      <c r="EL31" s="206"/>
      <c r="EM31" s="206"/>
      <c r="EN31" s="206"/>
      <c r="EO31" s="206"/>
      <c r="EP31" s="206"/>
      <c r="EQ31" s="206"/>
      <c r="ER31" s="206"/>
      <c r="ES31" s="206"/>
      <c r="ET31" s="206"/>
      <c r="EU31" s="206"/>
      <c r="EV31" s="206"/>
      <c r="EW31" s="206"/>
      <c r="EX31" s="206"/>
      <c r="EY31" s="206"/>
      <c r="EZ31" s="206"/>
      <c r="FA31" s="206"/>
      <c r="FB31" s="206"/>
      <c r="FC31" s="206"/>
      <c r="FD31" s="206"/>
      <c r="FE31" s="206"/>
      <c r="FF31" s="206"/>
      <c r="FG31" s="206"/>
      <c r="FH31" s="206"/>
      <c r="FI31" s="206"/>
      <c r="FJ31" s="206"/>
      <c r="FK31" s="206"/>
      <c r="FL31" s="206"/>
      <c r="FM31" s="206"/>
      <c r="FN31" s="206"/>
      <c r="FO31" s="206"/>
      <c r="FP31" s="206"/>
      <c r="FQ31" s="206"/>
      <c r="FR31" s="206"/>
      <c r="FS31" s="206"/>
      <c r="FT31" s="206"/>
      <c r="FU31" s="206"/>
      <c r="FV31" s="206"/>
      <c r="FW31" s="207"/>
    </row>
    <row r="32" spans="1:186" ht="14.65" hidden="1" customHeight="1" x14ac:dyDescent="0.15">
      <c r="A32" s="416"/>
      <c r="C32" s="416"/>
      <c r="D32" s="416"/>
      <c r="E32" s="759">
        <v>15</v>
      </c>
      <c r="F32" s="3" cm="1">
        <f t="array" aca="1" ref="F32" ca="1">OFFSET(E32,-1,1)</f>
        <v>0</v>
      </c>
      <c r="G32" s="416"/>
      <c r="H32" s="416"/>
      <c r="I32" s="416"/>
      <c r="J32" s="416"/>
      <c r="K32" s="416"/>
      <c r="L32" s="416"/>
      <c r="M32" s="416"/>
      <c r="N32" s="416"/>
      <c r="O32" s="416"/>
      <c r="P32" s="416"/>
      <c r="Q32" s="840"/>
      <c r="R32" s="416"/>
      <c r="S32" s="407"/>
      <c r="T32" s="388" t="b" cm="1">
        <f t="array" ref="T32">T31</f>
        <v>0</v>
      </c>
      <c r="U32" s="416"/>
      <c r="V32" s="416"/>
      <c r="W32" s="416"/>
      <c r="X32" s="2066"/>
      <c r="Y32" s="416"/>
      <c r="Z32" s="2011"/>
      <c r="AA32" s="416"/>
      <c r="AB32" s="1967" t="s">
        <v>1583</v>
      </c>
      <c r="AC32" s="1969"/>
      <c r="AD32" s="809" cm="1">
        <f t="array" ref="AD32">INDEX('Общие сведения'!$AJ$185:$AJ$228,MATCH($X29,'Общие сведения'!$Z$185:$Z$228,0))</f>
        <v>0</v>
      </c>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c r="CJ32" s="206"/>
      <c r="CK32" s="206"/>
      <c r="CL32" s="206"/>
      <c r="CM32" s="206"/>
      <c r="CN32" s="206"/>
      <c r="CO32" s="206"/>
      <c r="CP32" s="206"/>
      <c r="CQ32" s="206"/>
      <c r="CR32" s="206"/>
      <c r="CS32" s="206"/>
      <c r="CT32" s="206"/>
      <c r="CU32" s="206"/>
      <c r="CV32" s="206"/>
      <c r="CW32" s="206"/>
      <c r="CX32" s="206"/>
      <c r="CY32" s="206"/>
      <c r="CZ32" s="206"/>
      <c r="DA32" s="206"/>
      <c r="DB32" s="206"/>
      <c r="DC32" s="206"/>
      <c r="DD32" s="206"/>
      <c r="DE32" s="206"/>
      <c r="DF32" s="206"/>
      <c r="DG32" s="206"/>
      <c r="DH32" s="206"/>
      <c r="DI32" s="206"/>
      <c r="DJ32" s="206"/>
      <c r="DK32" s="206"/>
      <c r="DL32" s="206"/>
      <c r="DM32" s="206"/>
      <c r="DN32" s="206"/>
      <c r="DO32" s="206"/>
      <c r="DP32" s="206"/>
      <c r="DQ32" s="206"/>
      <c r="DR32" s="206"/>
      <c r="DS32" s="206"/>
      <c r="DT32" s="206"/>
      <c r="DU32" s="206"/>
      <c r="DV32" s="206"/>
      <c r="DW32" s="206"/>
      <c r="DX32" s="206"/>
      <c r="DY32" s="206"/>
      <c r="DZ32" s="206"/>
      <c r="EA32" s="206"/>
      <c r="EB32" s="206"/>
      <c r="EC32" s="206"/>
      <c r="ED32" s="206"/>
      <c r="EE32" s="206"/>
      <c r="EF32" s="206"/>
      <c r="EG32" s="206"/>
      <c r="EH32" s="206"/>
      <c r="EI32" s="206"/>
      <c r="EJ32" s="206"/>
      <c r="EK32" s="206"/>
      <c r="EL32" s="206"/>
      <c r="EM32" s="206"/>
      <c r="EN32" s="206"/>
      <c r="EO32" s="206"/>
      <c r="EP32" s="206"/>
      <c r="EQ32" s="206"/>
      <c r="ER32" s="206"/>
      <c r="ES32" s="206"/>
      <c r="ET32" s="206"/>
      <c r="EU32" s="206"/>
      <c r="EV32" s="206"/>
      <c r="EW32" s="206"/>
      <c r="EX32" s="206"/>
      <c r="EY32" s="206"/>
      <c r="EZ32" s="206"/>
      <c r="FA32" s="206"/>
      <c r="FB32" s="206"/>
      <c r="FC32" s="206"/>
      <c r="FD32" s="206"/>
      <c r="FE32" s="206"/>
      <c r="FF32" s="206"/>
      <c r="FG32" s="206"/>
      <c r="FH32" s="206"/>
      <c r="FI32" s="206"/>
      <c r="FJ32" s="206"/>
      <c r="FK32" s="206"/>
      <c r="FL32" s="206"/>
      <c r="FM32" s="206"/>
      <c r="FN32" s="206"/>
      <c r="FO32" s="206"/>
      <c r="FP32" s="206"/>
      <c r="FQ32" s="206"/>
      <c r="FR32" s="206"/>
      <c r="FS32" s="206"/>
      <c r="FT32" s="206"/>
      <c r="FU32" s="206"/>
      <c r="FV32" s="206"/>
      <c r="FW32" s="207"/>
    </row>
    <row r="33" spans="1:186" ht="14.65" hidden="1" customHeight="1" x14ac:dyDescent="0.15">
      <c r="A33" s="416"/>
      <c r="B33" s="837" t="b">
        <f>AND(R29="одноставочный",NOT(S29))</f>
        <v>0</v>
      </c>
      <c r="C33" s="416"/>
      <c r="D33" s="416"/>
      <c r="E33" s="759">
        <v>15</v>
      </c>
      <c r="F33" s="3" cm="1">
        <f t="array" aca="1" ref="F33" ca="1">OFFSET(E33,-1,1)</f>
        <v>0</v>
      </c>
      <c r="G33" s="416"/>
      <c r="H33" s="416"/>
      <c r="I33" s="416"/>
      <c r="J33" s="416"/>
      <c r="K33" s="416"/>
      <c r="L33" s="416"/>
      <c r="M33" s="416"/>
      <c r="N33" s="416"/>
      <c r="O33" s="416"/>
      <c r="P33" s="416"/>
      <c r="Q33" s="416"/>
      <c r="R33" s="416"/>
      <c r="S33" s="416"/>
      <c r="T33" s="388" t="b" cm="1">
        <f t="array" ref="T33">T32</f>
        <v>0</v>
      </c>
      <c r="U33" s="416"/>
      <c r="V33" s="416"/>
      <c r="W33" s="416"/>
      <c r="X33" s="2066"/>
      <c r="Y33" s="416"/>
      <c r="Z33" s="2011"/>
      <c r="AA33" s="416"/>
      <c r="AB33" s="810" t="s">
        <v>1584</v>
      </c>
      <c r="AC33" s="811"/>
      <c r="AD33" s="812"/>
      <c r="AE33" s="812"/>
      <c r="AF33" s="812"/>
      <c r="AG33" s="812"/>
      <c r="AH33" s="812"/>
      <c r="AI33" s="812"/>
      <c r="AJ33" s="812"/>
      <c r="AK33" s="812"/>
      <c r="AL33" s="812"/>
      <c r="AM33" s="812"/>
      <c r="AN33" s="812"/>
      <c r="AO33" s="812"/>
      <c r="AP33" s="812"/>
      <c r="AQ33" s="812"/>
      <c r="AR33" s="812"/>
      <c r="AS33" s="812"/>
      <c r="AT33" s="812"/>
      <c r="AU33" s="812"/>
      <c r="AV33" s="812"/>
      <c r="AW33" s="812"/>
      <c r="AX33" s="812"/>
      <c r="AY33" s="812"/>
      <c r="AZ33" s="812"/>
      <c r="BA33" s="812"/>
      <c r="BB33" s="812"/>
      <c r="BC33" s="812"/>
      <c r="BD33" s="812"/>
      <c r="BE33" s="812"/>
      <c r="BF33" s="812"/>
      <c r="BG33" s="812"/>
      <c r="BH33" s="812"/>
      <c r="BI33" s="812"/>
      <c r="BJ33" s="820"/>
      <c r="BK33" s="812"/>
      <c r="BL33" s="812"/>
      <c r="BM33" s="820"/>
      <c r="BN33" s="812"/>
      <c r="BO33" s="812"/>
      <c r="BP33" s="820"/>
      <c r="BQ33" s="812"/>
      <c r="BR33" s="812"/>
      <c r="BS33" s="820"/>
      <c r="BT33" s="812"/>
      <c r="BU33" s="812"/>
      <c r="BV33" s="820"/>
      <c r="BW33" s="812"/>
      <c r="BX33" s="812"/>
      <c r="BY33" s="820"/>
      <c r="BZ33" s="812"/>
      <c r="CA33" s="812"/>
      <c r="CB33" s="820"/>
      <c r="CC33" s="812"/>
      <c r="CD33" s="812"/>
      <c r="CE33" s="820"/>
      <c r="CF33" s="812"/>
      <c r="CG33" s="812"/>
      <c r="CH33" s="820"/>
      <c r="CI33" s="812"/>
      <c r="CJ33" s="812"/>
      <c r="CK33" s="820"/>
      <c r="CL33" s="812"/>
      <c r="CM33" s="812"/>
      <c r="CN33" s="820"/>
      <c r="CO33" s="812"/>
      <c r="CP33" s="812"/>
      <c r="CQ33" s="820"/>
      <c r="CR33" s="812"/>
      <c r="CS33" s="812"/>
      <c r="CT33" s="820"/>
      <c r="CU33" s="812"/>
      <c r="CV33" s="812"/>
      <c r="CW33" s="820"/>
      <c r="CX33" s="812"/>
      <c r="CY33" s="812"/>
      <c r="CZ33" s="820"/>
      <c r="DA33" s="812"/>
      <c r="DB33" s="812"/>
      <c r="DC33" s="820"/>
      <c r="DD33" s="812"/>
      <c r="DE33" s="812"/>
      <c r="DF33" s="209"/>
      <c r="DG33" s="208"/>
      <c r="DH33" s="208"/>
      <c r="DI33" s="209"/>
      <c r="DJ33" s="208"/>
      <c r="DK33" s="208"/>
      <c r="DL33" s="209"/>
      <c r="DM33" s="208"/>
      <c r="DN33" s="208"/>
      <c r="DO33" s="209"/>
      <c r="DP33" s="208"/>
      <c r="DQ33" s="208"/>
      <c r="DR33" s="209"/>
      <c r="DS33" s="208"/>
      <c r="DT33" s="208"/>
      <c r="DU33" s="209"/>
      <c r="DV33" s="208"/>
      <c r="DW33" s="208"/>
      <c r="DX33" s="209"/>
      <c r="DY33" s="208"/>
      <c r="DZ33" s="208"/>
      <c r="EA33" s="209"/>
      <c r="EB33" s="208"/>
      <c r="EC33" s="208"/>
      <c r="ED33" s="209"/>
      <c r="EE33" s="208"/>
      <c r="EF33" s="208"/>
      <c r="EG33" s="209"/>
      <c r="EH33" s="208"/>
      <c r="EI33" s="208"/>
      <c r="EJ33" s="209"/>
      <c r="EK33" s="208"/>
      <c r="EL33" s="208"/>
      <c r="EM33" s="209"/>
      <c r="EN33" s="208"/>
      <c r="EO33" s="208"/>
      <c r="EP33" s="209"/>
      <c r="EQ33" s="208"/>
      <c r="ER33" s="208"/>
      <c r="ES33" s="209"/>
      <c r="ET33" s="208"/>
      <c r="EU33" s="208"/>
      <c r="EV33" s="209"/>
      <c r="EW33" s="208"/>
      <c r="EX33" s="208"/>
      <c r="EY33" s="209"/>
      <c r="EZ33" s="208"/>
      <c r="FA33" s="208"/>
      <c r="FB33" s="209"/>
      <c r="FC33" s="208"/>
      <c r="FD33" s="208"/>
      <c r="FE33" s="209"/>
      <c r="FF33" s="208"/>
      <c r="FG33" s="208"/>
      <c r="FH33" s="209"/>
      <c r="FI33" s="208"/>
      <c r="FJ33" s="208"/>
      <c r="FK33" s="209"/>
      <c r="FL33" s="208"/>
      <c r="FM33" s="208"/>
      <c r="FN33" s="209"/>
      <c r="FO33" s="208"/>
      <c r="FP33" s="208"/>
      <c r="FQ33" s="209"/>
      <c r="FR33" s="208"/>
      <c r="FS33" s="208"/>
      <c r="FT33" s="209"/>
      <c r="FU33" s="208"/>
      <c r="FV33" s="208"/>
      <c r="FW33" s="209"/>
    </row>
    <row r="34" spans="1:186" s="210" customFormat="1" ht="23.85" hidden="1" customHeight="1" x14ac:dyDescent="0.15">
      <c r="A34" s="813"/>
      <c r="B34" s="837" t="b" cm="1">
        <f t="array" ref="B34">B33</f>
        <v>0</v>
      </c>
      <c r="C34" s="813"/>
      <c r="D34" s="813"/>
      <c r="E34" s="814">
        <v>24.5</v>
      </c>
      <c r="F34" s="3" cm="1">
        <f t="array" aca="1" ref="F34" ca="1">OFFSET(E34,-1,1)</f>
        <v>0</v>
      </c>
      <c r="G34" s="416" t="s">
        <v>1585</v>
      </c>
      <c r="H34" s="416" t="s">
        <v>494</v>
      </c>
      <c r="I34" s="416" t="s">
        <v>1586</v>
      </c>
      <c r="J34" s="813"/>
      <c r="K34" s="813"/>
      <c r="L34" s="416"/>
      <c r="M34" s="813"/>
      <c r="N34" s="813"/>
      <c r="O34" s="813"/>
      <c r="P34" s="813"/>
      <c r="Q34" s="813"/>
      <c r="R34" s="813"/>
      <c r="S34" s="416"/>
      <c r="T34" s="388" t="b" cm="1">
        <f t="array" ref="T34">T33</f>
        <v>0</v>
      </c>
      <c r="U34" s="813"/>
      <c r="V34" s="813"/>
      <c r="W34" s="813"/>
      <c r="X34" s="2066"/>
      <c r="Y34" s="813"/>
      <c r="Z34" s="2011"/>
      <c r="AA34" s="813"/>
      <c r="AB34" s="211" t="s">
        <v>1587</v>
      </c>
      <c r="AC34" s="212" t="s">
        <v>1588</v>
      </c>
      <c r="AD34" s="1441">
        <f ca="1">IF(AND(method_reg="Метод индексации",god&lt;&gt;first_year),SUMIFS(INDEX('Калькуляция (МИ корр)'!$AJ$25:$BC$459,,MATCH(AD$8,'Калькуляция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(МИ)'!$AJ$25:$BC$459,,MATCH(AD$8,'Калькуляция (МИ)'!$AJ$8:$BC$8,0)),'Калькуляция (МИ)'!$F$25:$F$459,$F34,'Калькуляция (МИ)'!$G$25:$G$459,$G34))))</f>
        <v>0</v>
      </c>
      <c r="AE34" s="1441">
        <f ca="1">IF(AND(method_reg="Метод индексации",god&lt;&gt;first_year),SUMIFS(INDEX('Калькуляция (МИ корр)'!$AJ$25:$BC$459,,MATCH(AE$8,'Калькуляция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(МИ)'!$AJ$25:$BC$459,,MATCH(AE$8,'Калькуляция (МИ)'!$AJ$8:$BC$8,0)),'Калькуляция (МИ)'!$F$25:$F$459,$F34,'Калькуляция (МИ)'!$G$25:$G$459,$G34))))</f>
        <v>0</v>
      </c>
      <c r="AF34" s="214">
        <f ca="1">IF(AD34=0,0,(AE34-AD34)/AD34*100)</f>
        <v>0</v>
      </c>
      <c r="AG34" s="1441">
        <f ca="1">IF(AND(method_reg="Метод индексации",god&lt;&gt;first_year),SUMIFS(INDEX('Калькуляция (МИ корр)'!$AJ$25:$BC$459,,MATCH(AG$8,'Калькуляция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(МИ)'!$AJ$25:$BC$459,,MATCH(AG$8,'Калькуляция (МИ)'!$AJ$8:$BC$8,0)),'Калькуляция (МИ)'!$F$25:$F$459,$F34,'Калькуляция (МИ)'!$G$25:$G$459,$G34))))</f>
        <v>0</v>
      </c>
      <c r="AH34" s="1441">
        <f ca="1">IF(AND(method_reg="Метод индексации",god&lt;&gt;first_year),SUMIFS(INDEX('Калькуляция (МИ корр)'!$AJ$25:$BC$459,,MATCH(AH$8,'Калькуляция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(МИ)'!$AJ$25:$BC$459,,MATCH(AH$8,'Калькуляция (МИ)'!$AJ$8:$BC$8,0)),'Калькуляция (МИ)'!$F$25:$F$459,$F34,'Калькуляция (МИ)'!$G$25:$G$459,$G34))))</f>
        <v>0</v>
      </c>
      <c r="AI34" s="214">
        <f ca="1">IF(AG34=0,0,(AH34-AG34)/AG34*100)</f>
        <v>0</v>
      </c>
      <c r="AJ34" s="1441">
        <f ca="1">IF(AND(method_reg="Метод индексации",god&lt;&gt;first_year),SUMIFS(INDEX('Калькуляция (МИ корр)'!$AJ$25:$BC$459,,MATCH(AJ$8,'Калькуляция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(МИ)'!$AJ$25:$BC$459,,MATCH(AJ$8,'Калькуляция (МИ)'!$AJ$8:$BC$8,0)),'Калькуляция (МИ)'!$F$25:$F$459,$F34,'Калькуляция (МИ)'!$G$25:$G$459,$G34))))</f>
        <v>0</v>
      </c>
      <c r="AK34" s="1441">
        <f ca="1">IF(AND(method_reg="Метод индексации",god&lt;&gt;first_year),SUMIFS(INDEX('Калькуляция (МИ корр)'!$AJ$25:$BC$459,,MATCH(AK$8,'Калькуляция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(МИ)'!$AJ$25:$BC$459,,MATCH(AK$8,'Калькуляция (МИ)'!$AJ$8:$BC$8,0)),'Калькуляция (МИ)'!$F$25:$F$459,$F34,'Калькуляция (МИ)'!$G$25:$G$459,$G34))))</f>
        <v>0</v>
      </c>
      <c r="AL34" s="214">
        <f ca="1">IF(AJ34=0,0,(AK34-AJ34)/AJ34*100)</f>
        <v>0</v>
      </c>
      <c r="AM34" s="1441">
        <f ca="1">IF(AND(method_reg="Метод индексации",god&lt;&gt;first_year),SUMIFS(INDEX('Калькуляция (МИ корр)'!$AJ$25:$BC$459,,MATCH(AM$8,'Калькуляция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(МИ)'!$AJ$25:$BC$459,,MATCH(AM$8,'Калькуляция (МИ)'!$AJ$8:$BC$8,0)),'Калькуляция (МИ)'!$F$25:$F$459,$F34,'Калькуляция (МИ)'!$G$25:$G$459,$G34))))</f>
        <v>0</v>
      </c>
      <c r="AN34" s="1441">
        <f ca="1">IF(AND(method_reg="Метод индексации",god&lt;&gt;first_year),SUMIFS(INDEX('Калькуляция (МИ корр)'!$AJ$25:$BC$459,,MATCH(AN$8,'Калькуляция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(МИ)'!$AJ$25:$BC$459,,MATCH(AN$8,'Калькуляция (МИ)'!$AJ$8:$BC$8,0)),'Калькуляция (МИ)'!$F$25:$F$459,$F34,'Калькуляция (МИ)'!$G$25:$G$459,$G34))))</f>
        <v>0</v>
      </c>
      <c r="AO34" s="214">
        <f ca="1">IF(AM34=0,0,(AN34-AM34)/AM34*100)</f>
        <v>0</v>
      </c>
      <c r="AP34" s="1441">
        <f ca="1">IF(AND(method_reg="Метод индексации",god&lt;&gt;first_year),SUMIFS(INDEX('Калькуляция (МИ корр)'!$AJ$25:$BC$459,,MATCH(AP$8,'Калькуляция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(МИ)'!$AJ$25:$BC$459,,MATCH(AP$8,'Калькуляция (МИ)'!$AJ$8:$BC$8,0)),'Калькуляция (МИ)'!$F$25:$F$459,$F34,'Калькуляция (МИ)'!$G$25:$G$459,$G34))))</f>
        <v>0</v>
      </c>
      <c r="AQ34" s="1441">
        <f ca="1">IF(AND(method_reg="Метод индексации",god&lt;&gt;first_year),SUMIFS(INDEX('Калькуляция (МИ корр)'!$AJ$25:$BC$459,,MATCH(AQ$8,'Калькуляция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(МИ)'!$AJ$25:$BC$459,,MATCH(AQ$8,'Калькуляция (МИ)'!$AJ$8:$BC$8,0)),'Калькуляция (МИ)'!$F$25:$F$459,$F34,'Калькуляция (МИ)'!$G$25:$G$459,$G34))))</f>
        <v>0</v>
      </c>
      <c r="AR34" s="214">
        <f ca="1">IF(AP34=0,0,(AQ34-AP34)/AP34*100)</f>
        <v>0</v>
      </c>
      <c r="AS34" s="1441">
        <f ca="1">IF(AND(method_reg="Метод индексации",god&lt;&gt;first_year),SUMIFS(INDEX('Калькуляция (МИ корр)'!$AJ$25:$BC$459,,MATCH(AS$8,'Калькуляция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(МИ)'!$AJ$25:$BC$459,,MATCH(AS$8,'Калькуляция (МИ)'!$AJ$8:$BC$8,0)),'Калькуляция (МИ)'!$F$25:$F$459,$F34,'Калькуляция (МИ)'!$G$25:$G$459,$G34))))</f>
        <v>0</v>
      </c>
      <c r="AT34" s="1441">
        <f ca="1">IF(AND(method_reg="Метод индексации",god&lt;&gt;first_year),SUMIFS(INDEX('Калькуляция (МИ корр)'!$AJ$25:$BC$459,,MATCH(AT$8,'Калькуляция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(МИ)'!$AJ$25:$BC$459,,MATCH(AT$8,'Калькуляция (МИ)'!$AJ$8:$BC$8,0)),'Калькуляция (МИ)'!$F$25:$F$459,$F34,'Калькуляция (МИ)'!$G$25:$G$459,$G34))))</f>
        <v>0</v>
      </c>
      <c r="AU34" s="214">
        <f ca="1">IF(AS34=0,0,(AT34-AS34)/AS34*100)</f>
        <v>0</v>
      </c>
      <c r="AV34" s="1441">
        <f ca="1">IF(AND(method_reg="Метод индексации",god&lt;&gt;first_year),SUMIFS(INDEX('Калькуляция (МИ корр)'!$AJ$25:$BC$459,,MATCH(AV$8,'Калькуляция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(МИ)'!$AJ$25:$BC$459,,MATCH(AV$8,'Калькуляция (МИ)'!$AJ$8:$BC$8,0)),'Калькуляция (МИ)'!$F$25:$F$459,$F34,'Калькуляция (МИ)'!$G$25:$G$459,$G34))))</f>
        <v>0</v>
      </c>
      <c r="AW34" s="1441">
        <f ca="1">IF(AND(method_reg="Метод индексации",god&lt;&gt;first_year),SUMIFS(INDEX('Калькуляция (МИ корр)'!$AJ$25:$BC$459,,MATCH(AW$8,'Калькуляция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(МИ)'!$AJ$25:$BC$459,,MATCH(AW$8,'Калькуляция (МИ)'!$AJ$8:$BC$8,0)),'Калькуляция (МИ)'!$F$25:$F$459,$F34,'Калькуляция (МИ)'!$G$25:$G$459,$G34))))</f>
        <v>0</v>
      </c>
      <c r="AX34" s="214">
        <f ca="1">IF(AV34=0,0,(AW34-AV34)/AV34*100)</f>
        <v>0</v>
      </c>
      <c r="AY34" s="1441">
        <f ca="1">IF(AND(method_reg="Метод индексации",god&lt;&gt;first_year),SUMIFS(INDEX('Калькуляция (МИ корр)'!$AJ$25:$BC$459,,MATCH(AY$8,'Калькуляция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(МИ)'!$AJ$25:$BC$459,,MATCH(AY$8,'Калькуляция (МИ)'!$AJ$8:$BC$8,0)),'Калькуляция (МИ)'!$F$25:$F$459,$F34,'Калькуляция (МИ)'!$G$25:$G$459,$G34))))</f>
        <v>0</v>
      </c>
      <c r="AZ34" s="1441">
        <f ca="1">IF(AND(method_reg="Метод индексации",god&lt;&gt;first_year),SUMIFS(INDEX('Калькуляция (МИ корр)'!$AJ$25:$BC$459,,MATCH(AZ$8,'Калькуляция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(МИ)'!$AJ$25:$BC$459,,MATCH(AZ$8,'Калькуляция (МИ)'!$AJ$8:$BC$8,0)),'Калькуляция (МИ)'!$F$25:$F$459,$F34,'Калькуляция (МИ)'!$G$25:$G$459,$G34))))</f>
        <v>0</v>
      </c>
      <c r="BA34" s="214">
        <f ca="1">IF(AY34=0,0,(AZ34-AY34)/AY34*100)</f>
        <v>0</v>
      </c>
      <c r="BB34" s="1441">
        <f ca="1">IF(AND(method_reg="Метод индексации",god&lt;&gt;first_year),SUMIFS(INDEX('Калькуляция (МИ корр)'!$AJ$25:$BC$459,,MATCH(BB$8,'Калькуляция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(МИ)'!$AJ$25:$BC$459,,MATCH(BB$8,'Калькуляция (МИ)'!$AJ$8:$BC$8,0)),'Калькуляция (МИ)'!$F$25:$F$459,$F34,'Калькуляция (МИ)'!$G$25:$G$459,$G34))))</f>
        <v>0</v>
      </c>
      <c r="BC34" s="1441">
        <f ca="1">IF(AND(method_reg="Метод индексации",god&lt;&gt;first_year),SUMIFS(INDEX('Калькуляция (МИ корр)'!$AJ$25:$BC$459,,MATCH(BC$8,'Калькуляция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(МИ)'!$AJ$25:$BC$459,,MATCH(BC$8,'Калькуляция (МИ)'!$AJ$8:$BC$8,0)),'Калькуляция (МИ)'!$F$25:$F$459,$F34,'Калькуляция (МИ)'!$G$25:$G$459,$G34))))</f>
        <v>0</v>
      </c>
      <c r="BD34" s="214">
        <f ca="1">IF(BB34=0,0,(BC34-BB34)/BB34*100)</f>
        <v>0</v>
      </c>
      <c r="BE34" s="1441">
        <f ca="1">IF(AND(method_reg="Метод индексации",god&lt;&gt;first_year),SUMIFS(INDEX('Калькуляция (МИ корр)'!$AJ$25:$BC$459,,MATCH(BE$8,'Калькуляция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(МИ)'!$AJ$25:$BC$459,,MATCH(BE$8,'Калькуляция (МИ)'!$AJ$8:$BC$8,0)),'Калькуляция (МИ)'!$F$25:$F$459,$F34,'Калькуляция (МИ)'!$G$25:$G$459,$G34))))</f>
        <v>0</v>
      </c>
      <c r="BF34" s="1441">
        <f ca="1">IF(AND(method_reg="Метод индексации",god&lt;&gt;first_year),SUMIFS(INDEX('Калькуляция (МИ корр)'!$AJ$25:$BC$459,,MATCH(BF$8,'Калькуляция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(МИ)'!$AJ$25:$BC$459,,MATCH(BF$8,'Калькуляция (МИ)'!$AJ$8:$BC$8,0)),'Калькуляция (МИ)'!$F$25:$F$459,$F34,'Калькуляция (МИ)'!$G$25:$G$459,$G34))))</f>
        <v>0</v>
      </c>
      <c r="BG34" s="214">
        <f ca="1">IF(BE34=0,0,(BF34-BE34)/BE34*100)</f>
        <v>0</v>
      </c>
      <c r="BH34" s="1441"/>
      <c r="BI34" s="1441"/>
      <c r="BJ34" s="214">
        <f>IF(BH34=0,0,(BI34-BH34)/BH34*100)</f>
        <v>0</v>
      </c>
      <c r="BK34" s="1441"/>
      <c r="BL34" s="1441"/>
      <c r="BM34" s="214">
        <f>IF(BK34=0,0,(BL34-BK34)/BK34*100)</f>
        <v>0</v>
      </c>
      <c r="BN34" s="1441"/>
      <c r="BO34" s="1441"/>
      <c r="BP34" s="214">
        <f>IF(BN34=0,0,(BO34-BN34)/BN34*100)</f>
        <v>0</v>
      </c>
      <c r="BQ34" s="1441"/>
      <c r="BR34" s="1441"/>
      <c r="BS34" s="214">
        <f>IF(BQ34=0,0,(BR34-BQ34)/BQ34*100)</f>
        <v>0</v>
      </c>
      <c r="BT34" s="1441"/>
      <c r="BU34" s="1441"/>
      <c r="BV34" s="214">
        <f>IF(BT34=0,0,(BU34-BT34)/BT34*100)</f>
        <v>0</v>
      </c>
      <c r="BW34" s="1441"/>
      <c r="BX34" s="1441"/>
      <c r="BY34" s="214">
        <f>IF(BW34=0,0,(BX34-BW34)/BW34*100)</f>
        <v>0</v>
      </c>
      <c r="BZ34" s="1441"/>
      <c r="CA34" s="1441"/>
      <c r="CB34" s="214">
        <f>IF(BZ34=0,0,(CA34-BZ34)/BZ34*100)</f>
        <v>0</v>
      </c>
      <c r="CC34" s="1441"/>
      <c r="CD34" s="1441"/>
      <c r="CE34" s="214">
        <f>IF(CC34=0,0,(CD34-CC34)/CC34*100)</f>
        <v>0</v>
      </c>
      <c r="CF34" s="1441"/>
      <c r="CG34" s="1441"/>
      <c r="CH34" s="214">
        <f>IF(CF34=0,0,(CG34-CF34)/CF34*100)</f>
        <v>0</v>
      </c>
      <c r="CI34" s="1441"/>
      <c r="CJ34" s="1441"/>
      <c r="CK34" s="214">
        <f>IF(CI34=0,0,(CJ34-CI34)/CI34*100)</f>
        <v>0</v>
      </c>
      <c r="CL34" s="1441"/>
      <c r="CM34" s="1441"/>
      <c r="CN34" s="214">
        <f>IF(CL34=0,0,(CM34-CL34)/CL34*100)</f>
        <v>0</v>
      </c>
      <c r="CO34" s="1441"/>
      <c r="CP34" s="1441"/>
      <c r="CQ34" s="214">
        <f>IF(CO34=0,0,(CP34-CO34)/CO34*100)</f>
        <v>0</v>
      </c>
      <c r="CR34" s="1441"/>
      <c r="CS34" s="1441"/>
      <c r="CT34" s="214">
        <f>IF(CR34=0,0,(CS34-CR34)/CR34*100)</f>
        <v>0</v>
      </c>
      <c r="CU34" s="1441"/>
      <c r="CV34" s="1441"/>
      <c r="CW34" s="214">
        <f>IF(CU34=0,0,(CV34-CU34)/CU34*100)</f>
        <v>0</v>
      </c>
      <c r="CX34" s="1441"/>
      <c r="CY34" s="1441"/>
      <c r="CZ34" s="214">
        <f>IF(CX34=0,0,(CY34-CX34)/CX34*100)</f>
        <v>0</v>
      </c>
      <c r="DA34" s="1441"/>
      <c r="DB34" s="1441"/>
      <c r="DC34" s="214">
        <f>IF(DA34=0,0,(DB34-DA34)/DA34*100)</f>
        <v>0</v>
      </c>
      <c r="DD34" s="1441"/>
      <c r="DE34" s="1441"/>
      <c r="DF34" s="214">
        <f>IF(DD34=0,0,(DE34-DD34)/DD34*100)</f>
        <v>0</v>
      </c>
      <c r="DG34" s="1442"/>
      <c r="DH34" s="1442"/>
      <c r="DI34" s="214">
        <f>IF(DG34=0,0,(DH34-DG34)/DG34*100)</f>
        <v>0</v>
      </c>
      <c r="DJ34" s="1442"/>
      <c r="DK34" s="1442"/>
      <c r="DL34" s="214">
        <f>IF(DJ34=0,0,(DK34-DJ34)/DJ34*100)</f>
        <v>0</v>
      </c>
      <c r="DM34" s="1442"/>
      <c r="DN34" s="1442"/>
      <c r="DO34" s="214">
        <f>IF(DM34=0,0,(DN34-DM34)/DM34*100)</f>
        <v>0</v>
      </c>
      <c r="DP34" s="1442"/>
      <c r="DQ34" s="1442"/>
      <c r="DR34" s="214">
        <f>IF(DP34=0,0,(DQ34-DP34)/DP34*100)</f>
        <v>0</v>
      </c>
      <c r="DS34" s="1442"/>
      <c r="DT34" s="1442"/>
      <c r="DU34" s="214">
        <f>IF(DS34=0,0,(DT34-DS34)/DS34*100)</f>
        <v>0</v>
      </c>
      <c r="DV34" s="1442"/>
      <c r="DW34" s="1442"/>
      <c r="DX34" s="214">
        <f>IF(DV34=0,0,(DW34-DV34)/DV34*100)</f>
        <v>0</v>
      </c>
      <c r="DY34" s="1442"/>
      <c r="DZ34" s="1442"/>
      <c r="EA34" s="214">
        <f>IF(DY34=0,0,(DZ34-DY34)/DY34*100)</f>
        <v>0</v>
      </c>
      <c r="EB34" s="1442"/>
      <c r="EC34" s="1442"/>
      <c r="ED34" s="214">
        <f>IF(EB34=0,0,(EC34-EB34)/EB34*100)</f>
        <v>0</v>
      </c>
      <c r="EE34" s="1442"/>
      <c r="EF34" s="1442"/>
      <c r="EG34" s="214">
        <f>IF(EE34=0,0,(EF34-EE34)/EE34*100)</f>
        <v>0</v>
      </c>
      <c r="EH34" s="1442"/>
      <c r="EI34" s="1442"/>
      <c r="EJ34" s="214">
        <f>IF(EH34=0,0,(EI34-EH34)/EH34*100)</f>
        <v>0</v>
      </c>
      <c r="EK34" s="1442"/>
      <c r="EL34" s="1442"/>
      <c r="EM34" s="214">
        <f>IF(EK34=0,0,(EL34-EK34)/EK34*100)</f>
        <v>0</v>
      </c>
      <c r="EN34" s="1442"/>
      <c r="EO34" s="1442"/>
      <c r="EP34" s="214">
        <f>IF(EN34=0,0,(EO34-EN34)/EN34*100)</f>
        <v>0</v>
      </c>
      <c r="EQ34" s="1442"/>
      <c r="ER34" s="1442"/>
      <c r="ES34" s="214">
        <f>IF(EQ34=0,0,(ER34-EQ34)/EQ34*100)</f>
        <v>0</v>
      </c>
      <c r="ET34" s="1442"/>
      <c r="EU34" s="1442"/>
      <c r="EV34" s="214">
        <f>IF(ET34=0,0,(EU34-ET34)/ET34*100)</f>
        <v>0</v>
      </c>
      <c r="EW34" s="1442"/>
      <c r="EX34" s="1442"/>
      <c r="EY34" s="214">
        <f>IF(EW34=0,0,(EX34-EW34)/EW34*100)</f>
        <v>0</v>
      </c>
      <c r="EZ34" s="1442"/>
      <c r="FA34" s="1442"/>
      <c r="FB34" s="214">
        <f>IF(EZ34=0,0,(FA34-EZ34)/EZ34*100)</f>
        <v>0</v>
      </c>
      <c r="FC34" s="1442"/>
      <c r="FD34" s="1442"/>
      <c r="FE34" s="214">
        <f>IF(FC34=0,0,(FD34-FC34)/FC34*100)</f>
        <v>0</v>
      </c>
      <c r="FF34" s="1442"/>
      <c r="FG34" s="1442"/>
      <c r="FH34" s="214">
        <f>IF(FF34=0,0,(FG34-FF34)/FF34*100)</f>
        <v>0</v>
      </c>
      <c r="FI34" s="1442"/>
      <c r="FJ34" s="1442"/>
      <c r="FK34" s="214">
        <f>IF(FI34=0,0,(FJ34-FI34)/FI34*100)</f>
        <v>0</v>
      </c>
      <c r="FL34" s="1442"/>
      <c r="FM34" s="1442"/>
      <c r="FN34" s="214">
        <f>IF(FL34=0,0,(FM34-FL34)/FL34*100)</f>
        <v>0</v>
      </c>
      <c r="FO34" s="1442"/>
      <c r="FP34" s="1442"/>
      <c r="FQ34" s="214">
        <f>IF(FO34=0,0,(FP34-FO34)/FO34*100)</f>
        <v>0</v>
      </c>
      <c r="FR34" s="1442"/>
      <c r="FS34" s="1442"/>
      <c r="FT34" s="214">
        <f>IF(FR34=0,0,(FS34-FR34)/FR34*100)</f>
        <v>0</v>
      </c>
      <c r="FU34" s="1442"/>
      <c r="FV34" s="1442"/>
      <c r="FW34" s="214">
        <f>IF(FU34=0,0,(FV34-FU34)/FU34*100)</f>
        <v>0</v>
      </c>
      <c r="FZ34" s="964" t="s">
        <v>1589</v>
      </c>
      <c r="GA34" s="964"/>
      <c r="GB34" s="964"/>
      <c r="GC34" s="965"/>
      <c r="GD34" s="965"/>
    </row>
    <row r="35" spans="1:186" s="210" customFormat="1" ht="23.85" hidden="1" customHeight="1" x14ac:dyDescent="0.15">
      <c r="A35" s="813"/>
      <c r="B35" s="837" t="b" cm="1">
        <f t="array" ref="B35">B34</f>
        <v>0</v>
      </c>
      <c r="C35" s="813"/>
      <c r="D35" s="813"/>
      <c r="E35" s="814">
        <v>24.5</v>
      </c>
      <c r="F35" s="3" cm="1">
        <f t="array" aca="1" ref="F35" ca="1">OFFSET(E35,-1,1)</f>
        <v>0</v>
      </c>
      <c r="G35" s="416" t="s">
        <v>1590</v>
      </c>
      <c r="H35" s="416" t="s">
        <v>494</v>
      </c>
      <c r="I35" s="416" t="s">
        <v>1591</v>
      </c>
      <c r="J35" s="813"/>
      <c r="K35" s="813"/>
      <c r="L35" s="416"/>
      <c r="M35" s="813"/>
      <c r="N35" s="813"/>
      <c r="O35" s="813"/>
      <c r="P35" s="813"/>
      <c r="Q35" s="813"/>
      <c r="R35" s="813"/>
      <c r="S35" s="416"/>
      <c r="T35" s="388" t="b" cm="1">
        <f t="array" ref="T35">T34</f>
        <v>0</v>
      </c>
      <c r="U35" s="813"/>
      <c r="V35" s="813"/>
      <c r="W35" s="813"/>
      <c r="X35" s="2066"/>
      <c r="Y35" s="813"/>
      <c r="Z35" s="2011"/>
      <c r="AA35" s="813"/>
      <c r="AB35" s="211" t="s">
        <v>1592</v>
      </c>
      <c r="AC35" s="212" t="s">
        <v>1588</v>
      </c>
      <c r="AD35" s="1441">
        <f ca="1">IF(AND(method_reg="Метод индексации",god&lt;&gt;first_year),SUMIFS(INDEX('Калькуляция (МИ корр)'!$AJ$25:$BC$459,,MATCH(AD$8,'Калькуляция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(МИ)'!$AJ$25:$BC$459,,MATCH(AD$8,'Калькуляция (МИ)'!$AJ$8:$BC$8,0)),'Калькуляция (МИ)'!$F$25:$F$459,$F35,'Калькуляция (МИ)'!$G$25:$G$459,$G35))))</f>
        <v>0</v>
      </c>
      <c r="AE35" s="1441">
        <f ca="1">IF(AND(method_reg="Метод индексации",god&lt;&gt;first_year),SUMIFS(INDEX('Калькуляция (МИ корр)'!$AJ$25:$BC$459,,MATCH(AE$8,'Калькуляция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(МИ)'!$AJ$25:$BC$459,,MATCH(AE$8,'Калькуляция (МИ)'!$AJ$8:$BC$8,0)),'Калькуляция (МИ)'!$F$25:$F$459,$F35,'Калькуляция (МИ)'!$G$25:$G$459,$G35))))</f>
        <v>0</v>
      </c>
      <c r="AF35" s="214">
        <f ca="1">IF(AD35=0,0,(AE35-AD35)/AD35*100)</f>
        <v>0</v>
      </c>
      <c r="AG35" s="1441">
        <f ca="1">IF(AND(method_reg="Метод индексации",god&lt;&gt;first_year),SUMIFS(INDEX('Калькуляция (МИ корр)'!$AJ$25:$BC$459,,MATCH(AG$8,'Калькуляция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(МИ)'!$AJ$25:$BC$459,,MATCH(AG$8,'Калькуляция (МИ)'!$AJ$8:$BC$8,0)),'Калькуляция (МИ)'!$F$25:$F$459,$F35,'Калькуляция (МИ)'!$G$25:$G$459,$G35))))</f>
        <v>0</v>
      </c>
      <c r="AH35" s="1441">
        <f ca="1">IF(AND(method_reg="Метод индексации",god&lt;&gt;first_year),SUMIFS(INDEX('Калькуляция (МИ корр)'!$AJ$25:$BC$459,,MATCH(AH$8,'Калькуляция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(МИ)'!$AJ$25:$BC$459,,MATCH(AH$8,'Калькуляция (МИ)'!$AJ$8:$BC$8,0)),'Калькуляция (МИ)'!$F$25:$F$459,$F35,'Калькуляция (МИ)'!$G$25:$G$459,$G35))))</f>
        <v>0</v>
      </c>
      <c r="AI35" s="214">
        <f ca="1">IF(AG35=0,0,(AH35-AG35)/AG35*100)</f>
        <v>0</v>
      </c>
      <c r="AJ35" s="1441">
        <f ca="1">IF(AND(method_reg="Метод индексации",god&lt;&gt;first_year),SUMIFS(INDEX('Калькуляция (МИ корр)'!$AJ$25:$BC$459,,MATCH(AJ$8,'Калькуляция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(МИ)'!$AJ$25:$BC$459,,MATCH(AJ$8,'Калькуляция (МИ)'!$AJ$8:$BC$8,0)),'Калькуляция (МИ)'!$F$25:$F$459,$F35,'Калькуляция (МИ)'!$G$25:$G$459,$G35))))</f>
        <v>0</v>
      </c>
      <c r="AK35" s="1441">
        <f ca="1">IF(AND(method_reg="Метод индексации",god&lt;&gt;first_year),SUMIFS(INDEX('Калькуляция (МИ корр)'!$AJ$25:$BC$459,,MATCH(AK$8,'Калькуляция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(МИ)'!$AJ$25:$BC$459,,MATCH(AK$8,'Калькуляция (МИ)'!$AJ$8:$BC$8,0)),'Калькуляция (МИ)'!$F$25:$F$459,$F35,'Калькуляция (МИ)'!$G$25:$G$459,$G35))))</f>
        <v>0</v>
      </c>
      <c r="AL35" s="214">
        <f ca="1">IF(AJ35=0,0,(AK35-AJ35)/AJ35*100)</f>
        <v>0</v>
      </c>
      <c r="AM35" s="1441">
        <f ca="1">IF(AND(method_reg="Метод индексации",god&lt;&gt;first_year),SUMIFS(INDEX('Калькуляция (МИ корр)'!$AJ$25:$BC$459,,MATCH(AM$8,'Калькуляция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(МИ)'!$AJ$25:$BC$459,,MATCH(AM$8,'Калькуляция (МИ)'!$AJ$8:$BC$8,0)),'Калькуляция (МИ)'!$F$25:$F$459,$F35,'Калькуляция (МИ)'!$G$25:$G$459,$G35))))</f>
        <v>0</v>
      </c>
      <c r="AN35" s="1441">
        <f ca="1">IF(AND(method_reg="Метод индексации",god&lt;&gt;first_year),SUMIFS(INDEX('Калькуляция (МИ корр)'!$AJ$25:$BC$459,,MATCH(AN$8,'Калькуляция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(МИ)'!$AJ$25:$BC$459,,MATCH(AN$8,'Калькуляция (МИ)'!$AJ$8:$BC$8,0)),'Калькуляция (МИ)'!$F$25:$F$459,$F35,'Калькуляция (МИ)'!$G$25:$G$459,$G35))))</f>
        <v>0</v>
      </c>
      <c r="AO35" s="214">
        <f ca="1">IF(AM35=0,0,(AN35-AM35)/AM35*100)</f>
        <v>0</v>
      </c>
      <c r="AP35" s="1441">
        <f ca="1">IF(AND(method_reg="Метод индексации",god&lt;&gt;first_year),SUMIFS(INDEX('Калькуляция (МИ корр)'!$AJ$25:$BC$459,,MATCH(AP$8,'Калькуляция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(МИ)'!$AJ$25:$BC$459,,MATCH(AP$8,'Калькуляция (МИ)'!$AJ$8:$BC$8,0)),'Калькуляция (МИ)'!$F$25:$F$459,$F35,'Калькуляция (МИ)'!$G$25:$G$459,$G35))))</f>
        <v>0</v>
      </c>
      <c r="AQ35" s="1441">
        <f ca="1">IF(AND(method_reg="Метод индексации",god&lt;&gt;first_year),SUMIFS(INDEX('Калькуляция (МИ корр)'!$AJ$25:$BC$459,,MATCH(AQ$8,'Калькуляция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(МИ)'!$AJ$25:$BC$459,,MATCH(AQ$8,'Калькуляция (МИ)'!$AJ$8:$BC$8,0)),'Калькуляция (МИ)'!$F$25:$F$459,$F35,'Калькуляция (МИ)'!$G$25:$G$459,$G35))))</f>
        <v>0</v>
      </c>
      <c r="AR35" s="214">
        <f ca="1">IF(AP35=0,0,(AQ35-AP35)/AP35*100)</f>
        <v>0</v>
      </c>
      <c r="AS35" s="1441">
        <f ca="1">IF(AND(method_reg="Метод индексации",god&lt;&gt;first_year),SUMIFS(INDEX('Калькуляция (МИ корр)'!$AJ$25:$BC$459,,MATCH(AS$8,'Калькуляция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(МИ)'!$AJ$25:$BC$459,,MATCH(AS$8,'Калькуляция (МИ)'!$AJ$8:$BC$8,0)),'Калькуляция (МИ)'!$F$25:$F$459,$F35,'Калькуляция (МИ)'!$G$25:$G$459,$G35))))</f>
        <v>0</v>
      </c>
      <c r="AT35" s="1441">
        <f ca="1">IF(AND(method_reg="Метод индексации",god&lt;&gt;first_year),SUMIFS(INDEX('Калькуляция (МИ корр)'!$AJ$25:$BC$459,,MATCH(AT$8,'Калькуляция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(МИ)'!$AJ$25:$BC$459,,MATCH(AT$8,'Калькуляция (МИ)'!$AJ$8:$BC$8,0)),'Калькуляция (МИ)'!$F$25:$F$459,$F35,'Калькуляция (МИ)'!$G$25:$G$459,$G35))))</f>
        <v>0</v>
      </c>
      <c r="AU35" s="214">
        <f ca="1">IF(AS35=0,0,(AT35-AS35)/AS35*100)</f>
        <v>0</v>
      </c>
      <c r="AV35" s="1441">
        <f ca="1">IF(AND(method_reg="Метод индексации",god&lt;&gt;first_year),SUMIFS(INDEX('Калькуляция (МИ корр)'!$AJ$25:$BC$459,,MATCH(AV$8,'Калькуляция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(МИ)'!$AJ$25:$BC$459,,MATCH(AV$8,'Калькуляция (МИ)'!$AJ$8:$BC$8,0)),'Калькуляция (МИ)'!$F$25:$F$459,$F35,'Калькуляция (МИ)'!$G$25:$G$459,$G35))))</f>
        <v>0</v>
      </c>
      <c r="AW35" s="1441">
        <f ca="1">IF(AND(method_reg="Метод индексации",god&lt;&gt;first_year),SUMIFS(INDEX('Калькуляция (МИ корр)'!$AJ$25:$BC$459,,MATCH(AW$8,'Калькуляция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(МИ)'!$AJ$25:$BC$459,,MATCH(AW$8,'Калькуляция (МИ)'!$AJ$8:$BC$8,0)),'Калькуляция (МИ)'!$F$25:$F$459,$F35,'Калькуляция (МИ)'!$G$25:$G$459,$G35))))</f>
        <v>0</v>
      </c>
      <c r="AX35" s="214">
        <f ca="1">IF(AV35=0,0,(AW35-AV35)/AV35*100)</f>
        <v>0</v>
      </c>
      <c r="AY35" s="1441">
        <f ca="1">IF(AND(method_reg="Метод индексации",god&lt;&gt;first_year),SUMIFS(INDEX('Калькуляция (МИ корр)'!$AJ$25:$BC$459,,MATCH(AY$8,'Калькуляция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(МИ)'!$AJ$25:$BC$459,,MATCH(AY$8,'Калькуляция (МИ)'!$AJ$8:$BC$8,0)),'Калькуляция (МИ)'!$F$25:$F$459,$F35,'Калькуляция (МИ)'!$G$25:$G$459,$G35))))</f>
        <v>0</v>
      </c>
      <c r="AZ35" s="1441">
        <f ca="1">IF(AND(method_reg="Метод индексации",god&lt;&gt;first_year),SUMIFS(INDEX('Калькуляция (МИ корр)'!$AJ$25:$BC$459,,MATCH(AZ$8,'Калькуляция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(МИ)'!$AJ$25:$BC$459,,MATCH(AZ$8,'Калькуляция (МИ)'!$AJ$8:$BC$8,0)),'Калькуляция (МИ)'!$F$25:$F$459,$F35,'Калькуляция (МИ)'!$G$25:$G$459,$G35))))</f>
        <v>0</v>
      </c>
      <c r="BA35" s="214">
        <f ca="1">IF(AY35=0,0,(AZ35-AY35)/AY35*100)</f>
        <v>0</v>
      </c>
      <c r="BB35" s="1441">
        <f ca="1">IF(AND(method_reg="Метод индексации",god&lt;&gt;first_year),SUMIFS(INDEX('Калькуляция (МИ корр)'!$AJ$25:$BC$459,,MATCH(BB$8,'Калькуляция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(МИ)'!$AJ$25:$BC$459,,MATCH(BB$8,'Калькуляция (МИ)'!$AJ$8:$BC$8,0)),'Калькуляция (МИ)'!$F$25:$F$459,$F35,'Калькуляция (МИ)'!$G$25:$G$459,$G35))))</f>
        <v>0</v>
      </c>
      <c r="BC35" s="1441">
        <f ca="1">IF(AND(method_reg="Метод индексации",god&lt;&gt;first_year),SUMIFS(INDEX('Калькуляция (МИ корр)'!$AJ$25:$BC$459,,MATCH(BC$8,'Калькуляция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(МИ)'!$AJ$25:$BC$459,,MATCH(BC$8,'Калькуляция (МИ)'!$AJ$8:$BC$8,0)),'Калькуляция (МИ)'!$F$25:$F$459,$F35,'Калькуляция (МИ)'!$G$25:$G$459,$G35))))</f>
        <v>0</v>
      </c>
      <c r="BD35" s="214">
        <f ca="1">IF(BB35=0,0,(BC35-BB35)/BB35*100)</f>
        <v>0</v>
      </c>
      <c r="BE35" s="1441">
        <f ca="1">IF(AND(method_reg="Метод индексации",god&lt;&gt;first_year),SUMIFS(INDEX('Калькуляция (МИ корр)'!$AJ$25:$BC$459,,MATCH(BE$8,'Калькуляция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(МИ)'!$AJ$25:$BC$459,,MATCH(BE$8,'Калькуляция (МИ)'!$AJ$8:$BC$8,0)),'Калькуляция (МИ)'!$F$25:$F$459,$F35,'Калькуляция (МИ)'!$G$25:$G$459,$G35))))</f>
        <v>0</v>
      </c>
      <c r="BF35" s="1441">
        <f ca="1">IF(AND(method_reg="Метод индексации",god&lt;&gt;first_year),SUMIFS(INDEX('Калькуляция (МИ корр)'!$AJ$25:$BC$459,,MATCH(BF$8,'Калькуляция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(МИ)'!$AJ$25:$BC$459,,MATCH(BF$8,'Калькуляция (МИ)'!$AJ$8:$BC$8,0)),'Калькуляция (МИ)'!$F$25:$F$459,$F35,'Калькуляция (МИ)'!$G$25:$G$459,$G35))))</f>
        <v>0</v>
      </c>
      <c r="BG35" s="214">
        <f ca="1">IF(BE35=0,0,(BF35-BE35)/BE35*100)</f>
        <v>0</v>
      </c>
      <c r="BH35" s="1441"/>
      <c r="BI35" s="1441"/>
      <c r="BJ35" s="214">
        <f>IF(BH35=0,0,(BI35-BH35)/BH35*100)</f>
        <v>0</v>
      </c>
      <c r="BK35" s="1441"/>
      <c r="BL35" s="1441"/>
      <c r="BM35" s="214">
        <f>IF(BK35=0,0,(BL35-BK35)/BK35*100)</f>
        <v>0</v>
      </c>
      <c r="BN35" s="1441"/>
      <c r="BO35" s="1441"/>
      <c r="BP35" s="214">
        <f>IF(BN35=0,0,(BO35-BN35)/BN35*100)</f>
        <v>0</v>
      </c>
      <c r="BQ35" s="1441"/>
      <c r="BR35" s="1441"/>
      <c r="BS35" s="214">
        <f>IF(BQ35=0,0,(BR35-BQ35)/BQ35*100)</f>
        <v>0</v>
      </c>
      <c r="BT35" s="1441"/>
      <c r="BU35" s="1441"/>
      <c r="BV35" s="214">
        <f>IF(BT35=0,0,(BU35-BT35)/BT35*100)</f>
        <v>0</v>
      </c>
      <c r="BW35" s="1441"/>
      <c r="BX35" s="1441"/>
      <c r="BY35" s="214">
        <f>IF(BW35=0,0,(BX35-BW35)/BW35*100)</f>
        <v>0</v>
      </c>
      <c r="BZ35" s="1441"/>
      <c r="CA35" s="1441"/>
      <c r="CB35" s="214">
        <f>IF(BZ35=0,0,(CA35-BZ35)/BZ35*100)</f>
        <v>0</v>
      </c>
      <c r="CC35" s="1441"/>
      <c r="CD35" s="1441"/>
      <c r="CE35" s="214">
        <f>IF(CC35=0,0,(CD35-CC35)/CC35*100)</f>
        <v>0</v>
      </c>
      <c r="CF35" s="1441"/>
      <c r="CG35" s="1441"/>
      <c r="CH35" s="214">
        <f>IF(CF35=0,0,(CG35-CF35)/CF35*100)</f>
        <v>0</v>
      </c>
      <c r="CI35" s="1441"/>
      <c r="CJ35" s="1441"/>
      <c r="CK35" s="214">
        <f>IF(CI35=0,0,(CJ35-CI35)/CI35*100)</f>
        <v>0</v>
      </c>
      <c r="CL35" s="1441"/>
      <c r="CM35" s="1441"/>
      <c r="CN35" s="214">
        <f>IF(CL35=0,0,(CM35-CL35)/CL35*100)</f>
        <v>0</v>
      </c>
      <c r="CO35" s="1441"/>
      <c r="CP35" s="1441"/>
      <c r="CQ35" s="214">
        <f>IF(CO35=0,0,(CP35-CO35)/CO35*100)</f>
        <v>0</v>
      </c>
      <c r="CR35" s="1441"/>
      <c r="CS35" s="1441"/>
      <c r="CT35" s="214">
        <f>IF(CR35=0,0,(CS35-CR35)/CR35*100)</f>
        <v>0</v>
      </c>
      <c r="CU35" s="1441"/>
      <c r="CV35" s="1441"/>
      <c r="CW35" s="214">
        <f>IF(CU35=0,0,(CV35-CU35)/CU35*100)</f>
        <v>0</v>
      </c>
      <c r="CX35" s="1441"/>
      <c r="CY35" s="1441"/>
      <c r="CZ35" s="214">
        <f>IF(CX35=0,0,(CY35-CX35)/CX35*100)</f>
        <v>0</v>
      </c>
      <c r="DA35" s="1441"/>
      <c r="DB35" s="1441"/>
      <c r="DC35" s="214">
        <f>IF(DA35=0,0,(DB35-DA35)/DA35*100)</f>
        <v>0</v>
      </c>
      <c r="DD35" s="1441"/>
      <c r="DE35" s="1441"/>
      <c r="DF35" s="214">
        <f>IF(DD35=0,0,(DE35-DD35)/DD35*100)</f>
        <v>0</v>
      </c>
      <c r="DG35" s="1442"/>
      <c r="DH35" s="1442"/>
      <c r="DI35" s="214">
        <f>IF(DG35=0,0,(DH35-DG35)/DG35*100)</f>
        <v>0</v>
      </c>
      <c r="DJ35" s="1442"/>
      <c r="DK35" s="1442"/>
      <c r="DL35" s="214">
        <f>IF(DJ35=0,0,(DK35-DJ35)/DJ35*100)</f>
        <v>0</v>
      </c>
      <c r="DM35" s="1442"/>
      <c r="DN35" s="1442"/>
      <c r="DO35" s="214">
        <f>IF(DM35=0,0,(DN35-DM35)/DM35*100)</f>
        <v>0</v>
      </c>
      <c r="DP35" s="1442"/>
      <c r="DQ35" s="1442"/>
      <c r="DR35" s="214">
        <f>IF(DP35=0,0,(DQ35-DP35)/DP35*100)</f>
        <v>0</v>
      </c>
      <c r="DS35" s="1442"/>
      <c r="DT35" s="1442"/>
      <c r="DU35" s="214">
        <f>IF(DS35=0,0,(DT35-DS35)/DS35*100)</f>
        <v>0</v>
      </c>
      <c r="DV35" s="1442"/>
      <c r="DW35" s="1442"/>
      <c r="DX35" s="214">
        <f>IF(DV35=0,0,(DW35-DV35)/DV35*100)</f>
        <v>0</v>
      </c>
      <c r="DY35" s="1442"/>
      <c r="DZ35" s="1442"/>
      <c r="EA35" s="214">
        <f>IF(DY35=0,0,(DZ35-DY35)/DY35*100)</f>
        <v>0</v>
      </c>
      <c r="EB35" s="1442"/>
      <c r="EC35" s="1442"/>
      <c r="ED35" s="214">
        <f>IF(EB35=0,0,(EC35-EB35)/EB35*100)</f>
        <v>0</v>
      </c>
      <c r="EE35" s="1442"/>
      <c r="EF35" s="1442"/>
      <c r="EG35" s="214">
        <f>IF(EE35=0,0,(EF35-EE35)/EE35*100)</f>
        <v>0</v>
      </c>
      <c r="EH35" s="1442"/>
      <c r="EI35" s="1442"/>
      <c r="EJ35" s="214">
        <f>IF(EH35=0,0,(EI35-EH35)/EH35*100)</f>
        <v>0</v>
      </c>
      <c r="EK35" s="1442"/>
      <c r="EL35" s="1442"/>
      <c r="EM35" s="214">
        <f>IF(EK35=0,0,(EL35-EK35)/EK35*100)</f>
        <v>0</v>
      </c>
      <c r="EN35" s="1442"/>
      <c r="EO35" s="1442"/>
      <c r="EP35" s="214">
        <f>IF(EN35=0,0,(EO35-EN35)/EN35*100)</f>
        <v>0</v>
      </c>
      <c r="EQ35" s="1442"/>
      <c r="ER35" s="1442"/>
      <c r="ES35" s="214">
        <f>IF(EQ35=0,0,(ER35-EQ35)/EQ35*100)</f>
        <v>0</v>
      </c>
      <c r="ET35" s="1442"/>
      <c r="EU35" s="1442"/>
      <c r="EV35" s="214">
        <f>IF(ET35=0,0,(EU35-ET35)/ET35*100)</f>
        <v>0</v>
      </c>
      <c r="EW35" s="1442"/>
      <c r="EX35" s="1442"/>
      <c r="EY35" s="214">
        <f>IF(EW35=0,0,(EX35-EW35)/EW35*100)</f>
        <v>0</v>
      </c>
      <c r="EZ35" s="1442"/>
      <c r="FA35" s="1442"/>
      <c r="FB35" s="214">
        <f>IF(EZ35=0,0,(FA35-EZ35)/EZ35*100)</f>
        <v>0</v>
      </c>
      <c r="FC35" s="1442"/>
      <c r="FD35" s="1442"/>
      <c r="FE35" s="214">
        <f>IF(FC35=0,0,(FD35-FC35)/FC35*100)</f>
        <v>0</v>
      </c>
      <c r="FF35" s="1442"/>
      <c r="FG35" s="1442"/>
      <c r="FH35" s="214">
        <f>IF(FF35=0,0,(FG35-FF35)/FF35*100)</f>
        <v>0</v>
      </c>
      <c r="FI35" s="1442"/>
      <c r="FJ35" s="1442"/>
      <c r="FK35" s="214">
        <f>IF(FI35=0,0,(FJ35-FI35)/FI35*100)</f>
        <v>0</v>
      </c>
      <c r="FL35" s="1442"/>
      <c r="FM35" s="1442"/>
      <c r="FN35" s="214">
        <f>IF(FL35=0,0,(FM35-FL35)/FL35*100)</f>
        <v>0</v>
      </c>
      <c r="FO35" s="1442"/>
      <c r="FP35" s="1442"/>
      <c r="FQ35" s="214">
        <f>IF(FO35=0,0,(FP35-FO35)/FO35*100)</f>
        <v>0</v>
      </c>
      <c r="FR35" s="1442"/>
      <c r="FS35" s="1442"/>
      <c r="FT35" s="214">
        <f>IF(FR35=0,0,(FS35-FR35)/FR35*100)</f>
        <v>0</v>
      </c>
      <c r="FU35" s="1442"/>
      <c r="FV35" s="1442"/>
      <c r="FW35" s="214">
        <f>IF(FU35=0,0,(FV35-FU35)/FU35*100)</f>
        <v>0</v>
      </c>
      <c r="FZ35" s="964" t="s">
        <v>1593</v>
      </c>
      <c r="GA35" s="964"/>
      <c r="GB35" s="964"/>
      <c r="GC35" s="965"/>
      <c r="GD35" s="965"/>
    </row>
    <row r="36" spans="1:186" ht="14.65" hidden="1" customHeight="1" x14ac:dyDescent="0.15">
      <c r="A36" s="416"/>
      <c r="B36" s="837" t="b" cm="1">
        <f t="array" ref="B36">B35</f>
        <v>0</v>
      </c>
      <c r="C36" s="416"/>
      <c r="D36" s="416"/>
      <c r="E36" s="759">
        <v>15</v>
      </c>
      <c r="F36" s="3" cm="1">
        <f t="array" aca="1" ref="F36" ca="1">OFFSET(E36,-1,1)</f>
        <v>0</v>
      </c>
      <c r="G36" s="416"/>
      <c r="H36" s="416" t="s">
        <v>498</v>
      </c>
      <c r="I36" s="416" t="s">
        <v>1594</v>
      </c>
      <c r="J36" s="416"/>
      <c r="K36" s="416"/>
      <c r="L36" s="416"/>
      <c r="M36" s="416"/>
      <c r="N36" s="416"/>
      <c r="O36" s="416"/>
      <c r="P36" s="416"/>
      <c r="Q36" s="416"/>
      <c r="R36" s="416"/>
      <c r="S36" s="416"/>
      <c r="T36" s="388" t="b" cm="1">
        <f t="array" ref="T36">T35</f>
        <v>0</v>
      </c>
      <c r="U36" s="416"/>
      <c r="V36" s="416"/>
      <c r="W36" s="416"/>
      <c r="X36" s="2066"/>
      <c r="Y36" s="416"/>
      <c r="Z36" s="2011"/>
      <c r="AA36" s="416"/>
      <c r="AB36" s="999" t="s">
        <v>1595</v>
      </c>
      <c r="AC36" s="783" t="s">
        <v>490</v>
      </c>
      <c r="AD36" s="1002">
        <f ca="1">IF(AD34=0,0,AD35/AD34)*100</f>
        <v>0</v>
      </c>
      <c r="AE36" s="1002">
        <f ca="1">IF(AE34=0,0,AE35/AE34)*100</f>
        <v>0</v>
      </c>
      <c r="AF36" s="1003"/>
      <c r="AG36" s="1002">
        <f ca="1">IF(AG34=0,0,AG35/AG34)*100</f>
        <v>0</v>
      </c>
      <c r="AH36" s="1002">
        <f ca="1">IF(AH34=0,0,AH35/AH34)*100</f>
        <v>0</v>
      </c>
      <c r="AI36" s="1003"/>
      <c r="AJ36" s="1002">
        <f ca="1">IF(AJ34=0,0,AJ35/AJ34)*100</f>
        <v>0</v>
      </c>
      <c r="AK36" s="1002">
        <f ca="1">IF(AK34=0,0,AK35/AK34)*100</f>
        <v>0</v>
      </c>
      <c r="AL36" s="1003"/>
      <c r="AM36" s="1002">
        <f ca="1">IF(AM34=0,0,AM35/AM34)*100</f>
        <v>0</v>
      </c>
      <c r="AN36" s="1002">
        <f ca="1">IF(AN34=0,0,AN35/AN34)*100</f>
        <v>0</v>
      </c>
      <c r="AO36" s="1003"/>
      <c r="AP36" s="1002">
        <f ca="1">IF(AP34=0,0,AP35/AP34)*100</f>
        <v>0</v>
      </c>
      <c r="AQ36" s="1002">
        <f ca="1">IF(AQ34=0,0,AQ35/AQ34)*100</f>
        <v>0</v>
      </c>
      <c r="AR36" s="1003"/>
      <c r="AS36" s="1002">
        <f ca="1">IF(AS34=0,0,AS35/AS34)*100</f>
        <v>0</v>
      </c>
      <c r="AT36" s="1002">
        <f ca="1">IF(AT34=0,0,AT35/AT34)*100</f>
        <v>0</v>
      </c>
      <c r="AU36" s="1003"/>
      <c r="AV36" s="1002">
        <f ca="1">IF(AV34=0,0,AV35/AV34)*100</f>
        <v>0</v>
      </c>
      <c r="AW36" s="1002">
        <f ca="1">IF(AW34=0,0,AW35/AW34)*100</f>
        <v>0</v>
      </c>
      <c r="AX36" s="1003"/>
      <c r="AY36" s="1002">
        <f ca="1">IF(AY34=0,0,AY35/AY34)*100</f>
        <v>0</v>
      </c>
      <c r="AZ36" s="1002">
        <f ca="1">IF(AZ34=0,0,AZ35/AZ34)*100</f>
        <v>0</v>
      </c>
      <c r="BA36" s="1003"/>
      <c r="BB36" s="1002">
        <f ca="1">IF(BB34=0,0,BB35/BB34)*100</f>
        <v>0</v>
      </c>
      <c r="BC36" s="1002">
        <f ca="1">IF(BC34=0,0,BC35/BC34)*100</f>
        <v>0</v>
      </c>
      <c r="BD36" s="1003"/>
      <c r="BE36" s="1002">
        <f ca="1">IF(BE34=0,0,BE35/BE34)*100</f>
        <v>0</v>
      </c>
      <c r="BF36" s="1002">
        <f ca="1">IF(BF34=0,0,BF35/BF34)*100</f>
        <v>0</v>
      </c>
      <c r="BG36" s="1003"/>
      <c r="BH36" s="1002">
        <f>IF(BH34=0,0,BH35/BH34)*100</f>
        <v>0</v>
      </c>
      <c r="BI36" s="1002">
        <f>IF(BI34=0,0,BI35/BI34)*100</f>
        <v>0</v>
      </c>
      <c r="BJ36" s="1003"/>
      <c r="BK36" s="1002">
        <f>IF(BK34=0,0,BK35/BK34)*100</f>
        <v>0</v>
      </c>
      <c r="BL36" s="1002">
        <f>IF(BL34=0,0,BL35/BL34)*100</f>
        <v>0</v>
      </c>
      <c r="BM36" s="1003"/>
      <c r="BN36" s="1002">
        <f>IF(BN34=0,0,BN35/BN34)*100</f>
        <v>0</v>
      </c>
      <c r="BO36" s="1002">
        <f>IF(BO34=0,0,BO35/BO34)*100</f>
        <v>0</v>
      </c>
      <c r="BP36" s="1003"/>
      <c r="BQ36" s="1002">
        <f>IF(BQ34=0,0,BQ35/BQ34)*100</f>
        <v>0</v>
      </c>
      <c r="BR36" s="1002">
        <f>IF(BR34=0,0,BR35/BR34)*100</f>
        <v>0</v>
      </c>
      <c r="BS36" s="1003"/>
      <c r="BT36" s="1002">
        <f>IF(BT34=0,0,BT35/BT34)*100</f>
        <v>0</v>
      </c>
      <c r="BU36" s="1002">
        <f>IF(BU34=0,0,BU35/BU34)*100</f>
        <v>0</v>
      </c>
      <c r="BV36" s="1003"/>
      <c r="BW36" s="1002">
        <f>IF(BW34=0,0,BW35/BW34)*100</f>
        <v>0</v>
      </c>
      <c r="BX36" s="1002">
        <f>IF(BX34=0,0,BX35/BX34)*100</f>
        <v>0</v>
      </c>
      <c r="BY36" s="1003"/>
      <c r="BZ36" s="1002">
        <f>IF(BZ34=0,0,BZ35/BZ34)*100</f>
        <v>0</v>
      </c>
      <c r="CA36" s="1002">
        <f>IF(CA34=0,0,CA35/CA34)*100</f>
        <v>0</v>
      </c>
      <c r="CB36" s="1003"/>
      <c r="CC36" s="1002">
        <f>IF(CC34=0,0,CC35/CC34)*100</f>
        <v>0</v>
      </c>
      <c r="CD36" s="1002">
        <f>IF(CD34=0,0,CD35/CD34)*100</f>
        <v>0</v>
      </c>
      <c r="CE36" s="1003"/>
      <c r="CF36" s="1002">
        <f>IF(CF34=0,0,CF35/CF34)*100</f>
        <v>0</v>
      </c>
      <c r="CG36" s="1002">
        <f>IF(CG34=0,0,CG35/CG34)*100</f>
        <v>0</v>
      </c>
      <c r="CH36" s="1003"/>
      <c r="CI36" s="1002">
        <f>IF(CI34=0,0,CI35/CI34)*100</f>
        <v>0</v>
      </c>
      <c r="CJ36" s="1002">
        <f>IF(CJ34=0,0,CJ35/CJ34)*100</f>
        <v>0</v>
      </c>
      <c r="CK36" s="1003"/>
      <c r="CL36" s="1002">
        <f>IF(CL34=0,0,CL35/CL34)*100</f>
        <v>0</v>
      </c>
      <c r="CM36" s="1002">
        <f>IF(CM34=0,0,CM35/CM34)*100</f>
        <v>0</v>
      </c>
      <c r="CN36" s="1003"/>
      <c r="CO36" s="1002">
        <f>IF(CO34=0,0,CO35/CO34)*100</f>
        <v>0</v>
      </c>
      <c r="CP36" s="1002">
        <f>IF(CP34=0,0,CP35/CP34)*100</f>
        <v>0</v>
      </c>
      <c r="CQ36" s="1003"/>
      <c r="CR36" s="1002">
        <f>IF(CR34=0,0,CR35/CR34)*100</f>
        <v>0</v>
      </c>
      <c r="CS36" s="1002">
        <f>IF(CS34=0,0,CS35/CS34)*100</f>
        <v>0</v>
      </c>
      <c r="CT36" s="1003"/>
      <c r="CU36" s="1002">
        <f>IF(CU34=0,0,CU35/CU34)*100</f>
        <v>0</v>
      </c>
      <c r="CV36" s="1002">
        <f>IF(CV34=0,0,CV35/CV34)*100</f>
        <v>0</v>
      </c>
      <c r="CW36" s="1003"/>
      <c r="CX36" s="1002">
        <f>IF(CX34=0,0,CX35/CX34)*100</f>
        <v>0</v>
      </c>
      <c r="CY36" s="1002">
        <f>IF(CY34=0,0,CY35/CY34)*100</f>
        <v>0</v>
      </c>
      <c r="CZ36" s="1003"/>
      <c r="DA36" s="1002">
        <f>IF(DA34=0,0,DA35/DA34)*100</f>
        <v>0</v>
      </c>
      <c r="DB36" s="1002">
        <f>IF(DB34=0,0,DB35/DB34)*100</f>
        <v>0</v>
      </c>
      <c r="DC36" s="1003"/>
      <c r="DD36" s="1002">
        <f>IF(DD34=0,0,DD35/DD34)*100</f>
        <v>0</v>
      </c>
      <c r="DE36" s="1002">
        <f>IF(DE34=0,0,DE35/DE34)*100</f>
        <v>0</v>
      </c>
      <c r="DF36" s="1003"/>
      <c r="DG36" s="1002">
        <f>IF(DG34=0,0,DG35/DG34)*100</f>
        <v>0</v>
      </c>
      <c r="DH36" s="1002">
        <f>IF(DH34=0,0,DH35/DH34)*100</f>
        <v>0</v>
      </c>
      <c r="DI36" s="1003"/>
      <c r="DJ36" s="1002">
        <f>IF(DJ34=0,0,DJ35/DJ34)*100</f>
        <v>0</v>
      </c>
      <c r="DK36" s="1002">
        <f>IF(DK34=0,0,DK35/DK34)*100</f>
        <v>0</v>
      </c>
      <c r="DL36" s="1003"/>
      <c r="DM36" s="1002">
        <f>IF(DM34=0,0,DM35/DM34)*100</f>
        <v>0</v>
      </c>
      <c r="DN36" s="1002">
        <f>IF(DN34=0,0,DN35/DN34)*100</f>
        <v>0</v>
      </c>
      <c r="DO36" s="1003"/>
      <c r="DP36" s="1002">
        <f>IF(DP34=0,0,DP35/DP34)*100</f>
        <v>0</v>
      </c>
      <c r="DQ36" s="1002">
        <f>IF(DQ34=0,0,DQ35/DQ34)*100</f>
        <v>0</v>
      </c>
      <c r="DR36" s="1003"/>
      <c r="DS36" s="1002">
        <f>IF(DS34=0,0,DS35/DS34)*100</f>
        <v>0</v>
      </c>
      <c r="DT36" s="1002">
        <f>IF(DT34=0,0,DT35/DT34)*100</f>
        <v>0</v>
      </c>
      <c r="DU36" s="1003"/>
      <c r="DV36" s="1002">
        <f>IF(DV34=0,0,DV35/DV34)*100</f>
        <v>0</v>
      </c>
      <c r="DW36" s="1002">
        <f>IF(DW34=0,0,DW35/DW34)*100</f>
        <v>0</v>
      </c>
      <c r="DX36" s="1003"/>
      <c r="DY36" s="1002">
        <f>IF(DY34=0,0,DY35/DY34)*100</f>
        <v>0</v>
      </c>
      <c r="DZ36" s="1002">
        <f>IF(DZ34=0,0,DZ35/DZ34)*100</f>
        <v>0</v>
      </c>
      <c r="EA36" s="1003"/>
      <c r="EB36" s="1002">
        <f>IF(EB34=0,0,EB35/EB34)*100</f>
        <v>0</v>
      </c>
      <c r="EC36" s="1002">
        <f>IF(EC34=0,0,EC35/EC34)*100</f>
        <v>0</v>
      </c>
      <c r="ED36" s="1003"/>
      <c r="EE36" s="1002">
        <f>IF(EE34=0,0,EE35/EE34)*100</f>
        <v>0</v>
      </c>
      <c r="EF36" s="1002">
        <f>IF(EF34=0,0,EF35/EF34)*100</f>
        <v>0</v>
      </c>
      <c r="EG36" s="1003"/>
      <c r="EH36" s="1002">
        <f>IF(EH34=0,0,EH35/EH34)*100</f>
        <v>0</v>
      </c>
      <c r="EI36" s="1002">
        <f>IF(EI34=0,0,EI35/EI34)*100</f>
        <v>0</v>
      </c>
      <c r="EJ36" s="1003"/>
      <c r="EK36" s="1002">
        <f>IF(EK34=0,0,EK35/EK34)*100</f>
        <v>0</v>
      </c>
      <c r="EL36" s="1002">
        <f>IF(EL34=0,0,EL35/EL34)*100</f>
        <v>0</v>
      </c>
      <c r="EM36" s="1003"/>
      <c r="EN36" s="1002">
        <f>IF(EN34=0,0,EN35/EN34)*100</f>
        <v>0</v>
      </c>
      <c r="EO36" s="1002">
        <f>IF(EO34=0,0,EO35/EO34)*100</f>
        <v>0</v>
      </c>
      <c r="EP36" s="1003"/>
      <c r="EQ36" s="1002">
        <f>IF(EQ34=0,0,EQ35/EQ34)*100</f>
        <v>0</v>
      </c>
      <c r="ER36" s="1002">
        <f>IF(ER34=0,0,ER35/ER34)*100</f>
        <v>0</v>
      </c>
      <c r="ES36" s="1003"/>
      <c r="ET36" s="1002">
        <f>IF(ET34=0,0,ET35/ET34)*100</f>
        <v>0</v>
      </c>
      <c r="EU36" s="1002">
        <f>IF(EU34=0,0,EU35/EU34)*100</f>
        <v>0</v>
      </c>
      <c r="EV36" s="1003"/>
      <c r="EW36" s="1002">
        <f>IF(EW34=0,0,EW35/EW34)*100</f>
        <v>0</v>
      </c>
      <c r="EX36" s="1002">
        <f>IF(EX34=0,0,EX35/EX34)*100</f>
        <v>0</v>
      </c>
      <c r="EY36" s="1003"/>
      <c r="EZ36" s="1002">
        <f>IF(EZ34=0,0,EZ35/EZ34)*100</f>
        <v>0</v>
      </c>
      <c r="FA36" s="1002">
        <f>IF(FA34=0,0,FA35/FA34)*100</f>
        <v>0</v>
      </c>
      <c r="FB36" s="1003"/>
      <c r="FC36" s="1002">
        <f>IF(FC34=0,0,FC35/FC34)*100</f>
        <v>0</v>
      </c>
      <c r="FD36" s="1002">
        <f>IF(FD34=0,0,FD35/FD34)*100</f>
        <v>0</v>
      </c>
      <c r="FE36" s="1003"/>
      <c r="FF36" s="1002">
        <f>IF(FF34=0,0,FF35/FF34)*100</f>
        <v>0</v>
      </c>
      <c r="FG36" s="1002">
        <f>IF(FG34=0,0,FG35/FG34)*100</f>
        <v>0</v>
      </c>
      <c r="FH36" s="1003"/>
      <c r="FI36" s="1002">
        <f>IF(FI34=0,0,FI35/FI34)*100</f>
        <v>0</v>
      </c>
      <c r="FJ36" s="1002">
        <f>IF(FJ34=0,0,FJ35/FJ34)*100</f>
        <v>0</v>
      </c>
      <c r="FK36" s="1003"/>
      <c r="FL36" s="1002">
        <f>IF(FL34=0,0,FL35/FL34)*100</f>
        <v>0</v>
      </c>
      <c r="FM36" s="1002">
        <f>IF(FM34=0,0,FM35/FM34)*100</f>
        <v>0</v>
      </c>
      <c r="FN36" s="1003"/>
      <c r="FO36" s="1002">
        <f>IF(FO34=0,0,FO35/FO34)*100</f>
        <v>0</v>
      </c>
      <c r="FP36" s="1002">
        <f>IF(FP34=0,0,FP35/FP34)*100</f>
        <v>0</v>
      </c>
      <c r="FQ36" s="1003"/>
      <c r="FR36" s="1002">
        <f>IF(FR34=0,0,FR35/FR34)*100</f>
        <v>0</v>
      </c>
      <c r="FS36" s="1002">
        <f>IF(FS34=0,0,FS35/FS34)*100</f>
        <v>0</v>
      </c>
      <c r="FT36" s="1003"/>
      <c r="FU36" s="1002">
        <f>IF(FU34=0,0,FU35/FU34)*100</f>
        <v>0</v>
      </c>
      <c r="FV36" s="1002">
        <f>IF(FV34=0,0,FV35/FV34)*100</f>
        <v>0</v>
      </c>
      <c r="FW36" s="1003"/>
      <c r="FX36" s="210"/>
      <c r="FZ36" s="964" t="s">
        <v>1596</v>
      </c>
    </row>
    <row r="37" spans="1:186" ht="14.65" hidden="1" customHeight="1" x14ac:dyDescent="0.15">
      <c r="A37" s="416"/>
      <c r="B37" s="837" t="b" cm="1">
        <f t="array" ref="B37">B36</f>
        <v>0</v>
      </c>
      <c r="C37" s="416"/>
      <c r="D37" s="416"/>
      <c r="E37" s="759">
        <v>15</v>
      </c>
      <c r="F37" s="3" cm="1">
        <f t="array" aca="1" ref="F37" ca="1">OFFSET(E37,-1,1)</f>
        <v>0</v>
      </c>
      <c r="G37" s="26" t="s">
        <v>1597</v>
      </c>
      <c r="H37" s="416" t="s">
        <v>501</v>
      </c>
      <c r="I37" s="416" t="s">
        <v>1594</v>
      </c>
      <c r="J37" s="416"/>
      <c r="K37" s="416"/>
      <c r="L37" s="416"/>
      <c r="M37" s="416"/>
      <c r="N37" s="416"/>
      <c r="O37" s="416"/>
      <c r="P37" s="416"/>
      <c r="Q37" s="416"/>
      <c r="R37" s="416"/>
      <c r="S37" s="416"/>
      <c r="T37" s="388" t="b" cm="1">
        <f t="array" ref="T37">T36</f>
        <v>0</v>
      </c>
      <c r="U37" s="416"/>
      <c r="V37" s="416"/>
      <c r="W37" s="416"/>
      <c r="X37" s="2066"/>
      <c r="Y37" s="416"/>
      <c r="Z37" s="2011"/>
      <c r="AA37" s="416"/>
      <c r="AB37" s="999" t="s">
        <v>1598</v>
      </c>
      <c r="AC37" s="783" t="s">
        <v>563</v>
      </c>
      <c r="AD37" s="1443">
        <f ca="1">IF(AND(method_reg="Метод индексации",god&lt;&gt;first_year),SUMIFS(INDEX('Калькуляция (МИ корр)'!$AJ$25:$BC$459,,MATCH(AD$8,'Калькуляция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(МИ)'!$AJ$25:$BC$459,,MATCH(AD$8,'Калькуляция (МИ)'!$AJ$8:$BC$8,0)),'Калькуляция (МИ)'!$F$25:$F$459,$F37,'Калькуляция (МИ)'!$G$25:$G$459,$G37))))</f>
        <v>0</v>
      </c>
      <c r="AE37" s="1443">
        <f ca="1">IF(AND(method_reg="Метод индексации",god&lt;&gt;first_year),SUMIFS(INDEX('Калькуляция (МИ корр)'!$AJ$25:$BC$459,,MATCH(AE$8,'Калькуляция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(МИ)'!$AJ$25:$BC$459,,MATCH(AE$8,'Калькуляция (МИ)'!$AJ$8:$BC$8,0)),'Калькуляция (МИ)'!$F$25:$F$459,$F37,'Калькуляция (МИ)'!$G$25:$G$459,$G37))))</f>
        <v>0</v>
      </c>
      <c r="AF37" s="1005">
        <f ca="1">IF(AD37=0,0,(AE37-AD37)/AD37*100)</f>
        <v>0</v>
      </c>
      <c r="AG37" s="1443">
        <f ca="1">IF(AND(method_reg="Метод индексации",god&lt;&gt;first_year),SUMIFS(INDEX('Калькуляция (МИ корр)'!$AJ$25:$BC$459,,MATCH(AG$8,'Калькуляция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(МИ)'!$AJ$25:$BC$459,,MATCH(AG$8,'Калькуляция (МИ)'!$AJ$8:$BC$8,0)),'Калькуляция (МИ)'!$F$25:$F$459,$F37,'Калькуляция (МИ)'!$G$25:$G$459,$G37))))</f>
        <v>0</v>
      </c>
      <c r="AH37" s="1443">
        <f ca="1">IF(AND(method_reg="Метод индексации",god&lt;&gt;first_year),SUMIFS(INDEX('Калькуляция (МИ корр)'!$AJ$25:$BC$459,,MATCH(AH$8,'Калькуляция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(МИ)'!$AJ$25:$BC$459,,MATCH(AH$8,'Калькуляция (МИ)'!$AJ$8:$BC$8,0)),'Калькуляция (МИ)'!$F$25:$F$459,$F37,'Калькуляция (МИ)'!$G$25:$G$459,$G37))))</f>
        <v>0</v>
      </c>
      <c r="AI37" s="1005">
        <f ca="1">IF(AG37=0,0,(AH37-AG37)/AG37*100)</f>
        <v>0</v>
      </c>
      <c r="AJ37" s="1443">
        <f ca="1">IF(AND(method_reg="Метод индексации",god&lt;&gt;first_year),SUMIFS(INDEX('Калькуляция (МИ корр)'!$AJ$25:$BC$459,,MATCH(AJ$8,'Калькуляция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(МИ)'!$AJ$25:$BC$459,,MATCH(AJ$8,'Калькуляция (МИ)'!$AJ$8:$BC$8,0)),'Калькуляция (МИ)'!$F$25:$F$459,$F37,'Калькуляция (МИ)'!$G$25:$G$459,$G37))))</f>
        <v>0</v>
      </c>
      <c r="AK37" s="1443">
        <f ca="1">IF(AND(method_reg="Метод индексации",god&lt;&gt;first_year),SUMIFS(INDEX('Калькуляция (МИ корр)'!$AJ$25:$BC$459,,MATCH(AK$8,'Калькуляция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(МИ)'!$AJ$25:$BC$459,,MATCH(AK$8,'Калькуляция (МИ)'!$AJ$8:$BC$8,0)),'Калькуляция (МИ)'!$F$25:$F$459,$F37,'Калькуляция (МИ)'!$G$25:$G$459,$G37))))</f>
        <v>0</v>
      </c>
      <c r="AL37" s="1005">
        <f ca="1">IF(AJ37=0,0,(AK37-AJ37)/AJ37*100)</f>
        <v>0</v>
      </c>
      <c r="AM37" s="1443">
        <f ca="1">IF(AND(method_reg="Метод индексации",god&lt;&gt;first_year),SUMIFS(INDEX('Калькуляция (МИ корр)'!$AJ$25:$BC$459,,MATCH(AM$8,'Калькуляция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(МИ)'!$AJ$25:$BC$459,,MATCH(AM$8,'Калькуляция (МИ)'!$AJ$8:$BC$8,0)),'Калькуляция (МИ)'!$F$25:$F$459,$F37,'Калькуляция (МИ)'!$G$25:$G$459,$G37))))</f>
        <v>0</v>
      </c>
      <c r="AN37" s="1443">
        <f ca="1">IF(AND(method_reg="Метод индексации",god&lt;&gt;first_year),SUMIFS(INDEX('Калькуляция (МИ корр)'!$AJ$25:$BC$459,,MATCH(AN$8,'Калькуляция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(МИ)'!$AJ$25:$BC$459,,MATCH(AN$8,'Калькуляция (МИ)'!$AJ$8:$BC$8,0)),'Калькуляция (МИ)'!$F$25:$F$459,$F37,'Калькуляция (МИ)'!$G$25:$G$459,$G37))))</f>
        <v>0</v>
      </c>
      <c r="AO37" s="1005">
        <f ca="1">IF(AM37=0,0,(AN37-AM37)/AM37*100)</f>
        <v>0</v>
      </c>
      <c r="AP37" s="1443">
        <f ca="1">IF(AND(method_reg="Метод индексации",god&lt;&gt;first_year),SUMIFS(INDEX('Калькуляция (МИ корр)'!$AJ$25:$BC$459,,MATCH(AP$8,'Калькуляция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(МИ)'!$AJ$25:$BC$459,,MATCH(AP$8,'Калькуляция (МИ)'!$AJ$8:$BC$8,0)),'Калькуляция (МИ)'!$F$25:$F$459,$F37,'Калькуляция (МИ)'!$G$25:$G$459,$G37))))</f>
        <v>0</v>
      </c>
      <c r="AQ37" s="1443">
        <f ca="1">IF(AND(method_reg="Метод индексации",god&lt;&gt;first_year),SUMIFS(INDEX('Калькуляция (МИ корр)'!$AJ$25:$BC$459,,MATCH(AQ$8,'Калькуляция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(МИ)'!$AJ$25:$BC$459,,MATCH(AQ$8,'Калькуляция (МИ)'!$AJ$8:$BC$8,0)),'Калькуляция (МИ)'!$F$25:$F$459,$F37,'Калькуляция (МИ)'!$G$25:$G$459,$G37))))</f>
        <v>0</v>
      </c>
      <c r="AR37" s="1005">
        <f ca="1">IF(AP37=0,0,(AQ37-AP37)/AP37*100)</f>
        <v>0</v>
      </c>
      <c r="AS37" s="1443">
        <f ca="1">IF(AND(method_reg="Метод индексации",god&lt;&gt;first_year),SUMIFS(INDEX('Калькуляция (МИ корр)'!$AJ$25:$BC$459,,MATCH(AS$8,'Калькуляция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(МИ)'!$AJ$25:$BC$459,,MATCH(AS$8,'Калькуляция (МИ)'!$AJ$8:$BC$8,0)),'Калькуляция (МИ)'!$F$25:$F$459,$F37,'Калькуляция (МИ)'!$G$25:$G$459,$G37))))</f>
        <v>0</v>
      </c>
      <c r="AT37" s="1443">
        <f ca="1">IF(AND(method_reg="Метод индексации",god&lt;&gt;first_year),SUMIFS(INDEX('Калькуляция (МИ корр)'!$AJ$25:$BC$459,,MATCH(AT$8,'Калькуляция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(МИ)'!$AJ$25:$BC$459,,MATCH(AT$8,'Калькуляция (МИ)'!$AJ$8:$BC$8,0)),'Калькуляция (МИ)'!$F$25:$F$459,$F37,'Калькуляция (МИ)'!$G$25:$G$459,$G37))))</f>
        <v>0</v>
      </c>
      <c r="AU37" s="1005">
        <f ca="1">IF(AS37=0,0,(AT37-AS37)/AS37*100)</f>
        <v>0</v>
      </c>
      <c r="AV37" s="1443">
        <f ca="1">IF(AND(method_reg="Метод индексации",god&lt;&gt;first_year),SUMIFS(INDEX('Калькуляция (МИ корр)'!$AJ$25:$BC$459,,MATCH(AV$8,'Калькуляция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(МИ)'!$AJ$25:$BC$459,,MATCH(AV$8,'Калькуляция (МИ)'!$AJ$8:$BC$8,0)),'Калькуляция (МИ)'!$F$25:$F$459,$F37,'Калькуляция (МИ)'!$G$25:$G$459,$G37))))</f>
        <v>0</v>
      </c>
      <c r="AW37" s="1443">
        <f ca="1">IF(AND(method_reg="Метод индексации",god&lt;&gt;first_year),SUMIFS(INDEX('Калькуляция (МИ корр)'!$AJ$25:$BC$459,,MATCH(AW$8,'Калькуляция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(МИ)'!$AJ$25:$BC$459,,MATCH(AW$8,'Калькуляция (МИ)'!$AJ$8:$BC$8,0)),'Калькуляция (МИ)'!$F$25:$F$459,$F37,'Калькуляция (МИ)'!$G$25:$G$459,$G37))))</f>
        <v>0</v>
      </c>
      <c r="AX37" s="1005">
        <f ca="1">IF(AV37=0,0,(AW37-AV37)/AV37*100)</f>
        <v>0</v>
      </c>
      <c r="AY37" s="1443">
        <f ca="1">IF(AND(method_reg="Метод индексации",god&lt;&gt;first_year),SUMIFS(INDEX('Калькуляция (МИ корр)'!$AJ$25:$BC$459,,MATCH(AY$8,'Калькуляция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(МИ)'!$AJ$25:$BC$459,,MATCH(AY$8,'Калькуляция (МИ)'!$AJ$8:$BC$8,0)),'Калькуляция (МИ)'!$F$25:$F$459,$F37,'Калькуляция (МИ)'!$G$25:$G$459,$G37))))</f>
        <v>0</v>
      </c>
      <c r="AZ37" s="1443">
        <f ca="1">IF(AND(method_reg="Метод индексации",god&lt;&gt;first_year),SUMIFS(INDEX('Калькуляция (МИ корр)'!$AJ$25:$BC$459,,MATCH(AZ$8,'Калькуляция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(МИ)'!$AJ$25:$BC$459,,MATCH(AZ$8,'Калькуляция (МИ)'!$AJ$8:$BC$8,0)),'Калькуляция (МИ)'!$F$25:$F$459,$F37,'Калькуляция (МИ)'!$G$25:$G$459,$G37))))</f>
        <v>0</v>
      </c>
      <c r="BA37" s="1005">
        <f ca="1">IF(AY37=0,0,(AZ37-AY37)/AY37*100)</f>
        <v>0</v>
      </c>
      <c r="BB37" s="1443">
        <f ca="1">IF(AND(method_reg="Метод индексации",god&lt;&gt;first_year),SUMIFS(INDEX('Калькуляция (МИ корр)'!$AJ$25:$BC$459,,MATCH(BB$8,'Калькуляция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(МИ)'!$AJ$25:$BC$459,,MATCH(BB$8,'Калькуляция (МИ)'!$AJ$8:$BC$8,0)),'Калькуляция (МИ)'!$F$25:$F$459,$F37,'Калькуляция (МИ)'!$G$25:$G$459,$G37))))</f>
        <v>0</v>
      </c>
      <c r="BC37" s="1443">
        <f ca="1">IF(AND(method_reg="Метод индексации",god&lt;&gt;first_year),SUMIFS(INDEX('Калькуляция (МИ корр)'!$AJ$25:$BC$459,,MATCH(BC$8,'Калькуляция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(МИ)'!$AJ$25:$BC$459,,MATCH(BC$8,'Калькуляция (МИ)'!$AJ$8:$BC$8,0)),'Калькуляция (МИ)'!$F$25:$F$459,$F37,'Калькуляция (МИ)'!$G$25:$G$459,$G37))))</f>
        <v>0</v>
      </c>
      <c r="BD37" s="1005">
        <f ca="1">IF(BB37=0,0,(BC37-BB37)/BB37*100)</f>
        <v>0</v>
      </c>
      <c r="BE37" s="1443">
        <f ca="1">IF(AND(method_reg="Метод индексации",god&lt;&gt;first_year),SUMIFS(INDEX('Калькуляция (МИ корр)'!$AJ$25:$BC$459,,MATCH(BE$8,'Калькуляция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(МИ)'!$AJ$25:$BC$459,,MATCH(BE$8,'Калькуляция (МИ)'!$AJ$8:$BC$8,0)),'Калькуляция (МИ)'!$F$25:$F$459,$F37,'Калькуляция (МИ)'!$G$25:$G$459,$G37))))</f>
        <v>0</v>
      </c>
      <c r="BF37" s="1443">
        <f ca="1">IF(AND(method_reg="Метод индексации",god&lt;&gt;first_year),SUMIFS(INDEX('Калькуляция (МИ корр)'!$AJ$25:$BC$459,,MATCH(BF$8,'Калькуляция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(МИ)'!$AJ$25:$BC$459,,MATCH(BF$8,'Калькуляция (МИ)'!$AJ$8:$BC$8,0)),'Калькуляция (МИ)'!$F$25:$F$459,$F37,'Калькуляция (МИ)'!$G$25:$G$459,$G37))))</f>
        <v>0</v>
      </c>
      <c r="BG37" s="1005">
        <f ca="1">IF(BE37=0,0,(BF37-BE37)/BE37*100)</f>
        <v>0</v>
      </c>
      <c r="BH37" s="1443"/>
      <c r="BI37" s="1443"/>
      <c r="BJ37" s="1005">
        <f>IF(BH37=0,0,(BI37-BH37)/BH37*100)</f>
        <v>0</v>
      </c>
      <c r="BK37" s="1443"/>
      <c r="BL37" s="1443"/>
      <c r="BM37" s="1005">
        <f>IF(BK37=0,0,(BL37-BK37)/BK37*100)</f>
        <v>0</v>
      </c>
      <c r="BN37" s="1443"/>
      <c r="BO37" s="1443"/>
      <c r="BP37" s="1005">
        <f>IF(BN37=0,0,(BO37-BN37)/BN37*100)</f>
        <v>0</v>
      </c>
      <c r="BQ37" s="1443"/>
      <c r="BR37" s="1443"/>
      <c r="BS37" s="1005">
        <f>IF(BQ37=0,0,(BR37-BQ37)/BQ37*100)</f>
        <v>0</v>
      </c>
      <c r="BT37" s="1443"/>
      <c r="BU37" s="1443"/>
      <c r="BV37" s="1005">
        <f>IF(BT37=0,0,(BU37-BT37)/BT37*100)</f>
        <v>0</v>
      </c>
      <c r="BW37" s="1443"/>
      <c r="BX37" s="1443"/>
      <c r="BY37" s="1005">
        <f>IF(BW37=0,0,(BX37-BW37)/BW37*100)</f>
        <v>0</v>
      </c>
      <c r="BZ37" s="1443"/>
      <c r="CA37" s="1443"/>
      <c r="CB37" s="1005">
        <f>IF(BZ37=0,0,(CA37-BZ37)/BZ37*100)</f>
        <v>0</v>
      </c>
      <c r="CC37" s="1443"/>
      <c r="CD37" s="1443"/>
      <c r="CE37" s="1005">
        <f>IF(CC37=0,0,(CD37-CC37)/CC37*100)</f>
        <v>0</v>
      </c>
      <c r="CF37" s="1443"/>
      <c r="CG37" s="1443"/>
      <c r="CH37" s="1005">
        <f>IF(CF37=0,0,(CG37-CF37)/CF37*100)</f>
        <v>0</v>
      </c>
      <c r="CI37" s="1443"/>
      <c r="CJ37" s="1443"/>
      <c r="CK37" s="1005">
        <f>IF(CI37=0,0,(CJ37-CI37)/CI37*100)</f>
        <v>0</v>
      </c>
      <c r="CL37" s="1443"/>
      <c r="CM37" s="1443"/>
      <c r="CN37" s="1005">
        <f>IF(CL37=0,0,(CM37-CL37)/CL37*100)</f>
        <v>0</v>
      </c>
      <c r="CO37" s="1443"/>
      <c r="CP37" s="1443"/>
      <c r="CQ37" s="1005">
        <f>IF(CO37=0,0,(CP37-CO37)/CO37*100)</f>
        <v>0</v>
      </c>
      <c r="CR37" s="1443"/>
      <c r="CS37" s="1443"/>
      <c r="CT37" s="1005">
        <f>IF(CR37=0,0,(CS37-CR37)/CR37*100)</f>
        <v>0</v>
      </c>
      <c r="CU37" s="1443"/>
      <c r="CV37" s="1443"/>
      <c r="CW37" s="1005">
        <f>IF(CU37=0,0,(CV37-CU37)/CU37*100)</f>
        <v>0</v>
      </c>
      <c r="CX37" s="1443"/>
      <c r="CY37" s="1443"/>
      <c r="CZ37" s="1005">
        <f>IF(CX37=0,0,(CY37-CX37)/CX37*100)</f>
        <v>0</v>
      </c>
      <c r="DA37" s="1443"/>
      <c r="DB37" s="1443"/>
      <c r="DC37" s="1005">
        <f>IF(DA37=0,0,(DB37-DA37)/DA37*100)</f>
        <v>0</v>
      </c>
      <c r="DD37" s="1443"/>
      <c r="DE37" s="1443"/>
      <c r="DF37" s="1005">
        <f>IF(DD37=0,0,(DE37-DD37)/DD37*100)</f>
        <v>0</v>
      </c>
      <c r="DG37" s="1443"/>
      <c r="DH37" s="1443"/>
      <c r="DI37" s="1005">
        <f>IF(DG37=0,0,(DH37-DG37)/DG37*100)</f>
        <v>0</v>
      </c>
      <c r="DJ37" s="1443"/>
      <c r="DK37" s="1443"/>
      <c r="DL37" s="1005">
        <f>IF(DJ37=0,0,(DK37-DJ37)/DJ37*100)</f>
        <v>0</v>
      </c>
      <c r="DM37" s="1443"/>
      <c r="DN37" s="1443"/>
      <c r="DO37" s="1005">
        <f>IF(DM37=0,0,(DN37-DM37)/DM37*100)</f>
        <v>0</v>
      </c>
      <c r="DP37" s="1443"/>
      <c r="DQ37" s="1443"/>
      <c r="DR37" s="1005">
        <f>IF(DP37=0,0,(DQ37-DP37)/DP37*100)</f>
        <v>0</v>
      </c>
      <c r="DS37" s="1443"/>
      <c r="DT37" s="1443"/>
      <c r="DU37" s="1005">
        <f>IF(DS37=0,0,(DT37-DS37)/DS37*100)</f>
        <v>0</v>
      </c>
      <c r="DV37" s="1443"/>
      <c r="DW37" s="1443"/>
      <c r="DX37" s="1005">
        <f>IF(DV37=0,0,(DW37-DV37)/DV37*100)</f>
        <v>0</v>
      </c>
      <c r="DY37" s="1443"/>
      <c r="DZ37" s="1443"/>
      <c r="EA37" s="1005">
        <f>IF(DY37=0,0,(DZ37-DY37)/DY37*100)</f>
        <v>0</v>
      </c>
      <c r="EB37" s="1443"/>
      <c r="EC37" s="1443"/>
      <c r="ED37" s="1005">
        <f>IF(EB37=0,0,(EC37-EB37)/EB37*100)</f>
        <v>0</v>
      </c>
      <c r="EE37" s="1443"/>
      <c r="EF37" s="1443"/>
      <c r="EG37" s="1005">
        <f>IF(EE37=0,0,(EF37-EE37)/EE37*100)</f>
        <v>0</v>
      </c>
      <c r="EH37" s="1443"/>
      <c r="EI37" s="1443"/>
      <c r="EJ37" s="1005">
        <f>IF(EH37=0,0,(EI37-EH37)/EH37*100)</f>
        <v>0</v>
      </c>
      <c r="EK37" s="1443"/>
      <c r="EL37" s="1443"/>
      <c r="EM37" s="1005">
        <f>IF(EK37=0,0,(EL37-EK37)/EK37*100)</f>
        <v>0</v>
      </c>
      <c r="EN37" s="1443"/>
      <c r="EO37" s="1443"/>
      <c r="EP37" s="1005">
        <f>IF(EN37=0,0,(EO37-EN37)/EN37*100)</f>
        <v>0</v>
      </c>
      <c r="EQ37" s="1443"/>
      <c r="ER37" s="1443"/>
      <c r="ES37" s="1005">
        <f>IF(EQ37=0,0,(ER37-EQ37)/EQ37*100)</f>
        <v>0</v>
      </c>
      <c r="ET37" s="1443"/>
      <c r="EU37" s="1443"/>
      <c r="EV37" s="1005">
        <f>IF(ET37=0,0,(EU37-ET37)/ET37*100)</f>
        <v>0</v>
      </c>
      <c r="EW37" s="1443"/>
      <c r="EX37" s="1443"/>
      <c r="EY37" s="1005">
        <f>IF(EW37=0,0,(EX37-EW37)/EW37*100)</f>
        <v>0</v>
      </c>
      <c r="EZ37" s="1443"/>
      <c r="FA37" s="1443"/>
      <c r="FB37" s="1005">
        <f>IF(EZ37=0,0,(FA37-EZ37)/EZ37*100)</f>
        <v>0</v>
      </c>
      <c r="FC37" s="1443"/>
      <c r="FD37" s="1443"/>
      <c r="FE37" s="1005">
        <f>IF(FC37=0,0,(FD37-FC37)/FC37*100)</f>
        <v>0</v>
      </c>
      <c r="FF37" s="1443"/>
      <c r="FG37" s="1443"/>
      <c r="FH37" s="1005">
        <f>IF(FF37=0,0,(FG37-FF37)/FF37*100)</f>
        <v>0</v>
      </c>
      <c r="FI37" s="1443"/>
      <c r="FJ37" s="1443"/>
      <c r="FK37" s="1005">
        <f>IF(FI37=0,0,(FJ37-FI37)/FI37*100)</f>
        <v>0</v>
      </c>
      <c r="FL37" s="1443"/>
      <c r="FM37" s="1443"/>
      <c r="FN37" s="1005">
        <f>IF(FL37=0,0,(FM37-FL37)/FL37*100)</f>
        <v>0</v>
      </c>
      <c r="FO37" s="1443"/>
      <c r="FP37" s="1443"/>
      <c r="FQ37" s="1005">
        <f>IF(FO37=0,0,(FP37-FO37)/FO37*100)</f>
        <v>0</v>
      </c>
      <c r="FR37" s="1443"/>
      <c r="FS37" s="1443"/>
      <c r="FT37" s="1005">
        <f>IF(FR37=0,0,(FS37-FR37)/FR37*100)</f>
        <v>0</v>
      </c>
      <c r="FU37" s="1443"/>
      <c r="FV37" s="1443"/>
      <c r="FW37" s="1005">
        <f>IF(FU37=0,0,(FV37-FU37)/FU37*100)</f>
        <v>0</v>
      </c>
      <c r="FX37" s="210"/>
      <c r="FZ37" s="964" t="s">
        <v>1599</v>
      </c>
    </row>
    <row r="38" spans="1:186" s="210" customFormat="1" ht="23.85" hidden="1" customHeight="1" x14ac:dyDescent="0.15">
      <c r="A38" s="813"/>
      <c r="B38" s="837" t="b" cm="1">
        <f t="array" ref="B38">B37</f>
        <v>0</v>
      </c>
      <c r="C38" s="813"/>
      <c r="D38" s="813"/>
      <c r="E38" s="814">
        <v>24.5</v>
      </c>
      <c r="F38" s="3" cm="1">
        <f t="array" aca="1" ref="F38" ca="1">OFFSET(E38,-1,1)</f>
        <v>0</v>
      </c>
      <c r="G38" s="26" t="s">
        <v>1600</v>
      </c>
      <c r="H38" s="416" t="s">
        <v>494</v>
      </c>
      <c r="I38" s="416" t="s">
        <v>1601</v>
      </c>
      <c r="J38" s="813"/>
      <c r="K38" s="813"/>
      <c r="L38" s="416"/>
      <c r="M38" s="813"/>
      <c r="N38" s="813"/>
      <c r="O38" s="813"/>
      <c r="P38" s="813"/>
      <c r="Q38" s="813"/>
      <c r="R38" s="416"/>
      <c r="S38" s="416"/>
      <c r="T38" s="388" t="b" cm="1">
        <f t="array" ref="T38">T37</f>
        <v>0</v>
      </c>
      <c r="U38" s="813"/>
      <c r="V38" s="813"/>
      <c r="W38" s="813"/>
      <c r="X38" s="2066"/>
      <c r="Y38" s="813"/>
      <c r="Z38" s="2011"/>
      <c r="AA38" s="813"/>
      <c r="AB38" s="211" t="s">
        <v>1602</v>
      </c>
      <c r="AC38" s="212" t="s">
        <v>1588</v>
      </c>
      <c r="AD38" s="1441">
        <f ca="1">IF(AND(method_reg="Метод индексации",god&lt;&gt;first_year),SUMIFS(INDEX('Калькуляция (МИ корр)'!$AJ$25:$BC$459,,MATCH(AD$8,'Калькуляция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(МИ)'!$AJ$25:$BC$459,,MATCH(AD$8,'Калькуляция (МИ)'!$AJ$8:$BC$8,0)),'Калькуляция (МИ)'!$F$25:$F$459,$F38,'Калькуляция (МИ)'!$G$25:$G$459,$G38))))</f>
        <v>0</v>
      </c>
      <c r="AE38" s="1441">
        <f ca="1">IF(AND(method_reg="Метод индексации",god&lt;&gt;first_year),SUMIFS(INDEX('Калькуляция (МИ корр)'!$AJ$25:$BC$459,,MATCH(AE$8,'Калькуляция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(МИ)'!$AJ$25:$BC$459,,MATCH(AE$8,'Калькуляция (МИ)'!$AJ$8:$BC$8,0)),'Калькуляция (МИ)'!$F$25:$F$459,$F38,'Калькуляция (МИ)'!$G$25:$G$459,$G38))))</f>
        <v>0</v>
      </c>
      <c r="AF38" s="214">
        <f ca="1">IF(AD38=0,0,(AE38-AD38)/AD38*100)</f>
        <v>0</v>
      </c>
      <c r="AG38" s="1441">
        <f ca="1">IF(AND(method_reg="Метод индексации",god&lt;&gt;first_year),SUMIFS(INDEX('Калькуляция (МИ корр)'!$AJ$25:$BC$459,,MATCH(AG$8,'Калькуляция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(МИ)'!$AJ$25:$BC$459,,MATCH(AG$8,'Калькуляция (МИ)'!$AJ$8:$BC$8,0)),'Калькуляция (МИ)'!$F$25:$F$459,$F38,'Калькуляция (МИ)'!$G$25:$G$459,$G38))))</f>
        <v>0</v>
      </c>
      <c r="AH38" s="1441">
        <f ca="1">IF(AND(method_reg="Метод индексации",god&lt;&gt;first_year),SUMIFS(INDEX('Калькуляция (МИ корр)'!$AJ$25:$BC$459,,MATCH(AH$8,'Калькуляция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(МИ)'!$AJ$25:$BC$459,,MATCH(AH$8,'Калькуляция (МИ)'!$AJ$8:$BC$8,0)),'Калькуляция (МИ)'!$F$25:$F$459,$F38,'Калькуляция (МИ)'!$G$25:$G$459,$G38))))</f>
        <v>0</v>
      </c>
      <c r="AI38" s="214">
        <f ca="1">IF(AG38=0,0,(AH38-AG38)/AG38*100)</f>
        <v>0</v>
      </c>
      <c r="AJ38" s="1441">
        <f ca="1">IF(AND(method_reg="Метод индексации",god&lt;&gt;first_year),SUMIFS(INDEX('Калькуляция (МИ корр)'!$AJ$25:$BC$459,,MATCH(AJ$8,'Калькуляция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(МИ)'!$AJ$25:$BC$459,,MATCH(AJ$8,'Калькуляция (МИ)'!$AJ$8:$BC$8,0)),'Калькуляция (МИ)'!$F$25:$F$459,$F38,'Калькуляция (МИ)'!$G$25:$G$459,$G38))))</f>
        <v>0</v>
      </c>
      <c r="AK38" s="1441">
        <f ca="1">IF(AND(method_reg="Метод индексации",god&lt;&gt;first_year),SUMIFS(INDEX('Калькуляция (МИ корр)'!$AJ$25:$BC$459,,MATCH(AK$8,'Калькуляция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(МИ)'!$AJ$25:$BC$459,,MATCH(AK$8,'Калькуляция (МИ)'!$AJ$8:$BC$8,0)),'Калькуляция (МИ)'!$F$25:$F$459,$F38,'Калькуляция (МИ)'!$G$25:$G$459,$G38))))</f>
        <v>0</v>
      </c>
      <c r="AL38" s="214">
        <f ca="1">IF(AJ38=0,0,(AK38-AJ38)/AJ38*100)</f>
        <v>0</v>
      </c>
      <c r="AM38" s="1441">
        <f ca="1">IF(AND(method_reg="Метод индексации",god&lt;&gt;first_year),SUMIFS(INDEX('Калькуляция (МИ корр)'!$AJ$25:$BC$459,,MATCH(AM$8,'Калькуляция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(МИ)'!$AJ$25:$BC$459,,MATCH(AM$8,'Калькуляция (МИ)'!$AJ$8:$BC$8,0)),'Калькуляция (МИ)'!$F$25:$F$459,$F38,'Калькуляция (МИ)'!$G$25:$G$459,$G38))))</f>
        <v>0</v>
      </c>
      <c r="AN38" s="1441">
        <f ca="1">IF(AND(method_reg="Метод индексации",god&lt;&gt;first_year),SUMIFS(INDEX('Калькуляция (МИ корр)'!$AJ$25:$BC$459,,MATCH(AN$8,'Калькуляция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(МИ)'!$AJ$25:$BC$459,,MATCH(AN$8,'Калькуляция (МИ)'!$AJ$8:$BC$8,0)),'Калькуляция (МИ)'!$F$25:$F$459,$F38,'Калькуляция (МИ)'!$G$25:$G$459,$G38))))</f>
        <v>0</v>
      </c>
      <c r="AO38" s="214">
        <f ca="1">IF(AM38=0,0,(AN38-AM38)/AM38*100)</f>
        <v>0</v>
      </c>
      <c r="AP38" s="1441">
        <f ca="1">IF(AND(method_reg="Метод индексации",god&lt;&gt;first_year),SUMIFS(INDEX('Калькуляция (МИ корр)'!$AJ$25:$BC$459,,MATCH(AP$8,'Калькуляция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(МИ)'!$AJ$25:$BC$459,,MATCH(AP$8,'Калькуляция (МИ)'!$AJ$8:$BC$8,0)),'Калькуляция (МИ)'!$F$25:$F$459,$F38,'Калькуляция (МИ)'!$G$25:$G$459,$G38))))</f>
        <v>0</v>
      </c>
      <c r="AQ38" s="1441">
        <f ca="1">IF(AND(method_reg="Метод индексации",god&lt;&gt;first_year),SUMIFS(INDEX('Калькуляция (МИ корр)'!$AJ$25:$BC$459,,MATCH(AQ$8,'Калькуляция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(МИ)'!$AJ$25:$BC$459,,MATCH(AQ$8,'Калькуляция (МИ)'!$AJ$8:$BC$8,0)),'Калькуляция (МИ)'!$F$25:$F$459,$F38,'Калькуляция (МИ)'!$G$25:$G$459,$G38))))</f>
        <v>0</v>
      </c>
      <c r="AR38" s="214">
        <f ca="1">IF(AP38=0,0,(AQ38-AP38)/AP38*100)</f>
        <v>0</v>
      </c>
      <c r="AS38" s="1441">
        <f ca="1">IF(AND(method_reg="Метод индексации",god&lt;&gt;first_year),SUMIFS(INDEX('Калькуляция (МИ корр)'!$AJ$25:$BC$459,,MATCH(AS$8,'Калькуляция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(МИ)'!$AJ$25:$BC$459,,MATCH(AS$8,'Калькуляция (МИ)'!$AJ$8:$BC$8,0)),'Калькуляция (МИ)'!$F$25:$F$459,$F38,'Калькуляция (МИ)'!$G$25:$G$459,$G38))))</f>
        <v>0</v>
      </c>
      <c r="AT38" s="1441">
        <f ca="1">IF(AND(method_reg="Метод индексации",god&lt;&gt;first_year),SUMIFS(INDEX('Калькуляция (МИ корр)'!$AJ$25:$BC$459,,MATCH(AT$8,'Калькуляция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(МИ)'!$AJ$25:$BC$459,,MATCH(AT$8,'Калькуляция (МИ)'!$AJ$8:$BC$8,0)),'Калькуляция (МИ)'!$F$25:$F$459,$F38,'Калькуляция (МИ)'!$G$25:$G$459,$G38))))</f>
        <v>0</v>
      </c>
      <c r="AU38" s="214">
        <f ca="1">IF(AS38=0,0,(AT38-AS38)/AS38*100)</f>
        <v>0</v>
      </c>
      <c r="AV38" s="1441">
        <f ca="1">IF(AND(method_reg="Метод индексации",god&lt;&gt;first_year),SUMIFS(INDEX('Калькуляция (МИ корр)'!$AJ$25:$BC$459,,MATCH(AV$8,'Калькуляция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(МИ)'!$AJ$25:$BC$459,,MATCH(AV$8,'Калькуляция (МИ)'!$AJ$8:$BC$8,0)),'Калькуляция (МИ)'!$F$25:$F$459,$F38,'Калькуляция (МИ)'!$G$25:$G$459,$G38))))</f>
        <v>0</v>
      </c>
      <c r="AW38" s="1441">
        <f ca="1">IF(AND(method_reg="Метод индексации",god&lt;&gt;first_year),SUMIFS(INDEX('Калькуляция (МИ корр)'!$AJ$25:$BC$459,,MATCH(AW$8,'Калькуляция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(МИ)'!$AJ$25:$BC$459,,MATCH(AW$8,'Калькуляция (МИ)'!$AJ$8:$BC$8,0)),'Калькуляция (МИ)'!$F$25:$F$459,$F38,'Калькуляция (МИ)'!$G$25:$G$459,$G38))))</f>
        <v>0</v>
      </c>
      <c r="AX38" s="214">
        <f ca="1">IF(AV38=0,0,(AW38-AV38)/AV38*100)</f>
        <v>0</v>
      </c>
      <c r="AY38" s="1441">
        <f ca="1">IF(AND(method_reg="Метод индексации",god&lt;&gt;first_year),SUMIFS(INDEX('Калькуляция (МИ корр)'!$AJ$25:$BC$459,,MATCH(AY$8,'Калькуляция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(МИ)'!$AJ$25:$BC$459,,MATCH(AY$8,'Калькуляция (МИ)'!$AJ$8:$BC$8,0)),'Калькуляция (МИ)'!$F$25:$F$459,$F38,'Калькуляция (МИ)'!$G$25:$G$459,$G38))))</f>
        <v>0</v>
      </c>
      <c r="AZ38" s="1441">
        <f ca="1">IF(AND(method_reg="Метод индексации",god&lt;&gt;first_year),SUMIFS(INDEX('Калькуляция (МИ корр)'!$AJ$25:$BC$459,,MATCH(AZ$8,'Калькуляция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(МИ)'!$AJ$25:$BC$459,,MATCH(AZ$8,'Калькуляция (МИ)'!$AJ$8:$BC$8,0)),'Калькуляция (МИ)'!$F$25:$F$459,$F38,'Калькуляция (МИ)'!$G$25:$G$459,$G38))))</f>
        <v>0</v>
      </c>
      <c r="BA38" s="214">
        <f ca="1">IF(AY38=0,0,(AZ38-AY38)/AY38*100)</f>
        <v>0</v>
      </c>
      <c r="BB38" s="1441">
        <f ca="1">IF(AND(method_reg="Метод индексации",god&lt;&gt;first_year),SUMIFS(INDEX('Калькуляция (МИ корр)'!$AJ$25:$BC$459,,MATCH(BB$8,'Калькуляция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(МИ)'!$AJ$25:$BC$459,,MATCH(BB$8,'Калькуляция (МИ)'!$AJ$8:$BC$8,0)),'Калькуляция (МИ)'!$F$25:$F$459,$F38,'Калькуляция (МИ)'!$G$25:$G$459,$G38))))</f>
        <v>0</v>
      </c>
      <c r="BC38" s="1441">
        <f ca="1">IF(AND(method_reg="Метод индексации",god&lt;&gt;first_year),SUMIFS(INDEX('Калькуляция (МИ корр)'!$AJ$25:$BC$459,,MATCH(BC$8,'Калькуляция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(МИ)'!$AJ$25:$BC$459,,MATCH(BC$8,'Калькуляция (МИ)'!$AJ$8:$BC$8,0)),'Калькуляция (МИ)'!$F$25:$F$459,$F38,'Калькуляция (МИ)'!$G$25:$G$459,$G38))))</f>
        <v>0</v>
      </c>
      <c r="BD38" s="214">
        <f ca="1">IF(BB38=0,0,(BC38-BB38)/BB38*100)</f>
        <v>0</v>
      </c>
      <c r="BE38" s="1441">
        <f ca="1">IF(AND(method_reg="Метод индексации",god&lt;&gt;first_year),SUMIFS(INDEX('Калькуляция (МИ корр)'!$AJ$25:$BC$459,,MATCH(BE$8,'Калькуляция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(МИ)'!$AJ$25:$BC$459,,MATCH(BE$8,'Калькуляция (МИ)'!$AJ$8:$BC$8,0)),'Калькуляция (МИ)'!$F$25:$F$459,$F38,'Калькуляция (МИ)'!$G$25:$G$459,$G38))))</f>
        <v>0</v>
      </c>
      <c r="BF38" s="1441">
        <f ca="1">IF(AND(method_reg="Метод индексации",god&lt;&gt;first_year),SUMIFS(INDEX('Калькуляция (МИ корр)'!$AJ$25:$BC$459,,MATCH(BF$8,'Калькуляция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(МИ)'!$AJ$25:$BC$459,,MATCH(BF$8,'Калькуляция (МИ)'!$AJ$8:$BC$8,0)),'Калькуляция (МИ)'!$F$25:$F$459,$F38,'Калькуляция (МИ)'!$G$25:$G$459,$G38))))</f>
        <v>0</v>
      </c>
      <c r="BG38" s="214">
        <f ca="1">IF(BE38=0,0,(BF38-BE38)/BE38*100)</f>
        <v>0</v>
      </c>
      <c r="BH38" s="1441"/>
      <c r="BI38" s="1441"/>
      <c r="BJ38" s="214">
        <f>IF(BH38=0,0,(BI38-BH38)/BH38*100)</f>
        <v>0</v>
      </c>
      <c r="BK38" s="1441"/>
      <c r="BL38" s="1441"/>
      <c r="BM38" s="214">
        <f>IF(BK38=0,0,(BL38-BK38)/BK38*100)</f>
        <v>0</v>
      </c>
      <c r="BN38" s="1441"/>
      <c r="BO38" s="1441"/>
      <c r="BP38" s="214">
        <f>IF(BN38=0,0,(BO38-BN38)/BN38*100)</f>
        <v>0</v>
      </c>
      <c r="BQ38" s="1441"/>
      <c r="BR38" s="1441"/>
      <c r="BS38" s="214">
        <f>IF(BQ38=0,0,(BR38-BQ38)/BQ38*100)</f>
        <v>0</v>
      </c>
      <c r="BT38" s="1441"/>
      <c r="BU38" s="1441"/>
      <c r="BV38" s="214">
        <f>IF(BT38=0,0,(BU38-BT38)/BT38*100)</f>
        <v>0</v>
      </c>
      <c r="BW38" s="1441"/>
      <c r="BX38" s="1441"/>
      <c r="BY38" s="214">
        <f>IF(BW38=0,0,(BX38-BW38)/BW38*100)</f>
        <v>0</v>
      </c>
      <c r="BZ38" s="1441"/>
      <c r="CA38" s="1441"/>
      <c r="CB38" s="214">
        <f>IF(BZ38=0,0,(CA38-BZ38)/BZ38*100)</f>
        <v>0</v>
      </c>
      <c r="CC38" s="1441"/>
      <c r="CD38" s="1441"/>
      <c r="CE38" s="214">
        <f>IF(CC38=0,0,(CD38-CC38)/CC38*100)</f>
        <v>0</v>
      </c>
      <c r="CF38" s="1441"/>
      <c r="CG38" s="1441"/>
      <c r="CH38" s="214">
        <f>IF(CF38=0,0,(CG38-CF38)/CF38*100)</f>
        <v>0</v>
      </c>
      <c r="CI38" s="1441"/>
      <c r="CJ38" s="1441"/>
      <c r="CK38" s="214">
        <f>IF(CI38=0,0,(CJ38-CI38)/CI38*100)</f>
        <v>0</v>
      </c>
      <c r="CL38" s="1441"/>
      <c r="CM38" s="1441"/>
      <c r="CN38" s="214">
        <f>IF(CL38=0,0,(CM38-CL38)/CL38*100)</f>
        <v>0</v>
      </c>
      <c r="CO38" s="1441"/>
      <c r="CP38" s="1441"/>
      <c r="CQ38" s="214">
        <f>IF(CO38=0,0,(CP38-CO38)/CO38*100)</f>
        <v>0</v>
      </c>
      <c r="CR38" s="1441"/>
      <c r="CS38" s="1441"/>
      <c r="CT38" s="214">
        <f>IF(CR38=0,0,(CS38-CR38)/CR38*100)</f>
        <v>0</v>
      </c>
      <c r="CU38" s="1441"/>
      <c r="CV38" s="1441"/>
      <c r="CW38" s="214">
        <f>IF(CU38=0,0,(CV38-CU38)/CU38*100)</f>
        <v>0</v>
      </c>
      <c r="CX38" s="1441"/>
      <c r="CY38" s="1441"/>
      <c r="CZ38" s="214">
        <f>IF(CX38=0,0,(CY38-CX38)/CX38*100)</f>
        <v>0</v>
      </c>
      <c r="DA38" s="1441"/>
      <c r="DB38" s="1441"/>
      <c r="DC38" s="214">
        <f>IF(DA38=0,0,(DB38-DA38)/DA38*100)</f>
        <v>0</v>
      </c>
      <c r="DD38" s="1441"/>
      <c r="DE38" s="1441"/>
      <c r="DF38" s="214">
        <f>IF(DD38=0,0,(DE38-DD38)/DD38*100)</f>
        <v>0</v>
      </c>
      <c r="DG38" s="1441"/>
      <c r="DH38" s="1441"/>
      <c r="DI38" s="214">
        <f>IF(DG38=0,0,(DH38-DG38)/DG38*100)</f>
        <v>0</v>
      </c>
      <c r="DJ38" s="1441"/>
      <c r="DK38" s="1441"/>
      <c r="DL38" s="214">
        <f>IF(DJ38=0,0,(DK38-DJ38)/DJ38*100)</f>
        <v>0</v>
      </c>
      <c r="DM38" s="1441"/>
      <c r="DN38" s="1441"/>
      <c r="DO38" s="214">
        <f>IF(DM38=0,0,(DN38-DM38)/DM38*100)</f>
        <v>0</v>
      </c>
      <c r="DP38" s="1441"/>
      <c r="DQ38" s="1441"/>
      <c r="DR38" s="214">
        <f>IF(DP38=0,0,(DQ38-DP38)/DP38*100)</f>
        <v>0</v>
      </c>
      <c r="DS38" s="1441"/>
      <c r="DT38" s="1441"/>
      <c r="DU38" s="214">
        <f>IF(DS38=0,0,(DT38-DS38)/DS38*100)</f>
        <v>0</v>
      </c>
      <c r="DV38" s="1441"/>
      <c r="DW38" s="1441"/>
      <c r="DX38" s="214">
        <f>IF(DV38=0,0,(DW38-DV38)/DV38*100)</f>
        <v>0</v>
      </c>
      <c r="DY38" s="1441"/>
      <c r="DZ38" s="1441"/>
      <c r="EA38" s="214">
        <f>IF(DY38=0,0,(DZ38-DY38)/DY38*100)</f>
        <v>0</v>
      </c>
      <c r="EB38" s="1441"/>
      <c r="EC38" s="1441"/>
      <c r="ED38" s="214">
        <f>IF(EB38=0,0,(EC38-EB38)/EB38*100)</f>
        <v>0</v>
      </c>
      <c r="EE38" s="1441"/>
      <c r="EF38" s="1441"/>
      <c r="EG38" s="214">
        <f>IF(EE38=0,0,(EF38-EE38)/EE38*100)</f>
        <v>0</v>
      </c>
      <c r="EH38" s="1441"/>
      <c r="EI38" s="1441"/>
      <c r="EJ38" s="214">
        <f>IF(EH38=0,0,(EI38-EH38)/EH38*100)</f>
        <v>0</v>
      </c>
      <c r="EK38" s="1441"/>
      <c r="EL38" s="1441"/>
      <c r="EM38" s="214">
        <f>IF(EK38=0,0,(EL38-EK38)/EK38*100)</f>
        <v>0</v>
      </c>
      <c r="EN38" s="1441"/>
      <c r="EO38" s="1441"/>
      <c r="EP38" s="214">
        <f>IF(EN38=0,0,(EO38-EN38)/EN38*100)</f>
        <v>0</v>
      </c>
      <c r="EQ38" s="1441"/>
      <c r="ER38" s="1441"/>
      <c r="ES38" s="214">
        <f>IF(EQ38=0,0,(ER38-EQ38)/EQ38*100)</f>
        <v>0</v>
      </c>
      <c r="ET38" s="1441"/>
      <c r="EU38" s="1441"/>
      <c r="EV38" s="214">
        <f>IF(ET38=0,0,(EU38-ET38)/ET38*100)</f>
        <v>0</v>
      </c>
      <c r="EW38" s="1441"/>
      <c r="EX38" s="1441"/>
      <c r="EY38" s="214">
        <f>IF(EW38=0,0,(EX38-EW38)/EW38*100)</f>
        <v>0</v>
      </c>
      <c r="EZ38" s="1441"/>
      <c r="FA38" s="1441"/>
      <c r="FB38" s="214">
        <f>IF(EZ38=0,0,(FA38-EZ38)/EZ38*100)</f>
        <v>0</v>
      </c>
      <c r="FC38" s="1441"/>
      <c r="FD38" s="1441"/>
      <c r="FE38" s="214">
        <f>IF(FC38=0,0,(FD38-FC38)/FC38*100)</f>
        <v>0</v>
      </c>
      <c r="FF38" s="1441"/>
      <c r="FG38" s="1441"/>
      <c r="FH38" s="214">
        <f>IF(FF38=0,0,(FG38-FF38)/FF38*100)</f>
        <v>0</v>
      </c>
      <c r="FI38" s="1441"/>
      <c r="FJ38" s="1441"/>
      <c r="FK38" s="214">
        <f>IF(FI38=0,0,(FJ38-FI38)/FI38*100)</f>
        <v>0</v>
      </c>
      <c r="FL38" s="1441"/>
      <c r="FM38" s="1441"/>
      <c r="FN38" s="214">
        <f>IF(FL38=0,0,(FM38-FL38)/FL38*100)</f>
        <v>0</v>
      </c>
      <c r="FO38" s="1441"/>
      <c r="FP38" s="1441"/>
      <c r="FQ38" s="214">
        <f>IF(FO38=0,0,(FP38-FO38)/FO38*100)</f>
        <v>0</v>
      </c>
      <c r="FR38" s="1441"/>
      <c r="FS38" s="1441"/>
      <c r="FT38" s="214">
        <f>IF(FR38=0,0,(FS38-FR38)/FR38*100)</f>
        <v>0</v>
      </c>
      <c r="FU38" s="1441"/>
      <c r="FV38" s="1441"/>
      <c r="FW38" s="214">
        <f>IF(FU38=0,0,(FV38-FU38)/FU38*100)</f>
        <v>0</v>
      </c>
      <c r="FZ38" s="964" t="s">
        <v>1603</v>
      </c>
      <c r="GA38" s="964"/>
      <c r="GB38" s="964"/>
      <c r="GC38" s="965"/>
      <c r="GD38" s="965"/>
    </row>
    <row r="39" spans="1:186" s="210" customFormat="1" ht="23.85" hidden="1" customHeight="1" x14ac:dyDescent="0.15">
      <c r="A39" s="813"/>
      <c r="B39" s="837" t="b" cm="1">
        <f t="array" ref="B39">B38</f>
        <v>0</v>
      </c>
      <c r="C39" s="813"/>
      <c r="D39" s="813"/>
      <c r="E39" s="814">
        <v>24.5</v>
      </c>
      <c r="F39" s="3" cm="1">
        <f t="array" aca="1" ref="F39" ca="1">OFFSET(E39,-1,1)</f>
        <v>0</v>
      </c>
      <c r="G39" s="26" t="s">
        <v>1604</v>
      </c>
      <c r="H39" s="416" t="s">
        <v>494</v>
      </c>
      <c r="I39" s="416" t="s">
        <v>1605</v>
      </c>
      <c r="J39" s="813"/>
      <c r="K39" s="813"/>
      <c r="L39" s="416"/>
      <c r="M39" s="813"/>
      <c r="N39" s="813"/>
      <c r="O39" s="813"/>
      <c r="P39" s="813"/>
      <c r="Q39" s="813"/>
      <c r="R39" s="416"/>
      <c r="S39" s="416"/>
      <c r="T39" s="388" t="b" cm="1">
        <f t="array" ref="T39">T38</f>
        <v>0</v>
      </c>
      <c r="U39" s="813"/>
      <c r="V39" s="813"/>
      <c r="W39" s="813"/>
      <c r="X39" s="2066"/>
      <c r="Y39" s="813"/>
      <c r="Z39" s="2011"/>
      <c r="AA39" s="813"/>
      <c r="AB39" s="1000" t="s">
        <v>1606</v>
      </c>
      <c r="AC39" s="212" t="s">
        <v>1588</v>
      </c>
      <c r="AD39" s="1441">
        <f ca="1">IF(AND(method_reg="Метод индексации",god&lt;&gt;first_year),SUMIFS(INDEX('Калькуляция (МИ корр)'!$AJ$25:$BC$459,,MATCH(AD$8,'Калькуляция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(МИ)'!$AJ$25:$BC$459,,MATCH(AD$8,'Калькуляция (МИ)'!$AJ$8:$BC$8,0)),'Калькуляция (МИ)'!$F$25:$F$459,$F39,'Калькуляция (МИ)'!$G$25:$G$459,$G39))))</f>
        <v>0</v>
      </c>
      <c r="AE39" s="1441">
        <f ca="1">IF(AND(method_reg="Метод индексации",god&lt;&gt;first_year),SUMIFS(INDEX('Калькуляция (МИ корр)'!$AJ$25:$BC$459,,MATCH(AE$8,'Калькуляция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(МИ)'!$AJ$25:$BC$459,,MATCH(AE$8,'Калькуляция (МИ)'!$AJ$8:$BC$8,0)),'Калькуляция (МИ)'!$F$25:$F$459,$F39,'Калькуляция (МИ)'!$G$25:$G$459,$G39))))</f>
        <v>0</v>
      </c>
      <c r="AF39" s="214">
        <f ca="1">IF(AD39=0,0,(AE39-AD39)/AD39*100)</f>
        <v>0</v>
      </c>
      <c r="AG39" s="1441">
        <f ca="1">IF(AND(method_reg="Метод индексации",god&lt;&gt;first_year),SUMIFS(INDEX('Калькуляция (МИ корр)'!$AJ$25:$BC$459,,MATCH(AG$8,'Калькуляция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(МИ)'!$AJ$25:$BC$459,,MATCH(AG$8,'Калькуляция (МИ)'!$AJ$8:$BC$8,0)),'Калькуляция (МИ)'!$F$25:$F$459,$F39,'Калькуляция (МИ)'!$G$25:$G$459,$G39))))</f>
        <v>0</v>
      </c>
      <c r="AH39" s="1441">
        <f ca="1">IF(AND(method_reg="Метод индексации",god&lt;&gt;first_year),SUMIFS(INDEX('Калькуляция (МИ корр)'!$AJ$25:$BC$459,,MATCH(AH$8,'Калькуляция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(МИ)'!$AJ$25:$BC$459,,MATCH(AH$8,'Калькуляция (МИ)'!$AJ$8:$BC$8,0)),'Калькуляция (МИ)'!$F$25:$F$459,$F39,'Калькуляция (МИ)'!$G$25:$G$459,$G39))))</f>
        <v>0</v>
      </c>
      <c r="AI39" s="214">
        <f ca="1">IF(AG39=0,0,(AH39-AG39)/AG39*100)</f>
        <v>0</v>
      </c>
      <c r="AJ39" s="1441">
        <f ca="1">IF(AND(method_reg="Метод индексации",god&lt;&gt;first_year),SUMIFS(INDEX('Калькуляция (МИ корр)'!$AJ$25:$BC$459,,MATCH(AJ$8,'Калькуляция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(МИ)'!$AJ$25:$BC$459,,MATCH(AJ$8,'Калькуляция (МИ)'!$AJ$8:$BC$8,0)),'Калькуляция (МИ)'!$F$25:$F$459,$F39,'Калькуляция (МИ)'!$G$25:$G$459,$G39))))</f>
        <v>0</v>
      </c>
      <c r="AK39" s="1441">
        <f ca="1">IF(AND(method_reg="Метод индексации",god&lt;&gt;first_year),SUMIFS(INDEX('Калькуляция (МИ корр)'!$AJ$25:$BC$459,,MATCH(AK$8,'Калькуляция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(МИ)'!$AJ$25:$BC$459,,MATCH(AK$8,'Калькуляция (МИ)'!$AJ$8:$BC$8,0)),'Калькуляция (МИ)'!$F$25:$F$459,$F39,'Калькуляция (МИ)'!$G$25:$G$459,$G39))))</f>
        <v>0</v>
      </c>
      <c r="AL39" s="214">
        <f ca="1">IF(AJ39=0,0,(AK39-AJ39)/AJ39*100)</f>
        <v>0</v>
      </c>
      <c r="AM39" s="1441">
        <f ca="1">IF(AND(method_reg="Метод индексации",god&lt;&gt;first_year),SUMIFS(INDEX('Калькуляция (МИ корр)'!$AJ$25:$BC$459,,MATCH(AM$8,'Калькуляция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(МИ)'!$AJ$25:$BC$459,,MATCH(AM$8,'Калькуляция (МИ)'!$AJ$8:$BC$8,0)),'Калькуляция (МИ)'!$F$25:$F$459,$F39,'Калькуляция (МИ)'!$G$25:$G$459,$G39))))</f>
        <v>0</v>
      </c>
      <c r="AN39" s="1441">
        <f ca="1">IF(AND(method_reg="Метод индексации",god&lt;&gt;first_year),SUMIFS(INDEX('Калькуляция (МИ корр)'!$AJ$25:$BC$459,,MATCH(AN$8,'Калькуляция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(МИ)'!$AJ$25:$BC$459,,MATCH(AN$8,'Калькуляция (МИ)'!$AJ$8:$BC$8,0)),'Калькуляция (МИ)'!$F$25:$F$459,$F39,'Калькуляция (МИ)'!$G$25:$G$459,$G39))))</f>
        <v>0</v>
      </c>
      <c r="AO39" s="214">
        <f ca="1">IF(AM39=0,0,(AN39-AM39)/AM39*100)</f>
        <v>0</v>
      </c>
      <c r="AP39" s="1441">
        <f ca="1">IF(AND(method_reg="Метод индексации",god&lt;&gt;first_year),SUMIFS(INDEX('Калькуляция (МИ корр)'!$AJ$25:$BC$459,,MATCH(AP$8,'Калькуляция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(МИ)'!$AJ$25:$BC$459,,MATCH(AP$8,'Калькуляция (МИ)'!$AJ$8:$BC$8,0)),'Калькуляция (МИ)'!$F$25:$F$459,$F39,'Калькуляция (МИ)'!$G$25:$G$459,$G39))))</f>
        <v>0</v>
      </c>
      <c r="AQ39" s="1441">
        <f ca="1">IF(AND(method_reg="Метод индексации",god&lt;&gt;first_year),SUMIFS(INDEX('Калькуляция (МИ корр)'!$AJ$25:$BC$459,,MATCH(AQ$8,'Калькуляция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(МИ)'!$AJ$25:$BC$459,,MATCH(AQ$8,'Калькуляция (МИ)'!$AJ$8:$BC$8,0)),'Калькуляция (МИ)'!$F$25:$F$459,$F39,'Калькуляция (МИ)'!$G$25:$G$459,$G39))))</f>
        <v>0</v>
      </c>
      <c r="AR39" s="214">
        <f ca="1">IF(AP39=0,0,(AQ39-AP39)/AP39*100)</f>
        <v>0</v>
      </c>
      <c r="AS39" s="1441">
        <f ca="1">IF(AND(method_reg="Метод индексации",god&lt;&gt;first_year),SUMIFS(INDEX('Калькуляция (МИ корр)'!$AJ$25:$BC$459,,MATCH(AS$8,'Калькуляция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(МИ)'!$AJ$25:$BC$459,,MATCH(AS$8,'Калькуляция (МИ)'!$AJ$8:$BC$8,0)),'Калькуляция (МИ)'!$F$25:$F$459,$F39,'Калькуляция (МИ)'!$G$25:$G$459,$G39))))</f>
        <v>0</v>
      </c>
      <c r="AT39" s="1441">
        <f ca="1">IF(AND(method_reg="Метод индексации",god&lt;&gt;first_year),SUMIFS(INDEX('Калькуляция (МИ корр)'!$AJ$25:$BC$459,,MATCH(AT$8,'Калькуляция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(МИ)'!$AJ$25:$BC$459,,MATCH(AT$8,'Калькуляция (МИ)'!$AJ$8:$BC$8,0)),'Калькуляция (МИ)'!$F$25:$F$459,$F39,'Калькуляция (МИ)'!$G$25:$G$459,$G39))))</f>
        <v>0</v>
      </c>
      <c r="AU39" s="214">
        <f ca="1">IF(AS39=0,0,(AT39-AS39)/AS39*100)</f>
        <v>0</v>
      </c>
      <c r="AV39" s="1441">
        <f ca="1">IF(AND(method_reg="Метод индексации",god&lt;&gt;first_year),SUMIFS(INDEX('Калькуляция (МИ корр)'!$AJ$25:$BC$459,,MATCH(AV$8,'Калькуляция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(МИ)'!$AJ$25:$BC$459,,MATCH(AV$8,'Калькуляция (МИ)'!$AJ$8:$BC$8,0)),'Калькуляция (МИ)'!$F$25:$F$459,$F39,'Калькуляция (МИ)'!$G$25:$G$459,$G39))))</f>
        <v>0</v>
      </c>
      <c r="AW39" s="1441">
        <f ca="1">IF(AND(method_reg="Метод индексации",god&lt;&gt;first_year),SUMIFS(INDEX('Калькуляция (МИ корр)'!$AJ$25:$BC$459,,MATCH(AW$8,'Калькуляция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(МИ)'!$AJ$25:$BC$459,,MATCH(AW$8,'Калькуляция (МИ)'!$AJ$8:$BC$8,0)),'Калькуляция (МИ)'!$F$25:$F$459,$F39,'Калькуляция (МИ)'!$G$25:$G$459,$G39))))</f>
        <v>0</v>
      </c>
      <c r="AX39" s="214">
        <f ca="1">IF(AV39=0,0,(AW39-AV39)/AV39*100)</f>
        <v>0</v>
      </c>
      <c r="AY39" s="1441">
        <f ca="1">IF(AND(method_reg="Метод индексации",god&lt;&gt;first_year),SUMIFS(INDEX('Калькуляция (МИ корр)'!$AJ$25:$BC$459,,MATCH(AY$8,'Калькуляция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(МИ)'!$AJ$25:$BC$459,,MATCH(AY$8,'Калькуляция (МИ)'!$AJ$8:$BC$8,0)),'Калькуляция (МИ)'!$F$25:$F$459,$F39,'Калькуляция (МИ)'!$G$25:$G$459,$G39))))</f>
        <v>0</v>
      </c>
      <c r="AZ39" s="1441">
        <f ca="1">IF(AND(method_reg="Метод индексации",god&lt;&gt;first_year),SUMIFS(INDEX('Калькуляция (МИ корр)'!$AJ$25:$BC$459,,MATCH(AZ$8,'Калькуляция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(МИ)'!$AJ$25:$BC$459,,MATCH(AZ$8,'Калькуляция (МИ)'!$AJ$8:$BC$8,0)),'Калькуляция (МИ)'!$F$25:$F$459,$F39,'Калькуляция (МИ)'!$G$25:$G$459,$G39))))</f>
        <v>0</v>
      </c>
      <c r="BA39" s="214">
        <f ca="1">IF(AY39=0,0,(AZ39-AY39)/AY39*100)</f>
        <v>0</v>
      </c>
      <c r="BB39" s="1441">
        <f ca="1">IF(AND(method_reg="Метод индексации",god&lt;&gt;first_year),SUMIFS(INDEX('Калькуляция (МИ корр)'!$AJ$25:$BC$459,,MATCH(BB$8,'Калькуляция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(МИ)'!$AJ$25:$BC$459,,MATCH(BB$8,'Калькуляция (МИ)'!$AJ$8:$BC$8,0)),'Калькуляция (МИ)'!$F$25:$F$459,$F39,'Калькуляция (МИ)'!$G$25:$G$459,$G39))))</f>
        <v>0</v>
      </c>
      <c r="BC39" s="1441">
        <f ca="1">IF(AND(method_reg="Метод индексации",god&lt;&gt;first_year),SUMIFS(INDEX('Калькуляция (МИ корр)'!$AJ$25:$BC$459,,MATCH(BC$8,'Калькуляция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(МИ)'!$AJ$25:$BC$459,,MATCH(BC$8,'Калькуляция (МИ)'!$AJ$8:$BC$8,0)),'Калькуляция (МИ)'!$F$25:$F$459,$F39,'Калькуляция (МИ)'!$G$25:$G$459,$G39))))</f>
        <v>0</v>
      </c>
      <c r="BD39" s="214">
        <f ca="1">IF(BB39=0,0,(BC39-BB39)/BB39*100)</f>
        <v>0</v>
      </c>
      <c r="BE39" s="1441">
        <f ca="1">IF(AND(method_reg="Метод индексации",god&lt;&gt;first_year),SUMIFS(INDEX('Калькуляция (МИ корр)'!$AJ$25:$BC$459,,MATCH(BE$8,'Калькуляция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(МИ)'!$AJ$25:$BC$459,,MATCH(BE$8,'Калькуляция (МИ)'!$AJ$8:$BC$8,0)),'Калькуляция (МИ)'!$F$25:$F$459,$F39,'Калькуляция (МИ)'!$G$25:$G$459,$G39))))</f>
        <v>0</v>
      </c>
      <c r="BF39" s="1441">
        <f ca="1">IF(AND(method_reg="Метод индексации",god&lt;&gt;first_year),SUMIFS(INDEX('Калькуляция (МИ корр)'!$AJ$25:$BC$459,,MATCH(BF$8,'Калькуляция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(МИ)'!$AJ$25:$BC$459,,MATCH(BF$8,'Калькуляция (МИ)'!$AJ$8:$BC$8,0)),'Калькуляция (МИ)'!$F$25:$F$459,$F39,'Калькуляция (МИ)'!$G$25:$G$459,$G39))))</f>
        <v>0</v>
      </c>
      <c r="BG39" s="214">
        <f ca="1">IF(BE39=0,0,(BF39-BE39)/BE39*100)</f>
        <v>0</v>
      </c>
      <c r="BH39" s="1441"/>
      <c r="BI39" s="1441"/>
      <c r="BJ39" s="214">
        <f>IF(BH39=0,0,(BI39-BH39)/BH39*100)</f>
        <v>0</v>
      </c>
      <c r="BK39" s="1441"/>
      <c r="BL39" s="1441"/>
      <c r="BM39" s="214">
        <f>IF(BK39=0,0,(BL39-BK39)/BK39*100)</f>
        <v>0</v>
      </c>
      <c r="BN39" s="1441"/>
      <c r="BO39" s="1441"/>
      <c r="BP39" s="214">
        <f>IF(BN39=0,0,(BO39-BN39)/BN39*100)</f>
        <v>0</v>
      </c>
      <c r="BQ39" s="1441"/>
      <c r="BR39" s="1441"/>
      <c r="BS39" s="214">
        <f>IF(BQ39=0,0,(BR39-BQ39)/BQ39*100)</f>
        <v>0</v>
      </c>
      <c r="BT39" s="1441"/>
      <c r="BU39" s="1441"/>
      <c r="BV39" s="214">
        <f>IF(BT39=0,0,(BU39-BT39)/BT39*100)</f>
        <v>0</v>
      </c>
      <c r="BW39" s="1441"/>
      <c r="BX39" s="1441"/>
      <c r="BY39" s="214">
        <f>IF(BW39=0,0,(BX39-BW39)/BW39*100)</f>
        <v>0</v>
      </c>
      <c r="BZ39" s="1441"/>
      <c r="CA39" s="1441"/>
      <c r="CB39" s="214">
        <f>IF(BZ39=0,0,(CA39-BZ39)/BZ39*100)</f>
        <v>0</v>
      </c>
      <c r="CC39" s="1441"/>
      <c r="CD39" s="1441"/>
      <c r="CE39" s="214">
        <f>IF(CC39=0,0,(CD39-CC39)/CC39*100)</f>
        <v>0</v>
      </c>
      <c r="CF39" s="1441"/>
      <c r="CG39" s="1441"/>
      <c r="CH39" s="214">
        <f>IF(CF39=0,0,(CG39-CF39)/CF39*100)</f>
        <v>0</v>
      </c>
      <c r="CI39" s="1441"/>
      <c r="CJ39" s="1441"/>
      <c r="CK39" s="214">
        <f>IF(CI39=0,0,(CJ39-CI39)/CI39*100)</f>
        <v>0</v>
      </c>
      <c r="CL39" s="1441"/>
      <c r="CM39" s="1441"/>
      <c r="CN39" s="214">
        <f>IF(CL39=0,0,(CM39-CL39)/CL39*100)</f>
        <v>0</v>
      </c>
      <c r="CO39" s="1441"/>
      <c r="CP39" s="1441"/>
      <c r="CQ39" s="214">
        <f>IF(CO39=0,0,(CP39-CO39)/CO39*100)</f>
        <v>0</v>
      </c>
      <c r="CR39" s="1441"/>
      <c r="CS39" s="1441"/>
      <c r="CT39" s="214">
        <f>IF(CR39=0,0,(CS39-CR39)/CR39*100)</f>
        <v>0</v>
      </c>
      <c r="CU39" s="1441"/>
      <c r="CV39" s="1441"/>
      <c r="CW39" s="214">
        <f>IF(CU39=0,0,(CV39-CU39)/CU39*100)</f>
        <v>0</v>
      </c>
      <c r="CX39" s="1441"/>
      <c r="CY39" s="1441"/>
      <c r="CZ39" s="214">
        <f>IF(CX39=0,0,(CY39-CX39)/CX39*100)</f>
        <v>0</v>
      </c>
      <c r="DA39" s="1441"/>
      <c r="DB39" s="1441"/>
      <c r="DC39" s="214">
        <f>IF(DA39=0,0,(DB39-DA39)/DA39*100)</f>
        <v>0</v>
      </c>
      <c r="DD39" s="1441"/>
      <c r="DE39" s="1441"/>
      <c r="DF39" s="214">
        <f>IF(DD39=0,0,(DE39-DD39)/DD39*100)</f>
        <v>0</v>
      </c>
      <c r="DG39" s="1441"/>
      <c r="DH39" s="1441"/>
      <c r="DI39" s="214">
        <f>IF(DG39=0,0,(DH39-DG39)/DG39*100)</f>
        <v>0</v>
      </c>
      <c r="DJ39" s="1441"/>
      <c r="DK39" s="1441"/>
      <c r="DL39" s="214">
        <f>IF(DJ39=0,0,(DK39-DJ39)/DJ39*100)</f>
        <v>0</v>
      </c>
      <c r="DM39" s="1441"/>
      <c r="DN39" s="1441"/>
      <c r="DO39" s="214">
        <f>IF(DM39=0,0,(DN39-DM39)/DM39*100)</f>
        <v>0</v>
      </c>
      <c r="DP39" s="1441"/>
      <c r="DQ39" s="1441"/>
      <c r="DR39" s="214">
        <f>IF(DP39=0,0,(DQ39-DP39)/DP39*100)</f>
        <v>0</v>
      </c>
      <c r="DS39" s="1441"/>
      <c r="DT39" s="1441"/>
      <c r="DU39" s="214">
        <f>IF(DS39=0,0,(DT39-DS39)/DS39*100)</f>
        <v>0</v>
      </c>
      <c r="DV39" s="1441"/>
      <c r="DW39" s="1441"/>
      <c r="DX39" s="214">
        <f>IF(DV39=0,0,(DW39-DV39)/DV39*100)</f>
        <v>0</v>
      </c>
      <c r="DY39" s="1441"/>
      <c r="DZ39" s="1441"/>
      <c r="EA39" s="214">
        <f>IF(DY39=0,0,(DZ39-DY39)/DY39*100)</f>
        <v>0</v>
      </c>
      <c r="EB39" s="1441"/>
      <c r="EC39" s="1441"/>
      <c r="ED39" s="214">
        <f>IF(EB39=0,0,(EC39-EB39)/EB39*100)</f>
        <v>0</v>
      </c>
      <c r="EE39" s="1441"/>
      <c r="EF39" s="1441"/>
      <c r="EG39" s="214">
        <f>IF(EE39=0,0,(EF39-EE39)/EE39*100)</f>
        <v>0</v>
      </c>
      <c r="EH39" s="1441"/>
      <c r="EI39" s="1441"/>
      <c r="EJ39" s="214">
        <f>IF(EH39=0,0,(EI39-EH39)/EH39*100)</f>
        <v>0</v>
      </c>
      <c r="EK39" s="1441"/>
      <c r="EL39" s="1441"/>
      <c r="EM39" s="214">
        <f>IF(EK39=0,0,(EL39-EK39)/EK39*100)</f>
        <v>0</v>
      </c>
      <c r="EN39" s="1441"/>
      <c r="EO39" s="1441"/>
      <c r="EP39" s="214">
        <f>IF(EN39=0,0,(EO39-EN39)/EN39*100)</f>
        <v>0</v>
      </c>
      <c r="EQ39" s="1441"/>
      <c r="ER39" s="1441"/>
      <c r="ES39" s="214">
        <f>IF(EQ39=0,0,(ER39-EQ39)/EQ39*100)</f>
        <v>0</v>
      </c>
      <c r="ET39" s="1441"/>
      <c r="EU39" s="1441"/>
      <c r="EV39" s="214">
        <f>IF(ET39=0,0,(EU39-ET39)/ET39*100)</f>
        <v>0</v>
      </c>
      <c r="EW39" s="1441"/>
      <c r="EX39" s="1441"/>
      <c r="EY39" s="214">
        <f>IF(EW39=0,0,(EX39-EW39)/EW39*100)</f>
        <v>0</v>
      </c>
      <c r="EZ39" s="1441"/>
      <c r="FA39" s="1441"/>
      <c r="FB39" s="214">
        <f>IF(EZ39=0,0,(FA39-EZ39)/EZ39*100)</f>
        <v>0</v>
      </c>
      <c r="FC39" s="1441"/>
      <c r="FD39" s="1441"/>
      <c r="FE39" s="214">
        <f>IF(FC39=0,0,(FD39-FC39)/FC39*100)</f>
        <v>0</v>
      </c>
      <c r="FF39" s="1441"/>
      <c r="FG39" s="1441"/>
      <c r="FH39" s="214">
        <f>IF(FF39=0,0,(FG39-FF39)/FF39*100)</f>
        <v>0</v>
      </c>
      <c r="FI39" s="1441"/>
      <c r="FJ39" s="1441"/>
      <c r="FK39" s="214">
        <f>IF(FI39=0,0,(FJ39-FI39)/FI39*100)</f>
        <v>0</v>
      </c>
      <c r="FL39" s="1441"/>
      <c r="FM39" s="1441"/>
      <c r="FN39" s="214">
        <f>IF(FL39=0,0,(FM39-FL39)/FL39*100)</f>
        <v>0</v>
      </c>
      <c r="FO39" s="1441"/>
      <c r="FP39" s="1441"/>
      <c r="FQ39" s="214">
        <f>IF(FO39=0,0,(FP39-FO39)/FO39*100)</f>
        <v>0</v>
      </c>
      <c r="FR39" s="1441"/>
      <c r="FS39" s="1441"/>
      <c r="FT39" s="214">
        <f>IF(FR39=0,0,(FS39-FR39)/FR39*100)</f>
        <v>0</v>
      </c>
      <c r="FU39" s="1441"/>
      <c r="FV39" s="1441"/>
      <c r="FW39" s="214">
        <f>IF(FU39=0,0,(FV39-FU39)/FU39*100)</f>
        <v>0</v>
      </c>
      <c r="FZ39" s="964" t="s">
        <v>1607</v>
      </c>
      <c r="GA39" s="964"/>
      <c r="GB39" s="964"/>
      <c r="GC39" s="965"/>
      <c r="GD39" s="965"/>
    </row>
    <row r="40" spans="1:186" ht="14.65" hidden="1" customHeight="1" x14ac:dyDescent="0.15">
      <c r="A40" s="416"/>
      <c r="B40" s="837" t="b" cm="1">
        <f t="array" ref="B40">B39</f>
        <v>0</v>
      </c>
      <c r="C40" s="416"/>
      <c r="D40" s="416"/>
      <c r="E40" s="759">
        <v>15</v>
      </c>
      <c r="F40" s="3" cm="1">
        <f t="array" aca="1" ref="F40" ca="1">OFFSET(E40,-1,1)</f>
        <v>0</v>
      </c>
      <c r="G40" s="26"/>
      <c r="H40" s="416" t="s">
        <v>498</v>
      </c>
      <c r="I40" s="416" t="s">
        <v>1608</v>
      </c>
      <c r="J40" s="416"/>
      <c r="K40" s="416"/>
      <c r="L40" s="416"/>
      <c r="M40" s="416"/>
      <c r="N40" s="416"/>
      <c r="O40" s="416"/>
      <c r="P40" s="416"/>
      <c r="Q40" s="813"/>
      <c r="R40" s="416"/>
      <c r="S40" s="416"/>
      <c r="T40" s="388" t="b" cm="1">
        <f t="array" ref="T40">T39</f>
        <v>0</v>
      </c>
      <c r="U40" s="416"/>
      <c r="V40" s="416"/>
      <c r="W40" s="416"/>
      <c r="X40" s="2066"/>
      <c r="Y40" s="416"/>
      <c r="Z40" s="2011"/>
      <c r="AA40" s="416"/>
      <c r="AB40" s="999" t="s">
        <v>1595</v>
      </c>
      <c r="AC40" s="783" t="s">
        <v>490</v>
      </c>
      <c r="AD40" s="1002">
        <f ca="1">IF(AD38=0,0,AD39/AD38)*100</f>
        <v>0</v>
      </c>
      <c r="AE40" s="1002">
        <f ca="1">IF(AE38=0,0,AE39/AE38)*100</f>
        <v>0</v>
      </c>
      <c r="AF40" s="1003"/>
      <c r="AG40" s="1002">
        <f ca="1">IF(AG38=0,0,AG39/AG38)*100</f>
        <v>0</v>
      </c>
      <c r="AH40" s="1002">
        <f ca="1">IF(AH38=0,0,AH39/AH38)*100</f>
        <v>0</v>
      </c>
      <c r="AI40" s="1003"/>
      <c r="AJ40" s="1002">
        <f ca="1">IF(AJ38=0,0,AJ39/AJ38)*100</f>
        <v>0</v>
      </c>
      <c r="AK40" s="1002">
        <f ca="1">IF(AK38=0,0,AK39/AK38)*100</f>
        <v>0</v>
      </c>
      <c r="AL40" s="1003"/>
      <c r="AM40" s="1002">
        <f ca="1">IF(AM38=0,0,AM39/AM38)*100</f>
        <v>0</v>
      </c>
      <c r="AN40" s="1002">
        <f ca="1">IF(AN38=0,0,AN39/AN38)*100</f>
        <v>0</v>
      </c>
      <c r="AO40" s="1003"/>
      <c r="AP40" s="1002">
        <f ca="1">IF(AP38=0,0,AP39/AP38)*100</f>
        <v>0</v>
      </c>
      <c r="AQ40" s="1002">
        <f ca="1">IF(AQ38=0,0,AQ39/AQ38)*100</f>
        <v>0</v>
      </c>
      <c r="AR40" s="1003"/>
      <c r="AS40" s="1002">
        <f ca="1">IF(AS38=0,0,AS39/AS38)*100</f>
        <v>0</v>
      </c>
      <c r="AT40" s="1002">
        <f ca="1">IF(AT38=0,0,AT39/AT38)*100</f>
        <v>0</v>
      </c>
      <c r="AU40" s="1003"/>
      <c r="AV40" s="1002">
        <f ca="1">IF(AV38=0,0,AV39/AV38)*100</f>
        <v>0</v>
      </c>
      <c r="AW40" s="1002">
        <f ca="1">IF(AW38=0,0,AW39/AW38)*100</f>
        <v>0</v>
      </c>
      <c r="AX40" s="1003"/>
      <c r="AY40" s="1002">
        <f ca="1">IF(AY38=0,0,AY39/AY38)*100</f>
        <v>0</v>
      </c>
      <c r="AZ40" s="1002">
        <f ca="1">IF(AZ38=0,0,AZ39/AZ38)*100</f>
        <v>0</v>
      </c>
      <c r="BA40" s="1003"/>
      <c r="BB40" s="1002">
        <f ca="1">IF(BB38=0,0,BB39/BB38)*100</f>
        <v>0</v>
      </c>
      <c r="BC40" s="1002">
        <f ca="1">IF(BC38=0,0,BC39/BC38)*100</f>
        <v>0</v>
      </c>
      <c r="BD40" s="1003"/>
      <c r="BE40" s="1002">
        <f ca="1">IF(BE38=0,0,BE39/BE38)*100</f>
        <v>0</v>
      </c>
      <c r="BF40" s="1002">
        <f ca="1">IF(BF38=0,0,BF39/BF38)*100</f>
        <v>0</v>
      </c>
      <c r="BG40" s="1003"/>
      <c r="BH40" s="1002">
        <f>IF(BH38=0,0,BH39/BH38)*100</f>
        <v>0</v>
      </c>
      <c r="BI40" s="1002">
        <f>IF(BI38=0,0,BI39/BI38)*100</f>
        <v>0</v>
      </c>
      <c r="BJ40" s="1003"/>
      <c r="BK40" s="1002">
        <f>IF(BK38=0,0,BK39/BK38)*100</f>
        <v>0</v>
      </c>
      <c r="BL40" s="1002">
        <f>IF(BL38=0,0,BL39/BL38)*100</f>
        <v>0</v>
      </c>
      <c r="BM40" s="1003"/>
      <c r="BN40" s="1002">
        <f>IF(BN38=0,0,BN39/BN38)*100</f>
        <v>0</v>
      </c>
      <c r="BO40" s="1002">
        <f>IF(BO38=0,0,BO39/BO38)*100</f>
        <v>0</v>
      </c>
      <c r="BP40" s="1003"/>
      <c r="BQ40" s="1002">
        <f>IF(BQ38=0,0,BQ39/BQ38)*100</f>
        <v>0</v>
      </c>
      <c r="BR40" s="1002">
        <f>IF(BR38=0,0,BR39/BR38)*100</f>
        <v>0</v>
      </c>
      <c r="BS40" s="1003"/>
      <c r="BT40" s="1002">
        <f>IF(BT38=0,0,BT39/BT38)*100</f>
        <v>0</v>
      </c>
      <c r="BU40" s="1002">
        <f>IF(BU38=0,0,BU39/BU38)*100</f>
        <v>0</v>
      </c>
      <c r="BV40" s="1003"/>
      <c r="BW40" s="1002">
        <f>IF(BW38=0,0,BW39/BW38)*100</f>
        <v>0</v>
      </c>
      <c r="BX40" s="1002">
        <f>IF(BX38=0,0,BX39/BX38)*100</f>
        <v>0</v>
      </c>
      <c r="BY40" s="1003"/>
      <c r="BZ40" s="1002">
        <f>IF(BZ38=0,0,BZ39/BZ38)*100</f>
        <v>0</v>
      </c>
      <c r="CA40" s="1002">
        <f>IF(CA38=0,0,CA39/CA38)*100</f>
        <v>0</v>
      </c>
      <c r="CB40" s="1003"/>
      <c r="CC40" s="1002">
        <f>IF(CC38=0,0,CC39/CC38)*100</f>
        <v>0</v>
      </c>
      <c r="CD40" s="1002">
        <f>IF(CD38=0,0,CD39/CD38)*100</f>
        <v>0</v>
      </c>
      <c r="CE40" s="1003"/>
      <c r="CF40" s="1002">
        <f>IF(CF38=0,0,CF39/CF38)*100</f>
        <v>0</v>
      </c>
      <c r="CG40" s="1002">
        <f>IF(CG38=0,0,CG39/CG38)*100</f>
        <v>0</v>
      </c>
      <c r="CH40" s="1003"/>
      <c r="CI40" s="1002">
        <f>IF(CI38=0,0,CI39/CI38)*100</f>
        <v>0</v>
      </c>
      <c r="CJ40" s="1002">
        <f>IF(CJ38=0,0,CJ39/CJ38)*100</f>
        <v>0</v>
      </c>
      <c r="CK40" s="1003"/>
      <c r="CL40" s="1002">
        <f>IF(CL38=0,0,CL39/CL38)*100</f>
        <v>0</v>
      </c>
      <c r="CM40" s="1002">
        <f>IF(CM38=0,0,CM39/CM38)*100</f>
        <v>0</v>
      </c>
      <c r="CN40" s="1003"/>
      <c r="CO40" s="1002">
        <f>IF(CO38=0,0,CO39/CO38)*100</f>
        <v>0</v>
      </c>
      <c r="CP40" s="1002">
        <f>IF(CP38=0,0,CP39/CP38)*100</f>
        <v>0</v>
      </c>
      <c r="CQ40" s="1003"/>
      <c r="CR40" s="1002">
        <f>IF(CR38=0,0,CR39/CR38)*100</f>
        <v>0</v>
      </c>
      <c r="CS40" s="1002">
        <f>IF(CS38=0,0,CS39/CS38)*100</f>
        <v>0</v>
      </c>
      <c r="CT40" s="1003"/>
      <c r="CU40" s="1002">
        <f>IF(CU38=0,0,CU39/CU38)*100</f>
        <v>0</v>
      </c>
      <c r="CV40" s="1002">
        <f>IF(CV38=0,0,CV39/CV38)*100</f>
        <v>0</v>
      </c>
      <c r="CW40" s="1003"/>
      <c r="CX40" s="1002">
        <f>IF(CX38=0,0,CX39/CX38)*100</f>
        <v>0</v>
      </c>
      <c r="CY40" s="1002">
        <f>IF(CY38=0,0,CY39/CY38)*100</f>
        <v>0</v>
      </c>
      <c r="CZ40" s="1003"/>
      <c r="DA40" s="1002">
        <f>IF(DA38=0,0,DA39/DA38)*100</f>
        <v>0</v>
      </c>
      <c r="DB40" s="1002">
        <f>IF(DB38=0,0,DB39/DB38)*100</f>
        <v>0</v>
      </c>
      <c r="DC40" s="1003"/>
      <c r="DD40" s="1002">
        <f>IF(DD38=0,0,DD39/DD38)*100</f>
        <v>0</v>
      </c>
      <c r="DE40" s="1002">
        <f>IF(DE38=0,0,DE39/DE38)*100</f>
        <v>0</v>
      </c>
      <c r="DF40" s="1003"/>
      <c r="DG40" s="1002">
        <f>IF(DG38=0,0,DG39/DG38)*100</f>
        <v>0</v>
      </c>
      <c r="DH40" s="1002">
        <f>IF(DH38=0,0,DH39/DH38)*100</f>
        <v>0</v>
      </c>
      <c r="DI40" s="1003"/>
      <c r="DJ40" s="1002">
        <f>IF(DJ38=0,0,DJ39/DJ38)*100</f>
        <v>0</v>
      </c>
      <c r="DK40" s="1002">
        <f>IF(DK38=0,0,DK39/DK38)*100</f>
        <v>0</v>
      </c>
      <c r="DL40" s="1003"/>
      <c r="DM40" s="1002">
        <f>IF(DM38=0,0,DM39/DM38)*100</f>
        <v>0</v>
      </c>
      <c r="DN40" s="1002">
        <f>IF(DN38=0,0,DN39/DN38)*100</f>
        <v>0</v>
      </c>
      <c r="DO40" s="1003"/>
      <c r="DP40" s="1002">
        <f>IF(DP38=0,0,DP39/DP38)*100</f>
        <v>0</v>
      </c>
      <c r="DQ40" s="1002">
        <f>IF(DQ38=0,0,DQ39/DQ38)*100</f>
        <v>0</v>
      </c>
      <c r="DR40" s="1003"/>
      <c r="DS40" s="1002">
        <f>IF(DS38=0,0,DS39/DS38)*100</f>
        <v>0</v>
      </c>
      <c r="DT40" s="1002">
        <f>IF(DT38=0,0,DT39/DT38)*100</f>
        <v>0</v>
      </c>
      <c r="DU40" s="1003"/>
      <c r="DV40" s="1002">
        <f>IF(DV38=0,0,DV39/DV38)*100</f>
        <v>0</v>
      </c>
      <c r="DW40" s="1002">
        <f>IF(DW38=0,0,DW39/DW38)*100</f>
        <v>0</v>
      </c>
      <c r="DX40" s="1003"/>
      <c r="DY40" s="1002">
        <f>IF(DY38=0,0,DY39/DY38)*100</f>
        <v>0</v>
      </c>
      <c r="DZ40" s="1002">
        <f>IF(DZ38=0,0,DZ39/DZ38)*100</f>
        <v>0</v>
      </c>
      <c r="EA40" s="1003"/>
      <c r="EB40" s="1002">
        <f>IF(EB38=0,0,EB39/EB38)*100</f>
        <v>0</v>
      </c>
      <c r="EC40" s="1002">
        <f>IF(EC38=0,0,EC39/EC38)*100</f>
        <v>0</v>
      </c>
      <c r="ED40" s="1003"/>
      <c r="EE40" s="1002">
        <f>IF(EE38=0,0,EE39/EE38)*100</f>
        <v>0</v>
      </c>
      <c r="EF40" s="1002">
        <f>IF(EF38=0,0,EF39/EF38)*100</f>
        <v>0</v>
      </c>
      <c r="EG40" s="1003"/>
      <c r="EH40" s="1002">
        <f>IF(EH38=0,0,EH39/EH38)*100</f>
        <v>0</v>
      </c>
      <c r="EI40" s="1002">
        <f>IF(EI38=0,0,EI39/EI38)*100</f>
        <v>0</v>
      </c>
      <c r="EJ40" s="1003"/>
      <c r="EK40" s="1002">
        <f>IF(EK38=0,0,EK39/EK38)*100</f>
        <v>0</v>
      </c>
      <c r="EL40" s="1002">
        <f>IF(EL38=0,0,EL39/EL38)*100</f>
        <v>0</v>
      </c>
      <c r="EM40" s="1003"/>
      <c r="EN40" s="1002">
        <f>IF(EN38=0,0,EN39/EN38)*100</f>
        <v>0</v>
      </c>
      <c r="EO40" s="1002">
        <f>IF(EO38=0,0,EO39/EO38)*100</f>
        <v>0</v>
      </c>
      <c r="EP40" s="1003"/>
      <c r="EQ40" s="1002">
        <f>IF(EQ38=0,0,EQ39/EQ38)*100</f>
        <v>0</v>
      </c>
      <c r="ER40" s="1002">
        <f>IF(ER38=0,0,ER39/ER38)*100</f>
        <v>0</v>
      </c>
      <c r="ES40" s="1003"/>
      <c r="ET40" s="1002">
        <f>IF(ET38=0,0,ET39/ET38)*100</f>
        <v>0</v>
      </c>
      <c r="EU40" s="1002">
        <f>IF(EU38=0,0,EU39/EU38)*100</f>
        <v>0</v>
      </c>
      <c r="EV40" s="1003"/>
      <c r="EW40" s="1002">
        <f>IF(EW38=0,0,EW39/EW38)*100</f>
        <v>0</v>
      </c>
      <c r="EX40" s="1002">
        <f>IF(EX38=0,0,EX39/EX38)*100</f>
        <v>0</v>
      </c>
      <c r="EY40" s="1003"/>
      <c r="EZ40" s="1002">
        <f>IF(EZ38=0,0,EZ39/EZ38)*100</f>
        <v>0</v>
      </c>
      <c r="FA40" s="1002">
        <f>IF(FA38=0,0,FA39/FA38)*100</f>
        <v>0</v>
      </c>
      <c r="FB40" s="1003"/>
      <c r="FC40" s="1002">
        <f>IF(FC38=0,0,FC39/FC38)*100</f>
        <v>0</v>
      </c>
      <c r="FD40" s="1002">
        <f>IF(FD38=0,0,FD39/FD38)*100</f>
        <v>0</v>
      </c>
      <c r="FE40" s="1003"/>
      <c r="FF40" s="1002">
        <f>IF(FF38=0,0,FF39/FF38)*100</f>
        <v>0</v>
      </c>
      <c r="FG40" s="1002">
        <f>IF(FG38=0,0,FG39/FG38)*100</f>
        <v>0</v>
      </c>
      <c r="FH40" s="1003"/>
      <c r="FI40" s="1002">
        <f>IF(FI38=0,0,FI39/FI38)*100</f>
        <v>0</v>
      </c>
      <c r="FJ40" s="1002">
        <f>IF(FJ38=0,0,FJ39/FJ38)*100</f>
        <v>0</v>
      </c>
      <c r="FK40" s="1003"/>
      <c r="FL40" s="1002">
        <f>IF(FL38=0,0,FL39/FL38)*100</f>
        <v>0</v>
      </c>
      <c r="FM40" s="1002">
        <f>IF(FM38=0,0,FM39/FM38)*100</f>
        <v>0</v>
      </c>
      <c r="FN40" s="1003"/>
      <c r="FO40" s="1002">
        <f>IF(FO38=0,0,FO39/FO38)*100</f>
        <v>0</v>
      </c>
      <c r="FP40" s="1002">
        <f>IF(FP38=0,0,FP39/FP38)*100</f>
        <v>0</v>
      </c>
      <c r="FQ40" s="1003"/>
      <c r="FR40" s="1002">
        <f>IF(FR38=0,0,FR39/FR38)*100</f>
        <v>0</v>
      </c>
      <c r="FS40" s="1002">
        <f>IF(FS38=0,0,FS39/FS38)*100</f>
        <v>0</v>
      </c>
      <c r="FT40" s="1003"/>
      <c r="FU40" s="1002">
        <f>IF(FU38=0,0,FU39/FU38)*100</f>
        <v>0</v>
      </c>
      <c r="FV40" s="1002">
        <f>IF(FV38=0,0,FV39/FV38)*100</f>
        <v>0</v>
      </c>
      <c r="FW40" s="1003"/>
      <c r="FX40" s="210"/>
      <c r="FZ40" s="964" t="s">
        <v>1609</v>
      </c>
    </row>
    <row r="41" spans="1:186" ht="14.65" hidden="1" customHeight="1" x14ac:dyDescent="0.15">
      <c r="A41" s="416"/>
      <c r="B41" s="837" t="b" cm="1">
        <f t="array" ref="B41">B40</f>
        <v>0</v>
      </c>
      <c r="C41" s="416"/>
      <c r="D41" s="416"/>
      <c r="E41" s="759">
        <v>15</v>
      </c>
      <c r="F41" s="3" cm="1">
        <f t="array" aca="1" ref="F41" ca="1">OFFSET(E41,-1,1)</f>
        <v>0</v>
      </c>
      <c r="G41" s="26" t="s">
        <v>1610</v>
      </c>
      <c r="H41" s="416" t="s">
        <v>501</v>
      </c>
      <c r="I41" s="416" t="s">
        <v>1608</v>
      </c>
      <c r="J41" s="416"/>
      <c r="K41" s="416"/>
      <c r="L41" s="416"/>
      <c r="M41" s="416"/>
      <c r="N41" s="416"/>
      <c r="O41" s="416"/>
      <c r="P41" s="416"/>
      <c r="Q41" s="813"/>
      <c r="R41" s="416"/>
      <c r="S41" s="416"/>
      <c r="T41" s="388" t="b" cm="1">
        <f t="array" ref="T41">T40</f>
        <v>0</v>
      </c>
      <c r="U41" s="416"/>
      <c r="V41" s="416"/>
      <c r="W41" s="416"/>
      <c r="X41" s="2066"/>
      <c r="Y41" s="416"/>
      <c r="Z41" s="2011"/>
      <c r="AA41" s="416"/>
      <c r="AB41" s="816" t="s">
        <v>1611</v>
      </c>
      <c r="AC41" s="783" t="s">
        <v>563</v>
      </c>
      <c r="AD41" s="1443">
        <f ca="1">IF(AND(method_reg="Метод индексации",god&lt;&gt;first_year),SUMIFS(INDEX('Калькуляция (МИ корр)'!$AJ$25:$BC$459,,MATCH(AD$8,'Калькуляция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(МИ)'!$AJ$25:$BC$459,,MATCH(AD$8,'Калькуляция (МИ)'!$AJ$8:$BC$8,0)),'Калькуляция (МИ)'!$F$25:$F$459,$F41,'Калькуляция (МИ)'!$G$25:$G$459,$G41))))</f>
        <v>0</v>
      </c>
      <c r="AE41" s="1443">
        <f ca="1">IF(AND(method_reg="Метод индексации",god&lt;&gt;first_year),SUMIFS(INDEX('Калькуляция (МИ корр)'!$AJ$25:$BC$459,,MATCH(AE$8,'Калькуляция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(МИ)'!$AJ$25:$BC$459,,MATCH(AE$8,'Калькуляция (МИ)'!$AJ$8:$BC$8,0)),'Калькуляция (МИ)'!$F$25:$F$459,$F41,'Калькуляция (МИ)'!$G$25:$G$459,$G41))))</f>
        <v>0</v>
      </c>
      <c r="AF41" s="1005">
        <f ca="1">IF(AD41=0,0,(AE41-AD41)/AD41*100)</f>
        <v>0</v>
      </c>
      <c r="AG41" s="1443">
        <f ca="1">IF(AND(method_reg="Метод индексации",god&lt;&gt;first_year),SUMIFS(INDEX('Калькуляция (МИ корр)'!$AJ$25:$BC$459,,MATCH(AG$8,'Калькуляция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(МИ)'!$AJ$25:$BC$459,,MATCH(AG$8,'Калькуляция (МИ)'!$AJ$8:$BC$8,0)),'Калькуляция (МИ)'!$F$25:$F$459,$F41,'Калькуляция (МИ)'!$G$25:$G$459,$G41))))</f>
        <v>0</v>
      </c>
      <c r="AH41" s="1443">
        <f ca="1">IF(AND(method_reg="Метод индексации",god&lt;&gt;first_year),SUMIFS(INDEX('Калькуляция (МИ корр)'!$AJ$25:$BC$459,,MATCH(AH$8,'Калькуляция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(МИ)'!$AJ$25:$BC$459,,MATCH(AH$8,'Калькуляция (МИ)'!$AJ$8:$BC$8,0)),'Калькуляция (МИ)'!$F$25:$F$459,$F41,'Калькуляция (МИ)'!$G$25:$G$459,$G41))))</f>
        <v>0</v>
      </c>
      <c r="AI41" s="1005">
        <f ca="1">IF(AG41=0,0,(AH41-AG41)/AG41*100)</f>
        <v>0</v>
      </c>
      <c r="AJ41" s="1443">
        <f ca="1">IF(AND(method_reg="Метод индексации",god&lt;&gt;first_year),SUMIFS(INDEX('Калькуляция (МИ корр)'!$AJ$25:$BC$459,,MATCH(AJ$8,'Калькуляция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(МИ)'!$AJ$25:$BC$459,,MATCH(AJ$8,'Калькуляция (МИ)'!$AJ$8:$BC$8,0)),'Калькуляция (МИ)'!$F$25:$F$459,$F41,'Калькуляция (МИ)'!$G$25:$G$459,$G41))))</f>
        <v>0</v>
      </c>
      <c r="AK41" s="1443">
        <f ca="1">IF(AND(method_reg="Метод индексации",god&lt;&gt;first_year),SUMIFS(INDEX('Калькуляция (МИ корр)'!$AJ$25:$BC$459,,MATCH(AK$8,'Калькуляция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(МИ)'!$AJ$25:$BC$459,,MATCH(AK$8,'Калькуляция (МИ)'!$AJ$8:$BC$8,0)),'Калькуляция (МИ)'!$F$25:$F$459,$F41,'Калькуляция (МИ)'!$G$25:$G$459,$G41))))</f>
        <v>0</v>
      </c>
      <c r="AL41" s="1005">
        <f ca="1">IF(AJ41=0,0,(AK41-AJ41)/AJ41*100)</f>
        <v>0</v>
      </c>
      <c r="AM41" s="1443">
        <f ca="1">IF(AND(method_reg="Метод индексации",god&lt;&gt;first_year),SUMIFS(INDEX('Калькуляция (МИ корр)'!$AJ$25:$BC$459,,MATCH(AM$8,'Калькуляция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(МИ)'!$AJ$25:$BC$459,,MATCH(AM$8,'Калькуляция (МИ)'!$AJ$8:$BC$8,0)),'Калькуляция (МИ)'!$F$25:$F$459,$F41,'Калькуляция (МИ)'!$G$25:$G$459,$G41))))</f>
        <v>0</v>
      </c>
      <c r="AN41" s="1443">
        <f ca="1">IF(AND(method_reg="Метод индексации",god&lt;&gt;first_year),SUMIFS(INDEX('Калькуляция (МИ корр)'!$AJ$25:$BC$459,,MATCH(AN$8,'Калькуляция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(МИ)'!$AJ$25:$BC$459,,MATCH(AN$8,'Калькуляция (МИ)'!$AJ$8:$BC$8,0)),'Калькуляция (МИ)'!$F$25:$F$459,$F41,'Калькуляция (МИ)'!$G$25:$G$459,$G41))))</f>
        <v>0</v>
      </c>
      <c r="AO41" s="1005">
        <f ca="1">IF(AM41=0,0,(AN41-AM41)/AM41*100)</f>
        <v>0</v>
      </c>
      <c r="AP41" s="1443">
        <f ca="1">IF(AND(method_reg="Метод индексации",god&lt;&gt;first_year),SUMIFS(INDEX('Калькуляция (МИ корр)'!$AJ$25:$BC$459,,MATCH(AP$8,'Калькуляция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(МИ)'!$AJ$25:$BC$459,,MATCH(AP$8,'Калькуляция (МИ)'!$AJ$8:$BC$8,0)),'Калькуляция (МИ)'!$F$25:$F$459,$F41,'Калькуляция (МИ)'!$G$25:$G$459,$G41))))</f>
        <v>0</v>
      </c>
      <c r="AQ41" s="1443">
        <f ca="1">IF(AND(method_reg="Метод индексации",god&lt;&gt;first_year),SUMIFS(INDEX('Калькуляция (МИ корр)'!$AJ$25:$BC$459,,MATCH(AQ$8,'Калькуляция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(МИ)'!$AJ$25:$BC$459,,MATCH(AQ$8,'Калькуляция (МИ)'!$AJ$8:$BC$8,0)),'Калькуляция (МИ)'!$F$25:$F$459,$F41,'Калькуляция (МИ)'!$G$25:$G$459,$G41))))</f>
        <v>0</v>
      </c>
      <c r="AR41" s="1005">
        <f ca="1">IF(AP41=0,0,(AQ41-AP41)/AP41*100)</f>
        <v>0</v>
      </c>
      <c r="AS41" s="1443">
        <f ca="1">IF(AND(method_reg="Метод индексации",god&lt;&gt;first_year),SUMIFS(INDEX('Калькуляция (МИ корр)'!$AJ$25:$BC$459,,MATCH(AS$8,'Калькуляция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(МИ)'!$AJ$25:$BC$459,,MATCH(AS$8,'Калькуляция (МИ)'!$AJ$8:$BC$8,0)),'Калькуляция (МИ)'!$F$25:$F$459,$F41,'Калькуляция (МИ)'!$G$25:$G$459,$G41))))</f>
        <v>0</v>
      </c>
      <c r="AT41" s="1443">
        <f ca="1">IF(AND(method_reg="Метод индексации",god&lt;&gt;first_year),SUMIFS(INDEX('Калькуляция (МИ корр)'!$AJ$25:$BC$459,,MATCH(AT$8,'Калькуляция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(МИ)'!$AJ$25:$BC$459,,MATCH(AT$8,'Калькуляция (МИ)'!$AJ$8:$BC$8,0)),'Калькуляция (МИ)'!$F$25:$F$459,$F41,'Калькуляция (МИ)'!$G$25:$G$459,$G41))))</f>
        <v>0</v>
      </c>
      <c r="AU41" s="1005">
        <f ca="1">IF(AS41=0,0,(AT41-AS41)/AS41*100)</f>
        <v>0</v>
      </c>
      <c r="AV41" s="1443">
        <f ca="1">IF(AND(method_reg="Метод индексации",god&lt;&gt;first_year),SUMIFS(INDEX('Калькуляция (МИ корр)'!$AJ$25:$BC$459,,MATCH(AV$8,'Калькуляция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(МИ)'!$AJ$25:$BC$459,,MATCH(AV$8,'Калькуляция (МИ)'!$AJ$8:$BC$8,0)),'Калькуляция (МИ)'!$F$25:$F$459,$F41,'Калькуляция (МИ)'!$G$25:$G$459,$G41))))</f>
        <v>0</v>
      </c>
      <c r="AW41" s="1443">
        <f ca="1">IF(AND(method_reg="Метод индексации",god&lt;&gt;first_year),SUMIFS(INDEX('Калькуляция (МИ корр)'!$AJ$25:$BC$459,,MATCH(AW$8,'Калькуляция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(МИ)'!$AJ$25:$BC$459,,MATCH(AW$8,'Калькуляция (МИ)'!$AJ$8:$BC$8,0)),'Калькуляция (МИ)'!$F$25:$F$459,$F41,'Калькуляция (МИ)'!$G$25:$G$459,$G41))))</f>
        <v>0</v>
      </c>
      <c r="AX41" s="1005">
        <f ca="1">IF(AV41=0,0,(AW41-AV41)/AV41*100)</f>
        <v>0</v>
      </c>
      <c r="AY41" s="1443">
        <f ca="1">IF(AND(method_reg="Метод индексации",god&lt;&gt;first_year),SUMIFS(INDEX('Калькуляция (МИ корр)'!$AJ$25:$BC$459,,MATCH(AY$8,'Калькуляция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(МИ)'!$AJ$25:$BC$459,,MATCH(AY$8,'Калькуляция (МИ)'!$AJ$8:$BC$8,0)),'Калькуляция (МИ)'!$F$25:$F$459,$F41,'Калькуляция (МИ)'!$G$25:$G$459,$G41))))</f>
        <v>0</v>
      </c>
      <c r="AZ41" s="1443">
        <f ca="1">IF(AND(method_reg="Метод индексации",god&lt;&gt;first_year),SUMIFS(INDEX('Калькуляция (МИ корр)'!$AJ$25:$BC$459,,MATCH(AZ$8,'Калькуляция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(МИ)'!$AJ$25:$BC$459,,MATCH(AZ$8,'Калькуляция (МИ)'!$AJ$8:$BC$8,0)),'Калькуляция (МИ)'!$F$25:$F$459,$F41,'Калькуляция (МИ)'!$G$25:$G$459,$G41))))</f>
        <v>0</v>
      </c>
      <c r="BA41" s="1005">
        <f ca="1">IF(AY41=0,0,(AZ41-AY41)/AY41*100)</f>
        <v>0</v>
      </c>
      <c r="BB41" s="1443">
        <f ca="1">IF(AND(method_reg="Метод индексации",god&lt;&gt;first_year),SUMIFS(INDEX('Калькуляция (МИ корр)'!$AJ$25:$BC$459,,MATCH(BB$8,'Калькуляция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(МИ)'!$AJ$25:$BC$459,,MATCH(BB$8,'Калькуляция (МИ)'!$AJ$8:$BC$8,0)),'Калькуляция (МИ)'!$F$25:$F$459,$F41,'Калькуляция (МИ)'!$G$25:$G$459,$G41))))</f>
        <v>0</v>
      </c>
      <c r="BC41" s="1443">
        <f ca="1">IF(AND(method_reg="Метод индексации",god&lt;&gt;first_year),SUMIFS(INDEX('Калькуляция (МИ корр)'!$AJ$25:$BC$459,,MATCH(BC$8,'Калькуляция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(МИ)'!$AJ$25:$BC$459,,MATCH(BC$8,'Калькуляция (МИ)'!$AJ$8:$BC$8,0)),'Калькуляция (МИ)'!$F$25:$F$459,$F41,'Калькуляция (МИ)'!$G$25:$G$459,$G41))))</f>
        <v>0</v>
      </c>
      <c r="BD41" s="1005">
        <f ca="1">IF(BB41=0,0,(BC41-BB41)/BB41*100)</f>
        <v>0</v>
      </c>
      <c r="BE41" s="1443">
        <f ca="1">IF(AND(method_reg="Метод индексации",god&lt;&gt;first_year),SUMIFS(INDEX('Калькуляция (МИ корр)'!$AJ$25:$BC$459,,MATCH(BE$8,'Калькуляция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(МИ)'!$AJ$25:$BC$459,,MATCH(BE$8,'Калькуляция (МИ)'!$AJ$8:$BC$8,0)),'Калькуляция (МИ)'!$F$25:$F$459,$F41,'Калькуляция (МИ)'!$G$25:$G$459,$G41))))</f>
        <v>0</v>
      </c>
      <c r="BF41" s="1443">
        <f ca="1">IF(AND(method_reg="Метод индексации",god&lt;&gt;first_year),SUMIFS(INDEX('Калькуляция (МИ корр)'!$AJ$25:$BC$459,,MATCH(BF$8,'Калькуляция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(МИ)'!$AJ$25:$BC$459,,MATCH(BF$8,'Калькуляция (МИ)'!$AJ$8:$BC$8,0)),'Калькуляция (МИ)'!$F$25:$F$459,$F41,'Калькуляция (МИ)'!$G$25:$G$459,$G41))))</f>
        <v>0</v>
      </c>
      <c r="BG41" s="1005">
        <f ca="1">IF(BE41=0,0,(BF41-BE41)/BE41*100)</f>
        <v>0</v>
      </c>
      <c r="BH41" s="1443"/>
      <c r="BI41" s="1443"/>
      <c r="BJ41" s="1005">
        <f>IF(BH41=0,0,(BI41-BH41)/BH41*100)</f>
        <v>0</v>
      </c>
      <c r="BK41" s="1443"/>
      <c r="BL41" s="1443"/>
      <c r="BM41" s="1005">
        <f>IF(BK41=0,0,(BL41-BK41)/BK41*100)</f>
        <v>0</v>
      </c>
      <c r="BN41" s="1443"/>
      <c r="BO41" s="1443"/>
      <c r="BP41" s="1005">
        <f>IF(BN41=0,0,(BO41-BN41)/BN41*100)</f>
        <v>0</v>
      </c>
      <c r="BQ41" s="1443"/>
      <c r="BR41" s="1443"/>
      <c r="BS41" s="1005">
        <f>IF(BQ41=0,0,(BR41-BQ41)/BQ41*100)</f>
        <v>0</v>
      </c>
      <c r="BT41" s="1443"/>
      <c r="BU41" s="1443"/>
      <c r="BV41" s="1005">
        <f>IF(BT41=0,0,(BU41-BT41)/BT41*100)</f>
        <v>0</v>
      </c>
      <c r="BW41" s="1443"/>
      <c r="BX41" s="1443"/>
      <c r="BY41" s="1005">
        <f>IF(BW41=0,0,(BX41-BW41)/BW41*100)</f>
        <v>0</v>
      </c>
      <c r="BZ41" s="1443"/>
      <c r="CA41" s="1443"/>
      <c r="CB41" s="1005">
        <f>IF(BZ41=0,0,(CA41-BZ41)/BZ41*100)</f>
        <v>0</v>
      </c>
      <c r="CC41" s="1443"/>
      <c r="CD41" s="1443"/>
      <c r="CE41" s="1005">
        <f>IF(CC41=0,0,(CD41-CC41)/CC41*100)</f>
        <v>0</v>
      </c>
      <c r="CF41" s="1443"/>
      <c r="CG41" s="1443"/>
      <c r="CH41" s="1005">
        <f>IF(CF41=0,0,(CG41-CF41)/CF41*100)</f>
        <v>0</v>
      </c>
      <c r="CI41" s="1443"/>
      <c r="CJ41" s="1443"/>
      <c r="CK41" s="1005">
        <f>IF(CI41=0,0,(CJ41-CI41)/CI41*100)</f>
        <v>0</v>
      </c>
      <c r="CL41" s="1443"/>
      <c r="CM41" s="1443"/>
      <c r="CN41" s="1005">
        <f>IF(CL41=0,0,(CM41-CL41)/CL41*100)</f>
        <v>0</v>
      </c>
      <c r="CO41" s="1443"/>
      <c r="CP41" s="1443"/>
      <c r="CQ41" s="1005">
        <f>IF(CO41=0,0,(CP41-CO41)/CO41*100)</f>
        <v>0</v>
      </c>
      <c r="CR41" s="1443"/>
      <c r="CS41" s="1443"/>
      <c r="CT41" s="1005">
        <f>IF(CR41=0,0,(CS41-CR41)/CR41*100)</f>
        <v>0</v>
      </c>
      <c r="CU41" s="1443"/>
      <c r="CV41" s="1443"/>
      <c r="CW41" s="1005">
        <f>IF(CU41=0,0,(CV41-CU41)/CU41*100)</f>
        <v>0</v>
      </c>
      <c r="CX41" s="1443"/>
      <c r="CY41" s="1443"/>
      <c r="CZ41" s="1005">
        <f>IF(CX41=0,0,(CY41-CX41)/CX41*100)</f>
        <v>0</v>
      </c>
      <c r="DA41" s="1443"/>
      <c r="DB41" s="1443"/>
      <c r="DC41" s="1005">
        <f>IF(DA41=0,0,(DB41-DA41)/DA41*100)</f>
        <v>0</v>
      </c>
      <c r="DD41" s="1443"/>
      <c r="DE41" s="1443"/>
      <c r="DF41" s="1005">
        <f>IF(DD41=0,0,(DE41-DD41)/DD41*100)</f>
        <v>0</v>
      </c>
      <c r="DG41" s="1443"/>
      <c r="DH41" s="1443"/>
      <c r="DI41" s="1005">
        <f>IF(DG41=0,0,(DH41-DG41)/DG41*100)</f>
        <v>0</v>
      </c>
      <c r="DJ41" s="1443"/>
      <c r="DK41" s="1443"/>
      <c r="DL41" s="1005">
        <f>IF(DJ41=0,0,(DK41-DJ41)/DJ41*100)</f>
        <v>0</v>
      </c>
      <c r="DM41" s="1443"/>
      <c r="DN41" s="1443"/>
      <c r="DO41" s="1005">
        <f>IF(DM41=0,0,(DN41-DM41)/DM41*100)</f>
        <v>0</v>
      </c>
      <c r="DP41" s="1443"/>
      <c r="DQ41" s="1443"/>
      <c r="DR41" s="1005">
        <f>IF(DP41=0,0,(DQ41-DP41)/DP41*100)</f>
        <v>0</v>
      </c>
      <c r="DS41" s="1443"/>
      <c r="DT41" s="1443"/>
      <c r="DU41" s="1005">
        <f>IF(DS41=0,0,(DT41-DS41)/DS41*100)</f>
        <v>0</v>
      </c>
      <c r="DV41" s="1443"/>
      <c r="DW41" s="1443"/>
      <c r="DX41" s="1005">
        <f>IF(DV41=0,0,(DW41-DV41)/DV41*100)</f>
        <v>0</v>
      </c>
      <c r="DY41" s="1443"/>
      <c r="DZ41" s="1443"/>
      <c r="EA41" s="1005">
        <f>IF(DY41=0,0,(DZ41-DY41)/DY41*100)</f>
        <v>0</v>
      </c>
      <c r="EB41" s="1443"/>
      <c r="EC41" s="1443"/>
      <c r="ED41" s="1005">
        <f>IF(EB41=0,0,(EC41-EB41)/EB41*100)</f>
        <v>0</v>
      </c>
      <c r="EE41" s="1443"/>
      <c r="EF41" s="1443"/>
      <c r="EG41" s="1005">
        <f>IF(EE41=0,0,(EF41-EE41)/EE41*100)</f>
        <v>0</v>
      </c>
      <c r="EH41" s="1443"/>
      <c r="EI41" s="1443"/>
      <c r="EJ41" s="1005">
        <f>IF(EH41=0,0,(EI41-EH41)/EH41*100)</f>
        <v>0</v>
      </c>
      <c r="EK41" s="1443"/>
      <c r="EL41" s="1443"/>
      <c r="EM41" s="1005">
        <f>IF(EK41=0,0,(EL41-EK41)/EK41*100)</f>
        <v>0</v>
      </c>
      <c r="EN41" s="1443"/>
      <c r="EO41" s="1443"/>
      <c r="EP41" s="1005">
        <f>IF(EN41=0,0,(EO41-EN41)/EN41*100)</f>
        <v>0</v>
      </c>
      <c r="EQ41" s="1443"/>
      <c r="ER41" s="1443"/>
      <c r="ES41" s="1005">
        <f>IF(EQ41=0,0,(ER41-EQ41)/EQ41*100)</f>
        <v>0</v>
      </c>
      <c r="ET41" s="1443"/>
      <c r="EU41" s="1443"/>
      <c r="EV41" s="1005">
        <f>IF(ET41=0,0,(EU41-ET41)/ET41*100)</f>
        <v>0</v>
      </c>
      <c r="EW41" s="1443"/>
      <c r="EX41" s="1443"/>
      <c r="EY41" s="1005">
        <f>IF(EW41=0,0,(EX41-EW41)/EW41*100)</f>
        <v>0</v>
      </c>
      <c r="EZ41" s="1443"/>
      <c r="FA41" s="1443"/>
      <c r="FB41" s="1005">
        <f>IF(EZ41=0,0,(FA41-EZ41)/EZ41*100)</f>
        <v>0</v>
      </c>
      <c r="FC41" s="1443"/>
      <c r="FD41" s="1443"/>
      <c r="FE41" s="1005">
        <f>IF(FC41=0,0,(FD41-FC41)/FC41*100)</f>
        <v>0</v>
      </c>
      <c r="FF41" s="1443"/>
      <c r="FG41" s="1443"/>
      <c r="FH41" s="1005">
        <f>IF(FF41=0,0,(FG41-FF41)/FF41*100)</f>
        <v>0</v>
      </c>
      <c r="FI41" s="1443"/>
      <c r="FJ41" s="1443"/>
      <c r="FK41" s="1005">
        <f>IF(FI41=0,0,(FJ41-FI41)/FI41*100)</f>
        <v>0</v>
      </c>
      <c r="FL41" s="1443"/>
      <c r="FM41" s="1443"/>
      <c r="FN41" s="1005">
        <f>IF(FL41=0,0,(FM41-FL41)/FL41*100)</f>
        <v>0</v>
      </c>
      <c r="FO41" s="1443"/>
      <c r="FP41" s="1443"/>
      <c r="FQ41" s="1005">
        <f>IF(FO41=0,0,(FP41-FO41)/FO41*100)</f>
        <v>0</v>
      </c>
      <c r="FR41" s="1443"/>
      <c r="FS41" s="1443"/>
      <c r="FT41" s="1005">
        <f>IF(FR41=0,0,(FS41-FR41)/FR41*100)</f>
        <v>0</v>
      </c>
      <c r="FU41" s="1443"/>
      <c r="FV41" s="1443"/>
      <c r="FW41" s="1005">
        <f>IF(FU41=0,0,(FV41-FU41)/FU41*100)</f>
        <v>0</v>
      </c>
      <c r="FX41" s="210"/>
      <c r="FZ41" s="964" t="s">
        <v>1612</v>
      </c>
    </row>
    <row r="42" spans="1:186" ht="18.2" hidden="1" customHeight="1" x14ac:dyDescent="0.15">
      <c r="A42" s="416"/>
      <c r="B42" s="837" t="b" cm="1">
        <f t="array" ref="B42">B41</f>
        <v>0</v>
      </c>
      <c r="C42" s="416"/>
      <c r="D42" s="416"/>
      <c r="E42" s="759">
        <v>18.75</v>
      </c>
      <c r="F42" s="3" cm="1">
        <f t="array" aca="1" ref="F42" ca="1">OFFSET(E42,-1,1)</f>
        <v>0</v>
      </c>
      <c r="G42" s="416"/>
      <c r="H42" s="416" t="s">
        <v>494</v>
      </c>
      <c r="I42" s="416" cm="1">
        <f t="array" ref="I42">AB42</f>
        <v>0</v>
      </c>
      <c r="J42" s="416"/>
      <c r="K42" s="416"/>
      <c r="L42" s="416"/>
      <c r="M42" s="416"/>
      <c r="N42" s="416"/>
      <c r="O42" s="416"/>
      <c r="P42" s="416"/>
      <c r="Q42" s="813"/>
      <c r="R42" s="416"/>
      <c r="S42" s="416"/>
      <c r="T42" s="388" t="b">
        <f ca="1">AND(F42&gt;0,Y42&gt;0)</f>
        <v>0</v>
      </c>
      <c r="U42" s="416"/>
      <c r="V42" s="416"/>
      <c r="W42" s="416" t="s">
        <v>172</v>
      </c>
      <c r="X42" s="2066"/>
      <c r="Y42" s="2066">
        <v>0</v>
      </c>
      <c r="Z42" s="2011"/>
      <c r="AA42" s="1958" t="s">
        <v>173</v>
      </c>
      <c r="AB42" s="1444"/>
      <c r="AC42" s="783" t="s">
        <v>1588</v>
      </c>
      <c r="AD42" s="1445"/>
      <c r="AE42" s="1446"/>
      <c r="AF42" s="1003">
        <f>IF(AD42=0,0,(AE42-AD42)/AD42*100)</f>
        <v>0</v>
      </c>
      <c r="AG42" s="1445"/>
      <c r="AH42" s="1446"/>
      <c r="AI42" s="1003">
        <f>IF(AG42=0,0,(AH42-AG42)/AG42*100)</f>
        <v>0</v>
      </c>
      <c r="AJ42" s="1445"/>
      <c r="AK42" s="1446"/>
      <c r="AL42" s="1003">
        <f>IF(AJ42=0,0,(AK42-AJ42)/AJ42*100)</f>
        <v>0</v>
      </c>
      <c r="AM42" s="1445"/>
      <c r="AN42" s="1446"/>
      <c r="AO42" s="1003">
        <f>IF(AM42=0,0,(AN42-AM42)/AM42*100)</f>
        <v>0</v>
      </c>
      <c r="AP42" s="1445"/>
      <c r="AQ42" s="1446"/>
      <c r="AR42" s="1003">
        <f>IF(AP42=0,0,(AQ42-AP42)/AP42*100)</f>
        <v>0</v>
      </c>
      <c r="AS42" s="1445"/>
      <c r="AT42" s="1446"/>
      <c r="AU42" s="1003">
        <f>IF(AS42=0,0,(AT42-AS42)/AS42*100)</f>
        <v>0</v>
      </c>
      <c r="AV42" s="1445"/>
      <c r="AW42" s="1446"/>
      <c r="AX42" s="1003">
        <f>IF(AV42=0,0,(AW42-AV42)/AV42*100)</f>
        <v>0</v>
      </c>
      <c r="AY42" s="1445"/>
      <c r="AZ42" s="1446"/>
      <c r="BA42" s="1003">
        <f>IF(AY42=0,0,(AZ42-AY42)/AY42*100)</f>
        <v>0</v>
      </c>
      <c r="BB42" s="1445"/>
      <c r="BC42" s="1446"/>
      <c r="BD42" s="1003">
        <f>IF(BB42=0,0,(BC42-BB42)/BB42*100)</f>
        <v>0</v>
      </c>
      <c r="BE42" s="1445"/>
      <c r="BF42" s="1446"/>
      <c r="BG42" s="1003">
        <f>IF(BE42=0,0,(BF42-BE42)/BE42*100)</f>
        <v>0</v>
      </c>
      <c r="BH42" s="1445"/>
      <c r="BI42" s="1446"/>
      <c r="BJ42" s="1003">
        <f>IF(BH42=0,0,(BI42-BH42)/BH42*100)</f>
        <v>0</v>
      </c>
      <c r="BK42" s="1445"/>
      <c r="BL42" s="1446"/>
      <c r="BM42" s="1003">
        <f>IF(BK42=0,0,(BL42-BK42)/BK42*100)</f>
        <v>0</v>
      </c>
      <c r="BN42" s="1445"/>
      <c r="BO42" s="1446"/>
      <c r="BP42" s="1003">
        <f>IF(BN42=0,0,(BO42-BN42)/BN42*100)</f>
        <v>0</v>
      </c>
      <c r="BQ42" s="1445"/>
      <c r="BR42" s="1446"/>
      <c r="BS42" s="1003">
        <f>IF(BQ42=0,0,(BR42-BQ42)/BQ42*100)</f>
        <v>0</v>
      </c>
      <c r="BT42" s="1445"/>
      <c r="BU42" s="1446"/>
      <c r="BV42" s="1003">
        <f>IF(BT42=0,0,(BU42-BT42)/BT42*100)</f>
        <v>0</v>
      </c>
      <c r="BW42" s="1445"/>
      <c r="BX42" s="1446"/>
      <c r="BY42" s="1003">
        <f>IF(BW42=0,0,(BX42-BW42)/BW42*100)</f>
        <v>0</v>
      </c>
      <c r="BZ42" s="1445"/>
      <c r="CA42" s="1446"/>
      <c r="CB42" s="1003">
        <f>IF(BZ42=0,0,(CA42-BZ42)/BZ42*100)</f>
        <v>0</v>
      </c>
      <c r="CC42" s="1445"/>
      <c r="CD42" s="1446"/>
      <c r="CE42" s="1003">
        <f>IF(CC42=0,0,(CD42-CC42)/CC42*100)</f>
        <v>0</v>
      </c>
      <c r="CF42" s="1445"/>
      <c r="CG42" s="1446"/>
      <c r="CH42" s="1003">
        <f>IF(CF42=0,0,(CG42-CF42)/CF42*100)</f>
        <v>0</v>
      </c>
      <c r="CI42" s="1445"/>
      <c r="CJ42" s="1446"/>
      <c r="CK42" s="1003">
        <f>IF(CI42=0,0,(CJ42-CI42)/CI42*100)</f>
        <v>0</v>
      </c>
      <c r="CL42" s="1445"/>
      <c r="CM42" s="1446"/>
      <c r="CN42" s="1003">
        <f>IF(CL42=0,0,(CM42-CL42)/CL42*100)</f>
        <v>0</v>
      </c>
      <c r="CO42" s="1445"/>
      <c r="CP42" s="1446"/>
      <c r="CQ42" s="1003">
        <f>IF(CO42=0,0,(CP42-CO42)/CO42*100)</f>
        <v>0</v>
      </c>
      <c r="CR42" s="1445"/>
      <c r="CS42" s="1446"/>
      <c r="CT42" s="1003">
        <f>IF(CR42=0,0,(CS42-CR42)/CR42*100)</f>
        <v>0</v>
      </c>
      <c r="CU42" s="1445"/>
      <c r="CV42" s="1446"/>
      <c r="CW42" s="1003">
        <f>IF(CU42=0,0,(CV42-CU42)/CU42*100)</f>
        <v>0</v>
      </c>
      <c r="CX42" s="1445"/>
      <c r="CY42" s="1446"/>
      <c r="CZ42" s="1003">
        <f>IF(CX42=0,0,(CY42-CX42)/CX42*100)</f>
        <v>0</v>
      </c>
      <c r="DA42" s="1445"/>
      <c r="DB42" s="1446"/>
      <c r="DC42" s="1003">
        <f>IF(DA42=0,0,(DB42-DA42)/DA42*100)</f>
        <v>0</v>
      </c>
      <c r="DD42" s="1445"/>
      <c r="DE42" s="1446"/>
      <c r="DF42" s="1003">
        <f>IF(DD42=0,0,(DE42-DD42)/DD42*100)</f>
        <v>0</v>
      </c>
      <c r="DG42" s="1445"/>
      <c r="DH42" s="1446"/>
      <c r="DI42" s="1003">
        <f>IF(DG42=0,0,(DH42-DG42)/DG42*100)</f>
        <v>0</v>
      </c>
      <c r="DJ42" s="1445"/>
      <c r="DK42" s="1446"/>
      <c r="DL42" s="1003">
        <f>IF(DJ42=0,0,(DK42-DJ42)/DJ42*100)</f>
        <v>0</v>
      </c>
      <c r="DM42" s="1445"/>
      <c r="DN42" s="1446"/>
      <c r="DO42" s="1003">
        <f>IF(DM42=0,0,(DN42-DM42)/DM42*100)</f>
        <v>0</v>
      </c>
      <c r="DP42" s="1445"/>
      <c r="DQ42" s="1446"/>
      <c r="DR42" s="1003">
        <f>IF(DP42=0,0,(DQ42-DP42)/DP42*100)</f>
        <v>0</v>
      </c>
      <c r="DS42" s="1445"/>
      <c r="DT42" s="1446"/>
      <c r="DU42" s="1003">
        <f>IF(DS42=0,0,(DT42-DS42)/DS42*100)</f>
        <v>0</v>
      </c>
      <c r="DV42" s="1445"/>
      <c r="DW42" s="1446"/>
      <c r="DX42" s="1003">
        <f>IF(DV42=0,0,(DW42-DV42)/DV42*100)</f>
        <v>0</v>
      </c>
      <c r="DY42" s="1445"/>
      <c r="DZ42" s="1446"/>
      <c r="EA42" s="1003">
        <f>IF(DY42=0,0,(DZ42-DY42)/DY42*100)</f>
        <v>0</v>
      </c>
      <c r="EB42" s="1445"/>
      <c r="EC42" s="1446"/>
      <c r="ED42" s="1003">
        <f>IF(EB42=0,0,(EC42-EB42)/EB42*100)</f>
        <v>0</v>
      </c>
      <c r="EE42" s="1445"/>
      <c r="EF42" s="1446"/>
      <c r="EG42" s="1003">
        <f>IF(EE42=0,0,(EF42-EE42)/EE42*100)</f>
        <v>0</v>
      </c>
      <c r="EH42" s="1445"/>
      <c r="EI42" s="1446"/>
      <c r="EJ42" s="1003">
        <f>IF(EH42=0,0,(EI42-EH42)/EH42*100)</f>
        <v>0</v>
      </c>
      <c r="EK42" s="1445"/>
      <c r="EL42" s="1446"/>
      <c r="EM42" s="1003">
        <f>IF(EK42=0,0,(EL42-EK42)/EK42*100)</f>
        <v>0</v>
      </c>
      <c r="EN42" s="1445"/>
      <c r="EO42" s="1446"/>
      <c r="EP42" s="1003">
        <f>IF(EN42=0,0,(EO42-EN42)/EN42*100)</f>
        <v>0</v>
      </c>
      <c r="EQ42" s="1445"/>
      <c r="ER42" s="1446"/>
      <c r="ES42" s="1003">
        <f>IF(EQ42=0,0,(ER42-EQ42)/EQ42*100)</f>
        <v>0</v>
      </c>
      <c r="ET42" s="1445"/>
      <c r="EU42" s="1446"/>
      <c r="EV42" s="1003">
        <f>IF(ET42=0,0,(EU42-ET42)/ET42*100)</f>
        <v>0</v>
      </c>
      <c r="EW42" s="1445"/>
      <c r="EX42" s="1446"/>
      <c r="EY42" s="1003">
        <f>IF(EW42=0,0,(EX42-EW42)/EW42*100)</f>
        <v>0</v>
      </c>
      <c r="EZ42" s="1445"/>
      <c r="FA42" s="1446"/>
      <c r="FB42" s="1003">
        <f>IF(EZ42=0,0,(FA42-EZ42)/EZ42*100)</f>
        <v>0</v>
      </c>
      <c r="FC42" s="1445"/>
      <c r="FD42" s="1446"/>
      <c r="FE42" s="1003">
        <f>IF(FC42=0,0,(FD42-FC42)/FC42*100)</f>
        <v>0</v>
      </c>
      <c r="FF42" s="1445"/>
      <c r="FG42" s="1446"/>
      <c r="FH42" s="1003">
        <f>IF(FF42=0,0,(FG42-FF42)/FF42*100)</f>
        <v>0</v>
      </c>
      <c r="FI42" s="1445"/>
      <c r="FJ42" s="1446"/>
      <c r="FK42" s="1003">
        <f>IF(FI42=0,0,(FJ42-FI42)/FI42*100)</f>
        <v>0</v>
      </c>
      <c r="FL42" s="1445"/>
      <c r="FM42" s="1446"/>
      <c r="FN42" s="1003">
        <f>IF(FL42=0,0,(FM42-FL42)/FL42*100)</f>
        <v>0</v>
      </c>
      <c r="FO42" s="1445"/>
      <c r="FP42" s="1446"/>
      <c r="FQ42" s="1003">
        <f>IF(FO42=0,0,(FP42-FO42)/FO42*100)</f>
        <v>0</v>
      </c>
      <c r="FR42" s="1445"/>
      <c r="FS42" s="1446"/>
      <c r="FT42" s="1003">
        <f>IF(FR42=0,0,(FS42-FR42)/FR42*100)</f>
        <v>0</v>
      </c>
      <c r="FU42" s="1445"/>
      <c r="FV42" s="1446"/>
      <c r="FW42" s="1003">
        <f>IF(FU42=0,0,(FV42-FU42)/FU42*100)</f>
        <v>0</v>
      </c>
      <c r="FX42" s="210"/>
      <c r="FZ42" s="964" t="s">
        <v>1613</v>
      </c>
      <c r="GA42" s="924" t="s">
        <v>1614</v>
      </c>
      <c r="GB42" s="924" cm="1">
        <f t="array" ref="GB42">AB42</f>
        <v>0</v>
      </c>
      <c r="GD42" s="556" t="b">
        <v>1</v>
      </c>
    </row>
    <row r="43" spans="1:186" ht="14.65" hidden="1" customHeight="1" x14ac:dyDescent="0.15">
      <c r="A43" s="416"/>
      <c r="B43" s="837" t="b" cm="1">
        <f t="array" ref="B43">B42</f>
        <v>0</v>
      </c>
      <c r="C43" s="416"/>
      <c r="D43" s="416"/>
      <c r="E43" s="759">
        <v>15</v>
      </c>
      <c r="F43" s="3" cm="1">
        <f t="array" aca="1" ref="F43" ca="1">OFFSET(E43,-1,1)</f>
        <v>0</v>
      </c>
      <c r="G43" s="416"/>
      <c r="H43" s="416" t="s">
        <v>501</v>
      </c>
      <c r="I43" s="416" cm="1">
        <f t="array" ref="I43">I42</f>
        <v>0</v>
      </c>
      <c r="J43" s="416"/>
      <c r="K43" s="416"/>
      <c r="L43" s="416"/>
      <c r="M43" s="416"/>
      <c r="N43" s="416"/>
      <c r="O43" s="416"/>
      <c r="P43" s="416"/>
      <c r="Q43" s="813"/>
      <c r="R43" s="416"/>
      <c r="S43" s="416"/>
      <c r="T43" s="388" t="b" cm="1">
        <f t="array" aca="1" ref="T43" ca="1">T42</f>
        <v>0</v>
      </c>
      <c r="U43" s="416"/>
      <c r="V43" s="416"/>
      <c r="W43" s="416"/>
      <c r="X43" s="2066"/>
      <c r="Y43" s="2066"/>
      <c r="Z43" s="2011"/>
      <c r="AA43" s="1958"/>
      <c r="AB43" s="816" t="s">
        <v>1615</v>
      </c>
      <c r="AC43" s="218" t="s">
        <v>563</v>
      </c>
      <c r="AD43" s="1443"/>
      <c r="AE43" s="1443"/>
      <c r="AF43" s="1005">
        <f>IF(AD43=0,0,(AE43-AD43)/AD43*100)</f>
        <v>0</v>
      </c>
      <c r="AG43" s="1443"/>
      <c r="AH43" s="1443"/>
      <c r="AI43" s="1005">
        <f>IF(AG43=0,0,(AH43-AG43)/AG43*100)</f>
        <v>0</v>
      </c>
      <c r="AJ43" s="1443"/>
      <c r="AK43" s="1443"/>
      <c r="AL43" s="1005">
        <f>IF(AJ43=0,0,(AK43-AJ43)/AJ43*100)</f>
        <v>0</v>
      </c>
      <c r="AM43" s="1443"/>
      <c r="AN43" s="1443"/>
      <c r="AO43" s="1005">
        <f>IF(AM43=0,0,(AN43-AM43)/AM43*100)</f>
        <v>0</v>
      </c>
      <c r="AP43" s="1443"/>
      <c r="AQ43" s="1443"/>
      <c r="AR43" s="1005">
        <f>IF(AP43=0,0,(AQ43-AP43)/AP43*100)</f>
        <v>0</v>
      </c>
      <c r="AS43" s="1443"/>
      <c r="AT43" s="1443"/>
      <c r="AU43" s="1005">
        <f>IF(AS43=0,0,(AT43-AS43)/AS43*100)</f>
        <v>0</v>
      </c>
      <c r="AV43" s="1443"/>
      <c r="AW43" s="1443"/>
      <c r="AX43" s="1005">
        <f>IF(AV43=0,0,(AW43-AV43)/AV43*100)</f>
        <v>0</v>
      </c>
      <c r="AY43" s="1443"/>
      <c r="AZ43" s="1443"/>
      <c r="BA43" s="1005">
        <f>IF(AY43=0,0,(AZ43-AY43)/AY43*100)</f>
        <v>0</v>
      </c>
      <c r="BB43" s="1443"/>
      <c r="BC43" s="1443"/>
      <c r="BD43" s="1005">
        <f>IF(BB43=0,0,(BC43-BB43)/BB43*100)</f>
        <v>0</v>
      </c>
      <c r="BE43" s="1443"/>
      <c r="BF43" s="1443"/>
      <c r="BG43" s="1005">
        <f>IF(BE43=0,0,(BF43-BE43)/BE43*100)</f>
        <v>0</v>
      </c>
      <c r="BH43" s="1443"/>
      <c r="BI43" s="1443"/>
      <c r="BJ43" s="1005">
        <f>IF(BH43=0,0,(BI43-BH43)/BH43*100)</f>
        <v>0</v>
      </c>
      <c r="BK43" s="1443"/>
      <c r="BL43" s="1443"/>
      <c r="BM43" s="1005">
        <f>IF(BK43=0,0,(BL43-BK43)/BK43*100)</f>
        <v>0</v>
      </c>
      <c r="BN43" s="1443"/>
      <c r="BO43" s="1443"/>
      <c r="BP43" s="1005">
        <f>IF(BN43=0,0,(BO43-BN43)/BN43*100)</f>
        <v>0</v>
      </c>
      <c r="BQ43" s="1443"/>
      <c r="BR43" s="1443"/>
      <c r="BS43" s="1005">
        <f>IF(BQ43=0,0,(BR43-BQ43)/BQ43*100)</f>
        <v>0</v>
      </c>
      <c r="BT43" s="1443"/>
      <c r="BU43" s="1443"/>
      <c r="BV43" s="1005">
        <f>IF(BT43=0,0,(BU43-BT43)/BT43*100)</f>
        <v>0</v>
      </c>
      <c r="BW43" s="1443"/>
      <c r="BX43" s="1443"/>
      <c r="BY43" s="1005">
        <f>IF(BW43=0,0,(BX43-BW43)/BW43*100)</f>
        <v>0</v>
      </c>
      <c r="BZ43" s="1443"/>
      <c r="CA43" s="1443"/>
      <c r="CB43" s="1005">
        <f>IF(BZ43=0,0,(CA43-BZ43)/BZ43*100)</f>
        <v>0</v>
      </c>
      <c r="CC43" s="1443"/>
      <c r="CD43" s="1443"/>
      <c r="CE43" s="1005">
        <f>IF(CC43=0,0,(CD43-CC43)/CC43*100)</f>
        <v>0</v>
      </c>
      <c r="CF43" s="1443"/>
      <c r="CG43" s="1443"/>
      <c r="CH43" s="1005">
        <f>IF(CF43=0,0,(CG43-CF43)/CF43*100)</f>
        <v>0</v>
      </c>
      <c r="CI43" s="1443"/>
      <c r="CJ43" s="1443"/>
      <c r="CK43" s="1005">
        <f>IF(CI43=0,0,(CJ43-CI43)/CI43*100)</f>
        <v>0</v>
      </c>
      <c r="CL43" s="1443"/>
      <c r="CM43" s="1443"/>
      <c r="CN43" s="1005">
        <f>IF(CL43=0,0,(CM43-CL43)/CL43*100)</f>
        <v>0</v>
      </c>
      <c r="CO43" s="1443"/>
      <c r="CP43" s="1443"/>
      <c r="CQ43" s="1005">
        <f>IF(CO43=0,0,(CP43-CO43)/CO43*100)</f>
        <v>0</v>
      </c>
      <c r="CR43" s="1443"/>
      <c r="CS43" s="1443"/>
      <c r="CT43" s="1005">
        <f>IF(CR43=0,0,(CS43-CR43)/CR43*100)</f>
        <v>0</v>
      </c>
      <c r="CU43" s="1443"/>
      <c r="CV43" s="1443"/>
      <c r="CW43" s="1005">
        <f>IF(CU43=0,0,(CV43-CU43)/CU43*100)</f>
        <v>0</v>
      </c>
      <c r="CX43" s="1443"/>
      <c r="CY43" s="1443"/>
      <c r="CZ43" s="1005">
        <f>IF(CX43=0,0,(CY43-CX43)/CX43*100)</f>
        <v>0</v>
      </c>
      <c r="DA43" s="1443"/>
      <c r="DB43" s="1443"/>
      <c r="DC43" s="1005">
        <f>IF(DA43=0,0,(DB43-DA43)/DA43*100)</f>
        <v>0</v>
      </c>
      <c r="DD43" s="1443"/>
      <c r="DE43" s="1443"/>
      <c r="DF43" s="1005">
        <f>IF(DD43=0,0,(DE43-DD43)/DD43*100)</f>
        <v>0</v>
      </c>
      <c r="DG43" s="1443"/>
      <c r="DH43" s="1443"/>
      <c r="DI43" s="1005">
        <f>IF(DG43=0,0,(DH43-DG43)/DG43*100)</f>
        <v>0</v>
      </c>
      <c r="DJ43" s="1443"/>
      <c r="DK43" s="1443"/>
      <c r="DL43" s="1005">
        <f>IF(DJ43=0,0,(DK43-DJ43)/DJ43*100)</f>
        <v>0</v>
      </c>
      <c r="DM43" s="1443"/>
      <c r="DN43" s="1443"/>
      <c r="DO43" s="1005">
        <f>IF(DM43=0,0,(DN43-DM43)/DM43*100)</f>
        <v>0</v>
      </c>
      <c r="DP43" s="1443"/>
      <c r="DQ43" s="1443"/>
      <c r="DR43" s="1005">
        <f>IF(DP43=0,0,(DQ43-DP43)/DP43*100)</f>
        <v>0</v>
      </c>
      <c r="DS43" s="1443"/>
      <c r="DT43" s="1443"/>
      <c r="DU43" s="1005">
        <f>IF(DS43=0,0,(DT43-DS43)/DS43*100)</f>
        <v>0</v>
      </c>
      <c r="DV43" s="1443"/>
      <c r="DW43" s="1443"/>
      <c r="DX43" s="1005">
        <f>IF(DV43=0,0,(DW43-DV43)/DV43*100)</f>
        <v>0</v>
      </c>
      <c r="DY43" s="1443"/>
      <c r="DZ43" s="1443"/>
      <c r="EA43" s="1005">
        <f>IF(DY43=0,0,(DZ43-DY43)/DY43*100)</f>
        <v>0</v>
      </c>
      <c r="EB43" s="1443"/>
      <c r="EC43" s="1443"/>
      <c r="ED43" s="1005">
        <f>IF(EB43=0,0,(EC43-EB43)/EB43*100)</f>
        <v>0</v>
      </c>
      <c r="EE43" s="1443"/>
      <c r="EF43" s="1443"/>
      <c r="EG43" s="1005">
        <f>IF(EE43=0,0,(EF43-EE43)/EE43*100)</f>
        <v>0</v>
      </c>
      <c r="EH43" s="1443"/>
      <c r="EI43" s="1443"/>
      <c r="EJ43" s="1005">
        <f>IF(EH43=0,0,(EI43-EH43)/EH43*100)</f>
        <v>0</v>
      </c>
      <c r="EK43" s="1443"/>
      <c r="EL43" s="1443"/>
      <c r="EM43" s="1005">
        <f>IF(EK43=0,0,(EL43-EK43)/EK43*100)</f>
        <v>0</v>
      </c>
      <c r="EN43" s="1443"/>
      <c r="EO43" s="1443"/>
      <c r="EP43" s="1005">
        <f>IF(EN43=0,0,(EO43-EN43)/EN43*100)</f>
        <v>0</v>
      </c>
      <c r="EQ43" s="1443"/>
      <c r="ER43" s="1443"/>
      <c r="ES43" s="1005">
        <f>IF(EQ43=0,0,(ER43-EQ43)/EQ43*100)</f>
        <v>0</v>
      </c>
      <c r="ET43" s="1443"/>
      <c r="EU43" s="1443"/>
      <c r="EV43" s="1005">
        <f>IF(ET43=0,0,(EU43-ET43)/ET43*100)</f>
        <v>0</v>
      </c>
      <c r="EW43" s="1443"/>
      <c r="EX43" s="1443"/>
      <c r="EY43" s="1005">
        <f>IF(EW43=0,0,(EX43-EW43)/EW43*100)</f>
        <v>0</v>
      </c>
      <c r="EZ43" s="1443"/>
      <c r="FA43" s="1443"/>
      <c r="FB43" s="1005">
        <f>IF(EZ43=0,0,(FA43-EZ43)/EZ43*100)</f>
        <v>0</v>
      </c>
      <c r="FC43" s="1443"/>
      <c r="FD43" s="1443"/>
      <c r="FE43" s="1005">
        <f>IF(FC43=0,0,(FD43-FC43)/FC43*100)</f>
        <v>0</v>
      </c>
      <c r="FF43" s="1443"/>
      <c r="FG43" s="1443"/>
      <c r="FH43" s="1005">
        <f>IF(FF43=0,0,(FG43-FF43)/FF43*100)</f>
        <v>0</v>
      </c>
      <c r="FI43" s="1443"/>
      <c r="FJ43" s="1443"/>
      <c r="FK43" s="1005">
        <f>IF(FI43=0,0,(FJ43-FI43)/FI43*100)</f>
        <v>0</v>
      </c>
      <c r="FL43" s="1443"/>
      <c r="FM43" s="1443"/>
      <c r="FN43" s="1005">
        <f>IF(FL43=0,0,(FM43-FL43)/FL43*100)</f>
        <v>0</v>
      </c>
      <c r="FO43" s="1443"/>
      <c r="FP43" s="1443"/>
      <c r="FQ43" s="1005">
        <f>IF(FO43=0,0,(FP43-FO43)/FO43*100)</f>
        <v>0</v>
      </c>
      <c r="FR43" s="1443"/>
      <c r="FS43" s="1443"/>
      <c r="FT43" s="1005">
        <f>IF(FR43=0,0,(FS43-FR43)/FR43*100)</f>
        <v>0</v>
      </c>
      <c r="FU43" s="1443"/>
      <c r="FV43" s="1443"/>
      <c r="FW43" s="1005">
        <f>IF(FU43=0,0,(FV43-FU43)/FU43*100)</f>
        <v>0</v>
      </c>
      <c r="FX43" s="210"/>
      <c r="FZ43" s="964" t="s">
        <v>1616</v>
      </c>
      <c r="GA43" s="924" t="s">
        <v>1614</v>
      </c>
      <c r="GB43" s="924" cm="1">
        <f t="array" ref="GB43">GB42</f>
        <v>0</v>
      </c>
    </row>
    <row r="44" spans="1:186" ht="14.65" hidden="1" customHeight="1" x14ac:dyDescent="0.15">
      <c r="A44" s="416"/>
      <c r="B44" s="837" t="b" cm="1">
        <f t="array" ref="B44">B43</f>
        <v>0</v>
      </c>
      <c r="C44" s="416"/>
      <c r="D44" s="416"/>
      <c r="E44" s="759">
        <v>15</v>
      </c>
      <c r="F44" s="3" cm="1">
        <f t="array" aca="1" ref="F44" ca="1">OFFSET(E44,-1,1)</f>
        <v>0</v>
      </c>
      <c r="G44" s="416"/>
      <c r="H44" s="416"/>
      <c r="I44" s="17" t="s">
        <v>1617</v>
      </c>
      <c r="J44" s="416"/>
      <c r="K44" s="416"/>
      <c r="L44" s="416"/>
      <c r="M44" s="416"/>
      <c r="N44" s="416"/>
      <c r="O44" s="416"/>
      <c r="P44" s="416"/>
      <c r="Q44" s="416"/>
      <c r="R44" s="4"/>
      <c r="S44" s="416"/>
      <c r="T44" s="388" t="b">
        <f ca="1">F44&gt;0</f>
        <v>0</v>
      </c>
      <c r="U44" s="416"/>
      <c r="W44" s="677" t="s">
        <v>1618</v>
      </c>
      <c r="X44" s="2066"/>
      <c r="Z44" s="2011"/>
      <c r="AB44" s="178" t="s">
        <v>176</v>
      </c>
      <c r="AC44" s="182"/>
      <c r="AD44" s="1006"/>
      <c r="AE44" s="1006"/>
      <c r="AF44" s="1006"/>
      <c r="AG44" s="1006"/>
      <c r="AH44" s="1006"/>
      <c r="AI44" s="1006"/>
      <c r="AJ44" s="1006"/>
      <c r="AK44" s="1006"/>
      <c r="AL44" s="1006"/>
      <c r="AM44" s="1006"/>
      <c r="AN44" s="1006"/>
      <c r="AO44" s="1006"/>
      <c r="AP44" s="1006"/>
      <c r="AQ44" s="1006"/>
      <c r="AR44" s="1006"/>
      <c r="AS44" s="1006"/>
      <c r="AT44" s="1006"/>
      <c r="AU44" s="1006"/>
      <c r="AV44" s="1006"/>
      <c r="AW44" s="1006"/>
      <c r="AX44" s="1006"/>
      <c r="AY44" s="1006"/>
      <c r="AZ44" s="1006"/>
      <c r="BA44" s="1006"/>
      <c r="BB44" s="1006"/>
      <c r="BC44" s="1006"/>
      <c r="BD44" s="1006"/>
      <c r="BE44" s="1006"/>
      <c r="BF44" s="1006"/>
      <c r="BG44" s="1006"/>
      <c r="BH44" s="1006"/>
      <c r="BI44" s="1006"/>
      <c r="BJ44" s="1006"/>
      <c r="BK44" s="1006"/>
      <c r="BL44" s="1006"/>
      <c r="BM44" s="1006"/>
      <c r="BN44" s="1006"/>
      <c r="BO44" s="1006"/>
      <c r="BP44" s="1006"/>
      <c r="BQ44" s="1006"/>
      <c r="BR44" s="1006"/>
      <c r="BS44" s="1006"/>
      <c r="BT44" s="1006"/>
      <c r="BU44" s="1006"/>
      <c r="BV44" s="1006"/>
      <c r="BW44" s="1006"/>
      <c r="BX44" s="1006"/>
      <c r="BY44" s="1006"/>
      <c r="BZ44" s="1006"/>
      <c r="CA44" s="1006"/>
      <c r="CB44" s="1006"/>
      <c r="CC44" s="1006"/>
      <c r="CD44" s="1006"/>
      <c r="CE44" s="1006"/>
      <c r="CF44" s="1006"/>
      <c r="CG44" s="1006"/>
      <c r="CH44" s="1006"/>
      <c r="CI44" s="1006"/>
      <c r="CJ44" s="1006"/>
      <c r="CK44" s="1006"/>
      <c r="CL44" s="1006"/>
      <c r="CM44" s="1006"/>
      <c r="CN44" s="1006"/>
      <c r="CO44" s="1006"/>
      <c r="CP44" s="1006"/>
      <c r="CQ44" s="1006"/>
      <c r="CR44" s="1006"/>
      <c r="CS44" s="1006"/>
      <c r="CT44" s="1006"/>
      <c r="CU44" s="1006"/>
      <c r="CV44" s="1006"/>
      <c r="CW44" s="1006"/>
      <c r="CX44" s="1006"/>
      <c r="CY44" s="1006"/>
      <c r="CZ44" s="1006"/>
      <c r="DA44" s="1006"/>
      <c r="DB44" s="1006"/>
      <c r="DC44" s="1006"/>
      <c r="DD44" s="1006"/>
      <c r="DE44" s="1006"/>
      <c r="DF44" s="1006"/>
      <c r="DG44" s="1006"/>
      <c r="DH44" s="1006"/>
      <c r="DI44" s="1006"/>
      <c r="DJ44" s="1006"/>
      <c r="DK44" s="1006"/>
      <c r="DL44" s="1006"/>
      <c r="DM44" s="1006"/>
      <c r="DN44" s="1006"/>
      <c r="DO44" s="1006"/>
      <c r="DP44" s="1006"/>
      <c r="DQ44" s="1006"/>
      <c r="DR44" s="1006"/>
      <c r="DS44" s="1006"/>
      <c r="DT44" s="1006"/>
      <c r="DU44" s="1006"/>
      <c r="DV44" s="1006"/>
      <c r="DW44" s="1006"/>
      <c r="DX44" s="1006"/>
      <c r="DY44" s="1006"/>
      <c r="DZ44" s="1006"/>
      <c r="EA44" s="1006"/>
      <c r="EB44" s="1006"/>
      <c r="EC44" s="1006"/>
      <c r="ED44" s="1006"/>
      <c r="EE44" s="1006"/>
      <c r="EF44" s="1006"/>
      <c r="EG44" s="1006"/>
      <c r="EH44" s="1006"/>
      <c r="EI44" s="1006"/>
      <c r="EJ44" s="1006"/>
      <c r="EK44" s="1006"/>
      <c r="EL44" s="1006"/>
      <c r="EM44" s="1006"/>
      <c r="EN44" s="1006"/>
      <c r="EO44" s="1006"/>
      <c r="EP44" s="1006"/>
      <c r="EQ44" s="1006"/>
      <c r="ER44" s="1006"/>
      <c r="ES44" s="1006"/>
      <c r="ET44" s="1006"/>
      <c r="EU44" s="1006"/>
      <c r="EV44" s="1006"/>
      <c r="EW44" s="1006"/>
      <c r="EX44" s="1006"/>
      <c r="EY44" s="1006"/>
      <c r="EZ44" s="1006"/>
      <c r="FA44" s="1006"/>
      <c r="FB44" s="1006"/>
      <c r="FC44" s="1006"/>
      <c r="FD44" s="1006"/>
      <c r="FE44" s="1006"/>
      <c r="FF44" s="1006"/>
      <c r="FG44" s="1006"/>
      <c r="FH44" s="1006"/>
      <c r="FI44" s="1006"/>
      <c r="FJ44" s="1006"/>
      <c r="FK44" s="1006"/>
      <c r="FL44" s="1006"/>
      <c r="FM44" s="1006"/>
      <c r="FN44" s="1006"/>
      <c r="FO44" s="1006"/>
      <c r="FP44" s="1006"/>
      <c r="FQ44" s="1006"/>
      <c r="FR44" s="1006"/>
      <c r="FS44" s="1006"/>
      <c r="FT44" s="1006"/>
      <c r="FU44" s="1006"/>
      <c r="FV44" s="1006"/>
      <c r="FW44" s="1007"/>
      <c r="FZ44" s="964" t="s">
        <v>147</v>
      </c>
      <c r="GC44" s="556" t="s">
        <v>1614</v>
      </c>
    </row>
    <row r="45" spans="1:186" ht="14.65" hidden="1" customHeight="1" x14ac:dyDescent="0.15">
      <c r="A45" s="416"/>
      <c r="B45" s="837" t="b">
        <f>AND(R29="двухставочный",NOT(S29))</f>
        <v>0</v>
      </c>
      <c r="C45" s="416"/>
      <c r="D45" s="416"/>
      <c r="E45" s="759">
        <v>15</v>
      </c>
      <c r="F45" s="3" cm="1">
        <f t="array" aca="1" ref="F45" ca="1">OFFSET(E45,-1,1)</f>
        <v>0</v>
      </c>
      <c r="G45" s="416"/>
      <c r="H45" s="416"/>
      <c r="I45" s="416"/>
      <c r="J45" s="416"/>
      <c r="K45" s="416"/>
      <c r="L45" s="416"/>
      <c r="M45" s="416"/>
      <c r="N45" s="416"/>
      <c r="O45" s="416"/>
      <c r="P45" s="416"/>
      <c r="Q45" s="416"/>
      <c r="R45" s="4"/>
      <c r="S45" s="416"/>
      <c r="T45" s="388" t="b" cm="1">
        <f t="array" aca="1" ref="T45" ca="1">T44</f>
        <v>0</v>
      </c>
      <c r="U45" s="416"/>
      <c r="V45" s="416"/>
      <c r="W45" s="416"/>
      <c r="X45" s="2066"/>
      <c r="Y45" s="416"/>
      <c r="Z45" s="2011"/>
      <c r="AA45" s="416"/>
      <c r="AB45" s="810" t="s">
        <v>1619</v>
      </c>
      <c r="AC45" s="811"/>
      <c r="AD45" s="1008"/>
      <c r="AE45" s="1008"/>
      <c r="AF45" s="1008"/>
      <c r="AG45" s="1008"/>
      <c r="AH45" s="1008"/>
      <c r="AI45" s="1008"/>
      <c r="AJ45" s="1008"/>
      <c r="AK45" s="1008"/>
      <c r="AL45" s="1008"/>
      <c r="AM45" s="1008"/>
      <c r="AN45" s="1008"/>
      <c r="AO45" s="1008"/>
      <c r="AP45" s="1008"/>
      <c r="AQ45" s="1008"/>
      <c r="AR45" s="1008"/>
      <c r="AS45" s="1008"/>
      <c r="AT45" s="1008"/>
      <c r="AU45" s="1008"/>
      <c r="AV45" s="1008"/>
      <c r="AW45" s="1008"/>
      <c r="AX45" s="1008"/>
      <c r="AY45" s="1008"/>
      <c r="AZ45" s="1008"/>
      <c r="BA45" s="1008"/>
      <c r="BB45" s="1008"/>
      <c r="BC45" s="1008"/>
      <c r="BD45" s="1008"/>
      <c r="BE45" s="1008"/>
      <c r="BF45" s="1008"/>
      <c r="BG45" s="1008"/>
      <c r="BH45" s="1008"/>
      <c r="BI45" s="1008"/>
      <c r="BJ45" s="1008"/>
      <c r="BK45" s="1008"/>
      <c r="BL45" s="1008"/>
      <c r="BM45" s="1008"/>
      <c r="BN45" s="1008"/>
      <c r="BO45" s="1008"/>
      <c r="BP45" s="1008"/>
      <c r="BQ45" s="1008"/>
      <c r="BR45" s="1008"/>
      <c r="BS45" s="1008"/>
      <c r="BT45" s="1008"/>
      <c r="BU45" s="1008"/>
      <c r="BV45" s="1008"/>
      <c r="BW45" s="1008"/>
      <c r="BX45" s="1008"/>
      <c r="BY45" s="1008"/>
      <c r="BZ45" s="1008"/>
      <c r="CA45" s="1008"/>
      <c r="CB45" s="1008"/>
      <c r="CC45" s="1008"/>
      <c r="CD45" s="1008"/>
      <c r="CE45" s="1008"/>
      <c r="CF45" s="1008"/>
      <c r="CG45" s="1008"/>
      <c r="CH45" s="1008"/>
      <c r="CI45" s="1008"/>
      <c r="CJ45" s="1008"/>
      <c r="CK45" s="1008"/>
      <c r="CL45" s="1008"/>
      <c r="CM45" s="1008"/>
      <c r="CN45" s="1008"/>
      <c r="CO45" s="1008"/>
      <c r="CP45" s="1008"/>
      <c r="CQ45" s="1008"/>
      <c r="CR45" s="1008"/>
      <c r="CS45" s="1008"/>
      <c r="CT45" s="1008"/>
      <c r="CU45" s="1008"/>
      <c r="CV45" s="1008"/>
      <c r="CW45" s="1008"/>
      <c r="CX45" s="1008"/>
      <c r="CY45" s="1008"/>
      <c r="CZ45" s="1008"/>
      <c r="DA45" s="1008"/>
      <c r="DB45" s="1008"/>
      <c r="DC45" s="1008"/>
      <c r="DD45" s="1008"/>
      <c r="DE45" s="1008"/>
      <c r="DF45" s="1008"/>
      <c r="DG45" s="1008"/>
      <c r="DH45" s="1008"/>
      <c r="DI45" s="1008"/>
      <c r="DJ45" s="1008"/>
      <c r="DK45" s="1008"/>
      <c r="DL45" s="1008"/>
      <c r="DM45" s="1008"/>
      <c r="DN45" s="1008"/>
      <c r="DO45" s="1008"/>
      <c r="DP45" s="1008"/>
      <c r="DQ45" s="1008"/>
      <c r="DR45" s="1008"/>
      <c r="DS45" s="1008"/>
      <c r="DT45" s="1008"/>
      <c r="DU45" s="1008"/>
      <c r="DV45" s="1008"/>
      <c r="DW45" s="1008"/>
      <c r="DX45" s="1008"/>
      <c r="DY45" s="1008"/>
      <c r="DZ45" s="1008"/>
      <c r="EA45" s="1008"/>
      <c r="EB45" s="1008"/>
      <c r="EC45" s="1008"/>
      <c r="ED45" s="1008"/>
      <c r="EE45" s="1008"/>
      <c r="EF45" s="1008"/>
      <c r="EG45" s="1008"/>
      <c r="EH45" s="1008"/>
      <c r="EI45" s="1008"/>
      <c r="EJ45" s="1008"/>
      <c r="EK45" s="1008"/>
      <c r="EL45" s="1008"/>
      <c r="EM45" s="1008"/>
      <c r="EN45" s="1008"/>
      <c r="EO45" s="1008"/>
      <c r="EP45" s="1008"/>
      <c r="EQ45" s="1008"/>
      <c r="ER45" s="1008"/>
      <c r="ES45" s="1008"/>
      <c r="ET45" s="1008"/>
      <c r="EU45" s="1008"/>
      <c r="EV45" s="1008"/>
      <c r="EW45" s="1008"/>
      <c r="EX45" s="1008"/>
      <c r="EY45" s="1008"/>
      <c r="EZ45" s="1008"/>
      <c r="FA45" s="1008"/>
      <c r="FB45" s="1008"/>
      <c r="FC45" s="1008"/>
      <c r="FD45" s="1008"/>
      <c r="FE45" s="1008"/>
      <c r="FF45" s="1008"/>
      <c r="FG45" s="1008"/>
      <c r="FH45" s="1008"/>
      <c r="FI45" s="1008"/>
      <c r="FJ45" s="1008"/>
      <c r="FK45" s="1008"/>
      <c r="FL45" s="1008"/>
      <c r="FM45" s="1008"/>
      <c r="FN45" s="1008"/>
      <c r="FO45" s="1008"/>
      <c r="FP45" s="1008"/>
      <c r="FQ45" s="1008"/>
      <c r="FR45" s="1008"/>
      <c r="FS45" s="1008"/>
      <c r="FT45" s="1008"/>
      <c r="FU45" s="1008"/>
      <c r="FV45" s="1008"/>
      <c r="FW45" s="1009"/>
      <c r="FZ45" s="964" t="s">
        <v>147</v>
      </c>
    </row>
    <row r="46" spans="1:186" ht="23.85" hidden="1" customHeight="1" x14ac:dyDescent="0.15">
      <c r="A46" s="416"/>
      <c r="B46" s="837" t="b" cm="1">
        <f t="array" ref="B46">B45</f>
        <v>0</v>
      </c>
      <c r="C46" s="416"/>
      <c r="D46" s="416"/>
      <c r="E46" s="759">
        <v>24.5</v>
      </c>
      <c r="F46" s="3" cm="1">
        <f t="array" aca="1" ref="F46" ca="1">OFFSET(E46,-1,1)</f>
        <v>0</v>
      </c>
      <c r="G46" s="416"/>
      <c r="H46" s="416"/>
      <c r="I46" s="416"/>
      <c r="J46" s="416"/>
      <c r="K46" s="416"/>
      <c r="L46" s="416"/>
      <c r="M46" s="416"/>
      <c r="N46" s="416"/>
      <c r="O46" s="416"/>
      <c r="P46" s="416"/>
      <c r="Q46" s="416"/>
      <c r="R46" s="416"/>
      <c r="S46" s="416"/>
      <c r="T46" s="388" t="b" cm="1">
        <f t="array" aca="1" ref="T46" ca="1">T45</f>
        <v>0</v>
      </c>
      <c r="U46" s="416"/>
      <c r="V46" s="416"/>
      <c r="W46" s="416"/>
      <c r="X46" s="2066"/>
      <c r="Y46" s="416"/>
      <c r="Z46" s="2011"/>
      <c r="AA46" s="416"/>
      <c r="AB46" s="211" t="s">
        <v>1620</v>
      </c>
      <c r="AC46" s="817"/>
      <c r="AD46" s="1010"/>
      <c r="AE46" s="1010"/>
      <c r="AF46" s="1010"/>
      <c r="AG46" s="1010"/>
      <c r="AH46" s="1010"/>
      <c r="AI46" s="1010"/>
      <c r="AJ46" s="1010"/>
      <c r="AK46" s="1010"/>
      <c r="AL46" s="1010"/>
      <c r="AM46" s="1010"/>
      <c r="AN46" s="1010"/>
      <c r="AO46" s="1010"/>
      <c r="AP46" s="1010"/>
      <c r="AQ46" s="1010"/>
      <c r="AR46" s="1010"/>
      <c r="AS46" s="1010"/>
      <c r="AT46" s="1010"/>
      <c r="AU46" s="1010"/>
      <c r="AV46" s="1010"/>
      <c r="AW46" s="1010"/>
      <c r="AX46" s="1010"/>
      <c r="AY46" s="1010"/>
      <c r="AZ46" s="1010"/>
      <c r="BA46" s="1010"/>
      <c r="BB46" s="1010"/>
      <c r="BC46" s="1010"/>
      <c r="BD46" s="1010"/>
      <c r="BE46" s="1010"/>
      <c r="BF46" s="1010"/>
      <c r="BG46" s="1010"/>
      <c r="BH46" s="1010"/>
      <c r="BI46" s="1010"/>
      <c r="BJ46" s="1010"/>
      <c r="BK46" s="1010"/>
      <c r="BL46" s="1010"/>
      <c r="BM46" s="1010"/>
      <c r="BN46" s="1010"/>
      <c r="BO46" s="1010"/>
      <c r="BP46" s="1010"/>
      <c r="BQ46" s="1010"/>
      <c r="BR46" s="1010"/>
      <c r="BS46" s="1010"/>
      <c r="BT46" s="1010"/>
      <c r="BU46" s="1010"/>
      <c r="BV46" s="1010"/>
      <c r="BW46" s="1010"/>
      <c r="BX46" s="1010"/>
      <c r="BY46" s="1010"/>
      <c r="BZ46" s="1010"/>
      <c r="CA46" s="1010"/>
      <c r="CB46" s="1010"/>
      <c r="CC46" s="1010"/>
      <c r="CD46" s="1010"/>
      <c r="CE46" s="1010"/>
      <c r="CF46" s="1010"/>
      <c r="CG46" s="1010"/>
      <c r="CH46" s="1010"/>
      <c r="CI46" s="1010"/>
      <c r="CJ46" s="1010"/>
      <c r="CK46" s="1010"/>
      <c r="CL46" s="1010"/>
      <c r="CM46" s="1010"/>
      <c r="CN46" s="1010"/>
      <c r="CO46" s="1010"/>
      <c r="CP46" s="1010"/>
      <c r="CQ46" s="1010"/>
      <c r="CR46" s="1010"/>
      <c r="CS46" s="1010"/>
      <c r="CT46" s="1010"/>
      <c r="CU46" s="1010"/>
      <c r="CV46" s="1010"/>
      <c r="CW46" s="1010"/>
      <c r="CX46" s="1010"/>
      <c r="CY46" s="1010"/>
      <c r="CZ46" s="1010"/>
      <c r="DA46" s="1010"/>
      <c r="DB46" s="1010"/>
      <c r="DC46" s="1010"/>
      <c r="DD46" s="1010"/>
      <c r="DE46" s="1010"/>
      <c r="DF46" s="1010"/>
      <c r="DG46" s="1010"/>
      <c r="DH46" s="1010"/>
      <c r="DI46" s="1010"/>
      <c r="DJ46" s="1010"/>
      <c r="DK46" s="1010"/>
      <c r="DL46" s="1010"/>
      <c r="DM46" s="1010"/>
      <c r="DN46" s="1010"/>
      <c r="DO46" s="1010"/>
      <c r="DP46" s="1010"/>
      <c r="DQ46" s="1010"/>
      <c r="DR46" s="1010"/>
      <c r="DS46" s="1010"/>
      <c r="DT46" s="1010"/>
      <c r="DU46" s="1010"/>
      <c r="DV46" s="1010"/>
      <c r="DW46" s="1010"/>
      <c r="DX46" s="1010"/>
      <c r="DY46" s="1010"/>
      <c r="DZ46" s="1010"/>
      <c r="EA46" s="1010"/>
      <c r="EB46" s="1010"/>
      <c r="EC46" s="1010"/>
      <c r="ED46" s="1010"/>
      <c r="EE46" s="1010"/>
      <c r="EF46" s="1010"/>
      <c r="EG46" s="1010"/>
      <c r="EH46" s="1010"/>
      <c r="EI46" s="1010"/>
      <c r="EJ46" s="1010"/>
      <c r="EK46" s="1010"/>
      <c r="EL46" s="1010"/>
      <c r="EM46" s="1010"/>
      <c r="EN46" s="1010"/>
      <c r="EO46" s="1010"/>
      <c r="EP46" s="1010"/>
      <c r="EQ46" s="1010"/>
      <c r="ER46" s="1010"/>
      <c r="ES46" s="1010"/>
      <c r="ET46" s="1010"/>
      <c r="EU46" s="1010"/>
      <c r="EV46" s="1010"/>
      <c r="EW46" s="1010"/>
      <c r="EX46" s="1010"/>
      <c r="EY46" s="1010"/>
      <c r="EZ46" s="1010"/>
      <c r="FA46" s="1010"/>
      <c r="FB46" s="1010"/>
      <c r="FC46" s="1010"/>
      <c r="FD46" s="1010"/>
      <c r="FE46" s="1010"/>
      <c r="FF46" s="1010"/>
      <c r="FG46" s="1010"/>
      <c r="FH46" s="1010"/>
      <c r="FI46" s="1010"/>
      <c r="FJ46" s="1010"/>
      <c r="FK46" s="1010"/>
      <c r="FL46" s="1010"/>
      <c r="FM46" s="1010"/>
      <c r="FN46" s="1010"/>
      <c r="FO46" s="1010"/>
      <c r="FP46" s="1010"/>
      <c r="FQ46" s="1010"/>
      <c r="FR46" s="1010"/>
      <c r="FS46" s="1010"/>
      <c r="FT46" s="1010"/>
      <c r="FU46" s="1010"/>
      <c r="FV46" s="1010"/>
      <c r="FW46" s="1011"/>
      <c r="FZ46" s="964" t="s">
        <v>147</v>
      </c>
    </row>
    <row r="47" spans="1:186" ht="14.65" hidden="1" customHeight="1" x14ac:dyDescent="0.15">
      <c r="A47" s="416"/>
      <c r="B47" s="837" t="b" cm="1">
        <f t="array" ref="B47">B46</f>
        <v>0</v>
      </c>
      <c r="C47" s="416"/>
      <c r="D47" s="416"/>
      <c r="E47" s="759">
        <v>15</v>
      </c>
      <c r="F47" s="3" cm="1">
        <f t="array" aca="1" ref="F47" ca="1">OFFSET(E47,-1,1)</f>
        <v>0</v>
      </c>
      <c r="G47" s="416"/>
      <c r="H47" s="416" t="s">
        <v>1529</v>
      </c>
      <c r="I47" s="416" t="s">
        <v>1586</v>
      </c>
      <c r="J47" s="416"/>
      <c r="K47" s="416"/>
      <c r="L47" s="416"/>
      <c r="M47" s="416"/>
      <c r="N47" s="416"/>
      <c r="O47" s="416"/>
      <c r="P47" s="416"/>
      <c r="Q47" s="416"/>
      <c r="R47" s="416"/>
      <c r="S47" s="416"/>
      <c r="T47" s="388" t="b" cm="1">
        <f t="array" aca="1" ref="T47" ca="1">T46</f>
        <v>0</v>
      </c>
      <c r="U47" s="416"/>
      <c r="V47" s="416"/>
      <c r="W47" s="416"/>
      <c r="X47" s="2066"/>
      <c r="Y47" s="416"/>
      <c r="Z47" s="2011"/>
      <c r="AA47" s="416"/>
      <c r="AB47" s="818" t="s">
        <v>1621</v>
      </c>
      <c r="AC47" s="783" t="s">
        <v>1588</v>
      </c>
      <c r="AD47" s="1445">
        <f ca="1">IF(AD49=0,0,(AD48*AD49+AD50*AD51*IF(god=2026,9,6))/AD49)</f>
        <v>0</v>
      </c>
      <c r="AE47" s="1445">
        <f ca="1">IF(AE49=0,0,(AE48*AE49+AE50*AE51*IF(god=2026,9,6))/AE49)</f>
        <v>0</v>
      </c>
      <c r="AF47" s="1003">
        <f ca="1">IF(AD47=0,0,(AE47-AD47)/AD47*100)</f>
        <v>0</v>
      </c>
      <c r="AG47" s="1445">
        <f ca="1">IF(AG49=0,0,(AG48*AG49+AG50*AG51*IF(god=2025,9,6))/AG49)</f>
        <v>0</v>
      </c>
      <c r="AH47" s="1445">
        <f ca="1">IF(AH49=0,0,(AH48*AH49+AH50*AH51*IF(god=2025,9,6))/AH49)</f>
        <v>0</v>
      </c>
      <c r="AI47" s="1003">
        <f ca="1">IF(AG47=0,0,(AH47-AG47)/AG47*100)</f>
        <v>0</v>
      </c>
      <c r="AJ47" s="1445">
        <f ca="1">IF(AJ49=0,0,(AJ48*AJ49+AJ50*AJ51*6)/AJ49)</f>
        <v>0</v>
      </c>
      <c r="AK47" s="1445">
        <f ca="1">IF(AK49=0,0,(AK48*AK49+AK50*AK51*6)/AK49)</f>
        <v>0</v>
      </c>
      <c r="AL47" s="1003">
        <f ca="1">IF(AJ47=0,0,(AK47-AJ47)/AJ47*100)</f>
        <v>0</v>
      </c>
      <c r="AM47" s="1445">
        <f ca="1">IF(AM49=0,0,(AM48*AM49+AM50*AM51*6)/AM49)</f>
        <v>0</v>
      </c>
      <c r="AN47" s="1445">
        <f ca="1">IF(AN49=0,0,(AN48*AN49+AN50*AN51*6)/AN49)</f>
        <v>0</v>
      </c>
      <c r="AO47" s="1003">
        <f ca="1">IF(AM47=0,0,(AN47-AM47)/AM47*100)</f>
        <v>0</v>
      </c>
      <c r="AP47" s="1445">
        <f ca="1">IF(AP49=0,0,(AP48*AP49+AP50*AP51*6)/AP49)</f>
        <v>0</v>
      </c>
      <c r="AQ47" s="1445">
        <f ca="1">IF(AQ49=0,0,(AQ48*AQ49+AQ50*AQ51*6)/AQ49)</f>
        <v>0</v>
      </c>
      <c r="AR47" s="1003">
        <f ca="1">IF(AP47=0,0,(AQ47-AP47)/AP47*100)</f>
        <v>0</v>
      </c>
      <c r="AS47" s="1445">
        <f ca="1">IF(AS49=0,0,(AS48*AS49+AS50*AS51*6)/AS49)</f>
        <v>0</v>
      </c>
      <c r="AT47" s="1445">
        <f ca="1">IF(AT49=0,0,(AT48*AT49+AT50*AT51*6)/AT49)</f>
        <v>0</v>
      </c>
      <c r="AU47" s="1003">
        <f ca="1">IF(AS47=0,0,(AT47-AS47)/AS47*100)</f>
        <v>0</v>
      </c>
      <c r="AV47" s="1445">
        <f ca="1">IF(AV49=0,0,(AV48*AV49+AV50*AV51*6)/AV49)</f>
        <v>0</v>
      </c>
      <c r="AW47" s="1445">
        <f ca="1">IF(AW49=0,0,(AW48*AW49+AW50*AW51*6)/AW49)</f>
        <v>0</v>
      </c>
      <c r="AX47" s="1003">
        <f ca="1">IF(AV47=0,0,(AW47-AV47)/AV47*100)</f>
        <v>0</v>
      </c>
      <c r="AY47" s="1445">
        <f ca="1">IF(AY49=0,0,(AY48*AY49+AY50*AY51*6)/AY49)</f>
        <v>0</v>
      </c>
      <c r="AZ47" s="1445">
        <f ca="1">IF(AZ49=0,0,(AZ48*AZ49+AZ50*AZ51*6)/AZ49)</f>
        <v>0</v>
      </c>
      <c r="BA47" s="1003">
        <f ca="1">IF(AY47=0,0,(AZ47-AY47)/AY47*100)</f>
        <v>0</v>
      </c>
      <c r="BB47" s="1445">
        <f ca="1">IF(BB49=0,0,(BB48*BB49+BB50*BB51*6)/BB49)</f>
        <v>0</v>
      </c>
      <c r="BC47" s="1445">
        <f ca="1">IF(BC49=0,0,(BC48*BC49+BC50*BC51*6)/BC49)</f>
        <v>0</v>
      </c>
      <c r="BD47" s="1003">
        <f ca="1">IF(BB47=0,0,(BC47-BB47)/BB47*100)</f>
        <v>0</v>
      </c>
      <c r="BE47" s="1445">
        <f ca="1">IF(BE49=0,0,(BE48*BE49+BE50*BE51*6)/BE49)</f>
        <v>0</v>
      </c>
      <c r="BF47" s="1445">
        <f ca="1">IF(BF49=0,0,(BF48*BF49+BF50*BF51*6)/BF49)</f>
        <v>0</v>
      </c>
      <c r="BG47" s="1003">
        <f ca="1">IF(BE47=0,0,(BF47-BE47)/BE47*100)</f>
        <v>0</v>
      </c>
      <c r="BH47" s="1445">
        <f>IF(BH49=0,0,(BH48*BH49+BH50*BH51*6)/BH49)</f>
        <v>0</v>
      </c>
      <c r="BI47" s="1445">
        <f>IF(BI49=0,0,(BI48*BI49+BI50*BI51*6)/BI49)</f>
        <v>0</v>
      </c>
      <c r="BJ47" s="1003">
        <f>IF(BH47=0,0,(BI47-BH47)/BH47*100)</f>
        <v>0</v>
      </c>
      <c r="BK47" s="1445">
        <f>IF(BK49=0,0,(BK48*BK49+BK50*BK51*6)/BK49)</f>
        <v>0</v>
      </c>
      <c r="BL47" s="1445">
        <f>IF(BL49=0,0,(BL48*BL49+BL50*BL51*6)/BL49)</f>
        <v>0</v>
      </c>
      <c r="BM47" s="1003">
        <f>IF(BK47=0,0,(BL47-BK47)/BK47*100)</f>
        <v>0</v>
      </c>
      <c r="BN47" s="1445">
        <f>IF(BN49=0,0,(BN48*BN49+BN50*BN51*6)/BN49)</f>
        <v>0</v>
      </c>
      <c r="BO47" s="1445">
        <f>IF(BO49=0,0,(BO48*BO49+BO50*BO51*6)/BO49)</f>
        <v>0</v>
      </c>
      <c r="BP47" s="1003">
        <f>IF(BN47=0,0,(BO47-BN47)/BN47*100)</f>
        <v>0</v>
      </c>
      <c r="BQ47" s="1445">
        <f>IF(BQ49=0,0,(BQ48*BQ49+BQ50*BQ51*6)/BQ49)</f>
        <v>0</v>
      </c>
      <c r="BR47" s="1445">
        <f>IF(BR49=0,0,(BR48*BR49+BR50*BR51*6)/BR49)</f>
        <v>0</v>
      </c>
      <c r="BS47" s="1003">
        <f>IF(BQ47=0,0,(BR47-BQ47)/BQ47*100)</f>
        <v>0</v>
      </c>
      <c r="BT47" s="1445">
        <f>IF(BT49=0,0,(BT48*BT49+BT50*BT51*6)/BT49)</f>
        <v>0</v>
      </c>
      <c r="BU47" s="1445">
        <f>IF(BU49=0,0,(BU48*BU49+BU50*BU51*6)/BU49)</f>
        <v>0</v>
      </c>
      <c r="BV47" s="1003">
        <f>IF(BT47=0,0,(BU47-BT47)/BT47*100)</f>
        <v>0</v>
      </c>
      <c r="BW47" s="1445">
        <f>IF(BW49=0,0,(BW48*BW49+BW50*BW51*6)/BW49)</f>
        <v>0</v>
      </c>
      <c r="BX47" s="1445">
        <f>IF(BX49=0,0,(BX48*BX49+BX50*BX51*6)/BX49)</f>
        <v>0</v>
      </c>
      <c r="BY47" s="1003">
        <f>IF(BW47=0,0,(BX47-BW47)/BW47*100)</f>
        <v>0</v>
      </c>
      <c r="BZ47" s="1445">
        <f>IF(BZ49=0,0,(BZ48*BZ49+BZ50*BZ51*6)/BZ49)</f>
        <v>0</v>
      </c>
      <c r="CA47" s="1445">
        <f>IF(CA49=0,0,(CA48*CA49+CA50*CA51*6)/CA49)</f>
        <v>0</v>
      </c>
      <c r="CB47" s="1003">
        <f>IF(BZ47=0,0,(CA47-BZ47)/BZ47*100)</f>
        <v>0</v>
      </c>
      <c r="CC47" s="1445">
        <f>IF(CC49=0,0,(CC48*CC49+CC50*CC51*6)/CC49)</f>
        <v>0</v>
      </c>
      <c r="CD47" s="1445">
        <f>IF(CD49=0,0,(CD48*CD49+CD50*CD51*6)/CD49)</f>
        <v>0</v>
      </c>
      <c r="CE47" s="1003">
        <f>IF(CC47=0,0,(CD47-CC47)/CC47*100)</f>
        <v>0</v>
      </c>
      <c r="CF47" s="1445">
        <f>IF(CF49=0,0,(CF48*CF49+CF50*CF51*6)/CF49)</f>
        <v>0</v>
      </c>
      <c r="CG47" s="1445">
        <f>IF(CG49=0,0,(CG48*CG49+CG50*CG51*6)/CG49)</f>
        <v>0</v>
      </c>
      <c r="CH47" s="1003">
        <f>IF(CF47=0,0,(CG47-CF47)/CF47*100)</f>
        <v>0</v>
      </c>
      <c r="CI47" s="1445">
        <f>IF(CI49=0,0,(CI48*CI49+CI50*CI51*6)/CI49)</f>
        <v>0</v>
      </c>
      <c r="CJ47" s="1445">
        <f>IF(CJ49=0,0,(CJ48*CJ49+CJ50*CJ51*6)/CJ49)</f>
        <v>0</v>
      </c>
      <c r="CK47" s="1003">
        <f>IF(CI47=0,0,(CJ47-CI47)/CI47*100)</f>
        <v>0</v>
      </c>
      <c r="CL47" s="1445">
        <f>IF(CL49=0,0,(CL48*CL49+CL50*CL51*6)/CL49)</f>
        <v>0</v>
      </c>
      <c r="CM47" s="1445">
        <f>IF(CM49=0,0,(CM48*CM49+CM50*CM51*6)/CM49)</f>
        <v>0</v>
      </c>
      <c r="CN47" s="1003">
        <f>IF(CL47=0,0,(CM47-CL47)/CL47*100)</f>
        <v>0</v>
      </c>
      <c r="CO47" s="1445">
        <f>IF(CO49=0,0,(CO48*CO49+CO50*CO51*6)/CO49)</f>
        <v>0</v>
      </c>
      <c r="CP47" s="1445">
        <f>IF(CP49=0,0,(CP48*CP49+CP50*CP51*6)/CP49)</f>
        <v>0</v>
      </c>
      <c r="CQ47" s="1003">
        <f>IF(CO47=0,0,(CP47-CO47)/CO47*100)</f>
        <v>0</v>
      </c>
      <c r="CR47" s="1445">
        <f>IF(CR49=0,0,(CR48*CR49+CR50*CR51*6)/CR49)</f>
        <v>0</v>
      </c>
      <c r="CS47" s="1445">
        <f>IF(CS49=0,0,(CS48*CS49+CS50*CS51*6)/CS49)</f>
        <v>0</v>
      </c>
      <c r="CT47" s="1003">
        <f>IF(CR47=0,0,(CS47-CR47)/CR47*100)</f>
        <v>0</v>
      </c>
      <c r="CU47" s="1445">
        <f>IF(CU49=0,0,(CU48*CU49+CU50*CU51*6)/CU49)</f>
        <v>0</v>
      </c>
      <c r="CV47" s="1445">
        <f>IF(CV49=0,0,(CV48*CV49+CV50*CV51*6)/CV49)</f>
        <v>0</v>
      </c>
      <c r="CW47" s="1003">
        <f>IF(CU47=0,0,(CV47-CU47)/CU47*100)</f>
        <v>0</v>
      </c>
      <c r="CX47" s="1445">
        <f>IF(CX49=0,0,(CX48*CX49+CX50*CX51*6)/CX49)</f>
        <v>0</v>
      </c>
      <c r="CY47" s="1445">
        <f>IF(CY49=0,0,(CY48*CY49+CY50*CY51*6)/CY49)</f>
        <v>0</v>
      </c>
      <c r="CZ47" s="1003">
        <f>IF(CX47=0,0,(CY47-CX47)/CX47*100)</f>
        <v>0</v>
      </c>
      <c r="DA47" s="1445">
        <f>IF(DA49=0,0,(DA48*DA49+DA50*DA51*6)/DA49)</f>
        <v>0</v>
      </c>
      <c r="DB47" s="1445">
        <f>IF(DB49=0,0,(DB48*DB49+DB50*DB51*6)/DB49)</f>
        <v>0</v>
      </c>
      <c r="DC47" s="1003">
        <f>IF(DA47=0,0,(DB47-DA47)/DA47*100)</f>
        <v>0</v>
      </c>
      <c r="DD47" s="1445">
        <f>IF(DD49=0,0,(DD48*DD49+DD50*DD51*6)/DD49)</f>
        <v>0</v>
      </c>
      <c r="DE47" s="1445">
        <f>IF(DE49=0,0,(DE48*DE49+DE50*DE51*6)/DE49)</f>
        <v>0</v>
      </c>
      <c r="DF47" s="1003">
        <f>IF(DD47=0,0,(DE47-DD47)/DD47*100)</f>
        <v>0</v>
      </c>
      <c r="DG47" s="1445">
        <f>IF(DG49=0,0,(DG48*DG49+DG50*DG51*6)/DG49)</f>
        <v>0</v>
      </c>
      <c r="DH47" s="1445">
        <f>IF(DH49=0,0,(DH48*DH49+DH50*DH51*6)/DH49)</f>
        <v>0</v>
      </c>
      <c r="DI47" s="1003">
        <f>IF(DG47=0,0,(DH47-DG47)/DG47*100)</f>
        <v>0</v>
      </c>
      <c r="DJ47" s="1445">
        <f>IF(DJ49=0,0,(DJ48*DJ49+DJ50*DJ51*6)/DJ49)</f>
        <v>0</v>
      </c>
      <c r="DK47" s="1445">
        <f>IF(DK49=0,0,(DK48*DK49+DK50*DK51*6)/DK49)</f>
        <v>0</v>
      </c>
      <c r="DL47" s="1003">
        <f>IF(DJ47=0,0,(DK47-DJ47)/DJ47*100)</f>
        <v>0</v>
      </c>
      <c r="DM47" s="1445">
        <f>IF(DM49=0,0,(DM48*DM49+DM50*DM51*6)/DM49)</f>
        <v>0</v>
      </c>
      <c r="DN47" s="1445">
        <f>IF(DN49=0,0,(DN48*DN49+DN50*DN51*6)/DN49)</f>
        <v>0</v>
      </c>
      <c r="DO47" s="1003">
        <f>IF(DM47=0,0,(DN47-DM47)/DM47*100)</f>
        <v>0</v>
      </c>
      <c r="DP47" s="1445">
        <f>IF(DP49=0,0,(DP48*DP49+DP50*DP51*6)/DP49)</f>
        <v>0</v>
      </c>
      <c r="DQ47" s="1445">
        <f>IF(DQ49=0,0,(DQ48*DQ49+DQ50*DQ51*6)/DQ49)</f>
        <v>0</v>
      </c>
      <c r="DR47" s="1003">
        <f>IF(DP47=0,0,(DQ47-DP47)/DP47*100)</f>
        <v>0</v>
      </c>
      <c r="DS47" s="1445">
        <f>IF(DS49=0,0,(DS48*DS49+DS50*DS51*6)/DS49)</f>
        <v>0</v>
      </c>
      <c r="DT47" s="1445">
        <f>IF(DT49=0,0,(DT48*DT49+DT50*DT51*6)/DT49)</f>
        <v>0</v>
      </c>
      <c r="DU47" s="1003">
        <f>IF(DS47=0,0,(DT47-DS47)/DS47*100)</f>
        <v>0</v>
      </c>
      <c r="DV47" s="1445">
        <f>IF(DV49=0,0,(DV48*DV49+DV50*DV51*6)/DV49)</f>
        <v>0</v>
      </c>
      <c r="DW47" s="1445">
        <f>IF(DW49=0,0,(DW48*DW49+DW50*DW51*6)/DW49)</f>
        <v>0</v>
      </c>
      <c r="DX47" s="1003">
        <f>IF(DV47=0,0,(DW47-DV47)/DV47*100)</f>
        <v>0</v>
      </c>
      <c r="DY47" s="1445">
        <f>IF(DY49=0,0,(DY48*DY49+DY50*DY51*6)/DY49)</f>
        <v>0</v>
      </c>
      <c r="DZ47" s="1445">
        <f>IF(DZ49=0,0,(DZ48*DZ49+DZ50*DZ51*6)/DZ49)</f>
        <v>0</v>
      </c>
      <c r="EA47" s="1003">
        <f>IF(DY47=0,0,(DZ47-DY47)/DY47*100)</f>
        <v>0</v>
      </c>
      <c r="EB47" s="1445">
        <f>IF(EB49=0,0,(EB48*EB49+EB50*EB51*6)/EB49)</f>
        <v>0</v>
      </c>
      <c r="EC47" s="1445">
        <f>IF(EC49=0,0,(EC48*EC49+EC50*EC51*6)/EC49)</f>
        <v>0</v>
      </c>
      <c r="ED47" s="1003">
        <f>IF(EB47=0,0,(EC47-EB47)/EB47*100)</f>
        <v>0</v>
      </c>
      <c r="EE47" s="1445">
        <f>IF(EE49=0,0,(EE48*EE49+EE50*EE51*6)/EE49)</f>
        <v>0</v>
      </c>
      <c r="EF47" s="1445">
        <f>IF(EF49=0,0,(EF48*EF49+EF50*EF51*6)/EF49)</f>
        <v>0</v>
      </c>
      <c r="EG47" s="1003">
        <f>IF(EE47=0,0,(EF47-EE47)/EE47*100)</f>
        <v>0</v>
      </c>
      <c r="EH47" s="1445">
        <f>IF(EH49=0,0,(EH48*EH49+EH50*EH51*6)/EH49)</f>
        <v>0</v>
      </c>
      <c r="EI47" s="1445">
        <f>IF(EI49=0,0,(EI48*EI49+EI50*EI51*6)/EI49)</f>
        <v>0</v>
      </c>
      <c r="EJ47" s="1003">
        <f>IF(EH47=0,0,(EI47-EH47)/EH47*100)</f>
        <v>0</v>
      </c>
      <c r="EK47" s="1445">
        <f>IF(EK49=0,0,(EK48*EK49+EK50*EK51*6)/EK49)</f>
        <v>0</v>
      </c>
      <c r="EL47" s="1445">
        <f>IF(EL49=0,0,(EL48*EL49+EL50*EL51*6)/EL49)</f>
        <v>0</v>
      </c>
      <c r="EM47" s="1003">
        <f>IF(EK47=0,0,(EL47-EK47)/EK47*100)</f>
        <v>0</v>
      </c>
      <c r="EN47" s="1445">
        <f>IF(EN49=0,0,(EN48*EN49+EN50*EN51*6)/EN49)</f>
        <v>0</v>
      </c>
      <c r="EO47" s="1445">
        <f>IF(EO49=0,0,(EO48*EO49+EO50*EO51*6)/EO49)</f>
        <v>0</v>
      </c>
      <c r="EP47" s="1003">
        <f>IF(EN47=0,0,(EO47-EN47)/EN47*100)</f>
        <v>0</v>
      </c>
      <c r="EQ47" s="1445">
        <f>IF(EQ49=0,0,(EQ48*EQ49+EQ50*EQ51*6)/EQ49)</f>
        <v>0</v>
      </c>
      <c r="ER47" s="1445">
        <f>IF(ER49=0,0,(ER48*ER49+ER50*ER51*6)/ER49)</f>
        <v>0</v>
      </c>
      <c r="ES47" s="1003">
        <f>IF(EQ47=0,0,(ER47-EQ47)/EQ47*100)</f>
        <v>0</v>
      </c>
      <c r="ET47" s="1445">
        <f>IF(ET49=0,0,(ET48*ET49+ET50*ET51*6)/ET49)</f>
        <v>0</v>
      </c>
      <c r="EU47" s="1445">
        <f>IF(EU49=0,0,(EU48*EU49+EU50*EU51*6)/EU49)</f>
        <v>0</v>
      </c>
      <c r="EV47" s="1003">
        <f>IF(ET47=0,0,(EU47-ET47)/ET47*100)</f>
        <v>0</v>
      </c>
      <c r="EW47" s="1445">
        <f>IF(EW49=0,0,(EW48*EW49+EW50*EW51*6)/EW49)</f>
        <v>0</v>
      </c>
      <c r="EX47" s="1445">
        <f>IF(EX49=0,0,(EX48*EX49+EX50*EX51*6)/EX49)</f>
        <v>0</v>
      </c>
      <c r="EY47" s="1003">
        <f>IF(EW47=0,0,(EX47-EW47)/EW47*100)</f>
        <v>0</v>
      </c>
      <c r="EZ47" s="1445">
        <f>IF(EZ49=0,0,(EZ48*EZ49+EZ50*EZ51*6)/EZ49)</f>
        <v>0</v>
      </c>
      <c r="FA47" s="1445">
        <f>IF(FA49=0,0,(FA48*FA49+FA50*FA51*6)/FA49)</f>
        <v>0</v>
      </c>
      <c r="FB47" s="1003">
        <f>IF(EZ47=0,0,(FA47-EZ47)/EZ47*100)</f>
        <v>0</v>
      </c>
      <c r="FC47" s="1445">
        <f>IF(FC49=0,0,(FC48*FC49+FC50*FC51*6)/FC49)</f>
        <v>0</v>
      </c>
      <c r="FD47" s="1445">
        <f>IF(FD49=0,0,(FD48*FD49+FD50*FD51*6)/FD49)</f>
        <v>0</v>
      </c>
      <c r="FE47" s="1003">
        <f>IF(FC47=0,0,(FD47-FC47)/FC47*100)</f>
        <v>0</v>
      </c>
      <c r="FF47" s="1445">
        <f>IF(FF49=0,0,(FF48*FF49+FF50*FF51*6)/FF49)</f>
        <v>0</v>
      </c>
      <c r="FG47" s="1445">
        <f>IF(FG49=0,0,(FG48*FG49+FG50*FG51*6)/FG49)</f>
        <v>0</v>
      </c>
      <c r="FH47" s="1003">
        <f>IF(FF47=0,0,(FG47-FF47)/FF47*100)</f>
        <v>0</v>
      </c>
      <c r="FI47" s="1445">
        <f>IF(FI49=0,0,(FI48*FI49+FI50*FI51*6)/FI49)</f>
        <v>0</v>
      </c>
      <c r="FJ47" s="1445">
        <f>IF(FJ49=0,0,(FJ48*FJ49+FJ50*FJ51*6)/FJ49)</f>
        <v>0</v>
      </c>
      <c r="FK47" s="1003">
        <f>IF(FI47=0,0,(FJ47-FI47)/FI47*100)</f>
        <v>0</v>
      </c>
      <c r="FL47" s="1445">
        <f>IF(FL49=0,0,(FL48*FL49+FL50*FL51*6)/FL49)</f>
        <v>0</v>
      </c>
      <c r="FM47" s="1445">
        <f>IF(FM49=0,0,(FM48*FM49+FM50*FM51*6)/FM49)</f>
        <v>0</v>
      </c>
      <c r="FN47" s="1003">
        <f>IF(FL47=0,0,(FM47-FL47)/FL47*100)</f>
        <v>0</v>
      </c>
      <c r="FO47" s="1445">
        <f>IF(FO49=0,0,(FO48*FO49+FO50*FO51*6)/FO49)</f>
        <v>0</v>
      </c>
      <c r="FP47" s="1445">
        <f>IF(FP49=0,0,(FP48*FP49+FP50*FP51*6)/FP49)</f>
        <v>0</v>
      </c>
      <c r="FQ47" s="1003">
        <f>IF(FO47=0,0,(FP47-FO47)/FO47*100)</f>
        <v>0</v>
      </c>
      <c r="FR47" s="1445">
        <f>IF(FR49=0,0,(FR48*FR49+FR50*FR51*6)/FR49)</f>
        <v>0</v>
      </c>
      <c r="FS47" s="1445">
        <f>IF(FS49=0,0,(FS48*FS49+FS50*FS51*6)/FS49)</f>
        <v>0</v>
      </c>
      <c r="FT47" s="1003">
        <f>IF(FR47=0,0,(FS47-FR47)/FR47*100)</f>
        <v>0</v>
      </c>
      <c r="FU47" s="1445">
        <f>IF(FU49=0,0,(FU48*FU49+FU50*FU51*6)/FU49)</f>
        <v>0</v>
      </c>
      <c r="FV47" s="1445">
        <f>IF(FV49=0,0,(FV48*FV49+FV50*FV51*6)/FV49)</f>
        <v>0</v>
      </c>
      <c r="FW47" s="1003">
        <f>IF(FU47=0,0,(FV47-FU47)/FU47*100)</f>
        <v>0</v>
      </c>
      <c r="FZ47" s="964" t="s">
        <v>1622</v>
      </c>
    </row>
    <row r="48" spans="1:186" ht="14.65" hidden="1" customHeight="1" x14ac:dyDescent="0.15">
      <c r="A48" s="416"/>
      <c r="B48" s="837" t="b" cm="1">
        <f t="array" ref="B48">B47</f>
        <v>0</v>
      </c>
      <c r="C48" s="416"/>
      <c r="D48" s="416"/>
      <c r="E48" s="759">
        <v>15</v>
      </c>
      <c r="F48" s="3" cm="1">
        <f t="array" aca="1" ref="F48" ca="1">OFFSET(E48,-1,1)</f>
        <v>0</v>
      </c>
      <c r="G48" s="416"/>
      <c r="H48" s="416" t="s">
        <v>1533</v>
      </c>
      <c r="I48" s="416" t="s">
        <v>1586</v>
      </c>
      <c r="J48" s="416"/>
      <c r="K48" s="416"/>
      <c r="L48" s="416"/>
      <c r="M48" s="416"/>
      <c r="N48" s="416"/>
      <c r="O48" s="416"/>
      <c r="P48" s="416"/>
      <c r="Q48" s="416"/>
      <c r="R48" s="416"/>
      <c r="S48" s="416"/>
      <c r="T48" s="388" t="b" cm="1">
        <f t="array" aca="1" ref="T48" ca="1">T47</f>
        <v>0</v>
      </c>
      <c r="U48" s="416"/>
      <c r="V48" s="416"/>
      <c r="W48" s="416"/>
      <c r="X48" s="2066"/>
      <c r="Y48" s="416"/>
      <c r="Z48" s="2011"/>
      <c r="AA48" s="416"/>
      <c r="AB48" s="818" t="str">
        <f>"ставка платы за "&amp;IF(Q29="Водоснабжение","потребление 1 куб.м холодной воды","объем принятых сточных вод")</f>
        <v>ставка платы за объем принятых сточных вод</v>
      </c>
      <c r="AC48" s="783" t="s">
        <v>1588</v>
      </c>
      <c r="AD48" s="1445"/>
      <c r="AE48" s="1445"/>
      <c r="AF48" s="1003">
        <f>IF(AD48=0,0,(AE48-AD48)/AD48*100)</f>
        <v>0</v>
      </c>
      <c r="AG48" s="1445"/>
      <c r="AH48" s="1445"/>
      <c r="AI48" s="1003">
        <f>IF(AG48=0,0,(AH48-AG48)/AG48*100)</f>
        <v>0</v>
      </c>
      <c r="AJ48" s="1445"/>
      <c r="AK48" s="1445"/>
      <c r="AL48" s="1003">
        <f>IF(AJ48=0,0,(AK48-AJ48)/AJ48*100)</f>
        <v>0</v>
      </c>
      <c r="AM48" s="1445"/>
      <c r="AN48" s="1445"/>
      <c r="AO48" s="1003">
        <f>IF(AM48=0,0,(AN48-AM48)/AM48*100)</f>
        <v>0</v>
      </c>
      <c r="AP48" s="1445"/>
      <c r="AQ48" s="1445"/>
      <c r="AR48" s="1003">
        <f>IF(AP48=0,0,(AQ48-AP48)/AP48*100)</f>
        <v>0</v>
      </c>
      <c r="AS48" s="1445"/>
      <c r="AT48" s="1445"/>
      <c r="AU48" s="1003">
        <f>IF(AS48=0,0,(AT48-AS48)/AS48*100)</f>
        <v>0</v>
      </c>
      <c r="AV48" s="1445"/>
      <c r="AW48" s="1445"/>
      <c r="AX48" s="1003">
        <f>IF(AV48=0,0,(AW48-AV48)/AV48*100)</f>
        <v>0</v>
      </c>
      <c r="AY48" s="1445"/>
      <c r="AZ48" s="1445"/>
      <c r="BA48" s="1003">
        <f>IF(AY48=0,0,(AZ48-AY48)/AY48*100)</f>
        <v>0</v>
      </c>
      <c r="BB48" s="1445"/>
      <c r="BC48" s="1445"/>
      <c r="BD48" s="1003">
        <f>IF(BB48=0,0,(BC48-BB48)/BB48*100)</f>
        <v>0</v>
      </c>
      <c r="BE48" s="1445"/>
      <c r="BF48" s="1445"/>
      <c r="BG48" s="1003">
        <f>IF(BE48=0,0,(BF48-BE48)/BE48*100)</f>
        <v>0</v>
      </c>
      <c r="BH48" s="1445"/>
      <c r="BI48" s="1445"/>
      <c r="BJ48" s="1003">
        <f>IF(BH48=0,0,(BI48-BH48)/BH48*100)</f>
        <v>0</v>
      </c>
      <c r="BK48" s="1445"/>
      <c r="BL48" s="1445"/>
      <c r="BM48" s="1003">
        <f>IF(BK48=0,0,(BL48-BK48)/BK48*100)</f>
        <v>0</v>
      </c>
      <c r="BN48" s="1445"/>
      <c r="BO48" s="1445"/>
      <c r="BP48" s="1003">
        <f>IF(BN48=0,0,(BO48-BN48)/BN48*100)</f>
        <v>0</v>
      </c>
      <c r="BQ48" s="1445"/>
      <c r="BR48" s="1445"/>
      <c r="BS48" s="1003">
        <f>IF(BQ48=0,0,(BR48-BQ48)/BQ48*100)</f>
        <v>0</v>
      </c>
      <c r="BT48" s="1445"/>
      <c r="BU48" s="1445"/>
      <c r="BV48" s="1003">
        <f>IF(BT48=0,0,(BU48-BT48)/BT48*100)</f>
        <v>0</v>
      </c>
      <c r="BW48" s="1445"/>
      <c r="BX48" s="1445"/>
      <c r="BY48" s="1003">
        <f>IF(BW48=0,0,(BX48-BW48)/BW48*100)</f>
        <v>0</v>
      </c>
      <c r="BZ48" s="1445"/>
      <c r="CA48" s="1445"/>
      <c r="CB48" s="1003">
        <f>IF(BZ48=0,0,(CA48-BZ48)/BZ48*100)</f>
        <v>0</v>
      </c>
      <c r="CC48" s="1445"/>
      <c r="CD48" s="1445"/>
      <c r="CE48" s="1003">
        <f>IF(CC48=0,0,(CD48-CC48)/CC48*100)</f>
        <v>0</v>
      </c>
      <c r="CF48" s="1445"/>
      <c r="CG48" s="1445"/>
      <c r="CH48" s="1003">
        <f>IF(CF48=0,0,(CG48-CF48)/CF48*100)</f>
        <v>0</v>
      </c>
      <c r="CI48" s="1445"/>
      <c r="CJ48" s="1445"/>
      <c r="CK48" s="1003">
        <f>IF(CI48=0,0,(CJ48-CI48)/CI48*100)</f>
        <v>0</v>
      </c>
      <c r="CL48" s="1445"/>
      <c r="CM48" s="1445"/>
      <c r="CN48" s="1003">
        <f>IF(CL48=0,0,(CM48-CL48)/CL48*100)</f>
        <v>0</v>
      </c>
      <c r="CO48" s="1445"/>
      <c r="CP48" s="1445"/>
      <c r="CQ48" s="1003">
        <f>IF(CO48=0,0,(CP48-CO48)/CO48*100)</f>
        <v>0</v>
      </c>
      <c r="CR48" s="1445"/>
      <c r="CS48" s="1445"/>
      <c r="CT48" s="1003">
        <f>IF(CR48=0,0,(CS48-CR48)/CR48*100)</f>
        <v>0</v>
      </c>
      <c r="CU48" s="1445"/>
      <c r="CV48" s="1445"/>
      <c r="CW48" s="1003">
        <f>IF(CU48=0,0,(CV48-CU48)/CU48*100)</f>
        <v>0</v>
      </c>
      <c r="CX48" s="1445"/>
      <c r="CY48" s="1445"/>
      <c r="CZ48" s="1003">
        <f>IF(CX48=0,0,(CY48-CX48)/CX48*100)</f>
        <v>0</v>
      </c>
      <c r="DA48" s="1445"/>
      <c r="DB48" s="1445"/>
      <c r="DC48" s="1003">
        <f>IF(DA48=0,0,(DB48-DA48)/DA48*100)</f>
        <v>0</v>
      </c>
      <c r="DD48" s="1445"/>
      <c r="DE48" s="1445"/>
      <c r="DF48" s="1003">
        <f>IF(DD48=0,0,(DE48-DD48)/DD48*100)</f>
        <v>0</v>
      </c>
      <c r="DG48" s="1445"/>
      <c r="DH48" s="1445"/>
      <c r="DI48" s="1003">
        <f>IF(DG48=0,0,(DH48-DG48)/DG48*100)</f>
        <v>0</v>
      </c>
      <c r="DJ48" s="1445"/>
      <c r="DK48" s="1445"/>
      <c r="DL48" s="1003">
        <f>IF(DJ48=0,0,(DK48-DJ48)/DJ48*100)</f>
        <v>0</v>
      </c>
      <c r="DM48" s="1445"/>
      <c r="DN48" s="1445"/>
      <c r="DO48" s="1003">
        <f>IF(DM48=0,0,(DN48-DM48)/DM48*100)</f>
        <v>0</v>
      </c>
      <c r="DP48" s="1445"/>
      <c r="DQ48" s="1445"/>
      <c r="DR48" s="1003">
        <f>IF(DP48=0,0,(DQ48-DP48)/DP48*100)</f>
        <v>0</v>
      </c>
      <c r="DS48" s="1445"/>
      <c r="DT48" s="1445"/>
      <c r="DU48" s="1003">
        <f>IF(DS48=0,0,(DT48-DS48)/DS48*100)</f>
        <v>0</v>
      </c>
      <c r="DV48" s="1445"/>
      <c r="DW48" s="1445"/>
      <c r="DX48" s="1003">
        <f>IF(DV48=0,0,(DW48-DV48)/DV48*100)</f>
        <v>0</v>
      </c>
      <c r="DY48" s="1445"/>
      <c r="DZ48" s="1445"/>
      <c r="EA48" s="1003">
        <f>IF(DY48=0,0,(DZ48-DY48)/DY48*100)</f>
        <v>0</v>
      </c>
      <c r="EB48" s="1445"/>
      <c r="EC48" s="1445"/>
      <c r="ED48" s="1003">
        <f>IF(EB48=0,0,(EC48-EB48)/EB48*100)</f>
        <v>0</v>
      </c>
      <c r="EE48" s="1445"/>
      <c r="EF48" s="1445"/>
      <c r="EG48" s="1003">
        <f>IF(EE48=0,0,(EF48-EE48)/EE48*100)</f>
        <v>0</v>
      </c>
      <c r="EH48" s="1445"/>
      <c r="EI48" s="1445"/>
      <c r="EJ48" s="1003">
        <f>IF(EH48=0,0,(EI48-EH48)/EH48*100)</f>
        <v>0</v>
      </c>
      <c r="EK48" s="1445"/>
      <c r="EL48" s="1445"/>
      <c r="EM48" s="1003">
        <f>IF(EK48=0,0,(EL48-EK48)/EK48*100)</f>
        <v>0</v>
      </c>
      <c r="EN48" s="1445"/>
      <c r="EO48" s="1445"/>
      <c r="EP48" s="1003">
        <f>IF(EN48=0,0,(EO48-EN48)/EN48*100)</f>
        <v>0</v>
      </c>
      <c r="EQ48" s="1445"/>
      <c r="ER48" s="1445"/>
      <c r="ES48" s="1003">
        <f>IF(EQ48=0,0,(ER48-EQ48)/EQ48*100)</f>
        <v>0</v>
      </c>
      <c r="ET48" s="1445"/>
      <c r="EU48" s="1445"/>
      <c r="EV48" s="1003">
        <f>IF(ET48=0,0,(EU48-ET48)/ET48*100)</f>
        <v>0</v>
      </c>
      <c r="EW48" s="1445"/>
      <c r="EX48" s="1445"/>
      <c r="EY48" s="1003">
        <f>IF(EW48=0,0,(EX48-EW48)/EW48*100)</f>
        <v>0</v>
      </c>
      <c r="EZ48" s="1445"/>
      <c r="FA48" s="1445"/>
      <c r="FB48" s="1003">
        <f>IF(EZ48=0,0,(FA48-EZ48)/EZ48*100)</f>
        <v>0</v>
      </c>
      <c r="FC48" s="1445"/>
      <c r="FD48" s="1445"/>
      <c r="FE48" s="1003">
        <f>IF(FC48=0,0,(FD48-FC48)/FC48*100)</f>
        <v>0</v>
      </c>
      <c r="FF48" s="1445"/>
      <c r="FG48" s="1445"/>
      <c r="FH48" s="1003">
        <f>IF(FF48=0,0,(FG48-FF48)/FF48*100)</f>
        <v>0</v>
      </c>
      <c r="FI48" s="1445"/>
      <c r="FJ48" s="1445"/>
      <c r="FK48" s="1003">
        <f>IF(FI48=0,0,(FJ48-FI48)/FI48*100)</f>
        <v>0</v>
      </c>
      <c r="FL48" s="1445"/>
      <c r="FM48" s="1445"/>
      <c r="FN48" s="1003">
        <f>IF(FL48=0,0,(FM48-FL48)/FL48*100)</f>
        <v>0</v>
      </c>
      <c r="FO48" s="1445"/>
      <c r="FP48" s="1445"/>
      <c r="FQ48" s="1003">
        <f>IF(FO48=0,0,(FP48-FO48)/FO48*100)</f>
        <v>0</v>
      </c>
      <c r="FR48" s="1445"/>
      <c r="FS48" s="1445"/>
      <c r="FT48" s="1003">
        <f>IF(FR48=0,0,(FS48-FR48)/FR48*100)</f>
        <v>0</v>
      </c>
      <c r="FU48" s="1445"/>
      <c r="FV48" s="1445"/>
      <c r="FW48" s="1003">
        <f>IF(FU48=0,0,(FV48-FU48)/FU48*100)</f>
        <v>0</v>
      </c>
      <c r="FZ48" s="964" t="s">
        <v>1623</v>
      </c>
    </row>
    <row r="49" spans="1:182" ht="14.65" hidden="1" customHeight="1" x14ac:dyDescent="0.15">
      <c r="A49" s="416"/>
      <c r="B49" s="837" t="b" cm="1">
        <f t="array" ref="B49">B48</f>
        <v>0</v>
      </c>
      <c r="C49" s="416"/>
      <c r="D49" s="416"/>
      <c r="E49" s="759">
        <v>15</v>
      </c>
      <c r="F49" s="3" cm="1">
        <f t="array" aca="1" ref="F49" ca="1">OFFSET(E49,-1,1)</f>
        <v>0</v>
      </c>
      <c r="G49" s="26" t="s">
        <v>1624</v>
      </c>
      <c r="H49" s="416" t="s">
        <v>1625</v>
      </c>
      <c r="I49" s="416" t="s">
        <v>1586</v>
      </c>
      <c r="J49" s="416"/>
      <c r="K49" s="416"/>
      <c r="L49" s="416"/>
      <c r="M49" s="416"/>
      <c r="N49" s="416"/>
      <c r="O49" s="416"/>
      <c r="P49" s="416"/>
      <c r="Q49" s="416"/>
      <c r="R49" s="416"/>
      <c r="S49" s="416"/>
      <c r="T49" s="388" t="b" cm="1">
        <f t="array" aca="1" ref="T49" ca="1">T48</f>
        <v>0</v>
      </c>
      <c r="U49" s="416"/>
      <c r="V49" s="416"/>
      <c r="W49" s="416"/>
      <c r="X49" s="2066"/>
      <c r="Y49" s="416"/>
      <c r="Z49" s="2011"/>
      <c r="AA49" s="416"/>
      <c r="AB49" s="818" t="str">
        <f>"объём "&amp;IF(Q29="Водоснабжение","потребления холодной воды","водоотведения")</f>
        <v>объём водоотведения</v>
      </c>
      <c r="AC49" s="783" t="s">
        <v>563</v>
      </c>
      <c r="AD49" s="1443">
        <f ca="1">IF(AND(method_reg="Метод индексации",god&lt;&gt;first_year),SUMIFS(INDEX('Калькуляция (МИ корр)'!$AJ$25:$BC$459,,MATCH(AD$8,'Калькуляция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(МИ)'!$AJ$25:$BC$459,,MATCH(AD$8,'Калькуляция (МИ)'!$AJ$8:$BC$8,0)),'Калькуляция (МИ)'!$F$25:$F$459,$F49,'Калькуляция (МИ)'!$G$25:$G$459,$G49))))</f>
        <v>0</v>
      </c>
      <c r="AE49" s="1443">
        <f ca="1">IF(AND(method_reg="Метод индексации",god&lt;&gt;first_year),SUMIFS(INDEX('Калькуляция (МИ корр)'!$AJ$25:$BC$459,,MATCH(AE$8,'Калькуляция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(МИ)'!$AJ$25:$BC$459,,MATCH(AE$8,'Калькуляция (МИ)'!$AJ$8:$BC$8,0)),'Калькуляция (МИ)'!$F$25:$F$459,$F49,'Калькуляция (МИ)'!$G$25:$G$459,$G49))))</f>
        <v>0</v>
      </c>
      <c r="AF49" s="1005">
        <f ca="1">IF(AD49=0,0,(AE49-AD49)/AD49*100)</f>
        <v>0</v>
      </c>
      <c r="AG49" s="1443">
        <f ca="1">IF(AND(method_reg="Метод индексации",god&lt;&gt;first_year),SUMIFS(INDEX('Калькуляция (МИ корр)'!$AJ$25:$BC$459,,MATCH(AG$8,'Калькуляция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(МИ)'!$AJ$25:$BC$459,,MATCH(AG$8,'Калькуляция (МИ)'!$AJ$8:$BC$8,0)),'Калькуляция (МИ)'!$F$25:$F$459,$F49,'Калькуляция (МИ)'!$G$25:$G$459,$G49))))</f>
        <v>0</v>
      </c>
      <c r="AH49" s="1443">
        <f ca="1">IF(AND(method_reg="Метод индексации",god&lt;&gt;first_year),SUMIFS(INDEX('Калькуляция (МИ корр)'!$AJ$25:$BC$459,,MATCH(AH$8,'Калькуляция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(МИ)'!$AJ$25:$BC$459,,MATCH(AH$8,'Калькуляция (МИ)'!$AJ$8:$BC$8,0)),'Калькуляция (МИ)'!$F$25:$F$459,$F49,'Калькуляция (МИ)'!$G$25:$G$459,$G49))))</f>
        <v>0</v>
      </c>
      <c r="AI49" s="1005">
        <f ca="1">IF(AG49=0,0,(AH49-AG49)/AG49*100)</f>
        <v>0</v>
      </c>
      <c r="AJ49" s="1443">
        <f ca="1">IF(AND(method_reg="Метод индексации",god&lt;&gt;first_year),SUMIFS(INDEX('Калькуляция (МИ корр)'!$AJ$25:$BC$459,,MATCH(AJ$8,'Калькуляция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(МИ)'!$AJ$25:$BC$459,,MATCH(AJ$8,'Калькуляция (МИ)'!$AJ$8:$BC$8,0)),'Калькуляция (МИ)'!$F$25:$F$459,$F49,'Калькуляция (МИ)'!$G$25:$G$459,$G49))))</f>
        <v>0</v>
      </c>
      <c r="AK49" s="1443">
        <f ca="1">IF(AND(method_reg="Метод индексации",god&lt;&gt;first_year),SUMIFS(INDEX('Калькуляция (МИ корр)'!$AJ$25:$BC$459,,MATCH(AK$8,'Калькуляция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(МИ)'!$AJ$25:$BC$459,,MATCH(AK$8,'Калькуляция (МИ)'!$AJ$8:$BC$8,0)),'Калькуляция (МИ)'!$F$25:$F$459,$F49,'Калькуляция (МИ)'!$G$25:$G$459,$G49))))</f>
        <v>0</v>
      </c>
      <c r="AL49" s="1005">
        <f ca="1">IF(AJ49=0,0,(AK49-AJ49)/AJ49*100)</f>
        <v>0</v>
      </c>
      <c r="AM49" s="1443">
        <f ca="1">IF(AND(method_reg="Метод индексации",god&lt;&gt;first_year),SUMIFS(INDEX('Калькуляция (МИ корр)'!$AJ$25:$BC$459,,MATCH(AM$8,'Калькуляция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(МИ)'!$AJ$25:$BC$459,,MATCH(AM$8,'Калькуляция (МИ)'!$AJ$8:$BC$8,0)),'Калькуляция (МИ)'!$F$25:$F$459,$F49,'Калькуляция (МИ)'!$G$25:$G$459,$G49))))</f>
        <v>0</v>
      </c>
      <c r="AN49" s="1443">
        <f ca="1">IF(AND(method_reg="Метод индексации",god&lt;&gt;first_year),SUMIFS(INDEX('Калькуляция (МИ корр)'!$AJ$25:$BC$459,,MATCH(AN$8,'Калькуляция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(МИ)'!$AJ$25:$BC$459,,MATCH(AN$8,'Калькуляция (МИ)'!$AJ$8:$BC$8,0)),'Калькуляция (МИ)'!$F$25:$F$459,$F49,'Калькуляция (МИ)'!$G$25:$G$459,$G49))))</f>
        <v>0</v>
      </c>
      <c r="AO49" s="1005">
        <f ca="1">IF(AM49=0,0,(AN49-AM49)/AM49*100)</f>
        <v>0</v>
      </c>
      <c r="AP49" s="1443">
        <f ca="1">IF(AND(method_reg="Метод индексации",god&lt;&gt;first_year),SUMIFS(INDEX('Калькуляция (МИ корр)'!$AJ$25:$BC$459,,MATCH(AP$8,'Калькуляция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(МИ)'!$AJ$25:$BC$459,,MATCH(AP$8,'Калькуляция (МИ)'!$AJ$8:$BC$8,0)),'Калькуляция (МИ)'!$F$25:$F$459,$F49,'Калькуляция (МИ)'!$G$25:$G$459,$G49))))</f>
        <v>0</v>
      </c>
      <c r="AQ49" s="1443">
        <f ca="1">IF(AND(method_reg="Метод индексации",god&lt;&gt;first_year),SUMIFS(INDEX('Калькуляция (МИ корр)'!$AJ$25:$BC$459,,MATCH(AQ$8,'Калькуляция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(МИ)'!$AJ$25:$BC$459,,MATCH(AQ$8,'Калькуляция (МИ)'!$AJ$8:$BC$8,0)),'Калькуляция (МИ)'!$F$25:$F$459,$F49,'Калькуляция (МИ)'!$G$25:$G$459,$G49))))</f>
        <v>0</v>
      </c>
      <c r="AR49" s="1005">
        <f ca="1">IF(AP49=0,0,(AQ49-AP49)/AP49*100)</f>
        <v>0</v>
      </c>
      <c r="AS49" s="1443">
        <f ca="1">IF(AND(method_reg="Метод индексации",god&lt;&gt;first_year),SUMIFS(INDEX('Калькуляция (МИ корр)'!$AJ$25:$BC$459,,MATCH(AS$8,'Калькуляция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(МИ)'!$AJ$25:$BC$459,,MATCH(AS$8,'Калькуляция (МИ)'!$AJ$8:$BC$8,0)),'Калькуляция (МИ)'!$F$25:$F$459,$F49,'Калькуляция (МИ)'!$G$25:$G$459,$G49))))</f>
        <v>0</v>
      </c>
      <c r="AT49" s="1443">
        <f ca="1">IF(AND(method_reg="Метод индексации",god&lt;&gt;first_year),SUMIFS(INDEX('Калькуляция (МИ корр)'!$AJ$25:$BC$459,,MATCH(AT$8,'Калькуляция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(МИ)'!$AJ$25:$BC$459,,MATCH(AT$8,'Калькуляция (МИ)'!$AJ$8:$BC$8,0)),'Калькуляция (МИ)'!$F$25:$F$459,$F49,'Калькуляция (МИ)'!$G$25:$G$459,$G49))))</f>
        <v>0</v>
      </c>
      <c r="AU49" s="1005">
        <f ca="1">IF(AS49=0,0,(AT49-AS49)/AS49*100)</f>
        <v>0</v>
      </c>
      <c r="AV49" s="1443">
        <f ca="1">IF(AND(method_reg="Метод индексации",god&lt;&gt;first_year),SUMIFS(INDEX('Калькуляция (МИ корр)'!$AJ$25:$BC$459,,MATCH(AV$8,'Калькуляция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(МИ)'!$AJ$25:$BC$459,,MATCH(AV$8,'Калькуляция (МИ)'!$AJ$8:$BC$8,0)),'Калькуляция (МИ)'!$F$25:$F$459,$F49,'Калькуляция (МИ)'!$G$25:$G$459,$G49))))</f>
        <v>0</v>
      </c>
      <c r="AW49" s="1443">
        <f ca="1">IF(AND(method_reg="Метод индексации",god&lt;&gt;first_year),SUMIFS(INDEX('Калькуляция (МИ корр)'!$AJ$25:$BC$459,,MATCH(AW$8,'Калькуляция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(МИ)'!$AJ$25:$BC$459,,MATCH(AW$8,'Калькуляция (МИ)'!$AJ$8:$BC$8,0)),'Калькуляция (МИ)'!$F$25:$F$459,$F49,'Калькуляция (МИ)'!$G$25:$G$459,$G49))))</f>
        <v>0</v>
      </c>
      <c r="AX49" s="1005">
        <f ca="1">IF(AV49=0,0,(AW49-AV49)/AV49*100)</f>
        <v>0</v>
      </c>
      <c r="AY49" s="1443">
        <f ca="1">IF(AND(method_reg="Метод индексации",god&lt;&gt;first_year),SUMIFS(INDEX('Калькуляция (МИ корр)'!$AJ$25:$BC$459,,MATCH(AY$8,'Калькуляция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(МИ)'!$AJ$25:$BC$459,,MATCH(AY$8,'Калькуляция (МИ)'!$AJ$8:$BC$8,0)),'Калькуляция (МИ)'!$F$25:$F$459,$F49,'Калькуляция (МИ)'!$G$25:$G$459,$G49))))</f>
        <v>0</v>
      </c>
      <c r="AZ49" s="1443">
        <f ca="1">IF(AND(method_reg="Метод индексации",god&lt;&gt;first_year),SUMIFS(INDEX('Калькуляция (МИ корр)'!$AJ$25:$BC$459,,MATCH(AZ$8,'Калькуляция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(МИ)'!$AJ$25:$BC$459,,MATCH(AZ$8,'Калькуляция (МИ)'!$AJ$8:$BC$8,0)),'Калькуляция (МИ)'!$F$25:$F$459,$F49,'Калькуляция (МИ)'!$G$25:$G$459,$G49))))</f>
        <v>0</v>
      </c>
      <c r="BA49" s="1005">
        <f ca="1">IF(AY49=0,0,(AZ49-AY49)/AY49*100)</f>
        <v>0</v>
      </c>
      <c r="BB49" s="1443">
        <f ca="1">IF(AND(method_reg="Метод индексации",god&lt;&gt;first_year),SUMIFS(INDEX('Калькуляция (МИ корр)'!$AJ$25:$BC$459,,MATCH(BB$8,'Калькуляция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(МИ)'!$AJ$25:$BC$459,,MATCH(BB$8,'Калькуляция (МИ)'!$AJ$8:$BC$8,0)),'Калькуляция (МИ)'!$F$25:$F$459,$F49,'Калькуляция (МИ)'!$G$25:$G$459,$G49))))</f>
        <v>0</v>
      </c>
      <c r="BC49" s="1443">
        <f ca="1">IF(AND(method_reg="Метод индексации",god&lt;&gt;first_year),SUMIFS(INDEX('Калькуляция (МИ корр)'!$AJ$25:$BC$459,,MATCH(BC$8,'Калькуляция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(МИ)'!$AJ$25:$BC$459,,MATCH(BC$8,'Калькуляция (МИ)'!$AJ$8:$BC$8,0)),'Калькуляция (МИ)'!$F$25:$F$459,$F49,'Калькуляция (МИ)'!$G$25:$G$459,$G49))))</f>
        <v>0</v>
      </c>
      <c r="BD49" s="1005">
        <f ca="1">IF(BB49=0,0,(BC49-BB49)/BB49*100)</f>
        <v>0</v>
      </c>
      <c r="BE49" s="1443">
        <f ca="1">IF(AND(method_reg="Метод индексации",god&lt;&gt;first_year),SUMIFS(INDEX('Калькуляция (МИ корр)'!$AJ$25:$BC$459,,MATCH(BE$8,'Калькуляция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(МИ)'!$AJ$25:$BC$459,,MATCH(BE$8,'Калькуляция (МИ)'!$AJ$8:$BC$8,0)),'Калькуляция (МИ)'!$F$25:$F$459,$F49,'Калькуляция (МИ)'!$G$25:$G$459,$G49))))</f>
        <v>0</v>
      </c>
      <c r="BF49" s="1443">
        <f ca="1">IF(AND(method_reg="Метод индексации",god&lt;&gt;first_year),SUMIFS(INDEX('Калькуляция (МИ корр)'!$AJ$25:$BC$459,,MATCH(BF$8,'Калькуляция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(МИ)'!$AJ$25:$BC$459,,MATCH(BF$8,'Калькуляция (МИ)'!$AJ$8:$BC$8,0)),'Калькуляция (МИ)'!$F$25:$F$459,$F49,'Калькуляция (МИ)'!$G$25:$G$459,$G49))))</f>
        <v>0</v>
      </c>
      <c r="BG49" s="1005">
        <f ca="1">IF(BE49=0,0,(BF49-BE49)/BE49*100)</f>
        <v>0</v>
      </c>
      <c r="BH49" s="1443"/>
      <c r="BI49" s="1443"/>
      <c r="BJ49" s="1005">
        <f>IF(BH49=0,0,(BI49-BH49)/BH49*100)</f>
        <v>0</v>
      </c>
      <c r="BK49" s="1443"/>
      <c r="BL49" s="1443"/>
      <c r="BM49" s="1005">
        <f>IF(BK49=0,0,(BL49-BK49)/BK49*100)</f>
        <v>0</v>
      </c>
      <c r="BN49" s="1443"/>
      <c r="BO49" s="1443"/>
      <c r="BP49" s="1005">
        <f>IF(BN49=0,0,(BO49-BN49)/BN49*100)</f>
        <v>0</v>
      </c>
      <c r="BQ49" s="1443"/>
      <c r="BR49" s="1443"/>
      <c r="BS49" s="1005">
        <f>IF(BQ49=0,0,(BR49-BQ49)/BQ49*100)</f>
        <v>0</v>
      </c>
      <c r="BT49" s="1443"/>
      <c r="BU49" s="1443"/>
      <c r="BV49" s="1005">
        <f>IF(BT49=0,0,(BU49-BT49)/BT49*100)</f>
        <v>0</v>
      </c>
      <c r="BW49" s="1443"/>
      <c r="BX49" s="1443"/>
      <c r="BY49" s="1005">
        <f>IF(BW49=0,0,(BX49-BW49)/BW49*100)</f>
        <v>0</v>
      </c>
      <c r="BZ49" s="1443"/>
      <c r="CA49" s="1443"/>
      <c r="CB49" s="1005">
        <f>IF(BZ49=0,0,(CA49-BZ49)/BZ49*100)</f>
        <v>0</v>
      </c>
      <c r="CC49" s="1443"/>
      <c r="CD49" s="1443"/>
      <c r="CE49" s="1005">
        <f>IF(CC49=0,0,(CD49-CC49)/CC49*100)</f>
        <v>0</v>
      </c>
      <c r="CF49" s="1443"/>
      <c r="CG49" s="1443"/>
      <c r="CH49" s="1005">
        <f>IF(CF49=0,0,(CG49-CF49)/CF49*100)</f>
        <v>0</v>
      </c>
      <c r="CI49" s="1443"/>
      <c r="CJ49" s="1443"/>
      <c r="CK49" s="1005">
        <f>IF(CI49=0,0,(CJ49-CI49)/CI49*100)</f>
        <v>0</v>
      </c>
      <c r="CL49" s="1443"/>
      <c r="CM49" s="1443"/>
      <c r="CN49" s="1005">
        <f>IF(CL49=0,0,(CM49-CL49)/CL49*100)</f>
        <v>0</v>
      </c>
      <c r="CO49" s="1443"/>
      <c r="CP49" s="1443"/>
      <c r="CQ49" s="1005">
        <f>IF(CO49=0,0,(CP49-CO49)/CO49*100)</f>
        <v>0</v>
      </c>
      <c r="CR49" s="1443"/>
      <c r="CS49" s="1443"/>
      <c r="CT49" s="1005">
        <f>IF(CR49=0,0,(CS49-CR49)/CR49*100)</f>
        <v>0</v>
      </c>
      <c r="CU49" s="1443"/>
      <c r="CV49" s="1443"/>
      <c r="CW49" s="1005">
        <f>IF(CU49=0,0,(CV49-CU49)/CU49*100)</f>
        <v>0</v>
      </c>
      <c r="CX49" s="1443"/>
      <c r="CY49" s="1443"/>
      <c r="CZ49" s="1005">
        <f>IF(CX49=0,0,(CY49-CX49)/CX49*100)</f>
        <v>0</v>
      </c>
      <c r="DA49" s="1443"/>
      <c r="DB49" s="1443"/>
      <c r="DC49" s="1005">
        <f>IF(DA49=0,0,(DB49-DA49)/DA49*100)</f>
        <v>0</v>
      </c>
      <c r="DD49" s="1443"/>
      <c r="DE49" s="1443"/>
      <c r="DF49" s="1005">
        <f>IF(DD49=0,0,(DE49-DD49)/DD49*100)</f>
        <v>0</v>
      </c>
      <c r="DG49" s="1443"/>
      <c r="DH49" s="1443"/>
      <c r="DI49" s="1005">
        <f>IF(DG49=0,0,(DH49-DG49)/DG49*100)</f>
        <v>0</v>
      </c>
      <c r="DJ49" s="1443"/>
      <c r="DK49" s="1443"/>
      <c r="DL49" s="1005">
        <f>IF(DJ49=0,0,(DK49-DJ49)/DJ49*100)</f>
        <v>0</v>
      </c>
      <c r="DM49" s="1443"/>
      <c r="DN49" s="1443"/>
      <c r="DO49" s="1005">
        <f>IF(DM49=0,0,(DN49-DM49)/DM49*100)</f>
        <v>0</v>
      </c>
      <c r="DP49" s="1443"/>
      <c r="DQ49" s="1443"/>
      <c r="DR49" s="1005">
        <f>IF(DP49=0,0,(DQ49-DP49)/DP49*100)</f>
        <v>0</v>
      </c>
      <c r="DS49" s="1443"/>
      <c r="DT49" s="1443"/>
      <c r="DU49" s="1005">
        <f>IF(DS49=0,0,(DT49-DS49)/DS49*100)</f>
        <v>0</v>
      </c>
      <c r="DV49" s="1443"/>
      <c r="DW49" s="1443"/>
      <c r="DX49" s="1005">
        <f>IF(DV49=0,0,(DW49-DV49)/DV49*100)</f>
        <v>0</v>
      </c>
      <c r="DY49" s="1443"/>
      <c r="DZ49" s="1443"/>
      <c r="EA49" s="1005">
        <f>IF(DY49=0,0,(DZ49-DY49)/DY49*100)</f>
        <v>0</v>
      </c>
      <c r="EB49" s="1443"/>
      <c r="EC49" s="1443"/>
      <c r="ED49" s="1005">
        <f>IF(EB49=0,0,(EC49-EB49)/EB49*100)</f>
        <v>0</v>
      </c>
      <c r="EE49" s="1443"/>
      <c r="EF49" s="1443"/>
      <c r="EG49" s="1005">
        <f>IF(EE49=0,0,(EF49-EE49)/EE49*100)</f>
        <v>0</v>
      </c>
      <c r="EH49" s="1443"/>
      <c r="EI49" s="1443"/>
      <c r="EJ49" s="1005">
        <f>IF(EH49=0,0,(EI49-EH49)/EH49*100)</f>
        <v>0</v>
      </c>
      <c r="EK49" s="1443"/>
      <c r="EL49" s="1443"/>
      <c r="EM49" s="1005">
        <f>IF(EK49=0,0,(EL49-EK49)/EK49*100)</f>
        <v>0</v>
      </c>
      <c r="EN49" s="1443"/>
      <c r="EO49" s="1443"/>
      <c r="EP49" s="1005">
        <f>IF(EN49=0,0,(EO49-EN49)/EN49*100)</f>
        <v>0</v>
      </c>
      <c r="EQ49" s="1443"/>
      <c r="ER49" s="1443"/>
      <c r="ES49" s="1005">
        <f>IF(EQ49=0,0,(ER49-EQ49)/EQ49*100)</f>
        <v>0</v>
      </c>
      <c r="ET49" s="1443"/>
      <c r="EU49" s="1443"/>
      <c r="EV49" s="1005">
        <f>IF(ET49=0,0,(EU49-ET49)/ET49*100)</f>
        <v>0</v>
      </c>
      <c r="EW49" s="1443"/>
      <c r="EX49" s="1443"/>
      <c r="EY49" s="1005">
        <f>IF(EW49=0,0,(EX49-EW49)/EW49*100)</f>
        <v>0</v>
      </c>
      <c r="EZ49" s="1443"/>
      <c r="FA49" s="1443"/>
      <c r="FB49" s="1005">
        <f>IF(EZ49=0,0,(FA49-EZ49)/EZ49*100)</f>
        <v>0</v>
      </c>
      <c r="FC49" s="1443"/>
      <c r="FD49" s="1443"/>
      <c r="FE49" s="1005">
        <f>IF(FC49=0,0,(FD49-FC49)/FC49*100)</f>
        <v>0</v>
      </c>
      <c r="FF49" s="1443"/>
      <c r="FG49" s="1443"/>
      <c r="FH49" s="1005">
        <f>IF(FF49=0,0,(FG49-FF49)/FF49*100)</f>
        <v>0</v>
      </c>
      <c r="FI49" s="1443"/>
      <c r="FJ49" s="1443"/>
      <c r="FK49" s="1005">
        <f>IF(FI49=0,0,(FJ49-FI49)/FI49*100)</f>
        <v>0</v>
      </c>
      <c r="FL49" s="1443"/>
      <c r="FM49" s="1443"/>
      <c r="FN49" s="1005">
        <f>IF(FL49=0,0,(FM49-FL49)/FL49*100)</f>
        <v>0</v>
      </c>
      <c r="FO49" s="1443"/>
      <c r="FP49" s="1443"/>
      <c r="FQ49" s="1005">
        <f>IF(FO49=0,0,(FP49-FO49)/FO49*100)</f>
        <v>0</v>
      </c>
      <c r="FR49" s="1443"/>
      <c r="FS49" s="1443"/>
      <c r="FT49" s="1005">
        <f>IF(FR49=0,0,(FS49-FR49)/FR49*100)</f>
        <v>0</v>
      </c>
      <c r="FU49" s="1443"/>
      <c r="FV49" s="1443"/>
      <c r="FW49" s="1005">
        <f>IF(FU49=0,0,(FV49-FU49)/FU49*100)</f>
        <v>0</v>
      </c>
      <c r="FZ49" s="964" t="s">
        <v>1626</v>
      </c>
    </row>
    <row r="50" spans="1:182" ht="24.2" hidden="1" customHeight="1" x14ac:dyDescent="0.15">
      <c r="A50" s="416"/>
      <c r="B50" s="837" t="b" cm="1">
        <f t="array" ref="B50">B49</f>
        <v>0</v>
      </c>
      <c r="C50" s="416"/>
      <c r="D50" s="416"/>
      <c r="E50" s="759">
        <v>24.75</v>
      </c>
      <c r="F50" s="3" cm="1">
        <f t="array" aca="1" ref="F50" ca="1">OFFSET(E50,-1,1)</f>
        <v>0</v>
      </c>
      <c r="G50" s="416"/>
      <c r="H50" s="416" t="s">
        <v>1627</v>
      </c>
      <c r="I50" s="416" t="s">
        <v>1586</v>
      </c>
      <c r="J50" s="416"/>
      <c r="K50" s="416"/>
      <c r="L50" s="416"/>
      <c r="M50" s="416"/>
      <c r="N50" s="416"/>
      <c r="O50" s="416"/>
      <c r="P50" s="416"/>
      <c r="Q50" s="416"/>
      <c r="R50" s="416"/>
      <c r="S50" s="416"/>
      <c r="T50" s="388" t="b" cm="1">
        <f t="array" aca="1" ref="T50" ca="1">T49</f>
        <v>0</v>
      </c>
      <c r="U50" s="416"/>
      <c r="V50" s="416"/>
      <c r="W50" s="416"/>
      <c r="X50" s="2066"/>
      <c r="Y50" s="416"/>
      <c r="Z50" s="2011"/>
      <c r="AA50" s="416"/>
      <c r="AB50" s="818"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783" t="s">
        <v>1628</v>
      </c>
      <c r="AD50" s="1445"/>
      <c r="AE50" s="1445"/>
      <c r="AF50" s="1003">
        <f>IF(AD50=0,0,(AE50-AD50)/AD50*100)</f>
        <v>0</v>
      </c>
      <c r="AG50" s="1445"/>
      <c r="AH50" s="1445"/>
      <c r="AI50" s="1003">
        <f>IF(AG50=0,0,(AH50-AG50)/AG50*100)</f>
        <v>0</v>
      </c>
      <c r="AJ50" s="1445"/>
      <c r="AK50" s="1445"/>
      <c r="AL50" s="1003">
        <f>IF(AJ50=0,0,(AK50-AJ50)/AJ50*100)</f>
        <v>0</v>
      </c>
      <c r="AM50" s="1445"/>
      <c r="AN50" s="1445"/>
      <c r="AO50" s="1003">
        <f>IF(AM50=0,0,(AN50-AM50)/AM50*100)</f>
        <v>0</v>
      </c>
      <c r="AP50" s="1445"/>
      <c r="AQ50" s="1445"/>
      <c r="AR50" s="1003">
        <f>IF(AP50=0,0,(AQ50-AP50)/AP50*100)</f>
        <v>0</v>
      </c>
      <c r="AS50" s="1445"/>
      <c r="AT50" s="1445"/>
      <c r="AU50" s="1003">
        <f>IF(AS50=0,0,(AT50-AS50)/AS50*100)</f>
        <v>0</v>
      </c>
      <c r="AV50" s="1445"/>
      <c r="AW50" s="1445"/>
      <c r="AX50" s="1003">
        <f>IF(AV50=0,0,(AW50-AV50)/AV50*100)</f>
        <v>0</v>
      </c>
      <c r="AY50" s="1445"/>
      <c r="AZ50" s="1445"/>
      <c r="BA50" s="1003">
        <f>IF(AY50=0,0,(AZ50-AY50)/AY50*100)</f>
        <v>0</v>
      </c>
      <c r="BB50" s="1445"/>
      <c r="BC50" s="1445"/>
      <c r="BD50" s="1003">
        <f>IF(BB50=0,0,(BC50-BB50)/BB50*100)</f>
        <v>0</v>
      </c>
      <c r="BE50" s="1445"/>
      <c r="BF50" s="1445"/>
      <c r="BG50" s="1003">
        <f>IF(BE50=0,0,(BF50-BE50)/BE50*100)</f>
        <v>0</v>
      </c>
      <c r="BH50" s="1445"/>
      <c r="BI50" s="1445"/>
      <c r="BJ50" s="1003">
        <f>IF(BH50=0,0,(BI50-BH50)/BH50*100)</f>
        <v>0</v>
      </c>
      <c r="BK50" s="1445"/>
      <c r="BL50" s="1445"/>
      <c r="BM50" s="1003">
        <f>IF(BK50=0,0,(BL50-BK50)/BK50*100)</f>
        <v>0</v>
      </c>
      <c r="BN50" s="1445"/>
      <c r="BO50" s="1445"/>
      <c r="BP50" s="1003">
        <f>IF(BN50=0,0,(BO50-BN50)/BN50*100)</f>
        <v>0</v>
      </c>
      <c r="BQ50" s="1445"/>
      <c r="BR50" s="1445"/>
      <c r="BS50" s="1003">
        <f>IF(BQ50=0,0,(BR50-BQ50)/BQ50*100)</f>
        <v>0</v>
      </c>
      <c r="BT50" s="1445"/>
      <c r="BU50" s="1445"/>
      <c r="BV50" s="1003">
        <f>IF(BT50=0,0,(BU50-BT50)/BT50*100)</f>
        <v>0</v>
      </c>
      <c r="BW50" s="1445"/>
      <c r="BX50" s="1445"/>
      <c r="BY50" s="1003">
        <f>IF(BW50=0,0,(BX50-BW50)/BW50*100)</f>
        <v>0</v>
      </c>
      <c r="BZ50" s="1445"/>
      <c r="CA50" s="1445"/>
      <c r="CB50" s="1003">
        <f>IF(BZ50=0,0,(CA50-BZ50)/BZ50*100)</f>
        <v>0</v>
      </c>
      <c r="CC50" s="1445"/>
      <c r="CD50" s="1445"/>
      <c r="CE50" s="1003">
        <f>IF(CC50=0,0,(CD50-CC50)/CC50*100)</f>
        <v>0</v>
      </c>
      <c r="CF50" s="1445"/>
      <c r="CG50" s="1445"/>
      <c r="CH50" s="1003">
        <f>IF(CF50=0,0,(CG50-CF50)/CF50*100)</f>
        <v>0</v>
      </c>
      <c r="CI50" s="1445"/>
      <c r="CJ50" s="1445"/>
      <c r="CK50" s="1003">
        <f>IF(CI50=0,0,(CJ50-CI50)/CI50*100)</f>
        <v>0</v>
      </c>
      <c r="CL50" s="1445"/>
      <c r="CM50" s="1445"/>
      <c r="CN50" s="1003">
        <f>IF(CL50=0,0,(CM50-CL50)/CL50*100)</f>
        <v>0</v>
      </c>
      <c r="CO50" s="1445"/>
      <c r="CP50" s="1445"/>
      <c r="CQ50" s="1003">
        <f>IF(CO50=0,0,(CP50-CO50)/CO50*100)</f>
        <v>0</v>
      </c>
      <c r="CR50" s="1445"/>
      <c r="CS50" s="1445"/>
      <c r="CT50" s="1003">
        <f>IF(CR50=0,0,(CS50-CR50)/CR50*100)</f>
        <v>0</v>
      </c>
      <c r="CU50" s="1445"/>
      <c r="CV50" s="1445"/>
      <c r="CW50" s="1003">
        <f>IF(CU50=0,0,(CV50-CU50)/CU50*100)</f>
        <v>0</v>
      </c>
      <c r="CX50" s="1445"/>
      <c r="CY50" s="1445"/>
      <c r="CZ50" s="1003">
        <f>IF(CX50=0,0,(CY50-CX50)/CX50*100)</f>
        <v>0</v>
      </c>
      <c r="DA50" s="1445"/>
      <c r="DB50" s="1445"/>
      <c r="DC50" s="1003">
        <f>IF(DA50=0,0,(DB50-DA50)/DA50*100)</f>
        <v>0</v>
      </c>
      <c r="DD50" s="1445"/>
      <c r="DE50" s="1445"/>
      <c r="DF50" s="1003">
        <f>IF(DD50=0,0,(DE50-DD50)/DD50*100)</f>
        <v>0</v>
      </c>
      <c r="DG50" s="1445"/>
      <c r="DH50" s="1445"/>
      <c r="DI50" s="1003">
        <f>IF(DG50=0,0,(DH50-DG50)/DG50*100)</f>
        <v>0</v>
      </c>
      <c r="DJ50" s="1445"/>
      <c r="DK50" s="1445"/>
      <c r="DL50" s="1003">
        <f>IF(DJ50=0,0,(DK50-DJ50)/DJ50*100)</f>
        <v>0</v>
      </c>
      <c r="DM50" s="1445"/>
      <c r="DN50" s="1445"/>
      <c r="DO50" s="1003">
        <f>IF(DM50=0,0,(DN50-DM50)/DM50*100)</f>
        <v>0</v>
      </c>
      <c r="DP50" s="1445"/>
      <c r="DQ50" s="1445"/>
      <c r="DR50" s="1003">
        <f>IF(DP50=0,0,(DQ50-DP50)/DP50*100)</f>
        <v>0</v>
      </c>
      <c r="DS50" s="1445"/>
      <c r="DT50" s="1445"/>
      <c r="DU50" s="1003">
        <f>IF(DS50=0,0,(DT50-DS50)/DS50*100)</f>
        <v>0</v>
      </c>
      <c r="DV50" s="1445"/>
      <c r="DW50" s="1445"/>
      <c r="DX50" s="1003">
        <f>IF(DV50=0,0,(DW50-DV50)/DV50*100)</f>
        <v>0</v>
      </c>
      <c r="DY50" s="1445"/>
      <c r="DZ50" s="1445"/>
      <c r="EA50" s="1003">
        <f>IF(DY50=0,0,(DZ50-DY50)/DY50*100)</f>
        <v>0</v>
      </c>
      <c r="EB50" s="1445"/>
      <c r="EC50" s="1445"/>
      <c r="ED50" s="1003">
        <f>IF(EB50=0,0,(EC50-EB50)/EB50*100)</f>
        <v>0</v>
      </c>
      <c r="EE50" s="1445"/>
      <c r="EF50" s="1445"/>
      <c r="EG50" s="1003">
        <f>IF(EE50=0,0,(EF50-EE50)/EE50*100)</f>
        <v>0</v>
      </c>
      <c r="EH50" s="1445"/>
      <c r="EI50" s="1445"/>
      <c r="EJ50" s="1003">
        <f>IF(EH50=0,0,(EI50-EH50)/EH50*100)</f>
        <v>0</v>
      </c>
      <c r="EK50" s="1445"/>
      <c r="EL50" s="1445"/>
      <c r="EM50" s="1003">
        <f>IF(EK50=0,0,(EL50-EK50)/EK50*100)</f>
        <v>0</v>
      </c>
      <c r="EN50" s="1445"/>
      <c r="EO50" s="1445"/>
      <c r="EP50" s="1003">
        <f>IF(EN50=0,0,(EO50-EN50)/EN50*100)</f>
        <v>0</v>
      </c>
      <c r="EQ50" s="1445"/>
      <c r="ER50" s="1445"/>
      <c r="ES50" s="1003">
        <f>IF(EQ50=0,0,(ER50-EQ50)/EQ50*100)</f>
        <v>0</v>
      </c>
      <c r="ET50" s="1445"/>
      <c r="EU50" s="1445"/>
      <c r="EV50" s="1003">
        <f>IF(ET50=0,0,(EU50-ET50)/ET50*100)</f>
        <v>0</v>
      </c>
      <c r="EW50" s="1445"/>
      <c r="EX50" s="1445"/>
      <c r="EY50" s="1003">
        <f>IF(EW50=0,0,(EX50-EW50)/EW50*100)</f>
        <v>0</v>
      </c>
      <c r="EZ50" s="1445"/>
      <c r="FA50" s="1445"/>
      <c r="FB50" s="1003">
        <f>IF(EZ50=0,0,(FA50-EZ50)/EZ50*100)</f>
        <v>0</v>
      </c>
      <c r="FC50" s="1445"/>
      <c r="FD50" s="1445"/>
      <c r="FE50" s="1003">
        <f>IF(FC50=0,0,(FD50-FC50)/FC50*100)</f>
        <v>0</v>
      </c>
      <c r="FF50" s="1445"/>
      <c r="FG50" s="1445"/>
      <c r="FH50" s="1003">
        <f>IF(FF50=0,0,(FG50-FF50)/FF50*100)</f>
        <v>0</v>
      </c>
      <c r="FI50" s="1445"/>
      <c r="FJ50" s="1445"/>
      <c r="FK50" s="1003">
        <f>IF(FI50=0,0,(FJ50-FI50)/FI50*100)</f>
        <v>0</v>
      </c>
      <c r="FL50" s="1445"/>
      <c r="FM50" s="1445"/>
      <c r="FN50" s="1003">
        <f>IF(FL50=0,0,(FM50-FL50)/FL50*100)</f>
        <v>0</v>
      </c>
      <c r="FO50" s="1445"/>
      <c r="FP50" s="1445"/>
      <c r="FQ50" s="1003">
        <f>IF(FO50=0,0,(FP50-FO50)/FO50*100)</f>
        <v>0</v>
      </c>
      <c r="FR50" s="1445"/>
      <c r="FS50" s="1445"/>
      <c r="FT50" s="1003">
        <f>IF(FR50=0,0,(FS50-FR50)/FR50*100)</f>
        <v>0</v>
      </c>
      <c r="FU50" s="1445"/>
      <c r="FV50" s="1445"/>
      <c r="FW50" s="1003">
        <f>IF(FU50=0,0,(FV50-FU50)/FU50*100)</f>
        <v>0</v>
      </c>
      <c r="FZ50" s="964" t="s">
        <v>1629</v>
      </c>
    </row>
    <row r="51" spans="1:182" ht="14.65" hidden="1" customHeight="1" x14ac:dyDescent="0.15">
      <c r="A51" s="416"/>
      <c r="B51" s="837" t="b" cm="1">
        <f t="array" ref="B51">B50</f>
        <v>0</v>
      </c>
      <c r="C51" s="416"/>
      <c r="D51" s="416"/>
      <c r="E51" s="759">
        <v>15</v>
      </c>
      <c r="F51" s="3" cm="1">
        <f t="array" aca="1" ref="F51" ca="1">OFFSET(E51,-1,1)</f>
        <v>0</v>
      </c>
      <c r="G51" s="416"/>
      <c r="H51" s="416" t="s">
        <v>1630</v>
      </c>
      <c r="I51" s="416" t="s">
        <v>1586</v>
      </c>
      <c r="J51" s="416"/>
      <c r="K51" s="416"/>
      <c r="L51" s="416"/>
      <c r="M51" s="416"/>
      <c r="N51" s="416"/>
      <c r="O51" s="416"/>
      <c r="P51" s="416"/>
      <c r="Q51" s="416"/>
      <c r="R51" s="416"/>
      <c r="S51" s="416"/>
      <c r="T51" s="388" t="b" cm="1">
        <f t="array" aca="1" ref="T51" ca="1">T50</f>
        <v>0</v>
      </c>
      <c r="U51" s="416"/>
      <c r="V51" s="416"/>
      <c r="W51" s="416"/>
      <c r="X51" s="2066"/>
      <c r="Y51" s="416"/>
      <c r="Z51" s="2011"/>
      <c r="AA51" s="416"/>
      <c r="AB51" s="818" t="s">
        <v>1631</v>
      </c>
      <c r="AC51" s="783" t="s">
        <v>1632</v>
      </c>
      <c r="AD51" s="1445"/>
      <c r="AE51" s="1445"/>
      <c r="AF51" s="1003">
        <f>IF(AD51=0,0,(AE51-AD51)/AD51*100)</f>
        <v>0</v>
      </c>
      <c r="AG51" s="1445"/>
      <c r="AH51" s="1445"/>
      <c r="AI51" s="1003">
        <f>IF(AG51=0,0,(AH51-AG51)/AG51*100)</f>
        <v>0</v>
      </c>
      <c r="AJ51" s="1445"/>
      <c r="AK51" s="1445"/>
      <c r="AL51" s="1003">
        <f>IF(AJ51=0,0,(AK51-AJ51)/AJ51*100)</f>
        <v>0</v>
      </c>
      <c r="AM51" s="1445"/>
      <c r="AN51" s="1445"/>
      <c r="AO51" s="1003">
        <f>IF(AM51=0,0,(AN51-AM51)/AM51*100)</f>
        <v>0</v>
      </c>
      <c r="AP51" s="1445"/>
      <c r="AQ51" s="1445"/>
      <c r="AR51" s="1003">
        <f>IF(AP51=0,0,(AQ51-AP51)/AP51*100)</f>
        <v>0</v>
      </c>
      <c r="AS51" s="1445"/>
      <c r="AT51" s="1445"/>
      <c r="AU51" s="1003">
        <f>IF(AS51=0,0,(AT51-AS51)/AS51*100)</f>
        <v>0</v>
      </c>
      <c r="AV51" s="1445"/>
      <c r="AW51" s="1445"/>
      <c r="AX51" s="1003">
        <f>IF(AV51=0,0,(AW51-AV51)/AV51*100)</f>
        <v>0</v>
      </c>
      <c r="AY51" s="1445"/>
      <c r="AZ51" s="1445"/>
      <c r="BA51" s="1003">
        <f>IF(AY51=0,0,(AZ51-AY51)/AY51*100)</f>
        <v>0</v>
      </c>
      <c r="BB51" s="1445"/>
      <c r="BC51" s="1445"/>
      <c r="BD51" s="1003">
        <f>IF(BB51=0,0,(BC51-BB51)/BB51*100)</f>
        <v>0</v>
      </c>
      <c r="BE51" s="1445"/>
      <c r="BF51" s="1445"/>
      <c r="BG51" s="1003">
        <f>IF(BE51=0,0,(BF51-BE51)/BE51*100)</f>
        <v>0</v>
      </c>
      <c r="BH51" s="1445"/>
      <c r="BI51" s="1445"/>
      <c r="BJ51" s="1003">
        <f>IF(BH51=0,0,(BI51-BH51)/BH51*100)</f>
        <v>0</v>
      </c>
      <c r="BK51" s="1445"/>
      <c r="BL51" s="1445"/>
      <c r="BM51" s="1003">
        <f>IF(BK51=0,0,(BL51-BK51)/BK51*100)</f>
        <v>0</v>
      </c>
      <c r="BN51" s="1445"/>
      <c r="BO51" s="1445"/>
      <c r="BP51" s="1003">
        <f>IF(BN51=0,0,(BO51-BN51)/BN51*100)</f>
        <v>0</v>
      </c>
      <c r="BQ51" s="1445"/>
      <c r="BR51" s="1445"/>
      <c r="BS51" s="1003">
        <f>IF(BQ51=0,0,(BR51-BQ51)/BQ51*100)</f>
        <v>0</v>
      </c>
      <c r="BT51" s="1445"/>
      <c r="BU51" s="1445"/>
      <c r="BV51" s="1003">
        <f>IF(BT51=0,0,(BU51-BT51)/BT51*100)</f>
        <v>0</v>
      </c>
      <c r="BW51" s="1445"/>
      <c r="BX51" s="1445"/>
      <c r="BY51" s="1003">
        <f>IF(BW51=0,0,(BX51-BW51)/BW51*100)</f>
        <v>0</v>
      </c>
      <c r="BZ51" s="1445"/>
      <c r="CA51" s="1445"/>
      <c r="CB51" s="1003">
        <f>IF(BZ51=0,0,(CA51-BZ51)/BZ51*100)</f>
        <v>0</v>
      </c>
      <c r="CC51" s="1445"/>
      <c r="CD51" s="1445"/>
      <c r="CE51" s="1003">
        <f>IF(CC51=0,0,(CD51-CC51)/CC51*100)</f>
        <v>0</v>
      </c>
      <c r="CF51" s="1445"/>
      <c r="CG51" s="1445"/>
      <c r="CH51" s="1003">
        <f>IF(CF51=0,0,(CG51-CF51)/CF51*100)</f>
        <v>0</v>
      </c>
      <c r="CI51" s="1445"/>
      <c r="CJ51" s="1445"/>
      <c r="CK51" s="1003">
        <f>IF(CI51=0,0,(CJ51-CI51)/CI51*100)</f>
        <v>0</v>
      </c>
      <c r="CL51" s="1445"/>
      <c r="CM51" s="1445"/>
      <c r="CN51" s="1003">
        <f>IF(CL51=0,0,(CM51-CL51)/CL51*100)</f>
        <v>0</v>
      </c>
      <c r="CO51" s="1445"/>
      <c r="CP51" s="1445"/>
      <c r="CQ51" s="1003">
        <f>IF(CO51=0,0,(CP51-CO51)/CO51*100)</f>
        <v>0</v>
      </c>
      <c r="CR51" s="1445"/>
      <c r="CS51" s="1445"/>
      <c r="CT51" s="1003">
        <f>IF(CR51=0,0,(CS51-CR51)/CR51*100)</f>
        <v>0</v>
      </c>
      <c r="CU51" s="1445"/>
      <c r="CV51" s="1445"/>
      <c r="CW51" s="1003">
        <f>IF(CU51=0,0,(CV51-CU51)/CU51*100)</f>
        <v>0</v>
      </c>
      <c r="CX51" s="1445"/>
      <c r="CY51" s="1445"/>
      <c r="CZ51" s="1003">
        <f>IF(CX51=0,0,(CY51-CX51)/CX51*100)</f>
        <v>0</v>
      </c>
      <c r="DA51" s="1445"/>
      <c r="DB51" s="1445"/>
      <c r="DC51" s="1003">
        <f>IF(DA51=0,0,(DB51-DA51)/DA51*100)</f>
        <v>0</v>
      </c>
      <c r="DD51" s="1445"/>
      <c r="DE51" s="1445"/>
      <c r="DF51" s="1003">
        <f>IF(DD51=0,0,(DE51-DD51)/DD51*100)</f>
        <v>0</v>
      </c>
      <c r="DG51" s="1445"/>
      <c r="DH51" s="1445"/>
      <c r="DI51" s="1003">
        <f>IF(DG51=0,0,(DH51-DG51)/DG51*100)</f>
        <v>0</v>
      </c>
      <c r="DJ51" s="1445"/>
      <c r="DK51" s="1445"/>
      <c r="DL51" s="1003">
        <f>IF(DJ51=0,0,(DK51-DJ51)/DJ51*100)</f>
        <v>0</v>
      </c>
      <c r="DM51" s="1445"/>
      <c r="DN51" s="1445"/>
      <c r="DO51" s="1003">
        <f>IF(DM51=0,0,(DN51-DM51)/DM51*100)</f>
        <v>0</v>
      </c>
      <c r="DP51" s="1445"/>
      <c r="DQ51" s="1445"/>
      <c r="DR51" s="1003">
        <f>IF(DP51=0,0,(DQ51-DP51)/DP51*100)</f>
        <v>0</v>
      </c>
      <c r="DS51" s="1445"/>
      <c r="DT51" s="1445"/>
      <c r="DU51" s="1003">
        <f>IF(DS51=0,0,(DT51-DS51)/DS51*100)</f>
        <v>0</v>
      </c>
      <c r="DV51" s="1445"/>
      <c r="DW51" s="1445"/>
      <c r="DX51" s="1003">
        <f>IF(DV51=0,0,(DW51-DV51)/DV51*100)</f>
        <v>0</v>
      </c>
      <c r="DY51" s="1445"/>
      <c r="DZ51" s="1445"/>
      <c r="EA51" s="1003">
        <f>IF(DY51=0,0,(DZ51-DY51)/DY51*100)</f>
        <v>0</v>
      </c>
      <c r="EB51" s="1445"/>
      <c r="EC51" s="1445"/>
      <c r="ED51" s="1003">
        <f>IF(EB51=0,0,(EC51-EB51)/EB51*100)</f>
        <v>0</v>
      </c>
      <c r="EE51" s="1445"/>
      <c r="EF51" s="1445"/>
      <c r="EG51" s="1003">
        <f>IF(EE51=0,0,(EF51-EE51)/EE51*100)</f>
        <v>0</v>
      </c>
      <c r="EH51" s="1445"/>
      <c r="EI51" s="1445"/>
      <c r="EJ51" s="1003">
        <f>IF(EH51=0,0,(EI51-EH51)/EH51*100)</f>
        <v>0</v>
      </c>
      <c r="EK51" s="1445"/>
      <c r="EL51" s="1445"/>
      <c r="EM51" s="1003">
        <f>IF(EK51=0,0,(EL51-EK51)/EK51*100)</f>
        <v>0</v>
      </c>
      <c r="EN51" s="1445"/>
      <c r="EO51" s="1445"/>
      <c r="EP51" s="1003">
        <f>IF(EN51=0,0,(EO51-EN51)/EN51*100)</f>
        <v>0</v>
      </c>
      <c r="EQ51" s="1445"/>
      <c r="ER51" s="1445"/>
      <c r="ES51" s="1003">
        <f>IF(EQ51=0,0,(ER51-EQ51)/EQ51*100)</f>
        <v>0</v>
      </c>
      <c r="ET51" s="1445"/>
      <c r="EU51" s="1445"/>
      <c r="EV51" s="1003">
        <f>IF(ET51=0,0,(EU51-ET51)/ET51*100)</f>
        <v>0</v>
      </c>
      <c r="EW51" s="1445"/>
      <c r="EX51" s="1445"/>
      <c r="EY51" s="1003">
        <f>IF(EW51=0,0,(EX51-EW51)/EW51*100)</f>
        <v>0</v>
      </c>
      <c r="EZ51" s="1445"/>
      <c r="FA51" s="1445"/>
      <c r="FB51" s="1003">
        <f>IF(EZ51=0,0,(FA51-EZ51)/EZ51*100)</f>
        <v>0</v>
      </c>
      <c r="FC51" s="1445"/>
      <c r="FD51" s="1445"/>
      <c r="FE51" s="1003">
        <f>IF(FC51=0,0,(FD51-FC51)/FC51*100)</f>
        <v>0</v>
      </c>
      <c r="FF51" s="1445"/>
      <c r="FG51" s="1445"/>
      <c r="FH51" s="1003">
        <f>IF(FF51=0,0,(FG51-FF51)/FF51*100)</f>
        <v>0</v>
      </c>
      <c r="FI51" s="1445"/>
      <c r="FJ51" s="1445"/>
      <c r="FK51" s="1003">
        <f>IF(FI51=0,0,(FJ51-FI51)/FI51*100)</f>
        <v>0</v>
      </c>
      <c r="FL51" s="1445"/>
      <c r="FM51" s="1445"/>
      <c r="FN51" s="1003">
        <f>IF(FL51=0,0,(FM51-FL51)/FL51*100)</f>
        <v>0</v>
      </c>
      <c r="FO51" s="1445"/>
      <c r="FP51" s="1445"/>
      <c r="FQ51" s="1003">
        <f>IF(FO51=0,0,(FP51-FO51)/FO51*100)</f>
        <v>0</v>
      </c>
      <c r="FR51" s="1445"/>
      <c r="FS51" s="1445"/>
      <c r="FT51" s="1003">
        <f>IF(FR51=0,0,(FS51-FR51)/FR51*100)</f>
        <v>0</v>
      </c>
      <c r="FU51" s="1445"/>
      <c r="FV51" s="1445"/>
      <c r="FW51" s="1003">
        <f>IF(FU51=0,0,(FV51-FU51)/FU51*100)</f>
        <v>0</v>
      </c>
      <c r="FZ51" s="964" t="s">
        <v>1633</v>
      </c>
    </row>
    <row r="52" spans="1:182" ht="23.85" hidden="1" customHeight="1" x14ac:dyDescent="0.15">
      <c r="A52" s="416"/>
      <c r="B52" s="837" t="b" cm="1">
        <f t="array" ref="B52">B51</f>
        <v>0</v>
      </c>
      <c r="C52" s="416"/>
      <c r="D52" s="416"/>
      <c r="E52" s="759">
        <v>24.5</v>
      </c>
      <c r="F52" s="3" cm="1">
        <f t="array" aca="1" ref="F52" ca="1">OFFSET(E52,-1,1)</f>
        <v>0</v>
      </c>
      <c r="G52" s="416"/>
      <c r="H52" s="416"/>
      <c r="I52" s="416"/>
      <c r="J52" s="416"/>
      <c r="K52" s="416"/>
      <c r="L52" s="416"/>
      <c r="M52" s="416"/>
      <c r="N52" s="416"/>
      <c r="O52" s="416"/>
      <c r="P52" s="416"/>
      <c r="Q52" s="416"/>
      <c r="R52" s="416"/>
      <c r="S52" s="416"/>
      <c r="T52" s="388" t="b" cm="1">
        <f t="array" aca="1" ref="T52" ca="1">T51</f>
        <v>0</v>
      </c>
      <c r="U52" s="416"/>
      <c r="V52" s="416"/>
      <c r="W52" s="416"/>
      <c r="X52" s="2066"/>
      <c r="Y52" s="416"/>
      <c r="Z52" s="2011"/>
      <c r="AA52" s="416"/>
      <c r="AB52" s="211" t="s">
        <v>1634</v>
      </c>
      <c r="AC52" s="817"/>
      <c r="AD52" s="1010"/>
      <c r="AE52" s="1010"/>
      <c r="AF52" s="1010"/>
      <c r="AG52" s="1010"/>
      <c r="AH52" s="1010"/>
      <c r="AI52" s="1010"/>
      <c r="AJ52" s="1010"/>
      <c r="AK52" s="1010"/>
      <c r="AL52" s="1010"/>
      <c r="AM52" s="1010"/>
      <c r="AN52" s="1010"/>
      <c r="AO52" s="1010"/>
      <c r="AP52" s="1010"/>
      <c r="AQ52" s="1010"/>
      <c r="AR52" s="1010"/>
      <c r="AS52" s="1010"/>
      <c r="AT52" s="1010"/>
      <c r="AU52" s="1010"/>
      <c r="AV52" s="1010"/>
      <c r="AW52" s="1010"/>
      <c r="AX52" s="1010"/>
      <c r="AY52" s="1010"/>
      <c r="AZ52" s="1010"/>
      <c r="BA52" s="1010"/>
      <c r="BB52" s="1010"/>
      <c r="BC52" s="1010"/>
      <c r="BD52" s="1010"/>
      <c r="BE52" s="1010"/>
      <c r="BF52" s="1010"/>
      <c r="BG52" s="1010"/>
      <c r="BH52" s="1010"/>
      <c r="BI52" s="1010"/>
      <c r="BJ52" s="1010"/>
      <c r="BK52" s="1010"/>
      <c r="BL52" s="1010"/>
      <c r="BM52" s="1010"/>
      <c r="BN52" s="1010"/>
      <c r="BO52" s="1010"/>
      <c r="BP52" s="1010"/>
      <c r="BQ52" s="1010"/>
      <c r="BR52" s="1010"/>
      <c r="BS52" s="1010"/>
      <c r="BT52" s="1010"/>
      <c r="BU52" s="1010"/>
      <c r="BV52" s="1010"/>
      <c r="BW52" s="1010"/>
      <c r="BX52" s="1010"/>
      <c r="BY52" s="1010"/>
      <c r="BZ52" s="1010"/>
      <c r="CA52" s="1010"/>
      <c r="CB52" s="1010"/>
      <c r="CC52" s="1010"/>
      <c r="CD52" s="1010"/>
      <c r="CE52" s="1010"/>
      <c r="CF52" s="1010"/>
      <c r="CG52" s="1010"/>
      <c r="CH52" s="1010"/>
      <c r="CI52" s="1010"/>
      <c r="CJ52" s="1010"/>
      <c r="CK52" s="1010"/>
      <c r="CL52" s="1010"/>
      <c r="CM52" s="1010"/>
      <c r="CN52" s="1010"/>
      <c r="CO52" s="1010"/>
      <c r="CP52" s="1010"/>
      <c r="CQ52" s="1010"/>
      <c r="CR52" s="1010"/>
      <c r="CS52" s="1010"/>
      <c r="CT52" s="1010"/>
      <c r="CU52" s="1010"/>
      <c r="CV52" s="1010"/>
      <c r="CW52" s="1010"/>
      <c r="CX52" s="1010"/>
      <c r="CY52" s="1010"/>
      <c r="CZ52" s="1010"/>
      <c r="DA52" s="1010"/>
      <c r="DB52" s="1010"/>
      <c r="DC52" s="1010"/>
      <c r="DD52" s="1010"/>
      <c r="DE52" s="1010"/>
      <c r="DF52" s="1010"/>
      <c r="DG52" s="1010"/>
      <c r="DH52" s="1010"/>
      <c r="DI52" s="1010"/>
      <c r="DJ52" s="1010"/>
      <c r="DK52" s="1010"/>
      <c r="DL52" s="1010"/>
      <c r="DM52" s="1010"/>
      <c r="DN52" s="1010"/>
      <c r="DO52" s="1010"/>
      <c r="DP52" s="1010"/>
      <c r="DQ52" s="1010"/>
      <c r="DR52" s="1010"/>
      <c r="DS52" s="1010"/>
      <c r="DT52" s="1010"/>
      <c r="DU52" s="1010"/>
      <c r="DV52" s="1010"/>
      <c r="DW52" s="1010"/>
      <c r="DX52" s="1010"/>
      <c r="DY52" s="1010"/>
      <c r="DZ52" s="1010"/>
      <c r="EA52" s="1010"/>
      <c r="EB52" s="1010"/>
      <c r="EC52" s="1010"/>
      <c r="ED52" s="1010"/>
      <c r="EE52" s="1010"/>
      <c r="EF52" s="1010"/>
      <c r="EG52" s="1010"/>
      <c r="EH52" s="1010"/>
      <c r="EI52" s="1010"/>
      <c r="EJ52" s="1010"/>
      <c r="EK52" s="1010"/>
      <c r="EL52" s="1010"/>
      <c r="EM52" s="1010"/>
      <c r="EN52" s="1010"/>
      <c r="EO52" s="1010"/>
      <c r="EP52" s="1010"/>
      <c r="EQ52" s="1010"/>
      <c r="ER52" s="1010"/>
      <c r="ES52" s="1010"/>
      <c r="ET52" s="1010"/>
      <c r="EU52" s="1010"/>
      <c r="EV52" s="1010"/>
      <c r="EW52" s="1010"/>
      <c r="EX52" s="1010"/>
      <c r="EY52" s="1010"/>
      <c r="EZ52" s="1010"/>
      <c r="FA52" s="1010"/>
      <c r="FB52" s="1010"/>
      <c r="FC52" s="1010"/>
      <c r="FD52" s="1010"/>
      <c r="FE52" s="1010"/>
      <c r="FF52" s="1010"/>
      <c r="FG52" s="1010"/>
      <c r="FH52" s="1010"/>
      <c r="FI52" s="1010"/>
      <c r="FJ52" s="1010"/>
      <c r="FK52" s="1010"/>
      <c r="FL52" s="1010"/>
      <c r="FM52" s="1010"/>
      <c r="FN52" s="1010"/>
      <c r="FO52" s="1010"/>
      <c r="FP52" s="1010"/>
      <c r="FQ52" s="1010"/>
      <c r="FR52" s="1010"/>
      <c r="FS52" s="1010"/>
      <c r="FT52" s="1010"/>
      <c r="FU52" s="1010"/>
      <c r="FV52" s="1010"/>
      <c r="FW52" s="1011"/>
      <c r="FZ52" s="964"/>
    </row>
    <row r="53" spans="1:182" ht="14.65" hidden="1" customHeight="1" x14ac:dyDescent="0.15">
      <c r="A53" s="416"/>
      <c r="B53" s="837" t="b" cm="1">
        <f t="array" ref="B53">B52</f>
        <v>0</v>
      </c>
      <c r="C53" s="416"/>
      <c r="D53" s="416"/>
      <c r="E53" s="759">
        <v>15</v>
      </c>
      <c r="F53" s="3" cm="1">
        <f t="array" aca="1" ref="F53" ca="1">OFFSET(E53,-1,1)</f>
        <v>0</v>
      </c>
      <c r="G53" s="416"/>
      <c r="H53" s="416" t="s">
        <v>1529</v>
      </c>
      <c r="I53" s="416" t="s">
        <v>1591</v>
      </c>
      <c r="J53" s="416"/>
      <c r="K53" s="416"/>
      <c r="L53" s="416"/>
      <c r="M53" s="416"/>
      <c r="N53" s="416"/>
      <c r="O53" s="416"/>
      <c r="P53" s="416"/>
      <c r="Q53" s="416"/>
      <c r="R53" s="416"/>
      <c r="S53" s="416"/>
      <c r="T53" s="388" t="b" cm="1">
        <f t="array" aca="1" ref="T53" ca="1">T52</f>
        <v>0</v>
      </c>
      <c r="U53" s="416"/>
      <c r="V53" s="416"/>
      <c r="W53" s="416"/>
      <c r="X53" s="2066"/>
      <c r="Y53" s="416"/>
      <c r="Z53" s="2011"/>
      <c r="AA53" s="416"/>
      <c r="AB53" s="1001" t="s">
        <v>1621</v>
      </c>
      <c r="AC53" s="783" t="s">
        <v>1588</v>
      </c>
      <c r="AD53" s="1445">
        <f ca="1">IF(AD55=0,0,(AD54*AD55+AD56*AD57*IF(god=2026,3,6))/AD55)</f>
        <v>0</v>
      </c>
      <c r="AE53" s="1445">
        <f ca="1">IF(AE55=0,0,(AE54*AE55+AE56*AE57*IF(god=2026,3,6))/AE55)</f>
        <v>0</v>
      </c>
      <c r="AF53" s="1003">
        <f ca="1">IF(AD53=0,0,(AE53-AD53)/AD53*100)</f>
        <v>0</v>
      </c>
      <c r="AG53" s="1445">
        <f ca="1">IF(AG55=0,0,(AG54*AG55+AG56*AG57*IF(god=2025,3,6))/AG55)</f>
        <v>0</v>
      </c>
      <c r="AH53" s="1445">
        <f ca="1">IF(AH55=0,0,(AH54*AH55+AH56*AH57*IF(god=2025,3,6))/AH55)</f>
        <v>0</v>
      </c>
      <c r="AI53" s="1003">
        <f ca="1">IF(AG53=0,0,(AH53-AG53)/AG53*100)</f>
        <v>0</v>
      </c>
      <c r="AJ53" s="1445">
        <f ca="1">IF(AJ55=0,0,(AJ54*AJ55+AJ56*AJ57*6)/AJ55)</f>
        <v>0</v>
      </c>
      <c r="AK53" s="1445">
        <f ca="1">IF(AK55=0,0,(AK54*AK55+AK56*AK57*6)/AK55)</f>
        <v>0</v>
      </c>
      <c r="AL53" s="1003">
        <f ca="1">IF(AJ53=0,0,(AK53-AJ53)/AJ53*100)</f>
        <v>0</v>
      </c>
      <c r="AM53" s="1445">
        <f ca="1">IF(AM55=0,0,(AM54*AM55+AM56*AM57*6)/AM55)</f>
        <v>0</v>
      </c>
      <c r="AN53" s="1445">
        <f ca="1">IF(AN55=0,0,(AN54*AN55+AN56*AN57*6)/AN55)</f>
        <v>0</v>
      </c>
      <c r="AO53" s="1003">
        <f ca="1">IF(AM53=0,0,(AN53-AM53)/AM53*100)</f>
        <v>0</v>
      </c>
      <c r="AP53" s="1445">
        <f ca="1">IF(AP55=0,0,(AP54*AP55+AP56*AP57*6)/AP55)</f>
        <v>0</v>
      </c>
      <c r="AQ53" s="1445">
        <f ca="1">IF(AQ55=0,0,(AQ54*AQ55+AQ56*AQ57*6)/AQ55)</f>
        <v>0</v>
      </c>
      <c r="AR53" s="1003">
        <f ca="1">IF(AP53=0,0,(AQ53-AP53)/AP53*100)</f>
        <v>0</v>
      </c>
      <c r="AS53" s="1445">
        <f ca="1">IF(AS55=0,0,(AS54*AS55+AS56*AS57*6)/AS55)</f>
        <v>0</v>
      </c>
      <c r="AT53" s="1445">
        <f ca="1">IF(AT55=0,0,(AT54*AT55+AT56*AT57*6)/AT55)</f>
        <v>0</v>
      </c>
      <c r="AU53" s="1003">
        <f ca="1">IF(AS53=0,0,(AT53-AS53)/AS53*100)</f>
        <v>0</v>
      </c>
      <c r="AV53" s="1445">
        <f ca="1">IF(AV55=0,0,(AV54*AV55+AV56*AV57*6)/AV55)</f>
        <v>0</v>
      </c>
      <c r="AW53" s="1445">
        <f ca="1">IF(AW55=0,0,(AW54*AW55+AW56*AW57*6)/AW55)</f>
        <v>0</v>
      </c>
      <c r="AX53" s="1003">
        <f ca="1">IF(AV53=0,0,(AW53-AV53)/AV53*100)</f>
        <v>0</v>
      </c>
      <c r="AY53" s="1445">
        <f ca="1">IF(AY55=0,0,(AY54*AY55+AY56*AY57*6)/AY55)</f>
        <v>0</v>
      </c>
      <c r="AZ53" s="1445">
        <f ca="1">IF(AZ55=0,0,(AZ54*AZ55+AZ56*AZ57*6)/AZ55)</f>
        <v>0</v>
      </c>
      <c r="BA53" s="1003">
        <f ca="1">IF(AY53=0,0,(AZ53-AY53)/AY53*100)</f>
        <v>0</v>
      </c>
      <c r="BB53" s="1445">
        <f ca="1">IF(BB55=0,0,(BB54*BB55+BB56*BB57*6)/BB55)</f>
        <v>0</v>
      </c>
      <c r="BC53" s="1445">
        <f ca="1">IF(BC55=0,0,(BC54*BC55+BC56*BC57*6)/BC55)</f>
        <v>0</v>
      </c>
      <c r="BD53" s="1003">
        <f ca="1">IF(BB53=0,0,(BC53-BB53)/BB53*100)</f>
        <v>0</v>
      </c>
      <c r="BE53" s="1445">
        <f ca="1">IF(BE55=0,0,(BE54*BE55+BE56*BE57*6)/BE55)</f>
        <v>0</v>
      </c>
      <c r="BF53" s="1445">
        <f ca="1">IF(BF55=0,0,(BF54*BF55+BF56*BF57*6)/BF55)</f>
        <v>0</v>
      </c>
      <c r="BG53" s="1003">
        <f ca="1">IF(BE53=0,0,(BF53-BE53)/BE53*100)</f>
        <v>0</v>
      </c>
      <c r="BH53" s="1445">
        <f>IF(BH55=0,0,(BH54*BH55+BH56*BH57*6)/BH55)</f>
        <v>0</v>
      </c>
      <c r="BI53" s="1445">
        <f>IF(BI55=0,0,(BI54*BI55+BI56*BI57*6)/BI55)</f>
        <v>0</v>
      </c>
      <c r="BJ53" s="1003">
        <f>IF(BH53=0,0,(BI53-BH53)/BH53*100)</f>
        <v>0</v>
      </c>
      <c r="BK53" s="1445">
        <f>IF(BK55=0,0,(BK54*BK55+BK56*BK57*6)/BK55)</f>
        <v>0</v>
      </c>
      <c r="BL53" s="1445">
        <f>IF(BL55=0,0,(BL54*BL55+BL56*BL57*6)/BL55)</f>
        <v>0</v>
      </c>
      <c r="BM53" s="1003">
        <f>IF(BK53=0,0,(BL53-BK53)/BK53*100)</f>
        <v>0</v>
      </c>
      <c r="BN53" s="1445">
        <f>IF(BN55=0,0,(BN54*BN55+BN56*BN57*6)/BN55)</f>
        <v>0</v>
      </c>
      <c r="BO53" s="1445">
        <f>IF(BO55=0,0,(BO54*BO55+BO56*BO57*6)/BO55)</f>
        <v>0</v>
      </c>
      <c r="BP53" s="1003">
        <f>IF(BN53=0,0,(BO53-BN53)/BN53*100)</f>
        <v>0</v>
      </c>
      <c r="BQ53" s="1445">
        <f>IF(BQ55=0,0,(BQ54*BQ55+BQ56*BQ57*6)/BQ55)</f>
        <v>0</v>
      </c>
      <c r="BR53" s="1445">
        <f>IF(BR55=0,0,(BR54*BR55+BR56*BR57*6)/BR55)</f>
        <v>0</v>
      </c>
      <c r="BS53" s="1003">
        <f>IF(BQ53=0,0,(BR53-BQ53)/BQ53*100)</f>
        <v>0</v>
      </c>
      <c r="BT53" s="1445">
        <f>IF(BT55=0,0,(BT54*BT55+BT56*BT57*6)/BT55)</f>
        <v>0</v>
      </c>
      <c r="BU53" s="1445">
        <f>IF(BU55=0,0,(BU54*BU55+BU56*BU57*6)/BU55)</f>
        <v>0</v>
      </c>
      <c r="BV53" s="1003">
        <f>IF(BT53=0,0,(BU53-BT53)/BT53*100)</f>
        <v>0</v>
      </c>
      <c r="BW53" s="1445">
        <f>IF(BW55=0,0,(BW54*BW55+BW56*BW57*6)/BW55)</f>
        <v>0</v>
      </c>
      <c r="BX53" s="1445">
        <f>IF(BX55=0,0,(BX54*BX55+BX56*BX57*6)/BX55)</f>
        <v>0</v>
      </c>
      <c r="BY53" s="1003">
        <f>IF(BW53=0,0,(BX53-BW53)/BW53*100)</f>
        <v>0</v>
      </c>
      <c r="BZ53" s="1445">
        <f>IF(BZ55=0,0,(BZ54*BZ55+BZ56*BZ57*6)/BZ55)</f>
        <v>0</v>
      </c>
      <c r="CA53" s="1445">
        <f>IF(CA55=0,0,(CA54*CA55+CA56*CA57*6)/CA55)</f>
        <v>0</v>
      </c>
      <c r="CB53" s="1003">
        <f>IF(BZ53=0,0,(CA53-BZ53)/BZ53*100)</f>
        <v>0</v>
      </c>
      <c r="CC53" s="1445">
        <f>IF(CC55=0,0,(CC54*CC55+CC56*CC57*6)/CC55)</f>
        <v>0</v>
      </c>
      <c r="CD53" s="1445">
        <f>IF(CD55=0,0,(CD54*CD55+CD56*CD57*6)/CD55)</f>
        <v>0</v>
      </c>
      <c r="CE53" s="1003">
        <f>IF(CC53=0,0,(CD53-CC53)/CC53*100)</f>
        <v>0</v>
      </c>
      <c r="CF53" s="1445">
        <f>IF(CF55=0,0,(CF54*CF55+CF56*CF57*6)/CF55)</f>
        <v>0</v>
      </c>
      <c r="CG53" s="1445">
        <f>IF(CG55=0,0,(CG54*CG55+CG56*CG57*6)/CG55)</f>
        <v>0</v>
      </c>
      <c r="CH53" s="1003">
        <f>IF(CF53=0,0,(CG53-CF53)/CF53*100)</f>
        <v>0</v>
      </c>
      <c r="CI53" s="1445">
        <f>IF(CI55=0,0,(CI54*CI55+CI56*CI57*6)/CI55)</f>
        <v>0</v>
      </c>
      <c r="CJ53" s="1445">
        <f>IF(CJ55=0,0,(CJ54*CJ55+CJ56*CJ57*6)/CJ55)</f>
        <v>0</v>
      </c>
      <c r="CK53" s="1003">
        <f>IF(CI53=0,0,(CJ53-CI53)/CI53*100)</f>
        <v>0</v>
      </c>
      <c r="CL53" s="1445">
        <f>IF(CL55=0,0,(CL54*CL55+CL56*CL57*6)/CL55)</f>
        <v>0</v>
      </c>
      <c r="CM53" s="1445">
        <f>IF(CM55=0,0,(CM54*CM55+CM56*CM57*6)/CM55)</f>
        <v>0</v>
      </c>
      <c r="CN53" s="1003">
        <f>IF(CL53=0,0,(CM53-CL53)/CL53*100)</f>
        <v>0</v>
      </c>
      <c r="CO53" s="1445">
        <f>IF(CO55=0,0,(CO54*CO55+CO56*CO57*6)/CO55)</f>
        <v>0</v>
      </c>
      <c r="CP53" s="1445">
        <f>IF(CP55=0,0,(CP54*CP55+CP56*CP57*6)/CP55)</f>
        <v>0</v>
      </c>
      <c r="CQ53" s="1003">
        <f>IF(CO53=0,0,(CP53-CO53)/CO53*100)</f>
        <v>0</v>
      </c>
      <c r="CR53" s="1445">
        <f>IF(CR55=0,0,(CR54*CR55+CR56*CR57*6)/CR55)</f>
        <v>0</v>
      </c>
      <c r="CS53" s="1445">
        <f>IF(CS55=0,0,(CS54*CS55+CS56*CS57*6)/CS55)</f>
        <v>0</v>
      </c>
      <c r="CT53" s="1003">
        <f>IF(CR53=0,0,(CS53-CR53)/CR53*100)</f>
        <v>0</v>
      </c>
      <c r="CU53" s="1445">
        <f>IF(CU55=0,0,(CU54*CU55+CU56*CU57*6)/CU55)</f>
        <v>0</v>
      </c>
      <c r="CV53" s="1445">
        <f>IF(CV55=0,0,(CV54*CV55+CV56*CV57*6)/CV55)</f>
        <v>0</v>
      </c>
      <c r="CW53" s="1003">
        <f>IF(CU53=0,0,(CV53-CU53)/CU53*100)</f>
        <v>0</v>
      </c>
      <c r="CX53" s="1445">
        <f>IF(CX55=0,0,(CX54*CX55+CX56*CX57*6)/CX55)</f>
        <v>0</v>
      </c>
      <c r="CY53" s="1445">
        <f>IF(CY55=0,0,(CY54*CY55+CY56*CY57*6)/CY55)</f>
        <v>0</v>
      </c>
      <c r="CZ53" s="1003">
        <f>IF(CX53=0,0,(CY53-CX53)/CX53*100)</f>
        <v>0</v>
      </c>
      <c r="DA53" s="1445">
        <f>IF(DA55=0,0,(DA54*DA55+DA56*DA57*6)/DA55)</f>
        <v>0</v>
      </c>
      <c r="DB53" s="1445">
        <f>IF(DB55=0,0,(DB54*DB55+DB56*DB57*6)/DB55)</f>
        <v>0</v>
      </c>
      <c r="DC53" s="1003">
        <f>IF(DA53=0,0,(DB53-DA53)/DA53*100)</f>
        <v>0</v>
      </c>
      <c r="DD53" s="1445">
        <f>IF(DD55=0,0,(DD54*DD55+DD56*DD57*6)/DD55)</f>
        <v>0</v>
      </c>
      <c r="DE53" s="1445">
        <f>IF(DE55=0,0,(DE54*DE55+DE56*DE57*6)/DE55)</f>
        <v>0</v>
      </c>
      <c r="DF53" s="1003">
        <f>IF(DD53=0,0,(DE53-DD53)/DD53*100)</f>
        <v>0</v>
      </c>
      <c r="DG53" s="1445">
        <f>IF(DG55=0,0,(DG54*DG55+DG56*DG57*6)/DG55)</f>
        <v>0</v>
      </c>
      <c r="DH53" s="1445">
        <f>IF(DH55=0,0,(DH54*DH55+DH56*DH57*6)/DH55)</f>
        <v>0</v>
      </c>
      <c r="DI53" s="1003">
        <f>IF(DG53=0,0,(DH53-DG53)/DG53*100)</f>
        <v>0</v>
      </c>
      <c r="DJ53" s="1445">
        <f>IF(DJ55=0,0,(DJ54*DJ55+DJ56*DJ57*6)/DJ55)</f>
        <v>0</v>
      </c>
      <c r="DK53" s="1445">
        <f>IF(DK55=0,0,(DK54*DK55+DK56*DK57*6)/DK55)</f>
        <v>0</v>
      </c>
      <c r="DL53" s="1003">
        <f>IF(DJ53=0,0,(DK53-DJ53)/DJ53*100)</f>
        <v>0</v>
      </c>
      <c r="DM53" s="1445">
        <f>IF(DM55=0,0,(DM54*DM55+DM56*DM57*6)/DM55)</f>
        <v>0</v>
      </c>
      <c r="DN53" s="1445">
        <f>IF(DN55=0,0,(DN54*DN55+DN56*DN57*6)/DN55)</f>
        <v>0</v>
      </c>
      <c r="DO53" s="1003">
        <f>IF(DM53=0,0,(DN53-DM53)/DM53*100)</f>
        <v>0</v>
      </c>
      <c r="DP53" s="1445">
        <f>IF(DP55=0,0,(DP54*DP55+DP56*DP57*6)/DP55)</f>
        <v>0</v>
      </c>
      <c r="DQ53" s="1445">
        <f>IF(DQ55=0,0,(DQ54*DQ55+DQ56*DQ57*6)/DQ55)</f>
        <v>0</v>
      </c>
      <c r="DR53" s="1003">
        <f>IF(DP53=0,0,(DQ53-DP53)/DP53*100)</f>
        <v>0</v>
      </c>
      <c r="DS53" s="1445">
        <f>IF(DS55=0,0,(DS54*DS55+DS56*DS57*6)/DS55)</f>
        <v>0</v>
      </c>
      <c r="DT53" s="1445">
        <f>IF(DT55=0,0,(DT54*DT55+DT56*DT57*6)/DT55)</f>
        <v>0</v>
      </c>
      <c r="DU53" s="1003">
        <f>IF(DS53=0,0,(DT53-DS53)/DS53*100)</f>
        <v>0</v>
      </c>
      <c r="DV53" s="1445">
        <f>IF(DV55=0,0,(DV54*DV55+DV56*DV57*6)/DV55)</f>
        <v>0</v>
      </c>
      <c r="DW53" s="1445">
        <f>IF(DW55=0,0,(DW54*DW55+DW56*DW57*6)/DW55)</f>
        <v>0</v>
      </c>
      <c r="DX53" s="1003">
        <f>IF(DV53=0,0,(DW53-DV53)/DV53*100)</f>
        <v>0</v>
      </c>
      <c r="DY53" s="1445">
        <f>IF(DY55=0,0,(DY54*DY55+DY56*DY57*6)/DY55)</f>
        <v>0</v>
      </c>
      <c r="DZ53" s="1445">
        <f>IF(DZ55=0,0,(DZ54*DZ55+DZ56*DZ57*6)/DZ55)</f>
        <v>0</v>
      </c>
      <c r="EA53" s="1003">
        <f>IF(DY53=0,0,(DZ53-DY53)/DY53*100)</f>
        <v>0</v>
      </c>
      <c r="EB53" s="1445">
        <f>IF(EB55=0,0,(EB54*EB55+EB56*EB57*6)/EB55)</f>
        <v>0</v>
      </c>
      <c r="EC53" s="1445">
        <f>IF(EC55=0,0,(EC54*EC55+EC56*EC57*6)/EC55)</f>
        <v>0</v>
      </c>
      <c r="ED53" s="1003">
        <f>IF(EB53=0,0,(EC53-EB53)/EB53*100)</f>
        <v>0</v>
      </c>
      <c r="EE53" s="1445">
        <f>IF(EE55=0,0,(EE54*EE55+EE56*EE57*6)/EE55)</f>
        <v>0</v>
      </c>
      <c r="EF53" s="1445">
        <f>IF(EF55=0,0,(EF54*EF55+EF56*EF57*6)/EF55)</f>
        <v>0</v>
      </c>
      <c r="EG53" s="1003">
        <f>IF(EE53=0,0,(EF53-EE53)/EE53*100)</f>
        <v>0</v>
      </c>
      <c r="EH53" s="1445">
        <f>IF(EH55=0,0,(EH54*EH55+EH56*EH57*6)/EH55)</f>
        <v>0</v>
      </c>
      <c r="EI53" s="1445">
        <f>IF(EI55=0,0,(EI54*EI55+EI56*EI57*6)/EI55)</f>
        <v>0</v>
      </c>
      <c r="EJ53" s="1003">
        <f>IF(EH53=0,0,(EI53-EH53)/EH53*100)</f>
        <v>0</v>
      </c>
      <c r="EK53" s="1445">
        <f>IF(EK55=0,0,(EK54*EK55+EK56*EK57*6)/EK55)</f>
        <v>0</v>
      </c>
      <c r="EL53" s="1445">
        <f>IF(EL55=0,0,(EL54*EL55+EL56*EL57*6)/EL55)</f>
        <v>0</v>
      </c>
      <c r="EM53" s="1003">
        <f>IF(EK53=0,0,(EL53-EK53)/EK53*100)</f>
        <v>0</v>
      </c>
      <c r="EN53" s="1445">
        <f>IF(EN55=0,0,(EN54*EN55+EN56*EN57*6)/EN55)</f>
        <v>0</v>
      </c>
      <c r="EO53" s="1445">
        <f>IF(EO55=0,0,(EO54*EO55+EO56*EO57*6)/EO55)</f>
        <v>0</v>
      </c>
      <c r="EP53" s="1003">
        <f>IF(EN53=0,0,(EO53-EN53)/EN53*100)</f>
        <v>0</v>
      </c>
      <c r="EQ53" s="1445">
        <f>IF(EQ55=0,0,(EQ54*EQ55+EQ56*EQ57*6)/EQ55)</f>
        <v>0</v>
      </c>
      <c r="ER53" s="1445">
        <f>IF(ER55=0,0,(ER54*ER55+ER56*ER57*6)/ER55)</f>
        <v>0</v>
      </c>
      <c r="ES53" s="1003">
        <f>IF(EQ53=0,0,(ER53-EQ53)/EQ53*100)</f>
        <v>0</v>
      </c>
      <c r="ET53" s="1445">
        <f>IF(ET55=0,0,(ET54*ET55+ET56*ET57*6)/ET55)</f>
        <v>0</v>
      </c>
      <c r="EU53" s="1445">
        <f>IF(EU55=0,0,(EU54*EU55+EU56*EU57*6)/EU55)</f>
        <v>0</v>
      </c>
      <c r="EV53" s="1003">
        <f>IF(ET53=0,0,(EU53-ET53)/ET53*100)</f>
        <v>0</v>
      </c>
      <c r="EW53" s="1445">
        <f>IF(EW55=0,0,(EW54*EW55+EW56*EW57*6)/EW55)</f>
        <v>0</v>
      </c>
      <c r="EX53" s="1445">
        <f>IF(EX55=0,0,(EX54*EX55+EX56*EX57*6)/EX55)</f>
        <v>0</v>
      </c>
      <c r="EY53" s="1003">
        <f>IF(EW53=0,0,(EX53-EW53)/EW53*100)</f>
        <v>0</v>
      </c>
      <c r="EZ53" s="1445">
        <f>IF(EZ55=0,0,(EZ54*EZ55+EZ56*EZ57*6)/EZ55)</f>
        <v>0</v>
      </c>
      <c r="FA53" s="1445">
        <f>IF(FA55=0,0,(FA54*FA55+FA56*FA57*6)/FA55)</f>
        <v>0</v>
      </c>
      <c r="FB53" s="1003">
        <f>IF(EZ53=0,0,(FA53-EZ53)/EZ53*100)</f>
        <v>0</v>
      </c>
      <c r="FC53" s="1445">
        <f>IF(FC55=0,0,(FC54*FC55+FC56*FC57*6)/FC55)</f>
        <v>0</v>
      </c>
      <c r="FD53" s="1445">
        <f>IF(FD55=0,0,(FD54*FD55+FD56*FD57*6)/FD55)</f>
        <v>0</v>
      </c>
      <c r="FE53" s="1003">
        <f>IF(FC53=0,0,(FD53-FC53)/FC53*100)</f>
        <v>0</v>
      </c>
      <c r="FF53" s="1445">
        <f>IF(FF55=0,0,(FF54*FF55+FF56*FF57*6)/FF55)</f>
        <v>0</v>
      </c>
      <c r="FG53" s="1445">
        <f>IF(FG55=0,0,(FG54*FG55+FG56*FG57*6)/FG55)</f>
        <v>0</v>
      </c>
      <c r="FH53" s="1003">
        <f>IF(FF53=0,0,(FG53-FF53)/FF53*100)</f>
        <v>0</v>
      </c>
      <c r="FI53" s="1445">
        <f>IF(FI55=0,0,(FI54*FI55+FI56*FI57*6)/FI55)</f>
        <v>0</v>
      </c>
      <c r="FJ53" s="1445">
        <f>IF(FJ55=0,0,(FJ54*FJ55+FJ56*FJ57*6)/FJ55)</f>
        <v>0</v>
      </c>
      <c r="FK53" s="1003">
        <f>IF(FI53=0,0,(FJ53-FI53)/FI53*100)</f>
        <v>0</v>
      </c>
      <c r="FL53" s="1445">
        <f>IF(FL55=0,0,(FL54*FL55+FL56*FL57*6)/FL55)</f>
        <v>0</v>
      </c>
      <c r="FM53" s="1445">
        <f>IF(FM55=0,0,(FM54*FM55+FM56*FM57*6)/FM55)</f>
        <v>0</v>
      </c>
      <c r="FN53" s="1003">
        <f>IF(FL53=0,0,(FM53-FL53)/FL53*100)</f>
        <v>0</v>
      </c>
      <c r="FO53" s="1445">
        <f>IF(FO55=0,0,(FO54*FO55+FO56*FO57*6)/FO55)</f>
        <v>0</v>
      </c>
      <c r="FP53" s="1445">
        <f>IF(FP55=0,0,(FP54*FP55+FP56*FP57*6)/FP55)</f>
        <v>0</v>
      </c>
      <c r="FQ53" s="1003">
        <f>IF(FO53=0,0,(FP53-FO53)/FO53*100)</f>
        <v>0</v>
      </c>
      <c r="FR53" s="1445">
        <f>IF(FR55=0,0,(FR54*FR55+FR56*FR57*6)/FR55)</f>
        <v>0</v>
      </c>
      <c r="FS53" s="1445">
        <f>IF(FS55=0,0,(FS54*FS55+FS56*FS57*6)/FS55)</f>
        <v>0</v>
      </c>
      <c r="FT53" s="1003">
        <f>IF(FR53=0,0,(FS53-FR53)/FR53*100)</f>
        <v>0</v>
      </c>
      <c r="FU53" s="1445">
        <f>IF(FU55=0,0,(FU54*FU55+FU56*FU57*6)/FU55)</f>
        <v>0</v>
      </c>
      <c r="FV53" s="1445">
        <f>IF(FV55=0,0,(FV54*FV55+FV56*FV57*6)/FV55)</f>
        <v>0</v>
      </c>
      <c r="FW53" s="1003">
        <f>IF(FU53=0,0,(FV53-FU53)/FU53*100)</f>
        <v>0</v>
      </c>
      <c r="FZ53" s="964" t="s">
        <v>1635</v>
      </c>
    </row>
    <row r="54" spans="1:182" ht="14.65" hidden="1" customHeight="1" x14ac:dyDescent="0.15">
      <c r="A54" s="416"/>
      <c r="B54" s="837" t="b" cm="1">
        <f t="array" ref="B54">B53</f>
        <v>0</v>
      </c>
      <c r="C54" s="416"/>
      <c r="D54" s="416"/>
      <c r="E54" s="759">
        <v>15</v>
      </c>
      <c r="F54" s="3" cm="1">
        <f t="array" aca="1" ref="F54" ca="1">OFFSET(E54,-1,1)</f>
        <v>0</v>
      </c>
      <c r="G54" s="416"/>
      <c r="H54" s="416" t="s">
        <v>1533</v>
      </c>
      <c r="I54" s="416" t="s">
        <v>1591</v>
      </c>
      <c r="J54" s="416"/>
      <c r="K54" s="416"/>
      <c r="L54" s="416"/>
      <c r="M54" s="416"/>
      <c r="N54" s="416"/>
      <c r="O54" s="416"/>
      <c r="P54" s="416"/>
      <c r="Q54" s="416"/>
      <c r="R54" s="416"/>
      <c r="S54" s="416"/>
      <c r="T54" s="388" t="b" cm="1">
        <f t="array" aca="1" ref="T54" ca="1">T53</f>
        <v>0</v>
      </c>
      <c r="U54" s="416"/>
      <c r="V54" s="416"/>
      <c r="W54" s="416"/>
      <c r="X54" s="2066"/>
      <c r="Y54" s="416"/>
      <c r="Z54" s="2011"/>
      <c r="AA54" s="416"/>
      <c r="AB54" s="1001" t="str">
        <f>"ставка платы за "&amp;IF(Q29="Водоснабжение","потребление 1 куб.м холодной воды","объем принятых сточных вод")</f>
        <v>ставка платы за объем принятых сточных вод</v>
      </c>
      <c r="AC54" s="783" t="s">
        <v>1588</v>
      </c>
      <c r="AD54" s="1445"/>
      <c r="AE54" s="1445"/>
      <c r="AF54" s="1003">
        <f>IF(AD54=0,0,(AE54-AD54)/AD54*100)</f>
        <v>0</v>
      </c>
      <c r="AG54" s="1445"/>
      <c r="AH54" s="1445"/>
      <c r="AI54" s="1003">
        <f>IF(AG54=0,0,(AH54-AG54)/AG54*100)</f>
        <v>0</v>
      </c>
      <c r="AJ54" s="1445"/>
      <c r="AK54" s="1445"/>
      <c r="AL54" s="1003">
        <f>IF(AJ54=0,0,(AK54-AJ54)/AJ54*100)</f>
        <v>0</v>
      </c>
      <c r="AM54" s="1445"/>
      <c r="AN54" s="1445"/>
      <c r="AO54" s="1003">
        <f>IF(AM54=0,0,(AN54-AM54)/AM54*100)</f>
        <v>0</v>
      </c>
      <c r="AP54" s="1445"/>
      <c r="AQ54" s="1445"/>
      <c r="AR54" s="1003">
        <f>IF(AP54=0,0,(AQ54-AP54)/AP54*100)</f>
        <v>0</v>
      </c>
      <c r="AS54" s="1445"/>
      <c r="AT54" s="1445"/>
      <c r="AU54" s="1003">
        <f>IF(AS54=0,0,(AT54-AS54)/AS54*100)</f>
        <v>0</v>
      </c>
      <c r="AV54" s="1445"/>
      <c r="AW54" s="1445"/>
      <c r="AX54" s="1003">
        <f>IF(AV54=0,0,(AW54-AV54)/AV54*100)</f>
        <v>0</v>
      </c>
      <c r="AY54" s="1445"/>
      <c r="AZ54" s="1445"/>
      <c r="BA54" s="1003">
        <f>IF(AY54=0,0,(AZ54-AY54)/AY54*100)</f>
        <v>0</v>
      </c>
      <c r="BB54" s="1445"/>
      <c r="BC54" s="1445"/>
      <c r="BD54" s="1003">
        <f>IF(BB54=0,0,(BC54-BB54)/BB54*100)</f>
        <v>0</v>
      </c>
      <c r="BE54" s="1445"/>
      <c r="BF54" s="1445"/>
      <c r="BG54" s="1003">
        <f>IF(BE54=0,0,(BF54-BE54)/BE54*100)</f>
        <v>0</v>
      </c>
      <c r="BH54" s="1445"/>
      <c r="BI54" s="1445"/>
      <c r="BJ54" s="1003">
        <f>IF(BH54=0,0,(BI54-BH54)/BH54*100)</f>
        <v>0</v>
      </c>
      <c r="BK54" s="1445"/>
      <c r="BL54" s="1445"/>
      <c r="BM54" s="1003">
        <f>IF(BK54=0,0,(BL54-BK54)/BK54*100)</f>
        <v>0</v>
      </c>
      <c r="BN54" s="1445"/>
      <c r="BO54" s="1445"/>
      <c r="BP54" s="1003">
        <f>IF(BN54=0,0,(BO54-BN54)/BN54*100)</f>
        <v>0</v>
      </c>
      <c r="BQ54" s="1445"/>
      <c r="BR54" s="1445"/>
      <c r="BS54" s="1003">
        <f>IF(BQ54=0,0,(BR54-BQ54)/BQ54*100)</f>
        <v>0</v>
      </c>
      <c r="BT54" s="1445"/>
      <c r="BU54" s="1445"/>
      <c r="BV54" s="1003">
        <f>IF(BT54=0,0,(BU54-BT54)/BT54*100)</f>
        <v>0</v>
      </c>
      <c r="BW54" s="1445"/>
      <c r="BX54" s="1445"/>
      <c r="BY54" s="1003">
        <f>IF(BW54=0,0,(BX54-BW54)/BW54*100)</f>
        <v>0</v>
      </c>
      <c r="BZ54" s="1445"/>
      <c r="CA54" s="1445"/>
      <c r="CB54" s="1003">
        <f>IF(BZ54=0,0,(CA54-BZ54)/BZ54*100)</f>
        <v>0</v>
      </c>
      <c r="CC54" s="1445"/>
      <c r="CD54" s="1445"/>
      <c r="CE54" s="1003">
        <f>IF(CC54=0,0,(CD54-CC54)/CC54*100)</f>
        <v>0</v>
      </c>
      <c r="CF54" s="1445"/>
      <c r="CG54" s="1445"/>
      <c r="CH54" s="1003">
        <f>IF(CF54=0,0,(CG54-CF54)/CF54*100)</f>
        <v>0</v>
      </c>
      <c r="CI54" s="1445"/>
      <c r="CJ54" s="1445"/>
      <c r="CK54" s="1003">
        <f>IF(CI54=0,0,(CJ54-CI54)/CI54*100)</f>
        <v>0</v>
      </c>
      <c r="CL54" s="1445"/>
      <c r="CM54" s="1445"/>
      <c r="CN54" s="1003">
        <f>IF(CL54=0,0,(CM54-CL54)/CL54*100)</f>
        <v>0</v>
      </c>
      <c r="CO54" s="1445"/>
      <c r="CP54" s="1445"/>
      <c r="CQ54" s="1003">
        <f>IF(CO54=0,0,(CP54-CO54)/CO54*100)</f>
        <v>0</v>
      </c>
      <c r="CR54" s="1445"/>
      <c r="CS54" s="1445"/>
      <c r="CT54" s="1003">
        <f>IF(CR54=0,0,(CS54-CR54)/CR54*100)</f>
        <v>0</v>
      </c>
      <c r="CU54" s="1445"/>
      <c r="CV54" s="1445"/>
      <c r="CW54" s="1003">
        <f>IF(CU54=0,0,(CV54-CU54)/CU54*100)</f>
        <v>0</v>
      </c>
      <c r="CX54" s="1445"/>
      <c r="CY54" s="1445"/>
      <c r="CZ54" s="1003">
        <f>IF(CX54=0,0,(CY54-CX54)/CX54*100)</f>
        <v>0</v>
      </c>
      <c r="DA54" s="1445"/>
      <c r="DB54" s="1445"/>
      <c r="DC54" s="1003">
        <f>IF(DA54=0,0,(DB54-DA54)/DA54*100)</f>
        <v>0</v>
      </c>
      <c r="DD54" s="1445"/>
      <c r="DE54" s="1445"/>
      <c r="DF54" s="1003">
        <f>IF(DD54=0,0,(DE54-DD54)/DD54*100)</f>
        <v>0</v>
      </c>
      <c r="DG54" s="1445"/>
      <c r="DH54" s="1445"/>
      <c r="DI54" s="1003">
        <f>IF(DG54=0,0,(DH54-DG54)/DG54*100)</f>
        <v>0</v>
      </c>
      <c r="DJ54" s="1445"/>
      <c r="DK54" s="1445"/>
      <c r="DL54" s="1003">
        <f>IF(DJ54=0,0,(DK54-DJ54)/DJ54*100)</f>
        <v>0</v>
      </c>
      <c r="DM54" s="1445"/>
      <c r="DN54" s="1445"/>
      <c r="DO54" s="1003">
        <f>IF(DM54=0,0,(DN54-DM54)/DM54*100)</f>
        <v>0</v>
      </c>
      <c r="DP54" s="1445"/>
      <c r="DQ54" s="1445"/>
      <c r="DR54" s="1003">
        <f>IF(DP54=0,0,(DQ54-DP54)/DP54*100)</f>
        <v>0</v>
      </c>
      <c r="DS54" s="1445"/>
      <c r="DT54" s="1445"/>
      <c r="DU54" s="1003">
        <f>IF(DS54=0,0,(DT54-DS54)/DS54*100)</f>
        <v>0</v>
      </c>
      <c r="DV54" s="1445"/>
      <c r="DW54" s="1445"/>
      <c r="DX54" s="1003">
        <f>IF(DV54=0,0,(DW54-DV54)/DV54*100)</f>
        <v>0</v>
      </c>
      <c r="DY54" s="1445"/>
      <c r="DZ54" s="1445"/>
      <c r="EA54" s="1003">
        <f>IF(DY54=0,0,(DZ54-DY54)/DY54*100)</f>
        <v>0</v>
      </c>
      <c r="EB54" s="1445"/>
      <c r="EC54" s="1445"/>
      <c r="ED54" s="1003">
        <f>IF(EB54=0,0,(EC54-EB54)/EB54*100)</f>
        <v>0</v>
      </c>
      <c r="EE54" s="1445"/>
      <c r="EF54" s="1445"/>
      <c r="EG54" s="1003">
        <f>IF(EE54=0,0,(EF54-EE54)/EE54*100)</f>
        <v>0</v>
      </c>
      <c r="EH54" s="1445"/>
      <c r="EI54" s="1445"/>
      <c r="EJ54" s="1003">
        <f>IF(EH54=0,0,(EI54-EH54)/EH54*100)</f>
        <v>0</v>
      </c>
      <c r="EK54" s="1445"/>
      <c r="EL54" s="1445"/>
      <c r="EM54" s="1003">
        <f>IF(EK54=0,0,(EL54-EK54)/EK54*100)</f>
        <v>0</v>
      </c>
      <c r="EN54" s="1445"/>
      <c r="EO54" s="1445"/>
      <c r="EP54" s="1003">
        <f>IF(EN54=0,0,(EO54-EN54)/EN54*100)</f>
        <v>0</v>
      </c>
      <c r="EQ54" s="1445"/>
      <c r="ER54" s="1445"/>
      <c r="ES54" s="1003">
        <f>IF(EQ54=0,0,(ER54-EQ54)/EQ54*100)</f>
        <v>0</v>
      </c>
      <c r="ET54" s="1445"/>
      <c r="EU54" s="1445"/>
      <c r="EV54" s="1003">
        <f>IF(ET54=0,0,(EU54-ET54)/ET54*100)</f>
        <v>0</v>
      </c>
      <c r="EW54" s="1445"/>
      <c r="EX54" s="1445"/>
      <c r="EY54" s="1003">
        <f>IF(EW54=0,0,(EX54-EW54)/EW54*100)</f>
        <v>0</v>
      </c>
      <c r="EZ54" s="1445"/>
      <c r="FA54" s="1445"/>
      <c r="FB54" s="1003">
        <f>IF(EZ54=0,0,(FA54-EZ54)/EZ54*100)</f>
        <v>0</v>
      </c>
      <c r="FC54" s="1445"/>
      <c r="FD54" s="1445"/>
      <c r="FE54" s="1003">
        <f>IF(FC54=0,0,(FD54-FC54)/FC54*100)</f>
        <v>0</v>
      </c>
      <c r="FF54" s="1445"/>
      <c r="FG54" s="1445"/>
      <c r="FH54" s="1003">
        <f>IF(FF54=0,0,(FG54-FF54)/FF54*100)</f>
        <v>0</v>
      </c>
      <c r="FI54" s="1445"/>
      <c r="FJ54" s="1445"/>
      <c r="FK54" s="1003">
        <f>IF(FI54=0,0,(FJ54-FI54)/FI54*100)</f>
        <v>0</v>
      </c>
      <c r="FL54" s="1445"/>
      <c r="FM54" s="1445"/>
      <c r="FN54" s="1003">
        <f>IF(FL54=0,0,(FM54-FL54)/FL54*100)</f>
        <v>0</v>
      </c>
      <c r="FO54" s="1445"/>
      <c r="FP54" s="1445"/>
      <c r="FQ54" s="1003">
        <f>IF(FO54=0,0,(FP54-FO54)/FO54*100)</f>
        <v>0</v>
      </c>
      <c r="FR54" s="1445"/>
      <c r="FS54" s="1445"/>
      <c r="FT54" s="1003">
        <f>IF(FR54=0,0,(FS54-FR54)/FR54*100)</f>
        <v>0</v>
      </c>
      <c r="FU54" s="1445"/>
      <c r="FV54" s="1445"/>
      <c r="FW54" s="1003">
        <f>IF(FU54=0,0,(FV54-FU54)/FU54*100)</f>
        <v>0</v>
      </c>
      <c r="FZ54" s="964" t="s">
        <v>1636</v>
      </c>
    </row>
    <row r="55" spans="1:182" ht="14.65" hidden="1" customHeight="1" x14ac:dyDescent="0.15">
      <c r="A55" s="416"/>
      <c r="B55" s="837" t="b" cm="1">
        <f t="array" ref="B55">B54</f>
        <v>0</v>
      </c>
      <c r="C55" s="416"/>
      <c r="D55" s="416"/>
      <c r="E55" s="759">
        <v>15</v>
      </c>
      <c r="F55" s="3" cm="1">
        <f t="array" aca="1" ref="F55" ca="1">OFFSET(E55,-1,1)</f>
        <v>0</v>
      </c>
      <c r="G55" s="26" t="s">
        <v>1637</v>
      </c>
      <c r="H55" s="416" t="s">
        <v>1625</v>
      </c>
      <c r="I55" s="416" t="s">
        <v>1591</v>
      </c>
      <c r="J55" s="416"/>
      <c r="K55" s="416"/>
      <c r="L55" s="416"/>
      <c r="M55" s="416"/>
      <c r="N55" s="416"/>
      <c r="O55" s="416"/>
      <c r="P55" s="416"/>
      <c r="Q55" s="416"/>
      <c r="R55" s="416"/>
      <c r="S55" s="416"/>
      <c r="T55" s="388" t="b" cm="1">
        <f t="array" aca="1" ref="T55" ca="1">T54</f>
        <v>0</v>
      </c>
      <c r="U55" s="416"/>
      <c r="V55" s="416"/>
      <c r="W55" s="416"/>
      <c r="X55" s="2066"/>
      <c r="Y55" s="416"/>
      <c r="Z55" s="2011"/>
      <c r="AA55" s="416"/>
      <c r="AB55" s="1001" t="str">
        <f>"объём "&amp;IF(Q29="Водоснабжение","потребления холодной воды","водоотведения")</f>
        <v>объём водоотведения</v>
      </c>
      <c r="AC55" s="783" t="s">
        <v>563</v>
      </c>
      <c r="AD55" s="1443">
        <f ca="1">IF(AND(method_reg="Метод индексации",god&lt;&gt;first_year),SUMIFS(INDEX('Калькуляция (МИ корр)'!$AJ$25:$BC$459,,MATCH(AD$8,'Калькуляция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(МИ)'!$AJ$25:$BC$459,,MATCH(AD$8,'Калькуляция (МИ)'!$AJ$8:$BC$8,0)),'Калькуляция (МИ)'!$F$25:$F$459,$F55,'Калькуляция (МИ)'!$G$25:$G$459,$G55))))</f>
        <v>0</v>
      </c>
      <c r="AE55" s="1443">
        <f ca="1">IF(AND(method_reg="Метод индексации",god&lt;&gt;first_year),SUMIFS(INDEX('Калькуляция (МИ корр)'!$AJ$25:$BC$459,,MATCH(AE$8,'Калькуляция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(МИ)'!$AJ$25:$BC$459,,MATCH(AE$8,'Калькуляция (МИ)'!$AJ$8:$BC$8,0)),'Калькуляция (МИ)'!$F$25:$F$459,$F55,'Калькуляция (МИ)'!$G$25:$G$459,$G55))))</f>
        <v>0</v>
      </c>
      <c r="AF55" s="1005">
        <f ca="1">IF(AD55=0,0,(AE55-AD55)/AD55*100)</f>
        <v>0</v>
      </c>
      <c r="AG55" s="1443">
        <f ca="1">IF(AND(method_reg="Метод индексации",god&lt;&gt;first_year),SUMIFS(INDEX('Калькуляция (МИ корр)'!$AJ$25:$BC$459,,MATCH(AG$8,'Калькуляция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(МИ)'!$AJ$25:$BC$459,,MATCH(AG$8,'Калькуляция (МИ)'!$AJ$8:$BC$8,0)),'Калькуляция (МИ)'!$F$25:$F$459,$F55,'Калькуляция (МИ)'!$G$25:$G$459,$G55))))</f>
        <v>0</v>
      </c>
      <c r="AH55" s="1443">
        <f ca="1">IF(AND(method_reg="Метод индексации",god&lt;&gt;first_year),SUMIFS(INDEX('Калькуляция (МИ корр)'!$AJ$25:$BC$459,,MATCH(AH$8,'Калькуляция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(МИ)'!$AJ$25:$BC$459,,MATCH(AH$8,'Калькуляция (МИ)'!$AJ$8:$BC$8,0)),'Калькуляция (МИ)'!$F$25:$F$459,$F55,'Калькуляция (МИ)'!$G$25:$G$459,$G55))))</f>
        <v>0</v>
      </c>
      <c r="AI55" s="1005">
        <f ca="1">IF(AG55=0,0,(AH55-AG55)/AG55*100)</f>
        <v>0</v>
      </c>
      <c r="AJ55" s="1443">
        <f ca="1">IF(AND(method_reg="Метод индексации",god&lt;&gt;first_year),SUMIFS(INDEX('Калькуляция (МИ корр)'!$AJ$25:$BC$459,,MATCH(AJ$8,'Калькуляция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(МИ)'!$AJ$25:$BC$459,,MATCH(AJ$8,'Калькуляция (МИ)'!$AJ$8:$BC$8,0)),'Калькуляция (МИ)'!$F$25:$F$459,$F55,'Калькуляция (МИ)'!$G$25:$G$459,$G55))))</f>
        <v>0</v>
      </c>
      <c r="AK55" s="1443">
        <f ca="1">IF(AND(method_reg="Метод индексации",god&lt;&gt;first_year),SUMIFS(INDEX('Калькуляция (МИ корр)'!$AJ$25:$BC$459,,MATCH(AK$8,'Калькуляция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(МИ)'!$AJ$25:$BC$459,,MATCH(AK$8,'Калькуляция (МИ)'!$AJ$8:$BC$8,0)),'Калькуляция (МИ)'!$F$25:$F$459,$F55,'Калькуляция (МИ)'!$G$25:$G$459,$G55))))</f>
        <v>0</v>
      </c>
      <c r="AL55" s="1005">
        <f ca="1">IF(AJ55=0,0,(AK55-AJ55)/AJ55*100)</f>
        <v>0</v>
      </c>
      <c r="AM55" s="1443">
        <f ca="1">IF(AND(method_reg="Метод индексации",god&lt;&gt;first_year),SUMIFS(INDEX('Калькуляция (МИ корр)'!$AJ$25:$BC$459,,MATCH(AM$8,'Калькуляция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(МИ)'!$AJ$25:$BC$459,,MATCH(AM$8,'Калькуляция (МИ)'!$AJ$8:$BC$8,0)),'Калькуляция (МИ)'!$F$25:$F$459,$F55,'Калькуляция (МИ)'!$G$25:$G$459,$G55))))</f>
        <v>0</v>
      </c>
      <c r="AN55" s="1443">
        <f ca="1">IF(AND(method_reg="Метод индексации",god&lt;&gt;first_year),SUMIFS(INDEX('Калькуляция (МИ корр)'!$AJ$25:$BC$459,,MATCH(AN$8,'Калькуляция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(МИ)'!$AJ$25:$BC$459,,MATCH(AN$8,'Калькуляция (МИ)'!$AJ$8:$BC$8,0)),'Калькуляция (МИ)'!$F$25:$F$459,$F55,'Калькуляция (МИ)'!$G$25:$G$459,$G55))))</f>
        <v>0</v>
      </c>
      <c r="AO55" s="1005">
        <f ca="1">IF(AM55=0,0,(AN55-AM55)/AM55*100)</f>
        <v>0</v>
      </c>
      <c r="AP55" s="1443">
        <f ca="1">IF(AND(method_reg="Метод индексации",god&lt;&gt;first_year),SUMIFS(INDEX('Калькуляция (МИ корр)'!$AJ$25:$BC$459,,MATCH(AP$8,'Калькуляция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(МИ)'!$AJ$25:$BC$459,,MATCH(AP$8,'Калькуляция (МИ)'!$AJ$8:$BC$8,0)),'Калькуляция (МИ)'!$F$25:$F$459,$F55,'Калькуляция (МИ)'!$G$25:$G$459,$G55))))</f>
        <v>0</v>
      </c>
      <c r="AQ55" s="1443">
        <f ca="1">IF(AND(method_reg="Метод индексации",god&lt;&gt;first_year),SUMIFS(INDEX('Калькуляция (МИ корр)'!$AJ$25:$BC$459,,MATCH(AQ$8,'Калькуляция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(МИ)'!$AJ$25:$BC$459,,MATCH(AQ$8,'Калькуляция (МИ)'!$AJ$8:$BC$8,0)),'Калькуляция (МИ)'!$F$25:$F$459,$F55,'Калькуляция (МИ)'!$G$25:$G$459,$G55))))</f>
        <v>0</v>
      </c>
      <c r="AR55" s="1005">
        <f ca="1">IF(AP55=0,0,(AQ55-AP55)/AP55*100)</f>
        <v>0</v>
      </c>
      <c r="AS55" s="1443">
        <f ca="1">IF(AND(method_reg="Метод индексации",god&lt;&gt;first_year),SUMIFS(INDEX('Калькуляция (МИ корр)'!$AJ$25:$BC$459,,MATCH(AS$8,'Калькуляция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(МИ)'!$AJ$25:$BC$459,,MATCH(AS$8,'Калькуляция (МИ)'!$AJ$8:$BC$8,0)),'Калькуляция (МИ)'!$F$25:$F$459,$F55,'Калькуляция (МИ)'!$G$25:$G$459,$G55))))</f>
        <v>0</v>
      </c>
      <c r="AT55" s="1443">
        <f ca="1">IF(AND(method_reg="Метод индексации",god&lt;&gt;first_year),SUMIFS(INDEX('Калькуляция (МИ корр)'!$AJ$25:$BC$459,,MATCH(AT$8,'Калькуляция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(МИ)'!$AJ$25:$BC$459,,MATCH(AT$8,'Калькуляция (МИ)'!$AJ$8:$BC$8,0)),'Калькуляция (МИ)'!$F$25:$F$459,$F55,'Калькуляция (МИ)'!$G$25:$G$459,$G55))))</f>
        <v>0</v>
      </c>
      <c r="AU55" s="1005">
        <f ca="1">IF(AS55=0,0,(AT55-AS55)/AS55*100)</f>
        <v>0</v>
      </c>
      <c r="AV55" s="1443">
        <f ca="1">IF(AND(method_reg="Метод индексации",god&lt;&gt;first_year),SUMIFS(INDEX('Калькуляция (МИ корр)'!$AJ$25:$BC$459,,MATCH(AV$8,'Калькуляция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(МИ)'!$AJ$25:$BC$459,,MATCH(AV$8,'Калькуляция (МИ)'!$AJ$8:$BC$8,0)),'Калькуляция (МИ)'!$F$25:$F$459,$F55,'Калькуляция (МИ)'!$G$25:$G$459,$G55))))</f>
        <v>0</v>
      </c>
      <c r="AW55" s="1443">
        <f ca="1">IF(AND(method_reg="Метод индексации",god&lt;&gt;first_year),SUMIFS(INDEX('Калькуляция (МИ корр)'!$AJ$25:$BC$459,,MATCH(AW$8,'Калькуляция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(МИ)'!$AJ$25:$BC$459,,MATCH(AW$8,'Калькуляция (МИ)'!$AJ$8:$BC$8,0)),'Калькуляция (МИ)'!$F$25:$F$459,$F55,'Калькуляция (МИ)'!$G$25:$G$459,$G55))))</f>
        <v>0</v>
      </c>
      <c r="AX55" s="1005">
        <f ca="1">IF(AV55=0,0,(AW55-AV55)/AV55*100)</f>
        <v>0</v>
      </c>
      <c r="AY55" s="1443">
        <f ca="1">IF(AND(method_reg="Метод индексации",god&lt;&gt;first_year),SUMIFS(INDEX('Калькуляция (МИ корр)'!$AJ$25:$BC$459,,MATCH(AY$8,'Калькуляция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(МИ)'!$AJ$25:$BC$459,,MATCH(AY$8,'Калькуляция (МИ)'!$AJ$8:$BC$8,0)),'Калькуляция (МИ)'!$F$25:$F$459,$F55,'Калькуляция (МИ)'!$G$25:$G$459,$G55))))</f>
        <v>0</v>
      </c>
      <c r="AZ55" s="1443">
        <f ca="1">IF(AND(method_reg="Метод индексации",god&lt;&gt;first_year),SUMIFS(INDEX('Калькуляция (МИ корр)'!$AJ$25:$BC$459,,MATCH(AZ$8,'Калькуляция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(МИ)'!$AJ$25:$BC$459,,MATCH(AZ$8,'Калькуляция (МИ)'!$AJ$8:$BC$8,0)),'Калькуляция (МИ)'!$F$25:$F$459,$F55,'Калькуляция (МИ)'!$G$25:$G$459,$G55))))</f>
        <v>0</v>
      </c>
      <c r="BA55" s="1005">
        <f ca="1">IF(AY55=0,0,(AZ55-AY55)/AY55*100)</f>
        <v>0</v>
      </c>
      <c r="BB55" s="1443">
        <f ca="1">IF(AND(method_reg="Метод индексации",god&lt;&gt;first_year),SUMIFS(INDEX('Калькуляция (МИ корр)'!$AJ$25:$BC$459,,MATCH(BB$8,'Калькуляция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(МИ)'!$AJ$25:$BC$459,,MATCH(BB$8,'Калькуляция (МИ)'!$AJ$8:$BC$8,0)),'Калькуляция (МИ)'!$F$25:$F$459,$F55,'Калькуляция (МИ)'!$G$25:$G$459,$G55))))</f>
        <v>0</v>
      </c>
      <c r="BC55" s="1443">
        <f ca="1">IF(AND(method_reg="Метод индексации",god&lt;&gt;first_year),SUMIFS(INDEX('Калькуляция (МИ корр)'!$AJ$25:$BC$459,,MATCH(BC$8,'Калькуляция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(МИ)'!$AJ$25:$BC$459,,MATCH(BC$8,'Калькуляция (МИ)'!$AJ$8:$BC$8,0)),'Калькуляция (МИ)'!$F$25:$F$459,$F55,'Калькуляция (МИ)'!$G$25:$G$459,$G55))))</f>
        <v>0</v>
      </c>
      <c r="BD55" s="1005">
        <f ca="1">IF(BB55=0,0,(BC55-BB55)/BB55*100)</f>
        <v>0</v>
      </c>
      <c r="BE55" s="1443">
        <f ca="1">IF(AND(method_reg="Метод индексации",god&lt;&gt;first_year),SUMIFS(INDEX('Калькуляция (МИ корр)'!$AJ$25:$BC$459,,MATCH(BE$8,'Калькуляция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(МИ)'!$AJ$25:$BC$459,,MATCH(BE$8,'Калькуляция (МИ)'!$AJ$8:$BC$8,0)),'Калькуляция (МИ)'!$F$25:$F$459,$F55,'Калькуляция (МИ)'!$G$25:$G$459,$G55))))</f>
        <v>0</v>
      </c>
      <c r="BF55" s="1443">
        <f ca="1">IF(AND(method_reg="Метод индексации",god&lt;&gt;first_year),SUMIFS(INDEX('Калькуляция (МИ корр)'!$AJ$25:$BC$459,,MATCH(BF$8,'Калькуляция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(МИ)'!$AJ$25:$BC$459,,MATCH(BF$8,'Калькуляция (МИ)'!$AJ$8:$BC$8,0)),'Калькуляция (МИ)'!$F$25:$F$459,$F55,'Калькуляция (МИ)'!$G$25:$G$459,$G55))))</f>
        <v>0</v>
      </c>
      <c r="BG55" s="1012">
        <f ca="1">IF(BE55=0,0,(BF55-BE55)/BE55*100)</f>
        <v>0</v>
      </c>
      <c r="BH55" s="1443"/>
      <c r="BI55" s="1443"/>
      <c r="BJ55" s="1012">
        <f>IF(BH55=0,0,(BI55-BH55)/BH55*100)</f>
        <v>0</v>
      </c>
      <c r="BK55" s="1443"/>
      <c r="BL55" s="1443"/>
      <c r="BM55" s="1012">
        <f>IF(BK55=0,0,(BL55-BK55)/BK55*100)</f>
        <v>0</v>
      </c>
      <c r="BN55" s="1443"/>
      <c r="BO55" s="1443"/>
      <c r="BP55" s="1012">
        <f>IF(BN55=0,0,(BO55-BN55)/BN55*100)</f>
        <v>0</v>
      </c>
      <c r="BQ55" s="1443"/>
      <c r="BR55" s="1443"/>
      <c r="BS55" s="1012">
        <f>IF(BQ55=0,0,(BR55-BQ55)/BQ55*100)</f>
        <v>0</v>
      </c>
      <c r="BT55" s="1443"/>
      <c r="BU55" s="1443"/>
      <c r="BV55" s="1012">
        <f>IF(BT55=0,0,(BU55-BT55)/BT55*100)</f>
        <v>0</v>
      </c>
      <c r="BW55" s="1443"/>
      <c r="BX55" s="1443"/>
      <c r="BY55" s="1012">
        <f>IF(BW55=0,0,(BX55-BW55)/BW55*100)</f>
        <v>0</v>
      </c>
      <c r="BZ55" s="1443"/>
      <c r="CA55" s="1443"/>
      <c r="CB55" s="1012">
        <f>IF(BZ55=0,0,(CA55-BZ55)/BZ55*100)</f>
        <v>0</v>
      </c>
      <c r="CC55" s="1443"/>
      <c r="CD55" s="1443"/>
      <c r="CE55" s="1012">
        <f>IF(CC55=0,0,(CD55-CC55)/CC55*100)</f>
        <v>0</v>
      </c>
      <c r="CF55" s="1443"/>
      <c r="CG55" s="1443"/>
      <c r="CH55" s="1012">
        <f>IF(CF55=0,0,(CG55-CF55)/CF55*100)</f>
        <v>0</v>
      </c>
      <c r="CI55" s="1443"/>
      <c r="CJ55" s="1443"/>
      <c r="CK55" s="1012">
        <f>IF(CI55=0,0,(CJ55-CI55)/CI55*100)</f>
        <v>0</v>
      </c>
      <c r="CL55" s="1443"/>
      <c r="CM55" s="1443"/>
      <c r="CN55" s="1012">
        <f>IF(CL55=0,0,(CM55-CL55)/CL55*100)</f>
        <v>0</v>
      </c>
      <c r="CO55" s="1443"/>
      <c r="CP55" s="1443"/>
      <c r="CQ55" s="1012">
        <f>IF(CO55=0,0,(CP55-CO55)/CO55*100)</f>
        <v>0</v>
      </c>
      <c r="CR55" s="1443"/>
      <c r="CS55" s="1443"/>
      <c r="CT55" s="1012">
        <f>IF(CR55=0,0,(CS55-CR55)/CR55*100)</f>
        <v>0</v>
      </c>
      <c r="CU55" s="1443"/>
      <c r="CV55" s="1443"/>
      <c r="CW55" s="1012">
        <f>IF(CU55=0,0,(CV55-CU55)/CU55*100)</f>
        <v>0</v>
      </c>
      <c r="CX55" s="1443"/>
      <c r="CY55" s="1443"/>
      <c r="CZ55" s="1012">
        <f>IF(CX55=0,0,(CY55-CX55)/CX55*100)</f>
        <v>0</v>
      </c>
      <c r="DA55" s="1443"/>
      <c r="DB55" s="1443"/>
      <c r="DC55" s="1012">
        <f>IF(DA55=0,0,(DB55-DA55)/DA55*100)</f>
        <v>0</v>
      </c>
      <c r="DD55" s="1443"/>
      <c r="DE55" s="1443"/>
      <c r="DF55" s="1012">
        <f>IF(DD55=0,0,(DE55-DD55)/DD55*100)</f>
        <v>0</v>
      </c>
      <c r="DG55" s="1443"/>
      <c r="DH55" s="1443"/>
      <c r="DI55" s="1012">
        <f>IF(DG55=0,0,(DH55-DG55)/DG55*100)</f>
        <v>0</v>
      </c>
      <c r="DJ55" s="1443"/>
      <c r="DK55" s="1443"/>
      <c r="DL55" s="1012">
        <f>IF(DJ55=0,0,(DK55-DJ55)/DJ55*100)</f>
        <v>0</v>
      </c>
      <c r="DM55" s="1443"/>
      <c r="DN55" s="1443"/>
      <c r="DO55" s="1012">
        <f>IF(DM55=0,0,(DN55-DM55)/DM55*100)</f>
        <v>0</v>
      </c>
      <c r="DP55" s="1443"/>
      <c r="DQ55" s="1443"/>
      <c r="DR55" s="1012">
        <f>IF(DP55=0,0,(DQ55-DP55)/DP55*100)</f>
        <v>0</v>
      </c>
      <c r="DS55" s="1443"/>
      <c r="DT55" s="1443"/>
      <c r="DU55" s="1012">
        <f>IF(DS55=0,0,(DT55-DS55)/DS55*100)</f>
        <v>0</v>
      </c>
      <c r="DV55" s="1443"/>
      <c r="DW55" s="1443"/>
      <c r="DX55" s="1012">
        <f>IF(DV55=0,0,(DW55-DV55)/DV55*100)</f>
        <v>0</v>
      </c>
      <c r="DY55" s="1443"/>
      <c r="DZ55" s="1443"/>
      <c r="EA55" s="1012">
        <f>IF(DY55=0,0,(DZ55-DY55)/DY55*100)</f>
        <v>0</v>
      </c>
      <c r="EB55" s="1443"/>
      <c r="EC55" s="1443"/>
      <c r="ED55" s="1012">
        <f>IF(EB55=0,0,(EC55-EB55)/EB55*100)</f>
        <v>0</v>
      </c>
      <c r="EE55" s="1443"/>
      <c r="EF55" s="1443"/>
      <c r="EG55" s="1012">
        <f>IF(EE55=0,0,(EF55-EE55)/EE55*100)</f>
        <v>0</v>
      </c>
      <c r="EH55" s="1443"/>
      <c r="EI55" s="1443"/>
      <c r="EJ55" s="1012">
        <f>IF(EH55=0,0,(EI55-EH55)/EH55*100)</f>
        <v>0</v>
      </c>
      <c r="EK55" s="1443"/>
      <c r="EL55" s="1443"/>
      <c r="EM55" s="1012">
        <f>IF(EK55=0,0,(EL55-EK55)/EK55*100)</f>
        <v>0</v>
      </c>
      <c r="EN55" s="1443"/>
      <c r="EO55" s="1443"/>
      <c r="EP55" s="1012">
        <f>IF(EN55=0,0,(EO55-EN55)/EN55*100)</f>
        <v>0</v>
      </c>
      <c r="EQ55" s="1443"/>
      <c r="ER55" s="1443"/>
      <c r="ES55" s="1012">
        <f>IF(EQ55=0,0,(ER55-EQ55)/EQ55*100)</f>
        <v>0</v>
      </c>
      <c r="ET55" s="1443"/>
      <c r="EU55" s="1443"/>
      <c r="EV55" s="1012">
        <f>IF(ET55=0,0,(EU55-ET55)/ET55*100)</f>
        <v>0</v>
      </c>
      <c r="EW55" s="1443"/>
      <c r="EX55" s="1443"/>
      <c r="EY55" s="1012">
        <f>IF(EW55=0,0,(EX55-EW55)/EW55*100)</f>
        <v>0</v>
      </c>
      <c r="EZ55" s="1443"/>
      <c r="FA55" s="1443"/>
      <c r="FB55" s="1012">
        <f>IF(EZ55=0,0,(FA55-EZ55)/EZ55*100)</f>
        <v>0</v>
      </c>
      <c r="FC55" s="1443"/>
      <c r="FD55" s="1443"/>
      <c r="FE55" s="1012">
        <f>IF(FC55=0,0,(FD55-FC55)/FC55*100)</f>
        <v>0</v>
      </c>
      <c r="FF55" s="1443"/>
      <c r="FG55" s="1443"/>
      <c r="FH55" s="1012">
        <f>IF(FF55=0,0,(FG55-FF55)/FF55*100)</f>
        <v>0</v>
      </c>
      <c r="FI55" s="1443"/>
      <c r="FJ55" s="1443"/>
      <c r="FK55" s="1012">
        <f>IF(FI55=0,0,(FJ55-FI55)/FI55*100)</f>
        <v>0</v>
      </c>
      <c r="FL55" s="1443"/>
      <c r="FM55" s="1443"/>
      <c r="FN55" s="1012">
        <f>IF(FL55=0,0,(FM55-FL55)/FL55*100)</f>
        <v>0</v>
      </c>
      <c r="FO55" s="1443"/>
      <c r="FP55" s="1443"/>
      <c r="FQ55" s="1012">
        <f>IF(FO55=0,0,(FP55-FO55)/FO55*100)</f>
        <v>0</v>
      </c>
      <c r="FR55" s="1443"/>
      <c r="FS55" s="1443"/>
      <c r="FT55" s="1012">
        <f>IF(FR55=0,0,(FS55-FR55)/FR55*100)</f>
        <v>0</v>
      </c>
      <c r="FU55" s="1443"/>
      <c r="FV55" s="1443"/>
      <c r="FW55" s="1012">
        <f>IF(FU55=0,0,(FV55-FU55)/FU55*100)</f>
        <v>0</v>
      </c>
      <c r="FZ55" s="964" t="s">
        <v>1638</v>
      </c>
    </row>
    <row r="56" spans="1:182" ht="21.95" hidden="1" customHeight="1" x14ac:dyDescent="0.15">
      <c r="A56" s="416"/>
      <c r="B56" s="837" t="b" cm="1">
        <f t="array" ref="B56">B55</f>
        <v>0</v>
      </c>
      <c r="C56" s="416"/>
      <c r="D56" s="416"/>
      <c r="E56" s="759">
        <v>22.5</v>
      </c>
      <c r="F56" s="3" cm="1">
        <f t="array" aca="1" ref="F56" ca="1">OFFSET(E56,-1,1)</f>
        <v>0</v>
      </c>
      <c r="G56" s="416"/>
      <c r="H56" s="416" t="s">
        <v>1627</v>
      </c>
      <c r="I56" s="416" t="s">
        <v>1591</v>
      </c>
      <c r="J56" s="416"/>
      <c r="K56" s="416"/>
      <c r="L56" s="416"/>
      <c r="M56" s="416"/>
      <c r="N56" s="416"/>
      <c r="O56" s="416"/>
      <c r="P56" s="416"/>
      <c r="Q56" s="416"/>
      <c r="R56" s="416"/>
      <c r="S56" s="416"/>
      <c r="T56" s="388" t="b" cm="1">
        <f t="array" aca="1" ref="T56" ca="1">T55</f>
        <v>0</v>
      </c>
      <c r="U56" s="416"/>
      <c r="V56" s="416"/>
      <c r="W56" s="416"/>
      <c r="X56" s="2066"/>
      <c r="Y56" s="416"/>
      <c r="Z56" s="2011"/>
      <c r="AA56" s="416"/>
      <c r="AB56" s="1001"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783" t="s">
        <v>1628</v>
      </c>
      <c r="AD56" s="1445"/>
      <c r="AE56" s="1445"/>
      <c r="AF56" s="1003">
        <f>IF(AD56=0,0,(AE56-AD56)/AD56*100)</f>
        <v>0</v>
      </c>
      <c r="AG56" s="1445"/>
      <c r="AH56" s="1445"/>
      <c r="AI56" s="1003">
        <f>IF(AG56=0,0,(AH56-AG56)/AG56*100)</f>
        <v>0</v>
      </c>
      <c r="AJ56" s="1445"/>
      <c r="AK56" s="1445"/>
      <c r="AL56" s="1003">
        <f>IF(AJ56=0,0,(AK56-AJ56)/AJ56*100)</f>
        <v>0</v>
      </c>
      <c r="AM56" s="1445"/>
      <c r="AN56" s="1445"/>
      <c r="AO56" s="1003">
        <f>IF(AM56=0,0,(AN56-AM56)/AM56*100)</f>
        <v>0</v>
      </c>
      <c r="AP56" s="1445"/>
      <c r="AQ56" s="1445"/>
      <c r="AR56" s="1003">
        <f>IF(AP56=0,0,(AQ56-AP56)/AP56*100)</f>
        <v>0</v>
      </c>
      <c r="AS56" s="1445"/>
      <c r="AT56" s="1445"/>
      <c r="AU56" s="1003">
        <f>IF(AS56=0,0,(AT56-AS56)/AS56*100)</f>
        <v>0</v>
      </c>
      <c r="AV56" s="1445"/>
      <c r="AW56" s="1445"/>
      <c r="AX56" s="1003">
        <f>IF(AV56=0,0,(AW56-AV56)/AV56*100)</f>
        <v>0</v>
      </c>
      <c r="AY56" s="1445"/>
      <c r="AZ56" s="1445"/>
      <c r="BA56" s="1003">
        <f>IF(AY56=0,0,(AZ56-AY56)/AY56*100)</f>
        <v>0</v>
      </c>
      <c r="BB56" s="1445"/>
      <c r="BC56" s="1445"/>
      <c r="BD56" s="1003">
        <f>IF(BB56=0,0,(BC56-BB56)/BB56*100)</f>
        <v>0</v>
      </c>
      <c r="BE56" s="1445"/>
      <c r="BF56" s="1445"/>
      <c r="BG56" s="1003">
        <f>IF(BE56=0,0,(BF56-BE56)/BE56*100)</f>
        <v>0</v>
      </c>
      <c r="BH56" s="1445"/>
      <c r="BI56" s="1445"/>
      <c r="BJ56" s="1003">
        <f>IF(BH56=0,0,(BI56-BH56)/BH56*100)</f>
        <v>0</v>
      </c>
      <c r="BK56" s="1445"/>
      <c r="BL56" s="1445"/>
      <c r="BM56" s="1003">
        <f>IF(BK56=0,0,(BL56-BK56)/BK56*100)</f>
        <v>0</v>
      </c>
      <c r="BN56" s="1445"/>
      <c r="BO56" s="1445"/>
      <c r="BP56" s="1003">
        <f>IF(BN56=0,0,(BO56-BN56)/BN56*100)</f>
        <v>0</v>
      </c>
      <c r="BQ56" s="1445"/>
      <c r="BR56" s="1445"/>
      <c r="BS56" s="1003">
        <f>IF(BQ56=0,0,(BR56-BQ56)/BQ56*100)</f>
        <v>0</v>
      </c>
      <c r="BT56" s="1445"/>
      <c r="BU56" s="1445"/>
      <c r="BV56" s="1003">
        <f>IF(BT56=0,0,(BU56-BT56)/BT56*100)</f>
        <v>0</v>
      </c>
      <c r="BW56" s="1445"/>
      <c r="BX56" s="1445"/>
      <c r="BY56" s="1003">
        <f>IF(BW56=0,0,(BX56-BW56)/BW56*100)</f>
        <v>0</v>
      </c>
      <c r="BZ56" s="1445"/>
      <c r="CA56" s="1445"/>
      <c r="CB56" s="1003">
        <f>IF(BZ56=0,0,(CA56-BZ56)/BZ56*100)</f>
        <v>0</v>
      </c>
      <c r="CC56" s="1445"/>
      <c r="CD56" s="1445"/>
      <c r="CE56" s="1003">
        <f>IF(CC56=0,0,(CD56-CC56)/CC56*100)</f>
        <v>0</v>
      </c>
      <c r="CF56" s="1445"/>
      <c r="CG56" s="1445"/>
      <c r="CH56" s="1003">
        <f>IF(CF56=0,0,(CG56-CF56)/CF56*100)</f>
        <v>0</v>
      </c>
      <c r="CI56" s="1445"/>
      <c r="CJ56" s="1445"/>
      <c r="CK56" s="1003">
        <f>IF(CI56=0,0,(CJ56-CI56)/CI56*100)</f>
        <v>0</v>
      </c>
      <c r="CL56" s="1445"/>
      <c r="CM56" s="1445"/>
      <c r="CN56" s="1003">
        <f>IF(CL56=0,0,(CM56-CL56)/CL56*100)</f>
        <v>0</v>
      </c>
      <c r="CO56" s="1445"/>
      <c r="CP56" s="1445"/>
      <c r="CQ56" s="1003">
        <f>IF(CO56=0,0,(CP56-CO56)/CO56*100)</f>
        <v>0</v>
      </c>
      <c r="CR56" s="1445"/>
      <c r="CS56" s="1445"/>
      <c r="CT56" s="1003">
        <f>IF(CR56=0,0,(CS56-CR56)/CR56*100)</f>
        <v>0</v>
      </c>
      <c r="CU56" s="1445"/>
      <c r="CV56" s="1445"/>
      <c r="CW56" s="1003">
        <f>IF(CU56=0,0,(CV56-CU56)/CU56*100)</f>
        <v>0</v>
      </c>
      <c r="CX56" s="1445"/>
      <c r="CY56" s="1445"/>
      <c r="CZ56" s="1003">
        <f>IF(CX56=0,0,(CY56-CX56)/CX56*100)</f>
        <v>0</v>
      </c>
      <c r="DA56" s="1445"/>
      <c r="DB56" s="1445"/>
      <c r="DC56" s="1003">
        <f>IF(DA56=0,0,(DB56-DA56)/DA56*100)</f>
        <v>0</v>
      </c>
      <c r="DD56" s="1445"/>
      <c r="DE56" s="1445"/>
      <c r="DF56" s="1003">
        <f>IF(DD56=0,0,(DE56-DD56)/DD56*100)</f>
        <v>0</v>
      </c>
      <c r="DG56" s="1445"/>
      <c r="DH56" s="1445"/>
      <c r="DI56" s="1003">
        <f>IF(DG56=0,0,(DH56-DG56)/DG56*100)</f>
        <v>0</v>
      </c>
      <c r="DJ56" s="1445"/>
      <c r="DK56" s="1445"/>
      <c r="DL56" s="1003">
        <f>IF(DJ56=0,0,(DK56-DJ56)/DJ56*100)</f>
        <v>0</v>
      </c>
      <c r="DM56" s="1445"/>
      <c r="DN56" s="1445"/>
      <c r="DO56" s="1003">
        <f>IF(DM56=0,0,(DN56-DM56)/DM56*100)</f>
        <v>0</v>
      </c>
      <c r="DP56" s="1445"/>
      <c r="DQ56" s="1445"/>
      <c r="DR56" s="1003">
        <f>IF(DP56=0,0,(DQ56-DP56)/DP56*100)</f>
        <v>0</v>
      </c>
      <c r="DS56" s="1445"/>
      <c r="DT56" s="1445"/>
      <c r="DU56" s="1003">
        <f>IF(DS56=0,0,(DT56-DS56)/DS56*100)</f>
        <v>0</v>
      </c>
      <c r="DV56" s="1445"/>
      <c r="DW56" s="1445"/>
      <c r="DX56" s="1003">
        <f>IF(DV56=0,0,(DW56-DV56)/DV56*100)</f>
        <v>0</v>
      </c>
      <c r="DY56" s="1445"/>
      <c r="DZ56" s="1445"/>
      <c r="EA56" s="1003">
        <f>IF(DY56=0,0,(DZ56-DY56)/DY56*100)</f>
        <v>0</v>
      </c>
      <c r="EB56" s="1445"/>
      <c r="EC56" s="1445"/>
      <c r="ED56" s="1003">
        <f>IF(EB56=0,0,(EC56-EB56)/EB56*100)</f>
        <v>0</v>
      </c>
      <c r="EE56" s="1445"/>
      <c r="EF56" s="1445"/>
      <c r="EG56" s="1003">
        <f>IF(EE56=0,0,(EF56-EE56)/EE56*100)</f>
        <v>0</v>
      </c>
      <c r="EH56" s="1445"/>
      <c r="EI56" s="1445"/>
      <c r="EJ56" s="1003">
        <f>IF(EH56=0,0,(EI56-EH56)/EH56*100)</f>
        <v>0</v>
      </c>
      <c r="EK56" s="1445"/>
      <c r="EL56" s="1445"/>
      <c r="EM56" s="1003">
        <f>IF(EK56=0,0,(EL56-EK56)/EK56*100)</f>
        <v>0</v>
      </c>
      <c r="EN56" s="1445"/>
      <c r="EO56" s="1445"/>
      <c r="EP56" s="1003">
        <f>IF(EN56=0,0,(EO56-EN56)/EN56*100)</f>
        <v>0</v>
      </c>
      <c r="EQ56" s="1445"/>
      <c r="ER56" s="1445"/>
      <c r="ES56" s="1003">
        <f>IF(EQ56=0,0,(ER56-EQ56)/EQ56*100)</f>
        <v>0</v>
      </c>
      <c r="ET56" s="1445"/>
      <c r="EU56" s="1445"/>
      <c r="EV56" s="1003">
        <f>IF(ET56=0,0,(EU56-ET56)/ET56*100)</f>
        <v>0</v>
      </c>
      <c r="EW56" s="1445"/>
      <c r="EX56" s="1445"/>
      <c r="EY56" s="1003">
        <f>IF(EW56=0,0,(EX56-EW56)/EW56*100)</f>
        <v>0</v>
      </c>
      <c r="EZ56" s="1445"/>
      <c r="FA56" s="1445"/>
      <c r="FB56" s="1003">
        <f>IF(EZ56=0,0,(FA56-EZ56)/EZ56*100)</f>
        <v>0</v>
      </c>
      <c r="FC56" s="1445"/>
      <c r="FD56" s="1445"/>
      <c r="FE56" s="1003">
        <f>IF(FC56=0,0,(FD56-FC56)/FC56*100)</f>
        <v>0</v>
      </c>
      <c r="FF56" s="1445"/>
      <c r="FG56" s="1445"/>
      <c r="FH56" s="1003">
        <f>IF(FF56=0,0,(FG56-FF56)/FF56*100)</f>
        <v>0</v>
      </c>
      <c r="FI56" s="1445"/>
      <c r="FJ56" s="1445"/>
      <c r="FK56" s="1003">
        <f>IF(FI56=0,0,(FJ56-FI56)/FI56*100)</f>
        <v>0</v>
      </c>
      <c r="FL56" s="1445"/>
      <c r="FM56" s="1445"/>
      <c r="FN56" s="1003">
        <f>IF(FL56=0,0,(FM56-FL56)/FL56*100)</f>
        <v>0</v>
      </c>
      <c r="FO56" s="1445"/>
      <c r="FP56" s="1445"/>
      <c r="FQ56" s="1003">
        <f>IF(FO56=0,0,(FP56-FO56)/FO56*100)</f>
        <v>0</v>
      </c>
      <c r="FR56" s="1445"/>
      <c r="FS56" s="1445"/>
      <c r="FT56" s="1003">
        <f>IF(FR56=0,0,(FS56-FR56)/FR56*100)</f>
        <v>0</v>
      </c>
      <c r="FU56" s="1445"/>
      <c r="FV56" s="1445"/>
      <c r="FW56" s="1003">
        <f>IF(FU56=0,0,(FV56-FU56)/FU56*100)</f>
        <v>0</v>
      </c>
      <c r="FZ56" s="964" t="s">
        <v>1639</v>
      </c>
    </row>
    <row r="57" spans="1:182" ht="14.65" hidden="1" customHeight="1" x14ac:dyDescent="0.15">
      <c r="A57" s="416"/>
      <c r="B57" s="837" t="b" cm="1">
        <f t="array" ref="B57">B56</f>
        <v>0</v>
      </c>
      <c r="C57" s="416"/>
      <c r="D57" s="416"/>
      <c r="E57" s="759">
        <v>15</v>
      </c>
      <c r="F57" s="3" cm="1">
        <f t="array" aca="1" ref="F57" ca="1">OFFSET(E57,-1,1)</f>
        <v>0</v>
      </c>
      <c r="G57" s="416"/>
      <c r="H57" s="416" t="s">
        <v>1630</v>
      </c>
      <c r="I57" s="416" t="s">
        <v>1591</v>
      </c>
      <c r="J57" s="416"/>
      <c r="K57" s="416"/>
      <c r="L57" s="416"/>
      <c r="M57" s="416"/>
      <c r="N57" s="416"/>
      <c r="O57" s="416"/>
      <c r="P57" s="416"/>
      <c r="Q57" s="416"/>
      <c r="R57" s="416"/>
      <c r="S57" s="416"/>
      <c r="T57" s="388" t="b" cm="1">
        <f t="array" aca="1" ref="T57" ca="1">T56</f>
        <v>0</v>
      </c>
      <c r="U57" s="416"/>
      <c r="V57" s="416"/>
      <c r="W57" s="416"/>
      <c r="X57" s="2066"/>
      <c r="Y57" s="416"/>
      <c r="Z57" s="2011"/>
      <c r="AA57" s="416"/>
      <c r="AB57" s="1001" t="s">
        <v>1631</v>
      </c>
      <c r="AC57" s="783" t="s">
        <v>1632</v>
      </c>
      <c r="AD57" s="1445"/>
      <c r="AE57" s="1445"/>
      <c r="AF57" s="1003">
        <f>IF(AD57=0,0,(AE57-AD57)/AD57*100)</f>
        <v>0</v>
      </c>
      <c r="AG57" s="1445"/>
      <c r="AH57" s="1445"/>
      <c r="AI57" s="1003">
        <f>IF(AG57=0,0,(AH57-AG57)/AG57*100)</f>
        <v>0</v>
      </c>
      <c r="AJ57" s="1445"/>
      <c r="AK57" s="1445"/>
      <c r="AL57" s="1003">
        <f>IF(AJ57=0,0,(AK57-AJ57)/AJ57*100)</f>
        <v>0</v>
      </c>
      <c r="AM57" s="1445"/>
      <c r="AN57" s="1445"/>
      <c r="AO57" s="1003">
        <f>IF(AM57=0,0,(AN57-AM57)/AM57*100)</f>
        <v>0</v>
      </c>
      <c r="AP57" s="1445"/>
      <c r="AQ57" s="1445"/>
      <c r="AR57" s="1003">
        <f>IF(AP57=0,0,(AQ57-AP57)/AP57*100)</f>
        <v>0</v>
      </c>
      <c r="AS57" s="1445"/>
      <c r="AT57" s="1445"/>
      <c r="AU57" s="1003">
        <f>IF(AS57=0,0,(AT57-AS57)/AS57*100)</f>
        <v>0</v>
      </c>
      <c r="AV57" s="1445"/>
      <c r="AW57" s="1445"/>
      <c r="AX57" s="1003">
        <f>IF(AV57=0,0,(AW57-AV57)/AV57*100)</f>
        <v>0</v>
      </c>
      <c r="AY57" s="1445"/>
      <c r="AZ57" s="1445"/>
      <c r="BA57" s="1003">
        <f>IF(AY57=0,0,(AZ57-AY57)/AY57*100)</f>
        <v>0</v>
      </c>
      <c r="BB57" s="1445"/>
      <c r="BC57" s="1445"/>
      <c r="BD57" s="1003">
        <f>IF(BB57=0,0,(BC57-BB57)/BB57*100)</f>
        <v>0</v>
      </c>
      <c r="BE57" s="1445"/>
      <c r="BF57" s="1445"/>
      <c r="BG57" s="1003">
        <f>IF(BE57=0,0,(BF57-BE57)/BE57*100)</f>
        <v>0</v>
      </c>
      <c r="BH57" s="1445"/>
      <c r="BI57" s="1445"/>
      <c r="BJ57" s="1003">
        <f>IF(BH57=0,0,(BI57-BH57)/BH57*100)</f>
        <v>0</v>
      </c>
      <c r="BK57" s="1445"/>
      <c r="BL57" s="1445"/>
      <c r="BM57" s="1003">
        <f>IF(BK57=0,0,(BL57-BK57)/BK57*100)</f>
        <v>0</v>
      </c>
      <c r="BN57" s="1445"/>
      <c r="BO57" s="1445"/>
      <c r="BP57" s="1003">
        <f>IF(BN57=0,0,(BO57-BN57)/BN57*100)</f>
        <v>0</v>
      </c>
      <c r="BQ57" s="1445"/>
      <c r="BR57" s="1445"/>
      <c r="BS57" s="1003">
        <f>IF(BQ57=0,0,(BR57-BQ57)/BQ57*100)</f>
        <v>0</v>
      </c>
      <c r="BT57" s="1445"/>
      <c r="BU57" s="1445"/>
      <c r="BV57" s="1003">
        <f>IF(BT57=0,0,(BU57-BT57)/BT57*100)</f>
        <v>0</v>
      </c>
      <c r="BW57" s="1445"/>
      <c r="BX57" s="1445"/>
      <c r="BY57" s="1003">
        <f>IF(BW57=0,0,(BX57-BW57)/BW57*100)</f>
        <v>0</v>
      </c>
      <c r="BZ57" s="1445"/>
      <c r="CA57" s="1445"/>
      <c r="CB57" s="1003">
        <f>IF(BZ57=0,0,(CA57-BZ57)/BZ57*100)</f>
        <v>0</v>
      </c>
      <c r="CC57" s="1445"/>
      <c r="CD57" s="1445"/>
      <c r="CE57" s="1003">
        <f>IF(CC57=0,0,(CD57-CC57)/CC57*100)</f>
        <v>0</v>
      </c>
      <c r="CF57" s="1445"/>
      <c r="CG57" s="1445"/>
      <c r="CH57" s="1003">
        <f>IF(CF57=0,0,(CG57-CF57)/CF57*100)</f>
        <v>0</v>
      </c>
      <c r="CI57" s="1445"/>
      <c r="CJ57" s="1445"/>
      <c r="CK57" s="1003">
        <f>IF(CI57=0,0,(CJ57-CI57)/CI57*100)</f>
        <v>0</v>
      </c>
      <c r="CL57" s="1445"/>
      <c r="CM57" s="1445"/>
      <c r="CN57" s="1003">
        <f>IF(CL57=0,0,(CM57-CL57)/CL57*100)</f>
        <v>0</v>
      </c>
      <c r="CO57" s="1445"/>
      <c r="CP57" s="1445"/>
      <c r="CQ57" s="1003">
        <f>IF(CO57=0,0,(CP57-CO57)/CO57*100)</f>
        <v>0</v>
      </c>
      <c r="CR57" s="1445"/>
      <c r="CS57" s="1445"/>
      <c r="CT57" s="1003">
        <f>IF(CR57=0,0,(CS57-CR57)/CR57*100)</f>
        <v>0</v>
      </c>
      <c r="CU57" s="1445"/>
      <c r="CV57" s="1445"/>
      <c r="CW57" s="1003">
        <f>IF(CU57=0,0,(CV57-CU57)/CU57*100)</f>
        <v>0</v>
      </c>
      <c r="CX57" s="1445"/>
      <c r="CY57" s="1445"/>
      <c r="CZ57" s="1003">
        <f>IF(CX57=0,0,(CY57-CX57)/CX57*100)</f>
        <v>0</v>
      </c>
      <c r="DA57" s="1445"/>
      <c r="DB57" s="1445"/>
      <c r="DC57" s="1003">
        <f>IF(DA57=0,0,(DB57-DA57)/DA57*100)</f>
        <v>0</v>
      </c>
      <c r="DD57" s="1445"/>
      <c r="DE57" s="1445"/>
      <c r="DF57" s="1003">
        <f>IF(DD57=0,0,(DE57-DD57)/DD57*100)</f>
        <v>0</v>
      </c>
      <c r="DG57" s="1445"/>
      <c r="DH57" s="1445"/>
      <c r="DI57" s="1003">
        <f>IF(DG57=0,0,(DH57-DG57)/DG57*100)</f>
        <v>0</v>
      </c>
      <c r="DJ57" s="1445"/>
      <c r="DK57" s="1445"/>
      <c r="DL57" s="1003">
        <f>IF(DJ57=0,0,(DK57-DJ57)/DJ57*100)</f>
        <v>0</v>
      </c>
      <c r="DM57" s="1445"/>
      <c r="DN57" s="1445"/>
      <c r="DO57" s="1003">
        <f>IF(DM57=0,0,(DN57-DM57)/DM57*100)</f>
        <v>0</v>
      </c>
      <c r="DP57" s="1445"/>
      <c r="DQ57" s="1445"/>
      <c r="DR57" s="1003">
        <f>IF(DP57=0,0,(DQ57-DP57)/DP57*100)</f>
        <v>0</v>
      </c>
      <c r="DS57" s="1445"/>
      <c r="DT57" s="1445"/>
      <c r="DU57" s="1003">
        <f>IF(DS57=0,0,(DT57-DS57)/DS57*100)</f>
        <v>0</v>
      </c>
      <c r="DV57" s="1445"/>
      <c r="DW57" s="1445"/>
      <c r="DX57" s="1003">
        <f>IF(DV57=0,0,(DW57-DV57)/DV57*100)</f>
        <v>0</v>
      </c>
      <c r="DY57" s="1445"/>
      <c r="DZ57" s="1445"/>
      <c r="EA57" s="1003">
        <f>IF(DY57=0,0,(DZ57-DY57)/DY57*100)</f>
        <v>0</v>
      </c>
      <c r="EB57" s="1445"/>
      <c r="EC57" s="1445"/>
      <c r="ED57" s="1003">
        <f>IF(EB57=0,0,(EC57-EB57)/EB57*100)</f>
        <v>0</v>
      </c>
      <c r="EE57" s="1445"/>
      <c r="EF57" s="1445"/>
      <c r="EG57" s="1003">
        <f>IF(EE57=0,0,(EF57-EE57)/EE57*100)</f>
        <v>0</v>
      </c>
      <c r="EH57" s="1445"/>
      <c r="EI57" s="1445"/>
      <c r="EJ57" s="1003">
        <f>IF(EH57=0,0,(EI57-EH57)/EH57*100)</f>
        <v>0</v>
      </c>
      <c r="EK57" s="1445"/>
      <c r="EL57" s="1445"/>
      <c r="EM57" s="1003">
        <f>IF(EK57=0,0,(EL57-EK57)/EK57*100)</f>
        <v>0</v>
      </c>
      <c r="EN57" s="1445"/>
      <c r="EO57" s="1445"/>
      <c r="EP57" s="1003">
        <f>IF(EN57=0,0,(EO57-EN57)/EN57*100)</f>
        <v>0</v>
      </c>
      <c r="EQ57" s="1445"/>
      <c r="ER57" s="1445"/>
      <c r="ES57" s="1003">
        <f>IF(EQ57=0,0,(ER57-EQ57)/EQ57*100)</f>
        <v>0</v>
      </c>
      <c r="ET57" s="1445"/>
      <c r="EU57" s="1445"/>
      <c r="EV57" s="1003">
        <f>IF(ET57=0,0,(EU57-ET57)/ET57*100)</f>
        <v>0</v>
      </c>
      <c r="EW57" s="1445"/>
      <c r="EX57" s="1445"/>
      <c r="EY57" s="1003">
        <f>IF(EW57=0,0,(EX57-EW57)/EW57*100)</f>
        <v>0</v>
      </c>
      <c r="EZ57" s="1445"/>
      <c r="FA57" s="1445"/>
      <c r="FB57" s="1003">
        <f>IF(EZ57=0,0,(FA57-EZ57)/EZ57*100)</f>
        <v>0</v>
      </c>
      <c r="FC57" s="1445"/>
      <c r="FD57" s="1445"/>
      <c r="FE57" s="1003">
        <f>IF(FC57=0,0,(FD57-FC57)/FC57*100)</f>
        <v>0</v>
      </c>
      <c r="FF57" s="1445"/>
      <c r="FG57" s="1445"/>
      <c r="FH57" s="1003">
        <f>IF(FF57=0,0,(FG57-FF57)/FF57*100)</f>
        <v>0</v>
      </c>
      <c r="FI57" s="1445"/>
      <c r="FJ57" s="1445"/>
      <c r="FK57" s="1003">
        <f>IF(FI57=0,0,(FJ57-FI57)/FI57*100)</f>
        <v>0</v>
      </c>
      <c r="FL57" s="1445"/>
      <c r="FM57" s="1445"/>
      <c r="FN57" s="1003">
        <f>IF(FL57=0,0,(FM57-FL57)/FL57*100)</f>
        <v>0</v>
      </c>
      <c r="FO57" s="1445"/>
      <c r="FP57" s="1445"/>
      <c r="FQ57" s="1003">
        <f>IF(FO57=0,0,(FP57-FO57)/FO57*100)</f>
        <v>0</v>
      </c>
      <c r="FR57" s="1445"/>
      <c r="FS57" s="1445"/>
      <c r="FT57" s="1003">
        <f>IF(FR57=0,0,(FS57-FR57)/FR57*100)</f>
        <v>0</v>
      </c>
      <c r="FU57" s="1445"/>
      <c r="FV57" s="1445"/>
      <c r="FW57" s="1003">
        <f>IF(FU57=0,0,(FV57-FU57)/FU57*100)</f>
        <v>0</v>
      </c>
      <c r="FZ57" s="964" t="s">
        <v>1640</v>
      </c>
    </row>
    <row r="58" spans="1:182" ht="23.85" hidden="1" customHeight="1" x14ac:dyDescent="0.15">
      <c r="A58" s="416"/>
      <c r="B58" s="837" t="b" cm="1">
        <f t="array" ref="B58">B57</f>
        <v>0</v>
      </c>
      <c r="C58" s="416"/>
      <c r="D58" s="416"/>
      <c r="E58" s="759">
        <v>24.5</v>
      </c>
      <c r="F58" s="3" cm="1">
        <f t="array" aca="1" ref="F58" ca="1">OFFSET(E58,-1,1)</f>
        <v>0</v>
      </c>
      <c r="G58" s="416"/>
      <c r="H58" s="416"/>
      <c r="I58" s="416"/>
      <c r="J58" s="416"/>
      <c r="K58" s="416"/>
      <c r="L58" s="416"/>
      <c r="M58" s="416"/>
      <c r="N58" s="416"/>
      <c r="O58" s="416"/>
      <c r="P58" s="416"/>
      <c r="Q58" s="416"/>
      <c r="R58" s="416"/>
      <c r="S58" s="416"/>
      <c r="T58" s="388" t="b" cm="1">
        <f t="array" aca="1" ref="T58" ca="1">T57</f>
        <v>0</v>
      </c>
      <c r="U58" s="416"/>
      <c r="V58" s="416"/>
      <c r="W58" s="416"/>
      <c r="X58" s="2066"/>
      <c r="Y58" s="416"/>
      <c r="Z58" s="2011"/>
      <c r="AA58" s="416"/>
      <c r="AB58" s="211" t="s">
        <v>1641</v>
      </c>
      <c r="AC58" s="817"/>
      <c r="AD58" s="1010"/>
      <c r="AE58" s="1010"/>
      <c r="AF58" s="1010"/>
      <c r="AG58" s="1010"/>
      <c r="AH58" s="1010"/>
      <c r="AI58" s="1010"/>
      <c r="AJ58" s="1010"/>
      <c r="AK58" s="1010"/>
      <c r="AL58" s="1010"/>
      <c r="AM58" s="1010"/>
      <c r="AN58" s="1010"/>
      <c r="AO58" s="1010"/>
      <c r="AP58" s="1010"/>
      <c r="AQ58" s="1010"/>
      <c r="AR58" s="1010"/>
      <c r="AS58" s="1010"/>
      <c r="AT58" s="1010"/>
      <c r="AU58" s="1010"/>
      <c r="AV58" s="1010"/>
      <c r="AW58" s="1010"/>
      <c r="AX58" s="1010"/>
      <c r="AY58" s="1010"/>
      <c r="AZ58" s="1010"/>
      <c r="BA58" s="1010"/>
      <c r="BB58" s="1010"/>
      <c r="BC58" s="1010"/>
      <c r="BD58" s="1010"/>
      <c r="BE58" s="1010"/>
      <c r="BF58" s="1010"/>
      <c r="BG58" s="1010"/>
      <c r="BH58" s="1010"/>
      <c r="BI58" s="1010"/>
      <c r="BJ58" s="1010"/>
      <c r="BK58" s="1010"/>
      <c r="BL58" s="1010"/>
      <c r="BM58" s="1010"/>
      <c r="BN58" s="1010"/>
      <c r="BO58" s="1010"/>
      <c r="BP58" s="1010"/>
      <c r="BQ58" s="1010"/>
      <c r="BR58" s="1010"/>
      <c r="BS58" s="1010"/>
      <c r="BT58" s="1010"/>
      <c r="BU58" s="1010"/>
      <c r="BV58" s="1010"/>
      <c r="BW58" s="1010"/>
      <c r="BX58" s="1010"/>
      <c r="BY58" s="1010"/>
      <c r="BZ58" s="1010"/>
      <c r="CA58" s="1010"/>
      <c r="CB58" s="1010"/>
      <c r="CC58" s="1010"/>
      <c r="CD58" s="1010"/>
      <c r="CE58" s="1010"/>
      <c r="CF58" s="1010"/>
      <c r="CG58" s="1010"/>
      <c r="CH58" s="1010"/>
      <c r="CI58" s="1010"/>
      <c r="CJ58" s="1010"/>
      <c r="CK58" s="1010"/>
      <c r="CL58" s="1010"/>
      <c r="CM58" s="1010"/>
      <c r="CN58" s="1010"/>
      <c r="CO58" s="1010"/>
      <c r="CP58" s="1010"/>
      <c r="CQ58" s="1010"/>
      <c r="CR58" s="1010"/>
      <c r="CS58" s="1010"/>
      <c r="CT58" s="1010"/>
      <c r="CU58" s="1010"/>
      <c r="CV58" s="1010"/>
      <c r="CW58" s="1010"/>
      <c r="CX58" s="1010"/>
      <c r="CY58" s="1010"/>
      <c r="CZ58" s="1010"/>
      <c r="DA58" s="1010"/>
      <c r="DB58" s="1010"/>
      <c r="DC58" s="1010"/>
      <c r="DD58" s="1010"/>
      <c r="DE58" s="1010"/>
      <c r="DF58" s="1010"/>
      <c r="DG58" s="1010"/>
      <c r="DH58" s="1010"/>
      <c r="DI58" s="1010"/>
      <c r="DJ58" s="1010"/>
      <c r="DK58" s="1010"/>
      <c r="DL58" s="1010"/>
      <c r="DM58" s="1010"/>
      <c r="DN58" s="1010"/>
      <c r="DO58" s="1010"/>
      <c r="DP58" s="1010"/>
      <c r="DQ58" s="1010"/>
      <c r="DR58" s="1010"/>
      <c r="DS58" s="1010"/>
      <c r="DT58" s="1010"/>
      <c r="DU58" s="1010"/>
      <c r="DV58" s="1010"/>
      <c r="DW58" s="1010"/>
      <c r="DX58" s="1010"/>
      <c r="DY58" s="1010"/>
      <c r="DZ58" s="1010"/>
      <c r="EA58" s="1010"/>
      <c r="EB58" s="1010"/>
      <c r="EC58" s="1010"/>
      <c r="ED58" s="1010"/>
      <c r="EE58" s="1010"/>
      <c r="EF58" s="1010"/>
      <c r="EG58" s="1010"/>
      <c r="EH58" s="1010"/>
      <c r="EI58" s="1010"/>
      <c r="EJ58" s="1010"/>
      <c r="EK58" s="1010"/>
      <c r="EL58" s="1010"/>
      <c r="EM58" s="1010"/>
      <c r="EN58" s="1010"/>
      <c r="EO58" s="1010"/>
      <c r="EP58" s="1010"/>
      <c r="EQ58" s="1010"/>
      <c r="ER58" s="1010"/>
      <c r="ES58" s="1010"/>
      <c r="ET58" s="1010"/>
      <c r="EU58" s="1010"/>
      <c r="EV58" s="1010"/>
      <c r="EW58" s="1010"/>
      <c r="EX58" s="1010"/>
      <c r="EY58" s="1010"/>
      <c r="EZ58" s="1010"/>
      <c r="FA58" s="1010"/>
      <c r="FB58" s="1010"/>
      <c r="FC58" s="1010"/>
      <c r="FD58" s="1010"/>
      <c r="FE58" s="1010"/>
      <c r="FF58" s="1010"/>
      <c r="FG58" s="1010"/>
      <c r="FH58" s="1010"/>
      <c r="FI58" s="1010"/>
      <c r="FJ58" s="1010"/>
      <c r="FK58" s="1010"/>
      <c r="FL58" s="1010"/>
      <c r="FM58" s="1010"/>
      <c r="FN58" s="1010"/>
      <c r="FO58" s="1010"/>
      <c r="FP58" s="1010"/>
      <c r="FQ58" s="1010"/>
      <c r="FR58" s="1010"/>
      <c r="FS58" s="1010"/>
      <c r="FT58" s="1010"/>
      <c r="FU58" s="1010"/>
      <c r="FV58" s="1010"/>
      <c r="FW58" s="1011"/>
      <c r="FZ58" s="964"/>
    </row>
    <row r="59" spans="1:182" ht="14.65" hidden="1" customHeight="1" x14ac:dyDescent="0.15">
      <c r="A59" s="416"/>
      <c r="B59" s="837" t="b" cm="1">
        <f t="array" ref="B59">B58</f>
        <v>0</v>
      </c>
      <c r="C59" s="416"/>
      <c r="D59" s="416"/>
      <c r="E59" s="759">
        <v>15</v>
      </c>
      <c r="F59" s="3" cm="1">
        <f t="array" aca="1" ref="F59" ca="1">OFFSET(E59,-1,1)</f>
        <v>0</v>
      </c>
      <c r="G59" s="416"/>
      <c r="H59" s="416" t="s">
        <v>1529</v>
      </c>
      <c r="I59" s="416" t="s">
        <v>1601</v>
      </c>
      <c r="J59" s="416"/>
      <c r="K59" s="416"/>
      <c r="L59" s="416"/>
      <c r="M59" s="416"/>
      <c r="N59" s="416"/>
      <c r="O59" s="416"/>
      <c r="P59" s="416"/>
      <c r="Q59" s="416"/>
      <c r="R59" s="416"/>
      <c r="S59" s="416"/>
      <c r="T59" s="388" t="b" cm="1">
        <f t="array" aca="1" ref="T59" ca="1">T58</f>
        <v>0</v>
      </c>
      <c r="U59" s="416"/>
      <c r="V59" s="416"/>
      <c r="W59" s="416"/>
      <c r="X59" s="2066"/>
      <c r="Y59" s="416"/>
      <c r="Z59" s="2011"/>
      <c r="AA59" s="416"/>
      <c r="AB59" s="1001" t="s">
        <v>1621</v>
      </c>
      <c r="AC59" s="783" t="s">
        <v>1588</v>
      </c>
      <c r="AD59" s="1445">
        <f ca="1">IF(AD61=0,0,(AD60*AD61+AD62*AD63*IF(god=2026,9,6))/AD61)</f>
        <v>0</v>
      </c>
      <c r="AE59" s="1445">
        <f ca="1">IF(AE61=0,0,(AE60*AE61+AE62*AE63*IF(god=2026,9,6))/AE61)</f>
        <v>0</v>
      </c>
      <c r="AF59" s="1003">
        <f ca="1">IF(AD59=0,0,(AE59-AD59)/AD59*100)</f>
        <v>0</v>
      </c>
      <c r="AG59" s="1445">
        <f ca="1">IF(AG61=0,0,(AG60*AG61+AG62*AG63*IF(god=2025,9,6))/AG61)</f>
        <v>0</v>
      </c>
      <c r="AH59" s="1445">
        <f ca="1">IF(AH61=0,0,(AH60*AH61+AH62*AH63*IF(god=2025,9,6))/AH61)</f>
        <v>0</v>
      </c>
      <c r="AI59" s="1003">
        <f ca="1">IF(AG59=0,0,(AH59-AG59)/AG59*100)</f>
        <v>0</v>
      </c>
      <c r="AJ59" s="1445">
        <f ca="1">IF(AJ61=0,0,(AJ60*AJ61+AJ62*AJ63*6)/AJ61)</f>
        <v>0</v>
      </c>
      <c r="AK59" s="1445">
        <f ca="1">IF(AK61=0,0,(AK60*AK61+AK62*AK63*6)/AK61)</f>
        <v>0</v>
      </c>
      <c r="AL59" s="1003">
        <f ca="1">IF(AJ59=0,0,(AK59-AJ59)/AJ59*100)</f>
        <v>0</v>
      </c>
      <c r="AM59" s="1445">
        <f ca="1">IF(AM61=0,0,(AM60*AM61+AM62*AM63*6)/AM61)</f>
        <v>0</v>
      </c>
      <c r="AN59" s="1445">
        <f ca="1">IF(AN61=0,0,(AN60*AN61+AN62*AN63*6)/AN61)</f>
        <v>0</v>
      </c>
      <c r="AO59" s="1003">
        <f ca="1">IF(AM59=0,0,(AN59-AM59)/AM59*100)</f>
        <v>0</v>
      </c>
      <c r="AP59" s="1445">
        <f ca="1">IF(AP61=0,0,(AP60*AP61+AP62*AP63*6)/AP61)</f>
        <v>0</v>
      </c>
      <c r="AQ59" s="1445">
        <f ca="1">IF(AQ61=0,0,(AQ60*AQ61+AQ62*AQ63*6)/AQ61)</f>
        <v>0</v>
      </c>
      <c r="AR59" s="1003">
        <f ca="1">IF(AP59=0,0,(AQ59-AP59)/AP59*100)</f>
        <v>0</v>
      </c>
      <c r="AS59" s="1445">
        <f ca="1">IF(AS61=0,0,(AS60*AS61+AS62*AS63*6)/AS61)</f>
        <v>0</v>
      </c>
      <c r="AT59" s="1445">
        <f ca="1">IF(AT61=0,0,(AT60*AT61+AT62*AT63*6)/AT61)</f>
        <v>0</v>
      </c>
      <c r="AU59" s="1003">
        <f ca="1">IF(AS59=0,0,(AT59-AS59)/AS59*100)</f>
        <v>0</v>
      </c>
      <c r="AV59" s="1445">
        <f ca="1">IF(AV61=0,0,(AV60*AV61+AV62*AV63*6)/AV61)</f>
        <v>0</v>
      </c>
      <c r="AW59" s="1445">
        <f ca="1">IF(AW61=0,0,(AW60*AW61+AW62*AW63*6)/AW61)</f>
        <v>0</v>
      </c>
      <c r="AX59" s="1003">
        <f ca="1">IF(AV59=0,0,(AW59-AV59)/AV59*100)</f>
        <v>0</v>
      </c>
      <c r="AY59" s="1445">
        <f ca="1">IF(AY61=0,0,(AY60*AY61+AY62*AY63*6)/AY61)</f>
        <v>0</v>
      </c>
      <c r="AZ59" s="1445">
        <f ca="1">IF(AZ61=0,0,(AZ60*AZ61+AZ62*AZ63*6)/AZ61)</f>
        <v>0</v>
      </c>
      <c r="BA59" s="1003">
        <f ca="1">IF(AY59=0,0,(AZ59-AY59)/AY59*100)</f>
        <v>0</v>
      </c>
      <c r="BB59" s="1445">
        <f ca="1">IF(BB61=0,0,(BB60*BB61+BB62*BB63*6)/BB61)</f>
        <v>0</v>
      </c>
      <c r="BC59" s="1445">
        <f ca="1">IF(BC61=0,0,(BC60*BC61+BC62*BC63*6)/BC61)</f>
        <v>0</v>
      </c>
      <c r="BD59" s="1003">
        <f ca="1">IF(BB59=0,0,(BC59-BB59)/BB59*100)</f>
        <v>0</v>
      </c>
      <c r="BE59" s="1445">
        <f ca="1">IF(BE61=0,0,(BE60*BE61+BE62*BE63*6)/BE61)</f>
        <v>0</v>
      </c>
      <c r="BF59" s="1445">
        <f ca="1">IF(BF61=0,0,(BF60*BF61+BF62*BF63*6)/BF61)</f>
        <v>0</v>
      </c>
      <c r="BG59" s="1003">
        <f ca="1">IF(BE59=0,0,(BF59-BE59)/BE59*100)</f>
        <v>0</v>
      </c>
      <c r="BH59" s="1445">
        <f>IF(BH61=0,0,(BH60*BH61+BH62*BH63*6)/BH61)</f>
        <v>0</v>
      </c>
      <c r="BI59" s="1445">
        <f>IF(BI61=0,0,(BI60*BI61+BI62*BI63*6)/BI61)</f>
        <v>0</v>
      </c>
      <c r="BJ59" s="1003">
        <f>IF(BH59=0,0,(BI59-BH59)/BH59*100)</f>
        <v>0</v>
      </c>
      <c r="BK59" s="1445">
        <f>IF(BK61=0,0,(BK60*BK61+BK62*BK63*6)/BK61)</f>
        <v>0</v>
      </c>
      <c r="BL59" s="1445">
        <f>IF(BL61=0,0,(BL60*BL61+BL62*BL63*6)/BL61)</f>
        <v>0</v>
      </c>
      <c r="BM59" s="1003">
        <f>IF(BK59=0,0,(BL59-BK59)/BK59*100)</f>
        <v>0</v>
      </c>
      <c r="BN59" s="1445">
        <f>IF(BN61=0,0,(BN60*BN61+BN62*BN63*6)/BN61)</f>
        <v>0</v>
      </c>
      <c r="BO59" s="1445">
        <f>IF(BO61=0,0,(BO60*BO61+BO62*BO63*6)/BO61)</f>
        <v>0</v>
      </c>
      <c r="BP59" s="1003">
        <f>IF(BN59=0,0,(BO59-BN59)/BN59*100)</f>
        <v>0</v>
      </c>
      <c r="BQ59" s="1445">
        <f>IF(BQ61=0,0,(BQ60*BQ61+BQ62*BQ63*6)/BQ61)</f>
        <v>0</v>
      </c>
      <c r="BR59" s="1445">
        <f>IF(BR61=0,0,(BR60*BR61+BR62*BR63*6)/BR61)</f>
        <v>0</v>
      </c>
      <c r="BS59" s="1003">
        <f>IF(BQ59=0,0,(BR59-BQ59)/BQ59*100)</f>
        <v>0</v>
      </c>
      <c r="BT59" s="1445">
        <f>IF(BT61=0,0,(BT60*BT61+BT62*BT63*6)/BT61)</f>
        <v>0</v>
      </c>
      <c r="BU59" s="1445">
        <f>IF(BU61=0,0,(BU60*BU61+BU62*BU63*6)/BU61)</f>
        <v>0</v>
      </c>
      <c r="BV59" s="1003">
        <f>IF(BT59=0,0,(BU59-BT59)/BT59*100)</f>
        <v>0</v>
      </c>
      <c r="BW59" s="1445">
        <f>IF(BW61=0,0,(BW60*BW61+BW62*BW63*6)/BW61)</f>
        <v>0</v>
      </c>
      <c r="BX59" s="1445">
        <f>IF(BX61=0,0,(BX60*BX61+BX62*BX63*6)/BX61)</f>
        <v>0</v>
      </c>
      <c r="BY59" s="1003">
        <f>IF(BW59=0,0,(BX59-BW59)/BW59*100)</f>
        <v>0</v>
      </c>
      <c r="BZ59" s="1445">
        <f>IF(BZ61=0,0,(BZ60*BZ61+BZ62*BZ63*6)/BZ61)</f>
        <v>0</v>
      </c>
      <c r="CA59" s="1445">
        <f>IF(CA61=0,0,(CA60*CA61+CA62*CA63*6)/CA61)</f>
        <v>0</v>
      </c>
      <c r="CB59" s="1003">
        <f>IF(BZ59=0,0,(CA59-BZ59)/BZ59*100)</f>
        <v>0</v>
      </c>
      <c r="CC59" s="1445">
        <f>IF(CC61=0,0,(CC60*CC61+CC62*CC63*6)/CC61)</f>
        <v>0</v>
      </c>
      <c r="CD59" s="1445">
        <f>IF(CD61=0,0,(CD60*CD61+CD62*CD63*6)/CD61)</f>
        <v>0</v>
      </c>
      <c r="CE59" s="1003">
        <f>IF(CC59=0,0,(CD59-CC59)/CC59*100)</f>
        <v>0</v>
      </c>
      <c r="CF59" s="1445">
        <f>IF(CF61=0,0,(CF60*CF61+CF62*CF63*6)/CF61)</f>
        <v>0</v>
      </c>
      <c r="CG59" s="1445">
        <f>IF(CG61=0,0,(CG60*CG61+CG62*CG63*6)/CG61)</f>
        <v>0</v>
      </c>
      <c r="CH59" s="1003">
        <f>IF(CF59=0,0,(CG59-CF59)/CF59*100)</f>
        <v>0</v>
      </c>
      <c r="CI59" s="1445">
        <f>IF(CI61=0,0,(CI60*CI61+CI62*CI63*6)/CI61)</f>
        <v>0</v>
      </c>
      <c r="CJ59" s="1445">
        <f>IF(CJ61=0,0,(CJ60*CJ61+CJ62*CJ63*6)/CJ61)</f>
        <v>0</v>
      </c>
      <c r="CK59" s="1003">
        <f>IF(CI59=0,0,(CJ59-CI59)/CI59*100)</f>
        <v>0</v>
      </c>
      <c r="CL59" s="1445">
        <f>IF(CL61=0,0,(CL60*CL61+CL62*CL63*6)/CL61)</f>
        <v>0</v>
      </c>
      <c r="CM59" s="1445">
        <f>IF(CM61=0,0,(CM60*CM61+CM62*CM63*6)/CM61)</f>
        <v>0</v>
      </c>
      <c r="CN59" s="1003">
        <f>IF(CL59=0,0,(CM59-CL59)/CL59*100)</f>
        <v>0</v>
      </c>
      <c r="CO59" s="1445">
        <f>IF(CO61=0,0,(CO60*CO61+CO62*CO63*6)/CO61)</f>
        <v>0</v>
      </c>
      <c r="CP59" s="1445">
        <f>IF(CP61=0,0,(CP60*CP61+CP62*CP63*6)/CP61)</f>
        <v>0</v>
      </c>
      <c r="CQ59" s="1003">
        <f>IF(CO59=0,0,(CP59-CO59)/CO59*100)</f>
        <v>0</v>
      </c>
      <c r="CR59" s="1445">
        <f>IF(CR61=0,0,(CR60*CR61+CR62*CR63*6)/CR61)</f>
        <v>0</v>
      </c>
      <c r="CS59" s="1445">
        <f>IF(CS61=0,0,(CS60*CS61+CS62*CS63*6)/CS61)</f>
        <v>0</v>
      </c>
      <c r="CT59" s="1003">
        <f>IF(CR59=0,0,(CS59-CR59)/CR59*100)</f>
        <v>0</v>
      </c>
      <c r="CU59" s="1445">
        <f>IF(CU61=0,0,(CU60*CU61+CU62*CU63*6)/CU61)</f>
        <v>0</v>
      </c>
      <c r="CV59" s="1445">
        <f>IF(CV61=0,0,(CV60*CV61+CV62*CV63*6)/CV61)</f>
        <v>0</v>
      </c>
      <c r="CW59" s="1003">
        <f>IF(CU59=0,0,(CV59-CU59)/CU59*100)</f>
        <v>0</v>
      </c>
      <c r="CX59" s="1445">
        <f>IF(CX61=0,0,(CX60*CX61+CX62*CX63*6)/CX61)</f>
        <v>0</v>
      </c>
      <c r="CY59" s="1445">
        <f>IF(CY61=0,0,(CY60*CY61+CY62*CY63*6)/CY61)</f>
        <v>0</v>
      </c>
      <c r="CZ59" s="1003">
        <f>IF(CX59=0,0,(CY59-CX59)/CX59*100)</f>
        <v>0</v>
      </c>
      <c r="DA59" s="1445">
        <f>IF(DA61=0,0,(DA60*DA61+DA62*DA63*6)/DA61)</f>
        <v>0</v>
      </c>
      <c r="DB59" s="1445">
        <f>IF(DB61=0,0,(DB60*DB61+DB62*DB63*6)/DB61)</f>
        <v>0</v>
      </c>
      <c r="DC59" s="1003">
        <f>IF(DA59=0,0,(DB59-DA59)/DA59*100)</f>
        <v>0</v>
      </c>
      <c r="DD59" s="1445">
        <f>IF(DD61=0,0,(DD60*DD61+DD62*DD63*6)/DD61)</f>
        <v>0</v>
      </c>
      <c r="DE59" s="1445">
        <f>IF(DE61=0,0,(DE60*DE61+DE62*DE63*6)/DE61)</f>
        <v>0</v>
      </c>
      <c r="DF59" s="1003">
        <f>IF(DD59=0,0,(DE59-DD59)/DD59*100)</f>
        <v>0</v>
      </c>
      <c r="DG59" s="1445">
        <f>IF(DG61=0,0,(DG60*DG61+DG62*DG63*6)/DG61)</f>
        <v>0</v>
      </c>
      <c r="DH59" s="1445">
        <f>IF(DH61=0,0,(DH60*DH61+DH62*DH63*6)/DH61)</f>
        <v>0</v>
      </c>
      <c r="DI59" s="1003">
        <f>IF(DG59=0,0,(DH59-DG59)/DG59*100)</f>
        <v>0</v>
      </c>
      <c r="DJ59" s="1445">
        <f>IF(DJ61=0,0,(DJ60*DJ61+DJ62*DJ63*6)/DJ61)</f>
        <v>0</v>
      </c>
      <c r="DK59" s="1445">
        <f>IF(DK61=0,0,(DK60*DK61+DK62*DK63*6)/DK61)</f>
        <v>0</v>
      </c>
      <c r="DL59" s="1003">
        <f>IF(DJ59=0,0,(DK59-DJ59)/DJ59*100)</f>
        <v>0</v>
      </c>
      <c r="DM59" s="1445">
        <f>IF(DM61=0,0,(DM60*DM61+DM62*DM63*6)/DM61)</f>
        <v>0</v>
      </c>
      <c r="DN59" s="1445">
        <f>IF(DN61=0,0,(DN60*DN61+DN62*DN63*6)/DN61)</f>
        <v>0</v>
      </c>
      <c r="DO59" s="1003">
        <f>IF(DM59=0,0,(DN59-DM59)/DM59*100)</f>
        <v>0</v>
      </c>
      <c r="DP59" s="1445">
        <f>IF(DP61=0,0,(DP60*DP61+DP62*DP63*6)/DP61)</f>
        <v>0</v>
      </c>
      <c r="DQ59" s="1445">
        <f>IF(DQ61=0,0,(DQ60*DQ61+DQ62*DQ63*6)/DQ61)</f>
        <v>0</v>
      </c>
      <c r="DR59" s="1003">
        <f>IF(DP59=0,0,(DQ59-DP59)/DP59*100)</f>
        <v>0</v>
      </c>
      <c r="DS59" s="1445">
        <f>IF(DS61=0,0,(DS60*DS61+DS62*DS63*6)/DS61)</f>
        <v>0</v>
      </c>
      <c r="DT59" s="1445">
        <f>IF(DT61=0,0,(DT60*DT61+DT62*DT63*6)/DT61)</f>
        <v>0</v>
      </c>
      <c r="DU59" s="1003">
        <f>IF(DS59=0,0,(DT59-DS59)/DS59*100)</f>
        <v>0</v>
      </c>
      <c r="DV59" s="1445">
        <f>IF(DV61=0,0,(DV60*DV61+DV62*DV63*6)/DV61)</f>
        <v>0</v>
      </c>
      <c r="DW59" s="1445">
        <f>IF(DW61=0,0,(DW60*DW61+DW62*DW63*6)/DW61)</f>
        <v>0</v>
      </c>
      <c r="DX59" s="1003">
        <f>IF(DV59=0,0,(DW59-DV59)/DV59*100)</f>
        <v>0</v>
      </c>
      <c r="DY59" s="1445">
        <f>IF(DY61=0,0,(DY60*DY61+DY62*DY63*6)/DY61)</f>
        <v>0</v>
      </c>
      <c r="DZ59" s="1445">
        <f>IF(DZ61=0,0,(DZ60*DZ61+DZ62*DZ63*6)/DZ61)</f>
        <v>0</v>
      </c>
      <c r="EA59" s="1003">
        <f>IF(DY59=0,0,(DZ59-DY59)/DY59*100)</f>
        <v>0</v>
      </c>
      <c r="EB59" s="1445">
        <f>IF(EB61=0,0,(EB60*EB61+EB62*EB63*6)/EB61)</f>
        <v>0</v>
      </c>
      <c r="EC59" s="1445">
        <f>IF(EC61=0,0,(EC60*EC61+EC62*EC63*6)/EC61)</f>
        <v>0</v>
      </c>
      <c r="ED59" s="1003">
        <f>IF(EB59=0,0,(EC59-EB59)/EB59*100)</f>
        <v>0</v>
      </c>
      <c r="EE59" s="1445">
        <f>IF(EE61=0,0,(EE60*EE61+EE62*EE63*6)/EE61)</f>
        <v>0</v>
      </c>
      <c r="EF59" s="1445">
        <f>IF(EF61=0,0,(EF60*EF61+EF62*EF63*6)/EF61)</f>
        <v>0</v>
      </c>
      <c r="EG59" s="1003">
        <f>IF(EE59=0,0,(EF59-EE59)/EE59*100)</f>
        <v>0</v>
      </c>
      <c r="EH59" s="1445">
        <f>IF(EH61=0,0,(EH60*EH61+EH62*EH63*6)/EH61)</f>
        <v>0</v>
      </c>
      <c r="EI59" s="1445">
        <f>IF(EI61=0,0,(EI60*EI61+EI62*EI63*6)/EI61)</f>
        <v>0</v>
      </c>
      <c r="EJ59" s="1003">
        <f>IF(EH59=0,0,(EI59-EH59)/EH59*100)</f>
        <v>0</v>
      </c>
      <c r="EK59" s="1445">
        <f>IF(EK61=0,0,(EK60*EK61+EK62*EK63*6)/EK61)</f>
        <v>0</v>
      </c>
      <c r="EL59" s="1445">
        <f>IF(EL61=0,0,(EL60*EL61+EL62*EL63*6)/EL61)</f>
        <v>0</v>
      </c>
      <c r="EM59" s="1003">
        <f>IF(EK59=0,0,(EL59-EK59)/EK59*100)</f>
        <v>0</v>
      </c>
      <c r="EN59" s="1445">
        <f>IF(EN61=0,0,(EN60*EN61+EN62*EN63*6)/EN61)</f>
        <v>0</v>
      </c>
      <c r="EO59" s="1445">
        <f>IF(EO61=0,0,(EO60*EO61+EO62*EO63*6)/EO61)</f>
        <v>0</v>
      </c>
      <c r="EP59" s="1003">
        <f>IF(EN59=0,0,(EO59-EN59)/EN59*100)</f>
        <v>0</v>
      </c>
      <c r="EQ59" s="1445">
        <f>IF(EQ61=0,0,(EQ60*EQ61+EQ62*EQ63*6)/EQ61)</f>
        <v>0</v>
      </c>
      <c r="ER59" s="1445">
        <f>IF(ER61=0,0,(ER60*ER61+ER62*ER63*6)/ER61)</f>
        <v>0</v>
      </c>
      <c r="ES59" s="1003">
        <f>IF(EQ59=0,0,(ER59-EQ59)/EQ59*100)</f>
        <v>0</v>
      </c>
      <c r="ET59" s="1445">
        <f>IF(ET61=0,0,(ET60*ET61+ET62*ET63*6)/ET61)</f>
        <v>0</v>
      </c>
      <c r="EU59" s="1445">
        <f>IF(EU61=0,0,(EU60*EU61+EU62*EU63*6)/EU61)</f>
        <v>0</v>
      </c>
      <c r="EV59" s="1003">
        <f>IF(ET59=0,0,(EU59-ET59)/ET59*100)</f>
        <v>0</v>
      </c>
      <c r="EW59" s="1445">
        <f>IF(EW61=0,0,(EW60*EW61+EW62*EW63*6)/EW61)</f>
        <v>0</v>
      </c>
      <c r="EX59" s="1445">
        <f>IF(EX61=0,0,(EX60*EX61+EX62*EX63*6)/EX61)</f>
        <v>0</v>
      </c>
      <c r="EY59" s="1003">
        <f>IF(EW59=0,0,(EX59-EW59)/EW59*100)</f>
        <v>0</v>
      </c>
      <c r="EZ59" s="1445">
        <f>IF(EZ61=0,0,(EZ60*EZ61+EZ62*EZ63*6)/EZ61)</f>
        <v>0</v>
      </c>
      <c r="FA59" s="1445">
        <f>IF(FA61=0,0,(FA60*FA61+FA62*FA63*6)/FA61)</f>
        <v>0</v>
      </c>
      <c r="FB59" s="1003">
        <f>IF(EZ59=0,0,(FA59-EZ59)/EZ59*100)</f>
        <v>0</v>
      </c>
      <c r="FC59" s="1445">
        <f>IF(FC61=0,0,(FC60*FC61+FC62*FC63*6)/FC61)</f>
        <v>0</v>
      </c>
      <c r="FD59" s="1445">
        <f>IF(FD61=0,0,(FD60*FD61+FD62*FD63*6)/FD61)</f>
        <v>0</v>
      </c>
      <c r="FE59" s="1003">
        <f>IF(FC59=0,0,(FD59-FC59)/FC59*100)</f>
        <v>0</v>
      </c>
      <c r="FF59" s="1445">
        <f>IF(FF61=0,0,(FF60*FF61+FF62*FF63*6)/FF61)</f>
        <v>0</v>
      </c>
      <c r="FG59" s="1445">
        <f>IF(FG61=0,0,(FG60*FG61+FG62*FG63*6)/FG61)</f>
        <v>0</v>
      </c>
      <c r="FH59" s="1003">
        <f>IF(FF59=0,0,(FG59-FF59)/FF59*100)</f>
        <v>0</v>
      </c>
      <c r="FI59" s="1445">
        <f>IF(FI61=0,0,(FI60*FI61+FI62*FI63*6)/FI61)</f>
        <v>0</v>
      </c>
      <c r="FJ59" s="1445">
        <f>IF(FJ61=0,0,(FJ60*FJ61+FJ62*FJ63*6)/FJ61)</f>
        <v>0</v>
      </c>
      <c r="FK59" s="1003">
        <f>IF(FI59=0,0,(FJ59-FI59)/FI59*100)</f>
        <v>0</v>
      </c>
      <c r="FL59" s="1445">
        <f>IF(FL61=0,0,(FL60*FL61+FL62*FL63*6)/FL61)</f>
        <v>0</v>
      </c>
      <c r="FM59" s="1445">
        <f>IF(FM61=0,0,(FM60*FM61+FM62*FM63*6)/FM61)</f>
        <v>0</v>
      </c>
      <c r="FN59" s="1003">
        <f>IF(FL59=0,0,(FM59-FL59)/FL59*100)</f>
        <v>0</v>
      </c>
      <c r="FO59" s="1445">
        <f>IF(FO61=0,0,(FO60*FO61+FO62*FO63*6)/FO61)</f>
        <v>0</v>
      </c>
      <c r="FP59" s="1445">
        <f>IF(FP61=0,0,(FP60*FP61+FP62*FP63*6)/FP61)</f>
        <v>0</v>
      </c>
      <c r="FQ59" s="1003">
        <f>IF(FO59=0,0,(FP59-FO59)/FO59*100)</f>
        <v>0</v>
      </c>
      <c r="FR59" s="1445">
        <f>IF(FR61=0,0,(FR60*FR61+FR62*FR63*6)/FR61)</f>
        <v>0</v>
      </c>
      <c r="FS59" s="1445">
        <f>IF(FS61=0,0,(FS60*FS61+FS62*FS63*6)/FS61)</f>
        <v>0</v>
      </c>
      <c r="FT59" s="1003">
        <f>IF(FR59=0,0,(FS59-FR59)/FR59*100)</f>
        <v>0</v>
      </c>
      <c r="FU59" s="1445">
        <f>IF(FU61=0,0,(FU60*FU61+FU62*FU63*6)/FU61)</f>
        <v>0</v>
      </c>
      <c r="FV59" s="1445">
        <f>IF(FV61=0,0,(FV60*FV61+FV62*FV63*6)/FV61)</f>
        <v>0</v>
      </c>
      <c r="FW59" s="1003">
        <f>IF(FU59=0,0,(FV59-FU59)/FU59*100)</f>
        <v>0</v>
      </c>
      <c r="FZ59" s="964" t="s">
        <v>1642</v>
      </c>
    </row>
    <row r="60" spans="1:182" ht="14.65" hidden="1" customHeight="1" x14ac:dyDescent="0.15">
      <c r="A60" s="416"/>
      <c r="B60" s="837" t="b" cm="1">
        <f t="array" ref="B60">B59</f>
        <v>0</v>
      </c>
      <c r="C60" s="416"/>
      <c r="D60" s="416"/>
      <c r="E60" s="759">
        <v>15</v>
      </c>
      <c r="F60" s="3" cm="1">
        <f t="array" aca="1" ref="F60" ca="1">OFFSET(E60,-1,1)</f>
        <v>0</v>
      </c>
      <c r="G60" s="416"/>
      <c r="H60" s="416" t="s">
        <v>1533</v>
      </c>
      <c r="I60" s="416" t="s">
        <v>1601</v>
      </c>
      <c r="J60" s="416"/>
      <c r="K60" s="416"/>
      <c r="L60" s="416"/>
      <c r="M60" s="416"/>
      <c r="N60" s="416"/>
      <c r="O60" s="416"/>
      <c r="P60" s="416"/>
      <c r="Q60" s="416"/>
      <c r="R60" s="416"/>
      <c r="S60" s="416"/>
      <c r="T60" s="388" t="b" cm="1">
        <f t="array" aca="1" ref="T60" ca="1">T59</f>
        <v>0</v>
      </c>
      <c r="U60" s="416"/>
      <c r="V60" s="416"/>
      <c r="W60" s="416"/>
      <c r="X60" s="2066"/>
      <c r="Y60" s="416"/>
      <c r="Z60" s="2011"/>
      <c r="AA60" s="416"/>
      <c r="AB60" s="1001" t="str">
        <f>"ставка платы за "&amp;IF(Q29="Водоснабжение","потребление 1 куб.м холодной воды","объем принятых сточных вод")</f>
        <v>ставка платы за объем принятых сточных вод</v>
      </c>
      <c r="AC60" s="783" t="s">
        <v>1588</v>
      </c>
      <c r="AD60" s="1445"/>
      <c r="AE60" s="1445"/>
      <c r="AF60" s="1003">
        <f>IF(AD60=0,0,(AE60-AD60)/AD60*100)</f>
        <v>0</v>
      </c>
      <c r="AG60" s="1445"/>
      <c r="AH60" s="1445"/>
      <c r="AI60" s="1003">
        <f>IF(AG60=0,0,(AH60-AG60)/AG60*100)</f>
        <v>0</v>
      </c>
      <c r="AJ60" s="1445"/>
      <c r="AK60" s="1445"/>
      <c r="AL60" s="1003">
        <f>IF(AJ60=0,0,(AK60-AJ60)/AJ60*100)</f>
        <v>0</v>
      </c>
      <c r="AM60" s="1445"/>
      <c r="AN60" s="1445"/>
      <c r="AO60" s="1003">
        <f>IF(AM60=0,0,(AN60-AM60)/AM60*100)</f>
        <v>0</v>
      </c>
      <c r="AP60" s="1445"/>
      <c r="AQ60" s="1445"/>
      <c r="AR60" s="1003">
        <f>IF(AP60=0,0,(AQ60-AP60)/AP60*100)</f>
        <v>0</v>
      </c>
      <c r="AS60" s="1445"/>
      <c r="AT60" s="1445"/>
      <c r="AU60" s="1003">
        <f>IF(AS60=0,0,(AT60-AS60)/AS60*100)</f>
        <v>0</v>
      </c>
      <c r="AV60" s="1445"/>
      <c r="AW60" s="1445"/>
      <c r="AX60" s="1003">
        <f>IF(AV60=0,0,(AW60-AV60)/AV60*100)</f>
        <v>0</v>
      </c>
      <c r="AY60" s="1445"/>
      <c r="AZ60" s="1445"/>
      <c r="BA60" s="1003">
        <f>IF(AY60=0,0,(AZ60-AY60)/AY60*100)</f>
        <v>0</v>
      </c>
      <c r="BB60" s="1445"/>
      <c r="BC60" s="1445"/>
      <c r="BD60" s="1003">
        <f>IF(BB60=0,0,(BC60-BB60)/BB60*100)</f>
        <v>0</v>
      </c>
      <c r="BE60" s="1445"/>
      <c r="BF60" s="1445"/>
      <c r="BG60" s="1003">
        <f>IF(BE60=0,0,(BF60-BE60)/BE60*100)</f>
        <v>0</v>
      </c>
      <c r="BH60" s="1445"/>
      <c r="BI60" s="1445"/>
      <c r="BJ60" s="1003">
        <f>IF(BH60=0,0,(BI60-BH60)/BH60*100)</f>
        <v>0</v>
      </c>
      <c r="BK60" s="1445"/>
      <c r="BL60" s="1445"/>
      <c r="BM60" s="1003">
        <f>IF(BK60=0,0,(BL60-BK60)/BK60*100)</f>
        <v>0</v>
      </c>
      <c r="BN60" s="1445"/>
      <c r="BO60" s="1445"/>
      <c r="BP60" s="1003">
        <f>IF(BN60=0,0,(BO60-BN60)/BN60*100)</f>
        <v>0</v>
      </c>
      <c r="BQ60" s="1445"/>
      <c r="BR60" s="1445"/>
      <c r="BS60" s="1003">
        <f>IF(BQ60=0,0,(BR60-BQ60)/BQ60*100)</f>
        <v>0</v>
      </c>
      <c r="BT60" s="1445"/>
      <c r="BU60" s="1445"/>
      <c r="BV60" s="1003">
        <f>IF(BT60=0,0,(BU60-BT60)/BT60*100)</f>
        <v>0</v>
      </c>
      <c r="BW60" s="1445"/>
      <c r="BX60" s="1445"/>
      <c r="BY60" s="1003">
        <f>IF(BW60=0,0,(BX60-BW60)/BW60*100)</f>
        <v>0</v>
      </c>
      <c r="BZ60" s="1445"/>
      <c r="CA60" s="1445"/>
      <c r="CB60" s="1003">
        <f>IF(BZ60=0,0,(CA60-BZ60)/BZ60*100)</f>
        <v>0</v>
      </c>
      <c r="CC60" s="1445"/>
      <c r="CD60" s="1445"/>
      <c r="CE60" s="1003">
        <f>IF(CC60=0,0,(CD60-CC60)/CC60*100)</f>
        <v>0</v>
      </c>
      <c r="CF60" s="1445"/>
      <c r="CG60" s="1445"/>
      <c r="CH60" s="1003">
        <f>IF(CF60=0,0,(CG60-CF60)/CF60*100)</f>
        <v>0</v>
      </c>
      <c r="CI60" s="1445"/>
      <c r="CJ60" s="1445"/>
      <c r="CK60" s="1003">
        <f>IF(CI60=0,0,(CJ60-CI60)/CI60*100)</f>
        <v>0</v>
      </c>
      <c r="CL60" s="1445"/>
      <c r="CM60" s="1445"/>
      <c r="CN60" s="1003">
        <f>IF(CL60=0,0,(CM60-CL60)/CL60*100)</f>
        <v>0</v>
      </c>
      <c r="CO60" s="1445"/>
      <c r="CP60" s="1445"/>
      <c r="CQ60" s="1003">
        <f>IF(CO60=0,0,(CP60-CO60)/CO60*100)</f>
        <v>0</v>
      </c>
      <c r="CR60" s="1445"/>
      <c r="CS60" s="1445"/>
      <c r="CT60" s="1003">
        <f>IF(CR60=0,0,(CS60-CR60)/CR60*100)</f>
        <v>0</v>
      </c>
      <c r="CU60" s="1445"/>
      <c r="CV60" s="1445"/>
      <c r="CW60" s="1003">
        <f>IF(CU60=0,0,(CV60-CU60)/CU60*100)</f>
        <v>0</v>
      </c>
      <c r="CX60" s="1445"/>
      <c r="CY60" s="1445"/>
      <c r="CZ60" s="1003">
        <f>IF(CX60=0,0,(CY60-CX60)/CX60*100)</f>
        <v>0</v>
      </c>
      <c r="DA60" s="1445"/>
      <c r="DB60" s="1445"/>
      <c r="DC60" s="1003">
        <f>IF(DA60=0,0,(DB60-DA60)/DA60*100)</f>
        <v>0</v>
      </c>
      <c r="DD60" s="1445"/>
      <c r="DE60" s="1445"/>
      <c r="DF60" s="1003">
        <f>IF(DD60=0,0,(DE60-DD60)/DD60*100)</f>
        <v>0</v>
      </c>
      <c r="DG60" s="1445"/>
      <c r="DH60" s="1445"/>
      <c r="DI60" s="1003">
        <f>IF(DG60=0,0,(DH60-DG60)/DG60*100)</f>
        <v>0</v>
      </c>
      <c r="DJ60" s="1445"/>
      <c r="DK60" s="1445"/>
      <c r="DL60" s="1003">
        <f>IF(DJ60=0,0,(DK60-DJ60)/DJ60*100)</f>
        <v>0</v>
      </c>
      <c r="DM60" s="1445"/>
      <c r="DN60" s="1445"/>
      <c r="DO60" s="1003">
        <f>IF(DM60=0,0,(DN60-DM60)/DM60*100)</f>
        <v>0</v>
      </c>
      <c r="DP60" s="1445"/>
      <c r="DQ60" s="1445"/>
      <c r="DR60" s="1003">
        <f>IF(DP60=0,0,(DQ60-DP60)/DP60*100)</f>
        <v>0</v>
      </c>
      <c r="DS60" s="1445"/>
      <c r="DT60" s="1445"/>
      <c r="DU60" s="1003">
        <f>IF(DS60=0,0,(DT60-DS60)/DS60*100)</f>
        <v>0</v>
      </c>
      <c r="DV60" s="1445"/>
      <c r="DW60" s="1445"/>
      <c r="DX60" s="1003">
        <f>IF(DV60=0,0,(DW60-DV60)/DV60*100)</f>
        <v>0</v>
      </c>
      <c r="DY60" s="1445"/>
      <c r="DZ60" s="1445"/>
      <c r="EA60" s="1003">
        <f>IF(DY60=0,0,(DZ60-DY60)/DY60*100)</f>
        <v>0</v>
      </c>
      <c r="EB60" s="1445"/>
      <c r="EC60" s="1445"/>
      <c r="ED60" s="1003">
        <f>IF(EB60=0,0,(EC60-EB60)/EB60*100)</f>
        <v>0</v>
      </c>
      <c r="EE60" s="1445"/>
      <c r="EF60" s="1445"/>
      <c r="EG60" s="1003">
        <f>IF(EE60=0,0,(EF60-EE60)/EE60*100)</f>
        <v>0</v>
      </c>
      <c r="EH60" s="1445"/>
      <c r="EI60" s="1445"/>
      <c r="EJ60" s="1003">
        <f>IF(EH60=0,0,(EI60-EH60)/EH60*100)</f>
        <v>0</v>
      </c>
      <c r="EK60" s="1445"/>
      <c r="EL60" s="1445"/>
      <c r="EM60" s="1003">
        <f>IF(EK60=0,0,(EL60-EK60)/EK60*100)</f>
        <v>0</v>
      </c>
      <c r="EN60" s="1445"/>
      <c r="EO60" s="1445"/>
      <c r="EP60" s="1003">
        <f>IF(EN60=0,0,(EO60-EN60)/EN60*100)</f>
        <v>0</v>
      </c>
      <c r="EQ60" s="1445"/>
      <c r="ER60" s="1445"/>
      <c r="ES60" s="1003">
        <f>IF(EQ60=0,0,(ER60-EQ60)/EQ60*100)</f>
        <v>0</v>
      </c>
      <c r="ET60" s="1445"/>
      <c r="EU60" s="1445"/>
      <c r="EV60" s="1003">
        <f>IF(ET60=0,0,(EU60-ET60)/ET60*100)</f>
        <v>0</v>
      </c>
      <c r="EW60" s="1445"/>
      <c r="EX60" s="1445"/>
      <c r="EY60" s="1003">
        <f>IF(EW60=0,0,(EX60-EW60)/EW60*100)</f>
        <v>0</v>
      </c>
      <c r="EZ60" s="1445"/>
      <c r="FA60" s="1445"/>
      <c r="FB60" s="1003">
        <f>IF(EZ60=0,0,(FA60-EZ60)/EZ60*100)</f>
        <v>0</v>
      </c>
      <c r="FC60" s="1445"/>
      <c r="FD60" s="1445"/>
      <c r="FE60" s="1003">
        <f>IF(FC60=0,0,(FD60-FC60)/FC60*100)</f>
        <v>0</v>
      </c>
      <c r="FF60" s="1445"/>
      <c r="FG60" s="1445"/>
      <c r="FH60" s="1003">
        <f>IF(FF60=0,0,(FG60-FF60)/FF60*100)</f>
        <v>0</v>
      </c>
      <c r="FI60" s="1445"/>
      <c r="FJ60" s="1445"/>
      <c r="FK60" s="1003">
        <f>IF(FI60=0,0,(FJ60-FI60)/FI60*100)</f>
        <v>0</v>
      </c>
      <c r="FL60" s="1445"/>
      <c r="FM60" s="1445"/>
      <c r="FN60" s="1003">
        <f>IF(FL60=0,0,(FM60-FL60)/FL60*100)</f>
        <v>0</v>
      </c>
      <c r="FO60" s="1445"/>
      <c r="FP60" s="1445"/>
      <c r="FQ60" s="1003">
        <f>IF(FO60=0,0,(FP60-FO60)/FO60*100)</f>
        <v>0</v>
      </c>
      <c r="FR60" s="1445"/>
      <c r="FS60" s="1445"/>
      <c r="FT60" s="1003">
        <f>IF(FR60=0,0,(FS60-FR60)/FR60*100)</f>
        <v>0</v>
      </c>
      <c r="FU60" s="1445"/>
      <c r="FV60" s="1445"/>
      <c r="FW60" s="1003">
        <f>IF(FU60=0,0,(FV60-FU60)/FU60*100)</f>
        <v>0</v>
      </c>
      <c r="FZ60" s="964" t="s">
        <v>1643</v>
      </c>
    </row>
    <row r="61" spans="1:182" ht="14.65" hidden="1" customHeight="1" x14ac:dyDescent="0.15">
      <c r="A61" s="416"/>
      <c r="B61" s="837" t="b" cm="1">
        <f t="array" ref="B61">B60</f>
        <v>0</v>
      </c>
      <c r="C61" s="416"/>
      <c r="D61" s="416"/>
      <c r="E61" s="759">
        <v>15</v>
      </c>
      <c r="F61" s="3" cm="1">
        <f t="array" aca="1" ref="F61" ca="1">OFFSET(E61,-1,1)</f>
        <v>0</v>
      </c>
      <c r="G61" s="26" t="s">
        <v>1644</v>
      </c>
      <c r="H61" s="416" t="s">
        <v>1625</v>
      </c>
      <c r="I61" s="416" t="s">
        <v>1601</v>
      </c>
      <c r="J61" s="416"/>
      <c r="K61" s="416"/>
      <c r="L61" s="416"/>
      <c r="M61" s="416"/>
      <c r="N61" s="416"/>
      <c r="O61" s="416"/>
      <c r="P61" s="416"/>
      <c r="Q61" s="416"/>
      <c r="R61" s="416"/>
      <c r="S61" s="416"/>
      <c r="T61" s="388" t="b" cm="1">
        <f t="array" aca="1" ref="T61" ca="1">T60</f>
        <v>0</v>
      </c>
      <c r="U61" s="416"/>
      <c r="V61" s="416"/>
      <c r="W61" s="416"/>
      <c r="X61" s="2066"/>
      <c r="Y61" s="416"/>
      <c r="Z61" s="2011"/>
      <c r="AA61" s="416"/>
      <c r="AB61" s="1001" t="str">
        <f>"объём "&amp;IF(Q29="Водоснабжение","потребления холодной воды","водоотведения")</f>
        <v>объём водоотведения</v>
      </c>
      <c r="AC61" s="783" t="s">
        <v>563</v>
      </c>
      <c r="AD61" s="1443">
        <f ca="1">IF(AND(method_reg="Метод индексации",god&lt;&gt;first_year),SUMIFS(INDEX('Калькуляция (МИ корр)'!$AJ$25:$BC$459,,MATCH(AD$8,'Калькуляция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(МИ)'!$AJ$25:$BC$459,,MATCH(AD$8,'Калькуляция (МИ)'!$AJ$8:$BC$8,0)),'Калькуляция (МИ)'!$F$25:$F$459,$F61,'Калькуляция (МИ)'!$G$25:$G$459,$G61))))</f>
        <v>0</v>
      </c>
      <c r="AE61" s="1443">
        <f ca="1">IF(AND(method_reg="Метод индексации",god&lt;&gt;first_year),SUMIFS(INDEX('Калькуляция (МИ корр)'!$AJ$25:$BC$459,,MATCH(AE$8,'Калькуляция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(МИ)'!$AJ$25:$BC$459,,MATCH(AE$8,'Калькуляция (МИ)'!$AJ$8:$BC$8,0)),'Калькуляция (МИ)'!$F$25:$F$459,$F61,'Калькуляция (МИ)'!$G$25:$G$459,$G61))))</f>
        <v>0</v>
      </c>
      <c r="AF61" s="1005">
        <f ca="1">IF(AD61=0,0,(AE61-AD61)/AD61*100)</f>
        <v>0</v>
      </c>
      <c r="AG61" s="1443">
        <f ca="1">IF(AND(method_reg="Метод индексации",god&lt;&gt;first_year),SUMIFS(INDEX('Калькуляция (МИ корр)'!$AJ$25:$BC$459,,MATCH(AG$8,'Калькуляция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(МИ)'!$AJ$25:$BC$459,,MATCH(AG$8,'Калькуляция (МИ)'!$AJ$8:$BC$8,0)),'Калькуляция (МИ)'!$F$25:$F$459,$F61,'Калькуляция (МИ)'!$G$25:$G$459,$G61))))</f>
        <v>0</v>
      </c>
      <c r="AH61" s="1443">
        <f ca="1">IF(AND(method_reg="Метод индексации",god&lt;&gt;first_year),SUMIFS(INDEX('Калькуляция (МИ корр)'!$AJ$25:$BC$459,,MATCH(AH$8,'Калькуляция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(МИ)'!$AJ$25:$BC$459,,MATCH(AH$8,'Калькуляция (МИ)'!$AJ$8:$BC$8,0)),'Калькуляция (МИ)'!$F$25:$F$459,$F61,'Калькуляция (МИ)'!$G$25:$G$459,$G61))))</f>
        <v>0</v>
      </c>
      <c r="AI61" s="1005">
        <f ca="1">IF(AG61=0,0,(AH61-AG61)/AG61*100)</f>
        <v>0</v>
      </c>
      <c r="AJ61" s="1443">
        <f ca="1">IF(AND(method_reg="Метод индексации",god&lt;&gt;first_year),SUMIFS(INDEX('Калькуляция (МИ корр)'!$AJ$25:$BC$459,,MATCH(AJ$8,'Калькуляция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(МИ)'!$AJ$25:$BC$459,,MATCH(AJ$8,'Калькуляция (МИ)'!$AJ$8:$BC$8,0)),'Калькуляция (МИ)'!$F$25:$F$459,$F61,'Калькуляция (МИ)'!$G$25:$G$459,$G61))))</f>
        <v>0</v>
      </c>
      <c r="AK61" s="1443">
        <f ca="1">IF(AND(method_reg="Метод индексации",god&lt;&gt;first_year),SUMIFS(INDEX('Калькуляция (МИ корр)'!$AJ$25:$BC$459,,MATCH(AK$8,'Калькуляция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(МИ)'!$AJ$25:$BC$459,,MATCH(AK$8,'Калькуляция (МИ)'!$AJ$8:$BC$8,0)),'Калькуляция (МИ)'!$F$25:$F$459,$F61,'Калькуляция (МИ)'!$G$25:$G$459,$G61))))</f>
        <v>0</v>
      </c>
      <c r="AL61" s="1005">
        <f ca="1">IF(AJ61=0,0,(AK61-AJ61)/AJ61*100)</f>
        <v>0</v>
      </c>
      <c r="AM61" s="1443">
        <f ca="1">IF(AND(method_reg="Метод индексации",god&lt;&gt;first_year),SUMIFS(INDEX('Калькуляция (МИ корр)'!$AJ$25:$BC$459,,MATCH(AM$8,'Калькуляция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(МИ)'!$AJ$25:$BC$459,,MATCH(AM$8,'Калькуляция (МИ)'!$AJ$8:$BC$8,0)),'Калькуляция (МИ)'!$F$25:$F$459,$F61,'Калькуляция (МИ)'!$G$25:$G$459,$G61))))</f>
        <v>0</v>
      </c>
      <c r="AN61" s="1443">
        <f ca="1">IF(AND(method_reg="Метод индексации",god&lt;&gt;first_year),SUMIFS(INDEX('Калькуляция (МИ корр)'!$AJ$25:$BC$459,,MATCH(AN$8,'Калькуляция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(МИ)'!$AJ$25:$BC$459,,MATCH(AN$8,'Калькуляция (МИ)'!$AJ$8:$BC$8,0)),'Калькуляция (МИ)'!$F$25:$F$459,$F61,'Калькуляция (МИ)'!$G$25:$G$459,$G61))))</f>
        <v>0</v>
      </c>
      <c r="AO61" s="1005">
        <f ca="1">IF(AM61=0,0,(AN61-AM61)/AM61*100)</f>
        <v>0</v>
      </c>
      <c r="AP61" s="1443">
        <f ca="1">IF(AND(method_reg="Метод индексации",god&lt;&gt;first_year),SUMIFS(INDEX('Калькуляция (МИ корр)'!$AJ$25:$BC$459,,MATCH(AP$8,'Калькуляция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(МИ)'!$AJ$25:$BC$459,,MATCH(AP$8,'Калькуляция (МИ)'!$AJ$8:$BC$8,0)),'Калькуляция (МИ)'!$F$25:$F$459,$F61,'Калькуляция (МИ)'!$G$25:$G$459,$G61))))</f>
        <v>0</v>
      </c>
      <c r="AQ61" s="1443">
        <f ca="1">IF(AND(method_reg="Метод индексации",god&lt;&gt;first_year),SUMIFS(INDEX('Калькуляция (МИ корр)'!$AJ$25:$BC$459,,MATCH(AQ$8,'Калькуляция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(МИ)'!$AJ$25:$BC$459,,MATCH(AQ$8,'Калькуляция (МИ)'!$AJ$8:$BC$8,0)),'Калькуляция (МИ)'!$F$25:$F$459,$F61,'Калькуляция (МИ)'!$G$25:$G$459,$G61))))</f>
        <v>0</v>
      </c>
      <c r="AR61" s="1005">
        <f ca="1">IF(AP61=0,0,(AQ61-AP61)/AP61*100)</f>
        <v>0</v>
      </c>
      <c r="AS61" s="1443">
        <f ca="1">IF(AND(method_reg="Метод индексации",god&lt;&gt;first_year),SUMIFS(INDEX('Калькуляция (МИ корр)'!$AJ$25:$BC$459,,MATCH(AS$8,'Калькуляция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(МИ)'!$AJ$25:$BC$459,,MATCH(AS$8,'Калькуляция (МИ)'!$AJ$8:$BC$8,0)),'Калькуляция (МИ)'!$F$25:$F$459,$F61,'Калькуляция (МИ)'!$G$25:$G$459,$G61))))</f>
        <v>0</v>
      </c>
      <c r="AT61" s="1443">
        <f ca="1">IF(AND(method_reg="Метод индексации",god&lt;&gt;first_year),SUMIFS(INDEX('Калькуляция (МИ корр)'!$AJ$25:$BC$459,,MATCH(AT$8,'Калькуляция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(МИ)'!$AJ$25:$BC$459,,MATCH(AT$8,'Калькуляция (МИ)'!$AJ$8:$BC$8,0)),'Калькуляция (МИ)'!$F$25:$F$459,$F61,'Калькуляция (МИ)'!$G$25:$G$459,$G61))))</f>
        <v>0</v>
      </c>
      <c r="AU61" s="1005">
        <f ca="1">IF(AS61=0,0,(AT61-AS61)/AS61*100)</f>
        <v>0</v>
      </c>
      <c r="AV61" s="1443">
        <f ca="1">IF(AND(method_reg="Метод индексации",god&lt;&gt;first_year),SUMIFS(INDEX('Калькуляция (МИ корр)'!$AJ$25:$BC$459,,MATCH(AV$8,'Калькуляция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(МИ)'!$AJ$25:$BC$459,,MATCH(AV$8,'Калькуляция (МИ)'!$AJ$8:$BC$8,0)),'Калькуляция (МИ)'!$F$25:$F$459,$F61,'Калькуляция (МИ)'!$G$25:$G$459,$G61))))</f>
        <v>0</v>
      </c>
      <c r="AW61" s="1443">
        <f ca="1">IF(AND(method_reg="Метод индексации",god&lt;&gt;first_year),SUMIFS(INDEX('Калькуляция (МИ корр)'!$AJ$25:$BC$459,,MATCH(AW$8,'Калькуляция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(МИ)'!$AJ$25:$BC$459,,MATCH(AW$8,'Калькуляция (МИ)'!$AJ$8:$BC$8,0)),'Калькуляция (МИ)'!$F$25:$F$459,$F61,'Калькуляция (МИ)'!$G$25:$G$459,$G61))))</f>
        <v>0</v>
      </c>
      <c r="AX61" s="1005">
        <f ca="1">IF(AV61=0,0,(AW61-AV61)/AV61*100)</f>
        <v>0</v>
      </c>
      <c r="AY61" s="1443">
        <f ca="1">IF(AND(method_reg="Метод индексации",god&lt;&gt;first_year),SUMIFS(INDEX('Калькуляция (МИ корр)'!$AJ$25:$BC$459,,MATCH(AY$8,'Калькуляция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(МИ)'!$AJ$25:$BC$459,,MATCH(AY$8,'Калькуляция (МИ)'!$AJ$8:$BC$8,0)),'Калькуляция (МИ)'!$F$25:$F$459,$F61,'Калькуляция (МИ)'!$G$25:$G$459,$G61))))</f>
        <v>0</v>
      </c>
      <c r="AZ61" s="1443">
        <f ca="1">IF(AND(method_reg="Метод индексации",god&lt;&gt;first_year),SUMIFS(INDEX('Калькуляция (МИ корр)'!$AJ$25:$BC$459,,MATCH(AZ$8,'Калькуляция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(МИ)'!$AJ$25:$BC$459,,MATCH(AZ$8,'Калькуляция (МИ)'!$AJ$8:$BC$8,0)),'Калькуляция (МИ)'!$F$25:$F$459,$F61,'Калькуляция (МИ)'!$G$25:$G$459,$G61))))</f>
        <v>0</v>
      </c>
      <c r="BA61" s="1005">
        <f ca="1">IF(AY61=0,0,(AZ61-AY61)/AY61*100)</f>
        <v>0</v>
      </c>
      <c r="BB61" s="1443">
        <f ca="1">IF(AND(method_reg="Метод индексации",god&lt;&gt;first_year),SUMIFS(INDEX('Калькуляция (МИ корр)'!$AJ$25:$BC$459,,MATCH(BB$8,'Калькуляция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(МИ)'!$AJ$25:$BC$459,,MATCH(BB$8,'Калькуляция (МИ)'!$AJ$8:$BC$8,0)),'Калькуляция (МИ)'!$F$25:$F$459,$F61,'Калькуляция (МИ)'!$G$25:$G$459,$G61))))</f>
        <v>0</v>
      </c>
      <c r="BC61" s="1443">
        <f ca="1">IF(AND(method_reg="Метод индексации",god&lt;&gt;first_year),SUMIFS(INDEX('Калькуляция (МИ корр)'!$AJ$25:$BC$459,,MATCH(BC$8,'Калькуляция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(МИ)'!$AJ$25:$BC$459,,MATCH(BC$8,'Калькуляция (МИ)'!$AJ$8:$BC$8,0)),'Калькуляция (МИ)'!$F$25:$F$459,$F61,'Калькуляция (МИ)'!$G$25:$G$459,$G61))))</f>
        <v>0</v>
      </c>
      <c r="BD61" s="1005">
        <f ca="1">IF(BB61=0,0,(BC61-BB61)/BB61*100)</f>
        <v>0</v>
      </c>
      <c r="BE61" s="1443">
        <f ca="1">IF(AND(method_reg="Метод индексации",god&lt;&gt;first_year),SUMIFS(INDEX('Калькуляция (МИ корр)'!$AJ$25:$BC$459,,MATCH(BE$8,'Калькуляция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(МИ)'!$AJ$25:$BC$459,,MATCH(BE$8,'Калькуляция (МИ)'!$AJ$8:$BC$8,0)),'Калькуляция (МИ)'!$F$25:$F$459,$F61,'Калькуляция (МИ)'!$G$25:$G$459,$G61))))</f>
        <v>0</v>
      </c>
      <c r="BF61" s="1443">
        <f ca="1">IF(AND(method_reg="Метод индексации",god&lt;&gt;first_year),SUMIFS(INDEX('Калькуляция (МИ корр)'!$AJ$25:$BC$459,,MATCH(BF$8,'Калькуляция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(МИ)'!$AJ$25:$BC$459,,MATCH(BF$8,'Калькуляция (МИ)'!$AJ$8:$BC$8,0)),'Калькуляция (МИ)'!$F$25:$F$459,$F61,'Калькуляция (МИ)'!$G$25:$G$459,$G61))))</f>
        <v>0</v>
      </c>
      <c r="BG61" s="1005">
        <f ca="1">IF(BE61=0,0,(BF61-BE61)/BE61*100)</f>
        <v>0</v>
      </c>
      <c r="BH61" s="1443"/>
      <c r="BI61" s="1443"/>
      <c r="BJ61" s="1005">
        <f>IF(BH61=0,0,(BI61-BH61)/BH61*100)</f>
        <v>0</v>
      </c>
      <c r="BK61" s="1443"/>
      <c r="BL61" s="1443"/>
      <c r="BM61" s="1005">
        <f>IF(BK61=0,0,(BL61-BK61)/BK61*100)</f>
        <v>0</v>
      </c>
      <c r="BN61" s="1443"/>
      <c r="BO61" s="1443"/>
      <c r="BP61" s="1005">
        <f>IF(BN61=0,0,(BO61-BN61)/BN61*100)</f>
        <v>0</v>
      </c>
      <c r="BQ61" s="1443"/>
      <c r="BR61" s="1443"/>
      <c r="BS61" s="1005">
        <f>IF(BQ61=0,0,(BR61-BQ61)/BQ61*100)</f>
        <v>0</v>
      </c>
      <c r="BT61" s="1443"/>
      <c r="BU61" s="1443"/>
      <c r="BV61" s="1005">
        <f>IF(BT61=0,0,(BU61-BT61)/BT61*100)</f>
        <v>0</v>
      </c>
      <c r="BW61" s="1443"/>
      <c r="BX61" s="1443"/>
      <c r="BY61" s="1005">
        <f>IF(BW61=0,0,(BX61-BW61)/BW61*100)</f>
        <v>0</v>
      </c>
      <c r="BZ61" s="1443"/>
      <c r="CA61" s="1443"/>
      <c r="CB61" s="1005">
        <f>IF(BZ61=0,0,(CA61-BZ61)/BZ61*100)</f>
        <v>0</v>
      </c>
      <c r="CC61" s="1443"/>
      <c r="CD61" s="1443"/>
      <c r="CE61" s="1005">
        <f>IF(CC61=0,0,(CD61-CC61)/CC61*100)</f>
        <v>0</v>
      </c>
      <c r="CF61" s="1443"/>
      <c r="CG61" s="1443"/>
      <c r="CH61" s="1005">
        <f>IF(CF61=0,0,(CG61-CF61)/CF61*100)</f>
        <v>0</v>
      </c>
      <c r="CI61" s="1443"/>
      <c r="CJ61" s="1443"/>
      <c r="CK61" s="1005">
        <f>IF(CI61=0,0,(CJ61-CI61)/CI61*100)</f>
        <v>0</v>
      </c>
      <c r="CL61" s="1443"/>
      <c r="CM61" s="1443"/>
      <c r="CN61" s="1005">
        <f>IF(CL61=0,0,(CM61-CL61)/CL61*100)</f>
        <v>0</v>
      </c>
      <c r="CO61" s="1443"/>
      <c r="CP61" s="1443"/>
      <c r="CQ61" s="1005">
        <f>IF(CO61=0,0,(CP61-CO61)/CO61*100)</f>
        <v>0</v>
      </c>
      <c r="CR61" s="1443"/>
      <c r="CS61" s="1443"/>
      <c r="CT61" s="1005">
        <f>IF(CR61=0,0,(CS61-CR61)/CR61*100)</f>
        <v>0</v>
      </c>
      <c r="CU61" s="1443"/>
      <c r="CV61" s="1443"/>
      <c r="CW61" s="1005">
        <f>IF(CU61=0,0,(CV61-CU61)/CU61*100)</f>
        <v>0</v>
      </c>
      <c r="CX61" s="1443"/>
      <c r="CY61" s="1443"/>
      <c r="CZ61" s="1005">
        <f>IF(CX61=0,0,(CY61-CX61)/CX61*100)</f>
        <v>0</v>
      </c>
      <c r="DA61" s="1443"/>
      <c r="DB61" s="1443"/>
      <c r="DC61" s="1005">
        <f>IF(DA61=0,0,(DB61-DA61)/DA61*100)</f>
        <v>0</v>
      </c>
      <c r="DD61" s="1443"/>
      <c r="DE61" s="1443"/>
      <c r="DF61" s="1005">
        <f>IF(DD61=0,0,(DE61-DD61)/DD61*100)</f>
        <v>0</v>
      </c>
      <c r="DG61" s="1443"/>
      <c r="DH61" s="1443"/>
      <c r="DI61" s="1005">
        <f>IF(DG61=0,0,(DH61-DG61)/DG61*100)</f>
        <v>0</v>
      </c>
      <c r="DJ61" s="1443"/>
      <c r="DK61" s="1443"/>
      <c r="DL61" s="1005">
        <f>IF(DJ61=0,0,(DK61-DJ61)/DJ61*100)</f>
        <v>0</v>
      </c>
      <c r="DM61" s="1443"/>
      <c r="DN61" s="1443"/>
      <c r="DO61" s="1005">
        <f>IF(DM61=0,0,(DN61-DM61)/DM61*100)</f>
        <v>0</v>
      </c>
      <c r="DP61" s="1443"/>
      <c r="DQ61" s="1443"/>
      <c r="DR61" s="1005">
        <f>IF(DP61=0,0,(DQ61-DP61)/DP61*100)</f>
        <v>0</v>
      </c>
      <c r="DS61" s="1443"/>
      <c r="DT61" s="1443"/>
      <c r="DU61" s="1005">
        <f>IF(DS61=0,0,(DT61-DS61)/DS61*100)</f>
        <v>0</v>
      </c>
      <c r="DV61" s="1443"/>
      <c r="DW61" s="1443"/>
      <c r="DX61" s="1005">
        <f>IF(DV61=0,0,(DW61-DV61)/DV61*100)</f>
        <v>0</v>
      </c>
      <c r="DY61" s="1443"/>
      <c r="DZ61" s="1443"/>
      <c r="EA61" s="1005">
        <f>IF(DY61=0,0,(DZ61-DY61)/DY61*100)</f>
        <v>0</v>
      </c>
      <c r="EB61" s="1443"/>
      <c r="EC61" s="1443"/>
      <c r="ED61" s="1005">
        <f>IF(EB61=0,0,(EC61-EB61)/EB61*100)</f>
        <v>0</v>
      </c>
      <c r="EE61" s="1443"/>
      <c r="EF61" s="1443"/>
      <c r="EG61" s="1005">
        <f>IF(EE61=0,0,(EF61-EE61)/EE61*100)</f>
        <v>0</v>
      </c>
      <c r="EH61" s="1443"/>
      <c r="EI61" s="1443"/>
      <c r="EJ61" s="1005">
        <f>IF(EH61=0,0,(EI61-EH61)/EH61*100)</f>
        <v>0</v>
      </c>
      <c r="EK61" s="1443"/>
      <c r="EL61" s="1443"/>
      <c r="EM61" s="1005">
        <f>IF(EK61=0,0,(EL61-EK61)/EK61*100)</f>
        <v>0</v>
      </c>
      <c r="EN61" s="1443"/>
      <c r="EO61" s="1443"/>
      <c r="EP61" s="1005">
        <f>IF(EN61=0,0,(EO61-EN61)/EN61*100)</f>
        <v>0</v>
      </c>
      <c r="EQ61" s="1443"/>
      <c r="ER61" s="1443"/>
      <c r="ES61" s="1005">
        <f>IF(EQ61=0,0,(ER61-EQ61)/EQ61*100)</f>
        <v>0</v>
      </c>
      <c r="ET61" s="1443"/>
      <c r="EU61" s="1443"/>
      <c r="EV61" s="1005">
        <f>IF(ET61=0,0,(EU61-ET61)/ET61*100)</f>
        <v>0</v>
      </c>
      <c r="EW61" s="1443"/>
      <c r="EX61" s="1443"/>
      <c r="EY61" s="1005">
        <f>IF(EW61=0,0,(EX61-EW61)/EW61*100)</f>
        <v>0</v>
      </c>
      <c r="EZ61" s="1443"/>
      <c r="FA61" s="1443"/>
      <c r="FB61" s="1005">
        <f>IF(EZ61=0,0,(FA61-EZ61)/EZ61*100)</f>
        <v>0</v>
      </c>
      <c r="FC61" s="1443"/>
      <c r="FD61" s="1443"/>
      <c r="FE61" s="1005">
        <f>IF(FC61=0,0,(FD61-FC61)/FC61*100)</f>
        <v>0</v>
      </c>
      <c r="FF61" s="1443"/>
      <c r="FG61" s="1443"/>
      <c r="FH61" s="1005">
        <f>IF(FF61=0,0,(FG61-FF61)/FF61*100)</f>
        <v>0</v>
      </c>
      <c r="FI61" s="1443"/>
      <c r="FJ61" s="1443"/>
      <c r="FK61" s="1005">
        <f>IF(FI61=0,0,(FJ61-FI61)/FI61*100)</f>
        <v>0</v>
      </c>
      <c r="FL61" s="1443"/>
      <c r="FM61" s="1443"/>
      <c r="FN61" s="1005">
        <f>IF(FL61=0,0,(FM61-FL61)/FL61*100)</f>
        <v>0</v>
      </c>
      <c r="FO61" s="1443"/>
      <c r="FP61" s="1443"/>
      <c r="FQ61" s="1005">
        <f>IF(FO61=0,0,(FP61-FO61)/FO61*100)</f>
        <v>0</v>
      </c>
      <c r="FR61" s="1443"/>
      <c r="FS61" s="1443"/>
      <c r="FT61" s="1005">
        <f>IF(FR61=0,0,(FS61-FR61)/FR61*100)</f>
        <v>0</v>
      </c>
      <c r="FU61" s="1443"/>
      <c r="FV61" s="1443"/>
      <c r="FW61" s="1005">
        <f>IF(FU61=0,0,(FV61-FU61)/FU61*100)</f>
        <v>0</v>
      </c>
      <c r="FZ61" s="964" t="s">
        <v>1645</v>
      </c>
    </row>
    <row r="62" spans="1:182" ht="21.95" hidden="1" customHeight="1" x14ac:dyDescent="0.15">
      <c r="A62" s="416"/>
      <c r="B62" s="837" t="b" cm="1">
        <f t="array" ref="B62">B61</f>
        <v>0</v>
      </c>
      <c r="C62" s="416"/>
      <c r="D62" s="416"/>
      <c r="E62" s="759">
        <v>22.5</v>
      </c>
      <c r="F62" s="3" cm="1">
        <f t="array" aca="1" ref="F62" ca="1">OFFSET(E62,-1,1)</f>
        <v>0</v>
      </c>
      <c r="G62" s="416"/>
      <c r="H62" s="416" t="s">
        <v>1627</v>
      </c>
      <c r="I62" s="416" t="s">
        <v>1601</v>
      </c>
      <c r="J62" s="416"/>
      <c r="K62" s="416"/>
      <c r="L62" s="416"/>
      <c r="M62" s="416"/>
      <c r="N62" s="416"/>
      <c r="O62" s="416"/>
      <c r="P62" s="416"/>
      <c r="Q62" s="416"/>
      <c r="R62" s="416"/>
      <c r="S62" s="416"/>
      <c r="T62" s="388" t="b" cm="1">
        <f t="array" aca="1" ref="T62" ca="1">T61</f>
        <v>0</v>
      </c>
      <c r="U62" s="416"/>
      <c r="V62" s="416"/>
      <c r="W62" s="416"/>
      <c r="X62" s="2066"/>
      <c r="Y62" s="416"/>
      <c r="Z62" s="2011"/>
      <c r="AA62" s="416"/>
      <c r="AB62" s="1001"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783" t="s">
        <v>1628</v>
      </c>
      <c r="AD62" s="1445"/>
      <c r="AE62" s="1445"/>
      <c r="AF62" s="1003">
        <f>IF(AD62=0,0,(AE62-AD62)/AD62*100)</f>
        <v>0</v>
      </c>
      <c r="AG62" s="1445"/>
      <c r="AH62" s="1445"/>
      <c r="AI62" s="1003">
        <f>IF(AG62=0,0,(AH62-AG62)/AG62*100)</f>
        <v>0</v>
      </c>
      <c r="AJ62" s="1445"/>
      <c r="AK62" s="1445"/>
      <c r="AL62" s="1003">
        <f>IF(AJ62=0,0,(AK62-AJ62)/AJ62*100)</f>
        <v>0</v>
      </c>
      <c r="AM62" s="1445"/>
      <c r="AN62" s="1445"/>
      <c r="AO62" s="1003">
        <f>IF(AM62=0,0,(AN62-AM62)/AM62*100)</f>
        <v>0</v>
      </c>
      <c r="AP62" s="1445"/>
      <c r="AQ62" s="1445"/>
      <c r="AR62" s="1003">
        <f>IF(AP62=0,0,(AQ62-AP62)/AP62*100)</f>
        <v>0</v>
      </c>
      <c r="AS62" s="1445"/>
      <c r="AT62" s="1445"/>
      <c r="AU62" s="1003">
        <f>IF(AS62=0,0,(AT62-AS62)/AS62*100)</f>
        <v>0</v>
      </c>
      <c r="AV62" s="1445"/>
      <c r="AW62" s="1445"/>
      <c r="AX62" s="1003">
        <f>IF(AV62=0,0,(AW62-AV62)/AV62*100)</f>
        <v>0</v>
      </c>
      <c r="AY62" s="1445"/>
      <c r="AZ62" s="1445"/>
      <c r="BA62" s="1003">
        <f>IF(AY62=0,0,(AZ62-AY62)/AY62*100)</f>
        <v>0</v>
      </c>
      <c r="BB62" s="1445"/>
      <c r="BC62" s="1445"/>
      <c r="BD62" s="1003">
        <f>IF(BB62=0,0,(BC62-BB62)/BB62*100)</f>
        <v>0</v>
      </c>
      <c r="BE62" s="1445"/>
      <c r="BF62" s="1445"/>
      <c r="BG62" s="1003">
        <f>IF(BE62=0,0,(BF62-BE62)/BE62*100)</f>
        <v>0</v>
      </c>
      <c r="BH62" s="1445"/>
      <c r="BI62" s="1445"/>
      <c r="BJ62" s="1003">
        <f>IF(BH62=0,0,(BI62-BH62)/BH62*100)</f>
        <v>0</v>
      </c>
      <c r="BK62" s="1445"/>
      <c r="BL62" s="1445"/>
      <c r="BM62" s="1003">
        <f>IF(BK62=0,0,(BL62-BK62)/BK62*100)</f>
        <v>0</v>
      </c>
      <c r="BN62" s="1445"/>
      <c r="BO62" s="1445"/>
      <c r="BP62" s="1003">
        <f>IF(BN62=0,0,(BO62-BN62)/BN62*100)</f>
        <v>0</v>
      </c>
      <c r="BQ62" s="1445"/>
      <c r="BR62" s="1445"/>
      <c r="BS62" s="1003">
        <f>IF(BQ62=0,0,(BR62-BQ62)/BQ62*100)</f>
        <v>0</v>
      </c>
      <c r="BT62" s="1445"/>
      <c r="BU62" s="1445"/>
      <c r="BV62" s="1003">
        <f>IF(BT62=0,0,(BU62-BT62)/BT62*100)</f>
        <v>0</v>
      </c>
      <c r="BW62" s="1445"/>
      <c r="BX62" s="1445"/>
      <c r="BY62" s="1003">
        <f>IF(BW62=0,0,(BX62-BW62)/BW62*100)</f>
        <v>0</v>
      </c>
      <c r="BZ62" s="1445"/>
      <c r="CA62" s="1445"/>
      <c r="CB62" s="1003">
        <f>IF(BZ62=0,0,(CA62-BZ62)/BZ62*100)</f>
        <v>0</v>
      </c>
      <c r="CC62" s="1445"/>
      <c r="CD62" s="1445"/>
      <c r="CE62" s="1003">
        <f>IF(CC62=0,0,(CD62-CC62)/CC62*100)</f>
        <v>0</v>
      </c>
      <c r="CF62" s="1445"/>
      <c r="CG62" s="1445"/>
      <c r="CH62" s="1003">
        <f>IF(CF62=0,0,(CG62-CF62)/CF62*100)</f>
        <v>0</v>
      </c>
      <c r="CI62" s="1445"/>
      <c r="CJ62" s="1445"/>
      <c r="CK62" s="1003">
        <f>IF(CI62=0,0,(CJ62-CI62)/CI62*100)</f>
        <v>0</v>
      </c>
      <c r="CL62" s="1445"/>
      <c r="CM62" s="1445"/>
      <c r="CN62" s="1003">
        <f>IF(CL62=0,0,(CM62-CL62)/CL62*100)</f>
        <v>0</v>
      </c>
      <c r="CO62" s="1445"/>
      <c r="CP62" s="1445"/>
      <c r="CQ62" s="1003">
        <f>IF(CO62=0,0,(CP62-CO62)/CO62*100)</f>
        <v>0</v>
      </c>
      <c r="CR62" s="1445"/>
      <c r="CS62" s="1445"/>
      <c r="CT62" s="1003">
        <f>IF(CR62=0,0,(CS62-CR62)/CR62*100)</f>
        <v>0</v>
      </c>
      <c r="CU62" s="1445"/>
      <c r="CV62" s="1445"/>
      <c r="CW62" s="1003">
        <f>IF(CU62=0,0,(CV62-CU62)/CU62*100)</f>
        <v>0</v>
      </c>
      <c r="CX62" s="1445"/>
      <c r="CY62" s="1445"/>
      <c r="CZ62" s="1003">
        <f>IF(CX62=0,0,(CY62-CX62)/CX62*100)</f>
        <v>0</v>
      </c>
      <c r="DA62" s="1445"/>
      <c r="DB62" s="1445"/>
      <c r="DC62" s="1003">
        <f>IF(DA62=0,0,(DB62-DA62)/DA62*100)</f>
        <v>0</v>
      </c>
      <c r="DD62" s="1445"/>
      <c r="DE62" s="1445"/>
      <c r="DF62" s="1003">
        <f>IF(DD62=0,0,(DE62-DD62)/DD62*100)</f>
        <v>0</v>
      </c>
      <c r="DG62" s="1445"/>
      <c r="DH62" s="1445"/>
      <c r="DI62" s="1003">
        <f>IF(DG62=0,0,(DH62-DG62)/DG62*100)</f>
        <v>0</v>
      </c>
      <c r="DJ62" s="1445"/>
      <c r="DK62" s="1445"/>
      <c r="DL62" s="1003">
        <f>IF(DJ62=0,0,(DK62-DJ62)/DJ62*100)</f>
        <v>0</v>
      </c>
      <c r="DM62" s="1445"/>
      <c r="DN62" s="1445"/>
      <c r="DO62" s="1003">
        <f>IF(DM62=0,0,(DN62-DM62)/DM62*100)</f>
        <v>0</v>
      </c>
      <c r="DP62" s="1445"/>
      <c r="DQ62" s="1445"/>
      <c r="DR62" s="1003">
        <f>IF(DP62=0,0,(DQ62-DP62)/DP62*100)</f>
        <v>0</v>
      </c>
      <c r="DS62" s="1445"/>
      <c r="DT62" s="1445"/>
      <c r="DU62" s="1003">
        <f>IF(DS62=0,0,(DT62-DS62)/DS62*100)</f>
        <v>0</v>
      </c>
      <c r="DV62" s="1445"/>
      <c r="DW62" s="1445"/>
      <c r="DX62" s="1003">
        <f>IF(DV62=0,0,(DW62-DV62)/DV62*100)</f>
        <v>0</v>
      </c>
      <c r="DY62" s="1445"/>
      <c r="DZ62" s="1445"/>
      <c r="EA62" s="1003">
        <f>IF(DY62=0,0,(DZ62-DY62)/DY62*100)</f>
        <v>0</v>
      </c>
      <c r="EB62" s="1445"/>
      <c r="EC62" s="1445"/>
      <c r="ED62" s="1003">
        <f>IF(EB62=0,0,(EC62-EB62)/EB62*100)</f>
        <v>0</v>
      </c>
      <c r="EE62" s="1445"/>
      <c r="EF62" s="1445"/>
      <c r="EG62" s="1003">
        <f>IF(EE62=0,0,(EF62-EE62)/EE62*100)</f>
        <v>0</v>
      </c>
      <c r="EH62" s="1445"/>
      <c r="EI62" s="1445"/>
      <c r="EJ62" s="1003">
        <f>IF(EH62=0,0,(EI62-EH62)/EH62*100)</f>
        <v>0</v>
      </c>
      <c r="EK62" s="1445"/>
      <c r="EL62" s="1445"/>
      <c r="EM62" s="1003">
        <f>IF(EK62=0,0,(EL62-EK62)/EK62*100)</f>
        <v>0</v>
      </c>
      <c r="EN62" s="1445"/>
      <c r="EO62" s="1445"/>
      <c r="EP62" s="1003">
        <f>IF(EN62=0,0,(EO62-EN62)/EN62*100)</f>
        <v>0</v>
      </c>
      <c r="EQ62" s="1445"/>
      <c r="ER62" s="1445"/>
      <c r="ES62" s="1003">
        <f>IF(EQ62=0,0,(ER62-EQ62)/EQ62*100)</f>
        <v>0</v>
      </c>
      <c r="ET62" s="1445"/>
      <c r="EU62" s="1445"/>
      <c r="EV62" s="1003">
        <f>IF(ET62=0,0,(EU62-ET62)/ET62*100)</f>
        <v>0</v>
      </c>
      <c r="EW62" s="1445"/>
      <c r="EX62" s="1445"/>
      <c r="EY62" s="1003">
        <f>IF(EW62=0,0,(EX62-EW62)/EW62*100)</f>
        <v>0</v>
      </c>
      <c r="EZ62" s="1445"/>
      <c r="FA62" s="1445"/>
      <c r="FB62" s="1003">
        <f>IF(EZ62=0,0,(FA62-EZ62)/EZ62*100)</f>
        <v>0</v>
      </c>
      <c r="FC62" s="1445"/>
      <c r="FD62" s="1445"/>
      <c r="FE62" s="1003">
        <f>IF(FC62=0,0,(FD62-FC62)/FC62*100)</f>
        <v>0</v>
      </c>
      <c r="FF62" s="1445"/>
      <c r="FG62" s="1445"/>
      <c r="FH62" s="1003">
        <f>IF(FF62=0,0,(FG62-FF62)/FF62*100)</f>
        <v>0</v>
      </c>
      <c r="FI62" s="1445"/>
      <c r="FJ62" s="1445"/>
      <c r="FK62" s="1003">
        <f>IF(FI62=0,0,(FJ62-FI62)/FI62*100)</f>
        <v>0</v>
      </c>
      <c r="FL62" s="1445"/>
      <c r="FM62" s="1445"/>
      <c r="FN62" s="1003">
        <f>IF(FL62=0,0,(FM62-FL62)/FL62*100)</f>
        <v>0</v>
      </c>
      <c r="FO62" s="1445"/>
      <c r="FP62" s="1445"/>
      <c r="FQ62" s="1003">
        <f>IF(FO62=0,0,(FP62-FO62)/FO62*100)</f>
        <v>0</v>
      </c>
      <c r="FR62" s="1445"/>
      <c r="FS62" s="1445"/>
      <c r="FT62" s="1003">
        <f>IF(FR62=0,0,(FS62-FR62)/FR62*100)</f>
        <v>0</v>
      </c>
      <c r="FU62" s="1445"/>
      <c r="FV62" s="1445"/>
      <c r="FW62" s="1003">
        <f>IF(FU62=0,0,(FV62-FU62)/FU62*100)</f>
        <v>0</v>
      </c>
      <c r="FZ62" s="964" t="s">
        <v>1646</v>
      </c>
    </row>
    <row r="63" spans="1:182" ht="14.65" hidden="1" customHeight="1" x14ac:dyDescent="0.15">
      <c r="A63" s="416"/>
      <c r="B63" s="837" t="b" cm="1">
        <f t="array" ref="B63">B62</f>
        <v>0</v>
      </c>
      <c r="C63" s="416"/>
      <c r="D63" s="416"/>
      <c r="E63" s="759">
        <v>15</v>
      </c>
      <c r="F63" s="3" cm="1">
        <f t="array" aca="1" ref="F63" ca="1">OFFSET(E63,-1,1)</f>
        <v>0</v>
      </c>
      <c r="G63" s="416"/>
      <c r="H63" s="416" t="s">
        <v>1630</v>
      </c>
      <c r="I63" s="416" t="s">
        <v>1601</v>
      </c>
      <c r="J63" s="416"/>
      <c r="K63" s="416"/>
      <c r="L63" s="416"/>
      <c r="M63" s="416"/>
      <c r="N63" s="416"/>
      <c r="O63" s="416"/>
      <c r="P63" s="416"/>
      <c r="Q63" s="416"/>
      <c r="R63" s="416"/>
      <c r="S63" s="416"/>
      <c r="T63" s="388" t="b" cm="1">
        <f t="array" aca="1" ref="T63" ca="1">T62</f>
        <v>0</v>
      </c>
      <c r="U63" s="416"/>
      <c r="V63" s="416"/>
      <c r="W63" s="416"/>
      <c r="X63" s="2066"/>
      <c r="Y63" s="416"/>
      <c r="Z63" s="2011"/>
      <c r="AA63" s="416"/>
      <c r="AB63" s="1001" t="s">
        <v>1631</v>
      </c>
      <c r="AC63" s="783" t="s">
        <v>1632</v>
      </c>
      <c r="AD63" s="1445"/>
      <c r="AE63" s="1445"/>
      <c r="AF63" s="1003">
        <f>IF(AD63=0,0,(AE63-AD63)/AD63*100)</f>
        <v>0</v>
      </c>
      <c r="AG63" s="1445"/>
      <c r="AH63" s="1445"/>
      <c r="AI63" s="1003">
        <f>IF(AG63=0,0,(AH63-AG63)/AG63*100)</f>
        <v>0</v>
      </c>
      <c r="AJ63" s="1445"/>
      <c r="AK63" s="1445"/>
      <c r="AL63" s="1003">
        <f>IF(AJ63=0,0,(AK63-AJ63)/AJ63*100)</f>
        <v>0</v>
      </c>
      <c r="AM63" s="1445"/>
      <c r="AN63" s="1445"/>
      <c r="AO63" s="1003">
        <f>IF(AM63=0,0,(AN63-AM63)/AM63*100)</f>
        <v>0</v>
      </c>
      <c r="AP63" s="1445"/>
      <c r="AQ63" s="1445"/>
      <c r="AR63" s="1003">
        <f>IF(AP63=0,0,(AQ63-AP63)/AP63*100)</f>
        <v>0</v>
      </c>
      <c r="AS63" s="1445"/>
      <c r="AT63" s="1445"/>
      <c r="AU63" s="1003">
        <f>IF(AS63=0,0,(AT63-AS63)/AS63*100)</f>
        <v>0</v>
      </c>
      <c r="AV63" s="1445"/>
      <c r="AW63" s="1445"/>
      <c r="AX63" s="1003">
        <f>IF(AV63=0,0,(AW63-AV63)/AV63*100)</f>
        <v>0</v>
      </c>
      <c r="AY63" s="1445"/>
      <c r="AZ63" s="1445"/>
      <c r="BA63" s="1003">
        <f>IF(AY63=0,0,(AZ63-AY63)/AY63*100)</f>
        <v>0</v>
      </c>
      <c r="BB63" s="1445"/>
      <c r="BC63" s="1445"/>
      <c r="BD63" s="1003">
        <f>IF(BB63=0,0,(BC63-BB63)/BB63*100)</f>
        <v>0</v>
      </c>
      <c r="BE63" s="1445"/>
      <c r="BF63" s="1445"/>
      <c r="BG63" s="1003">
        <f>IF(BE63=0,0,(BF63-BE63)/BE63*100)</f>
        <v>0</v>
      </c>
      <c r="BH63" s="1445"/>
      <c r="BI63" s="1445"/>
      <c r="BJ63" s="1003">
        <f>IF(BH63=0,0,(BI63-BH63)/BH63*100)</f>
        <v>0</v>
      </c>
      <c r="BK63" s="1445"/>
      <c r="BL63" s="1445"/>
      <c r="BM63" s="1003">
        <f>IF(BK63=0,0,(BL63-BK63)/BK63*100)</f>
        <v>0</v>
      </c>
      <c r="BN63" s="1445"/>
      <c r="BO63" s="1445"/>
      <c r="BP63" s="1003">
        <f>IF(BN63=0,0,(BO63-BN63)/BN63*100)</f>
        <v>0</v>
      </c>
      <c r="BQ63" s="1445"/>
      <c r="BR63" s="1445"/>
      <c r="BS63" s="1003">
        <f>IF(BQ63=0,0,(BR63-BQ63)/BQ63*100)</f>
        <v>0</v>
      </c>
      <c r="BT63" s="1445"/>
      <c r="BU63" s="1445"/>
      <c r="BV63" s="1003">
        <f>IF(BT63=0,0,(BU63-BT63)/BT63*100)</f>
        <v>0</v>
      </c>
      <c r="BW63" s="1445"/>
      <c r="BX63" s="1445"/>
      <c r="BY63" s="1003">
        <f>IF(BW63=0,0,(BX63-BW63)/BW63*100)</f>
        <v>0</v>
      </c>
      <c r="BZ63" s="1445"/>
      <c r="CA63" s="1445"/>
      <c r="CB63" s="1003">
        <f>IF(BZ63=0,0,(CA63-BZ63)/BZ63*100)</f>
        <v>0</v>
      </c>
      <c r="CC63" s="1445"/>
      <c r="CD63" s="1445"/>
      <c r="CE63" s="1003">
        <f>IF(CC63=0,0,(CD63-CC63)/CC63*100)</f>
        <v>0</v>
      </c>
      <c r="CF63" s="1445"/>
      <c r="CG63" s="1445"/>
      <c r="CH63" s="1003">
        <f>IF(CF63=0,0,(CG63-CF63)/CF63*100)</f>
        <v>0</v>
      </c>
      <c r="CI63" s="1445"/>
      <c r="CJ63" s="1445"/>
      <c r="CK63" s="1003">
        <f>IF(CI63=0,0,(CJ63-CI63)/CI63*100)</f>
        <v>0</v>
      </c>
      <c r="CL63" s="1445"/>
      <c r="CM63" s="1445"/>
      <c r="CN63" s="1003">
        <f>IF(CL63=0,0,(CM63-CL63)/CL63*100)</f>
        <v>0</v>
      </c>
      <c r="CO63" s="1445"/>
      <c r="CP63" s="1445"/>
      <c r="CQ63" s="1003">
        <f>IF(CO63=0,0,(CP63-CO63)/CO63*100)</f>
        <v>0</v>
      </c>
      <c r="CR63" s="1445"/>
      <c r="CS63" s="1445"/>
      <c r="CT63" s="1003">
        <f>IF(CR63=0,0,(CS63-CR63)/CR63*100)</f>
        <v>0</v>
      </c>
      <c r="CU63" s="1445"/>
      <c r="CV63" s="1445"/>
      <c r="CW63" s="1003">
        <f>IF(CU63=0,0,(CV63-CU63)/CU63*100)</f>
        <v>0</v>
      </c>
      <c r="CX63" s="1445"/>
      <c r="CY63" s="1445"/>
      <c r="CZ63" s="1003">
        <f>IF(CX63=0,0,(CY63-CX63)/CX63*100)</f>
        <v>0</v>
      </c>
      <c r="DA63" s="1445"/>
      <c r="DB63" s="1445"/>
      <c r="DC63" s="1003">
        <f>IF(DA63=0,0,(DB63-DA63)/DA63*100)</f>
        <v>0</v>
      </c>
      <c r="DD63" s="1445"/>
      <c r="DE63" s="1445"/>
      <c r="DF63" s="1003">
        <f>IF(DD63=0,0,(DE63-DD63)/DD63*100)</f>
        <v>0</v>
      </c>
      <c r="DG63" s="1445"/>
      <c r="DH63" s="1445"/>
      <c r="DI63" s="1003">
        <f>IF(DG63=0,0,(DH63-DG63)/DG63*100)</f>
        <v>0</v>
      </c>
      <c r="DJ63" s="1445"/>
      <c r="DK63" s="1445"/>
      <c r="DL63" s="1003">
        <f>IF(DJ63=0,0,(DK63-DJ63)/DJ63*100)</f>
        <v>0</v>
      </c>
      <c r="DM63" s="1445"/>
      <c r="DN63" s="1445"/>
      <c r="DO63" s="1003">
        <f>IF(DM63=0,0,(DN63-DM63)/DM63*100)</f>
        <v>0</v>
      </c>
      <c r="DP63" s="1445"/>
      <c r="DQ63" s="1445"/>
      <c r="DR63" s="1003">
        <f>IF(DP63=0,0,(DQ63-DP63)/DP63*100)</f>
        <v>0</v>
      </c>
      <c r="DS63" s="1445"/>
      <c r="DT63" s="1445"/>
      <c r="DU63" s="1003">
        <f>IF(DS63=0,0,(DT63-DS63)/DS63*100)</f>
        <v>0</v>
      </c>
      <c r="DV63" s="1445"/>
      <c r="DW63" s="1445"/>
      <c r="DX63" s="1003">
        <f>IF(DV63=0,0,(DW63-DV63)/DV63*100)</f>
        <v>0</v>
      </c>
      <c r="DY63" s="1445"/>
      <c r="DZ63" s="1445"/>
      <c r="EA63" s="1003">
        <f>IF(DY63=0,0,(DZ63-DY63)/DY63*100)</f>
        <v>0</v>
      </c>
      <c r="EB63" s="1445"/>
      <c r="EC63" s="1445"/>
      <c r="ED63" s="1003">
        <f>IF(EB63=0,0,(EC63-EB63)/EB63*100)</f>
        <v>0</v>
      </c>
      <c r="EE63" s="1445"/>
      <c r="EF63" s="1445"/>
      <c r="EG63" s="1003">
        <f>IF(EE63=0,0,(EF63-EE63)/EE63*100)</f>
        <v>0</v>
      </c>
      <c r="EH63" s="1445"/>
      <c r="EI63" s="1445"/>
      <c r="EJ63" s="1003">
        <f>IF(EH63=0,0,(EI63-EH63)/EH63*100)</f>
        <v>0</v>
      </c>
      <c r="EK63" s="1445"/>
      <c r="EL63" s="1445"/>
      <c r="EM63" s="1003">
        <f>IF(EK63=0,0,(EL63-EK63)/EK63*100)</f>
        <v>0</v>
      </c>
      <c r="EN63" s="1445"/>
      <c r="EO63" s="1445"/>
      <c r="EP63" s="1003">
        <f>IF(EN63=0,0,(EO63-EN63)/EN63*100)</f>
        <v>0</v>
      </c>
      <c r="EQ63" s="1445"/>
      <c r="ER63" s="1445"/>
      <c r="ES63" s="1003">
        <f>IF(EQ63=0,0,(ER63-EQ63)/EQ63*100)</f>
        <v>0</v>
      </c>
      <c r="ET63" s="1445"/>
      <c r="EU63" s="1445"/>
      <c r="EV63" s="1003">
        <f>IF(ET63=0,0,(EU63-ET63)/ET63*100)</f>
        <v>0</v>
      </c>
      <c r="EW63" s="1445"/>
      <c r="EX63" s="1445"/>
      <c r="EY63" s="1003">
        <f>IF(EW63=0,0,(EX63-EW63)/EW63*100)</f>
        <v>0</v>
      </c>
      <c r="EZ63" s="1445"/>
      <c r="FA63" s="1445"/>
      <c r="FB63" s="1003">
        <f>IF(EZ63=0,0,(FA63-EZ63)/EZ63*100)</f>
        <v>0</v>
      </c>
      <c r="FC63" s="1445"/>
      <c r="FD63" s="1445"/>
      <c r="FE63" s="1003">
        <f>IF(FC63=0,0,(FD63-FC63)/FC63*100)</f>
        <v>0</v>
      </c>
      <c r="FF63" s="1445"/>
      <c r="FG63" s="1445"/>
      <c r="FH63" s="1003">
        <f>IF(FF63=0,0,(FG63-FF63)/FF63*100)</f>
        <v>0</v>
      </c>
      <c r="FI63" s="1445"/>
      <c r="FJ63" s="1445"/>
      <c r="FK63" s="1003">
        <f>IF(FI63=0,0,(FJ63-FI63)/FI63*100)</f>
        <v>0</v>
      </c>
      <c r="FL63" s="1445"/>
      <c r="FM63" s="1445"/>
      <c r="FN63" s="1003">
        <f>IF(FL63=0,0,(FM63-FL63)/FL63*100)</f>
        <v>0</v>
      </c>
      <c r="FO63" s="1445"/>
      <c r="FP63" s="1445"/>
      <c r="FQ63" s="1003">
        <f>IF(FO63=0,0,(FP63-FO63)/FO63*100)</f>
        <v>0</v>
      </c>
      <c r="FR63" s="1445"/>
      <c r="FS63" s="1445"/>
      <c r="FT63" s="1003">
        <f>IF(FR63=0,0,(FS63-FR63)/FR63*100)</f>
        <v>0</v>
      </c>
      <c r="FU63" s="1445"/>
      <c r="FV63" s="1445"/>
      <c r="FW63" s="1003">
        <f>IF(FU63=0,0,(FV63-FU63)/FU63*100)</f>
        <v>0</v>
      </c>
      <c r="FZ63" s="964" t="s">
        <v>1647</v>
      </c>
    </row>
    <row r="64" spans="1:182" ht="23.85" hidden="1" customHeight="1" x14ac:dyDescent="0.15">
      <c r="A64" s="416"/>
      <c r="B64" s="837" t="b" cm="1">
        <f t="array" ref="B64">B63</f>
        <v>0</v>
      </c>
      <c r="C64" s="416"/>
      <c r="D64" s="416"/>
      <c r="E64" s="759">
        <v>24.5</v>
      </c>
      <c r="F64" s="3" cm="1">
        <f t="array" aca="1" ref="F64" ca="1">OFFSET(E64,-1,1)</f>
        <v>0</v>
      </c>
      <c r="G64" s="416"/>
      <c r="H64" s="416"/>
      <c r="I64" s="416"/>
      <c r="J64" s="416"/>
      <c r="K64" s="416"/>
      <c r="L64" s="416"/>
      <c r="M64" s="416"/>
      <c r="N64" s="416"/>
      <c r="O64" s="416"/>
      <c r="P64" s="416"/>
      <c r="Q64" s="416"/>
      <c r="R64" s="416"/>
      <c r="S64" s="416"/>
      <c r="T64" s="388" t="b" cm="1">
        <f t="array" aca="1" ref="T64" ca="1">T63</f>
        <v>0</v>
      </c>
      <c r="U64" s="416"/>
      <c r="V64" s="416"/>
      <c r="W64" s="416"/>
      <c r="X64" s="2066"/>
      <c r="Y64" s="416"/>
      <c r="Z64" s="2011"/>
      <c r="AA64" s="416"/>
      <c r="AB64" s="211" t="s">
        <v>1648</v>
      </c>
      <c r="AC64" s="817"/>
      <c r="AD64" s="1010"/>
      <c r="AE64" s="1010"/>
      <c r="AF64" s="1010"/>
      <c r="AG64" s="1010"/>
      <c r="AH64" s="1010"/>
      <c r="AI64" s="1010"/>
      <c r="AJ64" s="1010"/>
      <c r="AK64" s="1010"/>
      <c r="AL64" s="1010"/>
      <c r="AM64" s="1010"/>
      <c r="AN64" s="1010"/>
      <c r="AO64" s="1010"/>
      <c r="AP64" s="1010"/>
      <c r="AQ64" s="1010"/>
      <c r="AR64" s="1010"/>
      <c r="AS64" s="1010"/>
      <c r="AT64" s="1010"/>
      <c r="AU64" s="1010"/>
      <c r="AV64" s="1010"/>
      <c r="AW64" s="1010"/>
      <c r="AX64" s="1010"/>
      <c r="AY64" s="1010"/>
      <c r="AZ64" s="1010"/>
      <c r="BA64" s="1010"/>
      <c r="BB64" s="1010"/>
      <c r="BC64" s="1010"/>
      <c r="BD64" s="1010"/>
      <c r="BE64" s="1010"/>
      <c r="BF64" s="1010"/>
      <c r="BG64" s="1010"/>
      <c r="BH64" s="1010"/>
      <c r="BI64" s="1010"/>
      <c r="BJ64" s="1010"/>
      <c r="BK64" s="1010"/>
      <c r="BL64" s="1010"/>
      <c r="BM64" s="1010"/>
      <c r="BN64" s="1010"/>
      <c r="BO64" s="1010"/>
      <c r="BP64" s="1010"/>
      <c r="BQ64" s="1010"/>
      <c r="BR64" s="1010"/>
      <c r="BS64" s="1010"/>
      <c r="BT64" s="1010"/>
      <c r="BU64" s="1010"/>
      <c r="BV64" s="1010"/>
      <c r="BW64" s="1010"/>
      <c r="BX64" s="1010"/>
      <c r="BY64" s="1010"/>
      <c r="BZ64" s="1010"/>
      <c r="CA64" s="1010"/>
      <c r="CB64" s="1010"/>
      <c r="CC64" s="1010"/>
      <c r="CD64" s="1010"/>
      <c r="CE64" s="1010"/>
      <c r="CF64" s="1010"/>
      <c r="CG64" s="1010"/>
      <c r="CH64" s="1010"/>
      <c r="CI64" s="1010"/>
      <c r="CJ64" s="1010"/>
      <c r="CK64" s="1010"/>
      <c r="CL64" s="1010"/>
      <c r="CM64" s="1010"/>
      <c r="CN64" s="1010"/>
      <c r="CO64" s="1010"/>
      <c r="CP64" s="1010"/>
      <c r="CQ64" s="1010"/>
      <c r="CR64" s="1010"/>
      <c r="CS64" s="1010"/>
      <c r="CT64" s="1010"/>
      <c r="CU64" s="1010"/>
      <c r="CV64" s="1010"/>
      <c r="CW64" s="1010"/>
      <c r="CX64" s="1010"/>
      <c r="CY64" s="1010"/>
      <c r="CZ64" s="1010"/>
      <c r="DA64" s="1010"/>
      <c r="DB64" s="1010"/>
      <c r="DC64" s="1010"/>
      <c r="DD64" s="1010"/>
      <c r="DE64" s="1010"/>
      <c r="DF64" s="1010"/>
      <c r="DG64" s="1010"/>
      <c r="DH64" s="1010"/>
      <c r="DI64" s="1010"/>
      <c r="DJ64" s="1010"/>
      <c r="DK64" s="1010"/>
      <c r="DL64" s="1010"/>
      <c r="DM64" s="1010"/>
      <c r="DN64" s="1010"/>
      <c r="DO64" s="1010"/>
      <c r="DP64" s="1010"/>
      <c r="DQ64" s="1010"/>
      <c r="DR64" s="1010"/>
      <c r="DS64" s="1010"/>
      <c r="DT64" s="1010"/>
      <c r="DU64" s="1010"/>
      <c r="DV64" s="1010"/>
      <c r="DW64" s="1010"/>
      <c r="DX64" s="1010"/>
      <c r="DY64" s="1010"/>
      <c r="DZ64" s="1010"/>
      <c r="EA64" s="1010"/>
      <c r="EB64" s="1010"/>
      <c r="EC64" s="1010"/>
      <c r="ED64" s="1010"/>
      <c r="EE64" s="1010"/>
      <c r="EF64" s="1010"/>
      <c r="EG64" s="1010"/>
      <c r="EH64" s="1010"/>
      <c r="EI64" s="1010"/>
      <c r="EJ64" s="1010"/>
      <c r="EK64" s="1010"/>
      <c r="EL64" s="1010"/>
      <c r="EM64" s="1010"/>
      <c r="EN64" s="1010"/>
      <c r="EO64" s="1010"/>
      <c r="EP64" s="1010"/>
      <c r="EQ64" s="1010"/>
      <c r="ER64" s="1010"/>
      <c r="ES64" s="1010"/>
      <c r="ET64" s="1010"/>
      <c r="EU64" s="1010"/>
      <c r="EV64" s="1010"/>
      <c r="EW64" s="1010"/>
      <c r="EX64" s="1010"/>
      <c r="EY64" s="1010"/>
      <c r="EZ64" s="1010"/>
      <c r="FA64" s="1010"/>
      <c r="FB64" s="1010"/>
      <c r="FC64" s="1010"/>
      <c r="FD64" s="1010"/>
      <c r="FE64" s="1010"/>
      <c r="FF64" s="1010"/>
      <c r="FG64" s="1010"/>
      <c r="FH64" s="1010"/>
      <c r="FI64" s="1010"/>
      <c r="FJ64" s="1010"/>
      <c r="FK64" s="1010"/>
      <c r="FL64" s="1010"/>
      <c r="FM64" s="1010"/>
      <c r="FN64" s="1010"/>
      <c r="FO64" s="1010"/>
      <c r="FP64" s="1010"/>
      <c r="FQ64" s="1010"/>
      <c r="FR64" s="1010"/>
      <c r="FS64" s="1010"/>
      <c r="FT64" s="1010"/>
      <c r="FU64" s="1010"/>
      <c r="FV64" s="1010"/>
      <c r="FW64" s="1011"/>
      <c r="FZ64" s="964"/>
    </row>
    <row r="65" spans="1:186" ht="14.65" hidden="1" customHeight="1" x14ac:dyDescent="0.15">
      <c r="A65" s="416"/>
      <c r="B65" s="837" t="b" cm="1">
        <f t="array" ref="B65">B64</f>
        <v>0</v>
      </c>
      <c r="C65" s="416"/>
      <c r="D65" s="416"/>
      <c r="E65" s="759">
        <v>15</v>
      </c>
      <c r="F65" s="3" cm="1">
        <f t="array" aca="1" ref="F65" ca="1">OFFSET(E65,-1,1)</f>
        <v>0</v>
      </c>
      <c r="G65" s="416"/>
      <c r="H65" s="416" t="s">
        <v>1529</v>
      </c>
      <c r="I65" s="416" t="s">
        <v>1605</v>
      </c>
      <c r="J65" s="416"/>
      <c r="K65" s="416"/>
      <c r="L65" s="416"/>
      <c r="M65" s="416"/>
      <c r="N65" s="416"/>
      <c r="O65" s="416"/>
      <c r="P65" s="416"/>
      <c r="Q65" s="416"/>
      <c r="R65" s="416"/>
      <c r="S65" s="416"/>
      <c r="T65" s="388" t="b" cm="1">
        <f t="array" aca="1" ref="T65" ca="1">T64</f>
        <v>0</v>
      </c>
      <c r="U65" s="416"/>
      <c r="V65" s="416"/>
      <c r="W65" s="416"/>
      <c r="X65" s="2066"/>
      <c r="Y65" s="416"/>
      <c r="Z65" s="2011"/>
      <c r="AA65" s="416"/>
      <c r="AB65" s="1001" t="s">
        <v>1621</v>
      </c>
      <c r="AC65" s="783" t="s">
        <v>1588</v>
      </c>
      <c r="AD65" s="1445">
        <f ca="1">IF(AD67=0,0,(AD66*AD67+AD68*AD69*IF(god=2026,3,6))/AD67)</f>
        <v>0</v>
      </c>
      <c r="AE65" s="1445">
        <f ca="1">IF(AE67=0,0,(AE66*AE67+AE68*AE69*IF(god=2026,3,6))/AE67)</f>
        <v>0</v>
      </c>
      <c r="AF65" s="1003">
        <f ca="1">IF(AD65=0,0,(AE65-AD65)/AD65*100)</f>
        <v>0</v>
      </c>
      <c r="AG65" s="1445">
        <f ca="1">IF(AG67=0,0,(AG66*AG67+AG68*AG69*IF(god=2025,3,6))/AG67)</f>
        <v>0</v>
      </c>
      <c r="AH65" s="1445">
        <f ca="1">IF(AH67=0,0,(AH66*AH67+AH68*AH69*IF(god=2025,3,6))/AH67)</f>
        <v>0</v>
      </c>
      <c r="AI65" s="1003">
        <f ca="1">IF(AG65=0,0,(AH65-AG65)/AG65*100)</f>
        <v>0</v>
      </c>
      <c r="AJ65" s="1445">
        <f ca="1">IF(AJ67=0,0,(AJ66*AJ67+AJ68*AJ69*6)/AJ67)</f>
        <v>0</v>
      </c>
      <c r="AK65" s="1445">
        <f ca="1">IF(AK67=0,0,(AK66*AK67+AK68*AK69*6)/AK67)</f>
        <v>0</v>
      </c>
      <c r="AL65" s="1003">
        <f ca="1">IF(AJ65=0,0,(AK65-AJ65)/AJ65*100)</f>
        <v>0</v>
      </c>
      <c r="AM65" s="1445">
        <f ca="1">IF(AM67=0,0,(AM66*AM67+AM68*AM69*6)/AM67)</f>
        <v>0</v>
      </c>
      <c r="AN65" s="1445">
        <f ca="1">IF(AN67=0,0,(AN66*AN67+AN68*AN69*6)/AN67)</f>
        <v>0</v>
      </c>
      <c r="AO65" s="1003">
        <f ca="1">IF(AM65=0,0,(AN65-AM65)/AM65*100)</f>
        <v>0</v>
      </c>
      <c r="AP65" s="1445">
        <f ca="1">IF(AP67=0,0,(AP66*AP67+AP68*AP69*6)/AP67)</f>
        <v>0</v>
      </c>
      <c r="AQ65" s="1445">
        <f ca="1">IF(AQ67=0,0,(AQ66*AQ67+AQ68*AQ69*6)/AQ67)</f>
        <v>0</v>
      </c>
      <c r="AR65" s="1003">
        <f ca="1">IF(AP65=0,0,(AQ65-AP65)/AP65*100)</f>
        <v>0</v>
      </c>
      <c r="AS65" s="1445">
        <f ca="1">IF(AS67=0,0,(AS66*AS67+AS68*AS69*6)/AS67)</f>
        <v>0</v>
      </c>
      <c r="AT65" s="1445">
        <f ca="1">IF(AT67=0,0,(AT66*AT67+AT68*AT69*6)/AT67)</f>
        <v>0</v>
      </c>
      <c r="AU65" s="1003">
        <f ca="1">IF(AS65=0,0,(AT65-AS65)/AS65*100)</f>
        <v>0</v>
      </c>
      <c r="AV65" s="1445">
        <f ca="1">IF(AV67=0,0,(AV66*AV67+AV68*AV69*6)/AV67)</f>
        <v>0</v>
      </c>
      <c r="AW65" s="1445">
        <f ca="1">IF(AW67=0,0,(AW66*AW67+AW68*AW69*6)/AW67)</f>
        <v>0</v>
      </c>
      <c r="AX65" s="1003">
        <f ca="1">IF(AV65=0,0,(AW65-AV65)/AV65*100)</f>
        <v>0</v>
      </c>
      <c r="AY65" s="1445">
        <f ca="1">IF(AY67=0,0,(AY66*AY67+AY68*AY69*6)/AY67)</f>
        <v>0</v>
      </c>
      <c r="AZ65" s="1445">
        <f ca="1">IF(AZ67=0,0,(AZ66*AZ67+AZ68*AZ69*6)/AZ67)</f>
        <v>0</v>
      </c>
      <c r="BA65" s="1003">
        <f ca="1">IF(AY65=0,0,(AZ65-AY65)/AY65*100)</f>
        <v>0</v>
      </c>
      <c r="BB65" s="1445">
        <f ca="1">IF(BB67=0,0,(BB66*BB67+BB68*BB69*6)/BB67)</f>
        <v>0</v>
      </c>
      <c r="BC65" s="1445">
        <f ca="1">IF(BC67=0,0,(BC66*BC67+BC68*BC69*6)/BC67)</f>
        <v>0</v>
      </c>
      <c r="BD65" s="1003">
        <f ca="1">IF(BB65=0,0,(BC65-BB65)/BB65*100)</f>
        <v>0</v>
      </c>
      <c r="BE65" s="1445">
        <f ca="1">IF(BE67=0,0,(BE66*BE67+BE68*BE69*6)/BE67)</f>
        <v>0</v>
      </c>
      <c r="BF65" s="1445">
        <f ca="1">IF(BF67=0,0,(BF66*BF67+BF68*BF69*6)/BF67)</f>
        <v>0</v>
      </c>
      <c r="BG65" s="1003">
        <f ca="1">IF(BE65=0,0,(BF65-BE65)/BE65*100)</f>
        <v>0</v>
      </c>
      <c r="BH65" s="1445">
        <f>IF(BH67=0,0,(BH66*BH67+BH68*BH69*6)/BH67)</f>
        <v>0</v>
      </c>
      <c r="BI65" s="1445">
        <f>IF(BI67=0,0,(BI66*BI67+BI68*BI69*6)/BI67)</f>
        <v>0</v>
      </c>
      <c r="BJ65" s="1003">
        <f>IF(BH65=0,0,(BI65-BH65)/BH65*100)</f>
        <v>0</v>
      </c>
      <c r="BK65" s="1445">
        <f>IF(BK67=0,0,(BK66*BK67+BK68*BK69*6)/BK67)</f>
        <v>0</v>
      </c>
      <c r="BL65" s="1445">
        <f>IF(BL67=0,0,(BL66*BL67+BL68*BL69*6)/BL67)</f>
        <v>0</v>
      </c>
      <c r="BM65" s="1003">
        <f>IF(BK65=0,0,(BL65-BK65)/BK65*100)</f>
        <v>0</v>
      </c>
      <c r="BN65" s="1445">
        <f>IF(BN67=0,0,(BN66*BN67+BN68*BN69*6)/BN67)</f>
        <v>0</v>
      </c>
      <c r="BO65" s="1445">
        <f>IF(BO67=0,0,(BO66*BO67+BO68*BO69*6)/BO67)</f>
        <v>0</v>
      </c>
      <c r="BP65" s="1003">
        <f>IF(BN65=0,0,(BO65-BN65)/BN65*100)</f>
        <v>0</v>
      </c>
      <c r="BQ65" s="1445">
        <f>IF(BQ67=0,0,(BQ66*BQ67+BQ68*BQ69*6)/BQ67)</f>
        <v>0</v>
      </c>
      <c r="BR65" s="1445">
        <f>IF(BR67=0,0,(BR66*BR67+BR68*BR69*6)/BR67)</f>
        <v>0</v>
      </c>
      <c r="BS65" s="1003">
        <f>IF(BQ65=0,0,(BR65-BQ65)/BQ65*100)</f>
        <v>0</v>
      </c>
      <c r="BT65" s="1445">
        <f>IF(BT67=0,0,(BT66*BT67+BT68*BT69*6)/BT67)</f>
        <v>0</v>
      </c>
      <c r="BU65" s="1445">
        <f>IF(BU67=0,0,(BU66*BU67+BU68*BU69*6)/BU67)</f>
        <v>0</v>
      </c>
      <c r="BV65" s="1003">
        <f>IF(BT65=0,0,(BU65-BT65)/BT65*100)</f>
        <v>0</v>
      </c>
      <c r="BW65" s="1445">
        <f>IF(BW67=0,0,(BW66*BW67+BW68*BW69*6)/BW67)</f>
        <v>0</v>
      </c>
      <c r="BX65" s="1445">
        <f>IF(BX67=0,0,(BX66*BX67+BX68*BX69*6)/BX67)</f>
        <v>0</v>
      </c>
      <c r="BY65" s="1003">
        <f>IF(BW65=0,0,(BX65-BW65)/BW65*100)</f>
        <v>0</v>
      </c>
      <c r="BZ65" s="1445">
        <f>IF(BZ67=0,0,(BZ66*BZ67+BZ68*BZ69*6)/BZ67)</f>
        <v>0</v>
      </c>
      <c r="CA65" s="1445">
        <f>IF(CA67=0,0,(CA66*CA67+CA68*CA69*6)/CA67)</f>
        <v>0</v>
      </c>
      <c r="CB65" s="1003">
        <f>IF(BZ65=0,0,(CA65-BZ65)/BZ65*100)</f>
        <v>0</v>
      </c>
      <c r="CC65" s="1445">
        <f>IF(CC67=0,0,(CC66*CC67+CC68*CC69*6)/CC67)</f>
        <v>0</v>
      </c>
      <c r="CD65" s="1445">
        <f>IF(CD67=0,0,(CD66*CD67+CD68*CD69*6)/CD67)</f>
        <v>0</v>
      </c>
      <c r="CE65" s="1003">
        <f>IF(CC65=0,0,(CD65-CC65)/CC65*100)</f>
        <v>0</v>
      </c>
      <c r="CF65" s="1445">
        <f>IF(CF67=0,0,(CF66*CF67+CF68*CF69*6)/CF67)</f>
        <v>0</v>
      </c>
      <c r="CG65" s="1445">
        <f>IF(CG67=0,0,(CG66*CG67+CG68*CG69*6)/CG67)</f>
        <v>0</v>
      </c>
      <c r="CH65" s="1003">
        <f>IF(CF65=0,0,(CG65-CF65)/CF65*100)</f>
        <v>0</v>
      </c>
      <c r="CI65" s="1445">
        <f>IF(CI67=0,0,(CI66*CI67+CI68*CI69*6)/CI67)</f>
        <v>0</v>
      </c>
      <c r="CJ65" s="1445">
        <f>IF(CJ67=0,0,(CJ66*CJ67+CJ68*CJ69*6)/CJ67)</f>
        <v>0</v>
      </c>
      <c r="CK65" s="1003">
        <f>IF(CI65=0,0,(CJ65-CI65)/CI65*100)</f>
        <v>0</v>
      </c>
      <c r="CL65" s="1445">
        <f>IF(CL67=0,0,(CL66*CL67+CL68*CL69*6)/CL67)</f>
        <v>0</v>
      </c>
      <c r="CM65" s="1445">
        <f>IF(CM67=0,0,(CM66*CM67+CM68*CM69*6)/CM67)</f>
        <v>0</v>
      </c>
      <c r="CN65" s="1003">
        <f>IF(CL65=0,0,(CM65-CL65)/CL65*100)</f>
        <v>0</v>
      </c>
      <c r="CO65" s="1445">
        <f>IF(CO67=0,0,(CO66*CO67+CO68*CO69*6)/CO67)</f>
        <v>0</v>
      </c>
      <c r="CP65" s="1445">
        <f>IF(CP67=0,0,(CP66*CP67+CP68*CP69*6)/CP67)</f>
        <v>0</v>
      </c>
      <c r="CQ65" s="1003">
        <f>IF(CO65=0,0,(CP65-CO65)/CO65*100)</f>
        <v>0</v>
      </c>
      <c r="CR65" s="1445">
        <f>IF(CR67=0,0,(CR66*CR67+CR68*CR69*6)/CR67)</f>
        <v>0</v>
      </c>
      <c r="CS65" s="1445">
        <f>IF(CS67=0,0,(CS66*CS67+CS68*CS69*6)/CS67)</f>
        <v>0</v>
      </c>
      <c r="CT65" s="1003">
        <f>IF(CR65=0,0,(CS65-CR65)/CR65*100)</f>
        <v>0</v>
      </c>
      <c r="CU65" s="1445">
        <f>IF(CU67=0,0,(CU66*CU67+CU68*CU69*6)/CU67)</f>
        <v>0</v>
      </c>
      <c r="CV65" s="1445">
        <f>IF(CV67=0,0,(CV66*CV67+CV68*CV69*6)/CV67)</f>
        <v>0</v>
      </c>
      <c r="CW65" s="1003">
        <f>IF(CU65=0,0,(CV65-CU65)/CU65*100)</f>
        <v>0</v>
      </c>
      <c r="CX65" s="1445">
        <f>IF(CX67=0,0,(CX66*CX67+CX68*CX69*6)/CX67)</f>
        <v>0</v>
      </c>
      <c r="CY65" s="1445">
        <f>IF(CY67=0,0,(CY66*CY67+CY68*CY69*6)/CY67)</f>
        <v>0</v>
      </c>
      <c r="CZ65" s="1003">
        <f>IF(CX65=0,0,(CY65-CX65)/CX65*100)</f>
        <v>0</v>
      </c>
      <c r="DA65" s="1445">
        <f>IF(DA67=0,0,(DA66*DA67+DA68*DA69*6)/DA67)</f>
        <v>0</v>
      </c>
      <c r="DB65" s="1445">
        <f>IF(DB67=0,0,(DB66*DB67+DB68*DB69*6)/DB67)</f>
        <v>0</v>
      </c>
      <c r="DC65" s="1003">
        <f>IF(DA65=0,0,(DB65-DA65)/DA65*100)</f>
        <v>0</v>
      </c>
      <c r="DD65" s="1445">
        <f>IF(DD67=0,0,(DD66*DD67+DD68*DD69*6)/DD67)</f>
        <v>0</v>
      </c>
      <c r="DE65" s="1445">
        <f>IF(DE67=0,0,(DE66*DE67+DE68*DE69*6)/DE67)</f>
        <v>0</v>
      </c>
      <c r="DF65" s="1003">
        <f>IF(DD65=0,0,(DE65-DD65)/DD65*100)</f>
        <v>0</v>
      </c>
      <c r="DG65" s="1445">
        <f>IF(DG67=0,0,(DG66*DG67+DG68*DG69*6)/DG67)</f>
        <v>0</v>
      </c>
      <c r="DH65" s="1445">
        <f>IF(DH67=0,0,(DH66*DH67+DH68*DH69*6)/DH67)</f>
        <v>0</v>
      </c>
      <c r="DI65" s="1003">
        <f>IF(DG65=0,0,(DH65-DG65)/DG65*100)</f>
        <v>0</v>
      </c>
      <c r="DJ65" s="1445">
        <f>IF(DJ67=0,0,(DJ66*DJ67+DJ68*DJ69*6)/DJ67)</f>
        <v>0</v>
      </c>
      <c r="DK65" s="1445">
        <f>IF(DK67=0,0,(DK66*DK67+DK68*DK69*6)/DK67)</f>
        <v>0</v>
      </c>
      <c r="DL65" s="1003">
        <f>IF(DJ65=0,0,(DK65-DJ65)/DJ65*100)</f>
        <v>0</v>
      </c>
      <c r="DM65" s="1445">
        <f>IF(DM67=0,0,(DM66*DM67+DM68*DM69*6)/DM67)</f>
        <v>0</v>
      </c>
      <c r="DN65" s="1445">
        <f>IF(DN67=0,0,(DN66*DN67+DN68*DN69*6)/DN67)</f>
        <v>0</v>
      </c>
      <c r="DO65" s="1003">
        <f>IF(DM65=0,0,(DN65-DM65)/DM65*100)</f>
        <v>0</v>
      </c>
      <c r="DP65" s="1445">
        <f>IF(DP67=0,0,(DP66*DP67+DP68*DP69*6)/DP67)</f>
        <v>0</v>
      </c>
      <c r="DQ65" s="1445">
        <f>IF(DQ67=0,0,(DQ66*DQ67+DQ68*DQ69*6)/DQ67)</f>
        <v>0</v>
      </c>
      <c r="DR65" s="1003">
        <f>IF(DP65=0,0,(DQ65-DP65)/DP65*100)</f>
        <v>0</v>
      </c>
      <c r="DS65" s="1445">
        <f>IF(DS67=0,0,(DS66*DS67+DS68*DS69*6)/DS67)</f>
        <v>0</v>
      </c>
      <c r="DT65" s="1445">
        <f>IF(DT67=0,0,(DT66*DT67+DT68*DT69*6)/DT67)</f>
        <v>0</v>
      </c>
      <c r="DU65" s="1003">
        <f>IF(DS65=0,0,(DT65-DS65)/DS65*100)</f>
        <v>0</v>
      </c>
      <c r="DV65" s="1445">
        <f>IF(DV67=0,0,(DV66*DV67+DV68*DV69*6)/DV67)</f>
        <v>0</v>
      </c>
      <c r="DW65" s="1445">
        <f>IF(DW67=0,0,(DW66*DW67+DW68*DW69*6)/DW67)</f>
        <v>0</v>
      </c>
      <c r="DX65" s="1003">
        <f>IF(DV65=0,0,(DW65-DV65)/DV65*100)</f>
        <v>0</v>
      </c>
      <c r="DY65" s="1445">
        <f>IF(DY67=0,0,(DY66*DY67+DY68*DY69*6)/DY67)</f>
        <v>0</v>
      </c>
      <c r="DZ65" s="1445">
        <f>IF(DZ67=0,0,(DZ66*DZ67+DZ68*DZ69*6)/DZ67)</f>
        <v>0</v>
      </c>
      <c r="EA65" s="1003">
        <f>IF(DY65=0,0,(DZ65-DY65)/DY65*100)</f>
        <v>0</v>
      </c>
      <c r="EB65" s="1445">
        <f>IF(EB67=0,0,(EB66*EB67+EB68*EB69*6)/EB67)</f>
        <v>0</v>
      </c>
      <c r="EC65" s="1445">
        <f>IF(EC67=0,0,(EC66*EC67+EC68*EC69*6)/EC67)</f>
        <v>0</v>
      </c>
      <c r="ED65" s="1003">
        <f>IF(EB65=0,0,(EC65-EB65)/EB65*100)</f>
        <v>0</v>
      </c>
      <c r="EE65" s="1445">
        <f>IF(EE67=0,0,(EE66*EE67+EE68*EE69*6)/EE67)</f>
        <v>0</v>
      </c>
      <c r="EF65" s="1445">
        <f>IF(EF67=0,0,(EF66*EF67+EF68*EF69*6)/EF67)</f>
        <v>0</v>
      </c>
      <c r="EG65" s="1003">
        <f>IF(EE65=0,0,(EF65-EE65)/EE65*100)</f>
        <v>0</v>
      </c>
      <c r="EH65" s="1445">
        <f>IF(EH67=0,0,(EH66*EH67+EH68*EH69*6)/EH67)</f>
        <v>0</v>
      </c>
      <c r="EI65" s="1445">
        <f>IF(EI67=0,0,(EI66*EI67+EI68*EI69*6)/EI67)</f>
        <v>0</v>
      </c>
      <c r="EJ65" s="1003">
        <f>IF(EH65=0,0,(EI65-EH65)/EH65*100)</f>
        <v>0</v>
      </c>
      <c r="EK65" s="1445">
        <f>IF(EK67=0,0,(EK66*EK67+EK68*EK69*6)/EK67)</f>
        <v>0</v>
      </c>
      <c r="EL65" s="1445">
        <f>IF(EL67=0,0,(EL66*EL67+EL68*EL69*6)/EL67)</f>
        <v>0</v>
      </c>
      <c r="EM65" s="1003">
        <f>IF(EK65=0,0,(EL65-EK65)/EK65*100)</f>
        <v>0</v>
      </c>
      <c r="EN65" s="1445">
        <f>IF(EN67=0,0,(EN66*EN67+EN68*EN69*6)/EN67)</f>
        <v>0</v>
      </c>
      <c r="EO65" s="1445">
        <f>IF(EO67=0,0,(EO66*EO67+EO68*EO69*6)/EO67)</f>
        <v>0</v>
      </c>
      <c r="EP65" s="1003">
        <f>IF(EN65=0,0,(EO65-EN65)/EN65*100)</f>
        <v>0</v>
      </c>
      <c r="EQ65" s="1445">
        <f>IF(EQ67=0,0,(EQ66*EQ67+EQ68*EQ69*6)/EQ67)</f>
        <v>0</v>
      </c>
      <c r="ER65" s="1445">
        <f>IF(ER67=0,0,(ER66*ER67+ER68*ER69*6)/ER67)</f>
        <v>0</v>
      </c>
      <c r="ES65" s="1003">
        <f>IF(EQ65=0,0,(ER65-EQ65)/EQ65*100)</f>
        <v>0</v>
      </c>
      <c r="ET65" s="1445">
        <f>IF(ET67=0,0,(ET66*ET67+ET68*ET69*6)/ET67)</f>
        <v>0</v>
      </c>
      <c r="EU65" s="1445">
        <f>IF(EU67=0,0,(EU66*EU67+EU68*EU69*6)/EU67)</f>
        <v>0</v>
      </c>
      <c r="EV65" s="1003">
        <f>IF(ET65=0,0,(EU65-ET65)/ET65*100)</f>
        <v>0</v>
      </c>
      <c r="EW65" s="1445">
        <f>IF(EW67=0,0,(EW66*EW67+EW68*EW69*6)/EW67)</f>
        <v>0</v>
      </c>
      <c r="EX65" s="1445">
        <f>IF(EX67=0,0,(EX66*EX67+EX68*EX69*6)/EX67)</f>
        <v>0</v>
      </c>
      <c r="EY65" s="1003">
        <f>IF(EW65=0,0,(EX65-EW65)/EW65*100)</f>
        <v>0</v>
      </c>
      <c r="EZ65" s="1445">
        <f>IF(EZ67=0,0,(EZ66*EZ67+EZ68*EZ69*6)/EZ67)</f>
        <v>0</v>
      </c>
      <c r="FA65" s="1445">
        <f>IF(FA67=0,0,(FA66*FA67+FA68*FA69*6)/FA67)</f>
        <v>0</v>
      </c>
      <c r="FB65" s="1003">
        <f>IF(EZ65=0,0,(FA65-EZ65)/EZ65*100)</f>
        <v>0</v>
      </c>
      <c r="FC65" s="1445">
        <f>IF(FC67=0,0,(FC66*FC67+FC68*FC69*6)/FC67)</f>
        <v>0</v>
      </c>
      <c r="FD65" s="1445">
        <f>IF(FD67=0,0,(FD66*FD67+FD68*FD69*6)/FD67)</f>
        <v>0</v>
      </c>
      <c r="FE65" s="1003">
        <f>IF(FC65=0,0,(FD65-FC65)/FC65*100)</f>
        <v>0</v>
      </c>
      <c r="FF65" s="1445">
        <f>IF(FF67=0,0,(FF66*FF67+FF68*FF69*6)/FF67)</f>
        <v>0</v>
      </c>
      <c r="FG65" s="1445">
        <f>IF(FG67=0,0,(FG66*FG67+FG68*FG69*6)/FG67)</f>
        <v>0</v>
      </c>
      <c r="FH65" s="1003">
        <f>IF(FF65=0,0,(FG65-FF65)/FF65*100)</f>
        <v>0</v>
      </c>
      <c r="FI65" s="1445">
        <f>IF(FI67=0,0,(FI66*FI67+FI68*FI69*6)/FI67)</f>
        <v>0</v>
      </c>
      <c r="FJ65" s="1445">
        <f>IF(FJ67=0,0,(FJ66*FJ67+FJ68*FJ69*6)/FJ67)</f>
        <v>0</v>
      </c>
      <c r="FK65" s="1003">
        <f>IF(FI65=0,0,(FJ65-FI65)/FI65*100)</f>
        <v>0</v>
      </c>
      <c r="FL65" s="1445">
        <f>IF(FL67=0,0,(FL66*FL67+FL68*FL69*6)/FL67)</f>
        <v>0</v>
      </c>
      <c r="FM65" s="1445">
        <f>IF(FM67=0,0,(FM66*FM67+FM68*FM69*6)/FM67)</f>
        <v>0</v>
      </c>
      <c r="FN65" s="1003">
        <f>IF(FL65=0,0,(FM65-FL65)/FL65*100)</f>
        <v>0</v>
      </c>
      <c r="FO65" s="1445">
        <f>IF(FO67=0,0,(FO66*FO67+FO68*FO69*6)/FO67)</f>
        <v>0</v>
      </c>
      <c r="FP65" s="1445">
        <f>IF(FP67=0,0,(FP66*FP67+FP68*FP69*6)/FP67)</f>
        <v>0</v>
      </c>
      <c r="FQ65" s="1003">
        <f>IF(FO65=0,0,(FP65-FO65)/FO65*100)</f>
        <v>0</v>
      </c>
      <c r="FR65" s="1445">
        <f>IF(FR67=0,0,(FR66*FR67+FR68*FR69*6)/FR67)</f>
        <v>0</v>
      </c>
      <c r="FS65" s="1445">
        <f>IF(FS67=0,0,(FS66*FS67+FS68*FS69*6)/FS67)</f>
        <v>0</v>
      </c>
      <c r="FT65" s="1003">
        <f>IF(FR65=0,0,(FS65-FR65)/FR65*100)</f>
        <v>0</v>
      </c>
      <c r="FU65" s="1445">
        <f>IF(FU67=0,0,(FU66*FU67+FU68*FU69*6)/FU67)</f>
        <v>0</v>
      </c>
      <c r="FV65" s="1445">
        <f>IF(FV67=0,0,(FV66*FV67+FV68*FV69*6)/FV67)</f>
        <v>0</v>
      </c>
      <c r="FW65" s="1003">
        <f>IF(FU65=0,0,(FV65-FU65)/FU65*100)</f>
        <v>0</v>
      </c>
      <c r="FZ65" s="964" t="s">
        <v>1649</v>
      </c>
    </row>
    <row r="66" spans="1:186" ht="14.65" hidden="1" customHeight="1" x14ac:dyDescent="0.15">
      <c r="A66" s="416"/>
      <c r="B66" s="837" t="b" cm="1">
        <f t="array" ref="B66">B65</f>
        <v>0</v>
      </c>
      <c r="C66" s="416"/>
      <c r="D66" s="416"/>
      <c r="E66" s="759">
        <v>15</v>
      </c>
      <c r="F66" s="3" cm="1">
        <f t="array" aca="1" ref="F66" ca="1">OFFSET(E66,-1,1)</f>
        <v>0</v>
      </c>
      <c r="G66" s="416"/>
      <c r="H66" s="416" t="s">
        <v>1533</v>
      </c>
      <c r="I66" s="416" t="s">
        <v>1605</v>
      </c>
      <c r="J66" s="416"/>
      <c r="K66" s="416"/>
      <c r="L66" s="416"/>
      <c r="M66" s="416"/>
      <c r="N66" s="416"/>
      <c r="O66" s="416"/>
      <c r="P66" s="416"/>
      <c r="Q66" s="416"/>
      <c r="R66" s="416"/>
      <c r="S66" s="416"/>
      <c r="T66" s="388" t="b" cm="1">
        <f t="array" aca="1" ref="T66" ca="1">T65</f>
        <v>0</v>
      </c>
      <c r="U66" s="416"/>
      <c r="V66" s="416"/>
      <c r="W66" s="416"/>
      <c r="X66" s="2066"/>
      <c r="Y66" s="416"/>
      <c r="Z66" s="2011"/>
      <c r="AA66" s="416"/>
      <c r="AB66" s="818" t="str">
        <f>"ставка платы за "&amp;IF(Q29="Водоснабжение","потребление 1 куб.м холодной воды","объем принятых сточных вод")</f>
        <v>ставка платы за объем принятых сточных вод</v>
      </c>
      <c r="AC66" s="783" t="s">
        <v>1588</v>
      </c>
      <c r="AD66" s="1445"/>
      <c r="AE66" s="1445"/>
      <c r="AF66" s="1003">
        <f>IF(AD66=0,0,(AE66-AD66)/AD66*100)</f>
        <v>0</v>
      </c>
      <c r="AG66" s="1445"/>
      <c r="AH66" s="1445"/>
      <c r="AI66" s="1003">
        <f>IF(AG66=0,0,(AH66-AG66)/AG66*100)</f>
        <v>0</v>
      </c>
      <c r="AJ66" s="1445"/>
      <c r="AK66" s="1445"/>
      <c r="AL66" s="1003">
        <f>IF(AJ66=0,0,(AK66-AJ66)/AJ66*100)</f>
        <v>0</v>
      </c>
      <c r="AM66" s="1445"/>
      <c r="AN66" s="1445"/>
      <c r="AO66" s="1003">
        <f>IF(AM66=0,0,(AN66-AM66)/AM66*100)</f>
        <v>0</v>
      </c>
      <c r="AP66" s="1445"/>
      <c r="AQ66" s="1445"/>
      <c r="AR66" s="1003">
        <f>IF(AP66=0,0,(AQ66-AP66)/AP66*100)</f>
        <v>0</v>
      </c>
      <c r="AS66" s="1445"/>
      <c r="AT66" s="1445"/>
      <c r="AU66" s="1003">
        <f>IF(AS66=0,0,(AT66-AS66)/AS66*100)</f>
        <v>0</v>
      </c>
      <c r="AV66" s="1445"/>
      <c r="AW66" s="1445"/>
      <c r="AX66" s="1003">
        <f>IF(AV66=0,0,(AW66-AV66)/AV66*100)</f>
        <v>0</v>
      </c>
      <c r="AY66" s="1445"/>
      <c r="AZ66" s="1445"/>
      <c r="BA66" s="1003">
        <f>IF(AY66=0,0,(AZ66-AY66)/AY66*100)</f>
        <v>0</v>
      </c>
      <c r="BB66" s="1445"/>
      <c r="BC66" s="1445"/>
      <c r="BD66" s="1003">
        <f>IF(BB66=0,0,(BC66-BB66)/BB66*100)</f>
        <v>0</v>
      </c>
      <c r="BE66" s="1445"/>
      <c r="BF66" s="1445"/>
      <c r="BG66" s="1003">
        <f>IF(BE66=0,0,(BF66-BE66)/BE66*100)</f>
        <v>0</v>
      </c>
      <c r="BH66" s="1445"/>
      <c r="BI66" s="1445"/>
      <c r="BJ66" s="1003">
        <f>IF(BH66=0,0,(BI66-BH66)/BH66*100)</f>
        <v>0</v>
      </c>
      <c r="BK66" s="1445"/>
      <c r="BL66" s="1445"/>
      <c r="BM66" s="1003">
        <f>IF(BK66=0,0,(BL66-BK66)/BK66*100)</f>
        <v>0</v>
      </c>
      <c r="BN66" s="1445"/>
      <c r="BO66" s="1445"/>
      <c r="BP66" s="1003">
        <f>IF(BN66=0,0,(BO66-BN66)/BN66*100)</f>
        <v>0</v>
      </c>
      <c r="BQ66" s="1445"/>
      <c r="BR66" s="1445"/>
      <c r="BS66" s="1003">
        <f>IF(BQ66=0,0,(BR66-BQ66)/BQ66*100)</f>
        <v>0</v>
      </c>
      <c r="BT66" s="1445"/>
      <c r="BU66" s="1445"/>
      <c r="BV66" s="1003">
        <f>IF(BT66=0,0,(BU66-BT66)/BT66*100)</f>
        <v>0</v>
      </c>
      <c r="BW66" s="1445"/>
      <c r="BX66" s="1445"/>
      <c r="BY66" s="1003">
        <f>IF(BW66=0,0,(BX66-BW66)/BW66*100)</f>
        <v>0</v>
      </c>
      <c r="BZ66" s="1445"/>
      <c r="CA66" s="1445"/>
      <c r="CB66" s="1003">
        <f>IF(BZ66=0,0,(CA66-BZ66)/BZ66*100)</f>
        <v>0</v>
      </c>
      <c r="CC66" s="1445"/>
      <c r="CD66" s="1445"/>
      <c r="CE66" s="1003">
        <f>IF(CC66=0,0,(CD66-CC66)/CC66*100)</f>
        <v>0</v>
      </c>
      <c r="CF66" s="1445"/>
      <c r="CG66" s="1445"/>
      <c r="CH66" s="1003">
        <f>IF(CF66=0,0,(CG66-CF66)/CF66*100)</f>
        <v>0</v>
      </c>
      <c r="CI66" s="1445"/>
      <c r="CJ66" s="1445"/>
      <c r="CK66" s="1003">
        <f>IF(CI66=0,0,(CJ66-CI66)/CI66*100)</f>
        <v>0</v>
      </c>
      <c r="CL66" s="1445"/>
      <c r="CM66" s="1445"/>
      <c r="CN66" s="1003">
        <f>IF(CL66=0,0,(CM66-CL66)/CL66*100)</f>
        <v>0</v>
      </c>
      <c r="CO66" s="1445"/>
      <c r="CP66" s="1445"/>
      <c r="CQ66" s="1003">
        <f>IF(CO66=0,0,(CP66-CO66)/CO66*100)</f>
        <v>0</v>
      </c>
      <c r="CR66" s="1445"/>
      <c r="CS66" s="1445"/>
      <c r="CT66" s="1003">
        <f>IF(CR66=0,0,(CS66-CR66)/CR66*100)</f>
        <v>0</v>
      </c>
      <c r="CU66" s="1445"/>
      <c r="CV66" s="1445"/>
      <c r="CW66" s="1003">
        <f>IF(CU66=0,0,(CV66-CU66)/CU66*100)</f>
        <v>0</v>
      </c>
      <c r="CX66" s="1445"/>
      <c r="CY66" s="1445"/>
      <c r="CZ66" s="1003">
        <f>IF(CX66=0,0,(CY66-CX66)/CX66*100)</f>
        <v>0</v>
      </c>
      <c r="DA66" s="1445"/>
      <c r="DB66" s="1445"/>
      <c r="DC66" s="1003">
        <f>IF(DA66=0,0,(DB66-DA66)/DA66*100)</f>
        <v>0</v>
      </c>
      <c r="DD66" s="1445"/>
      <c r="DE66" s="1445"/>
      <c r="DF66" s="1003">
        <f>IF(DD66=0,0,(DE66-DD66)/DD66*100)</f>
        <v>0</v>
      </c>
      <c r="DG66" s="1445"/>
      <c r="DH66" s="1445"/>
      <c r="DI66" s="1003">
        <f>IF(DG66=0,0,(DH66-DG66)/DG66*100)</f>
        <v>0</v>
      </c>
      <c r="DJ66" s="1445"/>
      <c r="DK66" s="1445"/>
      <c r="DL66" s="1003">
        <f>IF(DJ66=0,0,(DK66-DJ66)/DJ66*100)</f>
        <v>0</v>
      </c>
      <c r="DM66" s="1445"/>
      <c r="DN66" s="1445"/>
      <c r="DO66" s="1003">
        <f>IF(DM66=0,0,(DN66-DM66)/DM66*100)</f>
        <v>0</v>
      </c>
      <c r="DP66" s="1445"/>
      <c r="DQ66" s="1445"/>
      <c r="DR66" s="1003">
        <f>IF(DP66=0,0,(DQ66-DP66)/DP66*100)</f>
        <v>0</v>
      </c>
      <c r="DS66" s="1445"/>
      <c r="DT66" s="1445"/>
      <c r="DU66" s="1003">
        <f>IF(DS66=0,0,(DT66-DS66)/DS66*100)</f>
        <v>0</v>
      </c>
      <c r="DV66" s="1445"/>
      <c r="DW66" s="1445"/>
      <c r="DX66" s="1003">
        <f>IF(DV66=0,0,(DW66-DV66)/DV66*100)</f>
        <v>0</v>
      </c>
      <c r="DY66" s="1445"/>
      <c r="DZ66" s="1445"/>
      <c r="EA66" s="1003">
        <f>IF(DY66=0,0,(DZ66-DY66)/DY66*100)</f>
        <v>0</v>
      </c>
      <c r="EB66" s="1445"/>
      <c r="EC66" s="1445"/>
      <c r="ED66" s="1003">
        <f>IF(EB66=0,0,(EC66-EB66)/EB66*100)</f>
        <v>0</v>
      </c>
      <c r="EE66" s="1445"/>
      <c r="EF66" s="1445"/>
      <c r="EG66" s="1003">
        <f>IF(EE66=0,0,(EF66-EE66)/EE66*100)</f>
        <v>0</v>
      </c>
      <c r="EH66" s="1445"/>
      <c r="EI66" s="1445"/>
      <c r="EJ66" s="1003">
        <f>IF(EH66=0,0,(EI66-EH66)/EH66*100)</f>
        <v>0</v>
      </c>
      <c r="EK66" s="1445"/>
      <c r="EL66" s="1445"/>
      <c r="EM66" s="1003">
        <f>IF(EK66=0,0,(EL66-EK66)/EK66*100)</f>
        <v>0</v>
      </c>
      <c r="EN66" s="1445"/>
      <c r="EO66" s="1445"/>
      <c r="EP66" s="1003">
        <f>IF(EN66=0,0,(EO66-EN66)/EN66*100)</f>
        <v>0</v>
      </c>
      <c r="EQ66" s="1445"/>
      <c r="ER66" s="1445"/>
      <c r="ES66" s="1003">
        <f>IF(EQ66=0,0,(ER66-EQ66)/EQ66*100)</f>
        <v>0</v>
      </c>
      <c r="ET66" s="1445"/>
      <c r="EU66" s="1445"/>
      <c r="EV66" s="1003">
        <f>IF(ET66=0,0,(EU66-ET66)/ET66*100)</f>
        <v>0</v>
      </c>
      <c r="EW66" s="1445"/>
      <c r="EX66" s="1445"/>
      <c r="EY66" s="1003">
        <f>IF(EW66=0,0,(EX66-EW66)/EW66*100)</f>
        <v>0</v>
      </c>
      <c r="EZ66" s="1445"/>
      <c r="FA66" s="1445"/>
      <c r="FB66" s="1003">
        <f>IF(EZ66=0,0,(FA66-EZ66)/EZ66*100)</f>
        <v>0</v>
      </c>
      <c r="FC66" s="1445"/>
      <c r="FD66" s="1445"/>
      <c r="FE66" s="1003">
        <f>IF(FC66=0,0,(FD66-FC66)/FC66*100)</f>
        <v>0</v>
      </c>
      <c r="FF66" s="1445"/>
      <c r="FG66" s="1445"/>
      <c r="FH66" s="1003">
        <f>IF(FF66=0,0,(FG66-FF66)/FF66*100)</f>
        <v>0</v>
      </c>
      <c r="FI66" s="1445"/>
      <c r="FJ66" s="1445"/>
      <c r="FK66" s="1003">
        <f>IF(FI66=0,0,(FJ66-FI66)/FI66*100)</f>
        <v>0</v>
      </c>
      <c r="FL66" s="1445"/>
      <c r="FM66" s="1445"/>
      <c r="FN66" s="1003">
        <f>IF(FL66=0,0,(FM66-FL66)/FL66*100)</f>
        <v>0</v>
      </c>
      <c r="FO66" s="1445"/>
      <c r="FP66" s="1445"/>
      <c r="FQ66" s="1003">
        <f>IF(FO66=0,0,(FP66-FO66)/FO66*100)</f>
        <v>0</v>
      </c>
      <c r="FR66" s="1445"/>
      <c r="FS66" s="1445"/>
      <c r="FT66" s="1003">
        <f>IF(FR66=0,0,(FS66-FR66)/FR66*100)</f>
        <v>0</v>
      </c>
      <c r="FU66" s="1445"/>
      <c r="FV66" s="1445"/>
      <c r="FW66" s="1003">
        <f>IF(FU66=0,0,(FV66-FU66)/FU66*100)</f>
        <v>0</v>
      </c>
      <c r="FZ66" s="964" t="s">
        <v>1650</v>
      </c>
    </row>
    <row r="67" spans="1:186" ht="14.65" hidden="1" customHeight="1" x14ac:dyDescent="0.15">
      <c r="A67" s="416"/>
      <c r="B67" s="837" t="b" cm="1">
        <f t="array" ref="B67">B66</f>
        <v>0</v>
      </c>
      <c r="C67" s="416"/>
      <c r="D67" s="416"/>
      <c r="E67" s="759">
        <v>15</v>
      </c>
      <c r="F67" s="3" cm="1">
        <f t="array" aca="1" ref="F67" ca="1">OFFSET(E67,-1,1)</f>
        <v>0</v>
      </c>
      <c r="G67" s="26" t="s">
        <v>1651</v>
      </c>
      <c r="H67" s="416" t="s">
        <v>1625</v>
      </c>
      <c r="I67" s="416" t="s">
        <v>1605</v>
      </c>
      <c r="J67" s="416"/>
      <c r="K67" s="416"/>
      <c r="L67" s="416"/>
      <c r="M67" s="416"/>
      <c r="N67" s="416"/>
      <c r="O67" s="416"/>
      <c r="P67" s="416"/>
      <c r="Q67" s="416"/>
      <c r="R67" s="416"/>
      <c r="S67" s="416"/>
      <c r="T67" s="388" t="b" cm="1">
        <f t="array" aca="1" ref="T67" ca="1">T66</f>
        <v>0</v>
      </c>
      <c r="U67" s="416"/>
      <c r="V67" s="416"/>
      <c r="W67" s="416"/>
      <c r="X67" s="2066"/>
      <c r="Y67" s="416"/>
      <c r="Z67" s="2011"/>
      <c r="AA67" s="416"/>
      <c r="AB67" s="818" t="str">
        <f>"объём "&amp;IF(Q29="Водоснабжение","потребления холодной воды","водоотведения")</f>
        <v>объём водоотведения</v>
      </c>
      <c r="AC67" s="783" t="s">
        <v>563</v>
      </c>
      <c r="AD67" s="1443">
        <f ca="1">IF(AND(method_reg="Метод индексации",god&lt;&gt;first_year),SUMIFS(INDEX('Калькуляция (МИ корр)'!$AJ$25:$BC$459,,MATCH(AD$8,'Калькуляция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(МИ)'!$AJ$25:$BC$459,,MATCH(AD$8,'Калькуляция (МИ)'!$AJ$8:$BC$8,0)),'Калькуляция (МИ)'!$F$25:$F$459,$F67,'Калькуляция (МИ)'!$G$25:$G$459,$G67))))</f>
        <v>0</v>
      </c>
      <c r="AE67" s="1443">
        <f ca="1">IF(AND(method_reg="Метод индексации",god&lt;&gt;first_year),SUMIFS(INDEX('Калькуляция (МИ корр)'!$AJ$25:$BC$459,,MATCH(AE$8,'Калькуляция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(МИ)'!$AJ$25:$BC$459,,MATCH(AE$8,'Калькуляция (МИ)'!$AJ$8:$BC$8,0)),'Калькуляция (МИ)'!$F$25:$F$459,$F67,'Калькуляция (МИ)'!$G$25:$G$459,$G67))))</f>
        <v>0</v>
      </c>
      <c r="AF67" s="1005">
        <f ca="1">IF(AD67=0,0,(AE67-AD67)/AD67*100)</f>
        <v>0</v>
      </c>
      <c r="AG67" s="1443">
        <f ca="1">IF(AND(method_reg="Метод индексации",god&lt;&gt;first_year),SUMIFS(INDEX('Калькуляция (МИ корр)'!$AJ$25:$BC$459,,MATCH(AG$8,'Калькуляция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(МИ)'!$AJ$25:$BC$459,,MATCH(AG$8,'Калькуляция (МИ)'!$AJ$8:$BC$8,0)),'Калькуляция (МИ)'!$F$25:$F$459,$F67,'Калькуляция (МИ)'!$G$25:$G$459,$G67))))</f>
        <v>0</v>
      </c>
      <c r="AH67" s="1443">
        <f ca="1">IF(AND(method_reg="Метод индексации",god&lt;&gt;first_year),SUMIFS(INDEX('Калькуляция (МИ корр)'!$AJ$25:$BC$459,,MATCH(AH$8,'Калькуляция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(МИ)'!$AJ$25:$BC$459,,MATCH(AH$8,'Калькуляция (МИ)'!$AJ$8:$BC$8,0)),'Калькуляция (МИ)'!$F$25:$F$459,$F67,'Калькуляция (МИ)'!$G$25:$G$459,$G67))))</f>
        <v>0</v>
      </c>
      <c r="AI67" s="1005">
        <f ca="1">IF(AG67=0,0,(AH67-AG67)/AG67*100)</f>
        <v>0</v>
      </c>
      <c r="AJ67" s="1443">
        <f ca="1">IF(AND(method_reg="Метод индексации",god&lt;&gt;first_year),SUMIFS(INDEX('Калькуляция (МИ корр)'!$AJ$25:$BC$459,,MATCH(AJ$8,'Калькуляция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(МИ)'!$AJ$25:$BC$459,,MATCH(AJ$8,'Калькуляция (МИ)'!$AJ$8:$BC$8,0)),'Калькуляция (МИ)'!$F$25:$F$459,$F67,'Калькуляция (МИ)'!$G$25:$G$459,$G67))))</f>
        <v>0</v>
      </c>
      <c r="AK67" s="1443">
        <f ca="1">IF(AND(method_reg="Метод индексации",god&lt;&gt;first_year),SUMIFS(INDEX('Калькуляция (МИ корр)'!$AJ$25:$BC$459,,MATCH(AK$8,'Калькуляция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(МИ)'!$AJ$25:$BC$459,,MATCH(AK$8,'Калькуляция (МИ)'!$AJ$8:$BC$8,0)),'Калькуляция (МИ)'!$F$25:$F$459,$F67,'Калькуляция (МИ)'!$G$25:$G$459,$G67))))</f>
        <v>0</v>
      </c>
      <c r="AL67" s="1005">
        <f ca="1">IF(AJ67=0,0,(AK67-AJ67)/AJ67*100)</f>
        <v>0</v>
      </c>
      <c r="AM67" s="1443">
        <f ca="1">IF(AND(method_reg="Метод индексации",god&lt;&gt;first_year),SUMIFS(INDEX('Калькуляция (МИ корр)'!$AJ$25:$BC$459,,MATCH(AM$8,'Калькуляция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(МИ)'!$AJ$25:$BC$459,,MATCH(AM$8,'Калькуляция (МИ)'!$AJ$8:$BC$8,0)),'Калькуляция (МИ)'!$F$25:$F$459,$F67,'Калькуляция (МИ)'!$G$25:$G$459,$G67))))</f>
        <v>0</v>
      </c>
      <c r="AN67" s="1443">
        <f ca="1">IF(AND(method_reg="Метод индексации",god&lt;&gt;first_year),SUMIFS(INDEX('Калькуляция (МИ корр)'!$AJ$25:$BC$459,,MATCH(AN$8,'Калькуляция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(МИ)'!$AJ$25:$BC$459,,MATCH(AN$8,'Калькуляция (МИ)'!$AJ$8:$BC$8,0)),'Калькуляция (МИ)'!$F$25:$F$459,$F67,'Калькуляция (МИ)'!$G$25:$G$459,$G67))))</f>
        <v>0</v>
      </c>
      <c r="AO67" s="1005">
        <f ca="1">IF(AM67=0,0,(AN67-AM67)/AM67*100)</f>
        <v>0</v>
      </c>
      <c r="AP67" s="1443">
        <f ca="1">IF(AND(method_reg="Метод индексации",god&lt;&gt;first_year),SUMIFS(INDEX('Калькуляция (МИ корр)'!$AJ$25:$BC$459,,MATCH(AP$8,'Калькуляция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(МИ)'!$AJ$25:$BC$459,,MATCH(AP$8,'Калькуляция (МИ)'!$AJ$8:$BC$8,0)),'Калькуляция (МИ)'!$F$25:$F$459,$F67,'Калькуляция (МИ)'!$G$25:$G$459,$G67))))</f>
        <v>0</v>
      </c>
      <c r="AQ67" s="1443">
        <f ca="1">IF(AND(method_reg="Метод индексации",god&lt;&gt;first_year),SUMIFS(INDEX('Калькуляция (МИ корр)'!$AJ$25:$BC$459,,MATCH(AQ$8,'Калькуляция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(МИ)'!$AJ$25:$BC$459,,MATCH(AQ$8,'Калькуляция (МИ)'!$AJ$8:$BC$8,0)),'Калькуляция (МИ)'!$F$25:$F$459,$F67,'Калькуляция (МИ)'!$G$25:$G$459,$G67))))</f>
        <v>0</v>
      </c>
      <c r="AR67" s="1005">
        <f ca="1">IF(AP67=0,0,(AQ67-AP67)/AP67*100)</f>
        <v>0</v>
      </c>
      <c r="AS67" s="1443">
        <f ca="1">IF(AND(method_reg="Метод индексации",god&lt;&gt;first_year),SUMIFS(INDEX('Калькуляция (МИ корр)'!$AJ$25:$BC$459,,MATCH(AS$8,'Калькуляция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(МИ)'!$AJ$25:$BC$459,,MATCH(AS$8,'Калькуляция (МИ)'!$AJ$8:$BC$8,0)),'Калькуляция (МИ)'!$F$25:$F$459,$F67,'Калькуляция (МИ)'!$G$25:$G$459,$G67))))</f>
        <v>0</v>
      </c>
      <c r="AT67" s="1443">
        <f ca="1">IF(AND(method_reg="Метод индексации",god&lt;&gt;first_year),SUMIFS(INDEX('Калькуляция (МИ корр)'!$AJ$25:$BC$459,,MATCH(AT$8,'Калькуляция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(МИ)'!$AJ$25:$BC$459,,MATCH(AT$8,'Калькуляция (МИ)'!$AJ$8:$BC$8,0)),'Калькуляция (МИ)'!$F$25:$F$459,$F67,'Калькуляция (МИ)'!$G$25:$G$459,$G67))))</f>
        <v>0</v>
      </c>
      <c r="AU67" s="1005">
        <f ca="1">IF(AS67=0,0,(AT67-AS67)/AS67*100)</f>
        <v>0</v>
      </c>
      <c r="AV67" s="1443">
        <f ca="1">IF(AND(method_reg="Метод индексации",god&lt;&gt;first_year),SUMIFS(INDEX('Калькуляция (МИ корр)'!$AJ$25:$BC$459,,MATCH(AV$8,'Калькуляция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(МИ)'!$AJ$25:$BC$459,,MATCH(AV$8,'Калькуляция (МИ)'!$AJ$8:$BC$8,0)),'Калькуляция (МИ)'!$F$25:$F$459,$F67,'Калькуляция (МИ)'!$G$25:$G$459,$G67))))</f>
        <v>0</v>
      </c>
      <c r="AW67" s="1443">
        <f ca="1">IF(AND(method_reg="Метод индексации",god&lt;&gt;first_year),SUMIFS(INDEX('Калькуляция (МИ корр)'!$AJ$25:$BC$459,,MATCH(AW$8,'Калькуляция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(МИ)'!$AJ$25:$BC$459,,MATCH(AW$8,'Калькуляция (МИ)'!$AJ$8:$BC$8,0)),'Калькуляция (МИ)'!$F$25:$F$459,$F67,'Калькуляция (МИ)'!$G$25:$G$459,$G67))))</f>
        <v>0</v>
      </c>
      <c r="AX67" s="1005">
        <f ca="1">IF(AV67=0,0,(AW67-AV67)/AV67*100)</f>
        <v>0</v>
      </c>
      <c r="AY67" s="1443">
        <f ca="1">IF(AND(method_reg="Метод индексации",god&lt;&gt;first_year),SUMIFS(INDEX('Калькуляция (МИ корр)'!$AJ$25:$BC$459,,MATCH(AY$8,'Калькуляция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(МИ)'!$AJ$25:$BC$459,,MATCH(AY$8,'Калькуляция (МИ)'!$AJ$8:$BC$8,0)),'Калькуляция (МИ)'!$F$25:$F$459,$F67,'Калькуляция (МИ)'!$G$25:$G$459,$G67))))</f>
        <v>0</v>
      </c>
      <c r="AZ67" s="1443">
        <f ca="1">IF(AND(method_reg="Метод индексации",god&lt;&gt;first_year),SUMIFS(INDEX('Калькуляция (МИ корр)'!$AJ$25:$BC$459,,MATCH(AZ$8,'Калькуляция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(МИ)'!$AJ$25:$BC$459,,MATCH(AZ$8,'Калькуляция (МИ)'!$AJ$8:$BC$8,0)),'Калькуляция (МИ)'!$F$25:$F$459,$F67,'Калькуляция (МИ)'!$G$25:$G$459,$G67))))</f>
        <v>0</v>
      </c>
      <c r="BA67" s="1005">
        <f ca="1">IF(AY67=0,0,(AZ67-AY67)/AY67*100)</f>
        <v>0</v>
      </c>
      <c r="BB67" s="1443">
        <f ca="1">IF(AND(method_reg="Метод индексации",god&lt;&gt;first_year),SUMIFS(INDEX('Калькуляция (МИ корр)'!$AJ$25:$BC$459,,MATCH(BB$8,'Калькуляция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(МИ)'!$AJ$25:$BC$459,,MATCH(BB$8,'Калькуляция (МИ)'!$AJ$8:$BC$8,0)),'Калькуляция (МИ)'!$F$25:$F$459,$F67,'Калькуляция (МИ)'!$G$25:$G$459,$G67))))</f>
        <v>0</v>
      </c>
      <c r="BC67" s="1443">
        <f ca="1">IF(AND(method_reg="Метод индексации",god&lt;&gt;first_year),SUMIFS(INDEX('Калькуляция (МИ корр)'!$AJ$25:$BC$459,,MATCH(BC$8,'Калькуляция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(МИ)'!$AJ$25:$BC$459,,MATCH(BC$8,'Калькуляция (МИ)'!$AJ$8:$BC$8,0)),'Калькуляция (МИ)'!$F$25:$F$459,$F67,'Калькуляция (МИ)'!$G$25:$G$459,$G67))))</f>
        <v>0</v>
      </c>
      <c r="BD67" s="1005">
        <f ca="1">IF(BB67=0,0,(BC67-BB67)/BB67*100)</f>
        <v>0</v>
      </c>
      <c r="BE67" s="1443">
        <f ca="1">IF(AND(method_reg="Метод индексации",god&lt;&gt;first_year),SUMIFS(INDEX('Калькуляция (МИ корр)'!$AJ$25:$BC$459,,MATCH(BE$8,'Калькуляция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(МИ)'!$AJ$25:$BC$459,,MATCH(BE$8,'Калькуляция (МИ)'!$AJ$8:$BC$8,0)),'Калькуляция (МИ)'!$F$25:$F$459,$F67,'Калькуляция (МИ)'!$G$25:$G$459,$G67))))</f>
        <v>0</v>
      </c>
      <c r="BF67" s="1443">
        <f ca="1">IF(AND(method_reg="Метод индексации",god&lt;&gt;first_year),SUMIFS(INDEX('Калькуляция (МИ корр)'!$AJ$25:$BC$459,,MATCH(BF$8,'Калькуляция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(МИ)'!$AJ$25:$BC$459,,MATCH(BF$8,'Калькуляция (МИ)'!$AJ$8:$BC$8,0)),'Калькуляция (МИ)'!$F$25:$F$459,$F67,'Калькуляция (МИ)'!$G$25:$G$459,$G67))))</f>
        <v>0</v>
      </c>
      <c r="BG67" s="1005">
        <f ca="1">IF(BE67=0,0,(BF67-BE67)/BE67*100)</f>
        <v>0</v>
      </c>
      <c r="BH67" s="1443"/>
      <c r="BI67" s="1443"/>
      <c r="BJ67" s="1005">
        <f>IF(BH67=0,0,(BI67-BH67)/BH67*100)</f>
        <v>0</v>
      </c>
      <c r="BK67" s="1443"/>
      <c r="BL67" s="1443"/>
      <c r="BM67" s="1005">
        <f>IF(BK67=0,0,(BL67-BK67)/BK67*100)</f>
        <v>0</v>
      </c>
      <c r="BN67" s="1443"/>
      <c r="BO67" s="1443"/>
      <c r="BP67" s="1005">
        <f>IF(BN67=0,0,(BO67-BN67)/BN67*100)</f>
        <v>0</v>
      </c>
      <c r="BQ67" s="1443"/>
      <c r="BR67" s="1443"/>
      <c r="BS67" s="1005">
        <f>IF(BQ67=0,0,(BR67-BQ67)/BQ67*100)</f>
        <v>0</v>
      </c>
      <c r="BT67" s="1443"/>
      <c r="BU67" s="1443"/>
      <c r="BV67" s="1005">
        <f>IF(BT67=0,0,(BU67-BT67)/BT67*100)</f>
        <v>0</v>
      </c>
      <c r="BW67" s="1443"/>
      <c r="BX67" s="1443"/>
      <c r="BY67" s="1005">
        <f>IF(BW67=0,0,(BX67-BW67)/BW67*100)</f>
        <v>0</v>
      </c>
      <c r="BZ67" s="1443"/>
      <c r="CA67" s="1443"/>
      <c r="CB67" s="1005">
        <f>IF(BZ67=0,0,(CA67-BZ67)/BZ67*100)</f>
        <v>0</v>
      </c>
      <c r="CC67" s="1443"/>
      <c r="CD67" s="1443"/>
      <c r="CE67" s="1005">
        <f>IF(CC67=0,0,(CD67-CC67)/CC67*100)</f>
        <v>0</v>
      </c>
      <c r="CF67" s="1443"/>
      <c r="CG67" s="1443"/>
      <c r="CH67" s="1005">
        <f>IF(CF67=0,0,(CG67-CF67)/CF67*100)</f>
        <v>0</v>
      </c>
      <c r="CI67" s="1443"/>
      <c r="CJ67" s="1443"/>
      <c r="CK67" s="1005">
        <f>IF(CI67=0,0,(CJ67-CI67)/CI67*100)</f>
        <v>0</v>
      </c>
      <c r="CL67" s="1443"/>
      <c r="CM67" s="1443"/>
      <c r="CN67" s="1005">
        <f>IF(CL67=0,0,(CM67-CL67)/CL67*100)</f>
        <v>0</v>
      </c>
      <c r="CO67" s="1443"/>
      <c r="CP67" s="1443"/>
      <c r="CQ67" s="1005">
        <f>IF(CO67=0,0,(CP67-CO67)/CO67*100)</f>
        <v>0</v>
      </c>
      <c r="CR67" s="1443"/>
      <c r="CS67" s="1443"/>
      <c r="CT67" s="1005">
        <f>IF(CR67=0,0,(CS67-CR67)/CR67*100)</f>
        <v>0</v>
      </c>
      <c r="CU67" s="1443"/>
      <c r="CV67" s="1443"/>
      <c r="CW67" s="1005">
        <f>IF(CU67=0,0,(CV67-CU67)/CU67*100)</f>
        <v>0</v>
      </c>
      <c r="CX67" s="1443"/>
      <c r="CY67" s="1443"/>
      <c r="CZ67" s="1005">
        <f>IF(CX67=0,0,(CY67-CX67)/CX67*100)</f>
        <v>0</v>
      </c>
      <c r="DA67" s="1443"/>
      <c r="DB67" s="1443"/>
      <c r="DC67" s="1005">
        <f>IF(DA67=0,0,(DB67-DA67)/DA67*100)</f>
        <v>0</v>
      </c>
      <c r="DD67" s="1443"/>
      <c r="DE67" s="1443"/>
      <c r="DF67" s="1005">
        <f>IF(DD67=0,0,(DE67-DD67)/DD67*100)</f>
        <v>0</v>
      </c>
      <c r="DG67" s="1443"/>
      <c r="DH67" s="1443"/>
      <c r="DI67" s="1005">
        <f>IF(DG67=0,0,(DH67-DG67)/DG67*100)</f>
        <v>0</v>
      </c>
      <c r="DJ67" s="1443"/>
      <c r="DK67" s="1443"/>
      <c r="DL67" s="1005">
        <f>IF(DJ67=0,0,(DK67-DJ67)/DJ67*100)</f>
        <v>0</v>
      </c>
      <c r="DM67" s="1443"/>
      <c r="DN67" s="1443"/>
      <c r="DO67" s="1005">
        <f>IF(DM67=0,0,(DN67-DM67)/DM67*100)</f>
        <v>0</v>
      </c>
      <c r="DP67" s="1443"/>
      <c r="DQ67" s="1443"/>
      <c r="DR67" s="1005">
        <f>IF(DP67=0,0,(DQ67-DP67)/DP67*100)</f>
        <v>0</v>
      </c>
      <c r="DS67" s="1443"/>
      <c r="DT67" s="1443"/>
      <c r="DU67" s="1005">
        <f>IF(DS67=0,0,(DT67-DS67)/DS67*100)</f>
        <v>0</v>
      </c>
      <c r="DV67" s="1443"/>
      <c r="DW67" s="1443"/>
      <c r="DX67" s="1005">
        <f>IF(DV67=0,0,(DW67-DV67)/DV67*100)</f>
        <v>0</v>
      </c>
      <c r="DY67" s="1443"/>
      <c r="DZ67" s="1443"/>
      <c r="EA67" s="1005">
        <f>IF(DY67=0,0,(DZ67-DY67)/DY67*100)</f>
        <v>0</v>
      </c>
      <c r="EB67" s="1443"/>
      <c r="EC67" s="1443"/>
      <c r="ED67" s="1005">
        <f>IF(EB67=0,0,(EC67-EB67)/EB67*100)</f>
        <v>0</v>
      </c>
      <c r="EE67" s="1443"/>
      <c r="EF67" s="1443"/>
      <c r="EG67" s="1005">
        <f>IF(EE67=0,0,(EF67-EE67)/EE67*100)</f>
        <v>0</v>
      </c>
      <c r="EH67" s="1443"/>
      <c r="EI67" s="1443"/>
      <c r="EJ67" s="1005">
        <f>IF(EH67=0,0,(EI67-EH67)/EH67*100)</f>
        <v>0</v>
      </c>
      <c r="EK67" s="1443"/>
      <c r="EL67" s="1443"/>
      <c r="EM67" s="1005">
        <f>IF(EK67=0,0,(EL67-EK67)/EK67*100)</f>
        <v>0</v>
      </c>
      <c r="EN67" s="1443"/>
      <c r="EO67" s="1443"/>
      <c r="EP67" s="1005">
        <f>IF(EN67=0,0,(EO67-EN67)/EN67*100)</f>
        <v>0</v>
      </c>
      <c r="EQ67" s="1443"/>
      <c r="ER67" s="1443"/>
      <c r="ES67" s="1005">
        <f>IF(EQ67=0,0,(ER67-EQ67)/EQ67*100)</f>
        <v>0</v>
      </c>
      <c r="ET67" s="1443"/>
      <c r="EU67" s="1443"/>
      <c r="EV67" s="1005">
        <f>IF(ET67=0,0,(EU67-ET67)/ET67*100)</f>
        <v>0</v>
      </c>
      <c r="EW67" s="1443"/>
      <c r="EX67" s="1443"/>
      <c r="EY67" s="1005">
        <f>IF(EW67=0,0,(EX67-EW67)/EW67*100)</f>
        <v>0</v>
      </c>
      <c r="EZ67" s="1443"/>
      <c r="FA67" s="1443"/>
      <c r="FB67" s="1005">
        <f>IF(EZ67=0,0,(FA67-EZ67)/EZ67*100)</f>
        <v>0</v>
      </c>
      <c r="FC67" s="1443"/>
      <c r="FD67" s="1443"/>
      <c r="FE67" s="1005">
        <f>IF(FC67=0,0,(FD67-FC67)/FC67*100)</f>
        <v>0</v>
      </c>
      <c r="FF67" s="1443"/>
      <c r="FG67" s="1443"/>
      <c r="FH67" s="1005">
        <f>IF(FF67=0,0,(FG67-FF67)/FF67*100)</f>
        <v>0</v>
      </c>
      <c r="FI67" s="1443"/>
      <c r="FJ67" s="1443"/>
      <c r="FK67" s="1005">
        <f>IF(FI67=0,0,(FJ67-FI67)/FI67*100)</f>
        <v>0</v>
      </c>
      <c r="FL67" s="1443"/>
      <c r="FM67" s="1443"/>
      <c r="FN67" s="1005">
        <f>IF(FL67=0,0,(FM67-FL67)/FL67*100)</f>
        <v>0</v>
      </c>
      <c r="FO67" s="1443"/>
      <c r="FP67" s="1443"/>
      <c r="FQ67" s="1005">
        <f>IF(FO67=0,0,(FP67-FO67)/FO67*100)</f>
        <v>0</v>
      </c>
      <c r="FR67" s="1443"/>
      <c r="FS67" s="1443"/>
      <c r="FT67" s="1005">
        <f>IF(FR67=0,0,(FS67-FR67)/FR67*100)</f>
        <v>0</v>
      </c>
      <c r="FU67" s="1443"/>
      <c r="FV67" s="1443"/>
      <c r="FW67" s="1005">
        <f>IF(FU67=0,0,(FV67-FU67)/FU67*100)</f>
        <v>0</v>
      </c>
      <c r="FZ67" s="964" t="s">
        <v>1652</v>
      </c>
    </row>
    <row r="68" spans="1:186" ht="21.95" hidden="1" customHeight="1" x14ac:dyDescent="0.15">
      <c r="A68" s="416"/>
      <c r="B68" s="837" t="b" cm="1">
        <f t="array" ref="B68">B67</f>
        <v>0</v>
      </c>
      <c r="C68" s="416"/>
      <c r="D68" s="416"/>
      <c r="E68" s="759">
        <v>22.5</v>
      </c>
      <c r="F68" s="3" cm="1">
        <f t="array" aca="1" ref="F68" ca="1">OFFSET(E68,-1,1)</f>
        <v>0</v>
      </c>
      <c r="G68" s="416"/>
      <c r="H68" s="416" t="s">
        <v>1627</v>
      </c>
      <c r="I68" s="416" t="s">
        <v>1605</v>
      </c>
      <c r="J68" s="416"/>
      <c r="K68" s="416"/>
      <c r="L68" s="416"/>
      <c r="M68" s="416"/>
      <c r="N68" s="416"/>
      <c r="O68" s="416"/>
      <c r="P68" s="416"/>
      <c r="Q68" s="416"/>
      <c r="R68" s="416"/>
      <c r="S68" s="416"/>
      <c r="T68" s="388" t="b" cm="1">
        <f t="array" aca="1" ref="T68" ca="1">T67</f>
        <v>0</v>
      </c>
      <c r="U68" s="416"/>
      <c r="V68" s="416"/>
      <c r="W68" s="416"/>
      <c r="X68" s="2066"/>
      <c r="Y68" s="416"/>
      <c r="Z68" s="2011"/>
      <c r="AA68" s="416"/>
      <c r="AB68" s="818"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783" t="s">
        <v>1628</v>
      </c>
      <c r="AD68" s="1445"/>
      <c r="AE68" s="1445"/>
      <c r="AF68" s="1003">
        <f>IF(AD68=0,0,(AE68-AD68)/AD68*100)</f>
        <v>0</v>
      </c>
      <c r="AG68" s="1445"/>
      <c r="AH68" s="1445"/>
      <c r="AI68" s="1003">
        <f>IF(AG68=0,0,(AH68-AG68)/AG68*100)</f>
        <v>0</v>
      </c>
      <c r="AJ68" s="1445"/>
      <c r="AK68" s="1445"/>
      <c r="AL68" s="1003">
        <f>IF(AJ68=0,0,(AK68-AJ68)/AJ68*100)</f>
        <v>0</v>
      </c>
      <c r="AM68" s="1445"/>
      <c r="AN68" s="1445"/>
      <c r="AO68" s="1003">
        <f>IF(AM68=0,0,(AN68-AM68)/AM68*100)</f>
        <v>0</v>
      </c>
      <c r="AP68" s="1445"/>
      <c r="AQ68" s="1445"/>
      <c r="AR68" s="1003">
        <f>IF(AP68=0,0,(AQ68-AP68)/AP68*100)</f>
        <v>0</v>
      </c>
      <c r="AS68" s="1445"/>
      <c r="AT68" s="1445"/>
      <c r="AU68" s="1003">
        <f>IF(AS68=0,0,(AT68-AS68)/AS68*100)</f>
        <v>0</v>
      </c>
      <c r="AV68" s="1445"/>
      <c r="AW68" s="1445"/>
      <c r="AX68" s="1003">
        <f>IF(AV68=0,0,(AW68-AV68)/AV68*100)</f>
        <v>0</v>
      </c>
      <c r="AY68" s="1445"/>
      <c r="AZ68" s="1445"/>
      <c r="BA68" s="1003">
        <f>IF(AY68=0,0,(AZ68-AY68)/AY68*100)</f>
        <v>0</v>
      </c>
      <c r="BB68" s="1445"/>
      <c r="BC68" s="1445"/>
      <c r="BD68" s="1003">
        <f>IF(BB68=0,0,(BC68-BB68)/BB68*100)</f>
        <v>0</v>
      </c>
      <c r="BE68" s="1445"/>
      <c r="BF68" s="1445"/>
      <c r="BG68" s="1003">
        <f>IF(BE68=0,0,(BF68-BE68)/BE68*100)</f>
        <v>0</v>
      </c>
      <c r="BH68" s="1445"/>
      <c r="BI68" s="1445"/>
      <c r="BJ68" s="1003">
        <f>IF(BH68=0,0,(BI68-BH68)/BH68*100)</f>
        <v>0</v>
      </c>
      <c r="BK68" s="1445"/>
      <c r="BL68" s="1445"/>
      <c r="BM68" s="1003">
        <f>IF(BK68=0,0,(BL68-BK68)/BK68*100)</f>
        <v>0</v>
      </c>
      <c r="BN68" s="1445"/>
      <c r="BO68" s="1445"/>
      <c r="BP68" s="1003">
        <f>IF(BN68=0,0,(BO68-BN68)/BN68*100)</f>
        <v>0</v>
      </c>
      <c r="BQ68" s="1445"/>
      <c r="BR68" s="1445"/>
      <c r="BS68" s="1003">
        <f>IF(BQ68=0,0,(BR68-BQ68)/BQ68*100)</f>
        <v>0</v>
      </c>
      <c r="BT68" s="1445"/>
      <c r="BU68" s="1445"/>
      <c r="BV68" s="1003">
        <f>IF(BT68=0,0,(BU68-BT68)/BT68*100)</f>
        <v>0</v>
      </c>
      <c r="BW68" s="1445"/>
      <c r="BX68" s="1445"/>
      <c r="BY68" s="1003">
        <f>IF(BW68=0,0,(BX68-BW68)/BW68*100)</f>
        <v>0</v>
      </c>
      <c r="BZ68" s="1445"/>
      <c r="CA68" s="1445"/>
      <c r="CB68" s="1003">
        <f>IF(BZ68=0,0,(CA68-BZ68)/BZ68*100)</f>
        <v>0</v>
      </c>
      <c r="CC68" s="1445"/>
      <c r="CD68" s="1445"/>
      <c r="CE68" s="1003">
        <f>IF(CC68=0,0,(CD68-CC68)/CC68*100)</f>
        <v>0</v>
      </c>
      <c r="CF68" s="1445"/>
      <c r="CG68" s="1445"/>
      <c r="CH68" s="1003">
        <f>IF(CF68=0,0,(CG68-CF68)/CF68*100)</f>
        <v>0</v>
      </c>
      <c r="CI68" s="1445"/>
      <c r="CJ68" s="1445"/>
      <c r="CK68" s="1003">
        <f>IF(CI68=0,0,(CJ68-CI68)/CI68*100)</f>
        <v>0</v>
      </c>
      <c r="CL68" s="1445"/>
      <c r="CM68" s="1445"/>
      <c r="CN68" s="1003">
        <f>IF(CL68=0,0,(CM68-CL68)/CL68*100)</f>
        <v>0</v>
      </c>
      <c r="CO68" s="1445"/>
      <c r="CP68" s="1445"/>
      <c r="CQ68" s="1003">
        <f>IF(CO68=0,0,(CP68-CO68)/CO68*100)</f>
        <v>0</v>
      </c>
      <c r="CR68" s="1445"/>
      <c r="CS68" s="1445"/>
      <c r="CT68" s="1003">
        <f>IF(CR68=0,0,(CS68-CR68)/CR68*100)</f>
        <v>0</v>
      </c>
      <c r="CU68" s="1445"/>
      <c r="CV68" s="1445"/>
      <c r="CW68" s="1003">
        <f>IF(CU68=0,0,(CV68-CU68)/CU68*100)</f>
        <v>0</v>
      </c>
      <c r="CX68" s="1445"/>
      <c r="CY68" s="1445"/>
      <c r="CZ68" s="1003">
        <f>IF(CX68=0,0,(CY68-CX68)/CX68*100)</f>
        <v>0</v>
      </c>
      <c r="DA68" s="1445"/>
      <c r="DB68" s="1445"/>
      <c r="DC68" s="1003">
        <f>IF(DA68=0,0,(DB68-DA68)/DA68*100)</f>
        <v>0</v>
      </c>
      <c r="DD68" s="1445"/>
      <c r="DE68" s="1445"/>
      <c r="DF68" s="1003">
        <f>IF(DD68=0,0,(DE68-DD68)/DD68*100)</f>
        <v>0</v>
      </c>
      <c r="DG68" s="1445"/>
      <c r="DH68" s="1445"/>
      <c r="DI68" s="1003">
        <f>IF(DG68=0,0,(DH68-DG68)/DG68*100)</f>
        <v>0</v>
      </c>
      <c r="DJ68" s="1445"/>
      <c r="DK68" s="1445"/>
      <c r="DL68" s="1003">
        <f>IF(DJ68=0,0,(DK68-DJ68)/DJ68*100)</f>
        <v>0</v>
      </c>
      <c r="DM68" s="1445"/>
      <c r="DN68" s="1445"/>
      <c r="DO68" s="1003">
        <f>IF(DM68=0,0,(DN68-DM68)/DM68*100)</f>
        <v>0</v>
      </c>
      <c r="DP68" s="1445"/>
      <c r="DQ68" s="1445"/>
      <c r="DR68" s="1003">
        <f>IF(DP68=0,0,(DQ68-DP68)/DP68*100)</f>
        <v>0</v>
      </c>
      <c r="DS68" s="1445"/>
      <c r="DT68" s="1445"/>
      <c r="DU68" s="1003">
        <f>IF(DS68=0,0,(DT68-DS68)/DS68*100)</f>
        <v>0</v>
      </c>
      <c r="DV68" s="1445"/>
      <c r="DW68" s="1445"/>
      <c r="DX68" s="1003">
        <f>IF(DV68=0,0,(DW68-DV68)/DV68*100)</f>
        <v>0</v>
      </c>
      <c r="DY68" s="1445"/>
      <c r="DZ68" s="1445"/>
      <c r="EA68" s="1003">
        <f>IF(DY68=0,0,(DZ68-DY68)/DY68*100)</f>
        <v>0</v>
      </c>
      <c r="EB68" s="1445"/>
      <c r="EC68" s="1445"/>
      <c r="ED68" s="1003">
        <f>IF(EB68=0,0,(EC68-EB68)/EB68*100)</f>
        <v>0</v>
      </c>
      <c r="EE68" s="1445"/>
      <c r="EF68" s="1445"/>
      <c r="EG68" s="1003">
        <f>IF(EE68=0,0,(EF68-EE68)/EE68*100)</f>
        <v>0</v>
      </c>
      <c r="EH68" s="1445"/>
      <c r="EI68" s="1445"/>
      <c r="EJ68" s="1003">
        <f>IF(EH68=0,0,(EI68-EH68)/EH68*100)</f>
        <v>0</v>
      </c>
      <c r="EK68" s="1445"/>
      <c r="EL68" s="1445"/>
      <c r="EM68" s="1003">
        <f>IF(EK68=0,0,(EL68-EK68)/EK68*100)</f>
        <v>0</v>
      </c>
      <c r="EN68" s="1445"/>
      <c r="EO68" s="1445"/>
      <c r="EP68" s="1003">
        <f>IF(EN68=0,0,(EO68-EN68)/EN68*100)</f>
        <v>0</v>
      </c>
      <c r="EQ68" s="1445"/>
      <c r="ER68" s="1445"/>
      <c r="ES68" s="1003">
        <f>IF(EQ68=0,0,(ER68-EQ68)/EQ68*100)</f>
        <v>0</v>
      </c>
      <c r="ET68" s="1445"/>
      <c r="EU68" s="1445"/>
      <c r="EV68" s="1003">
        <f>IF(ET68=0,0,(EU68-ET68)/ET68*100)</f>
        <v>0</v>
      </c>
      <c r="EW68" s="1445"/>
      <c r="EX68" s="1445"/>
      <c r="EY68" s="1003">
        <f>IF(EW68=0,0,(EX68-EW68)/EW68*100)</f>
        <v>0</v>
      </c>
      <c r="EZ68" s="1445"/>
      <c r="FA68" s="1445"/>
      <c r="FB68" s="1003">
        <f>IF(EZ68=0,0,(FA68-EZ68)/EZ68*100)</f>
        <v>0</v>
      </c>
      <c r="FC68" s="1445"/>
      <c r="FD68" s="1445"/>
      <c r="FE68" s="1003">
        <f>IF(FC68=0,0,(FD68-FC68)/FC68*100)</f>
        <v>0</v>
      </c>
      <c r="FF68" s="1445"/>
      <c r="FG68" s="1445"/>
      <c r="FH68" s="1003">
        <f>IF(FF68=0,0,(FG68-FF68)/FF68*100)</f>
        <v>0</v>
      </c>
      <c r="FI68" s="1445"/>
      <c r="FJ68" s="1445"/>
      <c r="FK68" s="1003">
        <f>IF(FI68=0,0,(FJ68-FI68)/FI68*100)</f>
        <v>0</v>
      </c>
      <c r="FL68" s="1445"/>
      <c r="FM68" s="1445"/>
      <c r="FN68" s="1003">
        <f>IF(FL68=0,0,(FM68-FL68)/FL68*100)</f>
        <v>0</v>
      </c>
      <c r="FO68" s="1445"/>
      <c r="FP68" s="1445"/>
      <c r="FQ68" s="1003">
        <f>IF(FO68=0,0,(FP68-FO68)/FO68*100)</f>
        <v>0</v>
      </c>
      <c r="FR68" s="1445"/>
      <c r="FS68" s="1445"/>
      <c r="FT68" s="1003">
        <f>IF(FR68=0,0,(FS68-FR68)/FR68*100)</f>
        <v>0</v>
      </c>
      <c r="FU68" s="1445"/>
      <c r="FV68" s="1445"/>
      <c r="FW68" s="1003">
        <f>IF(FU68=0,0,(FV68-FU68)/FU68*100)</f>
        <v>0</v>
      </c>
      <c r="FZ68" s="964" t="s">
        <v>1653</v>
      </c>
    </row>
    <row r="69" spans="1:186" ht="14.65" hidden="1" customHeight="1" x14ac:dyDescent="0.15">
      <c r="A69" s="416"/>
      <c r="B69" s="837" t="b" cm="1">
        <f t="array" ref="B69">B68</f>
        <v>0</v>
      </c>
      <c r="C69" s="416"/>
      <c r="D69" s="416"/>
      <c r="E69" s="759">
        <v>15</v>
      </c>
      <c r="F69" s="3" cm="1">
        <f t="array" aca="1" ref="F69" ca="1">OFFSET(E69,-1,1)</f>
        <v>0</v>
      </c>
      <c r="G69" s="416"/>
      <c r="H69" s="416" t="s">
        <v>1630</v>
      </c>
      <c r="I69" s="416" t="s">
        <v>1605</v>
      </c>
      <c r="J69" s="416"/>
      <c r="K69" s="416"/>
      <c r="L69" s="416"/>
      <c r="M69" s="416"/>
      <c r="N69" s="416"/>
      <c r="O69" s="416"/>
      <c r="P69" s="416"/>
      <c r="Q69" s="416"/>
      <c r="R69" s="416"/>
      <c r="S69" s="416"/>
      <c r="T69" s="388" t="b" cm="1">
        <f t="array" aca="1" ref="T69" ca="1">T68</f>
        <v>0</v>
      </c>
      <c r="U69" s="416"/>
      <c r="V69" s="416"/>
      <c r="W69" s="416"/>
      <c r="X69" s="2066"/>
      <c r="Y69" s="416"/>
      <c r="Z69" s="2011"/>
      <c r="AA69" s="416"/>
      <c r="AB69" s="818" t="s">
        <v>1631</v>
      </c>
      <c r="AC69" s="783" t="s">
        <v>1632</v>
      </c>
      <c r="AD69" s="1445"/>
      <c r="AE69" s="1445"/>
      <c r="AF69" s="1003">
        <f>IF(AD69=0,0,(AE69-AD69)/AD69*100)</f>
        <v>0</v>
      </c>
      <c r="AG69" s="1445"/>
      <c r="AH69" s="1445"/>
      <c r="AI69" s="1003">
        <f>IF(AG69=0,0,(AH69-AG69)/AG69*100)</f>
        <v>0</v>
      </c>
      <c r="AJ69" s="1445"/>
      <c r="AK69" s="1445"/>
      <c r="AL69" s="1003">
        <f>IF(AJ69=0,0,(AK69-AJ69)/AJ69*100)</f>
        <v>0</v>
      </c>
      <c r="AM69" s="1445"/>
      <c r="AN69" s="1445"/>
      <c r="AO69" s="1003">
        <f>IF(AM69=0,0,(AN69-AM69)/AM69*100)</f>
        <v>0</v>
      </c>
      <c r="AP69" s="1445"/>
      <c r="AQ69" s="1445"/>
      <c r="AR69" s="1003">
        <f>IF(AP69=0,0,(AQ69-AP69)/AP69*100)</f>
        <v>0</v>
      </c>
      <c r="AS69" s="1445"/>
      <c r="AT69" s="1445"/>
      <c r="AU69" s="1003">
        <f>IF(AS69=0,0,(AT69-AS69)/AS69*100)</f>
        <v>0</v>
      </c>
      <c r="AV69" s="1445"/>
      <c r="AW69" s="1445"/>
      <c r="AX69" s="1003">
        <f>IF(AV69=0,0,(AW69-AV69)/AV69*100)</f>
        <v>0</v>
      </c>
      <c r="AY69" s="1445"/>
      <c r="AZ69" s="1445"/>
      <c r="BA69" s="1003">
        <f>IF(AY69=0,0,(AZ69-AY69)/AY69*100)</f>
        <v>0</v>
      </c>
      <c r="BB69" s="1445"/>
      <c r="BC69" s="1445"/>
      <c r="BD69" s="1003">
        <f>IF(BB69=0,0,(BC69-BB69)/BB69*100)</f>
        <v>0</v>
      </c>
      <c r="BE69" s="1445"/>
      <c r="BF69" s="1445"/>
      <c r="BG69" s="1003">
        <f>IF(BE69=0,0,(BF69-BE69)/BE69*100)</f>
        <v>0</v>
      </c>
      <c r="BH69" s="1445"/>
      <c r="BI69" s="1445"/>
      <c r="BJ69" s="1003">
        <f>IF(BH69=0,0,(BI69-BH69)/BH69*100)</f>
        <v>0</v>
      </c>
      <c r="BK69" s="1445"/>
      <c r="BL69" s="1445"/>
      <c r="BM69" s="1003">
        <f>IF(BK69=0,0,(BL69-BK69)/BK69*100)</f>
        <v>0</v>
      </c>
      <c r="BN69" s="1445"/>
      <c r="BO69" s="1445"/>
      <c r="BP69" s="1003">
        <f>IF(BN69=0,0,(BO69-BN69)/BN69*100)</f>
        <v>0</v>
      </c>
      <c r="BQ69" s="1445"/>
      <c r="BR69" s="1445"/>
      <c r="BS69" s="1003">
        <f>IF(BQ69=0,0,(BR69-BQ69)/BQ69*100)</f>
        <v>0</v>
      </c>
      <c r="BT69" s="1445"/>
      <c r="BU69" s="1445"/>
      <c r="BV69" s="1003">
        <f>IF(BT69=0,0,(BU69-BT69)/BT69*100)</f>
        <v>0</v>
      </c>
      <c r="BW69" s="1445"/>
      <c r="BX69" s="1445"/>
      <c r="BY69" s="1003">
        <f>IF(BW69=0,0,(BX69-BW69)/BW69*100)</f>
        <v>0</v>
      </c>
      <c r="BZ69" s="1445"/>
      <c r="CA69" s="1445"/>
      <c r="CB69" s="1003">
        <f>IF(BZ69=0,0,(CA69-BZ69)/BZ69*100)</f>
        <v>0</v>
      </c>
      <c r="CC69" s="1445"/>
      <c r="CD69" s="1445"/>
      <c r="CE69" s="1003">
        <f>IF(CC69=0,0,(CD69-CC69)/CC69*100)</f>
        <v>0</v>
      </c>
      <c r="CF69" s="1445"/>
      <c r="CG69" s="1445"/>
      <c r="CH69" s="1003">
        <f>IF(CF69=0,0,(CG69-CF69)/CF69*100)</f>
        <v>0</v>
      </c>
      <c r="CI69" s="1445"/>
      <c r="CJ69" s="1445"/>
      <c r="CK69" s="1003">
        <f>IF(CI69=0,0,(CJ69-CI69)/CI69*100)</f>
        <v>0</v>
      </c>
      <c r="CL69" s="1445"/>
      <c r="CM69" s="1445"/>
      <c r="CN69" s="1003">
        <f>IF(CL69=0,0,(CM69-CL69)/CL69*100)</f>
        <v>0</v>
      </c>
      <c r="CO69" s="1445"/>
      <c r="CP69" s="1445"/>
      <c r="CQ69" s="1003">
        <f>IF(CO69=0,0,(CP69-CO69)/CO69*100)</f>
        <v>0</v>
      </c>
      <c r="CR69" s="1445"/>
      <c r="CS69" s="1445"/>
      <c r="CT69" s="1003">
        <f>IF(CR69=0,0,(CS69-CR69)/CR69*100)</f>
        <v>0</v>
      </c>
      <c r="CU69" s="1445"/>
      <c r="CV69" s="1445"/>
      <c r="CW69" s="1003">
        <f>IF(CU69=0,0,(CV69-CU69)/CU69*100)</f>
        <v>0</v>
      </c>
      <c r="CX69" s="1445"/>
      <c r="CY69" s="1445"/>
      <c r="CZ69" s="1003">
        <f>IF(CX69=0,0,(CY69-CX69)/CX69*100)</f>
        <v>0</v>
      </c>
      <c r="DA69" s="1445"/>
      <c r="DB69" s="1445"/>
      <c r="DC69" s="1003">
        <f>IF(DA69=0,0,(DB69-DA69)/DA69*100)</f>
        <v>0</v>
      </c>
      <c r="DD69" s="1445"/>
      <c r="DE69" s="1445"/>
      <c r="DF69" s="1003">
        <f>IF(DD69=0,0,(DE69-DD69)/DD69*100)</f>
        <v>0</v>
      </c>
      <c r="DG69" s="1445"/>
      <c r="DH69" s="1445"/>
      <c r="DI69" s="1003">
        <f>IF(DG69=0,0,(DH69-DG69)/DG69*100)</f>
        <v>0</v>
      </c>
      <c r="DJ69" s="1445"/>
      <c r="DK69" s="1445"/>
      <c r="DL69" s="1003">
        <f>IF(DJ69=0,0,(DK69-DJ69)/DJ69*100)</f>
        <v>0</v>
      </c>
      <c r="DM69" s="1445"/>
      <c r="DN69" s="1445"/>
      <c r="DO69" s="1003">
        <f>IF(DM69=0,0,(DN69-DM69)/DM69*100)</f>
        <v>0</v>
      </c>
      <c r="DP69" s="1445"/>
      <c r="DQ69" s="1445"/>
      <c r="DR69" s="1003">
        <f>IF(DP69=0,0,(DQ69-DP69)/DP69*100)</f>
        <v>0</v>
      </c>
      <c r="DS69" s="1445"/>
      <c r="DT69" s="1445"/>
      <c r="DU69" s="1003">
        <f>IF(DS69=0,0,(DT69-DS69)/DS69*100)</f>
        <v>0</v>
      </c>
      <c r="DV69" s="1445"/>
      <c r="DW69" s="1445"/>
      <c r="DX69" s="1003">
        <f>IF(DV69=0,0,(DW69-DV69)/DV69*100)</f>
        <v>0</v>
      </c>
      <c r="DY69" s="1445"/>
      <c r="DZ69" s="1445"/>
      <c r="EA69" s="1003">
        <f>IF(DY69=0,0,(DZ69-DY69)/DY69*100)</f>
        <v>0</v>
      </c>
      <c r="EB69" s="1445"/>
      <c r="EC69" s="1445"/>
      <c r="ED69" s="1003">
        <f>IF(EB69=0,0,(EC69-EB69)/EB69*100)</f>
        <v>0</v>
      </c>
      <c r="EE69" s="1445"/>
      <c r="EF69" s="1445"/>
      <c r="EG69" s="1003">
        <f>IF(EE69=0,0,(EF69-EE69)/EE69*100)</f>
        <v>0</v>
      </c>
      <c r="EH69" s="1445"/>
      <c r="EI69" s="1445"/>
      <c r="EJ69" s="1003">
        <f>IF(EH69=0,0,(EI69-EH69)/EH69*100)</f>
        <v>0</v>
      </c>
      <c r="EK69" s="1445"/>
      <c r="EL69" s="1445"/>
      <c r="EM69" s="1003">
        <f>IF(EK69=0,0,(EL69-EK69)/EK69*100)</f>
        <v>0</v>
      </c>
      <c r="EN69" s="1445"/>
      <c r="EO69" s="1445"/>
      <c r="EP69" s="1003">
        <f>IF(EN69=0,0,(EO69-EN69)/EN69*100)</f>
        <v>0</v>
      </c>
      <c r="EQ69" s="1445"/>
      <c r="ER69" s="1445"/>
      <c r="ES69" s="1003">
        <f>IF(EQ69=0,0,(ER69-EQ69)/EQ69*100)</f>
        <v>0</v>
      </c>
      <c r="ET69" s="1445"/>
      <c r="EU69" s="1445"/>
      <c r="EV69" s="1003">
        <f>IF(ET69=0,0,(EU69-ET69)/ET69*100)</f>
        <v>0</v>
      </c>
      <c r="EW69" s="1445"/>
      <c r="EX69" s="1445"/>
      <c r="EY69" s="1003">
        <f>IF(EW69=0,0,(EX69-EW69)/EW69*100)</f>
        <v>0</v>
      </c>
      <c r="EZ69" s="1445"/>
      <c r="FA69" s="1445"/>
      <c r="FB69" s="1003">
        <f>IF(EZ69=0,0,(FA69-EZ69)/EZ69*100)</f>
        <v>0</v>
      </c>
      <c r="FC69" s="1445"/>
      <c r="FD69" s="1445"/>
      <c r="FE69" s="1003">
        <f>IF(FC69=0,0,(FD69-FC69)/FC69*100)</f>
        <v>0</v>
      </c>
      <c r="FF69" s="1445"/>
      <c r="FG69" s="1445"/>
      <c r="FH69" s="1003">
        <f>IF(FF69=0,0,(FG69-FF69)/FF69*100)</f>
        <v>0</v>
      </c>
      <c r="FI69" s="1445"/>
      <c r="FJ69" s="1445"/>
      <c r="FK69" s="1003">
        <f>IF(FI69=0,0,(FJ69-FI69)/FI69*100)</f>
        <v>0</v>
      </c>
      <c r="FL69" s="1445"/>
      <c r="FM69" s="1445"/>
      <c r="FN69" s="1003">
        <f>IF(FL69=0,0,(FM69-FL69)/FL69*100)</f>
        <v>0</v>
      </c>
      <c r="FO69" s="1445"/>
      <c r="FP69" s="1445"/>
      <c r="FQ69" s="1003">
        <f>IF(FO69=0,0,(FP69-FO69)/FO69*100)</f>
        <v>0</v>
      </c>
      <c r="FR69" s="1445"/>
      <c r="FS69" s="1445"/>
      <c r="FT69" s="1003">
        <f>IF(FR69=0,0,(FS69-FR69)/FR69*100)</f>
        <v>0</v>
      </c>
      <c r="FU69" s="1445"/>
      <c r="FV69" s="1445"/>
      <c r="FW69" s="1003">
        <f>IF(FU69=0,0,(FV69-FU69)/FU69*100)</f>
        <v>0</v>
      </c>
      <c r="FZ69" s="964" t="s">
        <v>1654</v>
      </c>
    </row>
    <row r="70" spans="1:186" ht="18.2" hidden="1" customHeight="1" x14ac:dyDescent="0.15">
      <c r="A70" s="416"/>
      <c r="B70" s="837" t="b" cm="1">
        <f t="array" ref="B70">B69</f>
        <v>0</v>
      </c>
      <c r="C70" s="416"/>
      <c r="D70" s="416"/>
      <c r="E70" s="759">
        <v>18.75</v>
      </c>
      <c r="F70" s="3" cm="1">
        <f t="array" aca="1" ref="F70" ca="1">OFFSET(E70,-1,1)</f>
        <v>0</v>
      </c>
      <c r="G70" s="416"/>
      <c r="H70" s="416"/>
      <c r="I70" s="416"/>
      <c r="J70" s="416"/>
      <c r="K70" s="416"/>
      <c r="L70" s="416"/>
      <c r="M70" s="416"/>
      <c r="N70" s="416"/>
      <c r="O70" s="416"/>
      <c r="P70" s="416"/>
      <c r="Q70" s="416"/>
      <c r="R70" s="416"/>
      <c r="S70" s="416"/>
      <c r="T70" s="388" t="b">
        <f ca="1">AND(F70&gt;0,Y70&gt;0)</f>
        <v>0</v>
      </c>
      <c r="U70" s="416"/>
      <c r="V70" s="416"/>
      <c r="W70" s="416" t="s">
        <v>172</v>
      </c>
      <c r="X70" s="2066"/>
      <c r="Y70" s="2066">
        <v>0</v>
      </c>
      <c r="Z70" s="2011"/>
      <c r="AA70" s="1958" t="s">
        <v>173</v>
      </c>
      <c r="AB70" s="1444"/>
      <c r="AC70" s="784"/>
      <c r="AD70" s="1013"/>
      <c r="AE70" s="1014"/>
      <c r="AF70" s="1014"/>
      <c r="AG70" s="1013"/>
      <c r="AH70" s="1014"/>
      <c r="AI70" s="1014"/>
      <c r="AJ70" s="1013"/>
      <c r="AK70" s="1014"/>
      <c r="AL70" s="1014"/>
      <c r="AM70" s="1013"/>
      <c r="AN70" s="1014"/>
      <c r="AO70" s="1014"/>
      <c r="AP70" s="1013"/>
      <c r="AQ70" s="1014"/>
      <c r="AR70" s="1014"/>
      <c r="AS70" s="1013"/>
      <c r="AT70" s="1014"/>
      <c r="AU70" s="1014"/>
      <c r="AV70" s="1013"/>
      <c r="AW70" s="1014"/>
      <c r="AX70" s="1014"/>
      <c r="AY70" s="1013"/>
      <c r="AZ70" s="1014"/>
      <c r="BA70" s="1014"/>
      <c r="BB70" s="1013"/>
      <c r="BC70" s="1014"/>
      <c r="BD70" s="1014"/>
      <c r="BE70" s="1013"/>
      <c r="BF70" s="1014"/>
      <c r="BG70" s="1014"/>
      <c r="BH70" s="1013"/>
      <c r="BI70" s="1014"/>
      <c r="BJ70" s="1014"/>
      <c r="BK70" s="1013"/>
      <c r="BL70" s="1014"/>
      <c r="BM70" s="1014"/>
      <c r="BN70" s="1013"/>
      <c r="BO70" s="1014"/>
      <c r="BP70" s="1014"/>
      <c r="BQ70" s="1013"/>
      <c r="BR70" s="1014"/>
      <c r="BS70" s="1014"/>
      <c r="BT70" s="1013"/>
      <c r="BU70" s="1014"/>
      <c r="BV70" s="1014"/>
      <c r="BW70" s="1013"/>
      <c r="BX70" s="1014"/>
      <c r="BY70" s="1014"/>
      <c r="BZ70" s="1013"/>
      <c r="CA70" s="1014"/>
      <c r="CB70" s="1014"/>
      <c r="CC70" s="1013"/>
      <c r="CD70" s="1014"/>
      <c r="CE70" s="1014"/>
      <c r="CF70" s="1013"/>
      <c r="CG70" s="1014"/>
      <c r="CH70" s="1014"/>
      <c r="CI70" s="1013"/>
      <c r="CJ70" s="1014"/>
      <c r="CK70" s="1014"/>
      <c r="CL70" s="1013"/>
      <c r="CM70" s="1014"/>
      <c r="CN70" s="1014"/>
      <c r="CO70" s="1013"/>
      <c r="CP70" s="1014"/>
      <c r="CQ70" s="1014"/>
      <c r="CR70" s="1013"/>
      <c r="CS70" s="1014"/>
      <c r="CT70" s="1014"/>
      <c r="CU70" s="1013"/>
      <c r="CV70" s="1014"/>
      <c r="CW70" s="1014"/>
      <c r="CX70" s="1013"/>
      <c r="CY70" s="1014"/>
      <c r="CZ70" s="1014"/>
      <c r="DA70" s="1013"/>
      <c r="DB70" s="1014"/>
      <c r="DC70" s="1014"/>
      <c r="DD70" s="1013"/>
      <c r="DE70" s="1014"/>
      <c r="DF70" s="1014"/>
      <c r="DG70" s="1013"/>
      <c r="DH70" s="1014"/>
      <c r="DI70" s="1014"/>
      <c r="DJ70" s="1013"/>
      <c r="DK70" s="1014"/>
      <c r="DL70" s="1014"/>
      <c r="DM70" s="1013"/>
      <c r="DN70" s="1014"/>
      <c r="DO70" s="1014"/>
      <c r="DP70" s="1013"/>
      <c r="DQ70" s="1014"/>
      <c r="DR70" s="1014"/>
      <c r="DS70" s="1013"/>
      <c r="DT70" s="1014"/>
      <c r="DU70" s="1014"/>
      <c r="DV70" s="1013"/>
      <c r="DW70" s="1014"/>
      <c r="DX70" s="1014"/>
      <c r="DY70" s="1013"/>
      <c r="DZ70" s="1014"/>
      <c r="EA70" s="1014"/>
      <c r="EB70" s="1013"/>
      <c r="EC70" s="1014"/>
      <c r="ED70" s="1014"/>
      <c r="EE70" s="1013"/>
      <c r="EF70" s="1014"/>
      <c r="EG70" s="1014"/>
      <c r="EH70" s="1013"/>
      <c r="EI70" s="1014"/>
      <c r="EJ70" s="1014"/>
      <c r="EK70" s="1013"/>
      <c r="EL70" s="1014"/>
      <c r="EM70" s="1014"/>
      <c r="EN70" s="1013"/>
      <c r="EO70" s="1014"/>
      <c r="EP70" s="1014"/>
      <c r="EQ70" s="1013"/>
      <c r="ER70" s="1014"/>
      <c r="ES70" s="1014"/>
      <c r="ET70" s="1013"/>
      <c r="EU70" s="1014"/>
      <c r="EV70" s="1014"/>
      <c r="EW70" s="1013"/>
      <c r="EX70" s="1014"/>
      <c r="EY70" s="1014"/>
      <c r="EZ70" s="1013"/>
      <c r="FA70" s="1014"/>
      <c r="FB70" s="1014"/>
      <c r="FC70" s="1013"/>
      <c r="FD70" s="1014"/>
      <c r="FE70" s="1014"/>
      <c r="FF70" s="1013"/>
      <c r="FG70" s="1014"/>
      <c r="FH70" s="1014"/>
      <c r="FI70" s="1013"/>
      <c r="FJ70" s="1014"/>
      <c r="FK70" s="1014"/>
      <c r="FL70" s="1013"/>
      <c r="FM70" s="1014"/>
      <c r="FN70" s="1014"/>
      <c r="FO70" s="1013"/>
      <c r="FP70" s="1014"/>
      <c r="FQ70" s="1014"/>
      <c r="FR70" s="1013"/>
      <c r="FS70" s="1014"/>
      <c r="FT70" s="1014"/>
      <c r="FU70" s="1013"/>
      <c r="FV70" s="1014"/>
      <c r="FW70" s="1015"/>
      <c r="FZ70" s="964"/>
      <c r="GD70" s="556" t="b">
        <v>1</v>
      </c>
    </row>
    <row r="71" spans="1:186" ht="14.65" hidden="1" customHeight="1" x14ac:dyDescent="0.15">
      <c r="A71" s="416"/>
      <c r="B71" s="837" t="b" cm="1">
        <f t="array" ref="B71">B70</f>
        <v>0</v>
      </c>
      <c r="C71" s="416"/>
      <c r="D71" s="416"/>
      <c r="E71" s="759">
        <v>15</v>
      </c>
      <c r="F71" s="3" cm="1">
        <f t="array" aca="1" ref="F71" ca="1">OFFSET(E71,-1,1)</f>
        <v>0</v>
      </c>
      <c r="G71" s="416"/>
      <c r="H71" s="416" t="s">
        <v>1529</v>
      </c>
      <c r="I71" s="416" cm="1">
        <f t="array" ref="I71">AB70</f>
        <v>0</v>
      </c>
      <c r="J71" s="416"/>
      <c r="K71" s="416"/>
      <c r="L71" s="416"/>
      <c r="M71" s="416"/>
      <c r="N71" s="416"/>
      <c r="O71" s="416"/>
      <c r="P71" s="416"/>
      <c r="Q71" s="416"/>
      <c r="R71" s="416"/>
      <c r="S71" s="416"/>
      <c r="T71" s="388" t="b" cm="1">
        <f t="array" aca="1" ref="T71" ca="1">T70</f>
        <v>0</v>
      </c>
      <c r="U71" s="416"/>
      <c r="V71" s="416"/>
      <c r="W71" s="416"/>
      <c r="X71" s="2066"/>
      <c r="Y71" s="2066"/>
      <c r="Z71" s="2011"/>
      <c r="AA71" s="1958"/>
      <c r="AB71" s="818" t="s">
        <v>1621</v>
      </c>
      <c r="AC71" s="783" t="s">
        <v>1588</v>
      </c>
      <c r="AD71" s="1445">
        <f>IF(AD73=0,0,(AD72*AD73+AD74*AD75*IF(god=2026,3,6))/AD73)</f>
        <v>0</v>
      </c>
      <c r="AE71" s="1445">
        <f>IF(AE73=0,0,(AE72*AE73+AE74*AE75*IF(god=2026,3,6))/AE73)</f>
        <v>0</v>
      </c>
      <c r="AF71" s="1003">
        <f>IF(AD71=0,0,(AE71-AD71)/AD71*100)</f>
        <v>0</v>
      </c>
      <c r="AG71" s="1445">
        <f>IF(AG73=0,0,(AG72*AG73+AG74*AG75*IF(god=2025,3,6))/AG73)</f>
        <v>0</v>
      </c>
      <c r="AH71" s="1445">
        <f>IF(AH73=0,0,(AH72*AH73+AH74*AH75*IF(god=2025,3,6))/AH73)</f>
        <v>0</v>
      </c>
      <c r="AI71" s="1003">
        <f>IF(AG71=0,0,(AH71-AG71)/AG71*100)</f>
        <v>0</v>
      </c>
      <c r="AJ71" s="1445">
        <f>IF(AJ73=0,0,(AJ72*AJ73+AJ74*AJ75*6)/AJ73)</f>
        <v>0</v>
      </c>
      <c r="AK71" s="1445">
        <f>IF(AK73=0,0,(AK72*AK73+AK74*AK75*6)/AK73)</f>
        <v>0</v>
      </c>
      <c r="AL71" s="1003">
        <f>IF(AJ71=0,0,(AK71-AJ71)/AJ71*100)</f>
        <v>0</v>
      </c>
      <c r="AM71" s="1445">
        <f>IF(AM73=0,0,(AM72*AM73+AM74*AM75*6)/AM73)</f>
        <v>0</v>
      </c>
      <c r="AN71" s="1445">
        <f>IF(AN73=0,0,(AN72*AN73+AN74*AN75*6)/AN73)</f>
        <v>0</v>
      </c>
      <c r="AO71" s="1003">
        <f>IF(AM71=0,0,(AN71-AM71)/AM71*100)</f>
        <v>0</v>
      </c>
      <c r="AP71" s="1445">
        <f>IF(AP73=0,0,(AP72*AP73+AP74*AP75*6)/AP73)</f>
        <v>0</v>
      </c>
      <c r="AQ71" s="1445">
        <f>IF(AQ73=0,0,(AQ72*AQ73+AQ74*AQ75*6)/AQ73)</f>
        <v>0</v>
      </c>
      <c r="AR71" s="1003">
        <f>IF(AP71=0,0,(AQ71-AP71)/AP71*100)</f>
        <v>0</v>
      </c>
      <c r="AS71" s="1445">
        <f>IF(AS73=0,0,(AS72*AS73+AS74*AS75*6)/AS73)</f>
        <v>0</v>
      </c>
      <c r="AT71" s="1445">
        <f>IF(AT73=0,0,(AT72*AT73+AT74*AT75*6)/AT73)</f>
        <v>0</v>
      </c>
      <c r="AU71" s="1003">
        <f>IF(AS71=0,0,(AT71-AS71)/AS71*100)</f>
        <v>0</v>
      </c>
      <c r="AV71" s="1445">
        <f>IF(AV73=0,0,(AV72*AV73+AV74*AV75*6)/AV73)</f>
        <v>0</v>
      </c>
      <c r="AW71" s="1445">
        <f>IF(AW73=0,0,(AW72*AW73+AW74*AW75*6)/AW73)</f>
        <v>0</v>
      </c>
      <c r="AX71" s="1003">
        <f>IF(AV71=0,0,(AW71-AV71)/AV71*100)</f>
        <v>0</v>
      </c>
      <c r="AY71" s="1445">
        <f>IF(AY73=0,0,(AY72*AY73+AY74*AY75*6)/AY73)</f>
        <v>0</v>
      </c>
      <c r="AZ71" s="1445">
        <f>IF(AZ73=0,0,(AZ72*AZ73+AZ74*AZ75*6)/AZ73)</f>
        <v>0</v>
      </c>
      <c r="BA71" s="1003">
        <f>IF(AY71=0,0,(AZ71-AY71)/AY71*100)</f>
        <v>0</v>
      </c>
      <c r="BB71" s="1445">
        <f>IF(BB73=0,0,(BB72*BB73+BB74*BB75*6)/BB73)</f>
        <v>0</v>
      </c>
      <c r="BC71" s="1445">
        <f>IF(BC73=0,0,(BC72*BC73+BC74*BC75*6)/BC73)</f>
        <v>0</v>
      </c>
      <c r="BD71" s="1003">
        <f>IF(BB71=0,0,(BC71-BB71)/BB71*100)</f>
        <v>0</v>
      </c>
      <c r="BE71" s="1445">
        <f>IF(BE73=0,0,(BE72*BE73+BE74*BE75*6)/BE73)</f>
        <v>0</v>
      </c>
      <c r="BF71" s="1445">
        <f>IF(BF73=0,0,(BF72*BF73+BF74*BF75*6)/BF73)</f>
        <v>0</v>
      </c>
      <c r="BG71" s="1003">
        <f>IF(BE71=0,0,(BF71-BE71)/BE71*100)</f>
        <v>0</v>
      </c>
      <c r="BH71" s="1445">
        <f>IF(BH73=0,0,(BH72*BH73+BH74*BH75*6)/BH73)</f>
        <v>0</v>
      </c>
      <c r="BI71" s="1445">
        <f>IF(BI73=0,0,(BI72*BI73+BI74*BI75*6)/BI73)</f>
        <v>0</v>
      </c>
      <c r="BJ71" s="1003">
        <f>IF(BH71=0,0,(BI71-BH71)/BH71*100)</f>
        <v>0</v>
      </c>
      <c r="BK71" s="1445">
        <f>IF(BK73=0,0,(BK72*BK73+BK74*BK75*6)/BK73)</f>
        <v>0</v>
      </c>
      <c r="BL71" s="1445">
        <f>IF(BL73=0,0,(BL72*BL73+BL74*BL75*6)/BL73)</f>
        <v>0</v>
      </c>
      <c r="BM71" s="1003">
        <f>IF(BK71=0,0,(BL71-BK71)/BK71*100)</f>
        <v>0</v>
      </c>
      <c r="BN71" s="1445">
        <f>IF(BN73=0,0,(BN72*BN73+BN74*BN75*6)/BN73)</f>
        <v>0</v>
      </c>
      <c r="BO71" s="1445">
        <f>IF(BO73=0,0,(BO72*BO73+BO74*BO75*6)/BO73)</f>
        <v>0</v>
      </c>
      <c r="BP71" s="1003">
        <f>IF(BN71=0,0,(BO71-BN71)/BN71*100)</f>
        <v>0</v>
      </c>
      <c r="BQ71" s="1445">
        <f>IF(BQ73=0,0,(BQ72*BQ73+BQ74*BQ75*6)/BQ73)</f>
        <v>0</v>
      </c>
      <c r="BR71" s="1445">
        <f>IF(BR73=0,0,(BR72*BR73+BR74*BR75*6)/BR73)</f>
        <v>0</v>
      </c>
      <c r="BS71" s="1003">
        <f>IF(BQ71=0,0,(BR71-BQ71)/BQ71*100)</f>
        <v>0</v>
      </c>
      <c r="BT71" s="1445">
        <f>IF(BT73=0,0,(BT72*BT73+BT74*BT75*6)/BT73)</f>
        <v>0</v>
      </c>
      <c r="BU71" s="1445">
        <f>IF(BU73=0,0,(BU72*BU73+BU74*BU75*6)/BU73)</f>
        <v>0</v>
      </c>
      <c r="BV71" s="1003">
        <f>IF(BT71=0,0,(BU71-BT71)/BT71*100)</f>
        <v>0</v>
      </c>
      <c r="BW71" s="1445">
        <f>IF(BW73=0,0,(BW72*BW73+BW74*BW75*6)/BW73)</f>
        <v>0</v>
      </c>
      <c r="BX71" s="1445">
        <f>IF(BX73=0,0,(BX72*BX73+BX74*BX75*6)/BX73)</f>
        <v>0</v>
      </c>
      <c r="BY71" s="1003">
        <f>IF(BW71=0,0,(BX71-BW71)/BW71*100)</f>
        <v>0</v>
      </c>
      <c r="BZ71" s="1445">
        <f>IF(BZ73=0,0,(BZ72*BZ73+BZ74*BZ75*6)/BZ73)</f>
        <v>0</v>
      </c>
      <c r="CA71" s="1445">
        <f>IF(CA73=0,0,(CA72*CA73+CA74*CA75*6)/CA73)</f>
        <v>0</v>
      </c>
      <c r="CB71" s="1003">
        <f>IF(BZ71=0,0,(CA71-BZ71)/BZ71*100)</f>
        <v>0</v>
      </c>
      <c r="CC71" s="1445">
        <f>IF(CC73=0,0,(CC72*CC73+CC74*CC75*6)/CC73)</f>
        <v>0</v>
      </c>
      <c r="CD71" s="1445">
        <f>IF(CD73=0,0,(CD72*CD73+CD74*CD75*6)/CD73)</f>
        <v>0</v>
      </c>
      <c r="CE71" s="1003">
        <f>IF(CC71=0,0,(CD71-CC71)/CC71*100)</f>
        <v>0</v>
      </c>
      <c r="CF71" s="1445">
        <f>IF(CF73=0,0,(CF72*CF73+CF74*CF75*6)/CF73)</f>
        <v>0</v>
      </c>
      <c r="CG71" s="1445">
        <f>IF(CG73=0,0,(CG72*CG73+CG74*CG75*6)/CG73)</f>
        <v>0</v>
      </c>
      <c r="CH71" s="1003">
        <f>IF(CF71=0,0,(CG71-CF71)/CF71*100)</f>
        <v>0</v>
      </c>
      <c r="CI71" s="1445">
        <f>IF(CI73=0,0,(CI72*CI73+CI74*CI75*6)/CI73)</f>
        <v>0</v>
      </c>
      <c r="CJ71" s="1445">
        <f>IF(CJ73=0,0,(CJ72*CJ73+CJ74*CJ75*6)/CJ73)</f>
        <v>0</v>
      </c>
      <c r="CK71" s="1003">
        <f>IF(CI71=0,0,(CJ71-CI71)/CI71*100)</f>
        <v>0</v>
      </c>
      <c r="CL71" s="1445">
        <f>IF(CL73=0,0,(CL72*CL73+CL74*CL75*6)/CL73)</f>
        <v>0</v>
      </c>
      <c r="CM71" s="1445">
        <f>IF(CM73=0,0,(CM72*CM73+CM74*CM75*6)/CM73)</f>
        <v>0</v>
      </c>
      <c r="CN71" s="1003">
        <f>IF(CL71=0,0,(CM71-CL71)/CL71*100)</f>
        <v>0</v>
      </c>
      <c r="CO71" s="1445">
        <f>IF(CO73=0,0,(CO72*CO73+CO74*CO75*6)/CO73)</f>
        <v>0</v>
      </c>
      <c r="CP71" s="1445">
        <f>IF(CP73=0,0,(CP72*CP73+CP74*CP75*6)/CP73)</f>
        <v>0</v>
      </c>
      <c r="CQ71" s="1003">
        <f>IF(CO71=0,0,(CP71-CO71)/CO71*100)</f>
        <v>0</v>
      </c>
      <c r="CR71" s="1445">
        <f>IF(CR73=0,0,(CR72*CR73+CR74*CR75*6)/CR73)</f>
        <v>0</v>
      </c>
      <c r="CS71" s="1445">
        <f>IF(CS73=0,0,(CS72*CS73+CS74*CS75*6)/CS73)</f>
        <v>0</v>
      </c>
      <c r="CT71" s="1003">
        <f>IF(CR71=0,0,(CS71-CR71)/CR71*100)</f>
        <v>0</v>
      </c>
      <c r="CU71" s="1445">
        <f>IF(CU73=0,0,(CU72*CU73+CU74*CU75*6)/CU73)</f>
        <v>0</v>
      </c>
      <c r="CV71" s="1445">
        <f>IF(CV73=0,0,(CV72*CV73+CV74*CV75*6)/CV73)</f>
        <v>0</v>
      </c>
      <c r="CW71" s="1003">
        <f>IF(CU71=0,0,(CV71-CU71)/CU71*100)</f>
        <v>0</v>
      </c>
      <c r="CX71" s="1445">
        <f>IF(CX73=0,0,(CX72*CX73+CX74*CX75*6)/CX73)</f>
        <v>0</v>
      </c>
      <c r="CY71" s="1445">
        <f>IF(CY73=0,0,(CY72*CY73+CY74*CY75*6)/CY73)</f>
        <v>0</v>
      </c>
      <c r="CZ71" s="1003">
        <f>IF(CX71=0,0,(CY71-CX71)/CX71*100)</f>
        <v>0</v>
      </c>
      <c r="DA71" s="1445">
        <f>IF(DA73=0,0,(DA72*DA73+DA74*DA75*6)/DA73)</f>
        <v>0</v>
      </c>
      <c r="DB71" s="1445">
        <f>IF(DB73=0,0,(DB72*DB73+DB74*DB75*6)/DB73)</f>
        <v>0</v>
      </c>
      <c r="DC71" s="1003">
        <f>IF(DA71=0,0,(DB71-DA71)/DA71*100)</f>
        <v>0</v>
      </c>
      <c r="DD71" s="1445">
        <f>IF(DD73=0,0,(DD72*DD73+DD74*DD75*6)/DD73)</f>
        <v>0</v>
      </c>
      <c r="DE71" s="1445">
        <f>IF(DE73=0,0,(DE72*DE73+DE74*DE75*6)/DE73)</f>
        <v>0</v>
      </c>
      <c r="DF71" s="1003">
        <f>IF(DD71=0,0,(DE71-DD71)/DD71*100)</f>
        <v>0</v>
      </c>
      <c r="DG71" s="1445">
        <f>IF(DG73=0,0,(DG72*DG73+DG74*DG75*6)/DG73)</f>
        <v>0</v>
      </c>
      <c r="DH71" s="1445">
        <f>IF(DH73=0,0,(DH72*DH73+DH74*DH75*6)/DH73)</f>
        <v>0</v>
      </c>
      <c r="DI71" s="1003">
        <f>IF(DG71=0,0,(DH71-DG71)/DG71*100)</f>
        <v>0</v>
      </c>
      <c r="DJ71" s="1445">
        <f>IF(DJ73=0,0,(DJ72*DJ73+DJ74*DJ75*6)/DJ73)</f>
        <v>0</v>
      </c>
      <c r="DK71" s="1445">
        <f>IF(DK73=0,0,(DK72*DK73+DK74*DK75*6)/DK73)</f>
        <v>0</v>
      </c>
      <c r="DL71" s="1003">
        <f>IF(DJ71=0,0,(DK71-DJ71)/DJ71*100)</f>
        <v>0</v>
      </c>
      <c r="DM71" s="1445">
        <f>IF(DM73=0,0,(DM72*DM73+DM74*DM75*6)/DM73)</f>
        <v>0</v>
      </c>
      <c r="DN71" s="1445">
        <f>IF(DN73=0,0,(DN72*DN73+DN74*DN75*6)/DN73)</f>
        <v>0</v>
      </c>
      <c r="DO71" s="1003">
        <f>IF(DM71=0,0,(DN71-DM71)/DM71*100)</f>
        <v>0</v>
      </c>
      <c r="DP71" s="1445">
        <f>IF(DP73=0,0,(DP72*DP73+DP74*DP75*6)/DP73)</f>
        <v>0</v>
      </c>
      <c r="DQ71" s="1445">
        <f>IF(DQ73=0,0,(DQ72*DQ73+DQ74*DQ75*6)/DQ73)</f>
        <v>0</v>
      </c>
      <c r="DR71" s="1003">
        <f>IF(DP71=0,0,(DQ71-DP71)/DP71*100)</f>
        <v>0</v>
      </c>
      <c r="DS71" s="1445">
        <f>IF(DS73=0,0,(DS72*DS73+DS74*DS75*6)/DS73)</f>
        <v>0</v>
      </c>
      <c r="DT71" s="1445">
        <f>IF(DT73=0,0,(DT72*DT73+DT74*DT75*6)/DT73)</f>
        <v>0</v>
      </c>
      <c r="DU71" s="1003">
        <f>IF(DS71=0,0,(DT71-DS71)/DS71*100)</f>
        <v>0</v>
      </c>
      <c r="DV71" s="1445">
        <f>IF(DV73=0,0,(DV72*DV73+DV74*DV75*6)/DV73)</f>
        <v>0</v>
      </c>
      <c r="DW71" s="1445">
        <f>IF(DW73=0,0,(DW72*DW73+DW74*DW75*6)/DW73)</f>
        <v>0</v>
      </c>
      <c r="DX71" s="1003">
        <f>IF(DV71=0,0,(DW71-DV71)/DV71*100)</f>
        <v>0</v>
      </c>
      <c r="DY71" s="1445">
        <f>IF(DY73=0,0,(DY72*DY73+DY74*DY75*6)/DY73)</f>
        <v>0</v>
      </c>
      <c r="DZ71" s="1445">
        <f>IF(DZ73=0,0,(DZ72*DZ73+DZ74*DZ75*6)/DZ73)</f>
        <v>0</v>
      </c>
      <c r="EA71" s="1003">
        <f>IF(DY71=0,0,(DZ71-DY71)/DY71*100)</f>
        <v>0</v>
      </c>
      <c r="EB71" s="1445">
        <f>IF(EB73=0,0,(EB72*EB73+EB74*EB75*6)/EB73)</f>
        <v>0</v>
      </c>
      <c r="EC71" s="1445">
        <f>IF(EC73=0,0,(EC72*EC73+EC74*EC75*6)/EC73)</f>
        <v>0</v>
      </c>
      <c r="ED71" s="1003">
        <f>IF(EB71=0,0,(EC71-EB71)/EB71*100)</f>
        <v>0</v>
      </c>
      <c r="EE71" s="1445">
        <f>IF(EE73=0,0,(EE72*EE73+EE74*EE75*6)/EE73)</f>
        <v>0</v>
      </c>
      <c r="EF71" s="1445">
        <f>IF(EF73=0,0,(EF72*EF73+EF74*EF75*6)/EF73)</f>
        <v>0</v>
      </c>
      <c r="EG71" s="1003">
        <f>IF(EE71=0,0,(EF71-EE71)/EE71*100)</f>
        <v>0</v>
      </c>
      <c r="EH71" s="1445">
        <f>IF(EH73=0,0,(EH72*EH73+EH74*EH75*6)/EH73)</f>
        <v>0</v>
      </c>
      <c r="EI71" s="1445">
        <f>IF(EI73=0,0,(EI72*EI73+EI74*EI75*6)/EI73)</f>
        <v>0</v>
      </c>
      <c r="EJ71" s="1003">
        <f>IF(EH71=0,0,(EI71-EH71)/EH71*100)</f>
        <v>0</v>
      </c>
      <c r="EK71" s="1445">
        <f>IF(EK73=0,0,(EK72*EK73+EK74*EK75*6)/EK73)</f>
        <v>0</v>
      </c>
      <c r="EL71" s="1445">
        <f>IF(EL73=0,0,(EL72*EL73+EL74*EL75*6)/EL73)</f>
        <v>0</v>
      </c>
      <c r="EM71" s="1003">
        <f>IF(EK71=0,0,(EL71-EK71)/EK71*100)</f>
        <v>0</v>
      </c>
      <c r="EN71" s="1445">
        <f>IF(EN73=0,0,(EN72*EN73+EN74*EN75*6)/EN73)</f>
        <v>0</v>
      </c>
      <c r="EO71" s="1445">
        <f>IF(EO73=0,0,(EO72*EO73+EO74*EO75*6)/EO73)</f>
        <v>0</v>
      </c>
      <c r="EP71" s="1003">
        <f>IF(EN71=0,0,(EO71-EN71)/EN71*100)</f>
        <v>0</v>
      </c>
      <c r="EQ71" s="1445">
        <f>IF(EQ73=0,0,(EQ72*EQ73+EQ74*EQ75*6)/EQ73)</f>
        <v>0</v>
      </c>
      <c r="ER71" s="1445">
        <f>IF(ER73=0,0,(ER72*ER73+ER74*ER75*6)/ER73)</f>
        <v>0</v>
      </c>
      <c r="ES71" s="1003">
        <f>IF(EQ71=0,0,(ER71-EQ71)/EQ71*100)</f>
        <v>0</v>
      </c>
      <c r="ET71" s="1445">
        <f>IF(ET73=0,0,(ET72*ET73+ET74*ET75*6)/ET73)</f>
        <v>0</v>
      </c>
      <c r="EU71" s="1445">
        <f>IF(EU73=0,0,(EU72*EU73+EU74*EU75*6)/EU73)</f>
        <v>0</v>
      </c>
      <c r="EV71" s="1003">
        <f>IF(ET71=0,0,(EU71-ET71)/ET71*100)</f>
        <v>0</v>
      </c>
      <c r="EW71" s="1445">
        <f>IF(EW73=0,0,(EW72*EW73+EW74*EW75*6)/EW73)</f>
        <v>0</v>
      </c>
      <c r="EX71" s="1445">
        <f>IF(EX73=0,0,(EX72*EX73+EX74*EX75*6)/EX73)</f>
        <v>0</v>
      </c>
      <c r="EY71" s="1003">
        <f>IF(EW71=0,0,(EX71-EW71)/EW71*100)</f>
        <v>0</v>
      </c>
      <c r="EZ71" s="1445">
        <f>IF(EZ73=0,0,(EZ72*EZ73+EZ74*EZ75*6)/EZ73)</f>
        <v>0</v>
      </c>
      <c r="FA71" s="1445">
        <f>IF(FA73=0,0,(FA72*FA73+FA74*FA75*6)/FA73)</f>
        <v>0</v>
      </c>
      <c r="FB71" s="1003">
        <f>IF(EZ71=0,0,(FA71-EZ71)/EZ71*100)</f>
        <v>0</v>
      </c>
      <c r="FC71" s="1445">
        <f>IF(FC73=0,0,(FC72*FC73+FC74*FC75*6)/FC73)</f>
        <v>0</v>
      </c>
      <c r="FD71" s="1445">
        <f>IF(FD73=0,0,(FD72*FD73+FD74*FD75*6)/FD73)</f>
        <v>0</v>
      </c>
      <c r="FE71" s="1003">
        <f>IF(FC71=0,0,(FD71-FC71)/FC71*100)</f>
        <v>0</v>
      </c>
      <c r="FF71" s="1445">
        <f>IF(FF73=0,0,(FF72*FF73+FF74*FF75*6)/FF73)</f>
        <v>0</v>
      </c>
      <c r="FG71" s="1445">
        <f>IF(FG73=0,0,(FG72*FG73+FG74*FG75*6)/FG73)</f>
        <v>0</v>
      </c>
      <c r="FH71" s="1003">
        <f>IF(FF71=0,0,(FG71-FF71)/FF71*100)</f>
        <v>0</v>
      </c>
      <c r="FI71" s="1445">
        <f>IF(FI73=0,0,(FI72*FI73+FI74*FI75*6)/FI73)</f>
        <v>0</v>
      </c>
      <c r="FJ71" s="1445">
        <f>IF(FJ73=0,0,(FJ72*FJ73+FJ74*FJ75*6)/FJ73)</f>
        <v>0</v>
      </c>
      <c r="FK71" s="1003">
        <f>IF(FI71=0,0,(FJ71-FI71)/FI71*100)</f>
        <v>0</v>
      </c>
      <c r="FL71" s="1445">
        <f>IF(FL73=0,0,(FL72*FL73+FL74*FL75*6)/FL73)</f>
        <v>0</v>
      </c>
      <c r="FM71" s="1445">
        <f>IF(FM73=0,0,(FM72*FM73+FM74*FM75*6)/FM73)</f>
        <v>0</v>
      </c>
      <c r="FN71" s="1003">
        <f>IF(FL71=0,0,(FM71-FL71)/FL71*100)</f>
        <v>0</v>
      </c>
      <c r="FO71" s="1445">
        <f>IF(FO73=0,0,(FO72*FO73+FO74*FO75*6)/FO73)</f>
        <v>0</v>
      </c>
      <c r="FP71" s="1445">
        <f>IF(FP73=0,0,(FP72*FP73+FP74*FP75*6)/FP73)</f>
        <v>0</v>
      </c>
      <c r="FQ71" s="1003">
        <f>IF(FO71=0,0,(FP71-FO71)/FO71*100)</f>
        <v>0</v>
      </c>
      <c r="FR71" s="1445">
        <f>IF(FR73=0,0,(FR72*FR73+FR74*FR75*6)/FR73)</f>
        <v>0</v>
      </c>
      <c r="FS71" s="1445">
        <f>IF(FS73=0,0,(FS72*FS73+FS74*FS75*6)/FS73)</f>
        <v>0</v>
      </c>
      <c r="FT71" s="1003">
        <f>IF(FR71=0,0,(FS71-FR71)/FR71*100)</f>
        <v>0</v>
      </c>
      <c r="FU71" s="1445">
        <f>IF(FU73=0,0,(FU72*FU73+FU74*FU75*6)/FU73)</f>
        <v>0</v>
      </c>
      <c r="FV71" s="1445">
        <f>IF(FV73=0,0,(FV72*FV73+FV74*FV75*6)/FV73)</f>
        <v>0</v>
      </c>
      <c r="FW71" s="1003">
        <f>IF(FU71=0,0,(FV71-FU71)/FU71*100)</f>
        <v>0</v>
      </c>
      <c r="FZ71" s="964" t="s">
        <v>1655</v>
      </c>
      <c r="GA71" s="924" t="s">
        <v>875</v>
      </c>
      <c r="GB71" s="966" cm="1">
        <f t="array" ref="GB71">AB70</f>
        <v>0</v>
      </c>
    </row>
    <row r="72" spans="1:186" ht="14.65" hidden="1" customHeight="1" x14ac:dyDescent="0.15">
      <c r="A72" s="416"/>
      <c r="B72" s="837" t="b" cm="1">
        <f t="array" ref="B72">B71</f>
        <v>0</v>
      </c>
      <c r="C72" s="416"/>
      <c r="D72" s="416"/>
      <c r="E72" s="759">
        <v>15</v>
      </c>
      <c r="F72" s="3" cm="1">
        <f t="array" aca="1" ref="F72" ca="1">OFFSET(E72,-1,1)</f>
        <v>0</v>
      </c>
      <c r="G72" s="416"/>
      <c r="H72" s="416" t="s">
        <v>1533</v>
      </c>
      <c r="I72" s="416" cm="1">
        <f t="array" ref="I72">I71</f>
        <v>0</v>
      </c>
      <c r="J72" s="416"/>
      <c r="K72" s="416"/>
      <c r="L72" s="416"/>
      <c r="M72" s="416"/>
      <c r="N72" s="416"/>
      <c r="O72" s="416"/>
      <c r="P72" s="416"/>
      <c r="Q72" s="416"/>
      <c r="R72" s="416"/>
      <c r="S72" s="416"/>
      <c r="T72" s="388" t="b" cm="1">
        <f t="array" aca="1" ref="T72" ca="1">T71</f>
        <v>0</v>
      </c>
      <c r="U72" s="416"/>
      <c r="V72" s="416"/>
      <c r="W72" s="416"/>
      <c r="X72" s="2066"/>
      <c r="Y72" s="2066"/>
      <c r="Z72" s="2011"/>
      <c r="AA72" s="1958"/>
      <c r="AB72" s="818" t="str">
        <f>"ставка платы за "&amp;IF(Q29="Водоснабжение","потребление 1 куб.м холодной воды","объем принятых сточных вод")</f>
        <v>ставка платы за объем принятых сточных вод</v>
      </c>
      <c r="AC72" s="783" t="s">
        <v>1588</v>
      </c>
      <c r="AD72" s="1445"/>
      <c r="AE72" s="1445"/>
      <c r="AF72" s="1003">
        <f>IF(AD72=0,0,(AE72-AD72)/AD72*100)</f>
        <v>0</v>
      </c>
      <c r="AG72" s="1445"/>
      <c r="AH72" s="1445"/>
      <c r="AI72" s="1003">
        <f>IF(AG72=0,0,(AH72-AG72)/AG72*100)</f>
        <v>0</v>
      </c>
      <c r="AJ72" s="1445"/>
      <c r="AK72" s="1445"/>
      <c r="AL72" s="1003">
        <f>IF(AJ72=0,0,(AK72-AJ72)/AJ72*100)</f>
        <v>0</v>
      </c>
      <c r="AM72" s="1445"/>
      <c r="AN72" s="1445"/>
      <c r="AO72" s="1003">
        <f>IF(AM72=0,0,(AN72-AM72)/AM72*100)</f>
        <v>0</v>
      </c>
      <c r="AP72" s="1445"/>
      <c r="AQ72" s="1445"/>
      <c r="AR72" s="1003">
        <f>IF(AP72=0,0,(AQ72-AP72)/AP72*100)</f>
        <v>0</v>
      </c>
      <c r="AS72" s="1445"/>
      <c r="AT72" s="1445"/>
      <c r="AU72" s="1003">
        <f>IF(AS72=0,0,(AT72-AS72)/AS72*100)</f>
        <v>0</v>
      </c>
      <c r="AV72" s="1445"/>
      <c r="AW72" s="1445"/>
      <c r="AX72" s="1003">
        <f>IF(AV72=0,0,(AW72-AV72)/AV72*100)</f>
        <v>0</v>
      </c>
      <c r="AY72" s="1445"/>
      <c r="AZ72" s="1445"/>
      <c r="BA72" s="1003">
        <f>IF(AY72=0,0,(AZ72-AY72)/AY72*100)</f>
        <v>0</v>
      </c>
      <c r="BB72" s="1445"/>
      <c r="BC72" s="1445"/>
      <c r="BD72" s="1003">
        <f>IF(BB72=0,0,(BC72-BB72)/BB72*100)</f>
        <v>0</v>
      </c>
      <c r="BE72" s="1445"/>
      <c r="BF72" s="1445"/>
      <c r="BG72" s="1003">
        <f>IF(BE72=0,0,(BF72-BE72)/BE72*100)</f>
        <v>0</v>
      </c>
      <c r="BH72" s="1445"/>
      <c r="BI72" s="1445"/>
      <c r="BJ72" s="1003">
        <f>IF(BH72=0,0,(BI72-BH72)/BH72*100)</f>
        <v>0</v>
      </c>
      <c r="BK72" s="1445"/>
      <c r="BL72" s="1445"/>
      <c r="BM72" s="1003">
        <f>IF(BK72=0,0,(BL72-BK72)/BK72*100)</f>
        <v>0</v>
      </c>
      <c r="BN72" s="1445"/>
      <c r="BO72" s="1445"/>
      <c r="BP72" s="1003">
        <f>IF(BN72=0,0,(BO72-BN72)/BN72*100)</f>
        <v>0</v>
      </c>
      <c r="BQ72" s="1445"/>
      <c r="BR72" s="1445"/>
      <c r="BS72" s="1003">
        <f>IF(BQ72=0,0,(BR72-BQ72)/BQ72*100)</f>
        <v>0</v>
      </c>
      <c r="BT72" s="1445"/>
      <c r="BU72" s="1445"/>
      <c r="BV72" s="1003">
        <f>IF(BT72=0,0,(BU72-BT72)/BT72*100)</f>
        <v>0</v>
      </c>
      <c r="BW72" s="1445"/>
      <c r="BX72" s="1445"/>
      <c r="BY72" s="1003">
        <f>IF(BW72=0,0,(BX72-BW72)/BW72*100)</f>
        <v>0</v>
      </c>
      <c r="BZ72" s="1445"/>
      <c r="CA72" s="1445"/>
      <c r="CB72" s="1003">
        <f>IF(BZ72=0,0,(CA72-BZ72)/BZ72*100)</f>
        <v>0</v>
      </c>
      <c r="CC72" s="1445"/>
      <c r="CD72" s="1445"/>
      <c r="CE72" s="1003">
        <f>IF(CC72=0,0,(CD72-CC72)/CC72*100)</f>
        <v>0</v>
      </c>
      <c r="CF72" s="1445"/>
      <c r="CG72" s="1445"/>
      <c r="CH72" s="1003">
        <f>IF(CF72=0,0,(CG72-CF72)/CF72*100)</f>
        <v>0</v>
      </c>
      <c r="CI72" s="1445"/>
      <c r="CJ72" s="1445"/>
      <c r="CK72" s="1003">
        <f>IF(CI72=0,0,(CJ72-CI72)/CI72*100)</f>
        <v>0</v>
      </c>
      <c r="CL72" s="1445"/>
      <c r="CM72" s="1445"/>
      <c r="CN72" s="1003">
        <f>IF(CL72=0,0,(CM72-CL72)/CL72*100)</f>
        <v>0</v>
      </c>
      <c r="CO72" s="1445"/>
      <c r="CP72" s="1445"/>
      <c r="CQ72" s="1003">
        <f>IF(CO72=0,0,(CP72-CO72)/CO72*100)</f>
        <v>0</v>
      </c>
      <c r="CR72" s="1445"/>
      <c r="CS72" s="1445"/>
      <c r="CT72" s="1003">
        <f>IF(CR72=0,0,(CS72-CR72)/CR72*100)</f>
        <v>0</v>
      </c>
      <c r="CU72" s="1445"/>
      <c r="CV72" s="1445"/>
      <c r="CW72" s="1003">
        <f>IF(CU72=0,0,(CV72-CU72)/CU72*100)</f>
        <v>0</v>
      </c>
      <c r="CX72" s="1445"/>
      <c r="CY72" s="1445"/>
      <c r="CZ72" s="1003">
        <f>IF(CX72=0,0,(CY72-CX72)/CX72*100)</f>
        <v>0</v>
      </c>
      <c r="DA72" s="1445"/>
      <c r="DB72" s="1445"/>
      <c r="DC72" s="1003">
        <f>IF(DA72=0,0,(DB72-DA72)/DA72*100)</f>
        <v>0</v>
      </c>
      <c r="DD72" s="1445"/>
      <c r="DE72" s="1445"/>
      <c r="DF72" s="1003">
        <f>IF(DD72=0,0,(DE72-DD72)/DD72*100)</f>
        <v>0</v>
      </c>
      <c r="DG72" s="1445"/>
      <c r="DH72" s="1445"/>
      <c r="DI72" s="1003">
        <f>IF(DG72=0,0,(DH72-DG72)/DG72*100)</f>
        <v>0</v>
      </c>
      <c r="DJ72" s="1445"/>
      <c r="DK72" s="1445"/>
      <c r="DL72" s="1003">
        <f>IF(DJ72=0,0,(DK72-DJ72)/DJ72*100)</f>
        <v>0</v>
      </c>
      <c r="DM72" s="1445"/>
      <c r="DN72" s="1445"/>
      <c r="DO72" s="1003">
        <f>IF(DM72=0,0,(DN72-DM72)/DM72*100)</f>
        <v>0</v>
      </c>
      <c r="DP72" s="1445"/>
      <c r="DQ72" s="1445"/>
      <c r="DR72" s="1003">
        <f>IF(DP72=0,0,(DQ72-DP72)/DP72*100)</f>
        <v>0</v>
      </c>
      <c r="DS72" s="1445"/>
      <c r="DT72" s="1445"/>
      <c r="DU72" s="1003">
        <f>IF(DS72=0,0,(DT72-DS72)/DS72*100)</f>
        <v>0</v>
      </c>
      <c r="DV72" s="1445"/>
      <c r="DW72" s="1445"/>
      <c r="DX72" s="1003">
        <f>IF(DV72=0,0,(DW72-DV72)/DV72*100)</f>
        <v>0</v>
      </c>
      <c r="DY72" s="1445"/>
      <c r="DZ72" s="1445"/>
      <c r="EA72" s="1003">
        <f>IF(DY72=0,0,(DZ72-DY72)/DY72*100)</f>
        <v>0</v>
      </c>
      <c r="EB72" s="1445"/>
      <c r="EC72" s="1445"/>
      <c r="ED72" s="1003">
        <f>IF(EB72=0,0,(EC72-EB72)/EB72*100)</f>
        <v>0</v>
      </c>
      <c r="EE72" s="1445"/>
      <c r="EF72" s="1445"/>
      <c r="EG72" s="1003">
        <f>IF(EE72=0,0,(EF72-EE72)/EE72*100)</f>
        <v>0</v>
      </c>
      <c r="EH72" s="1445"/>
      <c r="EI72" s="1445"/>
      <c r="EJ72" s="1003">
        <f>IF(EH72=0,0,(EI72-EH72)/EH72*100)</f>
        <v>0</v>
      </c>
      <c r="EK72" s="1445"/>
      <c r="EL72" s="1445"/>
      <c r="EM72" s="1003">
        <f>IF(EK72=0,0,(EL72-EK72)/EK72*100)</f>
        <v>0</v>
      </c>
      <c r="EN72" s="1445"/>
      <c r="EO72" s="1445"/>
      <c r="EP72" s="1003">
        <f>IF(EN72=0,0,(EO72-EN72)/EN72*100)</f>
        <v>0</v>
      </c>
      <c r="EQ72" s="1445"/>
      <c r="ER72" s="1445"/>
      <c r="ES72" s="1003">
        <f>IF(EQ72=0,0,(ER72-EQ72)/EQ72*100)</f>
        <v>0</v>
      </c>
      <c r="ET72" s="1445"/>
      <c r="EU72" s="1445"/>
      <c r="EV72" s="1003">
        <f>IF(ET72=0,0,(EU72-ET72)/ET72*100)</f>
        <v>0</v>
      </c>
      <c r="EW72" s="1445"/>
      <c r="EX72" s="1445"/>
      <c r="EY72" s="1003">
        <f>IF(EW72=0,0,(EX72-EW72)/EW72*100)</f>
        <v>0</v>
      </c>
      <c r="EZ72" s="1445"/>
      <c r="FA72" s="1445"/>
      <c r="FB72" s="1003">
        <f>IF(EZ72=0,0,(FA72-EZ72)/EZ72*100)</f>
        <v>0</v>
      </c>
      <c r="FC72" s="1445"/>
      <c r="FD72" s="1445"/>
      <c r="FE72" s="1003">
        <f>IF(FC72=0,0,(FD72-FC72)/FC72*100)</f>
        <v>0</v>
      </c>
      <c r="FF72" s="1445"/>
      <c r="FG72" s="1445"/>
      <c r="FH72" s="1003">
        <f>IF(FF72=0,0,(FG72-FF72)/FF72*100)</f>
        <v>0</v>
      </c>
      <c r="FI72" s="1445"/>
      <c r="FJ72" s="1445"/>
      <c r="FK72" s="1003">
        <f>IF(FI72=0,0,(FJ72-FI72)/FI72*100)</f>
        <v>0</v>
      </c>
      <c r="FL72" s="1445"/>
      <c r="FM72" s="1445"/>
      <c r="FN72" s="1003">
        <f>IF(FL72=0,0,(FM72-FL72)/FL72*100)</f>
        <v>0</v>
      </c>
      <c r="FO72" s="1445"/>
      <c r="FP72" s="1445"/>
      <c r="FQ72" s="1003">
        <f>IF(FO72=0,0,(FP72-FO72)/FO72*100)</f>
        <v>0</v>
      </c>
      <c r="FR72" s="1445"/>
      <c r="FS72" s="1445"/>
      <c r="FT72" s="1003">
        <f>IF(FR72=0,0,(FS72-FR72)/FR72*100)</f>
        <v>0</v>
      </c>
      <c r="FU72" s="1445"/>
      <c r="FV72" s="1445"/>
      <c r="FW72" s="1003">
        <f>IF(FU72=0,0,(FV72-FU72)/FU72*100)</f>
        <v>0</v>
      </c>
      <c r="FZ72" s="964" t="s">
        <v>1656</v>
      </c>
      <c r="GA72" s="924" t="s">
        <v>875</v>
      </c>
      <c r="GB72" s="924" cm="1">
        <f t="array" ref="GB72">GB71</f>
        <v>0</v>
      </c>
    </row>
    <row r="73" spans="1:186" ht="14.65" hidden="1" customHeight="1" x14ac:dyDescent="0.15">
      <c r="A73" s="416"/>
      <c r="B73" s="837" t="b" cm="1">
        <f t="array" ref="B73">B72</f>
        <v>0</v>
      </c>
      <c r="C73" s="416"/>
      <c r="D73" s="416"/>
      <c r="E73" s="759">
        <v>15</v>
      </c>
      <c r="F73" s="3" cm="1">
        <f t="array" aca="1" ref="F73" ca="1">OFFSET(E73,-1,1)</f>
        <v>0</v>
      </c>
      <c r="G73" s="416"/>
      <c r="H73" s="416" t="s">
        <v>1625</v>
      </c>
      <c r="I73" s="416" cm="1">
        <f t="array" ref="I73">I72</f>
        <v>0</v>
      </c>
      <c r="J73" s="416"/>
      <c r="K73" s="416"/>
      <c r="L73" s="416"/>
      <c r="M73" s="416"/>
      <c r="N73" s="416"/>
      <c r="O73" s="416"/>
      <c r="P73" s="416"/>
      <c r="Q73" s="416"/>
      <c r="R73" s="416"/>
      <c r="S73" s="416"/>
      <c r="T73" s="388" t="b" cm="1">
        <f t="array" aca="1" ref="T73" ca="1">T72</f>
        <v>0</v>
      </c>
      <c r="U73" s="416"/>
      <c r="V73" s="416"/>
      <c r="W73" s="416"/>
      <c r="X73" s="2066"/>
      <c r="Y73" s="2066"/>
      <c r="Z73" s="2011"/>
      <c r="AA73" s="1958"/>
      <c r="AB73" s="818" t="str">
        <f>"объём "&amp;IF(Q29="Водоснабжение","потребления холодной воды","водоотведения")</f>
        <v>объём водоотведения</v>
      </c>
      <c r="AC73" s="783" t="s">
        <v>563</v>
      </c>
      <c r="AD73" s="1443"/>
      <c r="AE73" s="1443"/>
      <c r="AF73" s="1005">
        <f>IF(AD73=0,0,(AE73-AD73)/AD73*100)</f>
        <v>0</v>
      </c>
      <c r="AG73" s="1443"/>
      <c r="AH73" s="1443"/>
      <c r="AI73" s="1005">
        <f>IF(AG73=0,0,(AH73-AG73)/AG73*100)</f>
        <v>0</v>
      </c>
      <c r="AJ73" s="1443"/>
      <c r="AK73" s="1443"/>
      <c r="AL73" s="1005">
        <f>IF(AJ73=0,0,(AK73-AJ73)/AJ73*100)</f>
        <v>0</v>
      </c>
      <c r="AM73" s="1443"/>
      <c r="AN73" s="1443"/>
      <c r="AO73" s="1005">
        <f>IF(AM73=0,0,(AN73-AM73)/AM73*100)</f>
        <v>0</v>
      </c>
      <c r="AP73" s="1443"/>
      <c r="AQ73" s="1443"/>
      <c r="AR73" s="1005">
        <f>IF(AP73=0,0,(AQ73-AP73)/AP73*100)</f>
        <v>0</v>
      </c>
      <c r="AS73" s="1443"/>
      <c r="AT73" s="1443"/>
      <c r="AU73" s="1005">
        <f>IF(AS73=0,0,(AT73-AS73)/AS73*100)</f>
        <v>0</v>
      </c>
      <c r="AV73" s="1443"/>
      <c r="AW73" s="1443"/>
      <c r="AX73" s="1005">
        <f>IF(AV73=0,0,(AW73-AV73)/AV73*100)</f>
        <v>0</v>
      </c>
      <c r="AY73" s="1443"/>
      <c r="AZ73" s="1443"/>
      <c r="BA73" s="1005">
        <f>IF(AY73=0,0,(AZ73-AY73)/AY73*100)</f>
        <v>0</v>
      </c>
      <c r="BB73" s="1443"/>
      <c r="BC73" s="1443"/>
      <c r="BD73" s="1005">
        <f>IF(BB73=0,0,(BC73-BB73)/BB73*100)</f>
        <v>0</v>
      </c>
      <c r="BE73" s="1443"/>
      <c r="BF73" s="1443"/>
      <c r="BG73" s="1005">
        <f>IF(BE73=0,0,(BF73-BE73)/BE73*100)</f>
        <v>0</v>
      </c>
      <c r="BH73" s="1443"/>
      <c r="BI73" s="1443"/>
      <c r="BJ73" s="1005">
        <f>IF(BH73=0,0,(BI73-BH73)/BH73*100)</f>
        <v>0</v>
      </c>
      <c r="BK73" s="1443"/>
      <c r="BL73" s="1443"/>
      <c r="BM73" s="1005">
        <f>IF(BK73=0,0,(BL73-BK73)/BK73*100)</f>
        <v>0</v>
      </c>
      <c r="BN73" s="1443"/>
      <c r="BO73" s="1443"/>
      <c r="BP73" s="1005">
        <f>IF(BN73=0,0,(BO73-BN73)/BN73*100)</f>
        <v>0</v>
      </c>
      <c r="BQ73" s="1443"/>
      <c r="BR73" s="1443"/>
      <c r="BS73" s="1005">
        <f>IF(BQ73=0,0,(BR73-BQ73)/BQ73*100)</f>
        <v>0</v>
      </c>
      <c r="BT73" s="1443"/>
      <c r="BU73" s="1443"/>
      <c r="BV73" s="1005">
        <f>IF(BT73=0,0,(BU73-BT73)/BT73*100)</f>
        <v>0</v>
      </c>
      <c r="BW73" s="1443"/>
      <c r="BX73" s="1443"/>
      <c r="BY73" s="1005">
        <f>IF(BW73=0,0,(BX73-BW73)/BW73*100)</f>
        <v>0</v>
      </c>
      <c r="BZ73" s="1443"/>
      <c r="CA73" s="1443"/>
      <c r="CB73" s="1005">
        <f>IF(BZ73=0,0,(CA73-BZ73)/BZ73*100)</f>
        <v>0</v>
      </c>
      <c r="CC73" s="1443"/>
      <c r="CD73" s="1443"/>
      <c r="CE73" s="1005">
        <f>IF(CC73=0,0,(CD73-CC73)/CC73*100)</f>
        <v>0</v>
      </c>
      <c r="CF73" s="1443"/>
      <c r="CG73" s="1443"/>
      <c r="CH73" s="1005">
        <f>IF(CF73=0,0,(CG73-CF73)/CF73*100)</f>
        <v>0</v>
      </c>
      <c r="CI73" s="1443"/>
      <c r="CJ73" s="1443"/>
      <c r="CK73" s="1005">
        <f>IF(CI73=0,0,(CJ73-CI73)/CI73*100)</f>
        <v>0</v>
      </c>
      <c r="CL73" s="1443"/>
      <c r="CM73" s="1443"/>
      <c r="CN73" s="1005">
        <f>IF(CL73=0,0,(CM73-CL73)/CL73*100)</f>
        <v>0</v>
      </c>
      <c r="CO73" s="1443"/>
      <c r="CP73" s="1443"/>
      <c r="CQ73" s="1005">
        <f>IF(CO73=0,0,(CP73-CO73)/CO73*100)</f>
        <v>0</v>
      </c>
      <c r="CR73" s="1443"/>
      <c r="CS73" s="1443"/>
      <c r="CT73" s="1005">
        <f>IF(CR73=0,0,(CS73-CR73)/CR73*100)</f>
        <v>0</v>
      </c>
      <c r="CU73" s="1443"/>
      <c r="CV73" s="1443"/>
      <c r="CW73" s="1005">
        <f>IF(CU73=0,0,(CV73-CU73)/CU73*100)</f>
        <v>0</v>
      </c>
      <c r="CX73" s="1443"/>
      <c r="CY73" s="1443"/>
      <c r="CZ73" s="1005">
        <f>IF(CX73=0,0,(CY73-CX73)/CX73*100)</f>
        <v>0</v>
      </c>
      <c r="DA73" s="1443"/>
      <c r="DB73" s="1443"/>
      <c r="DC73" s="1005">
        <f>IF(DA73=0,0,(DB73-DA73)/DA73*100)</f>
        <v>0</v>
      </c>
      <c r="DD73" s="1443"/>
      <c r="DE73" s="1443"/>
      <c r="DF73" s="1005">
        <f>IF(DD73=0,0,(DE73-DD73)/DD73*100)</f>
        <v>0</v>
      </c>
      <c r="DG73" s="1443"/>
      <c r="DH73" s="1443"/>
      <c r="DI73" s="1005">
        <f>IF(DG73=0,0,(DH73-DG73)/DG73*100)</f>
        <v>0</v>
      </c>
      <c r="DJ73" s="1443"/>
      <c r="DK73" s="1443"/>
      <c r="DL73" s="1005">
        <f>IF(DJ73=0,0,(DK73-DJ73)/DJ73*100)</f>
        <v>0</v>
      </c>
      <c r="DM73" s="1443"/>
      <c r="DN73" s="1443"/>
      <c r="DO73" s="1005">
        <f>IF(DM73=0,0,(DN73-DM73)/DM73*100)</f>
        <v>0</v>
      </c>
      <c r="DP73" s="1443"/>
      <c r="DQ73" s="1443"/>
      <c r="DR73" s="1005">
        <f>IF(DP73=0,0,(DQ73-DP73)/DP73*100)</f>
        <v>0</v>
      </c>
      <c r="DS73" s="1443"/>
      <c r="DT73" s="1443"/>
      <c r="DU73" s="1005">
        <f>IF(DS73=0,0,(DT73-DS73)/DS73*100)</f>
        <v>0</v>
      </c>
      <c r="DV73" s="1443"/>
      <c r="DW73" s="1443"/>
      <c r="DX73" s="1005">
        <f>IF(DV73=0,0,(DW73-DV73)/DV73*100)</f>
        <v>0</v>
      </c>
      <c r="DY73" s="1443"/>
      <c r="DZ73" s="1443"/>
      <c r="EA73" s="1005">
        <f>IF(DY73=0,0,(DZ73-DY73)/DY73*100)</f>
        <v>0</v>
      </c>
      <c r="EB73" s="1443"/>
      <c r="EC73" s="1443"/>
      <c r="ED73" s="1005">
        <f>IF(EB73=0,0,(EC73-EB73)/EB73*100)</f>
        <v>0</v>
      </c>
      <c r="EE73" s="1443"/>
      <c r="EF73" s="1443"/>
      <c r="EG73" s="1005">
        <f>IF(EE73=0,0,(EF73-EE73)/EE73*100)</f>
        <v>0</v>
      </c>
      <c r="EH73" s="1443"/>
      <c r="EI73" s="1443"/>
      <c r="EJ73" s="1005">
        <f>IF(EH73=0,0,(EI73-EH73)/EH73*100)</f>
        <v>0</v>
      </c>
      <c r="EK73" s="1443"/>
      <c r="EL73" s="1443"/>
      <c r="EM73" s="1005">
        <f>IF(EK73=0,0,(EL73-EK73)/EK73*100)</f>
        <v>0</v>
      </c>
      <c r="EN73" s="1443"/>
      <c r="EO73" s="1443"/>
      <c r="EP73" s="1005">
        <f>IF(EN73=0,0,(EO73-EN73)/EN73*100)</f>
        <v>0</v>
      </c>
      <c r="EQ73" s="1443"/>
      <c r="ER73" s="1443"/>
      <c r="ES73" s="1005">
        <f>IF(EQ73=0,0,(ER73-EQ73)/EQ73*100)</f>
        <v>0</v>
      </c>
      <c r="ET73" s="1443"/>
      <c r="EU73" s="1443"/>
      <c r="EV73" s="1005">
        <f>IF(ET73=0,0,(EU73-ET73)/ET73*100)</f>
        <v>0</v>
      </c>
      <c r="EW73" s="1443"/>
      <c r="EX73" s="1443"/>
      <c r="EY73" s="1005">
        <f>IF(EW73=0,0,(EX73-EW73)/EW73*100)</f>
        <v>0</v>
      </c>
      <c r="EZ73" s="1443"/>
      <c r="FA73" s="1443"/>
      <c r="FB73" s="1005">
        <f>IF(EZ73=0,0,(FA73-EZ73)/EZ73*100)</f>
        <v>0</v>
      </c>
      <c r="FC73" s="1443"/>
      <c r="FD73" s="1443"/>
      <c r="FE73" s="1005">
        <f>IF(FC73=0,0,(FD73-FC73)/FC73*100)</f>
        <v>0</v>
      </c>
      <c r="FF73" s="1443"/>
      <c r="FG73" s="1443"/>
      <c r="FH73" s="1005">
        <f>IF(FF73=0,0,(FG73-FF73)/FF73*100)</f>
        <v>0</v>
      </c>
      <c r="FI73" s="1443"/>
      <c r="FJ73" s="1443"/>
      <c r="FK73" s="1005">
        <f>IF(FI73=0,0,(FJ73-FI73)/FI73*100)</f>
        <v>0</v>
      </c>
      <c r="FL73" s="1443"/>
      <c r="FM73" s="1443"/>
      <c r="FN73" s="1005">
        <f>IF(FL73=0,0,(FM73-FL73)/FL73*100)</f>
        <v>0</v>
      </c>
      <c r="FO73" s="1443"/>
      <c r="FP73" s="1443"/>
      <c r="FQ73" s="1005">
        <f>IF(FO73=0,0,(FP73-FO73)/FO73*100)</f>
        <v>0</v>
      </c>
      <c r="FR73" s="1443"/>
      <c r="FS73" s="1443"/>
      <c r="FT73" s="1005">
        <f>IF(FR73=0,0,(FS73-FR73)/FR73*100)</f>
        <v>0</v>
      </c>
      <c r="FU73" s="1443"/>
      <c r="FV73" s="1443"/>
      <c r="FW73" s="1005">
        <f>IF(FU73=0,0,(FV73-FU73)/FU73*100)</f>
        <v>0</v>
      </c>
      <c r="FZ73" s="964" t="s">
        <v>1657</v>
      </c>
      <c r="GA73" s="924" t="s">
        <v>875</v>
      </c>
      <c r="GB73" s="924" cm="1">
        <f t="array" ref="GB73">GB72</f>
        <v>0</v>
      </c>
    </row>
    <row r="74" spans="1:186" ht="21.95" hidden="1" customHeight="1" x14ac:dyDescent="0.15">
      <c r="A74" s="416"/>
      <c r="B74" s="837" t="b" cm="1">
        <f t="array" ref="B74">B73</f>
        <v>0</v>
      </c>
      <c r="C74" s="416"/>
      <c r="D74" s="416"/>
      <c r="E74" s="759">
        <v>22.5</v>
      </c>
      <c r="F74" s="3" cm="1">
        <f t="array" aca="1" ref="F74" ca="1">OFFSET(E74,-1,1)</f>
        <v>0</v>
      </c>
      <c r="G74" s="416"/>
      <c r="H74" s="416" t="s">
        <v>1627</v>
      </c>
      <c r="I74" s="416" cm="1">
        <f t="array" ref="I74">I73</f>
        <v>0</v>
      </c>
      <c r="J74" s="416"/>
      <c r="K74" s="416"/>
      <c r="L74" s="416"/>
      <c r="M74" s="416"/>
      <c r="N74" s="416"/>
      <c r="O74" s="416"/>
      <c r="P74" s="416"/>
      <c r="Q74" s="416"/>
      <c r="R74" s="416"/>
      <c r="S74" s="416"/>
      <c r="T74" s="388" t="b" cm="1">
        <f t="array" aca="1" ref="T74" ca="1">T73</f>
        <v>0</v>
      </c>
      <c r="U74" s="416"/>
      <c r="V74" s="416"/>
      <c r="W74" s="416"/>
      <c r="X74" s="2066"/>
      <c r="Y74" s="2066"/>
      <c r="Z74" s="2011"/>
      <c r="AA74" s="1958"/>
      <c r="AB74" s="818"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783" t="s">
        <v>1628</v>
      </c>
      <c r="AD74" s="1445"/>
      <c r="AE74" s="1445"/>
      <c r="AF74" s="1003">
        <f>IF(AD74=0,0,(AE74-AD74)/AD74*100)</f>
        <v>0</v>
      </c>
      <c r="AG74" s="1445"/>
      <c r="AH74" s="1445"/>
      <c r="AI74" s="1003">
        <f>IF(AG74=0,0,(AH74-AG74)/AG74*100)</f>
        <v>0</v>
      </c>
      <c r="AJ74" s="1445"/>
      <c r="AK74" s="1445"/>
      <c r="AL74" s="1003">
        <f>IF(AJ74=0,0,(AK74-AJ74)/AJ74*100)</f>
        <v>0</v>
      </c>
      <c r="AM74" s="1445"/>
      <c r="AN74" s="1445"/>
      <c r="AO74" s="1003">
        <f>IF(AM74=0,0,(AN74-AM74)/AM74*100)</f>
        <v>0</v>
      </c>
      <c r="AP74" s="1445"/>
      <c r="AQ74" s="1445"/>
      <c r="AR74" s="1003">
        <f>IF(AP74=0,0,(AQ74-AP74)/AP74*100)</f>
        <v>0</v>
      </c>
      <c r="AS74" s="1445"/>
      <c r="AT74" s="1445"/>
      <c r="AU74" s="1003">
        <f>IF(AS74=0,0,(AT74-AS74)/AS74*100)</f>
        <v>0</v>
      </c>
      <c r="AV74" s="1445"/>
      <c r="AW74" s="1445"/>
      <c r="AX74" s="1003">
        <f>IF(AV74=0,0,(AW74-AV74)/AV74*100)</f>
        <v>0</v>
      </c>
      <c r="AY74" s="1445"/>
      <c r="AZ74" s="1445"/>
      <c r="BA74" s="1003">
        <f>IF(AY74=0,0,(AZ74-AY74)/AY74*100)</f>
        <v>0</v>
      </c>
      <c r="BB74" s="1445"/>
      <c r="BC74" s="1445"/>
      <c r="BD74" s="1003">
        <f>IF(BB74=0,0,(BC74-BB74)/BB74*100)</f>
        <v>0</v>
      </c>
      <c r="BE74" s="1445"/>
      <c r="BF74" s="1445"/>
      <c r="BG74" s="1003">
        <f>IF(BE74=0,0,(BF74-BE74)/BE74*100)</f>
        <v>0</v>
      </c>
      <c r="BH74" s="1445"/>
      <c r="BI74" s="1445"/>
      <c r="BJ74" s="1003">
        <f>IF(BH74=0,0,(BI74-BH74)/BH74*100)</f>
        <v>0</v>
      </c>
      <c r="BK74" s="1445"/>
      <c r="BL74" s="1445"/>
      <c r="BM74" s="1003">
        <f>IF(BK74=0,0,(BL74-BK74)/BK74*100)</f>
        <v>0</v>
      </c>
      <c r="BN74" s="1445"/>
      <c r="BO74" s="1445"/>
      <c r="BP74" s="1003">
        <f>IF(BN74=0,0,(BO74-BN74)/BN74*100)</f>
        <v>0</v>
      </c>
      <c r="BQ74" s="1445"/>
      <c r="BR74" s="1445"/>
      <c r="BS74" s="1003">
        <f>IF(BQ74=0,0,(BR74-BQ74)/BQ74*100)</f>
        <v>0</v>
      </c>
      <c r="BT74" s="1445"/>
      <c r="BU74" s="1445"/>
      <c r="BV74" s="1003">
        <f>IF(BT74=0,0,(BU74-BT74)/BT74*100)</f>
        <v>0</v>
      </c>
      <c r="BW74" s="1445"/>
      <c r="BX74" s="1445"/>
      <c r="BY74" s="1003">
        <f>IF(BW74=0,0,(BX74-BW74)/BW74*100)</f>
        <v>0</v>
      </c>
      <c r="BZ74" s="1445"/>
      <c r="CA74" s="1445"/>
      <c r="CB74" s="1003">
        <f>IF(BZ74=0,0,(CA74-BZ74)/BZ74*100)</f>
        <v>0</v>
      </c>
      <c r="CC74" s="1445"/>
      <c r="CD74" s="1445"/>
      <c r="CE74" s="1003">
        <f>IF(CC74=0,0,(CD74-CC74)/CC74*100)</f>
        <v>0</v>
      </c>
      <c r="CF74" s="1445"/>
      <c r="CG74" s="1445"/>
      <c r="CH74" s="1003">
        <f>IF(CF74=0,0,(CG74-CF74)/CF74*100)</f>
        <v>0</v>
      </c>
      <c r="CI74" s="1445"/>
      <c r="CJ74" s="1445"/>
      <c r="CK74" s="1003">
        <f>IF(CI74=0,0,(CJ74-CI74)/CI74*100)</f>
        <v>0</v>
      </c>
      <c r="CL74" s="1445"/>
      <c r="CM74" s="1445"/>
      <c r="CN74" s="1003">
        <f>IF(CL74=0,0,(CM74-CL74)/CL74*100)</f>
        <v>0</v>
      </c>
      <c r="CO74" s="1445"/>
      <c r="CP74" s="1445"/>
      <c r="CQ74" s="1003">
        <f>IF(CO74=0,0,(CP74-CO74)/CO74*100)</f>
        <v>0</v>
      </c>
      <c r="CR74" s="1445"/>
      <c r="CS74" s="1445"/>
      <c r="CT74" s="1003">
        <f>IF(CR74=0,0,(CS74-CR74)/CR74*100)</f>
        <v>0</v>
      </c>
      <c r="CU74" s="1445"/>
      <c r="CV74" s="1445"/>
      <c r="CW74" s="1003">
        <f>IF(CU74=0,0,(CV74-CU74)/CU74*100)</f>
        <v>0</v>
      </c>
      <c r="CX74" s="1445"/>
      <c r="CY74" s="1445"/>
      <c r="CZ74" s="1003">
        <f>IF(CX74=0,0,(CY74-CX74)/CX74*100)</f>
        <v>0</v>
      </c>
      <c r="DA74" s="1445"/>
      <c r="DB74" s="1445"/>
      <c r="DC74" s="1003">
        <f>IF(DA74=0,0,(DB74-DA74)/DA74*100)</f>
        <v>0</v>
      </c>
      <c r="DD74" s="1445"/>
      <c r="DE74" s="1445"/>
      <c r="DF74" s="1003">
        <f>IF(DD74=0,0,(DE74-DD74)/DD74*100)</f>
        <v>0</v>
      </c>
      <c r="DG74" s="1445"/>
      <c r="DH74" s="1445"/>
      <c r="DI74" s="1003">
        <f>IF(DG74=0,0,(DH74-DG74)/DG74*100)</f>
        <v>0</v>
      </c>
      <c r="DJ74" s="1445"/>
      <c r="DK74" s="1445"/>
      <c r="DL74" s="1003">
        <f>IF(DJ74=0,0,(DK74-DJ74)/DJ74*100)</f>
        <v>0</v>
      </c>
      <c r="DM74" s="1445"/>
      <c r="DN74" s="1445"/>
      <c r="DO74" s="1003">
        <f>IF(DM74=0,0,(DN74-DM74)/DM74*100)</f>
        <v>0</v>
      </c>
      <c r="DP74" s="1445"/>
      <c r="DQ74" s="1445"/>
      <c r="DR74" s="1003">
        <f>IF(DP74=0,0,(DQ74-DP74)/DP74*100)</f>
        <v>0</v>
      </c>
      <c r="DS74" s="1445"/>
      <c r="DT74" s="1445"/>
      <c r="DU74" s="1003">
        <f>IF(DS74=0,0,(DT74-DS74)/DS74*100)</f>
        <v>0</v>
      </c>
      <c r="DV74" s="1445"/>
      <c r="DW74" s="1445"/>
      <c r="DX74" s="1003">
        <f>IF(DV74=0,0,(DW74-DV74)/DV74*100)</f>
        <v>0</v>
      </c>
      <c r="DY74" s="1445"/>
      <c r="DZ74" s="1445"/>
      <c r="EA74" s="1003">
        <f>IF(DY74=0,0,(DZ74-DY74)/DY74*100)</f>
        <v>0</v>
      </c>
      <c r="EB74" s="1445"/>
      <c r="EC74" s="1445"/>
      <c r="ED74" s="1003">
        <f>IF(EB74=0,0,(EC74-EB74)/EB74*100)</f>
        <v>0</v>
      </c>
      <c r="EE74" s="1445"/>
      <c r="EF74" s="1445"/>
      <c r="EG74" s="1003">
        <f>IF(EE74=0,0,(EF74-EE74)/EE74*100)</f>
        <v>0</v>
      </c>
      <c r="EH74" s="1445"/>
      <c r="EI74" s="1445"/>
      <c r="EJ74" s="1003">
        <f>IF(EH74=0,0,(EI74-EH74)/EH74*100)</f>
        <v>0</v>
      </c>
      <c r="EK74" s="1445"/>
      <c r="EL74" s="1445"/>
      <c r="EM74" s="1003">
        <f>IF(EK74=0,0,(EL74-EK74)/EK74*100)</f>
        <v>0</v>
      </c>
      <c r="EN74" s="1445"/>
      <c r="EO74" s="1445"/>
      <c r="EP74" s="1003">
        <f>IF(EN74=0,0,(EO74-EN74)/EN74*100)</f>
        <v>0</v>
      </c>
      <c r="EQ74" s="1445"/>
      <c r="ER74" s="1445"/>
      <c r="ES74" s="1003">
        <f>IF(EQ74=0,0,(ER74-EQ74)/EQ74*100)</f>
        <v>0</v>
      </c>
      <c r="ET74" s="1445"/>
      <c r="EU74" s="1445"/>
      <c r="EV74" s="1003">
        <f>IF(ET74=0,0,(EU74-ET74)/ET74*100)</f>
        <v>0</v>
      </c>
      <c r="EW74" s="1445"/>
      <c r="EX74" s="1445"/>
      <c r="EY74" s="1003">
        <f>IF(EW74=0,0,(EX74-EW74)/EW74*100)</f>
        <v>0</v>
      </c>
      <c r="EZ74" s="1445"/>
      <c r="FA74" s="1445"/>
      <c r="FB74" s="1003">
        <f>IF(EZ74=0,0,(FA74-EZ74)/EZ74*100)</f>
        <v>0</v>
      </c>
      <c r="FC74" s="1445"/>
      <c r="FD74" s="1445"/>
      <c r="FE74" s="1003">
        <f>IF(FC74=0,0,(FD74-FC74)/FC74*100)</f>
        <v>0</v>
      </c>
      <c r="FF74" s="1445"/>
      <c r="FG74" s="1445"/>
      <c r="FH74" s="1003">
        <f>IF(FF74=0,0,(FG74-FF74)/FF74*100)</f>
        <v>0</v>
      </c>
      <c r="FI74" s="1445"/>
      <c r="FJ74" s="1445"/>
      <c r="FK74" s="1003">
        <f>IF(FI74=0,0,(FJ74-FI74)/FI74*100)</f>
        <v>0</v>
      </c>
      <c r="FL74" s="1445"/>
      <c r="FM74" s="1445"/>
      <c r="FN74" s="1003">
        <f>IF(FL74=0,0,(FM74-FL74)/FL74*100)</f>
        <v>0</v>
      </c>
      <c r="FO74" s="1445"/>
      <c r="FP74" s="1445"/>
      <c r="FQ74" s="1003">
        <f>IF(FO74=0,0,(FP74-FO74)/FO74*100)</f>
        <v>0</v>
      </c>
      <c r="FR74" s="1445"/>
      <c r="FS74" s="1445"/>
      <c r="FT74" s="1003">
        <f>IF(FR74=0,0,(FS74-FR74)/FR74*100)</f>
        <v>0</v>
      </c>
      <c r="FU74" s="1445"/>
      <c r="FV74" s="1445"/>
      <c r="FW74" s="1003">
        <f>IF(FU74=0,0,(FV74-FU74)/FU74*100)</f>
        <v>0</v>
      </c>
      <c r="FZ74" s="964" t="s">
        <v>1658</v>
      </c>
      <c r="GA74" s="924" t="s">
        <v>875</v>
      </c>
      <c r="GB74" s="924" cm="1">
        <f t="array" ref="GB74">GB73</f>
        <v>0</v>
      </c>
    </row>
    <row r="75" spans="1:186" ht="14.65" hidden="1" customHeight="1" x14ac:dyDescent="0.15">
      <c r="A75" s="416"/>
      <c r="B75" s="837" t="b" cm="1">
        <f t="array" ref="B75">B74</f>
        <v>0</v>
      </c>
      <c r="C75" s="416"/>
      <c r="D75" s="416"/>
      <c r="E75" s="759">
        <v>15</v>
      </c>
      <c r="F75" s="3" cm="1">
        <f t="array" aca="1" ref="F75" ca="1">OFFSET(E75,-1,1)</f>
        <v>0</v>
      </c>
      <c r="G75" s="416"/>
      <c r="H75" s="416" t="s">
        <v>1630</v>
      </c>
      <c r="I75" s="416" cm="1">
        <f t="array" ref="I75">I74</f>
        <v>0</v>
      </c>
      <c r="J75" s="416"/>
      <c r="K75" s="416"/>
      <c r="L75" s="416"/>
      <c r="M75" s="416"/>
      <c r="N75" s="416"/>
      <c r="O75" s="416"/>
      <c r="P75" s="416"/>
      <c r="Q75" s="416"/>
      <c r="R75" s="416"/>
      <c r="S75" s="416"/>
      <c r="T75" s="388" t="b" cm="1">
        <f t="array" aca="1" ref="T75" ca="1">T74</f>
        <v>0</v>
      </c>
      <c r="U75" s="416"/>
      <c r="V75" s="416"/>
      <c r="W75" s="416"/>
      <c r="X75" s="2066"/>
      <c r="Y75" s="2066"/>
      <c r="Z75" s="2011"/>
      <c r="AA75" s="1958"/>
      <c r="AB75" s="818" t="s">
        <v>1631</v>
      </c>
      <c r="AC75" s="783" t="s">
        <v>1632</v>
      </c>
      <c r="AD75" s="1445"/>
      <c r="AE75" s="1445"/>
      <c r="AF75" s="1003">
        <f>IF(AD75=0,0,(AE75-AD75)/AD75*100)</f>
        <v>0</v>
      </c>
      <c r="AG75" s="1445"/>
      <c r="AH75" s="1445"/>
      <c r="AI75" s="1003">
        <f>IF(AG75=0,0,(AH75-AG75)/AG75*100)</f>
        <v>0</v>
      </c>
      <c r="AJ75" s="1445"/>
      <c r="AK75" s="1445"/>
      <c r="AL75" s="1003">
        <f>IF(AJ75=0,0,(AK75-AJ75)/AJ75*100)</f>
        <v>0</v>
      </c>
      <c r="AM75" s="1445"/>
      <c r="AN75" s="1445"/>
      <c r="AO75" s="1003">
        <f>IF(AM75=0,0,(AN75-AM75)/AM75*100)</f>
        <v>0</v>
      </c>
      <c r="AP75" s="1445"/>
      <c r="AQ75" s="1445"/>
      <c r="AR75" s="1003">
        <f>IF(AP75=0,0,(AQ75-AP75)/AP75*100)</f>
        <v>0</v>
      </c>
      <c r="AS75" s="1445"/>
      <c r="AT75" s="1445"/>
      <c r="AU75" s="1003">
        <f>IF(AS75=0,0,(AT75-AS75)/AS75*100)</f>
        <v>0</v>
      </c>
      <c r="AV75" s="1445"/>
      <c r="AW75" s="1445"/>
      <c r="AX75" s="1003">
        <f>IF(AV75=0,0,(AW75-AV75)/AV75*100)</f>
        <v>0</v>
      </c>
      <c r="AY75" s="1445"/>
      <c r="AZ75" s="1445"/>
      <c r="BA75" s="1003">
        <f>IF(AY75=0,0,(AZ75-AY75)/AY75*100)</f>
        <v>0</v>
      </c>
      <c r="BB75" s="1445"/>
      <c r="BC75" s="1445"/>
      <c r="BD75" s="1003">
        <f>IF(BB75=0,0,(BC75-BB75)/BB75*100)</f>
        <v>0</v>
      </c>
      <c r="BE75" s="1445"/>
      <c r="BF75" s="1445"/>
      <c r="BG75" s="1003">
        <f>IF(BE75=0,0,(BF75-BE75)/BE75*100)</f>
        <v>0</v>
      </c>
      <c r="BH75" s="1445"/>
      <c r="BI75" s="1445"/>
      <c r="BJ75" s="1003">
        <f>IF(BH75=0,0,(BI75-BH75)/BH75*100)</f>
        <v>0</v>
      </c>
      <c r="BK75" s="1445"/>
      <c r="BL75" s="1445"/>
      <c r="BM75" s="1003">
        <f>IF(BK75=0,0,(BL75-BK75)/BK75*100)</f>
        <v>0</v>
      </c>
      <c r="BN75" s="1445"/>
      <c r="BO75" s="1445"/>
      <c r="BP75" s="1003">
        <f>IF(BN75=0,0,(BO75-BN75)/BN75*100)</f>
        <v>0</v>
      </c>
      <c r="BQ75" s="1445"/>
      <c r="BR75" s="1445"/>
      <c r="BS75" s="1003">
        <f>IF(BQ75=0,0,(BR75-BQ75)/BQ75*100)</f>
        <v>0</v>
      </c>
      <c r="BT75" s="1445"/>
      <c r="BU75" s="1445"/>
      <c r="BV75" s="1003">
        <f>IF(BT75=0,0,(BU75-BT75)/BT75*100)</f>
        <v>0</v>
      </c>
      <c r="BW75" s="1445"/>
      <c r="BX75" s="1445"/>
      <c r="BY75" s="1003">
        <f>IF(BW75=0,0,(BX75-BW75)/BW75*100)</f>
        <v>0</v>
      </c>
      <c r="BZ75" s="1445"/>
      <c r="CA75" s="1445"/>
      <c r="CB75" s="1003">
        <f>IF(BZ75=0,0,(CA75-BZ75)/BZ75*100)</f>
        <v>0</v>
      </c>
      <c r="CC75" s="1445"/>
      <c r="CD75" s="1445"/>
      <c r="CE75" s="1003">
        <f>IF(CC75=0,0,(CD75-CC75)/CC75*100)</f>
        <v>0</v>
      </c>
      <c r="CF75" s="1445"/>
      <c r="CG75" s="1445"/>
      <c r="CH75" s="1003">
        <f>IF(CF75=0,0,(CG75-CF75)/CF75*100)</f>
        <v>0</v>
      </c>
      <c r="CI75" s="1445"/>
      <c r="CJ75" s="1445"/>
      <c r="CK75" s="1003">
        <f>IF(CI75=0,0,(CJ75-CI75)/CI75*100)</f>
        <v>0</v>
      </c>
      <c r="CL75" s="1445"/>
      <c r="CM75" s="1445"/>
      <c r="CN75" s="1003">
        <f>IF(CL75=0,0,(CM75-CL75)/CL75*100)</f>
        <v>0</v>
      </c>
      <c r="CO75" s="1445"/>
      <c r="CP75" s="1445"/>
      <c r="CQ75" s="1003">
        <f>IF(CO75=0,0,(CP75-CO75)/CO75*100)</f>
        <v>0</v>
      </c>
      <c r="CR75" s="1445"/>
      <c r="CS75" s="1445"/>
      <c r="CT75" s="1003">
        <f>IF(CR75=0,0,(CS75-CR75)/CR75*100)</f>
        <v>0</v>
      </c>
      <c r="CU75" s="1445"/>
      <c r="CV75" s="1445"/>
      <c r="CW75" s="1003">
        <f>IF(CU75=0,0,(CV75-CU75)/CU75*100)</f>
        <v>0</v>
      </c>
      <c r="CX75" s="1445"/>
      <c r="CY75" s="1445"/>
      <c r="CZ75" s="1003">
        <f>IF(CX75=0,0,(CY75-CX75)/CX75*100)</f>
        <v>0</v>
      </c>
      <c r="DA75" s="1445"/>
      <c r="DB75" s="1445"/>
      <c r="DC75" s="1003">
        <f>IF(DA75=0,0,(DB75-DA75)/DA75*100)</f>
        <v>0</v>
      </c>
      <c r="DD75" s="1445"/>
      <c r="DE75" s="1445"/>
      <c r="DF75" s="1003">
        <f>IF(DD75=0,0,(DE75-DD75)/DD75*100)</f>
        <v>0</v>
      </c>
      <c r="DG75" s="1445"/>
      <c r="DH75" s="1445"/>
      <c r="DI75" s="1003">
        <f>IF(DG75=0,0,(DH75-DG75)/DG75*100)</f>
        <v>0</v>
      </c>
      <c r="DJ75" s="1445"/>
      <c r="DK75" s="1445"/>
      <c r="DL75" s="1003">
        <f>IF(DJ75=0,0,(DK75-DJ75)/DJ75*100)</f>
        <v>0</v>
      </c>
      <c r="DM75" s="1445"/>
      <c r="DN75" s="1445"/>
      <c r="DO75" s="1003">
        <f>IF(DM75=0,0,(DN75-DM75)/DM75*100)</f>
        <v>0</v>
      </c>
      <c r="DP75" s="1445"/>
      <c r="DQ75" s="1445"/>
      <c r="DR75" s="1003">
        <f>IF(DP75=0,0,(DQ75-DP75)/DP75*100)</f>
        <v>0</v>
      </c>
      <c r="DS75" s="1445"/>
      <c r="DT75" s="1445"/>
      <c r="DU75" s="1003">
        <f>IF(DS75=0,0,(DT75-DS75)/DS75*100)</f>
        <v>0</v>
      </c>
      <c r="DV75" s="1445"/>
      <c r="DW75" s="1445"/>
      <c r="DX75" s="1003">
        <f>IF(DV75=0,0,(DW75-DV75)/DV75*100)</f>
        <v>0</v>
      </c>
      <c r="DY75" s="1445"/>
      <c r="DZ75" s="1445"/>
      <c r="EA75" s="1003">
        <f>IF(DY75=0,0,(DZ75-DY75)/DY75*100)</f>
        <v>0</v>
      </c>
      <c r="EB75" s="1445"/>
      <c r="EC75" s="1445"/>
      <c r="ED75" s="1003">
        <f>IF(EB75=0,0,(EC75-EB75)/EB75*100)</f>
        <v>0</v>
      </c>
      <c r="EE75" s="1445"/>
      <c r="EF75" s="1445"/>
      <c r="EG75" s="1003">
        <f>IF(EE75=0,0,(EF75-EE75)/EE75*100)</f>
        <v>0</v>
      </c>
      <c r="EH75" s="1445"/>
      <c r="EI75" s="1445"/>
      <c r="EJ75" s="1003">
        <f>IF(EH75=0,0,(EI75-EH75)/EH75*100)</f>
        <v>0</v>
      </c>
      <c r="EK75" s="1445"/>
      <c r="EL75" s="1445"/>
      <c r="EM75" s="1003">
        <f>IF(EK75=0,0,(EL75-EK75)/EK75*100)</f>
        <v>0</v>
      </c>
      <c r="EN75" s="1445"/>
      <c r="EO75" s="1445"/>
      <c r="EP75" s="1003">
        <f>IF(EN75=0,0,(EO75-EN75)/EN75*100)</f>
        <v>0</v>
      </c>
      <c r="EQ75" s="1445"/>
      <c r="ER75" s="1445"/>
      <c r="ES75" s="1003">
        <f>IF(EQ75=0,0,(ER75-EQ75)/EQ75*100)</f>
        <v>0</v>
      </c>
      <c r="ET75" s="1445"/>
      <c r="EU75" s="1445"/>
      <c r="EV75" s="1003">
        <f>IF(ET75=0,0,(EU75-ET75)/ET75*100)</f>
        <v>0</v>
      </c>
      <c r="EW75" s="1445"/>
      <c r="EX75" s="1445"/>
      <c r="EY75" s="1003">
        <f>IF(EW75=0,0,(EX75-EW75)/EW75*100)</f>
        <v>0</v>
      </c>
      <c r="EZ75" s="1445"/>
      <c r="FA75" s="1445"/>
      <c r="FB75" s="1003">
        <f>IF(EZ75=0,0,(FA75-EZ75)/EZ75*100)</f>
        <v>0</v>
      </c>
      <c r="FC75" s="1445"/>
      <c r="FD75" s="1445"/>
      <c r="FE75" s="1003">
        <f>IF(FC75=0,0,(FD75-FC75)/FC75*100)</f>
        <v>0</v>
      </c>
      <c r="FF75" s="1445"/>
      <c r="FG75" s="1445"/>
      <c r="FH75" s="1003">
        <f>IF(FF75=0,0,(FG75-FF75)/FF75*100)</f>
        <v>0</v>
      </c>
      <c r="FI75" s="1445"/>
      <c r="FJ75" s="1445"/>
      <c r="FK75" s="1003">
        <f>IF(FI75=0,0,(FJ75-FI75)/FI75*100)</f>
        <v>0</v>
      </c>
      <c r="FL75" s="1445"/>
      <c r="FM75" s="1445"/>
      <c r="FN75" s="1003">
        <f>IF(FL75=0,0,(FM75-FL75)/FL75*100)</f>
        <v>0</v>
      </c>
      <c r="FO75" s="1445"/>
      <c r="FP75" s="1445"/>
      <c r="FQ75" s="1003">
        <f>IF(FO75=0,0,(FP75-FO75)/FO75*100)</f>
        <v>0</v>
      </c>
      <c r="FR75" s="1445"/>
      <c r="FS75" s="1445"/>
      <c r="FT75" s="1003">
        <f>IF(FR75=0,0,(FS75-FR75)/FR75*100)</f>
        <v>0</v>
      </c>
      <c r="FU75" s="1445"/>
      <c r="FV75" s="1445"/>
      <c r="FW75" s="1003">
        <f>IF(FU75=0,0,(FV75-FU75)/FU75*100)</f>
        <v>0</v>
      </c>
      <c r="FZ75" s="964" t="s">
        <v>1659</v>
      </c>
      <c r="GA75" s="924" t="s">
        <v>875</v>
      </c>
      <c r="GB75" s="924" cm="1">
        <f t="array" ref="GB75">GB74</f>
        <v>0</v>
      </c>
    </row>
    <row r="76" spans="1:186" ht="14.65" hidden="1" customHeight="1" x14ac:dyDescent="0.15">
      <c r="A76" s="416"/>
      <c r="B76" s="837" t="b" cm="1">
        <f t="array" ref="B76">B75</f>
        <v>0</v>
      </c>
      <c r="C76" s="416"/>
      <c r="D76" s="416"/>
      <c r="E76" s="759">
        <v>15</v>
      </c>
      <c r="F76" s="3" cm="1">
        <f t="array" aca="1" ref="F76" ca="1">OFFSET(E76,-1,1)</f>
        <v>0</v>
      </c>
      <c r="G76" s="416"/>
      <c r="H76" s="416"/>
      <c r="I76" s="17" t="s">
        <v>1660</v>
      </c>
      <c r="J76" s="416"/>
      <c r="K76" s="416"/>
      <c r="L76" s="416"/>
      <c r="M76" s="416"/>
      <c r="N76" s="416"/>
      <c r="O76" s="416"/>
      <c r="P76" s="416"/>
      <c r="Q76" s="416"/>
      <c r="R76" s="416"/>
      <c r="S76" s="416"/>
      <c r="T76" s="388" t="b">
        <f ca="1">F76&gt;0</f>
        <v>0</v>
      </c>
      <c r="U76" s="416"/>
      <c r="W76" s="677" t="s">
        <v>1618</v>
      </c>
      <c r="X76" s="2066"/>
      <c r="Z76" s="2011"/>
      <c r="AB76" s="178" t="s">
        <v>176</v>
      </c>
      <c r="AC76" s="182"/>
      <c r="AD76" s="1006"/>
      <c r="AE76" s="1006"/>
      <c r="AF76" s="1006"/>
      <c r="AG76" s="1006"/>
      <c r="AH76" s="1006"/>
      <c r="AI76" s="1006"/>
      <c r="AJ76" s="1006"/>
      <c r="AK76" s="1006"/>
      <c r="AL76" s="1006"/>
      <c r="AM76" s="1006"/>
      <c r="AN76" s="1006"/>
      <c r="AO76" s="1006"/>
      <c r="AP76" s="1006"/>
      <c r="AQ76" s="1006"/>
      <c r="AR76" s="1006"/>
      <c r="AS76" s="1006"/>
      <c r="AT76" s="1006"/>
      <c r="AU76" s="1006"/>
      <c r="AV76" s="1006"/>
      <c r="AW76" s="1006"/>
      <c r="AX76" s="1006"/>
      <c r="AY76" s="1006"/>
      <c r="AZ76" s="1006"/>
      <c r="BA76" s="1006"/>
      <c r="BB76" s="1006"/>
      <c r="BC76" s="1006"/>
      <c r="BD76" s="1006"/>
      <c r="BE76" s="1006"/>
      <c r="BF76" s="1006"/>
      <c r="BG76" s="1006"/>
      <c r="BH76" s="1006"/>
      <c r="BI76" s="1006"/>
      <c r="BJ76" s="1006"/>
      <c r="BK76" s="1006"/>
      <c r="BL76" s="1006"/>
      <c r="BM76" s="1006"/>
      <c r="BN76" s="1006"/>
      <c r="BO76" s="1006"/>
      <c r="BP76" s="1006"/>
      <c r="BQ76" s="1006"/>
      <c r="BR76" s="1006"/>
      <c r="BS76" s="1006"/>
      <c r="BT76" s="1006"/>
      <c r="BU76" s="1006"/>
      <c r="BV76" s="1006"/>
      <c r="BW76" s="1006"/>
      <c r="BX76" s="1006"/>
      <c r="BY76" s="1006"/>
      <c r="BZ76" s="1006"/>
      <c r="CA76" s="1006"/>
      <c r="CB76" s="1006"/>
      <c r="CC76" s="1006"/>
      <c r="CD76" s="1006"/>
      <c r="CE76" s="1006"/>
      <c r="CF76" s="1006"/>
      <c r="CG76" s="1006"/>
      <c r="CH76" s="1006"/>
      <c r="CI76" s="1006"/>
      <c r="CJ76" s="1006"/>
      <c r="CK76" s="1006"/>
      <c r="CL76" s="1006"/>
      <c r="CM76" s="1006"/>
      <c r="CN76" s="1006"/>
      <c r="CO76" s="1006"/>
      <c r="CP76" s="1006"/>
      <c r="CQ76" s="1006"/>
      <c r="CR76" s="1006"/>
      <c r="CS76" s="1006"/>
      <c r="CT76" s="1006"/>
      <c r="CU76" s="1006"/>
      <c r="CV76" s="1006"/>
      <c r="CW76" s="1006"/>
      <c r="CX76" s="1006"/>
      <c r="CY76" s="1006"/>
      <c r="CZ76" s="1006"/>
      <c r="DA76" s="1006"/>
      <c r="DB76" s="1006"/>
      <c r="DC76" s="1006"/>
      <c r="DD76" s="1006"/>
      <c r="DE76" s="1006"/>
      <c r="DF76" s="1006"/>
      <c r="DG76" s="1006"/>
      <c r="DH76" s="1006"/>
      <c r="DI76" s="1006"/>
      <c r="DJ76" s="1006"/>
      <c r="DK76" s="1006"/>
      <c r="DL76" s="1006"/>
      <c r="DM76" s="1006"/>
      <c r="DN76" s="1006"/>
      <c r="DO76" s="1006"/>
      <c r="DP76" s="1006"/>
      <c r="DQ76" s="1006"/>
      <c r="DR76" s="1006"/>
      <c r="DS76" s="1006"/>
      <c r="DT76" s="1006"/>
      <c r="DU76" s="1006"/>
      <c r="DV76" s="1006"/>
      <c r="DW76" s="1006"/>
      <c r="DX76" s="1006"/>
      <c r="DY76" s="1006"/>
      <c r="DZ76" s="1006"/>
      <c r="EA76" s="1006"/>
      <c r="EB76" s="1006"/>
      <c r="EC76" s="1006"/>
      <c r="ED76" s="1006"/>
      <c r="EE76" s="1006"/>
      <c r="EF76" s="1006"/>
      <c r="EG76" s="1006"/>
      <c r="EH76" s="1006"/>
      <c r="EI76" s="1006"/>
      <c r="EJ76" s="1006"/>
      <c r="EK76" s="1006"/>
      <c r="EL76" s="1006"/>
      <c r="EM76" s="1006"/>
      <c r="EN76" s="1006"/>
      <c r="EO76" s="1006"/>
      <c r="EP76" s="1006"/>
      <c r="EQ76" s="1006"/>
      <c r="ER76" s="1006"/>
      <c r="ES76" s="1006"/>
      <c r="ET76" s="1006"/>
      <c r="EU76" s="1006"/>
      <c r="EV76" s="1006"/>
      <c r="EW76" s="1006"/>
      <c r="EX76" s="1006"/>
      <c r="EY76" s="1006"/>
      <c r="EZ76" s="1006"/>
      <c r="FA76" s="1006"/>
      <c r="FB76" s="1006"/>
      <c r="FC76" s="1006"/>
      <c r="FD76" s="1006"/>
      <c r="FE76" s="1006"/>
      <c r="FF76" s="1006"/>
      <c r="FG76" s="1006"/>
      <c r="FH76" s="1006"/>
      <c r="FI76" s="1006"/>
      <c r="FJ76" s="1006"/>
      <c r="FK76" s="1006"/>
      <c r="FL76" s="1006"/>
      <c r="FM76" s="1006"/>
      <c r="FN76" s="1006"/>
      <c r="FO76" s="1006"/>
      <c r="FP76" s="1006"/>
      <c r="FQ76" s="1006"/>
      <c r="FR76" s="1006"/>
      <c r="FS76" s="1006"/>
      <c r="FT76" s="1006"/>
      <c r="FU76" s="1006"/>
      <c r="FV76" s="1006"/>
      <c r="FW76" s="1007"/>
      <c r="FZ76" s="964" t="s">
        <v>147</v>
      </c>
      <c r="GC76" s="556" t="s">
        <v>875</v>
      </c>
    </row>
    <row r="77" spans="1:186" s="1334" customFormat="1" ht="11.25" hidden="1" customHeight="1" x14ac:dyDescent="0.15">
      <c r="A77" s="405"/>
      <c r="B77" s="837"/>
      <c r="C77" s="405"/>
      <c r="D77" s="405"/>
      <c r="E77" s="785">
        <v>0</v>
      </c>
      <c r="F77" s="1090" cm="1">
        <f t="array" aca="1" ref="F77" ca="1">OFFSET(E77,-1,1)</f>
        <v>0</v>
      </c>
      <c r="G77" s="405"/>
      <c r="H77" s="405"/>
      <c r="I77" s="405"/>
      <c r="J77" s="405"/>
      <c r="K77" s="405"/>
      <c r="L77" s="405"/>
      <c r="M77" s="405"/>
      <c r="N77" s="405"/>
      <c r="O77" s="405"/>
      <c r="P77" s="405"/>
      <c r="Q77" s="405"/>
      <c r="R77" s="405"/>
      <c r="S77" s="405"/>
      <c r="T77" s="388" t="b">
        <v>0</v>
      </c>
      <c r="U77" s="405"/>
      <c r="V77" s="405"/>
      <c r="W77" s="405"/>
      <c r="X77" s="2066"/>
      <c r="Y77" s="405"/>
      <c r="Z77" s="2011"/>
      <c r="AA77" s="405"/>
      <c r="AB77"/>
      <c r="AC77" s="405"/>
      <c r="AD77" s="1016"/>
      <c r="AE77" s="1016"/>
      <c r="AF77" s="1016"/>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Z77" s="964" t="s">
        <v>147</v>
      </c>
      <c r="GA77" s="928"/>
      <c r="GB77" s="967"/>
      <c r="GC77" s="610"/>
      <c r="GD77" s="610"/>
    </row>
    <row r="78" spans="1:186" s="210" customFormat="1" ht="23.85" hidden="1" customHeight="1" x14ac:dyDescent="0.15">
      <c r="A78" s="813"/>
      <c r="B78" s="837" t="b" cm="1">
        <f t="array" ref="B78">S29</f>
        <v>0</v>
      </c>
      <c r="C78" s="813"/>
      <c r="D78" s="813"/>
      <c r="E78" s="759">
        <v>24.5</v>
      </c>
      <c r="F78" s="3" cm="1">
        <f t="array" aca="1" ref="F78" ca="1">OFFSET(E78,-1,1)</f>
        <v>0</v>
      </c>
      <c r="G78" s="26" t="s">
        <v>1585</v>
      </c>
      <c r="H78" s="416" t="s">
        <v>494</v>
      </c>
      <c r="I78" s="416" t="s">
        <v>1661</v>
      </c>
      <c r="J78" s="813"/>
      <c r="K78" s="813"/>
      <c r="L78" s="813"/>
      <c r="M78" s="813"/>
      <c r="N78" s="813"/>
      <c r="O78" s="813"/>
      <c r="P78" s="813"/>
      <c r="Q78" s="813"/>
      <c r="R78" s="813"/>
      <c r="S78" s="416"/>
      <c r="T78" s="388" t="b" cm="1">
        <f t="array" aca="1" ref="T78" ca="1">T76</f>
        <v>0</v>
      </c>
      <c r="U78" s="813"/>
      <c r="V78" s="813"/>
      <c r="W78" s="813"/>
      <c r="X78" s="2066"/>
      <c r="Y78" s="813"/>
      <c r="Z78" s="2011"/>
      <c r="AA78" s="813"/>
      <c r="AB78" s="138" t="s">
        <v>1662</v>
      </c>
      <c r="AC78" s="153" t="s">
        <v>1588</v>
      </c>
      <c r="AD78" s="1447">
        <f ca="1">IF(AND(method_reg="Метод индексации",god&lt;&gt;first_year),SUMIFS(INDEX('Калькуляция (МИ корр)'!$AJ$25:$BC$459,,MATCH(AD$8,'Калькуляция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(МИ)'!$AJ$25:$BC$459,,MATCH(AD$8,'Калькуляция (МИ)'!$AJ$8:$BC$8,0)),'Калькуляция (МИ)'!$F$25:$F$459,$F78,'Калькуляция (МИ)'!$G$25:$G$459,$G78))))</f>
        <v>0</v>
      </c>
      <c r="AE78" s="1447">
        <f ca="1">IF(AND(method_reg="Метод индексации",god&lt;&gt;first_year),SUMIFS(INDEX('Калькуляция (МИ корр)'!$AJ$25:$BC$459,,MATCH(AE$8,'Калькуляция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(МИ)'!$AJ$25:$BC$459,,MATCH(AE$8,'Калькуляция (МИ)'!$AJ$8:$BC$8,0)),'Калькуляция (МИ)'!$F$25:$F$459,$F78,'Калькуляция (МИ)'!$G$25:$G$459,$G78))))</f>
        <v>0</v>
      </c>
      <c r="AF78" s="214">
        <f ca="1">IF(AD78=0,0,(AE78-AD78)/AD78*100)</f>
        <v>0</v>
      </c>
      <c r="AG78" s="1447">
        <f ca="1">IF(AND(method_reg="Метод индексации",god&lt;&gt;first_year),SUMIFS(INDEX('Калькуляция (МИ корр)'!$AJ$25:$BC$459,,MATCH(AG$8,'Калькуляция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(МИ)'!$AJ$25:$BC$459,,MATCH(AG$8,'Калькуляция (МИ)'!$AJ$8:$BC$8,0)),'Калькуляция (МИ)'!$F$25:$F$459,$F78,'Калькуляция (МИ)'!$G$25:$G$459,$G78))))</f>
        <v>0</v>
      </c>
      <c r="AH78" s="1447">
        <f ca="1">IF(AND(method_reg="Метод индексации",god&lt;&gt;first_year),SUMIFS(INDEX('Калькуляция (МИ корр)'!$AJ$25:$BC$459,,MATCH(AH$8,'Калькуляция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(МИ)'!$AJ$25:$BC$459,,MATCH(AH$8,'Калькуляция (МИ)'!$AJ$8:$BC$8,0)),'Калькуляция (МИ)'!$F$25:$F$459,$F78,'Калькуляция (МИ)'!$G$25:$G$459,$G78))))</f>
        <v>0</v>
      </c>
      <c r="AI78" s="214">
        <f ca="1">IF(AG78=0,0,(AH78-AG78)/AG78*100)</f>
        <v>0</v>
      </c>
      <c r="AJ78" s="1447">
        <f ca="1">IF(AND(method_reg="Метод индексации",god&lt;&gt;first_year),SUMIFS(INDEX('Калькуляция (МИ корр)'!$AJ$25:$BC$459,,MATCH(AJ$8,'Калькуляция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(МИ)'!$AJ$25:$BC$459,,MATCH(AJ$8,'Калькуляция (МИ)'!$AJ$8:$BC$8,0)),'Калькуляция (МИ)'!$F$25:$F$459,$F78,'Калькуляция (МИ)'!$G$25:$G$459,$G78))))</f>
        <v>0</v>
      </c>
      <c r="AK78" s="1447">
        <f ca="1">IF(AND(method_reg="Метод индексации",god&lt;&gt;first_year),SUMIFS(INDEX('Калькуляция (МИ корр)'!$AJ$25:$BC$459,,MATCH(AK$8,'Калькуляция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(МИ)'!$AJ$25:$BC$459,,MATCH(AK$8,'Калькуляция (МИ)'!$AJ$8:$BC$8,0)),'Калькуляция (МИ)'!$F$25:$F$459,$F78,'Калькуляция (МИ)'!$G$25:$G$459,$G78))))</f>
        <v>0</v>
      </c>
      <c r="AL78" s="214">
        <f ca="1">IF(AJ78=0,0,(AK78-AJ78)/AJ78*100)</f>
        <v>0</v>
      </c>
      <c r="AM78" s="1447">
        <f ca="1">IF(AND(method_reg="Метод индексации",god&lt;&gt;first_year),SUMIFS(INDEX('Калькуляция (МИ корр)'!$AJ$25:$BC$459,,MATCH(AM$8,'Калькуляция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(МИ)'!$AJ$25:$BC$459,,MATCH(AM$8,'Калькуляция (МИ)'!$AJ$8:$BC$8,0)),'Калькуляция (МИ)'!$F$25:$F$459,$F78,'Калькуляция (МИ)'!$G$25:$G$459,$G78))))</f>
        <v>0</v>
      </c>
      <c r="AN78" s="1447">
        <f ca="1">IF(AND(method_reg="Метод индексации",god&lt;&gt;first_year),SUMIFS(INDEX('Калькуляция (МИ корр)'!$AJ$25:$BC$459,,MATCH(AN$8,'Калькуляция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(МИ)'!$AJ$25:$BC$459,,MATCH(AN$8,'Калькуляция (МИ)'!$AJ$8:$BC$8,0)),'Калькуляция (МИ)'!$F$25:$F$459,$F78,'Калькуляция (МИ)'!$G$25:$G$459,$G78))))</f>
        <v>0</v>
      </c>
      <c r="AO78" s="214">
        <f ca="1">IF(AM78=0,0,(AN78-AM78)/AM78*100)</f>
        <v>0</v>
      </c>
      <c r="AP78" s="1447">
        <f ca="1">IF(AND(method_reg="Метод индексации",god&lt;&gt;first_year),SUMIFS(INDEX('Калькуляция (МИ корр)'!$AJ$25:$BC$459,,MATCH(AP$8,'Калькуляция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(МИ)'!$AJ$25:$BC$459,,MATCH(AP$8,'Калькуляция (МИ)'!$AJ$8:$BC$8,0)),'Калькуляция (МИ)'!$F$25:$F$459,$F78,'Калькуляция (МИ)'!$G$25:$G$459,$G78))))</f>
        <v>0</v>
      </c>
      <c r="AQ78" s="1447">
        <f ca="1">IF(AND(method_reg="Метод индексации",god&lt;&gt;first_year),SUMIFS(INDEX('Калькуляция (МИ корр)'!$AJ$25:$BC$459,,MATCH(AQ$8,'Калькуляция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(МИ)'!$AJ$25:$BC$459,,MATCH(AQ$8,'Калькуляция (МИ)'!$AJ$8:$BC$8,0)),'Калькуляция (МИ)'!$F$25:$F$459,$F78,'Калькуляция (МИ)'!$G$25:$G$459,$G78))))</f>
        <v>0</v>
      </c>
      <c r="AR78" s="214">
        <f ca="1">IF(AP78=0,0,(AQ78-AP78)/AP78*100)</f>
        <v>0</v>
      </c>
      <c r="AS78" s="1447">
        <f ca="1">IF(AND(method_reg="Метод индексации",god&lt;&gt;first_year),SUMIFS(INDEX('Калькуляция (МИ корр)'!$AJ$25:$BC$459,,MATCH(AS$8,'Калькуляция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(МИ)'!$AJ$25:$BC$459,,MATCH(AS$8,'Калькуляция (МИ)'!$AJ$8:$BC$8,0)),'Калькуляция (МИ)'!$F$25:$F$459,$F78,'Калькуляция (МИ)'!$G$25:$G$459,$G78))))</f>
        <v>0</v>
      </c>
      <c r="AT78" s="1447">
        <f ca="1">IF(AND(method_reg="Метод индексации",god&lt;&gt;first_year),SUMIFS(INDEX('Калькуляция (МИ корр)'!$AJ$25:$BC$459,,MATCH(AT$8,'Калькуляция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(МИ)'!$AJ$25:$BC$459,,MATCH(AT$8,'Калькуляция (МИ)'!$AJ$8:$BC$8,0)),'Калькуляция (МИ)'!$F$25:$F$459,$F78,'Калькуляция (МИ)'!$G$25:$G$459,$G78))))</f>
        <v>0</v>
      </c>
      <c r="AU78" s="214">
        <f ca="1">IF(AS78=0,0,(AT78-AS78)/AS78*100)</f>
        <v>0</v>
      </c>
      <c r="AV78" s="1447">
        <f ca="1">IF(AND(method_reg="Метод индексации",god&lt;&gt;first_year),SUMIFS(INDEX('Калькуляция (МИ корр)'!$AJ$25:$BC$459,,MATCH(AV$8,'Калькуляция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(МИ)'!$AJ$25:$BC$459,,MATCH(AV$8,'Калькуляция (МИ)'!$AJ$8:$BC$8,0)),'Калькуляция (МИ)'!$F$25:$F$459,$F78,'Калькуляция (МИ)'!$G$25:$G$459,$G78))))</f>
        <v>0</v>
      </c>
      <c r="AW78" s="1447">
        <f ca="1">IF(AND(method_reg="Метод индексации",god&lt;&gt;first_year),SUMIFS(INDEX('Калькуляция (МИ корр)'!$AJ$25:$BC$459,,MATCH(AW$8,'Калькуляция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(МИ)'!$AJ$25:$BC$459,,MATCH(AW$8,'Калькуляция (МИ)'!$AJ$8:$BC$8,0)),'Калькуляция (МИ)'!$F$25:$F$459,$F78,'Калькуляция (МИ)'!$G$25:$G$459,$G78))))</f>
        <v>0</v>
      </c>
      <c r="AX78" s="214">
        <f ca="1">IF(AV78=0,0,(AW78-AV78)/AV78*100)</f>
        <v>0</v>
      </c>
      <c r="AY78" s="1447">
        <f ca="1">IF(AND(method_reg="Метод индексации",god&lt;&gt;first_year),SUMIFS(INDEX('Калькуляция (МИ корр)'!$AJ$25:$BC$459,,MATCH(AY$8,'Калькуляция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(МИ)'!$AJ$25:$BC$459,,MATCH(AY$8,'Калькуляция (МИ)'!$AJ$8:$BC$8,0)),'Калькуляция (МИ)'!$F$25:$F$459,$F78,'Калькуляция (МИ)'!$G$25:$G$459,$G78))))</f>
        <v>0</v>
      </c>
      <c r="AZ78" s="1447">
        <f ca="1">IF(AND(method_reg="Метод индексации",god&lt;&gt;first_year),SUMIFS(INDEX('Калькуляция (МИ корр)'!$AJ$25:$BC$459,,MATCH(AZ$8,'Калькуляция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(МИ)'!$AJ$25:$BC$459,,MATCH(AZ$8,'Калькуляция (МИ)'!$AJ$8:$BC$8,0)),'Калькуляция (МИ)'!$F$25:$F$459,$F78,'Калькуляция (МИ)'!$G$25:$G$459,$G78))))</f>
        <v>0</v>
      </c>
      <c r="BA78" s="214">
        <f ca="1">IF(AY78=0,0,(AZ78-AY78)/AY78*100)</f>
        <v>0</v>
      </c>
      <c r="BB78" s="1447">
        <f ca="1">IF(AND(method_reg="Метод индексации",god&lt;&gt;first_year),SUMIFS(INDEX('Калькуляция (МИ корр)'!$AJ$25:$BC$459,,MATCH(BB$8,'Калькуляция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(МИ)'!$AJ$25:$BC$459,,MATCH(BB$8,'Калькуляция (МИ)'!$AJ$8:$BC$8,0)),'Калькуляция (МИ)'!$F$25:$F$459,$F78,'Калькуляция (МИ)'!$G$25:$G$459,$G78))))</f>
        <v>0</v>
      </c>
      <c r="BC78" s="1447">
        <f ca="1">IF(AND(method_reg="Метод индексации",god&lt;&gt;first_year),SUMIFS(INDEX('Калькуляция (МИ корр)'!$AJ$25:$BC$459,,MATCH(BC$8,'Калькуляция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(МИ)'!$AJ$25:$BC$459,,MATCH(BC$8,'Калькуляция (МИ)'!$AJ$8:$BC$8,0)),'Калькуляция (МИ)'!$F$25:$F$459,$F78,'Калькуляция (МИ)'!$G$25:$G$459,$G78))))</f>
        <v>0</v>
      </c>
      <c r="BD78" s="214">
        <f ca="1">IF(BB78=0,0,(BC78-BB78)/BB78*100)</f>
        <v>0</v>
      </c>
      <c r="BE78" s="1447">
        <f ca="1">IF(AND(method_reg="Метод индексации",god&lt;&gt;first_year),SUMIFS(INDEX('Калькуляция (МИ корр)'!$AJ$25:$BC$459,,MATCH(BE$8,'Калькуляция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(МИ)'!$AJ$25:$BC$459,,MATCH(BE$8,'Калькуляция (МИ)'!$AJ$8:$BC$8,0)),'Калькуляция (МИ)'!$F$25:$F$459,$F78,'Калькуляция (МИ)'!$G$25:$G$459,$G78))))</f>
        <v>0</v>
      </c>
      <c r="BF78" s="1447">
        <f ca="1">IF(AND(method_reg="Метод индексации",god&lt;&gt;first_year),SUMIFS(INDEX('Калькуляция (МИ корр)'!$AJ$25:$BC$459,,MATCH(BF$8,'Калькуляция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(МИ)'!$AJ$25:$BC$459,,MATCH(BF$8,'Калькуляция (МИ)'!$AJ$8:$BC$8,0)),'Калькуляция (МИ)'!$F$25:$F$459,$F78,'Калькуляция (МИ)'!$G$25:$G$459,$G78))))</f>
        <v>0</v>
      </c>
      <c r="BG78" s="214">
        <f ca="1">IF(BE78=0,0,(BF78-BE78)/BE78*100)</f>
        <v>0</v>
      </c>
      <c r="BH78" s="1447"/>
      <c r="BI78" s="1447"/>
      <c r="BJ78" s="214">
        <f>IF(BH78=0,0,(BI78-BH78)/BH78*100)</f>
        <v>0</v>
      </c>
      <c r="BK78" s="1447"/>
      <c r="BL78" s="1447"/>
      <c r="BM78" s="214">
        <f>IF(BK78=0,0,(BL78-BK78)/BK78*100)</f>
        <v>0</v>
      </c>
      <c r="BN78" s="1447"/>
      <c r="BO78" s="1447"/>
      <c r="BP78" s="214">
        <f>IF(BN78=0,0,(BO78-BN78)/BN78*100)</f>
        <v>0</v>
      </c>
      <c r="BQ78" s="1447"/>
      <c r="BR78" s="1447"/>
      <c r="BS78" s="214">
        <f>IF(BQ78=0,0,(BR78-BQ78)/BQ78*100)</f>
        <v>0</v>
      </c>
      <c r="BT78" s="1447"/>
      <c r="BU78" s="1447"/>
      <c r="BV78" s="214">
        <f>IF(BT78=0,0,(BU78-BT78)/BT78*100)</f>
        <v>0</v>
      </c>
      <c r="BW78" s="1447"/>
      <c r="BX78" s="1447"/>
      <c r="BY78" s="214">
        <f>IF(BW78=0,0,(BX78-BW78)/BW78*100)</f>
        <v>0</v>
      </c>
      <c r="BZ78" s="1447"/>
      <c r="CA78" s="1447"/>
      <c r="CB78" s="214">
        <f>IF(BZ78=0,0,(CA78-BZ78)/BZ78*100)</f>
        <v>0</v>
      </c>
      <c r="CC78" s="1447"/>
      <c r="CD78" s="1447"/>
      <c r="CE78" s="214">
        <f>IF(CC78=0,0,(CD78-CC78)/CC78*100)</f>
        <v>0</v>
      </c>
      <c r="CF78" s="1447"/>
      <c r="CG78" s="1447"/>
      <c r="CH78" s="214">
        <f>IF(CF78=0,0,(CG78-CF78)/CF78*100)</f>
        <v>0</v>
      </c>
      <c r="CI78" s="1447"/>
      <c r="CJ78" s="1447"/>
      <c r="CK78" s="214">
        <f>IF(CI78=0,0,(CJ78-CI78)/CI78*100)</f>
        <v>0</v>
      </c>
      <c r="CL78" s="1447"/>
      <c r="CM78" s="1447"/>
      <c r="CN78" s="214">
        <f>IF(CL78=0,0,(CM78-CL78)/CL78*100)</f>
        <v>0</v>
      </c>
      <c r="CO78" s="1447"/>
      <c r="CP78" s="1447"/>
      <c r="CQ78" s="214">
        <f>IF(CO78=0,0,(CP78-CO78)/CO78*100)</f>
        <v>0</v>
      </c>
      <c r="CR78" s="1447"/>
      <c r="CS78" s="1447"/>
      <c r="CT78" s="214">
        <f>IF(CR78=0,0,(CS78-CR78)/CR78*100)</f>
        <v>0</v>
      </c>
      <c r="CU78" s="1447"/>
      <c r="CV78" s="1447"/>
      <c r="CW78" s="214">
        <f>IF(CU78=0,0,(CV78-CU78)/CU78*100)</f>
        <v>0</v>
      </c>
      <c r="CX78" s="1447"/>
      <c r="CY78" s="1447"/>
      <c r="CZ78" s="214">
        <f>IF(CX78=0,0,(CY78-CX78)/CX78*100)</f>
        <v>0</v>
      </c>
      <c r="DA78" s="1447"/>
      <c r="DB78" s="1447"/>
      <c r="DC78" s="214">
        <f>IF(DA78=0,0,(DB78-DA78)/DA78*100)</f>
        <v>0</v>
      </c>
      <c r="DD78" s="1447"/>
      <c r="DE78" s="1447"/>
      <c r="DF78" s="214">
        <f>IF(DD78=0,0,(DE78-DD78)/DD78*100)</f>
        <v>0</v>
      </c>
      <c r="DG78" s="1447"/>
      <c r="DH78" s="1447"/>
      <c r="DI78" s="214">
        <f>IF(DG78=0,0,(DH78-DG78)/DG78*100)</f>
        <v>0</v>
      </c>
      <c r="DJ78" s="1447"/>
      <c r="DK78" s="1447"/>
      <c r="DL78" s="214">
        <f>IF(DJ78=0,0,(DK78-DJ78)/DJ78*100)</f>
        <v>0</v>
      </c>
      <c r="DM78" s="1447"/>
      <c r="DN78" s="1447"/>
      <c r="DO78" s="214">
        <f>IF(DM78=0,0,(DN78-DM78)/DM78*100)</f>
        <v>0</v>
      </c>
      <c r="DP78" s="1447"/>
      <c r="DQ78" s="1447"/>
      <c r="DR78" s="214">
        <f>IF(DP78=0,0,(DQ78-DP78)/DP78*100)</f>
        <v>0</v>
      </c>
      <c r="DS78" s="1447"/>
      <c r="DT78" s="1447"/>
      <c r="DU78" s="214">
        <f>IF(DS78=0,0,(DT78-DS78)/DS78*100)</f>
        <v>0</v>
      </c>
      <c r="DV78" s="1447"/>
      <c r="DW78" s="1447"/>
      <c r="DX78" s="214">
        <f>IF(DV78=0,0,(DW78-DV78)/DV78*100)</f>
        <v>0</v>
      </c>
      <c r="DY78" s="1447"/>
      <c r="DZ78" s="1447"/>
      <c r="EA78" s="214">
        <f>IF(DY78=0,0,(DZ78-DY78)/DY78*100)</f>
        <v>0</v>
      </c>
      <c r="EB78" s="1447"/>
      <c r="EC78" s="1447"/>
      <c r="ED78" s="214">
        <f>IF(EB78=0,0,(EC78-EB78)/EB78*100)</f>
        <v>0</v>
      </c>
      <c r="EE78" s="1447"/>
      <c r="EF78" s="1447"/>
      <c r="EG78" s="214">
        <f>IF(EE78=0,0,(EF78-EE78)/EE78*100)</f>
        <v>0</v>
      </c>
      <c r="EH78" s="1447"/>
      <c r="EI78" s="1447"/>
      <c r="EJ78" s="214">
        <f>IF(EH78=0,0,(EI78-EH78)/EH78*100)</f>
        <v>0</v>
      </c>
      <c r="EK78" s="1447"/>
      <c r="EL78" s="1447"/>
      <c r="EM78" s="214">
        <f>IF(EK78=0,0,(EL78-EK78)/EK78*100)</f>
        <v>0</v>
      </c>
      <c r="EN78" s="1447"/>
      <c r="EO78" s="1447"/>
      <c r="EP78" s="214">
        <f>IF(EN78=0,0,(EO78-EN78)/EN78*100)</f>
        <v>0</v>
      </c>
      <c r="EQ78" s="1447"/>
      <c r="ER78" s="1447"/>
      <c r="ES78" s="214">
        <f>IF(EQ78=0,0,(ER78-EQ78)/EQ78*100)</f>
        <v>0</v>
      </c>
      <c r="ET78" s="1447"/>
      <c r="EU78" s="1447"/>
      <c r="EV78" s="214">
        <f>IF(ET78=0,0,(EU78-ET78)/ET78*100)</f>
        <v>0</v>
      </c>
      <c r="EW78" s="1447"/>
      <c r="EX78" s="1447"/>
      <c r="EY78" s="214">
        <f>IF(EW78=0,0,(EX78-EW78)/EW78*100)</f>
        <v>0</v>
      </c>
      <c r="EZ78" s="1447"/>
      <c r="FA78" s="1447"/>
      <c r="FB78" s="214">
        <f>IF(EZ78=0,0,(FA78-EZ78)/EZ78*100)</f>
        <v>0</v>
      </c>
      <c r="FC78" s="1447"/>
      <c r="FD78" s="1447"/>
      <c r="FE78" s="214">
        <f>IF(FC78=0,0,(FD78-FC78)/FC78*100)</f>
        <v>0</v>
      </c>
      <c r="FF78" s="1447"/>
      <c r="FG78" s="1447"/>
      <c r="FH78" s="214">
        <f>IF(FF78=0,0,(FG78-FF78)/FF78*100)</f>
        <v>0</v>
      </c>
      <c r="FI78" s="1447"/>
      <c r="FJ78" s="1447"/>
      <c r="FK78" s="214">
        <f>IF(FI78=0,0,(FJ78-FI78)/FI78*100)</f>
        <v>0</v>
      </c>
      <c r="FL78" s="1447"/>
      <c r="FM78" s="1447"/>
      <c r="FN78" s="214">
        <f>IF(FL78=0,0,(FM78-FL78)/FL78*100)</f>
        <v>0</v>
      </c>
      <c r="FO78" s="1447"/>
      <c r="FP78" s="1447"/>
      <c r="FQ78" s="214">
        <f>IF(FO78=0,0,(FP78-FO78)/FO78*100)</f>
        <v>0</v>
      </c>
      <c r="FR78" s="1447"/>
      <c r="FS78" s="1447"/>
      <c r="FT78" s="214">
        <f>IF(FR78=0,0,(FS78-FR78)/FR78*100)</f>
        <v>0</v>
      </c>
      <c r="FU78" s="1447"/>
      <c r="FV78" s="1447"/>
      <c r="FW78" s="214">
        <f>IF(FU78=0,0,(FV78-FU78)/FU78*100)</f>
        <v>0</v>
      </c>
      <c r="FZ78" s="964" t="s">
        <v>1663</v>
      </c>
      <c r="GA78" s="964"/>
      <c r="GB78" s="964"/>
      <c r="GC78" s="965"/>
      <c r="GD78" s="965"/>
    </row>
    <row r="79" spans="1:186" s="210" customFormat="1" ht="23.85" hidden="1" customHeight="1" x14ac:dyDescent="0.15">
      <c r="A79" s="813"/>
      <c r="B79" s="837" t="b" cm="1">
        <f t="array" ref="B79">B78</f>
        <v>0</v>
      </c>
      <c r="C79" s="813"/>
      <c r="D79" s="813"/>
      <c r="E79" s="759">
        <v>24.5</v>
      </c>
      <c r="F79" s="3" cm="1">
        <f t="array" aca="1" ref="F79" ca="1">OFFSET(E79,-1,1)</f>
        <v>0</v>
      </c>
      <c r="G79" s="26" t="s">
        <v>1590</v>
      </c>
      <c r="H79" s="416" t="s">
        <v>494</v>
      </c>
      <c r="I79" s="416" t="s">
        <v>1664</v>
      </c>
      <c r="J79" s="813"/>
      <c r="K79" s="813"/>
      <c r="L79" s="813"/>
      <c r="M79" s="813"/>
      <c r="N79" s="813"/>
      <c r="O79" s="813"/>
      <c r="P79" s="813"/>
      <c r="Q79" s="813"/>
      <c r="R79" s="813"/>
      <c r="S79" s="416"/>
      <c r="T79" s="388" t="b" cm="1">
        <f t="array" aca="1" ref="T79" ca="1">T78</f>
        <v>0</v>
      </c>
      <c r="U79" s="813"/>
      <c r="V79" s="813"/>
      <c r="W79" s="813"/>
      <c r="X79" s="2066"/>
      <c r="Y79" s="813"/>
      <c r="Z79" s="2011"/>
      <c r="AA79" s="813"/>
      <c r="AB79" s="138" t="s">
        <v>1665</v>
      </c>
      <c r="AC79" s="153" t="s">
        <v>1588</v>
      </c>
      <c r="AD79" s="1447">
        <f ca="1">IF(AND(method_reg="Метод индексации",god&lt;&gt;first_year),SUMIFS(INDEX('Калькуляция (МИ корр)'!$AJ$25:$BC$459,,MATCH(AD$8,'Калькуляция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(МИ)'!$AJ$25:$BC$459,,MATCH(AD$8,'Калькуляция (МИ)'!$AJ$8:$BC$8,0)),'Калькуляция (МИ)'!$F$25:$F$459,$F79,'Калькуляция (МИ)'!$G$25:$G$459,$G79))))</f>
        <v>0</v>
      </c>
      <c r="AE79" s="1447">
        <f ca="1">IF(AND(method_reg="Метод индексации",god&lt;&gt;first_year),SUMIFS(INDEX('Калькуляция (МИ корр)'!$AJ$25:$BC$459,,MATCH(AE$8,'Калькуляция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(МИ)'!$AJ$25:$BC$459,,MATCH(AE$8,'Калькуляция (МИ)'!$AJ$8:$BC$8,0)),'Калькуляция (МИ)'!$F$25:$F$459,$F79,'Калькуляция (МИ)'!$G$25:$G$459,$G79))))</f>
        <v>0</v>
      </c>
      <c r="AF79" s="214">
        <f ca="1">IF(AD79=0,0,(AE79-AD79)/AD79*100)</f>
        <v>0</v>
      </c>
      <c r="AG79" s="1447">
        <f ca="1">IF(AND(method_reg="Метод индексации",god&lt;&gt;first_year),SUMIFS(INDEX('Калькуляция (МИ корр)'!$AJ$25:$BC$459,,MATCH(AG$8,'Калькуляция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(МИ)'!$AJ$25:$BC$459,,MATCH(AG$8,'Калькуляция (МИ)'!$AJ$8:$BC$8,0)),'Калькуляция (МИ)'!$F$25:$F$459,$F79,'Калькуляция (МИ)'!$G$25:$G$459,$G79))))</f>
        <v>0</v>
      </c>
      <c r="AH79" s="1447">
        <f ca="1">IF(AND(method_reg="Метод индексации",god&lt;&gt;first_year),SUMIFS(INDEX('Калькуляция (МИ корр)'!$AJ$25:$BC$459,,MATCH(AH$8,'Калькуляция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(МИ)'!$AJ$25:$BC$459,,MATCH(AH$8,'Калькуляция (МИ)'!$AJ$8:$BC$8,0)),'Калькуляция (МИ)'!$F$25:$F$459,$F79,'Калькуляция (МИ)'!$G$25:$G$459,$G79))))</f>
        <v>0</v>
      </c>
      <c r="AI79" s="214">
        <f ca="1">IF(AG79=0,0,(AH79-AG79)/AG79*100)</f>
        <v>0</v>
      </c>
      <c r="AJ79" s="1447">
        <f ca="1">IF(AND(method_reg="Метод индексации",god&lt;&gt;first_year),SUMIFS(INDEX('Калькуляция (МИ корр)'!$AJ$25:$BC$459,,MATCH(AJ$8,'Калькуляция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(МИ)'!$AJ$25:$BC$459,,MATCH(AJ$8,'Калькуляция (МИ)'!$AJ$8:$BC$8,0)),'Калькуляция (МИ)'!$F$25:$F$459,$F79,'Калькуляция (МИ)'!$G$25:$G$459,$G79))))</f>
        <v>0</v>
      </c>
      <c r="AK79" s="1447">
        <f ca="1">IF(AND(method_reg="Метод индексации",god&lt;&gt;first_year),SUMIFS(INDEX('Калькуляция (МИ корр)'!$AJ$25:$BC$459,,MATCH(AK$8,'Калькуляция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(МИ)'!$AJ$25:$BC$459,,MATCH(AK$8,'Калькуляция (МИ)'!$AJ$8:$BC$8,0)),'Калькуляция (МИ)'!$F$25:$F$459,$F79,'Калькуляция (МИ)'!$G$25:$G$459,$G79))))</f>
        <v>0</v>
      </c>
      <c r="AL79" s="214">
        <f ca="1">IF(AJ79=0,0,(AK79-AJ79)/AJ79*100)</f>
        <v>0</v>
      </c>
      <c r="AM79" s="1447">
        <f ca="1">IF(AND(method_reg="Метод индексации",god&lt;&gt;first_year),SUMIFS(INDEX('Калькуляция (МИ корр)'!$AJ$25:$BC$459,,MATCH(AM$8,'Калькуляция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(МИ)'!$AJ$25:$BC$459,,MATCH(AM$8,'Калькуляция (МИ)'!$AJ$8:$BC$8,0)),'Калькуляция (МИ)'!$F$25:$F$459,$F79,'Калькуляция (МИ)'!$G$25:$G$459,$G79))))</f>
        <v>0</v>
      </c>
      <c r="AN79" s="1447">
        <f ca="1">IF(AND(method_reg="Метод индексации",god&lt;&gt;first_year),SUMIFS(INDEX('Калькуляция (МИ корр)'!$AJ$25:$BC$459,,MATCH(AN$8,'Калькуляция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(МИ)'!$AJ$25:$BC$459,,MATCH(AN$8,'Калькуляция (МИ)'!$AJ$8:$BC$8,0)),'Калькуляция (МИ)'!$F$25:$F$459,$F79,'Калькуляция (МИ)'!$G$25:$G$459,$G79))))</f>
        <v>0</v>
      </c>
      <c r="AO79" s="214">
        <f ca="1">IF(AM79=0,0,(AN79-AM79)/AM79*100)</f>
        <v>0</v>
      </c>
      <c r="AP79" s="1447">
        <f ca="1">IF(AND(method_reg="Метод индексации",god&lt;&gt;first_year),SUMIFS(INDEX('Калькуляция (МИ корр)'!$AJ$25:$BC$459,,MATCH(AP$8,'Калькуляция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(МИ)'!$AJ$25:$BC$459,,MATCH(AP$8,'Калькуляция (МИ)'!$AJ$8:$BC$8,0)),'Калькуляция (МИ)'!$F$25:$F$459,$F79,'Калькуляция (МИ)'!$G$25:$G$459,$G79))))</f>
        <v>0</v>
      </c>
      <c r="AQ79" s="1447">
        <f ca="1">IF(AND(method_reg="Метод индексации",god&lt;&gt;first_year),SUMIFS(INDEX('Калькуляция (МИ корр)'!$AJ$25:$BC$459,,MATCH(AQ$8,'Калькуляция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(МИ)'!$AJ$25:$BC$459,,MATCH(AQ$8,'Калькуляция (МИ)'!$AJ$8:$BC$8,0)),'Калькуляция (МИ)'!$F$25:$F$459,$F79,'Калькуляция (МИ)'!$G$25:$G$459,$G79))))</f>
        <v>0</v>
      </c>
      <c r="AR79" s="214">
        <f ca="1">IF(AP79=0,0,(AQ79-AP79)/AP79*100)</f>
        <v>0</v>
      </c>
      <c r="AS79" s="1447">
        <f ca="1">IF(AND(method_reg="Метод индексации",god&lt;&gt;first_year),SUMIFS(INDEX('Калькуляция (МИ корр)'!$AJ$25:$BC$459,,MATCH(AS$8,'Калькуляция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(МИ)'!$AJ$25:$BC$459,,MATCH(AS$8,'Калькуляция (МИ)'!$AJ$8:$BC$8,0)),'Калькуляция (МИ)'!$F$25:$F$459,$F79,'Калькуляция (МИ)'!$G$25:$G$459,$G79))))</f>
        <v>0</v>
      </c>
      <c r="AT79" s="1447">
        <f ca="1">IF(AND(method_reg="Метод индексации",god&lt;&gt;first_year),SUMIFS(INDEX('Калькуляция (МИ корр)'!$AJ$25:$BC$459,,MATCH(AT$8,'Калькуляция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(МИ)'!$AJ$25:$BC$459,,MATCH(AT$8,'Калькуляция (МИ)'!$AJ$8:$BC$8,0)),'Калькуляция (МИ)'!$F$25:$F$459,$F79,'Калькуляция (МИ)'!$G$25:$G$459,$G79))))</f>
        <v>0</v>
      </c>
      <c r="AU79" s="214">
        <f ca="1">IF(AS79=0,0,(AT79-AS79)/AS79*100)</f>
        <v>0</v>
      </c>
      <c r="AV79" s="1447">
        <f ca="1">IF(AND(method_reg="Метод индексации",god&lt;&gt;first_year),SUMIFS(INDEX('Калькуляция (МИ корр)'!$AJ$25:$BC$459,,MATCH(AV$8,'Калькуляция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(МИ)'!$AJ$25:$BC$459,,MATCH(AV$8,'Калькуляция (МИ)'!$AJ$8:$BC$8,0)),'Калькуляция (МИ)'!$F$25:$F$459,$F79,'Калькуляция (МИ)'!$G$25:$G$459,$G79))))</f>
        <v>0</v>
      </c>
      <c r="AW79" s="1447">
        <f ca="1">IF(AND(method_reg="Метод индексации",god&lt;&gt;first_year),SUMIFS(INDEX('Калькуляция (МИ корр)'!$AJ$25:$BC$459,,MATCH(AW$8,'Калькуляция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(МИ)'!$AJ$25:$BC$459,,MATCH(AW$8,'Калькуляция (МИ)'!$AJ$8:$BC$8,0)),'Калькуляция (МИ)'!$F$25:$F$459,$F79,'Калькуляция (МИ)'!$G$25:$G$459,$G79))))</f>
        <v>0</v>
      </c>
      <c r="AX79" s="214">
        <f ca="1">IF(AV79=0,0,(AW79-AV79)/AV79*100)</f>
        <v>0</v>
      </c>
      <c r="AY79" s="1447">
        <f ca="1">IF(AND(method_reg="Метод индексации",god&lt;&gt;first_year),SUMIFS(INDEX('Калькуляция (МИ корр)'!$AJ$25:$BC$459,,MATCH(AY$8,'Калькуляция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(МИ)'!$AJ$25:$BC$459,,MATCH(AY$8,'Калькуляция (МИ)'!$AJ$8:$BC$8,0)),'Калькуляция (МИ)'!$F$25:$F$459,$F79,'Калькуляция (МИ)'!$G$25:$G$459,$G79))))</f>
        <v>0</v>
      </c>
      <c r="AZ79" s="1447">
        <f ca="1">IF(AND(method_reg="Метод индексации",god&lt;&gt;first_year),SUMIFS(INDEX('Калькуляция (МИ корр)'!$AJ$25:$BC$459,,MATCH(AZ$8,'Калькуляция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(МИ)'!$AJ$25:$BC$459,,MATCH(AZ$8,'Калькуляция (МИ)'!$AJ$8:$BC$8,0)),'Калькуляция (МИ)'!$F$25:$F$459,$F79,'Калькуляция (МИ)'!$G$25:$G$459,$G79))))</f>
        <v>0</v>
      </c>
      <c r="BA79" s="214">
        <f ca="1">IF(AY79=0,0,(AZ79-AY79)/AY79*100)</f>
        <v>0</v>
      </c>
      <c r="BB79" s="1447">
        <f ca="1">IF(AND(method_reg="Метод индексации",god&lt;&gt;first_year),SUMIFS(INDEX('Калькуляция (МИ корр)'!$AJ$25:$BC$459,,MATCH(BB$8,'Калькуляция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(МИ)'!$AJ$25:$BC$459,,MATCH(BB$8,'Калькуляция (МИ)'!$AJ$8:$BC$8,0)),'Калькуляция (МИ)'!$F$25:$F$459,$F79,'Калькуляция (МИ)'!$G$25:$G$459,$G79))))</f>
        <v>0</v>
      </c>
      <c r="BC79" s="1447">
        <f ca="1">IF(AND(method_reg="Метод индексации",god&lt;&gt;first_year),SUMIFS(INDEX('Калькуляция (МИ корр)'!$AJ$25:$BC$459,,MATCH(BC$8,'Калькуляция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(МИ)'!$AJ$25:$BC$459,,MATCH(BC$8,'Калькуляция (МИ)'!$AJ$8:$BC$8,0)),'Калькуляция (МИ)'!$F$25:$F$459,$F79,'Калькуляция (МИ)'!$G$25:$G$459,$G79))))</f>
        <v>0</v>
      </c>
      <c r="BD79" s="214">
        <f ca="1">IF(BB79=0,0,(BC79-BB79)/BB79*100)</f>
        <v>0</v>
      </c>
      <c r="BE79" s="1447">
        <f ca="1">IF(AND(method_reg="Метод индексации",god&lt;&gt;first_year),SUMIFS(INDEX('Калькуляция (МИ корр)'!$AJ$25:$BC$459,,MATCH(BE$8,'Калькуляция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(МИ)'!$AJ$25:$BC$459,,MATCH(BE$8,'Калькуляция (МИ)'!$AJ$8:$BC$8,0)),'Калькуляция (МИ)'!$F$25:$F$459,$F79,'Калькуляция (МИ)'!$G$25:$G$459,$G79))))</f>
        <v>0</v>
      </c>
      <c r="BF79" s="1447">
        <f ca="1">IF(AND(method_reg="Метод индексации",god&lt;&gt;first_year),SUMIFS(INDEX('Калькуляция (МИ корр)'!$AJ$25:$BC$459,,MATCH(BF$8,'Калькуляция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(МИ)'!$AJ$25:$BC$459,,MATCH(BF$8,'Калькуляция (МИ)'!$AJ$8:$BC$8,0)),'Калькуляция (МИ)'!$F$25:$F$459,$F79,'Калькуляция (МИ)'!$G$25:$G$459,$G79))))</f>
        <v>0</v>
      </c>
      <c r="BG79" s="214">
        <f ca="1">IF(BE79=0,0,(BF79-BE79)/BE79*100)</f>
        <v>0</v>
      </c>
      <c r="BH79" s="1447"/>
      <c r="BI79" s="1447"/>
      <c r="BJ79" s="214">
        <f>IF(BH79=0,0,(BI79-BH79)/BH79*100)</f>
        <v>0</v>
      </c>
      <c r="BK79" s="1447"/>
      <c r="BL79" s="1447"/>
      <c r="BM79" s="214">
        <f>IF(BK79=0,0,(BL79-BK79)/BK79*100)</f>
        <v>0</v>
      </c>
      <c r="BN79" s="1447"/>
      <c r="BO79" s="1447"/>
      <c r="BP79" s="214">
        <f>IF(BN79=0,0,(BO79-BN79)/BN79*100)</f>
        <v>0</v>
      </c>
      <c r="BQ79" s="1447"/>
      <c r="BR79" s="1447"/>
      <c r="BS79" s="214">
        <f>IF(BQ79=0,0,(BR79-BQ79)/BQ79*100)</f>
        <v>0</v>
      </c>
      <c r="BT79" s="1447"/>
      <c r="BU79" s="1447"/>
      <c r="BV79" s="214">
        <f>IF(BT79=0,0,(BU79-BT79)/BT79*100)</f>
        <v>0</v>
      </c>
      <c r="BW79" s="1447"/>
      <c r="BX79" s="1447"/>
      <c r="BY79" s="214">
        <f>IF(BW79=0,0,(BX79-BW79)/BW79*100)</f>
        <v>0</v>
      </c>
      <c r="BZ79" s="1447"/>
      <c r="CA79" s="1447"/>
      <c r="CB79" s="214">
        <f>IF(BZ79=0,0,(CA79-BZ79)/BZ79*100)</f>
        <v>0</v>
      </c>
      <c r="CC79" s="1447"/>
      <c r="CD79" s="1447"/>
      <c r="CE79" s="214">
        <f>IF(CC79=0,0,(CD79-CC79)/CC79*100)</f>
        <v>0</v>
      </c>
      <c r="CF79" s="1447"/>
      <c r="CG79" s="1447"/>
      <c r="CH79" s="214">
        <f>IF(CF79=0,0,(CG79-CF79)/CF79*100)</f>
        <v>0</v>
      </c>
      <c r="CI79" s="1447"/>
      <c r="CJ79" s="1447"/>
      <c r="CK79" s="214">
        <f>IF(CI79=0,0,(CJ79-CI79)/CI79*100)</f>
        <v>0</v>
      </c>
      <c r="CL79" s="1447"/>
      <c r="CM79" s="1447"/>
      <c r="CN79" s="214">
        <f>IF(CL79=0,0,(CM79-CL79)/CL79*100)</f>
        <v>0</v>
      </c>
      <c r="CO79" s="1447"/>
      <c r="CP79" s="1447"/>
      <c r="CQ79" s="214">
        <f>IF(CO79=0,0,(CP79-CO79)/CO79*100)</f>
        <v>0</v>
      </c>
      <c r="CR79" s="1447"/>
      <c r="CS79" s="1447"/>
      <c r="CT79" s="214">
        <f>IF(CR79=0,0,(CS79-CR79)/CR79*100)</f>
        <v>0</v>
      </c>
      <c r="CU79" s="1447"/>
      <c r="CV79" s="1447"/>
      <c r="CW79" s="214">
        <f>IF(CU79=0,0,(CV79-CU79)/CU79*100)</f>
        <v>0</v>
      </c>
      <c r="CX79" s="1447"/>
      <c r="CY79" s="1447"/>
      <c r="CZ79" s="214">
        <f>IF(CX79=0,0,(CY79-CX79)/CX79*100)</f>
        <v>0</v>
      </c>
      <c r="DA79" s="1447"/>
      <c r="DB79" s="1447"/>
      <c r="DC79" s="214">
        <f>IF(DA79=0,0,(DB79-DA79)/DA79*100)</f>
        <v>0</v>
      </c>
      <c r="DD79" s="1447"/>
      <c r="DE79" s="1447"/>
      <c r="DF79" s="214">
        <f>IF(DD79=0,0,(DE79-DD79)/DD79*100)</f>
        <v>0</v>
      </c>
      <c r="DG79" s="1447"/>
      <c r="DH79" s="1447"/>
      <c r="DI79" s="214">
        <f>IF(DG79=0,0,(DH79-DG79)/DG79*100)</f>
        <v>0</v>
      </c>
      <c r="DJ79" s="1447"/>
      <c r="DK79" s="1447"/>
      <c r="DL79" s="214">
        <f>IF(DJ79=0,0,(DK79-DJ79)/DJ79*100)</f>
        <v>0</v>
      </c>
      <c r="DM79" s="1447"/>
      <c r="DN79" s="1447"/>
      <c r="DO79" s="214">
        <f>IF(DM79=0,0,(DN79-DM79)/DM79*100)</f>
        <v>0</v>
      </c>
      <c r="DP79" s="1447"/>
      <c r="DQ79" s="1447"/>
      <c r="DR79" s="214">
        <f>IF(DP79=0,0,(DQ79-DP79)/DP79*100)</f>
        <v>0</v>
      </c>
      <c r="DS79" s="1447"/>
      <c r="DT79" s="1447"/>
      <c r="DU79" s="214">
        <f>IF(DS79=0,0,(DT79-DS79)/DS79*100)</f>
        <v>0</v>
      </c>
      <c r="DV79" s="1447"/>
      <c r="DW79" s="1447"/>
      <c r="DX79" s="214">
        <f>IF(DV79=0,0,(DW79-DV79)/DV79*100)</f>
        <v>0</v>
      </c>
      <c r="DY79" s="1447"/>
      <c r="DZ79" s="1447"/>
      <c r="EA79" s="214">
        <f>IF(DY79=0,0,(DZ79-DY79)/DY79*100)</f>
        <v>0</v>
      </c>
      <c r="EB79" s="1447"/>
      <c r="EC79" s="1447"/>
      <c r="ED79" s="214">
        <f>IF(EB79=0,0,(EC79-EB79)/EB79*100)</f>
        <v>0</v>
      </c>
      <c r="EE79" s="1447"/>
      <c r="EF79" s="1447"/>
      <c r="EG79" s="214">
        <f>IF(EE79=0,0,(EF79-EE79)/EE79*100)</f>
        <v>0</v>
      </c>
      <c r="EH79" s="1447"/>
      <c r="EI79" s="1447"/>
      <c r="EJ79" s="214">
        <f>IF(EH79=0,0,(EI79-EH79)/EH79*100)</f>
        <v>0</v>
      </c>
      <c r="EK79" s="1447"/>
      <c r="EL79" s="1447"/>
      <c r="EM79" s="214">
        <f>IF(EK79=0,0,(EL79-EK79)/EK79*100)</f>
        <v>0</v>
      </c>
      <c r="EN79" s="1447"/>
      <c r="EO79" s="1447"/>
      <c r="EP79" s="214">
        <f>IF(EN79=0,0,(EO79-EN79)/EN79*100)</f>
        <v>0</v>
      </c>
      <c r="EQ79" s="1447"/>
      <c r="ER79" s="1447"/>
      <c r="ES79" s="214">
        <f>IF(EQ79=0,0,(ER79-EQ79)/EQ79*100)</f>
        <v>0</v>
      </c>
      <c r="ET79" s="1447"/>
      <c r="EU79" s="1447"/>
      <c r="EV79" s="214">
        <f>IF(ET79=0,0,(EU79-ET79)/ET79*100)</f>
        <v>0</v>
      </c>
      <c r="EW79" s="1447"/>
      <c r="EX79" s="1447"/>
      <c r="EY79" s="214">
        <f>IF(EW79=0,0,(EX79-EW79)/EW79*100)</f>
        <v>0</v>
      </c>
      <c r="EZ79" s="1447"/>
      <c r="FA79" s="1447"/>
      <c r="FB79" s="214">
        <f>IF(EZ79=0,0,(FA79-EZ79)/EZ79*100)</f>
        <v>0</v>
      </c>
      <c r="FC79" s="1447"/>
      <c r="FD79" s="1447"/>
      <c r="FE79" s="214">
        <f>IF(FC79=0,0,(FD79-FC79)/FC79*100)</f>
        <v>0</v>
      </c>
      <c r="FF79" s="1447"/>
      <c r="FG79" s="1447"/>
      <c r="FH79" s="214">
        <f>IF(FF79=0,0,(FG79-FF79)/FF79*100)</f>
        <v>0</v>
      </c>
      <c r="FI79" s="1447"/>
      <c r="FJ79" s="1447"/>
      <c r="FK79" s="214">
        <f>IF(FI79=0,0,(FJ79-FI79)/FI79*100)</f>
        <v>0</v>
      </c>
      <c r="FL79" s="1447"/>
      <c r="FM79" s="1447"/>
      <c r="FN79" s="214">
        <f>IF(FL79=0,0,(FM79-FL79)/FL79*100)</f>
        <v>0</v>
      </c>
      <c r="FO79" s="1447"/>
      <c r="FP79" s="1447"/>
      <c r="FQ79" s="214">
        <f>IF(FO79=0,0,(FP79-FO79)/FO79*100)</f>
        <v>0</v>
      </c>
      <c r="FR79" s="1447"/>
      <c r="FS79" s="1447"/>
      <c r="FT79" s="214">
        <f>IF(FR79=0,0,(FS79-FR79)/FR79*100)</f>
        <v>0</v>
      </c>
      <c r="FU79" s="1447"/>
      <c r="FV79" s="1447"/>
      <c r="FW79" s="214">
        <f>IF(FU79=0,0,(FV79-FU79)/FU79*100)</f>
        <v>0</v>
      </c>
      <c r="FZ79" s="964" t="s">
        <v>1666</v>
      </c>
      <c r="GA79" s="964"/>
      <c r="GB79" s="964"/>
      <c r="GC79" s="965"/>
      <c r="GD79" s="965"/>
    </row>
    <row r="80" spans="1:186" ht="14.65" hidden="1" customHeight="1" x14ac:dyDescent="0.15">
      <c r="A80" s="416"/>
      <c r="B80" s="837" t="b" cm="1">
        <f t="array" ref="B80">B79</f>
        <v>0</v>
      </c>
      <c r="C80" s="416"/>
      <c r="D80" s="416"/>
      <c r="E80" s="759">
        <v>15</v>
      </c>
      <c r="F80" s="3" cm="1">
        <f t="array" aca="1" ref="F80" ca="1">OFFSET(E80,-1,1)</f>
        <v>0</v>
      </c>
      <c r="G80" s="416"/>
      <c r="H80" s="416" t="s">
        <v>498</v>
      </c>
      <c r="I80" s="416"/>
      <c r="J80" s="416"/>
      <c r="K80" s="416"/>
      <c r="L80" s="416"/>
      <c r="M80" s="416"/>
      <c r="N80" s="416"/>
      <c r="O80" s="416"/>
      <c r="P80" s="416"/>
      <c r="Q80" s="416"/>
      <c r="R80" s="416"/>
      <c r="S80" s="416"/>
      <c r="T80" s="388" t="b" cm="1">
        <f t="array" aca="1" ref="T80" ca="1">T79</f>
        <v>0</v>
      </c>
      <c r="U80" s="416"/>
      <c r="V80" s="416"/>
      <c r="W80" s="416"/>
      <c r="X80" s="2066"/>
      <c r="Y80" s="416"/>
      <c r="Z80" s="2011"/>
      <c r="AA80" s="416"/>
      <c r="AB80" s="998" t="s">
        <v>1667</v>
      </c>
      <c r="AC80" s="686" t="s">
        <v>490</v>
      </c>
      <c r="AD80" s="1002">
        <f ca="1">IF(AD78=0,0,AD79/AD78)*100</f>
        <v>0</v>
      </c>
      <c r="AE80" s="1002">
        <f ca="1">IF(AE78=0,0,AE79/AE78)*100</f>
        <v>0</v>
      </c>
      <c r="AF80" s="1017"/>
      <c r="AG80" s="1002">
        <f ca="1">IF(AG78=0,0,AG79/AG78)*100</f>
        <v>0</v>
      </c>
      <c r="AH80" s="1002">
        <f ca="1">IF(AH78=0,0,AH79/AH78)*100</f>
        <v>0</v>
      </c>
      <c r="AI80" s="1017"/>
      <c r="AJ80" s="1002">
        <f ca="1">IF(AJ78=0,0,AJ79/AJ78)*100</f>
        <v>0</v>
      </c>
      <c r="AK80" s="1002">
        <f ca="1">IF(AK78=0,0,AK79/AK78)*100</f>
        <v>0</v>
      </c>
      <c r="AL80" s="1017"/>
      <c r="AM80" s="1002">
        <f ca="1">IF(AM78=0,0,AM79/AM78)*100</f>
        <v>0</v>
      </c>
      <c r="AN80" s="1002">
        <f ca="1">IF(AN78=0,0,AN79/AN78)*100</f>
        <v>0</v>
      </c>
      <c r="AO80" s="1017"/>
      <c r="AP80" s="1002">
        <f ca="1">IF(AP78=0,0,AP79/AP78)*100</f>
        <v>0</v>
      </c>
      <c r="AQ80" s="1002">
        <f ca="1">IF(AQ78=0,0,AQ79/AQ78)*100</f>
        <v>0</v>
      </c>
      <c r="AR80" s="1017"/>
      <c r="AS80" s="1002">
        <f ca="1">IF(AS78=0,0,AS79/AS78)*100</f>
        <v>0</v>
      </c>
      <c r="AT80" s="1002">
        <f ca="1">IF(AT78=0,0,AT79/AT78)*100</f>
        <v>0</v>
      </c>
      <c r="AU80" s="1017"/>
      <c r="AV80" s="1002">
        <f ca="1">IF(AV78=0,0,AV79/AV78)*100</f>
        <v>0</v>
      </c>
      <c r="AW80" s="1002">
        <f ca="1">IF(AW78=0,0,AW79/AW78)*100</f>
        <v>0</v>
      </c>
      <c r="AX80" s="1017"/>
      <c r="AY80" s="1002">
        <f ca="1">IF(AY78=0,0,AY79/AY78)*100</f>
        <v>0</v>
      </c>
      <c r="AZ80" s="1002">
        <f ca="1">IF(AZ78=0,0,AZ79/AZ78)*100</f>
        <v>0</v>
      </c>
      <c r="BA80" s="1017"/>
      <c r="BB80" s="1002">
        <f ca="1">IF(BB78=0,0,BB79/BB78)*100</f>
        <v>0</v>
      </c>
      <c r="BC80" s="1002">
        <f ca="1">IF(BC78=0,0,BC79/BC78)*100</f>
        <v>0</v>
      </c>
      <c r="BD80" s="1017"/>
      <c r="BE80" s="1002">
        <f ca="1">IF(BE78=0,0,BE79/BE78)*100</f>
        <v>0</v>
      </c>
      <c r="BF80" s="1002">
        <f ca="1">IF(BF78=0,0,BF79/BF78)*100</f>
        <v>0</v>
      </c>
      <c r="BG80" s="1017"/>
      <c r="BH80" s="1002">
        <f>IF(BH78=0,0,BH79/BH78)*100</f>
        <v>0</v>
      </c>
      <c r="BI80" s="1002">
        <f>IF(BI78=0,0,BI79/BI78)*100</f>
        <v>0</v>
      </c>
      <c r="BJ80" s="1017"/>
      <c r="BK80" s="1002">
        <f>IF(BK78=0,0,BK79/BK78)*100</f>
        <v>0</v>
      </c>
      <c r="BL80" s="1002">
        <f>IF(BL78=0,0,BL79/BL78)*100</f>
        <v>0</v>
      </c>
      <c r="BM80" s="1017"/>
      <c r="BN80" s="1002">
        <f>IF(BN78=0,0,BN79/BN78)*100</f>
        <v>0</v>
      </c>
      <c r="BO80" s="1002">
        <f>IF(BO78=0,0,BO79/BO78)*100</f>
        <v>0</v>
      </c>
      <c r="BP80" s="1017"/>
      <c r="BQ80" s="1002">
        <f>IF(BQ78=0,0,BQ79/BQ78)*100</f>
        <v>0</v>
      </c>
      <c r="BR80" s="1002">
        <f>IF(BR78=0,0,BR79/BR78)*100</f>
        <v>0</v>
      </c>
      <c r="BS80" s="1017"/>
      <c r="BT80" s="1002">
        <f>IF(BT78=0,0,BT79/BT78)*100</f>
        <v>0</v>
      </c>
      <c r="BU80" s="1002">
        <f>IF(BU78=0,0,BU79/BU78)*100</f>
        <v>0</v>
      </c>
      <c r="BV80" s="1017"/>
      <c r="BW80" s="1002">
        <f>IF(BW78=0,0,BW79/BW78)*100</f>
        <v>0</v>
      </c>
      <c r="BX80" s="1002">
        <f>IF(BX78=0,0,BX79/BX78)*100</f>
        <v>0</v>
      </c>
      <c r="BY80" s="1017"/>
      <c r="BZ80" s="1002">
        <f>IF(BZ78=0,0,BZ79/BZ78)*100</f>
        <v>0</v>
      </c>
      <c r="CA80" s="1002">
        <f>IF(CA78=0,0,CA79/CA78)*100</f>
        <v>0</v>
      </c>
      <c r="CB80" s="1017"/>
      <c r="CC80" s="1002">
        <f>IF(CC78=0,0,CC79/CC78)*100</f>
        <v>0</v>
      </c>
      <c r="CD80" s="1002">
        <f>IF(CD78=0,0,CD79/CD78)*100</f>
        <v>0</v>
      </c>
      <c r="CE80" s="1017"/>
      <c r="CF80" s="1002">
        <f>IF(CF78=0,0,CF79/CF78)*100</f>
        <v>0</v>
      </c>
      <c r="CG80" s="1002">
        <f>IF(CG78=0,0,CG79/CG78)*100</f>
        <v>0</v>
      </c>
      <c r="CH80" s="1017"/>
      <c r="CI80" s="1002">
        <f>IF(CI78=0,0,CI79/CI78)*100</f>
        <v>0</v>
      </c>
      <c r="CJ80" s="1002">
        <f>IF(CJ78=0,0,CJ79/CJ78)*100</f>
        <v>0</v>
      </c>
      <c r="CK80" s="1017"/>
      <c r="CL80" s="1002">
        <f>IF(CL78=0,0,CL79/CL78)*100</f>
        <v>0</v>
      </c>
      <c r="CM80" s="1002">
        <f>IF(CM78=0,0,CM79/CM78)*100</f>
        <v>0</v>
      </c>
      <c r="CN80" s="1017"/>
      <c r="CO80" s="1002">
        <f>IF(CO78=0,0,CO79/CO78)*100</f>
        <v>0</v>
      </c>
      <c r="CP80" s="1002">
        <f>IF(CP78=0,0,CP79/CP78)*100</f>
        <v>0</v>
      </c>
      <c r="CQ80" s="1017"/>
      <c r="CR80" s="1002">
        <f>IF(CR78=0,0,CR79/CR78)*100</f>
        <v>0</v>
      </c>
      <c r="CS80" s="1002">
        <f>IF(CS78=0,0,CS79/CS78)*100</f>
        <v>0</v>
      </c>
      <c r="CT80" s="1017"/>
      <c r="CU80" s="1002">
        <f>IF(CU78=0,0,CU79/CU78)*100</f>
        <v>0</v>
      </c>
      <c r="CV80" s="1002">
        <f>IF(CV78=0,0,CV79/CV78)*100</f>
        <v>0</v>
      </c>
      <c r="CW80" s="1017"/>
      <c r="CX80" s="1002">
        <f>IF(CX78=0,0,CX79/CX78)*100</f>
        <v>0</v>
      </c>
      <c r="CY80" s="1002">
        <f>IF(CY78=0,0,CY79/CY78)*100</f>
        <v>0</v>
      </c>
      <c r="CZ80" s="1017"/>
      <c r="DA80" s="1002">
        <f>IF(DA78=0,0,DA79/DA78)*100</f>
        <v>0</v>
      </c>
      <c r="DB80" s="1002">
        <f>IF(DB78=0,0,DB79/DB78)*100</f>
        <v>0</v>
      </c>
      <c r="DC80" s="1017"/>
      <c r="DD80" s="1002">
        <f>IF(DD78=0,0,DD79/DD78)*100</f>
        <v>0</v>
      </c>
      <c r="DE80" s="1002">
        <f>IF(DE78=0,0,DE79/DE78)*100</f>
        <v>0</v>
      </c>
      <c r="DF80" s="1017"/>
      <c r="DG80" s="1002">
        <f>IF(DG78=0,0,DG79/DG78)*100</f>
        <v>0</v>
      </c>
      <c r="DH80" s="1002">
        <f>IF(DH78=0,0,DH79/DH78)*100</f>
        <v>0</v>
      </c>
      <c r="DI80" s="1017"/>
      <c r="DJ80" s="1002">
        <f>IF(DJ78=0,0,DJ79/DJ78)*100</f>
        <v>0</v>
      </c>
      <c r="DK80" s="1002">
        <f>IF(DK78=0,0,DK79/DK78)*100</f>
        <v>0</v>
      </c>
      <c r="DL80" s="1017"/>
      <c r="DM80" s="1002">
        <f>IF(DM78=0,0,DM79/DM78)*100</f>
        <v>0</v>
      </c>
      <c r="DN80" s="1002">
        <f>IF(DN78=0,0,DN79/DN78)*100</f>
        <v>0</v>
      </c>
      <c r="DO80" s="1017"/>
      <c r="DP80" s="1002">
        <f>IF(DP78=0,0,DP79/DP78)*100</f>
        <v>0</v>
      </c>
      <c r="DQ80" s="1002">
        <f>IF(DQ78=0,0,DQ79/DQ78)*100</f>
        <v>0</v>
      </c>
      <c r="DR80" s="1017"/>
      <c r="DS80" s="1002">
        <f>IF(DS78=0,0,DS79/DS78)*100</f>
        <v>0</v>
      </c>
      <c r="DT80" s="1002">
        <f>IF(DT78=0,0,DT79/DT78)*100</f>
        <v>0</v>
      </c>
      <c r="DU80" s="1017"/>
      <c r="DV80" s="1002">
        <f>IF(DV78=0,0,DV79/DV78)*100</f>
        <v>0</v>
      </c>
      <c r="DW80" s="1002">
        <f>IF(DW78=0,0,DW79/DW78)*100</f>
        <v>0</v>
      </c>
      <c r="DX80" s="1017"/>
      <c r="DY80" s="1002">
        <f>IF(DY78=0,0,DY79/DY78)*100</f>
        <v>0</v>
      </c>
      <c r="DZ80" s="1002">
        <f>IF(DZ78=0,0,DZ79/DZ78)*100</f>
        <v>0</v>
      </c>
      <c r="EA80" s="1017"/>
      <c r="EB80" s="1002">
        <f>IF(EB78=0,0,EB79/EB78)*100</f>
        <v>0</v>
      </c>
      <c r="EC80" s="1002">
        <f>IF(EC78=0,0,EC79/EC78)*100</f>
        <v>0</v>
      </c>
      <c r="ED80" s="1017"/>
      <c r="EE80" s="1002">
        <f>IF(EE78=0,0,EE79/EE78)*100</f>
        <v>0</v>
      </c>
      <c r="EF80" s="1002">
        <f>IF(EF78=0,0,EF79/EF78)*100</f>
        <v>0</v>
      </c>
      <c r="EG80" s="1017"/>
      <c r="EH80" s="1002">
        <f>IF(EH78=0,0,EH79/EH78)*100</f>
        <v>0</v>
      </c>
      <c r="EI80" s="1002">
        <f>IF(EI78=0,0,EI79/EI78)*100</f>
        <v>0</v>
      </c>
      <c r="EJ80" s="1017"/>
      <c r="EK80" s="1002">
        <f>IF(EK78=0,0,EK79/EK78)*100</f>
        <v>0</v>
      </c>
      <c r="EL80" s="1002">
        <f>IF(EL78=0,0,EL79/EL78)*100</f>
        <v>0</v>
      </c>
      <c r="EM80" s="1017"/>
      <c r="EN80" s="1002">
        <f>IF(EN78=0,0,EN79/EN78)*100</f>
        <v>0</v>
      </c>
      <c r="EO80" s="1002">
        <f>IF(EO78=0,0,EO79/EO78)*100</f>
        <v>0</v>
      </c>
      <c r="EP80" s="1017"/>
      <c r="EQ80" s="1002">
        <f>IF(EQ78=0,0,EQ79/EQ78)*100</f>
        <v>0</v>
      </c>
      <c r="ER80" s="1002">
        <f>IF(ER78=0,0,ER79/ER78)*100</f>
        <v>0</v>
      </c>
      <c r="ES80" s="1017"/>
      <c r="ET80" s="1002">
        <f>IF(ET78=0,0,ET79/ET78)*100</f>
        <v>0</v>
      </c>
      <c r="EU80" s="1002">
        <f>IF(EU78=0,0,EU79/EU78)*100</f>
        <v>0</v>
      </c>
      <c r="EV80" s="1017"/>
      <c r="EW80" s="1002">
        <f>IF(EW78=0,0,EW79/EW78)*100</f>
        <v>0</v>
      </c>
      <c r="EX80" s="1002">
        <f>IF(EX78=0,0,EX79/EX78)*100</f>
        <v>0</v>
      </c>
      <c r="EY80" s="1017"/>
      <c r="EZ80" s="1002">
        <f>IF(EZ78=0,0,EZ79/EZ78)*100</f>
        <v>0</v>
      </c>
      <c r="FA80" s="1002">
        <f>IF(FA78=0,0,FA79/FA78)*100</f>
        <v>0</v>
      </c>
      <c r="FB80" s="1017"/>
      <c r="FC80" s="1002">
        <f>IF(FC78=0,0,FC79/FC78)*100</f>
        <v>0</v>
      </c>
      <c r="FD80" s="1002">
        <f>IF(FD78=0,0,FD79/FD78)*100</f>
        <v>0</v>
      </c>
      <c r="FE80" s="1017"/>
      <c r="FF80" s="1002">
        <f>IF(FF78=0,0,FF79/FF78)*100</f>
        <v>0</v>
      </c>
      <c r="FG80" s="1002">
        <f>IF(FG78=0,0,FG79/FG78)*100</f>
        <v>0</v>
      </c>
      <c r="FH80" s="1017"/>
      <c r="FI80" s="1002">
        <f>IF(FI78=0,0,FI79/FI78)*100</f>
        <v>0</v>
      </c>
      <c r="FJ80" s="1002">
        <f>IF(FJ78=0,0,FJ79/FJ78)*100</f>
        <v>0</v>
      </c>
      <c r="FK80" s="1017"/>
      <c r="FL80" s="1002">
        <f>IF(FL78=0,0,FL79/FL78)*100</f>
        <v>0</v>
      </c>
      <c r="FM80" s="1002">
        <f>IF(FM78=0,0,FM79/FM78)*100</f>
        <v>0</v>
      </c>
      <c r="FN80" s="1017"/>
      <c r="FO80" s="1002">
        <f>IF(FO78=0,0,FO79/FO78)*100</f>
        <v>0</v>
      </c>
      <c r="FP80" s="1002">
        <f>IF(FP78=0,0,FP79/FP78)*100</f>
        <v>0</v>
      </c>
      <c r="FQ80" s="1017"/>
      <c r="FR80" s="1002">
        <f>IF(FR78=0,0,FR79/FR78)*100</f>
        <v>0</v>
      </c>
      <c r="FS80" s="1002">
        <f>IF(FS78=0,0,FS79/FS78)*100</f>
        <v>0</v>
      </c>
      <c r="FT80" s="1017"/>
      <c r="FU80" s="1002">
        <f>IF(FU78=0,0,FU79/FU78)*100</f>
        <v>0</v>
      </c>
      <c r="FV80" s="1002">
        <f>IF(FV78=0,0,FV79/FV78)*100</f>
        <v>0</v>
      </c>
      <c r="FW80" s="1018"/>
      <c r="FX80" s="210"/>
      <c r="FZ80" s="964" t="s">
        <v>1668</v>
      </c>
    </row>
    <row r="81" spans="1:186" ht="14.65" hidden="1" customHeight="1" x14ac:dyDescent="0.15">
      <c r="A81" s="416"/>
      <c r="B81" s="837" t="b" cm="1">
        <f t="array" ref="B81">B80</f>
        <v>0</v>
      </c>
      <c r="C81" s="416"/>
      <c r="D81" s="416"/>
      <c r="E81" s="759">
        <v>15</v>
      </c>
      <c r="F81" s="3" cm="1">
        <f t="array" aca="1" ref="F81" ca="1">OFFSET(E81,-1,1)</f>
        <v>0</v>
      </c>
      <c r="G81" s="26" t="s">
        <v>1597</v>
      </c>
      <c r="H81" s="416"/>
      <c r="I81" s="416"/>
      <c r="J81" s="416"/>
      <c r="K81" s="416"/>
      <c r="L81" s="416"/>
      <c r="M81" s="416"/>
      <c r="N81" s="416"/>
      <c r="O81" s="416"/>
      <c r="P81" s="416"/>
      <c r="Q81" s="416"/>
      <c r="R81" s="416"/>
      <c r="S81" s="416"/>
      <c r="T81" s="388" t="b" cm="1">
        <f t="array" aca="1" ref="T81" ca="1">T80</f>
        <v>0</v>
      </c>
      <c r="U81" s="416"/>
      <c r="V81" s="416"/>
      <c r="W81" s="416"/>
      <c r="X81" s="2066"/>
      <c r="Y81" s="416"/>
      <c r="Z81" s="2011"/>
      <c r="AA81" s="416"/>
      <c r="AB81" s="816" t="s">
        <v>1598</v>
      </c>
      <c r="AC81" s="783" t="s">
        <v>563</v>
      </c>
      <c r="AD81" s="1443">
        <f ca="1">IF(AND(method_reg="Метод индексации",god&lt;&gt;first_year),SUMIFS(INDEX('Калькуляция (МИ корр)'!$AJ$25:$BC$459,,MATCH(AD$8,'Калькуляция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(МИ)'!$AJ$25:$BC$459,,MATCH(AD$8,'Калькуляция (МИ)'!$AJ$8:$BC$8,0)),'Калькуляция (МИ)'!$F$25:$F$459,$F81,'Калькуляция (МИ)'!$G$25:$G$459,$G81))))</f>
        <v>0</v>
      </c>
      <c r="AE81" s="1443">
        <f ca="1">IF(AND(method_reg="Метод индексации",god&lt;&gt;first_year),SUMIFS(INDEX('Калькуляция (МИ корр)'!$AJ$25:$BC$459,,MATCH(AE$8,'Калькуляция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(МИ)'!$AJ$25:$BC$459,,MATCH(AE$8,'Калькуляция (МИ)'!$AJ$8:$BC$8,0)),'Калькуляция (МИ)'!$F$25:$F$459,$F81,'Калькуляция (МИ)'!$G$25:$G$459,$G81))))</f>
        <v>0</v>
      </c>
      <c r="AF81" s="1005">
        <f ca="1">IF(AD81=0,0,(AE81-AD81)/AD81*100)</f>
        <v>0</v>
      </c>
      <c r="AG81" s="1443">
        <f ca="1">IF(AND(method_reg="Метод индексации",god&lt;&gt;first_year),SUMIFS(INDEX('Калькуляция (МИ корр)'!$AJ$25:$BC$459,,MATCH(AG$8,'Калькуляция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(МИ)'!$AJ$25:$BC$459,,MATCH(AG$8,'Калькуляция (МИ)'!$AJ$8:$BC$8,0)),'Калькуляция (МИ)'!$F$25:$F$459,$F81,'Калькуляция (МИ)'!$G$25:$G$459,$G81))))</f>
        <v>0</v>
      </c>
      <c r="AH81" s="1443">
        <f ca="1">IF(AND(method_reg="Метод индексации",god&lt;&gt;first_year),SUMIFS(INDEX('Калькуляция (МИ корр)'!$AJ$25:$BC$459,,MATCH(AH$8,'Калькуляция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(МИ)'!$AJ$25:$BC$459,,MATCH(AH$8,'Калькуляция (МИ)'!$AJ$8:$BC$8,0)),'Калькуляция (МИ)'!$F$25:$F$459,$F81,'Калькуляция (МИ)'!$G$25:$G$459,$G81))))</f>
        <v>0</v>
      </c>
      <c r="AI81" s="1005">
        <f ca="1">IF(AG81=0,0,(AH81-AG81)/AG81*100)</f>
        <v>0</v>
      </c>
      <c r="AJ81" s="1443">
        <f ca="1">IF(AND(method_reg="Метод индексации",god&lt;&gt;first_year),SUMIFS(INDEX('Калькуляция (МИ корр)'!$AJ$25:$BC$459,,MATCH(AJ$8,'Калькуляция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(МИ)'!$AJ$25:$BC$459,,MATCH(AJ$8,'Калькуляция (МИ)'!$AJ$8:$BC$8,0)),'Калькуляция (МИ)'!$F$25:$F$459,$F81,'Калькуляция (МИ)'!$G$25:$G$459,$G81))))</f>
        <v>0</v>
      </c>
      <c r="AK81" s="1443">
        <f ca="1">IF(AND(method_reg="Метод индексации",god&lt;&gt;first_year),SUMIFS(INDEX('Калькуляция (МИ корр)'!$AJ$25:$BC$459,,MATCH(AK$8,'Калькуляция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(МИ)'!$AJ$25:$BC$459,,MATCH(AK$8,'Калькуляция (МИ)'!$AJ$8:$BC$8,0)),'Калькуляция (МИ)'!$F$25:$F$459,$F81,'Калькуляция (МИ)'!$G$25:$G$459,$G81))))</f>
        <v>0</v>
      </c>
      <c r="AL81" s="1005">
        <f ca="1">IF(AJ81=0,0,(AK81-AJ81)/AJ81*100)</f>
        <v>0</v>
      </c>
      <c r="AM81" s="1443">
        <f ca="1">IF(AND(method_reg="Метод индексации",god&lt;&gt;first_year),SUMIFS(INDEX('Калькуляция (МИ корр)'!$AJ$25:$BC$459,,MATCH(AM$8,'Калькуляция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(МИ)'!$AJ$25:$BC$459,,MATCH(AM$8,'Калькуляция (МИ)'!$AJ$8:$BC$8,0)),'Калькуляция (МИ)'!$F$25:$F$459,$F81,'Калькуляция (МИ)'!$G$25:$G$459,$G81))))</f>
        <v>0</v>
      </c>
      <c r="AN81" s="1443">
        <f ca="1">IF(AND(method_reg="Метод индексации",god&lt;&gt;first_year),SUMIFS(INDEX('Калькуляция (МИ корр)'!$AJ$25:$BC$459,,MATCH(AN$8,'Калькуляция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(МИ)'!$AJ$25:$BC$459,,MATCH(AN$8,'Калькуляция (МИ)'!$AJ$8:$BC$8,0)),'Калькуляция (МИ)'!$F$25:$F$459,$F81,'Калькуляция (МИ)'!$G$25:$G$459,$G81))))</f>
        <v>0</v>
      </c>
      <c r="AO81" s="1005">
        <f ca="1">IF(AM81=0,0,(AN81-AM81)/AM81*100)</f>
        <v>0</v>
      </c>
      <c r="AP81" s="1443">
        <f ca="1">IF(AND(method_reg="Метод индексации",god&lt;&gt;first_year),SUMIFS(INDEX('Калькуляция (МИ корр)'!$AJ$25:$BC$459,,MATCH(AP$8,'Калькуляция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(МИ)'!$AJ$25:$BC$459,,MATCH(AP$8,'Калькуляция (МИ)'!$AJ$8:$BC$8,0)),'Калькуляция (МИ)'!$F$25:$F$459,$F81,'Калькуляция (МИ)'!$G$25:$G$459,$G81))))</f>
        <v>0</v>
      </c>
      <c r="AQ81" s="1443">
        <f ca="1">IF(AND(method_reg="Метод индексации",god&lt;&gt;first_year),SUMIFS(INDEX('Калькуляция (МИ корр)'!$AJ$25:$BC$459,,MATCH(AQ$8,'Калькуляция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(МИ)'!$AJ$25:$BC$459,,MATCH(AQ$8,'Калькуляция (МИ)'!$AJ$8:$BC$8,0)),'Калькуляция (МИ)'!$F$25:$F$459,$F81,'Калькуляция (МИ)'!$G$25:$G$459,$G81))))</f>
        <v>0</v>
      </c>
      <c r="AR81" s="1005">
        <f ca="1">IF(AP81=0,0,(AQ81-AP81)/AP81*100)</f>
        <v>0</v>
      </c>
      <c r="AS81" s="1443">
        <f ca="1">IF(AND(method_reg="Метод индексации",god&lt;&gt;first_year),SUMIFS(INDEX('Калькуляция (МИ корр)'!$AJ$25:$BC$459,,MATCH(AS$8,'Калькуляция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(МИ)'!$AJ$25:$BC$459,,MATCH(AS$8,'Калькуляция (МИ)'!$AJ$8:$BC$8,0)),'Калькуляция (МИ)'!$F$25:$F$459,$F81,'Калькуляция (МИ)'!$G$25:$G$459,$G81))))</f>
        <v>0</v>
      </c>
      <c r="AT81" s="1443">
        <f ca="1">IF(AND(method_reg="Метод индексации",god&lt;&gt;first_year),SUMIFS(INDEX('Калькуляция (МИ корр)'!$AJ$25:$BC$459,,MATCH(AT$8,'Калькуляция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(МИ)'!$AJ$25:$BC$459,,MATCH(AT$8,'Калькуляция (МИ)'!$AJ$8:$BC$8,0)),'Калькуляция (МИ)'!$F$25:$F$459,$F81,'Калькуляция (МИ)'!$G$25:$G$459,$G81))))</f>
        <v>0</v>
      </c>
      <c r="AU81" s="1005">
        <f ca="1">IF(AS81=0,0,(AT81-AS81)/AS81*100)</f>
        <v>0</v>
      </c>
      <c r="AV81" s="1443">
        <f ca="1">IF(AND(method_reg="Метод индексации",god&lt;&gt;first_year),SUMIFS(INDEX('Калькуляция (МИ корр)'!$AJ$25:$BC$459,,MATCH(AV$8,'Калькуляция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(МИ)'!$AJ$25:$BC$459,,MATCH(AV$8,'Калькуляция (МИ)'!$AJ$8:$BC$8,0)),'Калькуляция (МИ)'!$F$25:$F$459,$F81,'Калькуляция (МИ)'!$G$25:$G$459,$G81))))</f>
        <v>0</v>
      </c>
      <c r="AW81" s="1443">
        <f ca="1">IF(AND(method_reg="Метод индексации",god&lt;&gt;first_year),SUMIFS(INDEX('Калькуляция (МИ корр)'!$AJ$25:$BC$459,,MATCH(AW$8,'Калькуляция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(МИ)'!$AJ$25:$BC$459,,MATCH(AW$8,'Калькуляция (МИ)'!$AJ$8:$BC$8,0)),'Калькуляция (МИ)'!$F$25:$F$459,$F81,'Калькуляция (МИ)'!$G$25:$G$459,$G81))))</f>
        <v>0</v>
      </c>
      <c r="AX81" s="1005">
        <f ca="1">IF(AV81=0,0,(AW81-AV81)/AV81*100)</f>
        <v>0</v>
      </c>
      <c r="AY81" s="1443">
        <f ca="1">IF(AND(method_reg="Метод индексации",god&lt;&gt;first_year),SUMIFS(INDEX('Калькуляция (МИ корр)'!$AJ$25:$BC$459,,MATCH(AY$8,'Калькуляция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(МИ)'!$AJ$25:$BC$459,,MATCH(AY$8,'Калькуляция (МИ)'!$AJ$8:$BC$8,0)),'Калькуляция (МИ)'!$F$25:$F$459,$F81,'Калькуляция (МИ)'!$G$25:$G$459,$G81))))</f>
        <v>0</v>
      </c>
      <c r="AZ81" s="1443">
        <f ca="1">IF(AND(method_reg="Метод индексации",god&lt;&gt;first_year),SUMIFS(INDEX('Калькуляция (МИ корр)'!$AJ$25:$BC$459,,MATCH(AZ$8,'Калькуляция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(МИ)'!$AJ$25:$BC$459,,MATCH(AZ$8,'Калькуляция (МИ)'!$AJ$8:$BC$8,0)),'Калькуляция (МИ)'!$F$25:$F$459,$F81,'Калькуляция (МИ)'!$G$25:$G$459,$G81))))</f>
        <v>0</v>
      </c>
      <c r="BA81" s="1005">
        <f ca="1">IF(AY81=0,0,(AZ81-AY81)/AY81*100)</f>
        <v>0</v>
      </c>
      <c r="BB81" s="1443">
        <f ca="1">IF(AND(method_reg="Метод индексации",god&lt;&gt;first_year),SUMIFS(INDEX('Калькуляция (МИ корр)'!$AJ$25:$BC$459,,MATCH(BB$8,'Калькуляция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(МИ)'!$AJ$25:$BC$459,,MATCH(BB$8,'Калькуляция (МИ)'!$AJ$8:$BC$8,0)),'Калькуляция (МИ)'!$F$25:$F$459,$F81,'Калькуляция (МИ)'!$G$25:$G$459,$G81))))</f>
        <v>0</v>
      </c>
      <c r="BC81" s="1443">
        <f ca="1">IF(AND(method_reg="Метод индексации",god&lt;&gt;first_year),SUMIFS(INDEX('Калькуляция (МИ корр)'!$AJ$25:$BC$459,,MATCH(BC$8,'Калькуляция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(МИ)'!$AJ$25:$BC$459,,MATCH(BC$8,'Калькуляция (МИ)'!$AJ$8:$BC$8,0)),'Калькуляция (МИ)'!$F$25:$F$459,$F81,'Калькуляция (МИ)'!$G$25:$G$459,$G81))))</f>
        <v>0</v>
      </c>
      <c r="BD81" s="1005">
        <f ca="1">IF(BB81=0,0,(BC81-BB81)/BB81*100)</f>
        <v>0</v>
      </c>
      <c r="BE81" s="1443">
        <f ca="1">IF(AND(method_reg="Метод индексации",god&lt;&gt;first_year),SUMIFS(INDEX('Калькуляция (МИ корр)'!$AJ$25:$BC$459,,MATCH(BE$8,'Калькуляция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(МИ)'!$AJ$25:$BC$459,,MATCH(BE$8,'Калькуляция (МИ)'!$AJ$8:$BC$8,0)),'Калькуляция (МИ)'!$F$25:$F$459,$F81,'Калькуляция (МИ)'!$G$25:$G$459,$G81))))</f>
        <v>0</v>
      </c>
      <c r="BF81" s="1443">
        <f ca="1">IF(AND(method_reg="Метод индексации",god&lt;&gt;first_year),SUMIFS(INDEX('Калькуляция (МИ корр)'!$AJ$25:$BC$459,,MATCH(BF$8,'Калькуляция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(МИ)'!$AJ$25:$BC$459,,MATCH(BF$8,'Калькуляция (МИ)'!$AJ$8:$BC$8,0)),'Калькуляция (МИ)'!$F$25:$F$459,$F81,'Калькуляция (МИ)'!$G$25:$G$459,$G81))))</f>
        <v>0</v>
      </c>
      <c r="BG81" s="1005">
        <f ca="1">IF(BE81=0,0,(BF81-BE81)/BE81*100)</f>
        <v>0</v>
      </c>
      <c r="BH81" s="1443"/>
      <c r="BI81" s="1443"/>
      <c r="BJ81" s="1005">
        <f>IF(BH81=0,0,(BI81-BH81)/BH81*100)</f>
        <v>0</v>
      </c>
      <c r="BK81" s="1443"/>
      <c r="BL81" s="1443"/>
      <c r="BM81" s="1005">
        <f>IF(BK81=0,0,(BL81-BK81)/BK81*100)</f>
        <v>0</v>
      </c>
      <c r="BN81" s="1443"/>
      <c r="BO81" s="1443"/>
      <c r="BP81" s="1005">
        <f>IF(BN81=0,0,(BO81-BN81)/BN81*100)</f>
        <v>0</v>
      </c>
      <c r="BQ81" s="1443"/>
      <c r="BR81" s="1443"/>
      <c r="BS81" s="1005">
        <f>IF(BQ81=0,0,(BR81-BQ81)/BQ81*100)</f>
        <v>0</v>
      </c>
      <c r="BT81" s="1443"/>
      <c r="BU81" s="1443"/>
      <c r="BV81" s="1005">
        <f>IF(BT81=0,0,(BU81-BT81)/BT81*100)</f>
        <v>0</v>
      </c>
      <c r="BW81" s="1443"/>
      <c r="BX81" s="1443"/>
      <c r="BY81" s="1005">
        <f>IF(BW81=0,0,(BX81-BW81)/BW81*100)</f>
        <v>0</v>
      </c>
      <c r="BZ81" s="1443"/>
      <c r="CA81" s="1443"/>
      <c r="CB81" s="1005">
        <f>IF(BZ81=0,0,(CA81-BZ81)/BZ81*100)</f>
        <v>0</v>
      </c>
      <c r="CC81" s="1443"/>
      <c r="CD81" s="1443"/>
      <c r="CE81" s="1005">
        <f>IF(CC81=0,0,(CD81-CC81)/CC81*100)</f>
        <v>0</v>
      </c>
      <c r="CF81" s="1443"/>
      <c r="CG81" s="1443"/>
      <c r="CH81" s="1005">
        <f>IF(CF81=0,0,(CG81-CF81)/CF81*100)</f>
        <v>0</v>
      </c>
      <c r="CI81" s="1443"/>
      <c r="CJ81" s="1443"/>
      <c r="CK81" s="1005">
        <f>IF(CI81=0,0,(CJ81-CI81)/CI81*100)</f>
        <v>0</v>
      </c>
      <c r="CL81" s="1443"/>
      <c r="CM81" s="1443"/>
      <c r="CN81" s="1005">
        <f>IF(CL81=0,0,(CM81-CL81)/CL81*100)</f>
        <v>0</v>
      </c>
      <c r="CO81" s="1443"/>
      <c r="CP81" s="1443"/>
      <c r="CQ81" s="1005">
        <f>IF(CO81=0,0,(CP81-CO81)/CO81*100)</f>
        <v>0</v>
      </c>
      <c r="CR81" s="1443"/>
      <c r="CS81" s="1443"/>
      <c r="CT81" s="1005">
        <f>IF(CR81=0,0,(CS81-CR81)/CR81*100)</f>
        <v>0</v>
      </c>
      <c r="CU81" s="1443"/>
      <c r="CV81" s="1443"/>
      <c r="CW81" s="1005">
        <f>IF(CU81=0,0,(CV81-CU81)/CU81*100)</f>
        <v>0</v>
      </c>
      <c r="CX81" s="1443"/>
      <c r="CY81" s="1443"/>
      <c r="CZ81" s="1005">
        <f>IF(CX81=0,0,(CY81-CX81)/CX81*100)</f>
        <v>0</v>
      </c>
      <c r="DA81" s="1443"/>
      <c r="DB81" s="1443"/>
      <c r="DC81" s="1005">
        <f>IF(DA81=0,0,(DB81-DA81)/DA81*100)</f>
        <v>0</v>
      </c>
      <c r="DD81" s="1443"/>
      <c r="DE81" s="1443"/>
      <c r="DF81" s="1005">
        <f>IF(DD81=0,0,(DE81-DD81)/DD81*100)</f>
        <v>0</v>
      </c>
      <c r="DG81" s="1443"/>
      <c r="DH81" s="1443"/>
      <c r="DI81" s="1005">
        <f>IF(DG81=0,0,(DH81-DG81)/DG81*100)</f>
        <v>0</v>
      </c>
      <c r="DJ81" s="1443"/>
      <c r="DK81" s="1443"/>
      <c r="DL81" s="1005">
        <f>IF(DJ81=0,0,(DK81-DJ81)/DJ81*100)</f>
        <v>0</v>
      </c>
      <c r="DM81" s="1443"/>
      <c r="DN81" s="1443"/>
      <c r="DO81" s="1005">
        <f>IF(DM81=0,0,(DN81-DM81)/DM81*100)</f>
        <v>0</v>
      </c>
      <c r="DP81" s="1443"/>
      <c r="DQ81" s="1443"/>
      <c r="DR81" s="1005">
        <f>IF(DP81=0,0,(DQ81-DP81)/DP81*100)</f>
        <v>0</v>
      </c>
      <c r="DS81" s="1443"/>
      <c r="DT81" s="1443"/>
      <c r="DU81" s="1005">
        <f>IF(DS81=0,0,(DT81-DS81)/DS81*100)</f>
        <v>0</v>
      </c>
      <c r="DV81" s="1443"/>
      <c r="DW81" s="1443"/>
      <c r="DX81" s="1005">
        <f>IF(DV81=0,0,(DW81-DV81)/DV81*100)</f>
        <v>0</v>
      </c>
      <c r="DY81" s="1443"/>
      <c r="DZ81" s="1443"/>
      <c r="EA81" s="1005">
        <f>IF(DY81=0,0,(DZ81-DY81)/DY81*100)</f>
        <v>0</v>
      </c>
      <c r="EB81" s="1443"/>
      <c r="EC81" s="1443"/>
      <c r="ED81" s="1005">
        <f>IF(EB81=0,0,(EC81-EB81)/EB81*100)</f>
        <v>0</v>
      </c>
      <c r="EE81" s="1443"/>
      <c r="EF81" s="1443"/>
      <c r="EG81" s="1005">
        <f>IF(EE81=0,0,(EF81-EE81)/EE81*100)</f>
        <v>0</v>
      </c>
      <c r="EH81" s="1443"/>
      <c r="EI81" s="1443"/>
      <c r="EJ81" s="1005">
        <f>IF(EH81=0,0,(EI81-EH81)/EH81*100)</f>
        <v>0</v>
      </c>
      <c r="EK81" s="1443"/>
      <c r="EL81" s="1443"/>
      <c r="EM81" s="1005">
        <f>IF(EK81=0,0,(EL81-EK81)/EK81*100)</f>
        <v>0</v>
      </c>
      <c r="EN81" s="1443"/>
      <c r="EO81" s="1443"/>
      <c r="EP81" s="1005">
        <f>IF(EN81=0,0,(EO81-EN81)/EN81*100)</f>
        <v>0</v>
      </c>
      <c r="EQ81" s="1443"/>
      <c r="ER81" s="1443"/>
      <c r="ES81" s="1005">
        <f>IF(EQ81=0,0,(ER81-EQ81)/EQ81*100)</f>
        <v>0</v>
      </c>
      <c r="ET81" s="1443"/>
      <c r="EU81" s="1443"/>
      <c r="EV81" s="1005">
        <f>IF(ET81=0,0,(EU81-ET81)/ET81*100)</f>
        <v>0</v>
      </c>
      <c r="EW81" s="1443"/>
      <c r="EX81" s="1443"/>
      <c r="EY81" s="1005">
        <f>IF(EW81=0,0,(EX81-EW81)/EW81*100)</f>
        <v>0</v>
      </c>
      <c r="EZ81" s="1443"/>
      <c r="FA81" s="1443"/>
      <c r="FB81" s="1005">
        <f>IF(EZ81=0,0,(FA81-EZ81)/EZ81*100)</f>
        <v>0</v>
      </c>
      <c r="FC81" s="1443"/>
      <c r="FD81" s="1443"/>
      <c r="FE81" s="1005">
        <f>IF(FC81=0,0,(FD81-FC81)/FC81*100)</f>
        <v>0</v>
      </c>
      <c r="FF81" s="1443"/>
      <c r="FG81" s="1443"/>
      <c r="FH81" s="1005">
        <f>IF(FF81=0,0,(FG81-FF81)/FF81*100)</f>
        <v>0</v>
      </c>
      <c r="FI81" s="1443"/>
      <c r="FJ81" s="1443"/>
      <c r="FK81" s="1005">
        <f>IF(FI81=0,0,(FJ81-FI81)/FI81*100)</f>
        <v>0</v>
      </c>
      <c r="FL81" s="1443"/>
      <c r="FM81" s="1443"/>
      <c r="FN81" s="1005">
        <f>IF(FL81=0,0,(FM81-FL81)/FL81*100)</f>
        <v>0</v>
      </c>
      <c r="FO81" s="1443"/>
      <c r="FP81" s="1443"/>
      <c r="FQ81" s="1005">
        <f>IF(FO81=0,0,(FP81-FO81)/FO81*100)</f>
        <v>0</v>
      </c>
      <c r="FR81" s="1443"/>
      <c r="FS81" s="1443"/>
      <c r="FT81" s="1005">
        <f>IF(FR81=0,0,(FS81-FR81)/FR81*100)</f>
        <v>0</v>
      </c>
      <c r="FU81" s="1443"/>
      <c r="FV81" s="1443"/>
      <c r="FW81" s="1005">
        <f>IF(FU81=0,0,(FV81-FU81)/FU81*100)</f>
        <v>0</v>
      </c>
      <c r="FX81" s="210"/>
      <c r="FZ81" s="964" t="s">
        <v>1669</v>
      </c>
    </row>
    <row r="82" spans="1:186" ht="18.2" hidden="1" customHeight="1" x14ac:dyDescent="0.15">
      <c r="A82" s="416"/>
      <c r="B82" s="837" t="b" cm="1">
        <f t="array" ref="B82">B81</f>
        <v>0</v>
      </c>
      <c r="C82" s="416"/>
      <c r="D82" s="416"/>
      <c r="E82" s="759">
        <v>18.75</v>
      </c>
      <c r="F82" s="3" cm="1">
        <f t="array" aca="1" ref="F82" ca="1">OFFSET(E82,-1,1)</f>
        <v>0</v>
      </c>
      <c r="G82" s="416"/>
      <c r="H82" s="416" t="s">
        <v>494</v>
      </c>
      <c r="I82" s="416" cm="1">
        <f t="array" ref="I82">AB82</f>
        <v>0</v>
      </c>
      <c r="J82" s="416"/>
      <c r="K82" s="416"/>
      <c r="L82" s="416"/>
      <c r="M82" s="416"/>
      <c r="N82" s="416"/>
      <c r="O82" s="416"/>
      <c r="P82" s="416"/>
      <c r="Q82" s="416"/>
      <c r="R82" s="416"/>
      <c r="S82" s="416"/>
      <c r="T82" s="388" t="b">
        <f ca="1">AND(F82&gt;0,Y82&gt;0)</f>
        <v>0</v>
      </c>
      <c r="U82" s="416"/>
      <c r="V82" s="416"/>
      <c r="W82" s="416" t="s">
        <v>172</v>
      </c>
      <c r="X82" s="2066"/>
      <c r="Y82" s="416">
        <v>0</v>
      </c>
      <c r="Z82" s="2011"/>
      <c r="AA82" s="586" t="s">
        <v>173</v>
      </c>
      <c r="AB82" s="1448"/>
      <c r="AC82" s="783" t="s">
        <v>1588</v>
      </c>
      <c r="AD82" s="1445"/>
      <c r="AE82" s="1446"/>
      <c r="AF82" s="1003">
        <f>IF(AD82=0,0,(AE82-AD82)/AD82*100)</f>
        <v>0</v>
      </c>
      <c r="AG82" s="1446"/>
      <c r="AH82" s="1446"/>
      <c r="AI82" s="1003">
        <f>IF(AG82=0,0,(AH82-AG82)/AG82*100)</f>
        <v>0</v>
      </c>
      <c r="AJ82" s="1446"/>
      <c r="AK82" s="1446"/>
      <c r="AL82" s="1003">
        <f>IF(AJ82=0,0,(AK82-AJ82)/AJ82*100)</f>
        <v>0</v>
      </c>
      <c r="AM82" s="1446"/>
      <c r="AN82" s="1446"/>
      <c r="AO82" s="1003">
        <f>IF(AM82=0,0,(AN82-AM82)/AM82*100)</f>
        <v>0</v>
      </c>
      <c r="AP82" s="1446"/>
      <c r="AQ82" s="1446"/>
      <c r="AR82" s="1003">
        <f>IF(AP82=0,0,(AQ82-AP82)/AP82*100)</f>
        <v>0</v>
      </c>
      <c r="AS82" s="1446"/>
      <c r="AT82" s="1446"/>
      <c r="AU82" s="1003">
        <f>IF(AS82=0,0,(AT82-AS82)/AS82*100)</f>
        <v>0</v>
      </c>
      <c r="AV82" s="1446"/>
      <c r="AW82" s="1446"/>
      <c r="AX82" s="1003">
        <f>IF(AV82=0,0,(AW82-AV82)/AV82*100)</f>
        <v>0</v>
      </c>
      <c r="AY82" s="1446"/>
      <c r="AZ82" s="1446"/>
      <c r="BA82" s="1003">
        <f>IF(AY82=0,0,(AZ82-AY82)/AY82*100)</f>
        <v>0</v>
      </c>
      <c r="BB82" s="1446"/>
      <c r="BC82" s="1446"/>
      <c r="BD82" s="1003">
        <f>IF(BB82=0,0,(BC82-BB82)/BB82*100)</f>
        <v>0</v>
      </c>
      <c r="BE82" s="1446"/>
      <c r="BF82" s="1446"/>
      <c r="BG82" s="1003">
        <f>IF(BE82=0,0,(BF82-BE82)/BE82*100)</f>
        <v>0</v>
      </c>
      <c r="BH82" s="1446"/>
      <c r="BI82" s="1446"/>
      <c r="BJ82" s="1003">
        <f>IF(BH82=0,0,(BI82-BH82)/BH82*100)</f>
        <v>0</v>
      </c>
      <c r="BK82" s="1446"/>
      <c r="BL82" s="1446"/>
      <c r="BM82" s="1003">
        <f>IF(BK82=0,0,(BL82-BK82)/BK82*100)</f>
        <v>0</v>
      </c>
      <c r="BN82" s="1446"/>
      <c r="BO82" s="1446"/>
      <c r="BP82" s="1003">
        <f>IF(BN82=0,0,(BO82-BN82)/BN82*100)</f>
        <v>0</v>
      </c>
      <c r="BQ82" s="1446"/>
      <c r="BR82" s="1446"/>
      <c r="BS82" s="1003">
        <f>IF(BQ82=0,0,(BR82-BQ82)/BQ82*100)</f>
        <v>0</v>
      </c>
      <c r="BT82" s="1446"/>
      <c r="BU82" s="1446"/>
      <c r="BV82" s="1003">
        <f>IF(BT82=0,0,(BU82-BT82)/BT82*100)</f>
        <v>0</v>
      </c>
      <c r="BW82" s="1446"/>
      <c r="BX82" s="1446"/>
      <c r="BY82" s="1003">
        <f>IF(BW82=0,0,(BX82-BW82)/BW82*100)</f>
        <v>0</v>
      </c>
      <c r="BZ82" s="1446"/>
      <c r="CA82" s="1446"/>
      <c r="CB82" s="1003">
        <f>IF(BZ82=0,0,(CA82-BZ82)/BZ82*100)</f>
        <v>0</v>
      </c>
      <c r="CC82" s="1446"/>
      <c r="CD82" s="1446"/>
      <c r="CE82" s="1003">
        <f>IF(CC82=0,0,(CD82-CC82)/CC82*100)</f>
        <v>0</v>
      </c>
      <c r="CF82" s="1446"/>
      <c r="CG82" s="1446"/>
      <c r="CH82" s="1003">
        <f>IF(CF82=0,0,(CG82-CF82)/CF82*100)</f>
        <v>0</v>
      </c>
      <c r="CI82" s="1446"/>
      <c r="CJ82" s="1446"/>
      <c r="CK82" s="1003">
        <f>IF(CI82=0,0,(CJ82-CI82)/CI82*100)</f>
        <v>0</v>
      </c>
      <c r="CL82" s="1446"/>
      <c r="CM82" s="1446"/>
      <c r="CN82" s="1003">
        <f>IF(CL82=0,0,(CM82-CL82)/CL82*100)</f>
        <v>0</v>
      </c>
      <c r="CO82" s="1446"/>
      <c r="CP82" s="1446"/>
      <c r="CQ82" s="1003">
        <f>IF(CO82=0,0,(CP82-CO82)/CO82*100)</f>
        <v>0</v>
      </c>
      <c r="CR82" s="1446"/>
      <c r="CS82" s="1446"/>
      <c r="CT82" s="1003">
        <f>IF(CR82=0,0,(CS82-CR82)/CR82*100)</f>
        <v>0</v>
      </c>
      <c r="CU82" s="1446"/>
      <c r="CV82" s="1446"/>
      <c r="CW82" s="1003">
        <f>IF(CU82=0,0,(CV82-CU82)/CU82*100)</f>
        <v>0</v>
      </c>
      <c r="CX82" s="1446"/>
      <c r="CY82" s="1446"/>
      <c r="CZ82" s="1003">
        <f>IF(CX82=0,0,(CY82-CX82)/CX82*100)</f>
        <v>0</v>
      </c>
      <c r="DA82" s="1446"/>
      <c r="DB82" s="1446"/>
      <c r="DC82" s="1003">
        <f>IF(DA82=0,0,(DB82-DA82)/DA82*100)</f>
        <v>0</v>
      </c>
      <c r="DD82" s="1446"/>
      <c r="DE82" s="1446"/>
      <c r="DF82" s="1003">
        <f>IF(DD82=0,0,(DE82-DD82)/DD82*100)</f>
        <v>0</v>
      </c>
      <c r="DG82" s="1446"/>
      <c r="DH82" s="1446"/>
      <c r="DI82" s="1003">
        <f>IF(DG82=0,0,(DH82-DG82)/DG82*100)</f>
        <v>0</v>
      </c>
      <c r="DJ82" s="1446"/>
      <c r="DK82" s="1446"/>
      <c r="DL82" s="1003">
        <f>IF(DJ82=0,0,(DK82-DJ82)/DJ82*100)</f>
        <v>0</v>
      </c>
      <c r="DM82" s="1446"/>
      <c r="DN82" s="1446"/>
      <c r="DO82" s="1003">
        <f>IF(DM82=0,0,(DN82-DM82)/DM82*100)</f>
        <v>0</v>
      </c>
      <c r="DP82" s="1446"/>
      <c r="DQ82" s="1446"/>
      <c r="DR82" s="1003">
        <f>IF(DP82=0,0,(DQ82-DP82)/DP82*100)</f>
        <v>0</v>
      </c>
      <c r="DS82" s="1446"/>
      <c r="DT82" s="1446"/>
      <c r="DU82" s="1003">
        <f>IF(DS82=0,0,(DT82-DS82)/DS82*100)</f>
        <v>0</v>
      </c>
      <c r="DV82" s="1446"/>
      <c r="DW82" s="1446"/>
      <c r="DX82" s="1003">
        <f>IF(DV82=0,0,(DW82-DV82)/DV82*100)</f>
        <v>0</v>
      </c>
      <c r="DY82" s="1446"/>
      <c r="DZ82" s="1446"/>
      <c r="EA82" s="1003">
        <f>IF(DY82=0,0,(DZ82-DY82)/DY82*100)</f>
        <v>0</v>
      </c>
      <c r="EB82" s="1446"/>
      <c r="EC82" s="1446"/>
      <c r="ED82" s="1003">
        <f>IF(EB82=0,0,(EC82-EB82)/EB82*100)</f>
        <v>0</v>
      </c>
      <c r="EE82" s="1446"/>
      <c r="EF82" s="1446"/>
      <c r="EG82" s="1003">
        <f>IF(EE82=0,0,(EF82-EE82)/EE82*100)</f>
        <v>0</v>
      </c>
      <c r="EH82" s="1446"/>
      <c r="EI82" s="1446"/>
      <c r="EJ82" s="1003">
        <f>IF(EH82=0,0,(EI82-EH82)/EH82*100)</f>
        <v>0</v>
      </c>
      <c r="EK82" s="1446"/>
      <c r="EL82" s="1446"/>
      <c r="EM82" s="1003">
        <f>IF(EK82=0,0,(EL82-EK82)/EK82*100)</f>
        <v>0</v>
      </c>
      <c r="EN82" s="1446"/>
      <c r="EO82" s="1446"/>
      <c r="EP82" s="1003">
        <f>IF(EN82=0,0,(EO82-EN82)/EN82*100)</f>
        <v>0</v>
      </c>
      <c r="EQ82" s="1446"/>
      <c r="ER82" s="1446"/>
      <c r="ES82" s="1003">
        <f>IF(EQ82=0,0,(ER82-EQ82)/EQ82*100)</f>
        <v>0</v>
      </c>
      <c r="ET82" s="1446"/>
      <c r="EU82" s="1446"/>
      <c r="EV82" s="1003">
        <f>IF(ET82=0,0,(EU82-ET82)/ET82*100)</f>
        <v>0</v>
      </c>
      <c r="EW82" s="1446"/>
      <c r="EX82" s="1446"/>
      <c r="EY82" s="1003">
        <f>IF(EW82=0,0,(EX82-EW82)/EW82*100)</f>
        <v>0</v>
      </c>
      <c r="EZ82" s="1446"/>
      <c r="FA82" s="1446"/>
      <c r="FB82" s="1003">
        <f>IF(EZ82=0,0,(FA82-EZ82)/EZ82*100)</f>
        <v>0</v>
      </c>
      <c r="FC82" s="1446"/>
      <c r="FD82" s="1446"/>
      <c r="FE82" s="1003">
        <f>IF(FC82=0,0,(FD82-FC82)/FC82*100)</f>
        <v>0</v>
      </c>
      <c r="FF82" s="1446"/>
      <c r="FG82" s="1446"/>
      <c r="FH82" s="1003">
        <f>IF(FF82=0,0,(FG82-FF82)/FF82*100)</f>
        <v>0</v>
      </c>
      <c r="FI82" s="1446"/>
      <c r="FJ82" s="1446"/>
      <c r="FK82" s="1003">
        <f>IF(FI82=0,0,(FJ82-FI82)/FI82*100)</f>
        <v>0</v>
      </c>
      <c r="FL82" s="1446"/>
      <c r="FM82" s="1446"/>
      <c r="FN82" s="1003">
        <f>IF(FL82=0,0,(FM82-FL82)/FL82*100)</f>
        <v>0</v>
      </c>
      <c r="FO82" s="1446"/>
      <c r="FP82" s="1446"/>
      <c r="FQ82" s="1003">
        <f>IF(FO82=0,0,(FP82-FO82)/FO82*100)</f>
        <v>0</v>
      </c>
      <c r="FR82" s="1446"/>
      <c r="FS82" s="1446"/>
      <c r="FT82" s="1003">
        <f>IF(FR82=0,0,(FS82-FR82)/FR82*100)</f>
        <v>0</v>
      </c>
      <c r="FU82" s="1446"/>
      <c r="FV82" s="1446"/>
      <c r="FW82" s="1003">
        <f>IF(FU82=0,0,(FV82-FU82)/FU82*100)</f>
        <v>0</v>
      </c>
      <c r="FX82" s="210"/>
      <c r="FZ82" s="964" t="s">
        <v>1670</v>
      </c>
      <c r="GA82" s="924" t="s">
        <v>1671</v>
      </c>
      <c r="GB82" s="924" cm="1">
        <f t="array" ref="GB82">AB82</f>
        <v>0</v>
      </c>
      <c r="GD82" s="556" t="b">
        <v>1</v>
      </c>
    </row>
    <row r="83" spans="1:186" ht="14.65" hidden="1" customHeight="1" x14ac:dyDescent="0.15">
      <c r="B83" s="837" t="b" cm="1">
        <f t="array" ref="B83">B82</f>
        <v>0</v>
      </c>
      <c r="D83" s="416"/>
      <c r="E83" s="759">
        <v>15</v>
      </c>
      <c r="F83" s="3" cm="1">
        <f t="array" aca="1" ref="F83" ca="1">OFFSET(E83,-1,1)</f>
        <v>0</v>
      </c>
      <c r="G83" s="416"/>
      <c r="I83" s="17" t="s">
        <v>1672</v>
      </c>
      <c r="T83" s="388" t="b">
        <f ca="1">F83&gt;0</f>
        <v>0</v>
      </c>
      <c r="W83" s="677" t="s">
        <v>1618</v>
      </c>
      <c r="X83" s="2066"/>
      <c r="Z83" s="2011"/>
      <c r="AB83" s="178" t="s">
        <v>176</v>
      </c>
      <c r="AC83" s="182"/>
      <c r="AD83" s="180"/>
      <c r="AE83" s="180"/>
      <c r="AF83" s="180"/>
      <c r="AG83" s="180"/>
      <c r="AH83" s="180"/>
      <c r="AI83" s="180"/>
      <c r="AJ83" s="180"/>
      <c r="AK83" s="180"/>
      <c r="AL83" s="180"/>
      <c r="AM83" s="180"/>
      <c r="AN83" s="180"/>
      <c r="AO83" s="180"/>
      <c r="AP83" s="180"/>
      <c r="AQ83" s="180"/>
      <c r="AR83" s="180"/>
      <c r="AS83" s="180"/>
      <c r="AT83" s="180"/>
      <c r="AU83" s="180"/>
      <c r="AV83" s="180"/>
      <c r="AW83" s="180"/>
      <c r="AX83" s="180"/>
      <c r="AY83" s="180"/>
      <c r="AZ83" s="180"/>
      <c r="BA83" s="180"/>
      <c r="BB83" s="180"/>
      <c r="BC83" s="180"/>
      <c r="BD83" s="180"/>
      <c r="BE83" s="180"/>
      <c r="BF83" s="180"/>
      <c r="BG83" s="180"/>
      <c r="BH83" s="180"/>
      <c r="BI83" s="180"/>
      <c r="BJ83" s="180"/>
      <c r="BK83" s="180"/>
      <c r="BL83" s="180"/>
      <c r="BM83" s="180"/>
      <c r="BN83" s="180"/>
      <c r="BO83" s="180"/>
      <c r="BP83" s="180"/>
      <c r="BQ83" s="180"/>
      <c r="BR83" s="180"/>
      <c r="BS83" s="180"/>
      <c r="BT83" s="180"/>
      <c r="BU83" s="180"/>
      <c r="BV83" s="180"/>
      <c r="BW83" s="180"/>
      <c r="BX83" s="180"/>
      <c r="BY83" s="180"/>
      <c r="BZ83" s="180"/>
      <c r="CA83" s="180"/>
      <c r="CB83" s="180"/>
      <c r="CC83" s="180"/>
      <c r="CD83" s="180"/>
      <c r="CE83" s="180"/>
      <c r="CF83" s="180"/>
      <c r="CG83" s="180"/>
      <c r="CH83" s="180"/>
      <c r="CI83" s="180"/>
      <c r="CJ83" s="180"/>
      <c r="CK83" s="180"/>
      <c r="CL83" s="180"/>
      <c r="CM83" s="180"/>
      <c r="CN83" s="180"/>
      <c r="CO83" s="180"/>
      <c r="CP83" s="180"/>
      <c r="CQ83" s="180"/>
      <c r="CR83" s="180"/>
      <c r="CS83" s="180"/>
      <c r="CT83" s="180"/>
      <c r="CU83" s="180"/>
      <c r="CV83" s="180"/>
      <c r="CW83" s="180"/>
      <c r="CX83" s="180"/>
      <c r="CY83" s="180"/>
      <c r="CZ83" s="180"/>
      <c r="DA83" s="180"/>
      <c r="DB83" s="180"/>
      <c r="DC83" s="180"/>
      <c r="DD83" s="180"/>
      <c r="DE83" s="180"/>
      <c r="DF83" s="180"/>
      <c r="DG83" s="180"/>
      <c r="DH83" s="180"/>
      <c r="DI83" s="180"/>
      <c r="DJ83" s="180"/>
      <c r="DK83" s="180"/>
      <c r="DL83" s="180"/>
      <c r="DM83" s="180"/>
      <c r="DN83" s="180"/>
      <c r="DO83" s="180"/>
      <c r="DP83" s="180"/>
      <c r="DQ83" s="180"/>
      <c r="DR83" s="180"/>
      <c r="DS83" s="180"/>
      <c r="DT83" s="180"/>
      <c r="DU83" s="180"/>
      <c r="DV83" s="180"/>
      <c r="DW83" s="180"/>
      <c r="DX83" s="180"/>
      <c r="DY83" s="180"/>
      <c r="DZ83" s="180"/>
      <c r="EA83" s="180"/>
      <c r="EB83" s="180"/>
      <c r="EC83" s="180"/>
      <c r="ED83" s="180"/>
      <c r="EE83" s="180"/>
      <c r="EF83" s="180"/>
      <c r="EG83" s="180"/>
      <c r="EH83" s="180"/>
      <c r="EI83" s="180"/>
      <c r="EJ83" s="180"/>
      <c r="EK83" s="180"/>
      <c r="EL83" s="180"/>
      <c r="EM83" s="180"/>
      <c r="EN83" s="180"/>
      <c r="EO83" s="180"/>
      <c r="EP83" s="180"/>
      <c r="EQ83" s="180"/>
      <c r="ER83" s="180"/>
      <c r="ES83" s="180"/>
      <c r="ET83" s="180"/>
      <c r="EU83" s="180"/>
      <c r="EV83" s="180"/>
      <c r="EW83" s="180"/>
      <c r="EX83" s="180"/>
      <c r="EY83" s="180"/>
      <c r="EZ83" s="180"/>
      <c r="FA83" s="180"/>
      <c r="FB83" s="180"/>
      <c r="FC83" s="180"/>
      <c r="FD83" s="180"/>
      <c r="FE83" s="180"/>
      <c r="FF83" s="180"/>
      <c r="FG83" s="180"/>
      <c r="FH83" s="180"/>
      <c r="FI83" s="180"/>
      <c r="FJ83" s="180"/>
      <c r="FK83" s="180"/>
      <c r="FL83" s="180"/>
      <c r="FM83" s="180"/>
      <c r="FN83" s="180"/>
      <c r="FO83" s="180"/>
      <c r="FP83" s="180"/>
      <c r="FQ83" s="180"/>
      <c r="FR83" s="180"/>
      <c r="FS83" s="180"/>
      <c r="FT83" s="180"/>
      <c r="FU83" s="180"/>
      <c r="FV83" s="180"/>
      <c r="FW83" s="181"/>
      <c r="GC83" s="556" t="s">
        <v>1671</v>
      </c>
    </row>
    <row r="84" spans="1:186" ht="11.25" hidden="1" customHeight="1" x14ac:dyDescent="0.15">
      <c r="A84" s="17"/>
      <c r="B84" s="819"/>
      <c r="C84" s="17"/>
      <c r="D84" s="416"/>
      <c r="E84" s="759">
        <v>11.5</v>
      </c>
      <c r="G84" s="416"/>
      <c r="H84" s="17"/>
      <c r="I84" s="17"/>
      <c r="J84" s="17"/>
      <c r="K84" s="17"/>
      <c r="L84" s="17"/>
      <c r="M84" s="17"/>
      <c r="N84" s="17"/>
      <c r="O84" s="17"/>
      <c r="P84" s="17"/>
      <c r="Q84" s="17"/>
      <c r="R84" s="17"/>
      <c r="S84" s="17"/>
      <c r="T84" s="388" t="b" cm="1">
        <f t="array" aca="1" ref="T84" ca="1">T83</f>
        <v>0</v>
      </c>
      <c r="U84" s="17"/>
      <c r="V84" s="17"/>
      <c r="W84" s="677"/>
      <c r="X84" s="2066"/>
      <c r="Y84" s="17"/>
      <c r="Z84" s="2011"/>
      <c r="AA84" s="17"/>
      <c r="FZ84" s="915"/>
      <c r="GA84" s="915"/>
      <c r="GB84" s="910"/>
      <c r="GC84" s="599"/>
      <c r="GD84" s="599"/>
    </row>
    <row r="85" spans="1:186" s="1334" customFormat="1" ht="14.25" customHeight="1" x14ac:dyDescent="0.15">
      <c r="A85" s="416"/>
      <c r="B85" s="790"/>
      <c r="C85" s="416"/>
      <c r="D85" s="416"/>
      <c r="E85" s="759">
        <v>15</v>
      </c>
      <c r="F85" s="417" t="str" cm="1">
        <f t="array" ref="F85">X85</f>
        <v>1</v>
      </c>
      <c r="G85" s="416" t="str" cm="1">
        <f t="array" ref="G85">INDEX('Общие сведения'!$AK$185:$AK$228,MATCH($X85,'Общие сведения'!$Z$185:$Z$228,0))</f>
        <v>одноставочный</v>
      </c>
      <c r="H85" s="416"/>
      <c r="I85" s="416"/>
      <c r="J85" s="416"/>
      <c r="K85" s="416"/>
      <c r="L85" s="416"/>
      <c r="M85" s="416"/>
      <c r="N85" s="416"/>
      <c r="O85" s="416"/>
      <c r="P85" s="416"/>
      <c r="Q85" s="416" t="str" cm="1">
        <f t="array" ref="Q85">INDEX('Общие сведения'!$AE$185:$AE$228,MATCH($X85,'Общие сведения'!$Z$185:$Z$228,0))</f>
        <v>Водоснабжение</v>
      </c>
      <c r="R85" s="407" t="str" cm="1">
        <f t="array" ref="R85">INDEX('Общие сведения'!$AK$185:$AK$228,MATCH($X85,'Общие сведения'!$Z$185:$Z$228,0))</f>
        <v>одноставочный</v>
      </c>
      <c r="S85" s="416" t="b" cm="1">
        <f t="array" ref="S85">INDEX('Общие сведения'!$AN$185:$AN$228,MATCH($X85,'Общие сведения'!$Z$185:$Z$228,0))</f>
        <v>0</v>
      </c>
      <c r="T85" s="388" t="b">
        <f>X85&gt;0</f>
        <v>1</v>
      </c>
      <c r="U85" s="416"/>
      <c r="V85" s="416" t="str" cm="1">
        <f t="array" ref="V85">'Корректировка НВВ'!$AB$78</f>
        <v>Тариф 1 (Водоснабжение) - тариф на питьевую воду</v>
      </c>
      <c r="W85" s="416"/>
      <c r="X85" s="2066" t="s">
        <v>282</v>
      </c>
      <c r="Y85" s="416"/>
      <c r="Z85" s="2011"/>
      <c r="AA85" s="416"/>
      <c r="AB85" s="2114" t="s">
        <v>21</v>
      </c>
      <c r="AC85" s="2115"/>
      <c r="AD85" s="809" t="str" cm="1">
        <f t="array" ref="AD85">'Корректировка НВВ'!$AB$78</f>
        <v>Тариф 1 (Водоснабжение) - тариф на питьевую воду</v>
      </c>
      <c r="AE85" s="204"/>
      <c r="AF85" s="204"/>
      <c r="AG85" s="204"/>
      <c r="AH85" s="204"/>
      <c r="AI85" s="204"/>
      <c r="AJ85" s="204"/>
      <c r="AK85" s="204"/>
      <c r="AL85" s="204"/>
      <c r="AM85" s="204"/>
      <c r="AN85" s="204"/>
      <c r="AO85" s="204"/>
      <c r="AP85" s="204"/>
      <c r="AQ85" s="204"/>
      <c r="AR85" s="204"/>
      <c r="AS85" s="204"/>
      <c r="AT85" s="204"/>
      <c r="AU85" s="204"/>
      <c r="AV85" s="204"/>
      <c r="AW85" s="204"/>
      <c r="AX85" s="204"/>
      <c r="AY85" s="204"/>
      <c r="AZ85" s="204"/>
      <c r="BA85" s="204"/>
      <c r="BB85" s="204"/>
      <c r="BC85" s="204"/>
      <c r="BD85" s="204"/>
      <c r="BE85" s="204"/>
      <c r="BF85" s="204"/>
      <c r="BG85" s="204"/>
      <c r="BH85" s="204"/>
      <c r="BI85" s="204"/>
      <c r="BJ85" s="204"/>
      <c r="BK85" s="204"/>
      <c r="BL85" s="204"/>
      <c r="BM85" s="204"/>
      <c r="BN85" s="204"/>
      <c r="BO85" s="204"/>
      <c r="BP85" s="204"/>
      <c r="BQ85" s="204"/>
      <c r="BR85" s="204"/>
      <c r="BS85" s="204"/>
      <c r="BT85" s="204"/>
      <c r="BU85" s="204"/>
      <c r="BV85" s="204"/>
      <c r="BW85" s="204"/>
      <c r="BX85" s="204"/>
      <c r="BY85" s="204"/>
      <c r="BZ85" s="204"/>
      <c r="CA85" s="204"/>
      <c r="CB85" s="204"/>
      <c r="CC85" s="204"/>
      <c r="CD85" s="204"/>
      <c r="CE85" s="204"/>
      <c r="CF85" s="204"/>
      <c r="CG85" s="204"/>
      <c r="CH85" s="204"/>
      <c r="CI85" s="204"/>
      <c r="CJ85" s="204"/>
      <c r="CK85" s="204"/>
      <c r="CL85" s="204"/>
      <c r="CM85" s="204"/>
      <c r="CN85" s="204"/>
      <c r="CO85" s="204"/>
      <c r="CP85" s="204"/>
      <c r="CQ85" s="204"/>
      <c r="CR85" s="204"/>
      <c r="CS85" s="204"/>
      <c r="CT85" s="204"/>
      <c r="CU85" s="204"/>
      <c r="CV85" s="204"/>
      <c r="CW85" s="204"/>
      <c r="CX85" s="204"/>
      <c r="CY85" s="204"/>
      <c r="CZ85" s="204"/>
      <c r="DA85" s="204"/>
      <c r="DB85" s="204"/>
      <c r="DC85" s="204"/>
      <c r="DD85" s="204"/>
      <c r="DE85" s="204"/>
      <c r="DF85" s="204"/>
      <c r="DG85" s="204"/>
      <c r="DH85" s="204"/>
      <c r="DI85" s="204"/>
      <c r="DJ85" s="204"/>
      <c r="DK85" s="204"/>
      <c r="DL85" s="204"/>
      <c r="DM85" s="204"/>
      <c r="DN85" s="204"/>
      <c r="DO85" s="204"/>
      <c r="DP85" s="204"/>
      <c r="DQ85" s="204"/>
      <c r="DR85" s="204"/>
      <c r="DS85" s="204"/>
      <c r="DT85" s="204"/>
      <c r="DU85" s="204"/>
      <c r="DV85" s="204"/>
      <c r="DW85" s="204"/>
      <c r="DX85" s="204"/>
      <c r="DY85" s="204"/>
      <c r="DZ85" s="204"/>
      <c r="EA85" s="204"/>
      <c r="EB85" s="204"/>
      <c r="EC85" s="204"/>
      <c r="ED85" s="204"/>
      <c r="EE85" s="204"/>
      <c r="EF85" s="204"/>
      <c r="EG85" s="204"/>
      <c r="EH85" s="204"/>
      <c r="EI85" s="204"/>
      <c r="EJ85" s="204"/>
      <c r="EK85" s="204"/>
      <c r="EL85" s="204"/>
      <c r="EM85" s="204"/>
      <c r="EN85" s="204"/>
      <c r="EO85" s="204"/>
      <c r="EP85" s="204"/>
      <c r="EQ85" s="204"/>
      <c r="ER85" s="204"/>
      <c r="ES85" s="204"/>
      <c r="ET85" s="204"/>
      <c r="EU85" s="204"/>
      <c r="EV85" s="204"/>
      <c r="EW85" s="204"/>
      <c r="EX85" s="204"/>
      <c r="EY85" s="204"/>
      <c r="EZ85" s="204"/>
      <c r="FA85" s="204"/>
      <c r="FB85" s="204"/>
      <c r="FC85" s="204"/>
      <c r="FD85" s="204"/>
      <c r="FE85" s="204"/>
      <c r="FF85" s="204"/>
      <c r="FG85" s="204"/>
      <c r="FH85" s="204"/>
      <c r="FI85" s="204"/>
      <c r="FJ85" s="204"/>
      <c r="FK85" s="204"/>
      <c r="FL85" s="204"/>
      <c r="FM85" s="204"/>
      <c r="FN85" s="204"/>
      <c r="FO85" s="204"/>
      <c r="FP85" s="204"/>
      <c r="FQ85" s="204"/>
      <c r="FR85" s="204"/>
      <c r="FS85" s="204"/>
      <c r="FT85" s="204"/>
      <c r="FU85" s="204"/>
      <c r="FV85" s="204"/>
      <c r="FW85" s="205"/>
      <c r="FX85" s="1214"/>
      <c r="FY85" s="1214"/>
      <c r="FZ85" s="1216"/>
      <c r="GA85" s="1216"/>
      <c r="GB85" s="1216"/>
      <c r="GC85" s="1215"/>
      <c r="GD85" s="1215"/>
    </row>
    <row r="86" spans="1:186" s="1334" customFormat="1" ht="14.25" customHeight="1" x14ac:dyDescent="0.15">
      <c r="A86" s="416"/>
      <c r="B86" s="790"/>
      <c r="C86" s="416"/>
      <c r="D86" s="416"/>
      <c r="E86" s="759">
        <v>15</v>
      </c>
      <c r="F86" s="3" t="str" cm="1">
        <f t="array" aca="1" ref="F86" ca="1">OFFSET(E86,-1,1)</f>
        <v>1</v>
      </c>
      <c r="G86" s="416"/>
      <c r="H86" s="416"/>
      <c r="I86" s="416"/>
      <c r="J86" s="416"/>
      <c r="K86" s="416"/>
      <c r="L86" s="416"/>
      <c r="M86" s="416"/>
      <c r="N86" s="416"/>
      <c r="O86" s="416"/>
      <c r="P86" s="416"/>
      <c r="Q86" s="416"/>
      <c r="R86" s="407"/>
      <c r="S86" s="407"/>
      <c r="T86" s="388" t="b" cm="1">
        <f t="array" ref="T86">T85</f>
        <v>1</v>
      </c>
      <c r="U86" s="416"/>
      <c r="V86" s="416"/>
      <c r="W86" s="416"/>
      <c r="X86" s="2066"/>
      <c r="Y86" s="416"/>
      <c r="Z86" s="2011"/>
      <c r="AA86" s="416"/>
      <c r="AB86" s="1967" t="str">
        <f>"Вид "&amp;IF(ISERROR(SEARCH("Водоснабжение",AD85)),"сточных вод","воды")</f>
        <v>Вид воды</v>
      </c>
      <c r="AC86" s="1969"/>
      <c r="AD86" s="809" t="str" cm="1">
        <f t="array" ref="AD86">INDEX('Общие сведения'!$AH$185:$AH$228,MATCH($X85,'Общие сведения'!$Z$185:$Z$228,0))</f>
        <v>питьевая вода</v>
      </c>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c r="BI86" s="206"/>
      <c r="BJ86" s="206"/>
      <c r="BK86" s="206"/>
      <c r="BL86" s="206"/>
      <c r="BM86" s="206"/>
      <c r="BN86" s="206"/>
      <c r="BO86" s="206"/>
      <c r="BP86" s="206"/>
      <c r="BQ86" s="206"/>
      <c r="BR86" s="206"/>
      <c r="BS86" s="206"/>
      <c r="BT86" s="206"/>
      <c r="BU86" s="206"/>
      <c r="BV86" s="206"/>
      <c r="BW86" s="206"/>
      <c r="BX86" s="206"/>
      <c r="BY86" s="206"/>
      <c r="BZ86" s="206"/>
      <c r="CA86" s="206"/>
      <c r="CB86" s="206"/>
      <c r="CC86" s="206"/>
      <c r="CD86" s="206"/>
      <c r="CE86" s="206"/>
      <c r="CF86" s="206"/>
      <c r="CG86" s="206"/>
      <c r="CH86" s="206"/>
      <c r="CI86" s="206"/>
      <c r="CJ86" s="206"/>
      <c r="CK86" s="206"/>
      <c r="CL86" s="206"/>
      <c r="CM86" s="206"/>
      <c r="CN86" s="206"/>
      <c r="CO86" s="206"/>
      <c r="CP86" s="206"/>
      <c r="CQ86" s="206"/>
      <c r="CR86" s="206"/>
      <c r="CS86" s="206"/>
      <c r="CT86" s="206"/>
      <c r="CU86" s="206"/>
      <c r="CV86" s="206"/>
      <c r="CW86" s="206"/>
      <c r="CX86" s="206"/>
      <c r="CY86" s="206"/>
      <c r="CZ86" s="206"/>
      <c r="DA86" s="206"/>
      <c r="DB86" s="206"/>
      <c r="DC86" s="206"/>
      <c r="DD86" s="206"/>
      <c r="DE86" s="206"/>
      <c r="DF86" s="206"/>
      <c r="DG86" s="206"/>
      <c r="DH86" s="206"/>
      <c r="DI86" s="206"/>
      <c r="DJ86" s="206"/>
      <c r="DK86" s="206"/>
      <c r="DL86" s="206"/>
      <c r="DM86" s="206"/>
      <c r="DN86" s="206"/>
      <c r="DO86" s="206"/>
      <c r="DP86" s="206"/>
      <c r="DQ86" s="206"/>
      <c r="DR86" s="206"/>
      <c r="DS86" s="206"/>
      <c r="DT86" s="206"/>
      <c r="DU86" s="206"/>
      <c r="DV86" s="206"/>
      <c r="DW86" s="206"/>
      <c r="DX86" s="206"/>
      <c r="DY86" s="206"/>
      <c r="DZ86" s="206"/>
      <c r="EA86" s="206"/>
      <c r="EB86" s="206"/>
      <c r="EC86" s="206"/>
      <c r="ED86" s="206"/>
      <c r="EE86" s="206"/>
      <c r="EF86" s="206"/>
      <c r="EG86" s="206"/>
      <c r="EH86" s="206"/>
      <c r="EI86" s="206"/>
      <c r="EJ86" s="206"/>
      <c r="EK86" s="206"/>
      <c r="EL86" s="206"/>
      <c r="EM86" s="206"/>
      <c r="EN86" s="206"/>
      <c r="EO86" s="206"/>
      <c r="EP86" s="206"/>
      <c r="EQ86" s="206"/>
      <c r="ER86" s="206"/>
      <c r="ES86" s="206"/>
      <c r="ET86" s="206"/>
      <c r="EU86" s="206"/>
      <c r="EV86" s="206"/>
      <c r="EW86" s="206"/>
      <c r="EX86" s="206"/>
      <c r="EY86" s="206"/>
      <c r="EZ86" s="206"/>
      <c r="FA86" s="206"/>
      <c r="FB86" s="206"/>
      <c r="FC86" s="206"/>
      <c r="FD86" s="206"/>
      <c r="FE86" s="206"/>
      <c r="FF86" s="206"/>
      <c r="FG86" s="206"/>
      <c r="FH86" s="206"/>
      <c r="FI86" s="206"/>
      <c r="FJ86" s="206"/>
      <c r="FK86" s="206"/>
      <c r="FL86" s="206"/>
      <c r="FM86" s="206"/>
      <c r="FN86" s="206"/>
      <c r="FO86" s="206"/>
      <c r="FP86" s="206"/>
      <c r="FQ86" s="206"/>
      <c r="FR86" s="206"/>
      <c r="FS86" s="206"/>
      <c r="FT86" s="206"/>
      <c r="FU86" s="206"/>
      <c r="FV86" s="206"/>
      <c r="FW86" s="207"/>
      <c r="FX86" s="1214"/>
      <c r="FY86" s="1214"/>
      <c r="FZ86" s="1216"/>
      <c r="GA86" s="1216"/>
      <c r="GB86" s="1216"/>
      <c r="GC86" s="1215"/>
      <c r="GD86" s="1215"/>
    </row>
    <row r="87" spans="1:186" s="1334" customFormat="1" ht="14.25" customHeight="1" x14ac:dyDescent="0.15">
      <c r="A87" s="416"/>
      <c r="B87" s="790"/>
      <c r="C87" s="416"/>
      <c r="D87" s="416"/>
      <c r="E87" s="759">
        <v>15</v>
      </c>
      <c r="F87" s="3" t="str" cm="1">
        <f t="array" aca="1" ref="F87" ca="1">OFFSET(E87,-1,1)</f>
        <v>1</v>
      </c>
      <c r="G87" s="416"/>
      <c r="H87" s="416"/>
      <c r="I87" s="416"/>
      <c r="J87" s="416"/>
      <c r="K87" s="416"/>
      <c r="L87" s="416"/>
      <c r="M87" s="416"/>
      <c r="N87" s="416"/>
      <c r="O87" s="416"/>
      <c r="P87" s="416"/>
      <c r="Q87" s="416"/>
      <c r="R87" s="407"/>
      <c r="S87" s="407"/>
      <c r="T87" s="388" t="b" cm="1">
        <f t="array" ref="T87">T86</f>
        <v>1</v>
      </c>
      <c r="U87" s="416"/>
      <c r="V87" s="416"/>
      <c r="W87" s="416"/>
      <c r="X87" s="2066"/>
      <c r="Y87" s="416"/>
      <c r="Z87" s="2011"/>
      <c r="AA87" s="416"/>
      <c r="AB87" s="1967" t="s">
        <v>1582</v>
      </c>
      <c r="AC87" s="1969"/>
      <c r="AD87" s="809" t="str" cm="1">
        <f t="array" ref="AD87">INDEX('Общие сведения'!$AI$185:$AI$228,MATCH($X85,'Общие сведения'!$Z$185:$Z$228,0))</f>
        <v>тариф на питьевую воду</v>
      </c>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c r="BI87" s="206"/>
      <c r="BJ87" s="206"/>
      <c r="BK87" s="206"/>
      <c r="BL87" s="206"/>
      <c r="BM87" s="206"/>
      <c r="BN87" s="206"/>
      <c r="BO87" s="206"/>
      <c r="BP87" s="206"/>
      <c r="BQ87" s="206"/>
      <c r="BR87" s="206"/>
      <c r="BS87" s="206"/>
      <c r="BT87" s="206"/>
      <c r="BU87" s="206"/>
      <c r="BV87" s="206"/>
      <c r="BW87" s="206"/>
      <c r="BX87" s="206"/>
      <c r="BY87" s="206"/>
      <c r="BZ87" s="206"/>
      <c r="CA87" s="206"/>
      <c r="CB87" s="206"/>
      <c r="CC87" s="206"/>
      <c r="CD87" s="206"/>
      <c r="CE87" s="206"/>
      <c r="CF87" s="206"/>
      <c r="CG87" s="206"/>
      <c r="CH87" s="206"/>
      <c r="CI87" s="206"/>
      <c r="CJ87" s="206"/>
      <c r="CK87" s="206"/>
      <c r="CL87" s="206"/>
      <c r="CM87" s="206"/>
      <c r="CN87" s="206"/>
      <c r="CO87" s="206"/>
      <c r="CP87" s="206"/>
      <c r="CQ87" s="206"/>
      <c r="CR87" s="206"/>
      <c r="CS87" s="206"/>
      <c r="CT87" s="206"/>
      <c r="CU87" s="206"/>
      <c r="CV87" s="206"/>
      <c r="CW87" s="206"/>
      <c r="CX87" s="206"/>
      <c r="CY87" s="206"/>
      <c r="CZ87" s="206"/>
      <c r="DA87" s="206"/>
      <c r="DB87" s="206"/>
      <c r="DC87" s="206"/>
      <c r="DD87" s="206"/>
      <c r="DE87" s="206"/>
      <c r="DF87" s="206"/>
      <c r="DG87" s="206"/>
      <c r="DH87" s="206"/>
      <c r="DI87" s="206"/>
      <c r="DJ87" s="206"/>
      <c r="DK87" s="206"/>
      <c r="DL87" s="206"/>
      <c r="DM87" s="206"/>
      <c r="DN87" s="206"/>
      <c r="DO87" s="206"/>
      <c r="DP87" s="206"/>
      <c r="DQ87" s="206"/>
      <c r="DR87" s="206"/>
      <c r="DS87" s="206"/>
      <c r="DT87" s="206"/>
      <c r="DU87" s="206"/>
      <c r="DV87" s="206"/>
      <c r="DW87" s="206"/>
      <c r="DX87" s="206"/>
      <c r="DY87" s="206"/>
      <c r="DZ87" s="206"/>
      <c r="EA87" s="206"/>
      <c r="EB87" s="206"/>
      <c r="EC87" s="206"/>
      <c r="ED87" s="206"/>
      <c r="EE87" s="206"/>
      <c r="EF87" s="206"/>
      <c r="EG87" s="206"/>
      <c r="EH87" s="206"/>
      <c r="EI87" s="206"/>
      <c r="EJ87" s="206"/>
      <c r="EK87" s="206"/>
      <c r="EL87" s="206"/>
      <c r="EM87" s="206"/>
      <c r="EN87" s="206"/>
      <c r="EO87" s="206"/>
      <c r="EP87" s="206"/>
      <c r="EQ87" s="206"/>
      <c r="ER87" s="206"/>
      <c r="ES87" s="206"/>
      <c r="ET87" s="206"/>
      <c r="EU87" s="206"/>
      <c r="EV87" s="206"/>
      <c r="EW87" s="206"/>
      <c r="EX87" s="206"/>
      <c r="EY87" s="206"/>
      <c r="EZ87" s="206"/>
      <c r="FA87" s="206"/>
      <c r="FB87" s="206"/>
      <c r="FC87" s="206"/>
      <c r="FD87" s="206"/>
      <c r="FE87" s="206"/>
      <c r="FF87" s="206"/>
      <c r="FG87" s="206"/>
      <c r="FH87" s="206"/>
      <c r="FI87" s="206"/>
      <c r="FJ87" s="206"/>
      <c r="FK87" s="206"/>
      <c r="FL87" s="206"/>
      <c r="FM87" s="206"/>
      <c r="FN87" s="206"/>
      <c r="FO87" s="206"/>
      <c r="FP87" s="206"/>
      <c r="FQ87" s="206"/>
      <c r="FR87" s="206"/>
      <c r="FS87" s="206"/>
      <c r="FT87" s="206"/>
      <c r="FU87" s="206"/>
      <c r="FV87" s="206"/>
      <c r="FW87" s="207"/>
      <c r="FX87" s="1214"/>
      <c r="FY87" s="1214"/>
      <c r="FZ87" s="1216"/>
      <c r="GA87" s="1216"/>
      <c r="GB87" s="1216"/>
      <c r="GC87" s="1215"/>
      <c r="GD87" s="1215"/>
    </row>
    <row r="88" spans="1:186" s="1334" customFormat="1" ht="14.25" customHeight="1" x14ac:dyDescent="0.15">
      <c r="A88" s="416"/>
      <c r="B88" s="790"/>
      <c r="C88" s="416"/>
      <c r="D88" s="416"/>
      <c r="E88" s="759">
        <v>15</v>
      </c>
      <c r="F88" s="3" t="str" cm="1">
        <f t="array" aca="1" ref="F88" ca="1">OFFSET(E88,-1,1)</f>
        <v>1</v>
      </c>
      <c r="G88" s="416"/>
      <c r="H88" s="416"/>
      <c r="I88" s="416"/>
      <c r="J88" s="416"/>
      <c r="K88" s="416"/>
      <c r="L88" s="416"/>
      <c r="M88" s="416"/>
      <c r="N88" s="416"/>
      <c r="O88" s="416"/>
      <c r="P88" s="416"/>
      <c r="Q88" s="840"/>
      <c r="R88" s="416"/>
      <c r="S88" s="407"/>
      <c r="T88" s="388" t="b" cm="1">
        <f t="array" ref="T88">T87</f>
        <v>1</v>
      </c>
      <c r="U88" s="416"/>
      <c r="V88" s="416"/>
      <c r="W88" s="416"/>
      <c r="X88" s="2066"/>
      <c r="Y88" s="416"/>
      <c r="Z88" s="2011"/>
      <c r="AA88" s="416"/>
      <c r="AB88" s="1967" t="s">
        <v>1583</v>
      </c>
      <c r="AC88" s="1969"/>
      <c r="AD88" s="809" cm="1">
        <f t="array" ref="AD88">INDEX('Общие сведения'!$AJ$185:$AJ$228,MATCH($X85,'Общие сведения'!$Z$185:$Z$228,0))</f>
        <v>0</v>
      </c>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c r="BI88" s="206"/>
      <c r="BJ88" s="206"/>
      <c r="BK88" s="206"/>
      <c r="BL88" s="206"/>
      <c r="BM88" s="206"/>
      <c r="BN88" s="206"/>
      <c r="BO88" s="206"/>
      <c r="BP88" s="206"/>
      <c r="BQ88" s="206"/>
      <c r="BR88" s="206"/>
      <c r="BS88" s="206"/>
      <c r="BT88" s="206"/>
      <c r="BU88" s="206"/>
      <c r="BV88" s="206"/>
      <c r="BW88" s="206"/>
      <c r="BX88" s="206"/>
      <c r="BY88" s="206"/>
      <c r="BZ88" s="206"/>
      <c r="CA88" s="206"/>
      <c r="CB88" s="206"/>
      <c r="CC88" s="206"/>
      <c r="CD88" s="206"/>
      <c r="CE88" s="206"/>
      <c r="CF88" s="206"/>
      <c r="CG88" s="206"/>
      <c r="CH88" s="206"/>
      <c r="CI88" s="206"/>
      <c r="CJ88" s="206"/>
      <c r="CK88" s="206"/>
      <c r="CL88" s="206"/>
      <c r="CM88" s="206"/>
      <c r="CN88" s="206"/>
      <c r="CO88" s="206"/>
      <c r="CP88" s="206"/>
      <c r="CQ88" s="206"/>
      <c r="CR88" s="206"/>
      <c r="CS88" s="206"/>
      <c r="CT88" s="206"/>
      <c r="CU88" s="206"/>
      <c r="CV88" s="206"/>
      <c r="CW88" s="206"/>
      <c r="CX88" s="206"/>
      <c r="CY88" s="206"/>
      <c r="CZ88" s="206"/>
      <c r="DA88" s="206"/>
      <c r="DB88" s="206"/>
      <c r="DC88" s="206"/>
      <c r="DD88" s="206"/>
      <c r="DE88" s="206"/>
      <c r="DF88" s="206"/>
      <c r="DG88" s="206"/>
      <c r="DH88" s="206"/>
      <c r="DI88" s="206"/>
      <c r="DJ88" s="206"/>
      <c r="DK88" s="206"/>
      <c r="DL88" s="206"/>
      <c r="DM88" s="206"/>
      <c r="DN88" s="206"/>
      <c r="DO88" s="206"/>
      <c r="DP88" s="206"/>
      <c r="DQ88" s="206"/>
      <c r="DR88" s="206"/>
      <c r="DS88" s="206"/>
      <c r="DT88" s="206"/>
      <c r="DU88" s="206"/>
      <c r="DV88" s="206"/>
      <c r="DW88" s="206"/>
      <c r="DX88" s="206"/>
      <c r="DY88" s="206"/>
      <c r="DZ88" s="206"/>
      <c r="EA88" s="206"/>
      <c r="EB88" s="206"/>
      <c r="EC88" s="206"/>
      <c r="ED88" s="206"/>
      <c r="EE88" s="206"/>
      <c r="EF88" s="206"/>
      <c r="EG88" s="206"/>
      <c r="EH88" s="206"/>
      <c r="EI88" s="206"/>
      <c r="EJ88" s="206"/>
      <c r="EK88" s="206"/>
      <c r="EL88" s="206"/>
      <c r="EM88" s="206"/>
      <c r="EN88" s="206"/>
      <c r="EO88" s="206"/>
      <c r="EP88" s="206"/>
      <c r="EQ88" s="206"/>
      <c r="ER88" s="206"/>
      <c r="ES88" s="206"/>
      <c r="ET88" s="206"/>
      <c r="EU88" s="206"/>
      <c r="EV88" s="206"/>
      <c r="EW88" s="206"/>
      <c r="EX88" s="206"/>
      <c r="EY88" s="206"/>
      <c r="EZ88" s="206"/>
      <c r="FA88" s="206"/>
      <c r="FB88" s="206"/>
      <c r="FC88" s="206"/>
      <c r="FD88" s="206"/>
      <c r="FE88" s="206"/>
      <c r="FF88" s="206"/>
      <c r="FG88" s="206"/>
      <c r="FH88" s="206"/>
      <c r="FI88" s="206"/>
      <c r="FJ88" s="206"/>
      <c r="FK88" s="206"/>
      <c r="FL88" s="206"/>
      <c r="FM88" s="206"/>
      <c r="FN88" s="206"/>
      <c r="FO88" s="206"/>
      <c r="FP88" s="206"/>
      <c r="FQ88" s="206"/>
      <c r="FR88" s="206"/>
      <c r="FS88" s="206"/>
      <c r="FT88" s="206"/>
      <c r="FU88" s="206"/>
      <c r="FV88" s="206"/>
      <c r="FW88" s="207"/>
      <c r="FX88" s="1214"/>
      <c r="FY88" s="1214"/>
      <c r="FZ88" s="1216"/>
      <c r="GA88" s="1216"/>
      <c r="GB88" s="1216"/>
      <c r="GC88" s="1215"/>
      <c r="GD88" s="1215"/>
    </row>
    <row r="89" spans="1:186" s="1334" customFormat="1" ht="14.25" customHeight="1" x14ac:dyDescent="0.15">
      <c r="A89" s="416"/>
      <c r="B89" s="837" t="b">
        <f>AND(R85="одноставочный",NOT(S85))</f>
        <v>1</v>
      </c>
      <c r="C89" s="416"/>
      <c r="D89" s="416"/>
      <c r="E89" s="759">
        <v>15</v>
      </c>
      <c r="F89" s="3" t="str" cm="1">
        <f t="array" aca="1" ref="F89" ca="1">OFFSET(E89,-1,1)</f>
        <v>1</v>
      </c>
      <c r="G89" s="416"/>
      <c r="H89" s="416"/>
      <c r="I89" s="416"/>
      <c r="J89" s="416"/>
      <c r="K89" s="416"/>
      <c r="L89" s="416"/>
      <c r="M89" s="416"/>
      <c r="N89" s="416"/>
      <c r="O89" s="416"/>
      <c r="P89" s="416"/>
      <c r="Q89" s="416"/>
      <c r="R89" s="416"/>
      <c r="S89" s="416"/>
      <c r="T89" s="388" t="b" cm="1">
        <f t="array" ref="T89">T88</f>
        <v>1</v>
      </c>
      <c r="U89" s="416"/>
      <c r="V89" s="416"/>
      <c r="W89" s="416"/>
      <c r="X89" s="2066"/>
      <c r="Y89" s="416"/>
      <c r="Z89" s="2011"/>
      <c r="AA89" s="416"/>
      <c r="AB89" s="810" t="s">
        <v>1584</v>
      </c>
      <c r="AC89" s="811"/>
      <c r="AD89" s="812"/>
      <c r="AE89" s="812"/>
      <c r="AF89" s="812"/>
      <c r="AG89" s="812"/>
      <c r="AH89" s="812"/>
      <c r="AI89" s="812"/>
      <c r="AJ89" s="812"/>
      <c r="AK89" s="812"/>
      <c r="AL89" s="812"/>
      <c r="AM89" s="812"/>
      <c r="AN89" s="812"/>
      <c r="AO89" s="812"/>
      <c r="AP89" s="812"/>
      <c r="AQ89" s="812"/>
      <c r="AR89" s="812"/>
      <c r="AS89" s="812"/>
      <c r="AT89" s="812"/>
      <c r="AU89" s="812"/>
      <c r="AV89" s="812"/>
      <c r="AW89" s="812"/>
      <c r="AX89" s="812"/>
      <c r="AY89" s="812"/>
      <c r="AZ89" s="812"/>
      <c r="BA89" s="812"/>
      <c r="BB89" s="812"/>
      <c r="BC89" s="812"/>
      <c r="BD89" s="812"/>
      <c r="BE89" s="812"/>
      <c r="BF89" s="812"/>
      <c r="BG89" s="812"/>
      <c r="BH89" s="812"/>
      <c r="BI89" s="812"/>
      <c r="BJ89" s="820"/>
      <c r="BK89" s="812"/>
      <c r="BL89" s="812"/>
      <c r="BM89" s="820"/>
      <c r="BN89" s="812"/>
      <c r="BO89" s="812"/>
      <c r="BP89" s="820"/>
      <c r="BQ89" s="812"/>
      <c r="BR89" s="812"/>
      <c r="BS89" s="820"/>
      <c r="BT89" s="812"/>
      <c r="BU89" s="812"/>
      <c r="BV89" s="820"/>
      <c r="BW89" s="812"/>
      <c r="BX89" s="812"/>
      <c r="BY89" s="820"/>
      <c r="BZ89" s="812"/>
      <c r="CA89" s="812"/>
      <c r="CB89" s="820"/>
      <c r="CC89" s="812"/>
      <c r="CD89" s="812"/>
      <c r="CE89" s="820"/>
      <c r="CF89" s="812"/>
      <c r="CG89" s="812"/>
      <c r="CH89" s="820"/>
      <c r="CI89" s="812"/>
      <c r="CJ89" s="812"/>
      <c r="CK89" s="820"/>
      <c r="CL89" s="812"/>
      <c r="CM89" s="812"/>
      <c r="CN89" s="820"/>
      <c r="CO89" s="812"/>
      <c r="CP89" s="812"/>
      <c r="CQ89" s="820"/>
      <c r="CR89" s="812"/>
      <c r="CS89" s="812"/>
      <c r="CT89" s="820"/>
      <c r="CU89" s="812"/>
      <c r="CV89" s="812"/>
      <c r="CW89" s="820"/>
      <c r="CX89" s="812"/>
      <c r="CY89" s="812"/>
      <c r="CZ89" s="820"/>
      <c r="DA89" s="812"/>
      <c r="DB89" s="812"/>
      <c r="DC89" s="820"/>
      <c r="DD89" s="812"/>
      <c r="DE89" s="812"/>
      <c r="DF89" s="209"/>
      <c r="DG89" s="208"/>
      <c r="DH89" s="208"/>
      <c r="DI89" s="209"/>
      <c r="DJ89" s="208"/>
      <c r="DK89" s="208"/>
      <c r="DL89" s="209"/>
      <c r="DM89" s="208"/>
      <c r="DN89" s="208"/>
      <c r="DO89" s="209"/>
      <c r="DP89" s="208"/>
      <c r="DQ89" s="208"/>
      <c r="DR89" s="209"/>
      <c r="DS89" s="208"/>
      <c r="DT89" s="208"/>
      <c r="DU89" s="209"/>
      <c r="DV89" s="208"/>
      <c r="DW89" s="208"/>
      <c r="DX89" s="209"/>
      <c r="DY89" s="208"/>
      <c r="DZ89" s="208"/>
      <c r="EA89" s="209"/>
      <c r="EB89" s="208"/>
      <c r="EC89" s="208"/>
      <c r="ED89" s="209"/>
      <c r="EE89" s="208"/>
      <c r="EF89" s="208"/>
      <c r="EG89" s="209"/>
      <c r="EH89" s="208"/>
      <c r="EI89" s="208"/>
      <c r="EJ89" s="209"/>
      <c r="EK89" s="208"/>
      <c r="EL89" s="208"/>
      <c r="EM89" s="209"/>
      <c r="EN89" s="208"/>
      <c r="EO89" s="208"/>
      <c r="EP89" s="209"/>
      <c r="EQ89" s="208"/>
      <c r="ER89" s="208"/>
      <c r="ES89" s="209"/>
      <c r="ET89" s="208"/>
      <c r="EU89" s="208"/>
      <c r="EV89" s="209"/>
      <c r="EW89" s="208"/>
      <c r="EX89" s="208"/>
      <c r="EY89" s="209"/>
      <c r="EZ89" s="208"/>
      <c r="FA89" s="208"/>
      <c r="FB89" s="209"/>
      <c r="FC89" s="208"/>
      <c r="FD89" s="208"/>
      <c r="FE89" s="209"/>
      <c r="FF89" s="208"/>
      <c r="FG89" s="208"/>
      <c r="FH89" s="209"/>
      <c r="FI89" s="208"/>
      <c r="FJ89" s="208"/>
      <c r="FK89" s="209"/>
      <c r="FL89" s="208"/>
      <c r="FM89" s="208"/>
      <c r="FN89" s="209"/>
      <c r="FO89" s="208"/>
      <c r="FP89" s="208"/>
      <c r="FQ89" s="209"/>
      <c r="FR89" s="208"/>
      <c r="FS89" s="208"/>
      <c r="FT89" s="209"/>
      <c r="FU89" s="208"/>
      <c r="FV89" s="208"/>
      <c r="FW89" s="209"/>
      <c r="FX89" s="1214"/>
      <c r="FY89" s="1214"/>
      <c r="FZ89" s="1216"/>
      <c r="GA89" s="1216"/>
      <c r="GB89" s="1216"/>
      <c r="GC89" s="1215"/>
      <c r="GD89" s="1215"/>
    </row>
    <row r="90" spans="1:186" s="1449" customFormat="1" ht="23.25" customHeight="1" x14ac:dyDescent="0.15">
      <c r="A90" s="813"/>
      <c r="B90" s="837" t="b" cm="1">
        <f t="array" ref="B90">B89</f>
        <v>1</v>
      </c>
      <c r="C90" s="813"/>
      <c r="D90" s="813"/>
      <c r="E90" s="814">
        <v>24.5</v>
      </c>
      <c r="F90" s="3" t="str" cm="1">
        <f t="array" aca="1" ref="F90" ca="1">OFFSET(E90,-1,1)</f>
        <v>1</v>
      </c>
      <c r="G90" s="416" t="s">
        <v>1585</v>
      </c>
      <c r="H90" s="416" t="s">
        <v>494</v>
      </c>
      <c r="I90" s="416" t="s">
        <v>1586</v>
      </c>
      <c r="J90" s="813"/>
      <c r="K90" s="813"/>
      <c r="L90" s="416"/>
      <c r="M90" s="813"/>
      <c r="N90" s="813"/>
      <c r="O90" s="813"/>
      <c r="P90" s="813"/>
      <c r="Q90" s="813"/>
      <c r="R90" s="813"/>
      <c r="S90" s="416"/>
      <c r="T90" s="388" t="b" cm="1">
        <f t="array" ref="T90">T89</f>
        <v>1</v>
      </c>
      <c r="U90" s="813"/>
      <c r="V90" s="813"/>
      <c r="W90" s="813"/>
      <c r="X90" s="2066"/>
      <c r="Y90" s="813"/>
      <c r="Z90" s="2011"/>
      <c r="AA90" s="813"/>
      <c r="AB90" s="211" t="s">
        <v>1587</v>
      </c>
      <c r="AC90" s="212" t="s">
        <v>1588</v>
      </c>
      <c r="AD90" s="815">
        <f ca="1">IF(AND(method_reg="Метод индексации",god&lt;&gt;first_year),SUMIFS(INDEX('Калькуляция (МИ корр)'!$AJ$25:$BC$459,,MATCH(AD$8,'Калькуляция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(МИ)'!$AJ$25:$BC$459,,MATCH(AD$8,'Калькуляция (МИ)'!$AJ$8:$BC$8,0)),'Калькуляция (МИ)'!$F$25:$F$459,$F90,'Калькуляция (МИ)'!$G$25:$G$459,$G90))))</f>
        <v>70.069999999999993</v>
      </c>
      <c r="AE90" s="815">
        <f ca="1">IF(AND(method_reg="Метод индексации",god&lt;&gt;first_year),SUMIFS(INDEX('Калькуляция (МИ корр)'!$AJ$25:$BC$459,,MATCH(AE$8,'Калькуляция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(МИ)'!$AJ$25:$BC$459,,MATCH(AE$8,'Калькуляция (МИ)'!$AJ$8:$BC$8,0)),'Калькуляция (МИ)'!$F$25:$F$459,$F90,'Калькуляция (МИ)'!$G$25:$G$459,$G90))))</f>
        <v>50.313792702000001</v>
      </c>
      <c r="AF90" s="214">
        <f ca="1">IF(AD90=0,0,(AE90-AD90)/AD90*100)</f>
        <v>-28.194958324532603</v>
      </c>
      <c r="AG90" s="1441">
        <f ca="1">IF(AND(method_reg="Метод индексации",god&lt;&gt;first_year),SUMIFS(INDEX('Калькуляция (МИ корр)'!$AJ$25:$BC$459,,MATCH(AG$8,'Калькуляция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(МИ)'!$AJ$25:$BC$459,,MATCH(AG$8,'Калькуляция (МИ)'!$AJ$8:$BC$8,0)),'Калькуляция (МИ)'!$F$25:$F$459,$F90,'Калькуляция (МИ)'!$G$25:$G$459,$G90))))</f>
        <v>62.907293322900003</v>
      </c>
      <c r="AH90" s="1441">
        <f ca="1">IF(AND(method_reg="Метод индексации",god&lt;&gt;first_year),SUMIFS(INDEX('Калькуляция (МИ корр)'!$AJ$25:$BC$459,,MATCH(AH$8,'Калькуляция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(МИ)'!$AJ$25:$BC$459,,MATCH(AH$8,'Калькуляция (МИ)'!$AJ$8:$BC$8,0)),'Калькуляция (МИ)'!$F$25:$F$459,$F90,'Калькуляция (МИ)'!$G$25:$G$459,$G90))))</f>
        <v>52.926890897600003</v>
      </c>
      <c r="AI90" s="214">
        <f ca="1">IF(AG90=0,0,(AH90-AG90)/AG90*100)</f>
        <v>-15.865254882404638</v>
      </c>
      <c r="AJ90" s="1441">
        <f ca="1">IF(AND(method_reg="Метод индексации",god&lt;&gt;first_year),SUMIFS(INDEX('Калькуляция (МИ корр)'!$AJ$25:$BC$459,,MATCH(AJ$8,'Калькуляция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(МИ)'!$AJ$25:$BC$459,,MATCH(AJ$8,'Калькуляция (МИ)'!$AJ$8:$BC$8,0)),'Калькуляция (МИ)'!$F$25:$F$459,$F90,'Калькуляция (МИ)'!$G$25:$G$459,$G90))))</f>
        <v>65.263337262799993</v>
      </c>
      <c r="AK90" s="1441">
        <f ca="1">IF(AND(method_reg="Метод индексации",god&lt;&gt;first_year),SUMIFS(INDEX('Калькуляция (МИ корр)'!$AJ$25:$BC$459,,MATCH(AK$8,'Калькуляция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(МИ)'!$AJ$25:$BC$459,,MATCH(AK$8,'Калькуляция (МИ)'!$AJ$8:$BC$8,0)),'Калькуляция (МИ)'!$F$25:$F$459,$F90,'Калькуляция (МИ)'!$G$25:$G$459,$G90))))</f>
        <v>55.3720632705</v>
      </c>
      <c r="AL90" s="214">
        <f ca="1">IF(AJ90=0,0,(AK90-AJ90)/AJ90*100)</f>
        <v>-15.155942688726102</v>
      </c>
      <c r="AM90" s="1441">
        <f ca="1">IF(AND(method_reg="Метод индексации",god&lt;&gt;first_year),SUMIFS(INDEX('Калькуляция (МИ корр)'!$AJ$25:$BC$459,,MATCH(AM$8,'Калькуляция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(МИ)'!$AJ$25:$BC$459,,MATCH(AM$8,'Калькуляция (МИ)'!$AJ$8:$BC$8,0)),'Калькуляция (МИ)'!$F$25:$F$459,$F90,'Калькуляция (МИ)'!$G$25:$G$459,$G90))))</f>
        <v>67.739464045600002</v>
      </c>
      <c r="AN90" s="1441">
        <f ca="1">IF(AND(method_reg="Метод индексации",god&lt;&gt;first_year),SUMIFS(INDEX('Калькуляция (МИ корр)'!$AJ$25:$BC$459,,MATCH(AN$8,'Калькуляция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(МИ)'!$AJ$25:$BC$459,,MATCH(AN$8,'Калькуляция (МИ)'!$AJ$8:$BC$8,0)),'Калькуляция (МИ)'!$F$25:$F$459,$F90,'Калькуляция (МИ)'!$G$25:$G$459,$G90))))</f>
        <v>57.603738131900002</v>
      </c>
      <c r="AO90" s="214">
        <f ca="1">IF(AM90=0,0,(AN90-AM90)/AM90*100)</f>
        <v>-14.962807953244154</v>
      </c>
      <c r="AP90" s="1441">
        <f ca="1">IF(AND(method_reg="Метод индексации",god&lt;&gt;first_year),SUMIFS(INDEX('Калькуляция (МИ корр)'!$AJ$25:$BC$459,,MATCH(AP$8,'Калькуляция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(МИ)'!$AJ$25:$BC$459,,MATCH(AP$8,'Калькуляция (МИ)'!$AJ$8:$BC$8,0)),'Калькуляция (МИ)'!$F$25:$F$459,$F90,'Калькуляция (МИ)'!$G$25:$G$459,$G90))))</f>
        <v>70.222836525000005</v>
      </c>
      <c r="AQ90" s="1441">
        <f ca="1">IF(AND(method_reg="Метод индексации",god&lt;&gt;first_year),SUMIFS(INDEX('Калькуляция (МИ корр)'!$AJ$25:$BC$459,,MATCH(AQ$8,'Калькуляция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(МИ)'!$AJ$25:$BC$459,,MATCH(AQ$8,'Калькуляция (МИ)'!$AJ$8:$BC$8,0)),'Калькуляция (МИ)'!$F$25:$F$459,$F90,'Калькуляция (МИ)'!$G$25:$G$459,$G90))))</f>
        <v>60.597604509</v>
      </c>
      <c r="AR90" s="214">
        <f ca="1">IF(AP90=0,0,(AQ90-AP90)/AP90*100)</f>
        <v>-13.70669783834968</v>
      </c>
      <c r="AS90" s="1441">
        <f ca="1">IF(AND(method_reg="Метод индексации",god&lt;&gt;first_year),SUMIFS(INDEX('Калькуляция (МИ корр)'!$AJ$25:$BC$459,,MATCH(AS$8,'Калькуляция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(МИ)'!$AJ$25:$BC$459,,MATCH(AS$8,'Калькуляция (МИ)'!$AJ$8:$BC$8,0)),'Калькуляция (МИ)'!$F$25:$F$459,$F90,'Калькуляция (МИ)'!$G$25:$G$459,$G90))))</f>
        <v>72.810328324799997</v>
      </c>
      <c r="AT90" s="1441">
        <f ca="1">IF(AND(method_reg="Метод индексации",god&lt;&gt;first_year),SUMIFS(INDEX('Калькуляция (МИ корр)'!$AJ$25:$BC$459,,MATCH(AT$8,'Калькуляция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(МИ)'!$AJ$25:$BC$459,,MATCH(AT$8,'Калькуляция (МИ)'!$AJ$8:$BC$8,0)),'Калькуляция (МИ)'!$F$25:$F$459,$F90,'Калькуляция (МИ)'!$G$25:$G$459,$G90))))</f>
        <v>62.68954213</v>
      </c>
      <c r="AU90" s="214">
        <f ca="1">IF(AS90=0,0,(AT90-AS90)/AS90*100)</f>
        <v>-13.900206780626132</v>
      </c>
      <c r="AV90" s="1441">
        <f ca="1">IF(AND(method_reg="Метод индексации",god&lt;&gt;first_year),SUMIFS(INDEX('Калькуляция (МИ корр)'!$AJ$25:$BC$459,,MATCH(AV$8,'Калькуляция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(МИ)'!$AJ$25:$BC$459,,MATCH(AV$8,'Калькуляция (МИ)'!$AJ$8:$BC$8,0)),'Калькуляция (МИ)'!$F$25:$F$459,$F90,'Калькуляция (МИ)'!$G$25:$G$459,$G90))))</f>
        <v>75.586172871299993</v>
      </c>
      <c r="AW90" s="1441">
        <f ca="1">IF(AND(method_reg="Метод индексации",god&lt;&gt;first_year),SUMIFS(INDEX('Калькуляция (МИ корр)'!$AJ$25:$BC$459,,MATCH(AW$8,'Калькуляция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(МИ)'!$AJ$25:$BC$459,,MATCH(AW$8,'Калькуляция (МИ)'!$AJ$8:$BC$8,0)),'Калькуляция (МИ)'!$F$25:$F$459,$F90,'Калькуляция (МИ)'!$G$25:$G$459,$G90))))</f>
        <v>64.913726668099997</v>
      </c>
      <c r="AX90" s="214">
        <f ca="1">IF(AV90=0,0,(AW90-AV90)/AV90*100)</f>
        <v>-14.119574781715553</v>
      </c>
      <c r="AY90" s="815">
        <f ca="1">IF(AND(method_reg="Метод индексации",god&lt;&gt;first_year),SUMIFS(INDEX('Калькуляция (МИ корр)'!$AJ$25:$BC$459,,MATCH(AY$8,'Калькуляция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(МИ)'!$AJ$25:$BC$459,,MATCH(AY$8,'Калькуляция (МИ)'!$AJ$8:$BC$8,0)),'Калькуляция (МИ)'!$F$25:$F$459,$F90,'Калькуляция (МИ)'!$G$25:$G$459,$G90))))</f>
        <v>0</v>
      </c>
      <c r="AZ90" s="815">
        <f ca="1">IF(AND(method_reg="Метод индексации",god&lt;&gt;first_year),SUMIFS(INDEX('Калькуляция (МИ корр)'!$AJ$25:$BC$459,,MATCH(AZ$8,'Калькуляция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(МИ)'!$AJ$25:$BC$459,,MATCH(AZ$8,'Калькуляция (МИ)'!$AJ$8:$BC$8,0)),'Калькуляция (МИ)'!$F$25:$F$459,$F90,'Калькуляция (МИ)'!$G$25:$G$459,$G90))))</f>
        <v>66.856127181900007</v>
      </c>
      <c r="BA90" s="214">
        <f ca="1">IF(AY90=0,0,(AZ90-AY90)/AY90*100)</f>
        <v>0</v>
      </c>
      <c r="BB90" s="815">
        <f ca="1">IF(AND(method_reg="Метод индексации",god&lt;&gt;first_year),SUMIFS(INDEX('Калькуляция (МИ корр)'!$AJ$25:$BC$459,,MATCH(BB$8,'Калькуляция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(МИ)'!$AJ$25:$BC$459,,MATCH(BB$8,'Калькуляция (МИ)'!$AJ$8:$BC$8,0)),'Калькуляция (МИ)'!$F$25:$F$459,$F90,'Калькуляция (МИ)'!$G$25:$G$459,$G90))))</f>
        <v>0</v>
      </c>
      <c r="BC90" s="815">
        <f ca="1">IF(AND(method_reg="Метод индексации",god&lt;&gt;first_year),SUMIFS(INDEX('Калькуляция (МИ корр)'!$AJ$25:$BC$459,,MATCH(BC$8,'Калькуляция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(МИ)'!$AJ$25:$BC$459,,MATCH(BC$8,'Калькуляция (МИ)'!$AJ$8:$BC$8,0)),'Калькуляция (МИ)'!$F$25:$F$459,$F90,'Калькуляция (МИ)'!$G$25:$G$459,$G90))))</f>
        <v>0</v>
      </c>
      <c r="BD90" s="214">
        <f ca="1">IF(BB90=0,0,(BC90-BB90)/BB90*100)</f>
        <v>0</v>
      </c>
      <c r="BE90" s="815">
        <f ca="1">IF(AND(method_reg="Метод индексации",god&lt;&gt;first_year),SUMIFS(INDEX('Калькуляция (МИ корр)'!$AJ$25:$BC$459,,MATCH(BE$8,'Калькуляция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(МИ)'!$AJ$25:$BC$459,,MATCH(BE$8,'Калькуляция (МИ)'!$AJ$8:$BC$8,0)),'Калькуляция (МИ)'!$F$25:$F$459,$F90,'Калькуляция (МИ)'!$G$25:$G$459,$G90))))</f>
        <v>0</v>
      </c>
      <c r="BF90" s="815">
        <f ca="1">IF(AND(method_reg="Метод индексации",god&lt;&gt;first_year),SUMIFS(INDEX('Калькуляция (МИ корр)'!$AJ$25:$BC$459,,MATCH(BF$8,'Калькуляция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(МИ)'!$AJ$25:$BC$459,,MATCH(BF$8,'Калькуляция (МИ)'!$AJ$8:$BC$8,0)),'Калькуляция (МИ)'!$F$25:$F$459,$F90,'Калькуляция (МИ)'!$G$25:$G$459,$G90))))</f>
        <v>0</v>
      </c>
      <c r="BG90" s="214">
        <f ca="1">IF(BE90=0,0,(BF90-BE90)/BE90*100)</f>
        <v>0</v>
      </c>
      <c r="BH90" s="815"/>
      <c r="BI90" s="815"/>
      <c r="BJ90" s="214">
        <f>IF(BH90=0,0,(BI90-BH90)/BH90*100)</f>
        <v>0</v>
      </c>
      <c r="BK90" s="815"/>
      <c r="BL90" s="815"/>
      <c r="BM90" s="214">
        <f>IF(BK90=0,0,(BL90-BK90)/BK90*100)</f>
        <v>0</v>
      </c>
      <c r="BN90" s="815"/>
      <c r="BO90" s="815"/>
      <c r="BP90" s="214">
        <f>IF(BN90=0,0,(BO90-BN90)/BN90*100)</f>
        <v>0</v>
      </c>
      <c r="BQ90" s="815"/>
      <c r="BR90" s="815"/>
      <c r="BS90" s="214">
        <f>IF(BQ90=0,0,(BR90-BQ90)/BQ90*100)</f>
        <v>0</v>
      </c>
      <c r="BT90" s="815"/>
      <c r="BU90" s="815"/>
      <c r="BV90" s="214">
        <f>IF(BT90=0,0,(BU90-BT90)/BT90*100)</f>
        <v>0</v>
      </c>
      <c r="BW90" s="815"/>
      <c r="BX90" s="815"/>
      <c r="BY90" s="214">
        <f>IF(BW90=0,0,(BX90-BW90)/BW90*100)</f>
        <v>0</v>
      </c>
      <c r="BZ90" s="815"/>
      <c r="CA90" s="815"/>
      <c r="CB90" s="214">
        <f>IF(BZ90=0,0,(CA90-BZ90)/BZ90*100)</f>
        <v>0</v>
      </c>
      <c r="CC90" s="815"/>
      <c r="CD90" s="815"/>
      <c r="CE90" s="214">
        <f>IF(CC90=0,0,(CD90-CC90)/CC90*100)</f>
        <v>0</v>
      </c>
      <c r="CF90" s="815"/>
      <c r="CG90" s="815"/>
      <c r="CH90" s="214">
        <f>IF(CF90=0,0,(CG90-CF90)/CF90*100)</f>
        <v>0</v>
      </c>
      <c r="CI90" s="815"/>
      <c r="CJ90" s="815"/>
      <c r="CK90" s="214">
        <f>IF(CI90=0,0,(CJ90-CI90)/CI90*100)</f>
        <v>0</v>
      </c>
      <c r="CL90" s="815"/>
      <c r="CM90" s="815"/>
      <c r="CN90" s="214">
        <f>IF(CL90=0,0,(CM90-CL90)/CL90*100)</f>
        <v>0</v>
      </c>
      <c r="CO90" s="815"/>
      <c r="CP90" s="815"/>
      <c r="CQ90" s="214">
        <f>IF(CO90=0,0,(CP90-CO90)/CO90*100)</f>
        <v>0</v>
      </c>
      <c r="CR90" s="815"/>
      <c r="CS90" s="815"/>
      <c r="CT90" s="214">
        <f>IF(CR90=0,0,(CS90-CR90)/CR90*100)</f>
        <v>0</v>
      </c>
      <c r="CU90" s="815"/>
      <c r="CV90" s="815"/>
      <c r="CW90" s="214">
        <f>IF(CU90=0,0,(CV90-CU90)/CU90*100)</f>
        <v>0</v>
      </c>
      <c r="CX90" s="815"/>
      <c r="CY90" s="815"/>
      <c r="CZ90" s="214">
        <f>IF(CX90=0,0,(CY90-CX90)/CX90*100)</f>
        <v>0</v>
      </c>
      <c r="DA90" s="815"/>
      <c r="DB90" s="815"/>
      <c r="DC90" s="214">
        <f>IF(DA90=0,0,(DB90-DA90)/DA90*100)</f>
        <v>0</v>
      </c>
      <c r="DD90" s="815"/>
      <c r="DE90" s="815"/>
      <c r="DF90" s="214">
        <f>IF(DD90=0,0,(DE90-DD90)/DD90*100)</f>
        <v>0</v>
      </c>
      <c r="DG90" s="213"/>
      <c r="DH90" s="213"/>
      <c r="DI90" s="214">
        <f>IF(DG90=0,0,(DH90-DG90)/DG90*100)</f>
        <v>0</v>
      </c>
      <c r="DJ90" s="213"/>
      <c r="DK90" s="213"/>
      <c r="DL90" s="214">
        <f>IF(DJ90=0,0,(DK90-DJ90)/DJ90*100)</f>
        <v>0</v>
      </c>
      <c r="DM90" s="213"/>
      <c r="DN90" s="213"/>
      <c r="DO90" s="214">
        <f>IF(DM90=0,0,(DN90-DM90)/DM90*100)</f>
        <v>0</v>
      </c>
      <c r="DP90" s="213"/>
      <c r="DQ90" s="213"/>
      <c r="DR90" s="214">
        <f>IF(DP90=0,0,(DQ90-DP90)/DP90*100)</f>
        <v>0</v>
      </c>
      <c r="DS90" s="213"/>
      <c r="DT90" s="213"/>
      <c r="DU90" s="214">
        <f>IF(DS90=0,0,(DT90-DS90)/DS90*100)</f>
        <v>0</v>
      </c>
      <c r="DV90" s="213"/>
      <c r="DW90" s="213"/>
      <c r="DX90" s="214">
        <f>IF(DV90=0,0,(DW90-DV90)/DV90*100)</f>
        <v>0</v>
      </c>
      <c r="DY90" s="213"/>
      <c r="DZ90" s="213"/>
      <c r="EA90" s="214">
        <f>IF(DY90=0,0,(DZ90-DY90)/DY90*100)</f>
        <v>0</v>
      </c>
      <c r="EB90" s="213"/>
      <c r="EC90" s="213"/>
      <c r="ED90" s="214">
        <f>IF(EB90=0,0,(EC90-EB90)/EB90*100)</f>
        <v>0</v>
      </c>
      <c r="EE90" s="213"/>
      <c r="EF90" s="213"/>
      <c r="EG90" s="214">
        <f>IF(EE90=0,0,(EF90-EE90)/EE90*100)</f>
        <v>0</v>
      </c>
      <c r="EH90" s="213"/>
      <c r="EI90" s="213"/>
      <c r="EJ90" s="214">
        <f>IF(EH90=0,0,(EI90-EH90)/EH90*100)</f>
        <v>0</v>
      </c>
      <c r="EK90" s="213"/>
      <c r="EL90" s="213"/>
      <c r="EM90" s="214">
        <f>IF(EK90=0,0,(EL90-EK90)/EK90*100)</f>
        <v>0</v>
      </c>
      <c r="EN90" s="213"/>
      <c r="EO90" s="213"/>
      <c r="EP90" s="214">
        <f>IF(EN90=0,0,(EO90-EN90)/EN90*100)</f>
        <v>0</v>
      </c>
      <c r="EQ90" s="213"/>
      <c r="ER90" s="213"/>
      <c r="ES90" s="214">
        <f>IF(EQ90=0,0,(ER90-EQ90)/EQ90*100)</f>
        <v>0</v>
      </c>
      <c r="ET90" s="213"/>
      <c r="EU90" s="213"/>
      <c r="EV90" s="214">
        <f>IF(ET90=0,0,(EU90-ET90)/ET90*100)</f>
        <v>0</v>
      </c>
      <c r="EW90" s="213"/>
      <c r="EX90" s="213"/>
      <c r="EY90" s="214">
        <f>IF(EW90=0,0,(EX90-EW90)/EW90*100)</f>
        <v>0</v>
      </c>
      <c r="EZ90" s="213"/>
      <c r="FA90" s="213"/>
      <c r="FB90" s="214">
        <f>IF(EZ90=0,0,(FA90-EZ90)/EZ90*100)</f>
        <v>0</v>
      </c>
      <c r="FC90" s="213"/>
      <c r="FD90" s="213"/>
      <c r="FE90" s="214">
        <f>IF(FC90=0,0,(FD90-FC90)/FC90*100)</f>
        <v>0</v>
      </c>
      <c r="FF90" s="213"/>
      <c r="FG90" s="213"/>
      <c r="FH90" s="214">
        <f>IF(FF90=0,0,(FG90-FF90)/FF90*100)</f>
        <v>0</v>
      </c>
      <c r="FI90" s="213"/>
      <c r="FJ90" s="213"/>
      <c r="FK90" s="214">
        <f>IF(FI90=0,0,(FJ90-FI90)/FI90*100)</f>
        <v>0</v>
      </c>
      <c r="FL90" s="213"/>
      <c r="FM90" s="213"/>
      <c r="FN90" s="214">
        <f>IF(FL90=0,0,(FM90-FL90)/FL90*100)</f>
        <v>0</v>
      </c>
      <c r="FO90" s="213"/>
      <c r="FP90" s="213"/>
      <c r="FQ90" s="214">
        <f>IF(FO90=0,0,(FP90-FO90)/FO90*100)</f>
        <v>0</v>
      </c>
      <c r="FR90" s="213"/>
      <c r="FS90" s="213"/>
      <c r="FT90" s="214">
        <f>IF(FR90=0,0,(FS90-FR90)/FR90*100)</f>
        <v>0</v>
      </c>
      <c r="FU90" s="213"/>
      <c r="FV90" s="213"/>
      <c r="FW90" s="214">
        <f>IF(FU90=0,0,(FV90-FU90)/FU90*100)</f>
        <v>0</v>
      </c>
      <c r="FX90" s="210"/>
      <c r="FY90" s="210"/>
      <c r="FZ90" s="964" t="s">
        <v>1589</v>
      </c>
      <c r="GA90" s="964"/>
      <c r="GB90" s="964"/>
      <c r="GC90" s="965"/>
      <c r="GD90" s="965"/>
    </row>
    <row r="91" spans="1:186" s="1450" customFormat="1" ht="23.25" customHeight="1" x14ac:dyDescent="0.15">
      <c r="A91" s="813"/>
      <c r="B91" s="837" t="b" cm="1">
        <f t="array" ref="B91">B90</f>
        <v>1</v>
      </c>
      <c r="C91" s="813"/>
      <c r="D91" s="813"/>
      <c r="E91" s="814">
        <v>24.5</v>
      </c>
      <c r="F91" s="3" t="str" cm="1">
        <f t="array" aca="1" ref="F91" ca="1">OFFSET(E91,-1,1)</f>
        <v>1</v>
      </c>
      <c r="G91" s="416" t="s">
        <v>1590</v>
      </c>
      <c r="H91" s="416" t="s">
        <v>494</v>
      </c>
      <c r="I91" s="416" t="s">
        <v>1591</v>
      </c>
      <c r="J91" s="813"/>
      <c r="K91" s="813"/>
      <c r="L91" s="416"/>
      <c r="M91" s="813"/>
      <c r="N91" s="813"/>
      <c r="O91" s="813"/>
      <c r="P91" s="813"/>
      <c r="Q91" s="813"/>
      <c r="R91" s="813"/>
      <c r="S91" s="416"/>
      <c r="T91" s="388" t="b" cm="1">
        <f t="array" ref="T91">T90</f>
        <v>1</v>
      </c>
      <c r="U91" s="813"/>
      <c r="V91" s="813"/>
      <c r="W91" s="813"/>
      <c r="X91" s="2066"/>
      <c r="Y91" s="813"/>
      <c r="Z91" s="2011"/>
      <c r="AA91" s="813"/>
      <c r="AB91" s="211" t="s">
        <v>1592</v>
      </c>
      <c r="AC91" s="212" t="s">
        <v>1588</v>
      </c>
      <c r="AD91" s="815">
        <f ca="1">IF(AND(method_reg="Метод индексации",god&lt;&gt;first_year),SUMIFS(INDEX('Калькуляция (МИ корр)'!$AJ$25:$BC$459,,MATCH(AD$8,'Калькуляция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(МИ)'!$AJ$25:$BC$459,,MATCH(AD$8,'Калькуляция (МИ)'!$AJ$8:$BC$8,0)),'Калькуляция (МИ)'!$F$25:$F$459,$F91,'Калькуляция (МИ)'!$G$25:$G$459,$G91))))</f>
        <v>70.069999999999993</v>
      </c>
      <c r="AE91" s="815">
        <f ca="1">IF(AND(method_reg="Метод индексации",god&lt;&gt;first_year),SUMIFS(INDEX('Калькуляция (МИ корр)'!$AJ$25:$BC$459,,MATCH(AE$8,'Калькуляция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(МИ)'!$AJ$25:$BC$459,,MATCH(AE$8,'Калькуляция (МИ)'!$AJ$8:$BC$8,0)),'Калькуляция (МИ)'!$F$25:$F$459,$F91,'Калькуляция (МИ)'!$G$25:$G$459,$G91))))</f>
        <v>57.37</v>
      </c>
      <c r="AF91" s="214">
        <f ca="1">IF(AD91=0,0,(AE91-AD91)/AD91*100)</f>
        <v>-18.124732410446693</v>
      </c>
      <c r="AG91" s="1441">
        <f ca="1">IF(AND(method_reg="Метод индексации",god&lt;&gt;first_year),SUMIFS(INDEX('Калькуляция (МИ корр)'!$AJ$25:$BC$459,,MATCH(AG$8,'Калькуляция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(МИ)'!$AJ$25:$BC$459,,MATCH(AG$8,'Калькуляция (МИ)'!$AJ$8:$BC$8,0)),'Калькуляция (МИ)'!$F$25:$F$459,$F91,'Калькуляция (МИ)'!$G$25:$G$459,$G91))))</f>
        <v>62.907293322900003</v>
      </c>
      <c r="AH91" s="1441">
        <f ca="1">IF(AND(method_reg="Метод индексации",god&lt;&gt;first_year),SUMIFS(INDEX('Калькуляция (МИ корр)'!$AJ$25:$BC$459,,MATCH(AH$8,'Калькуляция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(МИ)'!$AJ$25:$BC$459,,MATCH(AH$8,'Калькуляция (МИ)'!$AJ$8:$BC$8,0)),'Калькуляция (МИ)'!$F$25:$F$459,$F91,'Калькуляция (МИ)'!$G$25:$G$459,$G91))))</f>
        <v>55.3720632705</v>
      </c>
      <c r="AI91" s="214">
        <f ca="1">IF(AG91=0,0,(AH91-AG91)/AG91*100)</f>
        <v>-11.978309118661397</v>
      </c>
      <c r="AJ91" s="1441">
        <f ca="1">IF(AND(method_reg="Метод индексации",god&lt;&gt;first_year),SUMIFS(INDEX('Калькуляция (МИ корр)'!$AJ$25:$BC$459,,MATCH(AJ$8,'Калькуляция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(МИ)'!$AJ$25:$BC$459,,MATCH(AJ$8,'Калькуляция (МИ)'!$AJ$8:$BC$8,0)),'Калькуляция (МИ)'!$F$25:$F$459,$F91,'Калькуляция (МИ)'!$G$25:$G$459,$G91))))</f>
        <v>65.263337262799993</v>
      </c>
      <c r="AK91" s="1441">
        <f ca="1">IF(AND(method_reg="Метод индексации",god&lt;&gt;first_year),SUMIFS(INDEX('Калькуляция (МИ корр)'!$AJ$25:$BC$459,,MATCH(AK$8,'Калькуляция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(МИ)'!$AJ$25:$BC$459,,MATCH(AK$8,'Калькуляция (МИ)'!$AJ$8:$BC$8,0)),'Калькуляция (МИ)'!$F$25:$F$459,$F91,'Калькуляция (МИ)'!$G$25:$G$459,$G91))))</f>
        <v>57.603738131900002</v>
      </c>
      <c r="AL91" s="214">
        <f ca="1">IF(AJ91=0,0,(AK91-AJ91)/AJ91*100)</f>
        <v>-11.736450283038087</v>
      </c>
      <c r="AM91" s="1441">
        <f ca="1">IF(AND(method_reg="Метод индексации",god&lt;&gt;first_year),SUMIFS(INDEX('Калькуляция (МИ корр)'!$AJ$25:$BC$459,,MATCH(AM$8,'Калькуляция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(МИ)'!$AJ$25:$BC$459,,MATCH(AM$8,'Калькуляция (МИ)'!$AJ$8:$BC$8,0)),'Калькуляция (МИ)'!$F$25:$F$459,$F91,'Калькуляция (МИ)'!$G$25:$G$459,$G91))))</f>
        <v>67.739464045600002</v>
      </c>
      <c r="AN91" s="1441">
        <f ca="1">IF(AND(method_reg="Метод индексации",god&lt;&gt;first_year),SUMIFS(INDEX('Калькуляция (МИ корр)'!$AJ$25:$BC$459,,MATCH(AN$8,'Калькуляция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(МИ)'!$AJ$25:$BC$459,,MATCH(AN$8,'Калькуляция (МИ)'!$AJ$8:$BC$8,0)),'Калькуляция (МИ)'!$F$25:$F$459,$F91,'Калькуляция (МИ)'!$G$25:$G$459,$G91))))</f>
        <v>60.597604509</v>
      </c>
      <c r="AO91" s="214">
        <f ca="1">IF(AM91=0,0,(AN91-AM91)/AM91*100)</f>
        <v>-10.543129676656926</v>
      </c>
      <c r="AP91" s="1441">
        <f ca="1">IF(AND(method_reg="Метод индексации",god&lt;&gt;first_year),SUMIFS(INDEX('Калькуляция (МИ корр)'!$AJ$25:$BC$459,,MATCH(AP$8,'Калькуляция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(МИ)'!$AJ$25:$BC$459,,MATCH(AP$8,'Калькуляция (МИ)'!$AJ$8:$BC$8,0)),'Калькуляция (МИ)'!$F$25:$F$459,$F91,'Калькуляция (МИ)'!$G$25:$G$459,$G91))))</f>
        <v>70.222836525000005</v>
      </c>
      <c r="AQ91" s="1441">
        <f ca="1">IF(AND(method_reg="Метод индексации",god&lt;&gt;first_year),SUMIFS(INDEX('Калькуляция (МИ корр)'!$AJ$25:$BC$459,,MATCH(AQ$8,'Калькуляция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(МИ)'!$AJ$25:$BC$459,,MATCH(AQ$8,'Калькуляция (МИ)'!$AJ$8:$BC$8,0)),'Калькуляция (МИ)'!$F$25:$F$459,$F91,'Калькуляция (МИ)'!$G$25:$G$459,$G91))))</f>
        <v>62.68954213</v>
      </c>
      <c r="AR91" s="214">
        <f ca="1">IF(AP91=0,0,(AQ91-AP91)/AP91*100)</f>
        <v>-10.727698805385169</v>
      </c>
      <c r="AS91" s="1441">
        <f ca="1">IF(AND(method_reg="Метод индексации",god&lt;&gt;first_year),SUMIFS(INDEX('Калькуляция (МИ корр)'!$AJ$25:$BC$459,,MATCH(AS$8,'Калькуляция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(МИ)'!$AJ$25:$BC$459,,MATCH(AS$8,'Калькуляция (МИ)'!$AJ$8:$BC$8,0)),'Калькуляция (МИ)'!$F$25:$F$459,$F91,'Калькуляция (МИ)'!$G$25:$G$459,$G91))))</f>
        <v>72.810328324799997</v>
      </c>
      <c r="AT91" s="1441">
        <f ca="1">IF(AND(method_reg="Метод индексации",god&lt;&gt;first_year),SUMIFS(INDEX('Калькуляция (МИ корр)'!$AJ$25:$BC$459,,MATCH(AT$8,'Калькуляция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(МИ)'!$AJ$25:$BC$459,,MATCH(AT$8,'Калькуляция (МИ)'!$AJ$8:$BC$8,0)),'Калькуляция (МИ)'!$F$25:$F$459,$F91,'Калькуляция (МИ)'!$G$25:$G$459,$G91))))</f>
        <v>64.913726668099997</v>
      </c>
      <c r="AU91" s="214">
        <f ca="1">IF(AS91=0,0,(AT91-AS91)/AS91*100)</f>
        <v>-10.84544162673461</v>
      </c>
      <c r="AV91" s="1441">
        <f ca="1">IF(AND(method_reg="Метод индексации",god&lt;&gt;first_year),SUMIFS(INDEX('Калькуляция (МИ корр)'!$AJ$25:$BC$459,,MATCH(AV$8,'Калькуляция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(МИ)'!$AJ$25:$BC$459,,MATCH(AV$8,'Калькуляция (МИ)'!$AJ$8:$BC$8,0)),'Калькуляция (МИ)'!$F$25:$F$459,$F91,'Калькуляция (МИ)'!$G$25:$G$459,$G91))))</f>
        <v>75.586172871299993</v>
      </c>
      <c r="AW91" s="1441">
        <f ca="1">IF(AND(method_reg="Метод индексации",god&lt;&gt;first_year),SUMIFS(INDEX('Калькуляция (МИ корр)'!$AJ$25:$BC$459,,MATCH(AW$8,'Калькуляция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(МИ)'!$AJ$25:$BC$459,,MATCH(AW$8,'Калькуляция (МИ)'!$AJ$8:$BC$8,0)),'Калькуляция (МИ)'!$F$25:$F$459,$F91,'Калькуляция (МИ)'!$G$25:$G$459,$G91))))</f>
        <v>66.856127181900007</v>
      </c>
      <c r="AX91" s="214">
        <f ca="1">IF(AV91=0,0,(AW91-AV91)/AV91*100)</f>
        <v>-11.549791923272222</v>
      </c>
      <c r="AY91" s="815">
        <f ca="1">IF(AND(method_reg="Метод индексации",god&lt;&gt;first_year),SUMIFS(INDEX('Калькуляция (МИ корр)'!$AJ$25:$BC$459,,MATCH(AY$8,'Калькуляция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(МИ)'!$AJ$25:$BC$459,,MATCH(AY$8,'Калькуляция (МИ)'!$AJ$8:$BC$8,0)),'Калькуляция (МИ)'!$F$25:$F$459,$F91,'Калькуляция (МИ)'!$G$25:$G$459,$G91))))</f>
        <v>0</v>
      </c>
      <c r="AZ91" s="815">
        <f ca="1">IF(AND(method_reg="Метод индексации",god&lt;&gt;first_year),SUMIFS(INDEX('Калькуляция (МИ корр)'!$AJ$25:$BC$459,,MATCH(AZ$8,'Калькуляция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(МИ)'!$AJ$25:$BC$459,,MATCH(AZ$8,'Калькуляция (МИ)'!$AJ$8:$BC$8,0)),'Калькуляция (МИ)'!$F$25:$F$459,$F91,'Калькуляция (МИ)'!$G$25:$G$459,$G91))))</f>
        <v>0</v>
      </c>
      <c r="BA91" s="214">
        <f ca="1">IF(AY91=0,0,(AZ91-AY91)/AY91*100)</f>
        <v>0</v>
      </c>
      <c r="BB91" s="815">
        <f ca="1">IF(AND(method_reg="Метод индексации",god&lt;&gt;first_year),SUMIFS(INDEX('Калькуляция (МИ корр)'!$AJ$25:$BC$459,,MATCH(BB$8,'Калькуляция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(МИ)'!$AJ$25:$BC$459,,MATCH(BB$8,'Калькуляция (МИ)'!$AJ$8:$BC$8,0)),'Калькуляция (МИ)'!$F$25:$F$459,$F91,'Калькуляция (МИ)'!$G$25:$G$459,$G91))))</f>
        <v>0</v>
      </c>
      <c r="BC91" s="815">
        <f ca="1">IF(AND(method_reg="Метод индексации",god&lt;&gt;first_year),SUMIFS(INDEX('Калькуляция (МИ корр)'!$AJ$25:$BC$459,,MATCH(BC$8,'Калькуляция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(МИ)'!$AJ$25:$BC$459,,MATCH(BC$8,'Калькуляция (МИ)'!$AJ$8:$BC$8,0)),'Калькуляция (МИ)'!$F$25:$F$459,$F91,'Калькуляция (МИ)'!$G$25:$G$459,$G91))))</f>
        <v>0</v>
      </c>
      <c r="BD91" s="214">
        <f ca="1">IF(BB91=0,0,(BC91-BB91)/BB91*100)</f>
        <v>0</v>
      </c>
      <c r="BE91" s="815">
        <f ca="1">IF(AND(method_reg="Метод индексации",god&lt;&gt;first_year),SUMIFS(INDEX('Калькуляция (МИ корр)'!$AJ$25:$BC$459,,MATCH(BE$8,'Калькуляция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(МИ)'!$AJ$25:$BC$459,,MATCH(BE$8,'Калькуляция (МИ)'!$AJ$8:$BC$8,0)),'Калькуляция (МИ)'!$F$25:$F$459,$F91,'Калькуляция (МИ)'!$G$25:$G$459,$G91))))</f>
        <v>0</v>
      </c>
      <c r="BF91" s="815">
        <f ca="1">IF(AND(method_reg="Метод индексации",god&lt;&gt;first_year),SUMIFS(INDEX('Калькуляция (МИ корр)'!$AJ$25:$BC$459,,MATCH(BF$8,'Калькуляция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(МИ)'!$AJ$25:$BC$459,,MATCH(BF$8,'Калькуляция (МИ)'!$AJ$8:$BC$8,0)),'Калькуляция (МИ)'!$F$25:$F$459,$F91,'Калькуляция (МИ)'!$G$25:$G$459,$G91))))</f>
        <v>0</v>
      </c>
      <c r="BG91" s="214">
        <f ca="1">IF(BE91=0,0,(BF91-BE91)/BE91*100)</f>
        <v>0</v>
      </c>
      <c r="BH91" s="815"/>
      <c r="BI91" s="815"/>
      <c r="BJ91" s="214">
        <f>IF(BH91=0,0,(BI91-BH91)/BH91*100)</f>
        <v>0</v>
      </c>
      <c r="BK91" s="815"/>
      <c r="BL91" s="815"/>
      <c r="BM91" s="214">
        <f>IF(BK91=0,0,(BL91-BK91)/BK91*100)</f>
        <v>0</v>
      </c>
      <c r="BN91" s="815"/>
      <c r="BO91" s="815"/>
      <c r="BP91" s="214">
        <f>IF(BN91=0,0,(BO91-BN91)/BN91*100)</f>
        <v>0</v>
      </c>
      <c r="BQ91" s="815"/>
      <c r="BR91" s="815"/>
      <c r="BS91" s="214">
        <f>IF(BQ91=0,0,(BR91-BQ91)/BQ91*100)</f>
        <v>0</v>
      </c>
      <c r="BT91" s="815"/>
      <c r="BU91" s="815"/>
      <c r="BV91" s="214">
        <f>IF(BT91=0,0,(BU91-BT91)/BT91*100)</f>
        <v>0</v>
      </c>
      <c r="BW91" s="815"/>
      <c r="BX91" s="815"/>
      <c r="BY91" s="214">
        <f>IF(BW91=0,0,(BX91-BW91)/BW91*100)</f>
        <v>0</v>
      </c>
      <c r="BZ91" s="815"/>
      <c r="CA91" s="815"/>
      <c r="CB91" s="214">
        <f>IF(BZ91=0,0,(CA91-BZ91)/BZ91*100)</f>
        <v>0</v>
      </c>
      <c r="CC91" s="815"/>
      <c r="CD91" s="815"/>
      <c r="CE91" s="214">
        <f>IF(CC91=0,0,(CD91-CC91)/CC91*100)</f>
        <v>0</v>
      </c>
      <c r="CF91" s="815"/>
      <c r="CG91" s="815"/>
      <c r="CH91" s="214">
        <f>IF(CF91=0,0,(CG91-CF91)/CF91*100)</f>
        <v>0</v>
      </c>
      <c r="CI91" s="815"/>
      <c r="CJ91" s="815"/>
      <c r="CK91" s="214">
        <f>IF(CI91=0,0,(CJ91-CI91)/CI91*100)</f>
        <v>0</v>
      </c>
      <c r="CL91" s="815"/>
      <c r="CM91" s="815"/>
      <c r="CN91" s="214">
        <f>IF(CL91=0,0,(CM91-CL91)/CL91*100)</f>
        <v>0</v>
      </c>
      <c r="CO91" s="815"/>
      <c r="CP91" s="815"/>
      <c r="CQ91" s="214">
        <f>IF(CO91=0,0,(CP91-CO91)/CO91*100)</f>
        <v>0</v>
      </c>
      <c r="CR91" s="815"/>
      <c r="CS91" s="815"/>
      <c r="CT91" s="214">
        <f>IF(CR91=0,0,(CS91-CR91)/CR91*100)</f>
        <v>0</v>
      </c>
      <c r="CU91" s="815"/>
      <c r="CV91" s="815"/>
      <c r="CW91" s="214">
        <f>IF(CU91=0,0,(CV91-CU91)/CU91*100)</f>
        <v>0</v>
      </c>
      <c r="CX91" s="815"/>
      <c r="CY91" s="815"/>
      <c r="CZ91" s="214">
        <f>IF(CX91=0,0,(CY91-CX91)/CX91*100)</f>
        <v>0</v>
      </c>
      <c r="DA91" s="815"/>
      <c r="DB91" s="815"/>
      <c r="DC91" s="214">
        <f>IF(DA91=0,0,(DB91-DA91)/DA91*100)</f>
        <v>0</v>
      </c>
      <c r="DD91" s="815"/>
      <c r="DE91" s="815"/>
      <c r="DF91" s="214">
        <f>IF(DD91=0,0,(DE91-DD91)/DD91*100)</f>
        <v>0</v>
      </c>
      <c r="DG91" s="213"/>
      <c r="DH91" s="213"/>
      <c r="DI91" s="214">
        <f>IF(DG91=0,0,(DH91-DG91)/DG91*100)</f>
        <v>0</v>
      </c>
      <c r="DJ91" s="213"/>
      <c r="DK91" s="213"/>
      <c r="DL91" s="214">
        <f>IF(DJ91=0,0,(DK91-DJ91)/DJ91*100)</f>
        <v>0</v>
      </c>
      <c r="DM91" s="213"/>
      <c r="DN91" s="213"/>
      <c r="DO91" s="214">
        <f>IF(DM91=0,0,(DN91-DM91)/DM91*100)</f>
        <v>0</v>
      </c>
      <c r="DP91" s="213"/>
      <c r="DQ91" s="213"/>
      <c r="DR91" s="214">
        <f>IF(DP91=0,0,(DQ91-DP91)/DP91*100)</f>
        <v>0</v>
      </c>
      <c r="DS91" s="213"/>
      <c r="DT91" s="213"/>
      <c r="DU91" s="214">
        <f>IF(DS91=0,0,(DT91-DS91)/DS91*100)</f>
        <v>0</v>
      </c>
      <c r="DV91" s="213"/>
      <c r="DW91" s="213"/>
      <c r="DX91" s="214">
        <f>IF(DV91=0,0,(DW91-DV91)/DV91*100)</f>
        <v>0</v>
      </c>
      <c r="DY91" s="213"/>
      <c r="DZ91" s="213"/>
      <c r="EA91" s="214">
        <f>IF(DY91=0,0,(DZ91-DY91)/DY91*100)</f>
        <v>0</v>
      </c>
      <c r="EB91" s="213"/>
      <c r="EC91" s="213"/>
      <c r="ED91" s="214">
        <f>IF(EB91=0,0,(EC91-EB91)/EB91*100)</f>
        <v>0</v>
      </c>
      <c r="EE91" s="213"/>
      <c r="EF91" s="213"/>
      <c r="EG91" s="214">
        <f>IF(EE91=0,0,(EF91-EE91)/EE91*100)</f>
        <v>0</v>
      </c>
      <c r="EH91" s="213"/>
      <c r="EI91" s="213"/>
      <c r="EJ91" s="214">
        <f>IF(EH91=0,0,(EI91-EH91)/EH91*100)</f>
        <v>0</v>
      </c>
      <c r="EK91" s="213"/>
      <c r="EL91" s="213"/>
      <c r="EM91" s="214">
        <f>IF(EK91=0,0,(EL91-EK91)/EK91*100)</f>
        <v>0</v>
      </c>
      <c r="EN91" s="213"/>
      <c r="EO91" s="213"/>
      <c r="EP91" s="214">
        <f>IF(EN91=0,0,(EO91-EN91)/EN91*100)</f>
        <v>0</v>
      </c>
      <c r="EQ91" s="213"/>
      <c r="ER91" s="213"/>
      <c r="ES91" s="214">
        <f>IF(EQ91=0,0,(ER91-EQ91)/EQ91*100)</f>
        <v>0</v>
      </c>
      <c r="ET91" s="213"/>
      <c r="EU91" s="213"/>
      <c r="EV91" s="214">
        <f>IF(ET91=0,0,(EU91-ET91)/ET91*100)</f>
        <v>0</v>
      </c>
      <c r="EW91" s="213"/>
      <c r="EX91" s="213"/>
      <c r="EY91" s="214">
        <f>IF(EW91=0,0,(EX91-EW91)/EW91*100)</f>
        <v>0</v>
      </c>
      <c r="EZ91" s="213"/>
      <c r="FA91" s="213"/>
      <c r="FB91" s="214">
        <f>IF(EZ91=0,0,(FA91-EZ91)/EZ91*100)</f>
        <v>0</v>
      </c>
      <c r="FC91" s="213"/>
      <c r="FD91" s="213"/>
      <c r="FE91" s="214">
        <f>IF(FC91=0,0,(FD91-FC91)/FC91*100)</f>
        <v>0</v>
      </c>
      <c r="FF91" s="213"/>
      <c r="FG91" s="213"/>
      <c r="FH91" s="214">
        <f>IF(FF91=0,0,(FG91-FF91)/FF91*100)</f>
        <v>0</v>
      </c>
      <c r="FI91" s="213"/>
      <c r="FJ91" s="213"/>
      <c r="FK91" s="214">
        <f>IF(FI91=0,0,(FJ91-FI91)/FI91*100)</f>
        <v>0</v>
      </c>
      <c r="FL91" s="213"/>
      <c r="FM91" s="213"/>
      <c r="FN91" s="214">
        <f>IF(FL91=0,0,(FM91-FL91)/FL91*100)</f>
        <v>0</v>
      </c>
      <c r="FO91" s="213"/>
      <c r="FP91" s="213"/>
      <c r="FQ91" s="214">
        <f>IF(FO91=0,0,(FP91-FO91)/FO91*100)</f>
        <v>0</v>
      </c>
      <c r="FR91" s="213"/>
      <c r="FS91" s="213"/>
      <c r="FT91" s="214">
        <f>IF(FR91=0,0,(FS91-FR91)/FR91*100)</f>
        <v>0</v>
      </c>
      <c r="FU91" s="213"/>
      <c r="FV91" s="213"/>
      <c r="FW91" s="214">
        <f>IF(FU91=0,0,(FV91-FU91)/FU91*100)</f>
        <v>0</v>
      </c>
      <c r="FX91" s="210"/>
      <c r="FY91" s="210"/>
      <c r="FZ91" s="964" t="s">
        <v>1593</v>
      </c>
      <c r="GA91" s="964"/>
      <c r="GB91" s="964"/>
      <c r="GC91" s="965"/>
      <c r="GD91" s="965"/>
    </row>
    <row r="92" spans="1:186" s="1334" customFormat="1" ht="14.25" customHeight="1" x14ac:dyDescent="0.15">
      <c r="A92" s="416"/>
      <c r="B92" s="837" t="b" cm="1">
        <f t="array" ref="B92">B91</f>
        <v>1</v>
      </c>
      <c r="C92" s="416"/>
      <c r="D92" s="416"/>
      <c r="E92" s="759">
        <v>15</v>
      </c>
      <c r="F92" s="3" t="str" cm="1">
        <f t="array" aca="1" ref="F92" ca="1">OFFSET(E92,-1,1)</f>
        <v>1</v>
      </c>
      <c r="G92" s="416"/>
      <c r="H92" s="416" t="s">
        <v>498</v>
      </c>
      <c r="I92" s="416" t="s">
        <v>1594</v>
      </c>
      <c r="J92" s="416"/>
      <c r="K92" s="416"/>
      <c r="L92" s="416"/>
      <c r="M92" s="416"/>
      <c r="N92" s="416"/>
      <c r="O92" s="416"/>
      <c r="P92" s="416"/>
      <c r="Q92" s="416"/>
      <c r="R92" s="416"/>
      <c r="S92" s="416"/>
      <c r="T92" s="388" t="b" cm="1">
        <f t="array" ref="T92">T91</f>
        <v>1</v>
      </c>
      <c r="U92" s="416"/>
      <c r="V92" s="416"/>
      <c r="W92" s="416"/>
      <c r="X92" s="2066"/>
      <c r="Y92" s="416"/>
      <c r="Z92" s="2011"/>
      <c r="AA92" s="416"/>
      <c r="AB92" s="999" t="s">
        <v>1595</v>
      </c>
      <c r="AC92" s="783" t="s">
        <v>490</v>
      </c>
      <c r="AD92" s="1002">
        <f ca="1">IF(AD90=0,0,AD91/AD90)*100</f>
        <v>100</v>
      </c>
      <c r="AE92" s="1002">
        <f ca="1">IF(AE90=0,0,AE91/AE90)*100</f>
        <v>114.02439951166612</v>
      </c>
      <c r="AF92" s="1003"/>
      <c r="AG92" s="1002">
        <f ca="1">IF(AG90=0,0,AG91/AG90)*100</f>
        <v>100</v>
      </c>
      <c r="AH92" s="1002">
        <f ca="1">IF(AH90=0,0,AH91/AH90)*100</f>
        <v>104.61990555544021</v>
      </c>
      <c r="AI92" s="1003"/>
      <c r="AJ92" s="1002">
        <f ca="1">IF(AJ90=0,0,AJ91/AJ90)*100</f>
        <v>100</v>
      </c>
      <c r="AK92" s="1002">
        <f ca="1">IF(AK90=0,0,AK91/AK90)*100</f>
        <v>104.03032635879572</v>
      </c>
      <c r="AL92" s="1003"/>
      <c r="AM92" s="1002">
        <f ca="1">IF(AM90=0,0,AM91/AM90)*100</f>
        <v>100</v>
      </c>
      <c r="AN92" s="1002">
        <f ca="1">IF(AN90=0,0,AN91/AN90)*100</f>
        <v>105.19734738437407</v>
      </c>
      <c r="AO92" s="1003"/>
      <c r="AP92" s="1002">
        <f ca="1">IF(AP90=0,0,AP91/AP90)*100</f>
        <v>100</v>
      </c>
      <c r="AQ92" s="1002">
        <f ca="1">IF(AQ90=0,0,AQ91/AQ90)*100</f>
        <v>103.45217874196547</v>
      </c>
      <c r="AR92" s="1003"/>
      <c r="AS92" s="1002">
        <f ca="1">IF(AS90=0,0,AS91/AS90)*100</f>
        <v>100</v>
      </c>
      <c r="AT92" s="1002">
        <f ca="1">IF(AT90=0,0,AT91/AT90)*100</f>
        <v>103.54793552884416</v>
      </c>
      <c r="AU92" s="1003"/>
      <c r="AV92" s="1002">
        <f ca="1">IF(AV90=0,0,AV91/AV90)*100</f>
        <v>100</v>
      </c>
      <c r="AW92" s="1002">
        <f ca="1">IF(AW90=0,0,AW91/AW90)*100</f>
        <v>102.99228008234897</v>
      </c>
      <c r="AX92" s="1003"/>
      <c r="AY92" s="1002">
        <f ca="1">IF(AY90=0,0,AY91/AY90)*100</f>
        <v>0</v>
      </c>
      <c r="AZ92" s="1002">
        <f ca="1">IF(AZ90=0,0,AZ91/AZ90)*100</f>
        <v>0</v>
      </c>
      <c r="BA92" s="1003"/>
      <c r="BB92" s="1002">
        <f ca="1">IF(BB90=0,0,BB91/BB90)*100</f>
        <v>0</v>
      </c>
      <c r="BC92" s="1002">
        <f ca="1">IF(BC90=0,0,BC91/BC90)*100</f>
        <v>0</v>
      </c>
      <c r="BD92" s="1003"/>
      <c r="BE92" s="1002">
        <f ca="1">IF(BE90=0,0,BE91/BE90)*100</f>
        <v>0</v>
      </c>
      <c r="BF92" s="1002">
        <f ca="1">IF(BF90=0,0,BF91/BF90)*100</f>
        <v>0</v>
      </c>
      <c r="BG92" s="1003"/>
      <c r="BH92" s="1002">
        <f>IF(BH90=0,0,BH91/BH90)*100</f>
        <v>0</v>
      </c>
      <c r="BI92" s="1002">
        <f>IF(BI90=0,0,BI91/BI90)*100</f>
        <v>0</v>
      </c>
      <c r="BJ92" s="1003"/>
      <c r="BK92" s="1002">
        <f>IF(BK90=0,0,BK91/BK90)*100</f>
        <v>0</v>
      </c>
      <c r="BL92" s="1002">
        <f>IF(BL90=0,0,BL91/BL90)*100</f>
        <v>0</v>
      </c>
      <c r="BM92" s="1003"/>
      <c r="BN92" s="1002">
        <f>IF(BN90=0,0,BN91/BN90)*100</f>
        <v>0</v>
      </c>
      <c r="BO92" s="1002">
        <f>IF(BO90=0,0,BO91/BO90)*100</f>
        <v>0</v>
      </c>
      <c r="BP92" s="1003"/>
      <c r="BQ92" s="1002">
        <f>IF(BQ90=0,0,BQ91/BQ90)*100</f>
        <v>0</v>
      </c>
      <c r="BR92" s="1002">
        <f>IF(BR90=0,0,BR91/BR90)*100</f>
        <v>0</v>
      </c>
      <c r="BS92" s="1003"/>
      <c r="BT92" s="1002">
        <f>IF(BT90=0,0,BT91/BT90)*100</f>
        <v>0</v>
      </c>
      <c r="BU92" s="1002">
        <f>IF(BU90=0,0,BU91/BU90)*100</f>
        <v>0</v>
      </c>
      <c r="BV92" s="1003"/>
      <c r="BW92" s="1002">
        <f>IF(BW90=0,0,BW91/BW90)*100</f>
        <v>0</v>
      </c>
      <c r="BX92" s="1002">
        <f>IF(BX90=0,0,BX91/BX90)*100</f>
        <v>0</v>
      </c>
      <c r="BY92" s="1003"/>
      <c r="BZ92" s="1002">
        <f>IF(BZ90=0,0,BZ91/BZ90)*100</f>
        <v>0</v>
      </c>
      <c r="CA92" s="1002">
        <f>IF(CA90=0,0,CA91/CA90)*100</f>
        <v>0</v>
      </c>
      <c r="CB92" s="1003"/>
      <c r="CC92" s="1002">
        <f>IF(CC90=0,0,CC91/CC90)*100</f>
        <v>0</v>
      </c>
      <c r="CD92" s="1002">
        <f>IF(CD90=0,0,CD91/CD90)*100</f>
        <v>0</v>
      </c>
      <c r="CE92" s="1003"/>
      <c r="CF92" s="1002">
        <f>IF(CF90=0,0,CF91/CF90)*100</f>
        <v>0</v>
      </c>
      <c r="CG92" s="1002">
        <f>IF(CG90=0,0,CG91/CG90)*100</f>
        <v>0</v>
      </c>
      <c r="CH92" s="1003"/>
      <c r="CI92" s="1002">
        <f>IF(CI90=0,0,CI91/CI90)*100</f>
        <v>0</v>
      </c>
      <c r="CJ92" s="1002">
        <f>IF(CJ90=0,0,CJ91/CJ90)*100</f>
        <v>0</v>
      </c>
      <c r="CK92" s="1003"/>
      <c r="CL92" s="1002">
        <f>IF(CL90=0,0,CL91/CL90)*100</f>
        <v>0</v>
      </c>
      <c r="CM92" s="1002">
        <f>IF(CM90=0,0,CM91/CM90)*100</f>
        <v>0</v>
      </c>
      <c r="CN92" s="1003"/>
      <c r="CO92" s="1002">
        <f>IF(CO90=0,0,CO91/CO90)*100</f>
        <v>0</v>
      </c>
      <c r="CP92" s="1002">
        <f>IF(CP90=0,0,CP91/CP90)*100</f>
        <v>0</v>
      </c>
      <c r="CQ92" s="1003"/>
      <c r="CR92" s="1002">
        <f>IF(CR90=0,0,CR91/CR90)*100</f>
        <v>0</v>
      </c>
      <c r="CS92" s="1002">
        <f>IF(CS90=0,0,CS91/CS90)*100</f>
        <v>0</v>
      </c>
      <c r="CT92" s="1003"/>
      <c r="CU92" s="1002">
        <f>IF(CU90=0,0,CU91/CU90)*100</f>
        <v>0</v>
      </c>
      <c r="CV92" s="1002">
        <f>IF(CV90=0,0,CV91/CV90)*100</f>
        <v>0</v>
      </c>
      <c r="CW92" s="1003"/>
      <c r="CX92" s="1002">
        <f>IF(CX90=0,0,CX91/CX90)*100</f>
        <v>0</v>
      </c>
      <c r="CY92" s="1002">
        <f>IF(CY90=0,0,CY91/CY90)*100</f>
        <v>0</v>
      </c>
      <c r="CZ92" s="1003"/>
      <c r="DA92" s="1002">
        <f>IF(DA90=0,0,DA91/DA90)*100</f>
        <v>0</v>
      </c>
      <c r="DB92" s="1002">
        <f>IF(DB90=0,0,DB91/DB90)*100</f>
        <v>0</v>
      </c>
      <c r="DC92" s="1003"/>
      <c r="DD92" s="1002">
        <f>IF(DD90=0,0,DD91/DD90)*100</f>
        <v>0</v>
      </c>
      <c r="DE92" s="1002">
        <f>IF(DE90=0,0,DE91/DE90)*100</f>
        <v>0</v>
      </c>
      <c r="DF92" s="1003"/>
      <c r="DG92" s="1002">
        <f>IF(DG90=0,0,DG91/DG90)*100</f>
        <v>0</v>
      </c>
      <c r="DH92" s="1002">
        <f>IF(DH90=0,0,DH91/DH90)*100</f>
        <v>0</v>
      </c>
      <c r="DI92" s="1003"/>
      <c r="DJ92" s="1002">
        <f>IF(DJ90=0,0,DJ91/DJ90)*100</f>
        <v>0</v>
      </c>
      <c r="DK92" s="1002">
        <f>IF(DK90=0,0,DK91/DK90)*100</f>
        <v>0</v>
      </c>
      <c r="DL92" s="1003"/>
      <c r="DM92" s="1002">
        <f>IF(DM90=0,0,DM91/DM90)*100</f>
        <v>0</v>
      </c>
      <c r="DN92" s="1002">
        <f>IF(DN90=0,0,DN91/DN90)*100</f>
        <v>0</v>
      </c>
      <c r="DO92" s="1003"/>
      <c r="DP92" s="1002">
        <f>IF(DP90=0,0,DP91/DP90)*100</f>
        <v>0</v>
      </c>
      <c r="DQ92" s="1002">
        <f>IF(DQ90=0,0,DQ91/DQ90)*100</f>
        <v>0</v>
      </c>
      <c r="DR92" s="1003"/>
      <c r="DS92" s="1002">
        <f>IF(DS90=0,0,DS91/DS90)*100</f>
        <v>0</v>
      </c>
      <c r="DT92" s="1002">
        <f>IF(DT90=0,0,DT91/DT90)*100</f>
        <v>0</v>
      </c>
      <c r="DU92" s="1003"/>
      <c r="DV92" s="1002">
        <f>IF(DV90=0,0,DV91/DV90)*100</f>
        <v>0</v>
      </c>
      <c r="DW92" s="1002">
        <f>IF(DW90=0,0,DW91/DW90)*100</f>
        <v>0</v>
      </c>
      <c r="DX92" s="1003"/>
      <c r="DY92" s="1002">
        <f>IF(DY90=0,0,DY91/DY90)*100</f>
        <v>0</v>
      </c>
      <c r="DZ92" s="1002">
        <f>IF(DZ90=0,0,DZ91/DZ90)*100</f>
        <v>0</v>
      </c>
      <c r="EA92" s="1003"/>
      <c r="EB92" s="1002">
        <f>IF(EB90=0,0,EB91/EB90)*100</f>
        <v>0</v>
      </c>
      <c r="EC92" s="1002">
        <f>IF(EC90=0,0,EC91/EC90)*100</f>
        <v>0</v>
      </c>
      <c r="ED92" s="1003"/>
      <c r="EE92" s="1002">
        <f>IF(EE90=0,0,EE91/EE90)*100</f>
        <v>0</v>
      </c>
      <c r="EF92" s="1002">
        <f>IF(EF90=0,0,EF91/EF90)*100</f>
        <v>0</v>
      </c>
      <c r="EG92" s="1003"/>
      <c r="EH92" s="1002">
        <f>IF(EH90=0,0,EH91/EH90)*100</f>
        <v>0</v>
      </c>
      <c r="EI92" s="1002">
        <f>IF(EI90=0,0,EI91/EI90)*100</f>
        <v>0</v>
      </c>
      <c r="EJ92" s="1003"/>
      <c r="EK92" s="1002">
        <f>IF(EK90=0,0,EK91/EK90)*100</f>
        <v>0</v>
      </c>
      <c r="EL92" s="1002">
        <f>IF(EL90=0,0,EL91/EL90)*100</f>
        <v>0</v>
      </c>
      <c r="EM92" s="1003"/>
      <c r="EN92" s="1002">
        <f>IF(EN90=0,0,EN91/EN90)*100</f>
        <v>0</v>
      </c>
      <c r="EO92" s="1002">
        <f>IF(EO90=0,0,EO91/EO90)*100</f>
        <v>0</v>
      </c>
      <c r="EP92" s="1003"/>
      <c r="EQ92" s="1002">
        <f>IF(EQ90=0,0,EQ91/EQ90)*100</f>
        <v>0</v>
      </c>
      <c r="ER92" s="1002">
        <f>IF(ER90=0,0,ER91/ER90)*100</f>
        <v>0</v>
      </c>
      <c r="ES92" s="1003"/>
      <c r="ET92" s="1002">
        <f>IF(ET90=0,0,ET91/ET90)*100</f>
        <v>0</v>
      </c>
      <c r="EU92" s="1002">
        <f>IF(EU90=0,0,EU91/EU90)*100</f>
        <v>0</v>
      </c>
      <c r="EV92" s="1003"/>
      <c r="EW92" s="1002">
        <f>IF(EW90=0,0,EW91/EW90)*100</f>
        <v>0</v>
      </c>
      <c r="EX92" s="1002">
        <f>IF(EX90=0,0,EX91/EX90)*100</f>
        <v>0</v>
      </c>
      <c r="EY92" s="1003"/>
      <c r="EZ92" s="1002">
        <f>IF(EZ90=0,0,EZ91/EZ90)*100</f>
        <v>0</v>
      </c>
      <c r="FA92" s="1002">
        <f>IF(FA90=0,0,FA91/FA90)*100</f>
        <v>0</v>
      </c>
      <c r="FB92" s="1003"/>
      <c r="FC92" s="1002">
        <f>IF(FC90=0,0,FC91/FC90)*100</f>
        <v>0</v>
      </c>
      <c r="FD92" s="1002">
        <f>IF(FD90=0,0,FD91/FD90)*100</f>
        <v>0</v>
      </c>
      <c r="FE92" s="1003"/>
      <c r="FF92" s="1002">
        <f>IF(FF90=0,0,FF91/FF90)*100</f>
        <v>0</v>
      </c>
      <c r="FG92" s="1002">
        <f>IF(FG90=0,0,FG91/FG90)*100</f>
        <v>0</v>
      </c>
      <c r="FH92" s="1003"/>
      <c r="FI92" s="1002">
        <f>IF(FI90=0,0,FI91/FI90)*100</f>
        <v>0</v>
      </c>
      <c r="FJ92" s="1002">
        <f>IF(FJ90=0,0,FJ91/FJ90)*100</f>
        <v>0</v>
      </c>
      <c r="FK92" s="1003"/>
      <c r="FL92" s="1002">
        <f>IF(FL90=0,0,FL91/FL90)*100</f>
        <v>0</v>
      </c>
      <c r="FM92" s="1002">
        <f>IF(FM90=0,0,FM91/FM90)*100</f>
        <v>0</v>
      </c>
      <c r="FN92" s="1003"/>
      <c r="FO92" s="1002">
        <f>IF(FO90=0,0,FO91/FO90)*100</f>
        <v>0</v>
      </c>
      <c r="FP92" s="1002">
        <f>IF(FP90=0,0,FP91/FP90)*100</f>
        <v>0</v>
      </c>
      <c r="FQ92" s="1003"/>
      <c r="FR92" s="1002">
        <f>IF(FR90=0,0,FR91/FR90)*100</f>
        <v>0</v>
      </c>
      <c r="FS92" s="1002">
        <f>IF(FS90=0,0,FS91/FS90)*100</f>
        <v>0</v>
      </c>
      <c r="FT92" s="1003"/>
      <c r="FU92" s="1002">
        <f>IF(FU90=0,0,FU91/FU90)*100</f>
        <v>0</v>
      </c>
      <c r="FV92" s="1002">
        <f>IF(FV90=0,0,FV91/FV90)*100</f>
        <v>0</v>
      </c>
      <c r="FW92" s="1003"/>
      <c r="FX92" s="210"/>
      <c r="FY92" s="1214"/>
      <c r="FZ92" s="964" t="s">
        <v>1596</v>
      </c>
      <c r="GA92" s="1216"/>
      <c r="GB92" s="1216"/>
      <c r="GC92" s="1215"/>
      <c r="GD92" s="1215"/>
    </row>
    <row r="93" spans="1:186" s="1334" customFormat="1" ht="14.25" customHeight="1" x14ac:dyDescent="0.15">
      <c r="A93" s="416"/>
      <c r="B93" s="837" t="b" cm="1">
        <f t="array" ref="B93">B92</f>
        <v>1</v>
      </c>
      <c r="C93" s="416"/>
      <c r="D93" s="416"/>
      <c r="E93" s="759">
        <v>15</v>
      </c>
      <c r="F93" s="3" t="str" cm="1">
        <f t="array" aca="1" ref="F93" ca="1">OFFSET(E93,-1,1)</f>
        <v>1</v>
      </c>
      <c r="G93" s="26" t="s">
        <v>1597</v>
      </c>
      <c r="H93" s="416" t="s">
        <v>501</v>
      </c>
      <c r="I93" s="416" t="s">
        <v>1594</v>
      </c>
      <c r="J93" s="416"/>
      <c r="K93" s="416"/>
      <c r="L93" s="416"/>
      <c r="M93" s="416"/>
      <c r="N93" s="416"/>
      <c r="O93" s="416"/>
      <c r="P93" s="416"/>
      <c r="Q93" s="416"/>
      <c r="R93" s="416"/>
      <c r="S93" s="416"/>
      <c r="T93" s="388" t="b" cm="1">
        <f t="array" ref="T93">T92</f>
        <v>1</v>
      </c>
      <c r="U93" s="416"/>
      <c r="V93" s="416"/>
      <c r="W93" s="416"/>
      <c r="X93" s="2066"/>
      <c r="Y93" s="416"/>
      <c r="Z93" s="2011"/>
      <c r="AA93" s="416"/>
      <c r="AB93" s="999" t="s">
        <v>1598</v>
      </c>
      <c r="AC93" s="783" t="s">
        <v>563</v>
      </c>
      <c r="AD93" s="1004">
        <f ca="1">IF(AND(method_reg="Метод индексации",god&lt;&gt;first_year),SUMIFS(INDEX('Калькуляция (МИ корр)'!$AJ$25:$BC$459,,MATCH(AD$8,'Калькуляция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(МИ)'!$AJ$25:$BC$459,,MATCH(AD$8,'Калькуляция (МИ)'!$AJ$8:$BC$8,0)),'Калькуляция (МИ)'!$F$25:$F$459,$F93,'Калькуляция (МИ)'!$G$25:$G$459,$G93))))</f>
        <v>4334.1180000000004</v>
      </c>
      <c r="AE93" s="1004">
        <f ca="1">IF(AND(method_reg="Метод индексации",god&lt;&gt;first_year),SUMIFS(INDEX('Калькуляция (МИ корр)'!$AJ$25:$BC$459,,MATCH(AE$8,'Калькуляция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(МИ)'!$AJ$25:$BC$459,,MATCH(AE$8,'Калькуляция (МИ)'!$AJ$8:$BC$8,0)),'Калькуляция (МИ)'!$F$25:$F$459,$F93,'Калькуляция (МИ)'!$G$25:$G$459,$G93))))</f>
        <v>4336.8803100000005</v>
      </c>
      <c r="AF93" s="1005">
        <f ca="1">IF(AD93=0,0,(AE93-AD93)/AD93*100)</f>
        <v>6.3734074614490668E-2</v>
      </c>
      <c r="AG93" s="1443">
        <f ca="1">IF(AND(method_reg="Метод индексации",god&lt;&gt;first_year),SUMIFS(INDEX('Калькуляция (МИ корр)'!$AJ$25:$BC$459,,MATCH(AG$8,'Калькуляция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(МИ)'!$AJ$25:$BC$459,,MATCH(AG$8,'Калькуляция (МИ)'!$AJ$8:$BC$8,0)),'Калькуляция (МИ)'!$F$25:$F$459,$F93,'Калькуляция (МИ)'!$G$25:$G$459,$G93))))</f>
        <v>4507.9322099999999</v>
      </c>
      <c r="AH93" s="1443">
        <f ca="1">IF(AND(method_reg="Метод индексации",god&lt;&gt;first_year),SUMIFS(INDEX('Калькуляция (МИ корр)'!$AJ$25:$BC$459,,MATCH(AH$8,'Калькуляция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(МИ)'!$AJ$25:$BC$459,,MATCH(AH$8,'Калькуляция (МИ)'!$AJ$8:$BC$8,0)),'Калькуляция (МИ)'!$F$25:$F$459,$F93,'Калькуляция (МИ)'!$G$25:$G$459,$G93))))</f>
        <v>4526.2517653333998</v>
      </c>
      <c r="AI93" s="1005">
        <f ca="1">IF(AG93=0,0,(AH93-AG93)/AG93*100)</f>
        <v>0.40638488956780194</v>
      </c>
      <c r="AJ93" s="1443">
        <f ca="1">IF(AND(method_reg="Метод индексации",god&lt;&gt;first_year),SUMIFS(INDEX('Калькуляция (МИ корр)'!$AJ$25:$BC$459,,MATCH(AJ$8,'Калькуляция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(МИ)'!$AJ$25:$BC$459,,MATCH(AJ$8,'Калькуляция (МИ)'!$AJ$8:$BC$8,0)),'Калькуляция (МИ)'!$F$25:$F$459,$F93,'Калькуляция (МИ)'!$G$25:$G$459,$G93))))</f>
        <v>4507.9322099999999</v>
      </c>
      <c r="AK93" s="1443">
        <f ca="1">IF(AND(method_reg="Метод индексации",god&lt;&gt;first_year),SUMIFS(INDEX('Калькуляция (МИ корр)'!$AJ$25:$BC$459,,MATCH(AK$8,'Калькуляция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(МИ)'!$AJ$25:$BC$459,,MATCH(AK$8,'Калькуляция (МИ)'!$AJ$8:$BC$8,0)),'Калькуляция (МИ)'!$F$25:$F$459,$F93,'Калькуляция (МИ)'!$G$25:$G$459,$G93))))</f>
        <v>4526.2517653333998</v>
      </c>
      <c r="AL93" s="1005">
        <f ca="1">IF(AJ93=0,0,(AK93-AJ93)/AJ93*100)</f>
        <v>0.40638488956780194</v>
      </c>
      <c r="AM93" s="1443">
        <f ca="1">IF(AND(method_reg="Метод индексации",god&lt;&gt;first_year),SUMIFS(INDEX('Калькуляция (МИ корр)'!$AJ$25:$BC$459,,MATCH(AM$8,'Калькуляция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(МИ)'!$AJ$25:$BC$459,,MATCH(AM$8,'Калькуляция (МИ)'!$AJ$8:$BC$8,0)),'Калькуляция (МИ)'!$F$25:$F$459,$F93,'Калькуляция (МИ)'!$G$25:$G$459,$G93))))</f>
        <v>4507.9322099999999</v>
      </c>
      <c r="AN93" s="1443">
        <f ca="1">IF(AND(method_reg="Метод индексации",god&lt;&gt;first_year),SUMIFS(INDEX('Калькуляция (МИ корр)'!$AJ$25:$BC$459,,MATCH(AN$8,'Калькуляция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(МИ)'!$AJ$25:$BC$459,,MATCH(AN$8,'Калькуляция (МИ)'!$AJ$8:$BC$8,0)),'Калькуляция (МИ)'!$F$25:$F$459,$F93,'Калькуляция (МИ)'!$G$25:$G$459,$G93))))</f>
        <v>4526.2517653333998</v>
      </c>
      <c r="AO93" s="1005">
        <f ca="1">IF(AM93=0,0,(AN93-AM93)/AM93*100)</f>
        <v>0.40638488956780194</v>
      </c>
      <c r="AP93" s="1443">
        <f ca="1">IF(AND(method_reg="Метод индексации",god&lt;&gt;first_year),SUMIFS(INDEX('Калькуляция (МИ корр)'!$AJ$25:$BC$459,,MATCH(AP$8,'Калькуляция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(МИ)'!$AJ$25:$BC$459,,MATCH(AP$8,'Калькуляция (МИ)'!$AJ$8:$BC$8,0)),'Калькуляция (МИ)'!$F$25:$F$459,$F93,'Калькуляция (МИ)'!$G$25:$G$459,$G93))))</f>
        <v>4507.9322099999999</v>
      </c>
      <c r="AQ93" s="1443">
        <f ca="1">IF(AND(method_reg="Метод индексации",god&lt;&gt;first_year),SUMIFS(INDEX('Калькуляция (МИ корр)'!$AJ$25:$BC$459,,MATCH(AQ$8,'Калькуляция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(МИ)'!$AJ$25:$BC$459,,MATCH(AQ$8,'Калькуляция (МИ)'!$AJ$8:$BC$8,0)),'Калькуляция (МИ)'!$F$25:$F$459,$F93,'Калькуляция (МИ)'!$G$25:$G$459,$G93))))</f>
        <v>4526.2517653333998</v>
      </c>
      <c r="AR93" s="1005">
        <f ca="1">IF(AP93=0,0,(AQ93-AP93)/AP93*100)</f>
        <v>0.40638488956780194</v>
      </c>
      <c r="AS93" s="1443">
        <f ca="1">IF(AND(method_reg="Метод индексации",god&lt;&gt;first_year),SUMIFS(INDEX('Калькуляция (МИ корр)'!$AJ$25:$BC$459,,MATCH(AS$8,'Калькуляция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(МИ)'!$AJ$25:$BC$459,,MATCH(AS$8,'Калькуляция (МИ)'!$AJ$8:$BC$8,0)),'Калькуляция (МИ)'!$F$25:$F$459,$F93,'Калькуляция (МИ)'!$G$25:$G$459,$G93))))</f>
        <v>4507.9322099999999</v>
      </c>
      <c r="AT93" s="1443">
        <f ca="1">IF(AND(method_reg="Метод индексации",god&lt;&gt;first_year),SUMIFS(INDEX('Калькуляция (МИ корр)'!$AJ$25:$BC$459,,MATCH(AT$8,'Калькуляция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(МИ)'!$AJ$25:$BC$459,,MATCH(AT$8,'Калькуляция (МИ)'!$AJ$8:$BC$8,0)),'Калькуляция (МИ)'!$F$25:$F$459,$F93,'Калькуляция (МИ)'!$G$25:$G$459,$G93))))</f>
        <v>4526.2517653333998</v>
      </c>
      <c r="AU93" s="1005">
        <f ca="1">IF(AS93=0,0,(AT93-AS93)/AS93*100)</f>
        <v>0.40638488956780194</v>
      </c>
      <c r="AV93" s="1443">
        <f ca="1">IF(AND(method_reg="Метод индексации",god&lt;&gt;first_year),SUMIFS(INDEX('Калькуляция (МИ корр)'!$AJ$25:$BC$459,,MATCH(AV$8,'Калькуляция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(МИ)'!$AJ$25:$BC$459,,MATCH(AV$8,'Калькуляция (МИ)'!$AJ$8:$BC$8,0)),'Калькуляция (МИ)'!$F$25:$F$459,$F93,'Калькуляция (МИ)'!$G$25:$G$459,$G93))))</f>
        <v>4507.9322099999999</v>
      </c>
      <c r="AW93" s="1443">
        <f ca="1">IF(AND(method_reg="Метод индексации",god&lt;&gt;first_year),SUMIFS(INDEX('Калькуляция (МИ корр)'!$AJ$25:$BC$459,,MATCH(AW$8,'Калькуляция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(МИ)'!$AJ$25:$BC$459,,MATCH(AW$8,'Калькуляция (МИ)'!$AJ$8:$BC$8,0)),'Калькуляция (МИ)'!$F$25:$F$459,$F93,'Калькуляция (МИ)'!$G$25:$G$459,$G93))))</f>
        <v>4526.2517653333998</v>
      </c>
      <c r="AX93" s="1005">
        <f ca="1">IF(AV93=0,0,(AW93-AV93)/AV93*100)</f>
        <v>0.40638488956780194</v>
      </c>
      <c r="AY93" s="1004">
        <f ca="1">IF(AND(method_reg="Метод индексации",god&lt;&gt;first_year),SUMIFS(INDEX('Калькуляция (МИ корр)'!$AJ$25:$BC$459,,MATCH(AY$8,'Калькуляция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(МИ)'!$AJ$25:$BC$459,,MATCH(AY$8,'Калькуляция (МИ)'!$AJ$8:$BC$8,0)),'Калькуляция (МИ)'!$F$25:$F$459,$F93,'Калькуляция (МИ)'!$G$25:$G$459,$G93))))</f>
        <v>0</v>
      </c>
      <c r="AZ93" s="1004">
        <f ca="1">IF(AND(method_reg="Метод индексации",god&lt;&gt;first_year),SUMIFS(INDEX('Калькуляция (МИ корр)'!$AJ$25:$BC$459,,MATCH(AZ$8,'Калькуляция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(МИ)'!$AJ$25:$BC$459,,MATCH(AZ$8,'Калькуляция (МИ)'!$AJ$8:$BC$8,0)),'Калькуляция (МИ)'!$F$25:$F$459,$F93,'Калькуляция (МИ)'!$G$25:$G$459,$G93))))</f>
        <v>0</v>
      </c>
      <c r="BA93" s="1005">
        <f ca="1">IF(AY93=0,0,(AZ93-AY93)/AY93*100)</f>
        <v>0</v>
      </c>
      <c r="BB93" s="1004">
        <f ca="1">IF(AND(method_reg="Метод индексации",god&lt;&gt;first_year),SUMIFS(INDEX('Калькуляция (МИ корр)'!$AJ$25:$BC$459,,MATCH(BB$8,'Калькуляция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(МИ)'!$AJ$25:$BC$459,,MATCH(BB$8,'Калькуляция (МИ)'!$AJ$8:$BC$8,0)),'Калькуляция (МИ)'!$F$25:$F$459,$F93,'Калькуляция (МИ)'!$G$25:$G$459,$G93))))</f>
        <v>0</v>
      </c>
      <c r="BC93" s="1004">
        <f ca="1">IF(AND(method_reg="Метод индексации",god&lt;&gt;first_year),SUMIFS(INDEX('Калькуляция (МИ корр)'!$AJ$25:$BC$459,,MATCH(BC$8,'Калькуляция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(МИ)'!$AJ$25:$BC$459,,MATCH(BC$8,'Калькуляция (МИ)'!$AJ$8:$BC$8,0)),'Калькуляция (МИ)'!$F$25:$F$459,$F93,'Калькуляция (МИ)'!$G$25:$G$459,$G93))))</f>
        <v>0</v>
      </c>
      <c r="BD93" s="1005">
        <f ca="1">IF(BB93=0,0,(BC93-BB93)/BB93*100)</f>
        <v>0</v>
      </c>
      <c r="BE93" s="1004">
        <f ca="1">IF(AND(method_reg="Метод индексации",god&lt;&gt;first_year),SUMIFS(INDEX('Калькуляция (МИ корр)'!$AJ$25:$BC$459,,MATCH(BE$8,'Калькуляция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(МИ)'!$AJ$25:$BC$459,,MATCH(BE$8,'Калькуляция (МИ)'!$AJ$8:$BC$8,0)),'Калькуляция (МИ)'!$F$25:$F$459,$F93,'Калькуляция (МИ)'!$G$25:$G$459,$G93))))</f>
        <v>0</v>
      </c>
      <c r="BF93" s="1004">
        <f ca="1">IF(AND(method_reg="Метод индексации",god&lt;&gt;first_year),SUMIFS(INDEX('Калькуляция (МИ корр)'!$AJ$25:$BC$459,,MATCH(BF$8,'Калькуляция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(МИ)'!$AJ$25:$BC$459,,MATCH(BF$8,'Калькуляция (МИ)'!$AJ$8:$BC$8,0)),'Калькуляция (МИ)'!$F$25:$F$459,$F93,'Калькуляция (МИ)'!$G$25:$G$459,$G93))))</f>
        <v>0</v>
      </c>
      <c r="BG93" s="1005">
        <f ca="1">IF(BE93=0,0,(BF93-BE93)/BE93*100)</f>
        <v>0</v>
      </c>
      <c r="BH93" s="1004"/>
      <c r="BI93" s="1004"/>
      <c r="BJ93" s="1005">
        <f>IF(BH93=0,0,(BI93-BH93)/BH93*100)</f>
        <v>0</v>
      </c>
      <c r="BK93" s="1004"/>
      <c r="BL93" s="1004"/>
      <c r="BM93" s="1005">
        <f>IF(BK93=0,0,(BL93-BK93)/BK93*100)</f>
        <v>0</v>
      </c>
      <c r="BN93" s="1004"/>
      <c r="BO93" s="1004"/>
      <c r="BP93" s="1005">
        <f>IF(BN93=0,0,(BO93-BN93)/BN93*100)</f>
        <v>0</v>
      </c>
      <c r="BQ93" s="1004"/>
      <c r="BR93" s="1004"/>
      <c r="BS93" s="1005">
        <f>IF(BQ93=0,0,(BR93-BQ93)/BQ93*100)</f>
        <v>0</v>
      </c>
      <c r="BT93" s="1004"/>
      <c r="BU93" s="1004"/>
      <c r="BV93" s="1005">
        <f>IF(BT93=0,0,(BU93-BT93)/BT93*100)</f>
        <v>0</v>
      </c>
      <c r="BW93" s="1004"/>
      <c r="BX93" s="1004"/>
      <c r="BY93" s="1005">
        <f>IF(BW93=0,0,(BX93-BW93)/BW93*100)</f>
        <v>0</v>
      </c>
      <c r="BZ93" s="1004"/>
      <c r="CA93" s="1004"/>
      <c r="CB93" s="1005">
        <f>IF(BZ93=0,0,(CA93-BZ93)/BZ93*100)</f>
        <v>0</v>
      </c>
      <c r="CC93" s="1004"/>
      <c r="CD93" s="1004"/>
      <c r="CE93" s="1005">
        <f>IF(CC93=0,0,(CD93-CC93)/CC93*100)</f>
        <v>0</v>
      </c>
      <c r="CF93" s="1004"/>
      <c r="CG93" s="1004"/>
      <c r="CH93" s="1005">
        <f>IF(CF93=0,0,(CG93-CF93)/CF93*100)</f>
        <v>0</v>
      </c>
      <c r="CI93" s="1004"/>
      <c r="CJ93" s="1004"/>
      <c r="CK93" s="1005">
        <f>IF(CI93=0,0,(CJ93-CI93)/CI93*100)</f>
        <v>0</v>
      </c>
      <c r="CL93" s="1004"/>
      <c r="CM93" s="1004"/>
      <c r="CN93" s="1005">
        <f>IF(CL93=0,0,(CM93-CL93)/CL93*100)</f>
        <v>0</v>
      </c>
      <c r="CO93" s="1004"/>
      <c r="CP93" s="1004"/>
      <c r="CQ93" s="1005">
        <f>IF(CO93=0,0,(CP93-CO93)/CO93*100)</f>
        <v>0</v>
      </c>
      <c r="CR93" s="1004"/>
      <c r="CS93" s="1004"/>
      <c r="CT93" s="1005">
        <f>IF(CR93=0,0,(CS93-CR93)/CR93*100)</f>
        <v>0</v>
      </c>
      <c r="CU93" s="1004"/>
      <c r="CV93" s="1004"/>
      <c r="CW93" s="1005">
        <f>IF(CU93=0,0,(CV93-CU93)/CU93*100)</f>
        <v>0</v>
      </c>
      <c r="CX93" s="1004"/>
      <c r="CY93" s="1004"/>
      <c r="CZ93" s="1005">
        <f>IF(CX93=0,0,(CY93-CX93)/CX93*100)</f>
        <v>0</v>
      </c>
      <c r="DA93" s="1004"/>
      <c r="DB93" s="1004"/>
      <c r="DC93" s="1005">
        <f>IF(DA93=0,0,(DB93-DA93)/DA93*100)</f>
        <v>0</v>
      </c>
      <c r="DD93" s="1004"/>
      <c r="DE93" s="1004"/>
      <c r="DF93" s="1005">
        <f>IF(DD93=0,0,(DE93-DD93)/DD93*100)</f>
        <v>0</v>
      </c>
      <c r="DG93" s="1004"/>
      <c r="DH93" s="1004"/>
      <c r="DI93" s="1005">
        <f>IF(DG93=0,0,(DH93-DG93)/DG93*100)</f>
        <v>0</v>
      </c>
      <c r="DJ93" s="1004"/>
      <c r="DK93" s="1004"/>
      <c r="DL93" s="1005">
        <f>IF(DJ93=0,0,(DK93-DJ93)/DJ93*100)</f>
        <v>0</v>
      </c>
      <c r="DM93" s="1004"/>
      <c r="DN93" s="1004"/>
      <c r="DO93" s="1005">
        <f>IF(DM93=0,0,(DN93-DM93)/DM93*100)</f>
        <v>0</v>
      </c>
      <c r="DP93" s="1004"/>
      <c r="DQ93" s="1004"/>
      <c r="DR93" s="1005">
        <f>IF(DP93=0,0,(DQ93-DP93)/DP93*100)</f>
        <v>0</v>
      </c>
      <c r="DS93" s="1004"/>
      <c r="DT93" s="1004"/>
      <c r="DU93" s="1005">
        <f>IF(DS93=0,0,(DT93-DS93)/DS93*100)</f>
        <v>0</v>
      </c>
      <c r="DV93" s="1004"/>
      <c r="DW93" s="1004"/>
      <c r="DX93" s="1005">
        <f>IF(DV93=0,0,(DW93-DV93)/DV93*100)</f>
        <v>0</v>
      </c>
      <c r="DY93" s="1004"/>
      <c r="DZ93" s="1004"/>
      <c r="EA93" s="1005">
        <f>IF(DY93=0,0,(DZ93-DY93)/DY93*100)</f>
        <v>0</v>
      </c>
      <c r="EB93" s="1004"/>
      <c r="EC93" s="1004"/>
      <c r="ED93" s="1005">
        <f>IF(EB93=0,0,(EC93-EB93)/EB93*100)</f>
        <v>0</v>
      </c>
      <c r="EE93" s="1004"/>
      <c r="EF93" s="1004"/>
      <c r="EG93" s="1005">
        <f>IF(EE93=0,0,(EF93-EE93)/EE93*100)</f>
        <v>0</v>
      </c>
      <c r="EH93" s="1004"/>
      <c r="EI93" s="1004"/>
      <c r="EJ93" s="1005">
        <f>IF(EH93=0,0,(EI93-EH93)/EH93*100)</f>
        <v>0</v>
      </c>
      <c r="EK93" s="1004"/>
      <c r="EL93" s="1004"/>
      <c r="EM93" s="1005">
        <f>IF(EK93=0,0,(EL93-EK93)/EK93*100)</f>
        <v>0</v>
      </c>
      <c r="EN93" s="1004"/>
      <c r="EO93" s="1004"/>
      <c r="EP93" s="1005">
        <f>IF(EN93=0,0,(EO93-EN93)/EN93*100)</f>
        <v>0</v>
      </c>
      <c r="EQ93" s="1004"/>
      <c r="ER93" s="1004"/>
      <c r="ES93" s="1005">
        <f>IF(EQ93=0,0,(ER93-EQ93)/EQ93*100)</f>
        <v>0</v>
      </c>
      <c r="ET93" s="1004"/>
      <c r="EU93" s="1004"/>
      <c r="EV93" s="1005">
        <f>IF(ET93=0,0,(EU93-ET93)/ET93*100)</f>
        <v>0</v>
      </c>
      <c r="EW93" s="1004"/>
      <c r="EX93" s="1004"/>
      <c r="EY93" s="1005">
        <f>IF(EW93=0,0,(EX93-EW93)/EW93*100)</f>
        <v>0</v>
      </c>
      <c r="EZ93" s="1004"/>
      <c r="FA93" s="1004"/>
      <c r="FB93" s="1005">
        <f>IF(EZ93=0,0,(FA93-EZ93)/EZ93*100)</f>
        <v>0</v>
      </c>
      <c r="FC93" s="1004"/>
      <c r="FD93" s="1004"/>
      <c r="FE93" s="1005">
        <f>IF(FC93=0,0,(FD93-FC93)/FC93*100)</f>
        <v>0</v>
      </c>
      <c r="FF93" s="1004"/>
      <c r="FG93" s="1004"/>
      <c r="FH93" s="1005">
        <f>IF(FF93=0,0,(FG93-FF93)/FF93*100)</f>
        <v>0</v>
      </c>
      <c r="FI93" s="1004"/>
      <c r="FJ93" s="1004"/>
      <c r="FK93" s="1005">
        <f>IF(FI93=0,0,(FJ93-FI93)/FI93*100)</f>
        <v>0</v>
      </c>
      <c r="FL93" s="1004"/>
      <c r="FM93" s="1004"/>
      <c r="FN93" s="1005">
        <f>IF(FL93=0,0,(FM93-FL93)/FL93*100)</f>
        <v>0</v>
      </c>
      <c r="FO93" s="1004"/>
      <c r="FP93" s="1004"/>
      <c r="FQ93" s="1005">
        <f>IF(FO93=0,0,(FP93-FO93)/FO93*100)</f>
        <v>0</v>
      </c>
      <c r="FR93" s="1004"/>
      <c r="FS93" s="1004"/>
      <c r="FT93" s="1005">
        <f>IF(FR93=0,0,(FS93-FR93)/FR93*100)</f>
        <v>0</v>
      </c>
      <c r="FU93" s="1004"/>
      <c r="FV93" s="1004"/>
      <c r="FW93" s="1005">
        <f>IF(FU93=0,0,(FV93-FU93)/FU93*100)</f>
        <v>0</v>
      </c>
      <c r="FX93" s="210"/>
      <c r="FY93" s="1214"/>
      <c r="FZ93" s="964" t="s">
        <v>1599</v>
      </c>
      <c r="GA93" s="1216"/>
      <c r="GB93" s="1216"/>
      <c r="GC93" s="1215"/>
      <c r="GD93" s="1215"/>
    </row>
    <row r="94" spans="1:186" s="1451" customFormat="1" ht="23.25" customHeight="1" x14ac:dyDescent="0.15">
      <c r="A94" s="813"/>
      <c r="B94" s="837" t="b" cm="1">
        <f t="array" ref="B94">B93</f>
        <v>1</v>
      </c>
      <c r="C94" s="813"/>
      <c r="D94" s="813"/>
      <c r="E94" s="814">
        <v>24.5</v>
      </c>
      <c r="F94" s="3" t="str" cm="1">
        <f t="array" aca="1" ref="F94" ca="1">OFFSET(E94,-1,1)</f>
        <v>1</v>
      </c>
      <c r="G94" s="26" t="s">
        <v>1600</v>
      </c>
      <c r="H94" s="416" t="s">
        <v>494</v>
      </c>
      <c r="I94" s="416" t="s">
        <v>1601</v>
      </c>
      <c r="J94" s="813"/>
      <c r="K94" s="813"/>
      <c r="L94" s="416"/>
      <c r="M94" s="813"/>
      <c r="N94" s="813"/>
      <c r="O94" s="813"/>
      <c r="P94" s="813"/>
      <c r="Q94" s="813"/>
      <c r="R94" s="416"/>
      <c r="S94" s="416"/>
      <c r="T94" s="388" t="b" cm="1">
        <f t="array" ref="T94">T93</f>
        <v>1</v>
      </c>
      <c r="U94" s="813"/>
      <c r="V94" s="813"/>
      <c r="W94" s="813"/>
      <c r="X94" s="2066"/>
      <c r="Y94" s="813"/>
      <c r="Z94" s="2011"/>
      <c r="AA94" s="813"/>
      <c r="AB94" s="211" t="s">
        <v>1602</v>
      </c>
      <c r="AC94" s="212" t="s">
        <v>1588</v>
      </c>
      <c r="AD94" s="815">
        <f ca="1">AD90*1.22</f>
        <v>85.485399999999984</v>
      </c>
      <c r="AE94" s="815">
        <f ca="1">AE90*1.22</f>
        <v>61.382827096439996</v>
      </c>
      <c r="AF94" s="214">
        <f ca="1">IF(AD94=0,0,(AE94-AD94)/AD94*100)</f>
        <v>-28.194958324532603</v>
      </c>
      <c r="AG94" s="1441">
        <f ca="1">IF(AND(method_reg="Метод индексации",god&lt;&gt;first_year),SUMIFS(INDEX('Калькуляция (МИ корр)'!$AJ$25:$BC$459,,MATCH(AG$8,'Калькуляция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(МИ)'!$AJ$25:$BC$459,,MATCH(AG$8,'Калькуляция (МИ)'!$AJ$8:$BC$8,0)),'Калькуляция (МИ)'!$F$25:$F$459,$F94,'Калькуляция (МИ)'!$G$25:$G$459,$G94))))</f>
        <v>62.907293322900003</v>
      </c>
      <c r="AH94" s="1441">
        <f ca="1">IF(AND(method_reg="Метод индексации",god&lt;&gt;first_year),SUMIFS(INDEX('Калькуляция (МИ корр)'!$AJ$25:$BC$459,,MATCH(AH$8,'Калькуляция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(МИ)'!$AJ$25:$BC$459,,MATCH(AH$8,'Калькуляция (МИ)'!$AJ$8:$BC$8,0)),'Калькуляция (МИ)'!$F$25:$F$459,$F94,'Калькуляция (МИ)'!$G$25:$G$459,$G94))))</f>
        <v>52.926890897600003</v>
      </c>
      <c r="AI94" s="214">
        <f ca="1">IF(AG94=0,0,(AH94-AG94)/AG94*100)</f>
        <v>-15.865254882404638</v>
      </c>
      <c r="AJ94" s="1441">
        <f ca="1">IF(AND(method_reg="Метод индексации",god&lt;&gt;first_year),SUMIFS(INDEX('Калькуляция (МИ корр)'!$AJ$25:$BC$459,,MATCH(AJ$8,'Калькуляция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(МИ)'!$AJ$25:$BC$459,,MATCH(AJ$8,'Калькуляция (МИ)'!$AJ$8:$BC$8,0)),'Калькуляция (МИ)'!$F$25:$F$459,$F94,'Калькуляция (МИ)'!$G$25:$G$459,$G94))))</f>
        <v>65.263337262799993</v>
      </c>
      <c r="AK94" s="1441">
        <f ca="1">IF(AND(method_reg="Метод индексации",god&lt;&gt;first_year),SUMIFS(INDEX('Калькуляция (МИ корр)'!$AJ$25:$BC$459,,MATCH(AK$8,'Калькуляция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(МИ)'!$AJ$25:$BC$459,,MATCH(AK$8,'Калькуляция (МИ)'!$AJ$8:$BC$8,0)),'Калькуляция (МИ)'!$F$25:$F$459,$F94,'Калькуляция (МИ)'!$G$25:$G$459,$G94))))</f>
        <v>55.3720632705</v>
      </c>
      <c r="AL94" s="214">
        <f ca="1">IF(AJ94=0,0,(AK94-AJ94)/AJ94*100)</f>
        <v>-15.155942688726102</v>
      </c>
      <c r="AM94" s="1441">
        <f ca="1">IF(AND(method_reg="Метод индексации",god&lt;&gt;first_year),SUMIFS(INDEX('Калькуляция (МИ корр)'!$AJ$25:$BC$459,,MATCH(AM$8,'Калькуляция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(МИ)'!$AJ$25:$BC$459,,MATCH(AM$8,'Калькуляция (МИ)'!$AJ$8:$BC$8,0)),'Калькуляция (МИ)'!$F$25:$F$459,$F94,'Калькуляция (МИ)'!$G$25:$G$459,$G94))))</f>
        <v>67.739464045600002</v>
      </c>
      <c r="AN94" s="1441">
        <f ca="1">IF(AND(method_reg="Метод индексации",god&lt;&gt;first_year),SUMIFS(INDEX('Калькуляция (МИ корр)'!$AJ$25:$BC$459,,MATCH(AN$8,'Калькуляция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(МИ)'!$AJ$25:$BC$459,,MATCH(AN$8,'Калькуляция (МИ)'!$AJ$8:$BC$8,0)),'Калькуляция (МИ)'!$F$25:$F$459,$F94,'Калькуляция (МИ)'!$G$25:$G$459,$G94))))</f>
        <v>57.603738131900002</v>
      </c>
      <c r="AO94" s="214">
        <f ca="1">IF(AM94=0,0,(AN94-AM94)/AM94*100)</f>
        <v>-14.962807953244154</v>
      </c>
      <c r="AP94" s="1441">
        <f ca="1">IF(AND(method_reg="Метод индексации",god&lt;&gt;first_year),SUMIFS(INDEX('Калькуляция (МИ корр)'!$AJ$25:$BC$459,,MATCH(AP$8,'Калькуляция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(МИ)'!$AJ$25:$BC$459,,MATCH(AP$8,'Калькуляция (МИ)'!$AJ$8:$BC$8,0)),'Калькуляция (МИ)'!$F$25:$F$459,$F94,'Калькуляция (МИ)'!$G$25:$G$459,$G94))))</f>
        <v>70.222836525000005</v>
      </c>
      <c r="AQ94" s="1441">
        <f ca="1">IF(AND(method_reg="Метод индексации",god&lt;&gt;first_year),SUMIFS(INDEX('Калькуляция (МИ корр)'!$AJ$25:$BC$459,,MATCH(AQ$8,'Калькуляция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(МИ)'!$AJ$25:$BC$459,,MATCH(AQ$8,'Калькуляция (МИ)'!$AJ$8:$BC$8,0)),'Калькуляция (МИ)'!$F$25:$F$459,$F94,'Калькуляция (МИ)'!$G$25:$G$459,$G94))))</f>
        <v>60.597604509</v>
      </c>
      <c r="AR94" s="214">
        <f ca="1">IF(AP94=0,0,(AQ94-AP94)/AP94*100)</f>
        <v>-13.70669783834968</v>
      </c>
      <c r="AS94" s="1441">
        <f ca="1">IF(AND(method_reg="Метод индексации",god&lt;&gt;first_year),SUMIFS(INDEX('Калькуляция (МИ корр)'!$AJ$25:$BC$459,,MATCH(AS$8,'Калькуляция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(МИ)'!$AJ$25:$BC$459,,MATCH(AS$8,'Калькуляция (МИ)'!$AJ$8:$BC$8,0)),'Калькуляция (МИ)'!$F$25:$F$459,$F94,'Калькуляция (МИ)'!$G$25:$G$459,$G94))))</f>
        <v>72.810328324799997</v>
      </c>
      <c r="AT94" s="1441">
        <f ca="1">IF(AND(method_reg="Метод индексации",god&lt;&gt;first_year),SUMIFS(INDEX('Калькуляция (МИ корр)'!$AJ$25:$BC$459,,MATCH(AT$8,'Калькуляция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(МИ)'!$AJ$25:$BC$459,,MATCH(AT$8,'Калькуляция (МИ)'!$AJ$8:$BC$8,0)),'Калькуляция (МИ)'!$F$25:$F$459,$F94,'Калькуляция (МИ)'!$G$25:$G$459,$G94))))</f>
        <v>62.68954213</v>
      </c>
      <c r="AU94" s="214">
        <f ca="1">IF(AS94=0,0,(AT94-AS94)/AS94*100)</f>
        <v>-13.900206780626132</v>
      </c>
      <c r="AV94" s="1441">
        <f ca="1">IF(AND(method_reg="Метод индексации",god&lt;&gt;first_year),SUMIFS(INDEX('Калькуляция (МИ корр)'!$AJ$25:$BC$459,,MATCH(AV$8,'Калькуляция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(МИ)'!$AJ$25:$BC$459,,MATCH(AV$8,'Калькуляция (МИ)'!$AJ$8:$BC$8,0)),'Калькуляция (МИ)'!$F$25:$F$459,$F94,'Калькуляция (МИ)'!$G$25:$G$459,$G94))))</f>
        <v>75.586172871299993</v>
      </c>
      <c r="AW94" s="1441">
        <f ca="1">IF(AND(method_reg="Метод индексации",god&lt;&gt;first_year),SUMIFS(INDEX('Калькуляция (МИ корр)'!$AJ$25:$BC$459,,MATCH(AW$8,'Калькуляция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(МИ)'!$AJ$25:$BC$459,,MATCH(AW$8,'Калькуляция (МИ)'!$AJ$8:$BC$8,0)),'Калькуляция (МИ)'!$F$25:$F$459,$F94,'Калькуляция (МИ)'!$G$25:$G$459,$G94))))</f>
        <v>64.913726668099997</v>
      </c>
      <c r="AX94" s="214">
        <f ca="1">IF(AV94=0,0,(AW94-AV94)/AV94*100)</f>
        <v>-14.119574781715553</v>
      </c>
      <c r="AY94" s="815">
        <f ca="1">IF(AND(method_reg="Метод индексации",god&lt;&gt;first_year),SUMIFS(INDEX('Калькуляция (МИ корр)'!$AJ$25:$BC$459,,MATCH(AY$8,'Калькуляция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(МИ)'!$AJ$25:$BC$459,,MATCH(AY$8,'Калькуляция (МИ)'!$AJ$8:$BC$8,0)),'Калькуляция (МИ)'!$F$25:$F$459,$F94,'Калькуляция (МИ)'!$G$25:$G$459,$G94))))</f>
        <v>0</v>
      </c>
      <c r="AZ94" s="815">
        <f ca="1">IF(AND(method_reg="Метод индексации",god&lt;&gt;first_year),SUMIFS(INDEX('Калькуляция (МИ корр)'!$AJ$25:$BC$459,,MATCH(AZ$8,'Калькуляция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(МИ)'!$AJ$25:$BC$459,,MATCH(AZ$8,'Калькуляция (МИ)'!$AJ$8:$BC$8,0)),'Калькуляция (МИ)'!$F$25:$F$459,$F94,'Калькуляция (МИ)'!$G$25:$G$459,$G94))))</f>
        <v>0</v>
      </c>
      <c r="BA94" s="214">
        <f ca="1">IF(AY94=0,0,(AZ94-AY94)/AY94*100)</f>
        <v>0</v>
      </c>
      <c r="BB94" s="815">
        <f ca="1">IF(AND(method_reg="Метод индексации",god&lt;&gt;first_year),SUMIFS(INDEX('Калькуляция (МИ корр)'!$AJ$25:$BC$459,,MATCH(BB$8,'Калькуляция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(МИ)'!$AJ$25:$BC$459,,MATCH(BB$8,'Калькуляция (МИ)'!$AJ$8:$BC$8,0)),'Калькуляция (МИ)'!$F$25:$F$459,$F94,'Калькуляция (МИ)'!$G$25:$G$459,$G94))))</f>
        <v>0</v>
      </c>
      <c r="BC94" s="815">
        <f ca="1">IF(AND(method_reg="Метод индексации",god&lt;&gt;first_year),SUMIFS(INDEX('Калькуляция (МИ корр)'!$AJ$25:$BC$459,,MATCH(BC$8,'Калькуляция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(МИ)'!$AJ$25:$BC$459,,MATCH(BC$8,'Калькуляция (МИ)'!$AJ$8:$BC$8,0)),'Калькуляция (МИ)'!$F$25:$F$459,$F94,'Калькуляция (МИ)'!$G$25:$G$459,$G94))))</f>
        <v>0</v>
      </c>
      <c r="BD94" s="214">
        <f ca="1">IF(BB94=0,0,(BC94-BB94)/BB94*100)</f>
        <v>0</v>
      </c>
      <c r="BE94" s="815">
        <f ca="1">IF(AND(method_reg="Метод индексации",god&lt;&gt;first_year),SUMIFS(INDEX('Калькуляция (МИ корр)'!$AJ$25:$BC$459,,MATCH(BE$8,'Калькуляция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(МИ)'!$AJ$25:$BC$459,,MATCH(BE$8,'Калькуляция (МИ)'!$AJ$8:$BC$8,0)),'Калькуляция (МИ)'!$F$25:$F$459,$F94,'Калькуляция (МИ)'!$G$25:$G$459,$G94))))</f>
        <v>0</v>
      </c>
      <c r="BF94" s="815">
        <f ca="1">IF(AND(method_reg="Метод индексации",god&lt;&gt;first_year),SUMIFS(INDEX('Калькуляция (МИ корр)'!$AJ$25:$BC$459,,MATCH(BF$8,'Калькуляция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(МИ)'!$AJ$25:$BC$459,,MATCH(BF$8,'Калькуляция (МИ)'!$AJ$8:$BC$8,0)),'Калькуляция (МИ)'!$F$25:$F$459,$F94,'Калькуляция (МИ)'!$G$25:$G$459,$G94))))</f>
        <v>0</v>
      </c>
      <c r="BG94" s="214">
        <f ca="1">IF(BE94=0,0,(BF94-BE94)/BE94*100)</f>
        <v>0</v>
      </c>
      <c r="BH94" s="815"/>
      <c r="BI94" s="815"/>
      <c r="BJ94" s="214">
        <f>IF(BH94=0,0,(BI94-BH94)/BH94*100)</f>
        <v>0</v>
      </c>
      <c r="BK94" s="815"/>
      <c r="BL94" s="815"/>
      <c r="BM94" s="214">
        <f>IF(BK94=0,0,(BL94-BK94)/BK94*100)</f>
        <v>0</v>
      </c>
      <c r="BN94" s="815"/>
      <c r="BO94" s="815"/>
      <c r="BP94" s="214">
        <f>IF(BN94=0,0,(BO94-BN94)/BN94*100)</f>
        <v>0</v>
      </c>
      <c r="BQ94" s="815"/>
      <c r="BR94" s="815"/>
      <c r="BS94" s="214">
        <f>IF(BQ94=0,0,(BR94-BQ94)/BQ94*100)</f>
        <v>0</v>
      </c>
      <c r="BT94" s="815"/>
      <c r="BU94" s="815"/>
      <c r="BV94" s="214">
        <f>IF(BT94=0,0,(BU94-BT94)/BT94*100)</f>
        <v>0</v>
      </c>
      <c r="BW94" s="815"/>
      <c r="BX94" s="815"/>
      <c r="BY94" s="214">
        <f>IF(BW94=0,0,(BX94-BW94)/BW94*100)</f>
        <v>0</v>
      </c>
      <c r="BZ94" s="815"/>
      <c r="CA94" s="815"/>
      <c r="CB94" s="214">
        <f>IF(BZ94=0,0,(CA94-BZ94)/BZ94*100)</f>
        <v>0</v>
      </c>
      <c r="CC94" s="815"/>
      <c r="CD94" s="815"/>
      <c r="CE94" s="214">
        <f>IF(CC94=0,0,(CD94-CC94)/CC94*100)</f>
        <v>0</v>
      </c>
      <c r="CF94" s="815"/>
      <c r="CG94" s="815"/>
      <c r="CH94" s="214">
        <f>IF(CF94=0,0,(CG94-CF94)/CF94*100)</f>
        <v>0</v>
      </c>
      <c r="CI94" s="815"/>
      <c r="CJ94" s="815"/>
      <c r="CK94" s="214">
        <f>IF(CI94=0,0,(CJ94-CI94)/CI94*100)</f>
        <v>0</v>
      </c>
      <c r="CL94" s="815"/>
      <c r="CM94" s="815"/>
      <c r="CN94" s="214">
        <f>IF(CL94=0,0,(CM94-CL94)/CL94*100)</f>
        <v>0</v>
      </c>
      <c r="CO94" s="815"/>
      <c r="CP94" s="815"/>
      <c r="CQ94" s="214">
        <f>IF(CO94=0,0,(CP94-CO94)/CO94*100)</f>
        <v>0</v>
      </c>
      <c r="CR94" s="815"/>
      <c r="CS94" s="815"/>
      <c r="CT94" s="214">
        <f>IF(CR94=0,0,(CS94-CR94)/CR94*100)</f>
        <v>0</v>
      </c>
      <c r="CU94" s="815"/>
      <c r="CV94" s="815"/>
      <c r="CW94" s="214">
        <f>IF(CU94=0,0,(CV94-CU94)/CU94*100)</f>
        <v>0</v>
      </c>
      <c r="CX94" s="815"/>
      <c r="CY94" s="815"/>
      <c r="CZ94" s="214">
        <f>IF(CX94=0,0,(CY94-CX94)/CX94*100)</f>
        <v>0</v>
      </c>
      <c r="DA94" s="815"/>
      <c r="DB94" s="815"/>
      <c r="DC94" s="214">
        <f>IF(DA94=0,0,(DB94-DA94)/DA94*100)</f>
        <v>0</v>
      </c>
      <c r="DD94" s="815"/>
      <c r="DE94" s="815"/>
      <c r="DF94" s="214">
        <f>IF(DD94=0,0,(DE94-DD94)/DD94*100)</f>
        <v>0</v>
      </c>
      <c r="DG94" s="815"/>
      <c r="DH94" s="815"/>
      <c r="DI94" s="214">
        <f>IF(DG94=0,0,(DH94-DG94)/DG94*100)</f>
        <v>0</v>
      </c>
      <c r="DJ94" s="815"/>
      <c r="DK94" s="815"/>
      <c r="DL94" s="214">
        <f>IF(DJ94=0,0,(DK94-DJ94)/DJ94*100)</f>
        <v>0</v>
      </c>
      <c r="DM94" s="815"/>
      <c r="DN94" s="815"/>
      <c r="DO94" s="214">
        <f>IF(DM94=0,0,(DN94-DM94)/DM94*100)</f>
        <v>0</v>
      </c>
      <c r="DP94" s="815"/>
      <c r="DQ94" s="815"/>
      <c r="DR94" s="214">
        <f>IF(DP94=0,0,(DQ94-DP94)/DP94*100)</f>
        <v>0</v>
      </c>
      <c r="DS94" s="815"/>
      <c r="DT94" s="815"/>
      <c r="DU94" s="214">
        <f>IF(DS94=0,0,(DT94-DS94)/DS94*100)</f>
        <v>0</v>
      </c>
      <c r="DV94" s="815"/>
      <c r="DW94" s="815"/>
      <c r="DX94" s="214">
        <f>IF(DV94=0,0,(DW94-DV94)/DV94*100)</f>
        <v>0</v>
      </c>
      <c r="DY94" s="815"/>
      <c r="DZ94" s="815"/>
      <c r="EA94" s="214">
        <f>IF(DY94=0,0,(DZ94-DY94)/DY94*100)</f>
        <v>0</v>
      </c>
      <c r="EB94" s="815"/>
      <c r="EC94" s="815"/>
      <c r="ED94" s="214">
        <f>IF(EB94=0,0,(EC94-EB94)/EB94*100)</f>
        <v>0</v>
      </c>
      <c r="EE94" s="815"/>
      <c r="EF94" s="815"/>
      <c r="EG94" s="214">
        <f>IF(EE94=0,0,(EF94-EE94)/EE94*100)</f>
        <v>0</v>
      </c>
      <c r="EH94" s="815"/>
      <c r="EI94" s="815"/>
      <c r="EJ94" s="214">
        <f>IF(EH94=0,0,(EI94-EH94)/EH94*100)</f>
        <v>0</v>
      </c>
      <c r="EK94" s="815"/>
      <c r="EL94" s="815"/>
      <c r="EM94" s="214">
        <f>IF(EK94=0,0,(EL94-EK94)/EK94*100)</f>
        <v>0</v>
      </c>
      <c r="EN94" s="815"/>
      <c r="EO94" s="815"/>
      <c r="EP94" s="214">
        <f>IF(EN94=0,0,(EO94-EN94)/EN94*100)</f>
        <v>0</v>
      </c>
      <c r="EQ94" s="815"/>
      <c r="ER94" s="815"/>
      <c r="ES94" s="214">
        <f>IF(EQ94=0,0,(ER94-EQ94)/EQ94*100)</f>
        <v>0</v>
      </c>
      <c r="ET94" s="815"/>
      <c r="EU94" s="815"/>
      <c r="EV94" s="214">
        <f>IF(ET94=0,0,(EU94-ET94)/ET94*100)</f>
        <v>0</v>
      </c>
      <c r="EW94" s="815"/>
      <c r="EX94" s="815"/>
      <c r="EY94" s="214">
        <f>IF(EW94=0,0,(EX94-EW94)/EW94*100)</f>
        <v>0</v>
      </c>
      <c r="EZ94" s="815"/>
      <c r="FA94" s="815"/>
      <c r="FB94" s="214">
        <f>IF(EZ94=0,0,(FA94-EZ94)/EZ94*100)</f>
        <v>0</v>
      </c>
      <c r="FC94" s="815"/>
      <c r="FD94" s="815"/>
      <c r="FE94" s="214">
        <f>IF(FC94=0,0,(FD94-FC94)/FC94*100)</f>
        <v>0</v>
      </c>
      <c r="FF94" s="815"/>
      <c r="FG94" s="815"/>
      <c r="FH94" s="214">
        <f>IF(FF94=0,0,(FG94-FF94)/FF94*100)</f>
        <v>0</v>
      </c>
      <c r="FI94" s="815"/>
      <c r="FJ94" s="815"/>
      <c r="FK94" s="214">
        <f>IF(FI94=0,0,(FJ94-FI94)/FI94*100)</f>
        <v>0</v>
      </c>
      <c r="FL94" s="815"/>
      <c r="FM94" s="815"/>
      <c r="FN94" s="214">
        <f>IF(FL94=0,0,(FM94-FL94)/FL94*100)</f>
        <v>0</v>
      </c>
      <c r="FO94" s="815"/>
      <c r="FP94" s="815"/>
      <c r="FQ94" s="214">
        <f>IF(FO94=0,0,(FP94-FO94)/FO94*100)</f>
        <v>0</v>
      </c>
      <c r="FR94" s="815"/>
      <c r="FS94" s="815"/>
      <c r="FT94" s="214">
        <f>IF(FR94=0,0,(FS94-FR94)/FR94*100)</f>
        <v>0</v>
      </c>
      <c r="FU94" s="815"/>
      <c r="FV94" s="815"/>
      <c r="FW94" s="214">
        <f>IF(FU94=0,0,(FV94-FU94)/FU94*100)</f>
        <v>0</v>
      </c>
      <c r="FX94" s="210"/>
      <c r="FY94" s="210"/>
      <c r="FZ94" s="964" t="s">
        <v>1603</v>
      </c>
      <c r="GA94" s="964"/>
      <c r="GB94" s="964"/>
      <c r="GC94" s="965"/>
      <c r="GD94" s="965"/>
    </row>
    <row r="95" spans="1:186" s="1452" customFormat="1" ht="23.25" customHeight="1" x14ac:dyDescent="0.15">
      <c r="A95" s="813"/>
      <c r="B95" s="837" t="b" cm="1">
        <f t="array" ref="B95">B94</f>
        <v>1</v>
      </c>
      <c r="C95" s="813"/>
      <c r="D95" s="813"/>
      <c r="E95" s="814">
        <v>24.5</v>
      </c>
      <c r="F95" s="3" t="str" cm="1">
        <f t="array" aca="1" ref="F95" ca="1">OFFSET(E95,-1,1)</f>
        <v>1</v>
      </c>
      <c r="G95" s="26" t="s">
        <v>1604</v>
      </c>
      <c r="H95" s="416" t="s">
        <v>494</v>
      </c>
      <c r="I95" s="416" t="s">
        <v>1605</v>
      </c>
      <c r="J95" s="813"/>
      <c r="K95" s="813"/>
      <c r="L95" s="416"/>
      <c r="M95" s="813"/>
      <c r="N95" s="813"/>
      <c r="O95" s="813"/>
      <c r="P95" s="813"/>
      <c r="Q95" s="813"/>
      <c r="R95" s="416"/>
      <c r="S95" s="416"/>
      <c r="T95" s="388" t="b" cm="1">
        <f t="array" ref="T95">T94</f>
        <v>1</v>
      </c>
      <c r="U95" s="813"/>
      <c r="V95" s="813"/>
      <c r="W95" s="813"/>
      <c r="X95" s="2066"/>
      <c r="Y95" s="813"/>
      <c r="Z95" s="2011"/>
      <c r="AA95" s="813"/>
      <c r="AB95" s="1000" t="s">
        <v>1606</v>
      </c>
      <c r="AC95" s="212" t="s">
        <v>1588</v>
      </c>
      <c r="AD95" s="815">
        <f ca="1">AD91*1.22</f>
        <v>85.485399999999984</v>
      </c>
      <c r="AE95" s="815">
        <f ca="1">AE91*1.22</f>
        <v>69.991399999999999</v>
      </c>
      <c r="AF95" s="214">
        <f ca="1">IF(AD95=0,0,(AE95-AD95)/AD95*100)</f>
        <v>-18.124732410446683</v>
      </c>
      <c r="AG95" s="1441">
        <f ca="1">IF(AND(method_reg="Метод индексации",god&lt;&gt;first_year),SUMIFS(INDEX('Калькуляция (МИ корр)'!$AJ$25:$BC$459,,MATCH(AG$8,'Калькуляция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(МИ)'!$AJ$25:$BC$459,,MATCH(AG$8,'Калькуляция (МИ)'!$AJ$8:$BC$8,0)),'Калькуляция (МИ)'!$F$25:$F$459,$F95,'Калькуляция (МИ)'!$G$25:$G$459,$G95))))</f>
        <v>62.907293322900003</v>
      </c>
      <c r="AH95" s="1441">
        <f ca="1">IF(AND(method_reg="Метод индексации",god&lt;&gt;first_year),SUMIFS(INDEX('Калькуляция (МИ корр)'!$AJ$25:$BC$459,,MATCH(AH$8,'Калькуляция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(МИ)'!$AJ$25:$BC$459,,MATCH(AH$8,'Калькуляция (МИ)'!$AJ$8:$BC$8,0)),'Калькуляция (МИ)'!$F$25:$F$459,$F95,'Калькуляция (МИ)'!$G$25:$G$459,$G95))))</f>
        <v>55.3720632705</v>
      </c>
      <c r="AI95" s="214">
        <f ca="1">IF(AG95=0,0,(AH95-AG95)/AG95*100)</f>
        <v>-11.978309118661397</v>
      </c>
      <c r="AJ95" s="1441">
        <f ca="1">IF(AND(method_reg="Метод индексации",god&lt;&gt;first_year),SUMIFS(INDEX('Калькуляция (МИ корр)'!$AJ$25:$BC$459,,MATCH(AJ$8,'Калькуляция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(МИ)'!$AJ$25:$BC$459,,MATCH(AJ$8,'Калькуляция (МИ)'!$AJ$8:$BC$8,0)),'Калькуляция (МИ)'!$F$25:$F$459,$F95,'Калькуляция (МИ)'!$G$25:$G$459,$G95))))</f>
        <v>65.263337262799993</v>
      </c>
      <c r="AK95" s="1441">
        <f ca="1">IF(AND(method_reg="Метод индексации",god&lt;&gt;first_year),SUMIFS(INDEX('Калькуляция (МИ корр)'!$AJ$25:$BC$459,,MATCH(AK$8,'Калькуляция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(МИ)'!$AJ$25:$BC$459,,MATCH(AK$8,'Калькуляция (МИ)'!$AJ$8:$BC$8,0)),'Калькуляция (МИ)'!$F$25:$F$459,$F95,'Калькуляция (МИ)'!$G$25:$G$459,$G95))))</f>
        <v>57.603738131900002</v>
      </c>
      <c r="AL95" s="214">
        <f ca="1">IF(AJ95=0,0,(AK95-AJ95)/AJ95*100)</f>
        <v>-11.736450283038087</v>
      </c>
      <c r="AM95" s="1441">
        <f ca="1">IF(AND(method_reg="Метод индексации",god&lt;&gt;first_year),SUMIFS(INDEX('Калькуляция (МИ корр)'!$AJ$25:$BC$459,,MATCH(AM$8,'Калькуляция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(МИ)'!$AJ$25:$BC$459,,MATCH(AM$8,'Калькуляция (МИ)'!$AJ$8:$BC$8,0)),'Калькуляция (МИ)'!$F$25:$F$459,$F95,'Калькуляция (МИ)'!$G$25:$G$459,$G95))))</f>
        <v>67.739464045600002</v>
      </c>
      <c r="AN95" s="1441">
        <f ca="1">IF(AND(method_reg="Метод индексации",god&lt;&gt;first_year),SUMIFS(INDEX('Калькуляция (МИ корр)'!$AJ$25:$BC$459,,MATCH(AN$8,'Калькуляция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(МИ)'!$AJ$25:$BC$459,,MATCH(AN$8,'Калькуляция (МИ)'!$AJ$8:$BC$8,0)),'Калькуляция (МИ)'!$F$25:$F$459,$F95,'Калькуляция (МИ)'!$G$25:$G$459,$G95))))</f>
        <v>60.597604509</v>
      </c>
      <c r="AO95" s="214">
        <f ca="1">IF(AM95=0,0,(AN95-AM95)/AM95*100)</f>
        <v>-10.543129676656926</v>
      </c>
      <c r="AP95" s="1441">
        <f ca="1">IF(AND(method_reg="Метод индексации",god&lt;&gt;first_year),SUMIFS(INDEX('Калькуляция (МИ корр)'!$AJ$25:$BC$459,,MATCH(AP$8,'Калькуляция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(МИ)'!$AJ$25:$BC$459,,MATCH(AP$8,'Калькуляция (МИ)'!$AJ$8:$BC$8,0)),'Калькуляция (МИ)'!$F$25:$F$459,$F95,'Калькуляция (МИ)'!$G$25:$G$459,$G95))))</f>
        <v>70.222836525000005</v>
      </c>
      <c r="AQ95" s="1441">
        <f ca="1">IF(AND(method_reg="Метод индексации",god&lt;&gt;first_year),SUMIFS(INDEX('Калькуляция (МИ корр)'!$AJ$25:$BC$459,,MATCH(AQ$8,'Калькуляция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(МИ)'!$AJ$25:$BC$459,,MATCH(AQ$8,'Калькуляция (МИ)'!$AJ$8:$BC$8,0)),'Калькуляция (МИ)'!$F$25:$F$459,$F95,'Калькуляция (МИ)'!$G$25:$G$459,$G95))))</f>
        <v>62.68954213</v>
      </c>
      <c r="AR95" s="214">
        <f ca="1">IF(AP95=0,0,(AQ95-AP95)/AP95*100)</f>
        <v>-10.727698805385169</v>
      </c>
      <c r="AS95" s="1441">
        <f ca="1">IF(AND(method_reg="Метод индексации",god&lt;&gt;first_year),SUMIFS(INDEX('Калькуляция (МИ корр)'!$AJ$25:$BC$459,,MATCH(AS$8,'Калькуляция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(МИ)'!$AJ$25:$BC$459,,MATCH(AS$8,'Калькуляция (МИ)'!$AJ$8:$BC$8,0)),'Калькуляция (МИ)'!$F$25:$F$459,$F95,'Калькуляция (МИ)'!$G$25:$G$459,$G95))))</f>
        <v>72.810328324799997</v>
      </c>
      <c r="AT95" s="1441">
        <f ca="1">IF(AND(method_reg="Метод индексации",god&lt;&gt;first_year),SUMIFS(INDEX('Калькуляция (МИ корр)'!$AJ$25:$BC$459,,MATCH(AT$8,'Калькуляция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(МИ)'!$AJ$25:$BC$459,,MATCH(AT$8,'Калькуляция (МИ)'!$AJ$8:$BC$8,0)),'Калькуляция (МИ)'!$F$25:$F$459,$F95,'Калькуляция (МИ)'!$G$25:$G$459,$G95))))</f>
        <v>64.913726668099997</v>
      </c>
      <c r="AU95" s="214">
        <f ca="1">IF(AS95=0,0,(AT95-AS95)/AS95*100)</f>
        <v>-10.84544162673461</v>
      </c>
      <c r="AV95" s="1441">
        <f ca="1">IF(AND(method_reg="Метод индексации",god&lt;&gt;first_year),SUMIFS(INDEX('Калькуляция (МИ корр)'!$AJ$25:$BC$459,,MATCH(AV$8,'Калькуляция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(МИ)'!$AJ$25:$BC$459,,MATCH(AV$8,'Калькуляция (МИ)'!$AJ$8:$BC$8,0)),'Калькуляция (МИ)'!$F$25:$F$459,$F95,'Калькуляция (МИ)'!$G$25:$G$459,$G95))))</f>
        <v>75.586172871299993</v>
      </c>
      <c r="AW95" s="1441">
        <f ca="1">IF(AND(method_reg="Метод индексации",god&lt;&gt;first_year),SUMIFS(INDEX('Калькуляция (МИ корр)'!$AJ$25:$BC$459,,MATCH(AW$8,'Калькуляция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(МИ)'!$AJ$25:$BC$459,,MATCH(AW$8,'Калькуляция (МИ)'!$AJ$8:$BC$8,0)),'Калькуляция (МИ)'!$F$25:$F$459,$F95,'Калькуляция (МИ)'!$G$25:$G$459,$G95))))</f>
        <v>66.856127181900007</v>
      </c>
      <c r="AX95" s="214">
        <f ca="1">IF(AV95=0,0,(AW95-AV95)/AV95*100)</f>
        <v>-11.549791923272222</v>
      </c>
      <c r="AY95" s="815">
        <f ca="1">IF(AND(method_reg="Метод индексации",god&lt;&gt;first_year),SUMIFS(INDEX('Калькуляция (МИ корр)'!$AJ$25:$BC$459,,MATCH(AY$8,'Калькуляция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(МИ)'!$AJ$25:$BC$459,,MATCH(AY$8,'Калькуляция (МИ)'!$AJ$8:$BC$8,0)),'Калькуляция (МИ)'!$F$25:$F$459,$F95,'Калькуляция (МИ)'!$G$25:$G$459,$G95))))</f>
        <v>0</v>
      </c>
      <c r="AZ95" s="815">
        <f ca="1">IF(AND(method_reg="Метод индексации",god&lt;&gt;first_year),SUMIFS(INDEX('Калькуляция (МИ корр)'!$AJ$25:$BC$459,,MATCH(AZ$8,'Калькуляция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(МИ)'!$AJ$25:$BC$459,,MATCH(AZ$8,'Калькуляция (МИ)'!$AJ$8:$BC$8,0)),'Калькуляция (МИ)'!$F$25:$F$459,$F95,'Калькуляция (МИ)'!$G$25:$G$459,$G95))))</f>
        <v>0</v>
      </c>
      <c r="BA95" s="214">
        <f ca="1">IF(AY95=0,0,(AZ95-AY95)/AY95*100)</f>
        <v>0</v>
      </c>
      <c r="BB95" s="815">
        <f ca="1">IF(AND(method_reg="Метод индексации",god&lt;&gt;first_year),SUMIFS(INDEX('Калькуляция (МИ корр)'!$AJ$25:$BC$459,,MATCH(BB$8,'Калькуляция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(МИ)'!$AJ$25:$BC$459,,MATCH(BB$8,'Калькуляция (МИ)'!$AJ$8:$BC$8,0)),'Калькуляция (МИ)'!$F$25:$F$459,$F95,'Калькуляция (МИ)'!$G$25:$G$459,$G95))))</f>
        <v>0</v>
      </c>
      <c r="BC95" s="815">
        <f ca="1">IF(AND(method_reg="Метод индексации",god&lt;&gt;first_year),SUMIFS(INDEX('Калькуляция (МИ корр)'!$AJ$25:$BC$459,,MATCH(BC$8,'Калькуляция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(МИ)'!$AJ$25:$BC$459,,MATCH(BC$8,'Калькуляция (МИ)'!$AJ$8:$BC$8,0)),'Калькуляция (МИ)'!$F$25:$F$459,$F95,'Калькуляция (МИ)'!$G$25:$G$459,$G95))))</f>
        <v>0</v>
      </c>
      <c r="BD95" s="214">
        <f ca="1">IF(BB95=0,0,(BC95-BB95)/BB95*100)</f>
        <v>0</v>
      </c>
      <c r="BE95" s="815">
        <f ca="1">IF(AND(method_reg="Метод индексации",god&lt;&gt;first_year),SUMIFS(INDEX('Калькуляция (МИ корр)'!$AJ$25:$BC$459,,MATCH(BE$8,'Калькуляция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(МИ)'!$AJ$25:$BC$459,,MATCH(BE$8,'Калькуляция (МИ)'!$AJ$8:$BC$8,0)),'Калькуляция (МИ)'!$F$25:$F$459,$F95,'Калькуляция (МИ)'!$G$25:$G$459,$G95))))</f>
        <v>0</v>
      </c>
      <c r="BF95" s="815">
        <f ca="1">IF(AND(method_reg="Метод индексации",god&lt;&gt;first_year),SUMIFS(INDEX('Калькуляция (МИ корр)'!$AJ$25:$BC$459,,MATCH(BF$8,'Калькуляция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(МИ)'!$AJ$25:$BC$459,,MATCH(BF$8,'Калькуляция (МИ)'!$AJ$8:$BC$8,0)),'Калькуляция (МИ)'!$F$25:$F$459,$F95,'Калькуляция (МИ)'!$G$25:$G$459,$G95))))</f>
        <v>0</v>
      </c>
      <c r="BG95" s="214">
        <f ca="1">IF(BE95=0,0,(BF95-BE95)/BE95*100)</f>
        <v>0</v>
      </c>
      <c r="BH95" s="815"/>
      <c r="BI95" s="815"/>
      <c r="BJ95" s="214">
        <f>IF(BH95=0,0,(BI95-BH95)/BH95*100)</f>
        <v>0</v>
      </c>
      <c r="BK95" s="815"/>
      <c r="BL95" s="815"/>
      <c r="BM95" s="214">
        <f>IF(BK95=0,0,(BL95-BK95)/BK95*100)</f>
        <v>0</v>
      </c>
      <c r="BN95" s="815"/>
      <c r="BO95" s="815"/>
      <c r="BP95" s="214">
        <f>IF(BN95=0,0,(BO95-BN95)/BN95*100)</f>
        <v>0</v>
      </c>
      <c r="BQ95" s="815"/>
      <c r="BR95" s="815"/>
      <c r="BS95" s="214">
        <f>IF(BQ95=0,0,(BR95-BQ95)/BQ95*100)</f>
        <v>0</v>
      </c>
      <c r="BT95" s="815"/>
      <c r="BU95" s="815"/>
      <c r="BV95" s="214">
        <f>IF(BT95=0,0,(BU95-BT95)/BT95*100)</f>
        <v>0</v>
      </c>
      <c r="BW95" s="815"/>
      <c r="BX95" s="815"/>
      <c r="BY95" s="214">
        <f>IF(BW95=0,0,(BX95-BW95)/BW95*100)</f>
        <v>0</v>
      </c>
      <c r="BZ95" s="815"/>
      <c r="CA95" s="815"/>
      <c r="CB95" s="214">
        <f>IF(BZ95=0,0,(CA95-BZ95)/BZ95*100)</f>
        <v>0</v>
      </c>
      <c r="CC95" s="815"/>
      <c r="CD95" s="815"/>
      <c r="CE95" s="214">
        <f>IF(CC95=0,0,(CD95-CC95)/CC95*100)</f>
        <v>0</v>
      </c>
      <c r="CF95" s="815"/>
      <c r="CG95" s="815"/>
      <c r="CH95" s="214">
        <f>IF(CF95=0,0,(CG95-CF95)/CF95*100)</f>
        <v>0</v>
      </c>
      <c r="CI95" s="815"/>
      <c r="CJ95" s="815"/>
      <c r="CK95" s="214">
        <f>IF(CI95=0,0,(CJ95-CI95)/CI95*100)</f>
        <v>0</v>
      </c>
      <c r="CL95" s="815"/>
      <c r="CM95" s="815"/>
      <c r="CN95" s="214">
        <f>IF(CL95=0,0,(CM95-CL95)/CL95*100)</f>
        <v>0</v>
      </c>
      <c r="CO95" s="815"/>
      <c r="CP95" s="815"/>
      <c r="CQ95" s="214">
        <f>IF(CO95=0,0,(CP95-CO95)/CO95*100)</f>
        <v>0</v>
      </c>
      <c r="CR95" s="815"/>
      <c r="CS95" s="815"/>
      <c r="CT95" s="214">
        <f>IF(CR95=0,0,(CS95-CR95)/CR95*100)</f>
        <v>0</v>
      </c>
      <c r="CU95" s="815"/>
      <c r="CV95" s="815"/>
      <c r="CW95" s="214">
        <f>IF(CU95=0,0,(CV95-CU95)/CU95*100)</f>
        <v>0</v>
      </c>
      <c r="CX95" s="815"/>
      <c r="CY95" s="815"/>
      <c r="CZ95" s="214">
        <f>IF(CX95=0,0,(CY95-CX95)/CX95*100)</f>
        <v>0</v>
      </c>
      <c r="DA95" s="815"/>
      <c r="DB95" s="815"/>
      <c r="DC95" s="214">
        <f>IF(DA95=0,0,(DB95-DA95)/DA95*100)</f>
        <v>0</v>
      </c>
      <c r="DD95" s="815"/>
      <c r="DE95" s="815"/>
      <c r="DF95" s="214">
        <f>IF(DD95=0,0,(DE95-DD95)/DD95*100)</f>
        <v>0</v>
      </c>
      <c r="DG95" s="815"/>
      <c r="DH95" s="815"/>
      <c r="DI95" s="214">
        <f>IF(DG95=0,0,(DH95-DG95)/DG95*100)</f>
        <v>0</v>
      </c>
      <c r="DJ95" s="815"/>
      <c r="DK95" s="815"/>
      <c r="DL95" s="214">
        <f>IF(DJ95=0,0,(DK95-DJ95)/DJ95*100)</f>
        <v>0</v>
      </c>
      <c r="DM95" s="815"/>
      <c r="DN95" s="815"/>
      <c r="DO95" s="214">
        <f>IF(DM95=0,0,(DN95-DM95)/DM95*100)</f>
        <v>0</v>
      </c>
      <c r="DP95" s="815"/>
      <c r="DQ95" s="815"/>
      <c r="DR95" s="214">
        <f>IF(DP95=0,0,(DQ95-DP95)/DP95*100)</f>
        <v>0</v>
      </c>
      <c r="DS95" s="815"/>
      <c r="DT95" s="815"/>
      <c r="DU95" s="214">
        <f>IF(DS95=0,0,(DT95-DS95)/DS95*100)</f>
        <v>0</v>
      </c>
      <c r="DV95" s="815"/>
      <c r="DW95" s="815"/>
      <c r="DX95" s="214">
        <f>IF(DV95=0,0,(DW95-DV95)/DV95*100)</f>
        <v>0</v>
      </c>
      <c r="DY95" s="815"/>
      <c r="DZ95" s="815"/>
      <c r="EA95" s="214">
        <f>IF(DY95=0,0,(DZ95-DY95)/DY95*100)</f>
        <v>0</v>
      </c>
      <c r="EB95" s="815"/>
      <c r="EC95" s="815"/>
      <c r="ED95" s="214">
        <f>IF(EB95=0,0,(EC95-EB95)/EB95*100)</f>
        <v>0</v>
      </c>
      <c r="EE95" s="815"/>
      <c r="EF95" s="815"/>
      <c r="EG95" s="214">
        <f>IF(EE95=0,0,(EF95-EE95)/EE95*100)</f>
        <v>0</v>
      </c>
      <c r="EH95" s="815"/>
      <c r="EI95" s="815"/>
      <c r="EJ95" s="214">
        <f>IF(EH95=0,0,(EI95-EH95)/EH95*100)</f>
        <v>0</v>
      </c>
      <c r="EK95" s="815"/>
      <c r="EL95" s="815"/>
      <c r="EM95" s="214">
        <f>IF(EK95=0,0,(EL95-EK95)/EK95*100)</f>
        <v>0</v>
      </c>
      <c r="EN95" s="815"/>
      <c r="EO95" s="815"/>
      <c r="EP95" s="214">
        <f>IF(EN95=0,0,(EO95-EN95)/EN95*100)</f>
        <v>0</v>
      </c>
      <c r="EQ95" s="815"/>
      <c r="ER95" s="815"/>
      <c r="ES95" s="214">
        <f>IF(EQ95=0,0,(ER95-EQ95)/EQ95*100)</f>
        <v>0</v>
      </c>
      <c r="ET95" s="815"/>
      <c r="EU95" s="815"/>
      <c r="EV95" s="214">
        <f>IF(ET95=0,0,(EU95-ET95)/ET95*100)</f>
        <v>0</v>
      </c>
      <c r="EW95" s="815"/>
      <c r="EX95" s="815"/>
      <c r="EY95" s="214">
        <f>IF(EW95=0,0,(EX95-EW95)/EW95*100)</f>
        <v>0</v>
      </c>
      <c r="EZ95" s="815"/>
      <c r="FA95" s="815"/>
      <c r="FB95" s="214">
        <f>IF(EZ95=0,0,(FA95-EZ95)/EZ95*100)</f>
        <v>0</v>
      </c>
      <c r="FC95" s="815"/>
      <c r="FD95" s="815"/>
      <c r="FE95" s="214">
        <f>IF(FC95=0,0,(FD95-FC95)/FC95*100)</f>
        <v>0</v>
      </c>
      <c r="FF95" s="815"/>
      <c r="FG95" s="815"/>
      <c r="FH95" s="214">
        <f>IF(FF95=0,0,(FG95-FF95)/FF95*100)</f>
        <v>0</v>
      </c>
      <c r="FI95" s="815"/>
      <c r="FJ95" s="815"/>
      <c r="FK95" s="214">
        <f>IF(FI95=0,0,(FJ95-FI95)/FI95*100)</f>
        <v>0</v>
      </c>
      <c r="FL95" s="815"/>
      <c r="FM95" s="815"/>
      <c r="FN95" s="214">
        <f>IF(FL95=0,0,(FM95-FL95)/FL95*100)</f>
        <v>0</v>
      </c>
      <c r="FO95" s="815"/>
      <c r="FP95" s="815"/>
      <c r="FQ95" s="214">
        <f>IF(FO95=0,0,(FP95-FO95)/FO95*100)</f>
        <v>0</v>
      </c>
      <c r="FR95" s="815"/>
      <c r="FS95" s="815"/>
      <c r="FT95" s="214">
        <f>IF(FR95=0,0,(FS95-FR95)/FR95*100)</f>
        <v>0</v>
      </c>
      <c r="FU95" s="815"/>
      <c r="FV95" s="815"/>
      <c r="FW95" s="214">
        <f>IF(FU95=0,0,(FV95-FU95)/FU95*100)</f>
        <v>0</v>
      </c>
      <c r="FX95" s="210"/>
      <c r="FY95" s="210"/>
      <c r="FZ95" s="964" t="s">
        <v>1607</v>
      </c>
      <c r="GA95" s="964"/>
      <c r="GB95" s="964"/>
      <c r="GC95" s="965"/>
      <c r="GD95" s="965"/>
    </row>
    <row r="96" spans="1:186" s="1334" customFormat="1" ht="14.25" customHeight="1" x14ac:dyDescent="0.15">
      <c r="A96" s="416"/>
      <c r="B96" s="837" t="b" cm="1">
        <f t="array" ref="B96">B95</f>
        <v>1</v>
      </c>
      <c r="C96" s="416"/>
      <c r="D96" s="416"/>
      <c r="E96" s="759">
        <v>15</v>
      </c>
      <c r="F96" s="3" t="str" cm="1">
        <f t="array" aca="1" ref="F96" ca="1">OFFSET(E96,-1,1)</f>
        <v>1</v>
      </c>
      <c r="G96" s="26"/>
      <c r="H96" s="416" t="s">
        <v>498</v>
      </c>
      <c r="I96" s="416" t="s">
        <v>1608</v>
      </c>
      <c r="J96" s="416"/>
      <c r="K96" s="416"/>
      <c r="L96" s="416"/>
      <c r="M96" s="416"/>
      <c r="N96" s="416"/>
      <c r="O96" s="416"/>
      <c r="P96" s="416"/>
      <c r="Q96" s="813"/>
      <c r="R96" s="416"/>
      <c r="S96" s="416"/>
      <c r="T96" s="388" t="b" cm="1">
        <f t="array" ref="T96">T95</f>
        <v>1</v>
      </c>
      <c r="U96" s="416"/>
      <c r="V96" s="416"/>
      <c r="W96" s="416"/>
      <c r="X96" s="2066"/>
      <c r="Y96" s="416"/>
      <c r="Z96" s="2011"/>
      <c r="AA96" s="416"/>
      <c r="AB96" s="999" t="s">
        <v>1595</v>
      </c>
      <c r="AC96" s="783" t="s">
        <v>490</v>
      </c>
      <c r="AD96" s="1002">
        <f ca="1">IF(AD94=0,0,AD95/AD94)*100</f>
        <v>100</v>
      </c>
      <c r="AE96" s="1002">
        <f ca="1">IF(AE94=0,0,AE95/AE94)*100</f>
        <v>114.02439951166615</v>
      </c>
      <c r="AF96" s="1003"/>
      <c r="AG96" s="1002">
        <f ca="1">IF(AG94=0,0,AG95/AG94)*100</f>
        <v>100</v>
      </c>
      <c r="AH96" s="1002">
        <f ca="1">IF(AH94=0,0,AH95/AH94)*100</f>
        <v>104.61990555544021</v>
      </c>
      <c r="AI96" s="1003"/>
      <c r="AJ96" s="1002">
        <f ca="1">IF(AJ94=0,0,AJ95/AJ94)*100</f>
        <v>100</v>
      </c>
      <c r="AK96" s="1002">
        <f ca="1">IF(AK94=0,0,AK95/AK94)*100</f>
        <v>104.03032635879572</v>
      </c>
      <c r="AL96" s="1003"/>
      <c r="AM96" s="1002">
        <f ca="1">IF(AM94=0,0,AM95/AM94)*100</f>
        <v>100</v>
      </c>
      <c r="AN96" s="1002">
        <f ca="1">IF(AN94=0,0,AN95/AN94)*100</f>
        <v>105.19734738437407</v>
      </c>
      <c r="AO96" s="1003"/>
      <c r="AP96" s="1002">
        <f ca="1">IF(AP94=0,0,AP95/AP94)*100</f>
        <v>100</v>
      </c>
      <c r="AQ96" s="1002">
        <f ca="1">IF(AQ94=0,0,AQ95/AQ94)*100</f>
        <v>103.45217874196547</v>
      </c>
      <c r="AR96" s="1003"/>
      <c r="AS96" s="1002">
        <f ca="1">IF(AS94=0,0,AS95/AS94)*100</f>
        <v>100</v>
      </c>
      <c r="AT96" s="1002">
        <f ca="1">IF(AT94=0,0,AT95/AT94)*100</f>
        <v>103.54793552884416</v>
      </c>
      <c r="AU96" s="1003"/>
      <c r="AV96" s="1002">
        <f ca="1">IF(AV94=0,0,AV95/AV94)*100</f>
        <v>100</v>
      </c>
      <c r="AW96" s="1002">
        <f ca="1">IF(AW94=0,0,AW95/AW94)*100</f>
        <v>102.99228008234897</v>
      </c>
      <c r="AX96" s="1003"/>
      <c r="AY96" s="1002">
        <f ca="1">IF(AY94=0,0,AY95/AY94)*100</f>
        <v>0</v>
      </c>
      <c r="AZ96" s="1002">
        <f ca="1">IF(AZ94=0,0,AZ95/AZ94)*100</f>
        <v>0</v>
      </c>
      <c r="BA96" s="1003"/>
      <c r="BB96" s="1002">
        <f ca="1">IF(BB94=0,0,BB95/BB94)*100</f>
        <v>0</v>
      </c>
      <c r="BC96" s="1002">
        <f ca="1">IF(BC94=0,0,BC95/BC94)*100</f>
        <v>0</v>
      </c>
      <c r="BD96" s="1003"/>
      <c r="BE96" s="1002">
        <f ca="1">IF(BE94=0,0,BE95/BE94)*100</f>
        <v>0</v>
      </c>
      <c r="BF96" s="1002">
        <f ca="1">IF(BF94=0,0,BF95/BF94)*100</f>
        <v>0</v>
      </c>
      <c r="BG96" s="1003"/>
      <c r="BH96" s="1002">
        <f>IF(BH94=0,0,BH95/BH94)*100</f>
        <v>0</v>
      </c>
      <c r="BI96" s="1002">
        <f>IF(BI94=0,0,BI95/BI94)*100</f>
        <v>0</v>
      </c>
      <c r="BJ96" s="1003"/>
      <c r="BK96" s="1002">
        <f>IF(BK94=0,0,BK95/BK94)*100</f>
        <v>0</v>
      </c>
      <c r="BL96" s="1002">
        <f>IF(BL94=0,0,BL95/BL94)*100</f>
        <v>0</v>
      </c>
      <c r="BM96" s="1003"/>
      <c r="BN96" s="1002">
        <f>IF(BN94=0,0,BN95/BN94)*100</f>
        <v>0</v>
      </c>
      <c r="BO96" s="1002">
        <f>IF(BO94=0,0,BO95/BO94)*100</f>
        <v>0</v>
      </c>
      <c r="BP96" s="1003"/>
      <c r="BQ96" s="1002">
        <f>IF(BQ94=0,0,BQ95/BQ94)*100</f>
        <v>0</v>
      </c>
      <c r="BR96" s="1002">
        <f>IF(BR94=0,0,BR95/BR94)*100</f>
        <v>0</v>
      </c>
      <c r="BS96" s="1003"/>
      <c r="BT96" s="1002">
        <f>IF(BT94=0,0,BT95/BT94)*100</f>
        <v>0</v>
      </c>
      <c r="BU96" s="1002">
        <f>IF(BU94=0,0,BU95/BU94)*100</f>
        <v>0</v>
      </c>
      <c r="BV96" s="1003"/>
      <c r="BW96" s="1002">
        <f>IF(BW94=0,0,BW95/BW94)*100</f>
        <v>0</v>
      </c>
      <c r="BX96" s="1002">
        <f>IF(BX94=0,0,BX95/BX94)*100</f>
        <v>0</v>
      </c>
      <c r="BY96" s="1003"/>
      <c r="BZ96" s="1002">
        <f>IF(BZ94=0,0,BZ95/BZ94)*100</f>
        <v>0</v>
      </c>
      <c r="CA96" s="1002">
        <f>IF(CA94=0,0,CA95/CA94)*100</f>
        <v>0</v>
      </c>
      <c r="CB96" s="1003"/>
      <c r="CC96" s="1002">
        <f>IF(CC94=0,0,CC95/CC94)*100</f>
        <v>0</v>
      </c>
      <c r="CD96" s="1002">
        <f>IF(CD94=0,0,CD95/CD94)*100</f>
        <v>0</v>
      </c>
      <c r="CE96" s="1003"/>
      <c r="CF96" s="1002">
        <f>IF(CF94=0,0,CF95/CF94)*100</f>
        <v>0</v>
      </c>
      <c r="CG96" s="1002">
        <f>IF(CG94=0,0,CG95/CG94)*100</f>
        <v>0</v>
      </c>
      <c r="CH96" s="1003"/>
      <c r="CI96" s="1002">
        <f>IF(CI94=0,0,CI95/CI94)*100</f>
        <v>0</v>
      </c>
      <c r="CJ96" s="1002">
        <f>IF(CJ94=0,0,CJ95/CJ94)*100</f>
        <v>0</v>
      </c>
      <c r="CK96" s="1003"/>
      <c r="CL96" s="1002">
        <f>IF(CL94=0,0,CL95/CL94)*100</f>
        <v>0</v>
      </c>
      <c r="CM96" s="1002">
        <f>IF(CM94=0,0,CM95/CM94)*100</f>
        <v>0</v>
      </c>
      <c r="CN96" s="1003"/>
      <c r="CO96" s="1002">
        <f>IF(CO94=0,0,CO95/CO94)*100</f>
        <v>0</v>
      </c>
      <c r="CP96" s="1002">
        <f>IF(CP94=0,0,CP95/CP94)*100</f>
        <v>0</v>
      </c>
      <c r="CQ96" s="1003"/>
      <c r="CR96" s="1002">
        <f>IF(CR94=0,0,CR95/CR94)*100</f>
        <v>0</v>
      </c>
      <c r="CS96" s="1002">
        <f>IF(CS94=0,0,CS95/CS94)*100</f>
        <v>0</v>
      </c>
      <c r="CT96" s="1003"/>
      <c r="CU96" s="1002">
        <f>IF(CU94=0,0,CU95/CU94)*100</f>
        <v>0</v>
      </c>
      <c r="CV96" s="1002">
        <f>IF(CV94=0,0,CV95/CV94)*100</f>
        <v>0</v>
      </c>
      <c r="CW96" s="1003"/>
      <c r="CX96" s="1002">
        <f>IF(CX94=0,0,CX95/CX94)*100</f>
        <v>0</v>
      </c>
      <c r="CY96" s="1002">
        <f>IF(CY94=0,0,CY95/CY94)*100</f>
        <v>0</v>
      </c>
      <c r="CZ96" s="1003"/>
      <c r="DA96" s="1002">
        <f>IF(DA94=0,0,DA95/DA94)*100</f>
        <v>0</v>
      </c>
      <c r="DB96" s="1002">
        <f>IF(DB94=0,0,DB95/DB94)*100</f>
        <v>0</v>
      </c>
      <c r="DC96" s="1003"/>
      <c r="DD96" s="1002">
        <f>IF(DD94=0,0,DD95/DD94)*100</f>
        <v>0</v>
      </c>
      <c r="DE96" s="1002">
        <f>IF(DE94=0,0,DE95/DE94)*100</f>
        <v>0</v>
      </c>
      <c r="DF96" s="1003"/>
      <c r="DG96" s="1002">
        <f>IF(DG94=0,0,DG95/DG94)*100</f>
        <v>0</v>
      </c>
      <c r="DH96" s="1002">
        <f>IF(DH94=0,0,DH95/DH94)*100</f>
        <v>0</v>
      </c>
      <c r="DI96" s="1003"/>
      <c r="DJ96" s="1002">
        <f>IF(DJ94=0,0,DJ95/DJ94)*100</f>
        <v>0</v>
      </c>
      <c r="DK96" s="1002">
        <f>IF(DK94=0,0,DK95/DK94)*100</f>
        <v>0</v>
      </c>
      <c r="DL96" s="1003"/>
      <c r="DM96" s="1002">
        <f>IF(DM94=0,0,DM95/DM94)*100</f>
        <v>0</v>
      </c>
      <c r="DN96" s="1002">
        <f>IF(DN94=0,0,DN95/DN94)*100</f>
        <v>0</v>
      </c>
      <c r="DO96" s="1003"/>
      <c r="DP96" s="1002">
        <f>IF(DP94=0,0,DP95/DP94)*100</f>
        <v>0</v>
      </c>
      <c r="DQ96" s="1002">
        <f>IF(DQ94=0,0,DQ95/DQ94)*100</f>
        <v>0</v>
      </c>
      <c r="DR96" s="1003"/>
      <c r="DS96" s="1002">
        <f>IF(DS94=0,0,DS95/DS94)*100</f>
        <v>0</v>
      </c>
      <c r="DT96" s="1002">
        <f>IF(DT94=0,0,DT95/DT94)*100</f>
        <v>0</v>
      </c>
      <c r="DU96" s="1003"/>
      <c r="DV96" s="1002">
        <f>IF(DV94=0,0,DV95/DV94)*100</f>
        <v>0</v>
      </c>
      <c r="DW96" s="1002">
        <f>IF(DW94=0,0,DW95/DW94)*100</f>
        <v>0</v>
      </c>
      <c r="DX96" s="1003"/>
      <c r="DY96" s="1002">
        <f>IF(DY94=0,0,DY95/DY94)*100</f>
        <v>0</v>
      </c>
      <c r="DZ96" s="1002">
        <f>IF(DZ94=0,0,DZ95/DZ94)*100</f>
        <v>0</v>
      </c>
      <c r="EA96" s="1003"/>
      <c r="EB96" s="1002">
        <f>IF(EB94=0,0,EB95/EB94)*100</f>
        <v>0</v>
      </c>
      <c r="EC96" s="1002">
        <f>IF(EC94=0,0,EC95/EC94)*100</f>
        <v>0</v>
      </c>
      <c r="ED96" s="1003"/>
      <c r="EE96" s="1002">
        <f>IF(EE94=0,0,EE95/EE94)*100</f>
        <v>0</v>
      </c>
      <c r="EF96" s="1002">
        <f>IF(EF94=0,0,EF95/EF94)*100</f>
        <v>0</v>
      </c>
      <c r="EG96" s="1003"/>
      <c r="EH96" s="1002">
        <f>IF(EH94=0,0,EH95/EH94)*100</f>
        <v>0</v>
      </c>
      <c r="EI96" s="1002">
        <f>IF(EI94=0,0,EI95/EI94)*100</f>
        <v>0</v>
      </c>
      <c r="EJ96" s="1003"/>
      <c r="EK96" s="1002">
        <f>IF(EK94=0,0,EK95/EK94)*100</f>
        <v>0</v>
      </c>
      <c r="EL96" s="1002">
        <f>IF(EL94=0,0,EL95/EL94)*100</f>
        <v>0</v>
      </c>
      <c r="EM96" s="1003"/>
      <c r="EN96" s="1002">
        <f>IF(EN94=0,0,EN95/EN94)*100</f>
        <v>0</v>
      </c>
      <c r="EO96" s="1002">
        <f>IF(EO94=0,0,EO95/EO94)*100</f>
        <v>0</v>
      </c>
      <c r="EP96" s="1003"/>
      <c r="EQ96" s="1002">
        <f>IF(EQ94=0,0,EQ95/EQ94)*100</f>
        <v>0</v>
      </c>
      <c r="ER96" s="1002">
        <f>IF(ER94=0,0,ER95/ER94)*100</f>
        <v>0</v>
      </c>
      <c r="ES96" s="1003"/>
      <c r="ET96" s="1002">
        <f>IF(ET94=0,0,ET95/ET94)*100</f>
        <v>0</v>
      </c>
      <c r="EU96" s="1002">
        <f>IF(EU94=0,0,EU95/EU94)*100</f>
        <v>0</v>
      </c>
      <c r="EV96" s="1003"/>
      <c r="EW96" s="1002">
        <f>IF(EW94=0,0,EW95/EW94)*100</f>
        <v>0</v>
      </c>
      <c r="EX96" s="1002">
        <f>IF(EX94=0,0,EX95/EX94)*100</f>
        <v>0</v>
      </c>
      <c r="EY96" s="1003"/>
      <c r="EZ96" s="1002">
        <f>IF(EZ94=0,0,EZ95/EZ94)*100</f>
        <v>0</v>
      </c>
      <c r="FA96" s="1002">
        <f>IF(FA94=0,0,FA95/FA94)*100</f>
        <v>0</v>
      </c>
      <c r="FB96" s="1003"/>
      <c r="FC96" s="1002">
        <f>IF(FC94=0,0,FC95/FC94)*100</f>
        <v>0</v>
      </c>
      <c r="FD96" s="1002">
        <f>IF(FD94=0,0,FD95/FD94)*100</f>
        <v>0</v>
      </c>
      <c r="FE96" s="1003"/>
      <c r="FF96" s="1002">
        <f>IF(FF94=0,0,FF95/FF94)*100</f>
        <v>0</v>
      </c>
      <c r="FG96" s="1002">
        <f>IF(FG94=0,0,FG95/FG94)*100</f>
        <v>0</v>
      </c>
      <c r="FH96" s="1003"/>
      <c r="FI96" s="1002">
        <f>IF(FI94=0,0,FI95/FI94)*100</f>
        <v>0</v>
      </c>
      <c r="FJ96" s="1002">
        <f>IF(FJ94=0,0,FJ95/FJ94)*100</f>
        <v>0</v>
      </c>
      <c r="FK96" s="1003"/>
      <c r="FL96" s="1002">
        <f>IF(FL94=0,0,FL95/FL94)*100</f>
        <v>0</v>
      </c>
      <c r="FM96" s="1002">
        <f>IF(FM94=0,0,FM95/FM94)*100</f>
        <v>0</v>
      </c>
      <c r="FN96" s="1003"/>
      <c r="FO96" s="1002">
        <f>IF(FO94=0,0,FO95/FO94)*100</f>
        <v>0</v>
      </c>
      <c r="FP96" s="1002">
        <f>IF(FP94=0,0,FP95/FP94)*100</f>
        <v>0</v>
      </c>
      <c r="FQ96" s="1003"/>
      <c r="FR96" s="1002">
        <f>IF(FR94=0,0,FR95/FR94)*100</f>
        <v>0</v>
      </c>
      <c r="FS96" s="1002">
        <f>IF(FS94=0,0,FS95/FS94)*100</f>
        <v>0</v>
      </c>
      <c r="FT96" s="1003"/>
      <c r="FU96" s="1002">
        <f>IF(FU94=0,0,FU95/FU94)*100</f>
        <v>0</v>
      </c>
      <c r="FV96" s="1002">
        <f>IF(FV94=0,0,FV95/FV94)*100</f>
        <v>0</v>
      </c>
      <c r="FW96" s="1003"/>
      <c r="FX96" s="210"/>
      <c r="FY96" s="1214"/>
      <c r="FZ96" s="964" t="s">
        <v>1609</v>
      </c>
      <c r="GA96" s="1216"/>
      <c r="GB96" s="1216"/>
      <c r="GC96" s="1215"/>
      <c r="GD96" s="1215"/>
    </row>
    <row r="97" spans="1:186" s="1334" customFormat="1" ht="14.25" customHeight="1" x14ac:dyDescent="0.15">
      <c r="A97" s="416"/>
      <c r="B97" s="837" t="b" cm="1">
        <f t="array" ref="B97">B96</f>
        <v>1</v>
      </c>
      <c r="C97" s="416"/>
      <c r="D97" s="416"/>
      <c r="E97" s="759">
        <v>15</v>
      </c>
      <c r="F97" s="3" t="str" cm="1">
        <f t="array" aca="1" ref="F97" ca="1">OFFSET(E97,-1,1)</f>
        <v>1</v>
      </c>
      <c r="G97" s="26" t="s">
        <v>1610</v>
      </c>
      <c r="H97" s="416" t="s">
        <v>501</v>
      </c>
      <c r="I97" s="416" t="s">
        <v>1608</v>
      </c>
      <c r="J97" s="416"/>
      <c r="K97" s="416"/>
      <c r="L97" s="416"/>
      <c r="M97" s="416"/>
      <c r="N97" s="416"/>
      <c r="O97" s="416"/>
      <c r="P97" s="416"/>
      <c r="Q97" s="813"/>
      <c r="R97" s="416"/>
      <c r="S97" s="416"/>
      <c r="T97" s="388" t="b" cm="1">
        <f t="array" ref="T97">T96</f>
        <v>1</v>
      </c>
      <c r="U97" s="416"/>
      <c r="V97" s="416"/>
      <c r="W97" s="416"/>
      <c r="X97" s="2066"/>
      <c r="Y97" s="416"/>
      <c r="Z97" s="2011"/>
      <c r="AA97" s="416"/>
      <c r="AB97" s="816" t="s">
        <v>1611</v>
      </c>
      <c r="AC97" s="783" t="s">
        <v>563</v>
      </c>
      <c r="AD97" s="1004">
        <f ca="1">IF(AND(method_reg="Метод индексации",god&lt;&gt;first_year),SUMIFS(INDEX('Калькуляция (МИ корр)'!$AJ$25:$BC$459,,MATCH(AD$8,'Калькуляция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(МИ)'!$AJ$25:$BC$459,,MATCH(AD$8,'Калькуляция (МИ)'!$AJ$8:$BC$8,0)),'Калькуляция (МИ)'!$F$25:$F$459,$F97,'Калькуляция (МИ)'!$G$25:$G$459,$G97))))</f>
        <v>1899.518</v>
      </c>
      <c r="AE97" s="1004">
        <f ca="1">IF(AND(method_reg="Метод индексации",god&lt;&gt;first_year),SUMIFS(INDEX('Калькуляция (МИ корр)'!$AJ$25:$BC$459,,MATCH(AE$8,'Калькуляция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(МИ)'!$AJ$25:$BC$459,,MATCH(AE$8,'Калькуляция (МИ)'!$AJ$8:$BC$8,0)),'Калькуляция (МИ)'!$F$25:$F$459,$F97,'Калькуляция (МИ)'!$G$25:$G$459,$G97))))</f>
        <v>1899.5178800000001</v>
      </c>
      <c r="AF97" s="1005">
        <f ca="1">IF(AD97=0,0,(AE97-AD97)/AD97*100)</f>
        <v>-6.3173920923309387E-6</v>
      </c>
      <c r="AG97" s="1443">
        <f ca="1">IF(AND(method_reg="Метод индексации",god&lt;&gt;first_year),SUMIFS(INDEX('Калькуляция (МИ корр)'!$AJ$25:$BC$459,,MATCH(AG$8,'Калькуляция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(МИ)'!$AJ$25:$BC$459,,MATCH(AG$8,'Калькуляция (МИ)'!$AJ$8:$BC$8,0)),'Калькуляция (МИ)'!$F$25:$F$459,$F97,'Калькуляция (МИ)'!$G$25:$G$459,$G97))))</f>
        <v>2313.2607899999998</v>
      </c>
      <c r="AH97" s="1443">
        <f ca="1">IF(AND(method_reg="Метод индексации",god&lt;&gt;first_year),SUMIFS(INDEX('Калькуляция (МИ корр)'!$AJ$25:$BC$459,,MATCH(AH$8,'Калькуляция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(МИ)'!$AJ$25:$BC$459,,MATCH(AH$8,'Калькуляция (МИ)'!$AJ$8:$BC$8,0)),'Калькуляция (МИ)'!$F$25:$F$459,$F97,'Калькуляция (МИ)'!$G$25:$G$459,$G97))))</f>
        <v>2186.3342320000002</v>
      </c>
      <c r="AI97" s="1005">
        <f ca="1">IF(AG97=0,0,(AH97-AG97)/AG97*100)</f>
        <v>-5.4869108813278107</v>
      </c>
      <c r="AJ97" s="1443">
        <f ca="1">IF(AND(method_reg="Метод индексации",god&lt;&gt;first_year),SUMIFS(INDEX('Калькуляция (МИ корр)'!$AJ$25:$BC$459,,MATCH(AJ$8,'Калькуляция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(МИ)'!$AJ$25:$BC$459,,MATCH(AJ$8,'Калькуляция (МИ)'!$AJ$8:$BC$8,0)),'Калькуляция (МИ)'!$F$25:$F$459,$F97,'Калькуляция (МИ)'!$G$25:$G$459,$G97))))</f>
        <v>2313.2607899999998</v>
      </c>
      <c r="AK97" s="1443">
        <f ca="1">IF(AND(method_reg="Метод индексации",god&lt;&gt;first_year),SUMIFS(INDEX('Калькуляция (МИ корр)'!$AJ$25:$BC$459,,MATCH(AK$8,'Калькуляция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(МИ)'!$AJ$25:$BC$459,,MATCH(AK$8,'Калькуляция (МИ)'!$AJ$8:$BC$8,0)),'Калькуляция (МИ)'!$F$25:$F$459,$F97,'Калькуляция (МИ)'!$G$25:$G$459,$G97))))</f>
        <v>2186.3342320000002</v>
      </c>
      <c r="AL97" s="1005">
        <f ca="1">IF(AJ97=0,0,(AK97-AJ97)/AJ97*100)</f>
        <v>-5.4869108813278107</v>
      </c>
      <c r="AM97" s="1443">
        <f ca="1">IF(AND(method_reg="Метод индексации",god&lt;&gt;first_year),SUMIFS(INDEX('Калькуляция (МИ корр)'!$AJ$25:$BC$459,,MATCH(AM$8,'Калькуляция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(МИ)'!$AJ$25:$BC$459,,MATCH(AM$8,'Калькуляция (МИ)'!$AJ$8:$BC$8,0)),'Калькуляция (МИ)'!$F$25:$F$459,$F97,'Калькуляция (МИ)'!$G$25:$G$459,$G97))))</f>
        <v>2313.2607899999998</v>
      </c>
      <c r="AN97" s="1443">
        <f ca="1">IF(AND(method_reg="Метод индексации",god&lt;&gt;first_year),SUMIFS(INDEX('Калькуляция (МИ корр)'!$AJ$25:$BC$459,,MATCH(AN$8,'Калькуляция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(МИ)'!$AJ$25:$BC$459,,MATCH(AN$8,'Калькуляция (МИ)'!$AJ$8:$BC$8,0)),'Калькуляция (МИ)'!$F$25:$F$459,$F97,'Калькуляция (МИ)'!$G$25:$G$459,$G97))))</f>
        <v>2186.3342320000002</v>
      </c>
      <c r="AO97" s="1005">
        <f ca="1">IF(AM97=0,0,(AN97-AM97)/AM97*100)</f>
        <v>-5.4869108813278107</v>
      </c>
      <c r="AP97" s="1443">
        <f ca="1">IF(AND(method_reg="Метод индексации",god&lt;&gt;first_year),SUMIFS(INDEX('Калькуляция (МИ корр)'!$AJ$25:$BC$459,,MATCH(AP$8,'Калькуляция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(МИ)'!$AJ$25:$BC$459,,MATCH(AP$8,'Калькуляция (МИ)'!$AJ$8:$BC$8,0)),'Калькуляция (МИ)'!$F$25:$F$459,$F97,'Калькуляция (МИ)'!$G$25:$G$459,$G97))))</f>
        <v>2313.2607899999998</v>
      </c>
      <c r="AQ97" s="1443">
        <f ca="1">IF(AND(method_reg="Метод индексации",god&lt;&gt;first_year),SUMIFS(INDEX('Калькуляция (МИ корр)'!$AJ$25:$BC$459,,MATCH(AQ$8,'Калькуляция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(МИ)'!$AJ$25:$BC$459,,MATCH(AQ$8,'Калькуляция (МИ)'!$AJ$8:$BC$8,0)),'Калькуляция (МИ)'!$F$25:$F$459,$F97,'Калькуляция (МИ)'!$G$25:$G$459,$G97))))</f>
        <v>2186.3342320000002</v>
      </c>
      <c r="AR97" s="1005">
        <f ca="1">IF(AP97=0,0,(AQ97-AP97)/AP97*100)</f>
        <v>-5.4869108813278107</v>
      </c>
      <c r="AS97" s="1443">
        <f ca="1">IF(AND(method_reg="Метод индексации",god&lt;&gt;first_year),SUMIFS(INDEX('Калькуляция (МИ корр)'!$AJ$25:$BC$459,,MATCH(AS$8,'Калькуляция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(МИ)'!$AJ$25:$BC$459,,MATCH(AS$8,'Калькуляция (МИ)'!$AJ$8:$BC$8,0)),'Калькуляция (МИ)'!$F$25:$F$459,$F97,'Калькуляция (МИ)'!$G$25:$G$459,$G97))))</f>
        <v>2313.2607899999998</v>
      </c>
      <c r="AT97" s="1443">
        <f ca="1">IF(AND(method_reg="Метод индексации",god&lt;&gt;first_year),SUMIFS(INDEX('Калькуляция (МИ корр)'!$AJ$25:$BC$459,,MATCH(AT$8,'Калькуляция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(МИ)'!$AJ$25:$BC$459,,MATCH(AT$8,'Калькуляция (МИ)'!$AJ$8:$BC$8,0)),'Калькуляция (МИ)'!$F$25:$F$459,$F97,'Калькуляция (МИ)'!$G$25:$G$459,$G97))))</f>
        <v>2186.3342320000002</v>
      </c>
      <c r="AU97" s="1005">
        <f ca="1">IF(AS97=0,0,(AT97-AS97)/AS97*100)</f>
        <v>-5.4869108813278107</v>
      </c>
      <c r="AV97" s="1443">
        <f ca="1">IF(AND(method_reg="Метод индексации",god&lt;&gt;first_year),SUMIFS(INDEX('Калькуляция (МИ корр)'!$AJ$25:$BC$459,,MATCH(AV$8,'Калькуляция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(МИ)'!$AJ$25:$BC$459,,MATCH(AV$8,'Калькуляция (МИ)'!$AJ$8:$BC$8,0)),'Калькуляция (МИ)'!$F$25:$F$459,$F97,'Калькуляция (МИ)'!$G$25:$G$459,$G97))))</f>
        <v>2313.2607899999998</v>
      </c>
      <c r="AW97" s="1443">
        <f ca="1">IF(AND(method_reg="Метод индексации",god&lt;&gt;first_year),SUMIFS(INDEX('Калькуляция (МИ корр)'!$AJ$25:$BC$459,,MATCH(AW$8,'Калькуляция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(МИ)'!$AJ$25:$BC$459,,MATCH(AW$8,'Калькуляция (МИ)'!$AJ$8:$BC$8,0)),'Калькуляция (МИ)'!$F$25:$F$459,$F97,'Калькуляция (МИ)'!$G$25:$G$459,$G97))))</f>
        <v>2186.3342320000002</v>
      </c>
      <c r="AX97" s="1005">
        <f ca="1">IF(AV97=0,0,(AW97-AV97)/AV97*100)</f>
        <v>-5.4869108813278107</v>
      </c>
      <c r="AY97" s="1004">
        <f ca="1">IF(AND(method_reg="Метод индексации",god&lt;&gt;first_year),SUMIFS(INDEX('Калькуляция (МИ корр)'!$AJ$25:$BC$459,,MATCH(AY$8,'Калькуляция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(МИ)'!$AJ$25:$BC$459,,MATCH(AY$8,'Калькуляция (МИ)'!$AJ$8:$BC$8,0)),'Калькуляция (МИ)'!$F$25:$F$459,$F97,'Калькуляция (МИ)'!$G$25:$G$459,$G97))))</f>
        <v>0</v>
      </c>
      <c r="AZ97" s="1004">
        <f ca="1">IF(AND(method_reg="Метод индексации",god&lt;&gt;first_year),SUMIFS(INDEX('Калькуляция (МИ корр)'!$AJ$25:$BC$459,,MATCH(AZ$8,'Калькуляция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(МИ)'!$AJ$25:$BC$459,,MATCH(AZ$8,'Калькуляция (МИ)'!$AJ$8:$BC$8,0)),'Калькуляция (МИ)'!$F$25:$F$459,$F97,'Калькуляция (МИ)'!$G$25:$G$459,$G97))))</f>
        <v>0</v>
      </c>
      <c r="BA97" s="1005">
        <f ca="1">IF(AY97=0,0,(AZ97-AY97)/AY97*100)</f>
        <v>0</v>
      </c>
      <c r="BB97" s="1004">
        <f ca="1">IF(AND(method_reg="Метод индексации",god&lt;&gt;first_year),SUMIFS(INDEX('Калькуляция (МИ корр)'!$AJ$25:$BC$459,,MATCH(BB$8,'Калькуляция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(МИ)'!$AJ$25:$BC$459,,MATCH(BB$8,'Калькуляция (МИ)'!$AJ$8:$BC$8,0)),'Калькуляция (МИ)'!$F$25:$F$459,$F97,'Калькуляция (МИ)'!$G$25:$G$459,$G97))))</f>
        <v>0</v>
      </c>
      <c r="BC97" s="1004">
        <f ca="1">IF(AND(method_reg="Метод индексации",god&lt;&gt;first_year),SUMIFS(INDEX('Калькуляция (МИ корр)'!$AJ$25:$BC$459,,MATCH(BC$8,'Калькуляция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(МИ)'!$AJ$25:$BC$459,,MATCH(BC$8,'Калькуляция (МИ)'!$AJ$8:$BC$8,0)),'Калькуляция (МИ)'!$F$25:$F$459,$F97,'Калькуляция (МИ)'!$G$25:$G$459,$G97))))</f>
        <v>0</v>
      </c>
      <c r="BD97" s="1005">
        <f ca="1">IF(BB97=0,0,(BC97-BB97)/BB97*100)</f>
        <v>0</v>
      </c>
      <c r="BE97" s="1004">
        <f ca="1">IF(AND(method_reg="Метод индексации",god&lt;&gt;first_year),SUMIFS(INDEX('Калькуляция (МИ корр)'!$AJ$25:$BC$459,,MATCH(BE$8,'Калькуляция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(МИ)'!$AJ$25:$BC$459,,MATCH(BE$8,'Калькуляция (МИ)'!$AJ$8:$BC$8,0)),'Калькуляция (МИ)'!$F$25:$F$459,$F97,'Калькуляция (МИ)'!$G$25:$G$459,$G97))))</f>
        <v>0</v>
      </c>
      <c r="BF97" s="1004">
        <f ca="1">IF(AND(method_reg="Метод индексации",god&lt;&gt;first_year),SUMIFS(INDEX('Калькуляция (МИ корр)'!$AJ$25:$BC$459,,MATCH(BF$8,'Калькуляция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(МИ)'!$AJ$25:$BC$459,,MATCH(BF$8,'Калькуляция (МИ)'!$AJ$8:$BC$8,0)),'Калькуляция (МИ)'!$F$25:$F$459,$F97,'Калькуляция (МИ)'!$G$25:$G$459,$G97))))</f>
        <v>0</v>
      </c>
      <c r="BG97" s="1005">
        <f ca="1">IF(BE97=0,0,(BF97-BE97)/BE97*100)</f>
        <v>0</v>
      </c>
      <c r="BH97" s="1004"/>
      <c r="BI97" s="1004"/>
      <c r="BJ97" s="1005">
        <f>IF(BH97=0,0,(BI97-BH97)/BH97*100)</f>
        <v>0</v>
      </c>
      <c r="BK97" s="1004"/>
      <c r="BL97" s="1004"/>
      <c r="BM97" s="1005">
        <f>IF(BK97=0,0,(BL97-BK97)/BK97*100)</f>
        <v>0</v>
      </c>
      <c r="BN97" s="1004"/>
      <c r="BO97" s="1004"/>
      <c r="BP97" s="1005">
        <f>IF(BN97=0,0,(BO97-BN97)/BN97*100)</f>
        <v>0</v>
      </c>
      <c r="BQ97" s="1004"/>
      <c r="BR97" s="1004"/>
      <c r="BS97" s="1005">
        <f>IF(BQ97=0,0,(BR97-BQ97)/BQ97*100)</f>
        <v>0</v>
      </c>
      <c r="BT97" s="1004"/>
      <c r="BU97" s="1004"/>
      <c r="BV97" s="1005">
        <f>IF(BT97=0,0,(BU97-BT97)/BT97*100)</f>
        <v>0</v>
      </c>
      <c r="BW97" s="1004"/>
      <c r="BX97" s="1004"/>
      <c r="BY97" s="1005">
        <f>IF(BW97=0,0,(BX97-BW97)/BW97*100)</f>
        <v>0</v>
      </c>
      <c r="BZ97" s="1004"/>
      <c r="CA97" s="1004"/>
      <c r="CB97" s="1005">
        <f>IF(BZ97=0,0,(CA97-BZ97)/BZ97*100)</f>
        <v>0</v>
      </c>
      <c r="CC97" s="1004"/>
      <c r="CD97" s="1004"/>
      <c r="CE97" s="1005">
        <f>IF(CC97=0,0,(CD97-CC97)/CC97*100)</f>
        <v>0</v>
      </c>
      <c r="CF97" s="1004"/>
      <c r="CG97" s="1004"/>
      <c r="CH97" s="1005">
        <f>IF(CF97=0,0,(CG97-CF97)/CF97*100)</f>
        <v>0</v>
      </c>
      <c r="CI97" s="1004"/>
      <c r="CJ97" s="1004"/>
      <c r="CK97" s="1005">
        <f>IF(CI97=0,0,(CJ97-CI97)/CI97*100)</f>
        <v>0</v>
      </c>
      <c r="CL97" s="1004"/>
      <c r="CM97" s="1004"/>
      <c r="CN97" s="1005">
        <f>IF(CL97=0,0,(CM97-CL97)/CL97*100)</f>
        <v>0</v>
      </c>
      <c r="CO97" s="1004"/>
      <c r="CP97" s="1004"/>
      <c r="CQ97" s="1005">
        <f>IF(CO97=0,0,(CP97-CO97)/CO97*100)</f>
        <v>0</v>
      </c>
      <c r="CR97" s="1004"/>
      <c r="CS97" s="1004"/>
      <c r="CT97" s="1005">
        <f>IF(CR97=0,0,(CS97-CR97)/CR97*100)</f>
        <v>0</v>
      </c>
      <c r="CU97" s="1004"/>
      <c r="CV97" s="1004"/>
      <c r="CW97" s="1005">
        <f>IF(CU97=0,0,(CV97-CU97)/CU97*100)</f>
        <v>0</v>
      </c>
      <c r="CX97" s="1004"/>
      <c r="CY97" s="1004"/>
      <c r="CZ97" s="1005">
        <f>IF(CX97=0,0,(CY97-CX97)/CX97*100)</f>
        <v>0</v>
      </c>
      <c r="DA97" s="1004"/>
      <c r="DB97" s="1004"/>
      <c r="DC97" s="1005">
        <f>IF(DA97=0,0,(DB97-DA97)/DA97*100)</f>
        <v>0</v>
      </c>
      <c r="DD97" s="1004"/>
      <c r="DE97" s="1004"/>
      <c r="DF97" s="1005">
        <f>IF(DD97=0,0,(DE97-DD97)/DD97*100)</f>
        <v>0</v>
      </c>
      <c r="DG97" s="1004"/>
      <c r="DH97" s="1004"/>
      <c r="DI97" s="1005">
        <f>IF(DG97=0,0,(DH97-DG97)/DG97*100)</f>
        <v>0</v>
      </c>
      <c r="DJ97" s="1004"/>
      <c r="DK97" s="1004"/>
      <c r="DL97" s="1005">
        <f>IF(DJ97=0,0,(DK97-DJ97)/DJ97*100)</f>
        <v>0</v>
      </c>
      <c r="DM97" s="1004"/>
      <c r="DN97" s="1004"/>
      <c r="DO97" s="1005">
        <f>IF(DM97=0,0,(DN97-DM97)/DM97*100)</f>
        <v>0</v>
      </c>
      <c r="DP97" s="1004"/>
      <c r="DQ97" s="1004"/>
      <c r="DR97" s="1005">
        <f>IF(DP97=0,0,(DQ97-DP97)/DP97*100)</f>
        <v>0</v>
      </c>
      <c r="DS97" s="1004"/>
      <c r="DT97" s="1004"/>
      <c r="DU97" s="1005">
        <f>IF(DS97=0,0,(DT97-DS97)/DS97*100)</f>
        <v>0</v>
      </c>
      <c r="DV97" s="1004"/>
      <c r="DW97" s="1004"/>
      <c r="DX97" s="1005">
        <f>IF(DV97=0,0,(DW97-DV97)/DV97*100)</f>
        <v>0</v>
      </c>
      <c r="DY97" s="1004"/>
      <c r="DZ97" s="1004"/>
      <c r="EA97" s="1005">
        <f>IF(DY97=0,0,(DZ97-DY97)/DY97*100)</f>
        <v>0</v>
      </c>
      <c r="EB97" s="1004"/>
      <c r="EC97" s="1004"/>
      <c r="ED97" s="1005">
        <f>IF(EB97=0,0,(EC97-EB97)/EB97*100)</f>
        <v>0</v>
      </c>
      <c r="EE97" s="1004"/>
      <c r="EF97" s="1004"/>
      <c r="EG97" s="1005">
        <f>IF(EE97=0,0,(EF97-EE97)/EE97*100)</f>
        <v>0</v>
      </c>
      <c r="EH97" s="1004"/>
      <c r="EI97" s="1004"/>
      <c r="EJ97" s="1005">
        <f>IF(EH97=0,0,(EI97-EH97)/EH97*100)</f>
        <v>0</v>
      </c>
      <c r="EK97" s="1004"/>
      <c r="EL97" s="1004"/>
      <c r="EM97" s="1005">
        <f>IF(EK97=0,0,(EL97-EK97)/EK97*100)</f>
        <v>0</v>
      </c>
      <c r="EN97" s="1004"/>
      <c r="EO97" s="1004"/>
      <c r="EP97" s="1005">
        <f>IF(EN97=0,0,(EO97-EN97)/EN97*100)</f>
        <v>0</v>
      </c>
      <c r="EQ97" s="1004"/>
      <c r="ER97" s="1004"/>
      <c r="ES97" s="1005">
        <f>IF(EQ97=0,0,(ER97-EQ97)/EQ97*100)</f>
        <v>0</v>
      </c>
      <c r="ET97" s="1004"/>
      <c r="EU97" s="1004"/>
      <c r="EV97" s="1005">
        <f>IF(ET97=0,0,(EU97-ET97)/ET97*100)</f>
        <v>0</v>
      </c>
      <c r="EW97" s="1004"/>
      <c r="EX97" s="1004"/>
      <c r="EY97" s="1005">
        <f>IF(EW97=0,0,(EX97-EW97)/EW97*100)</f>
        <v>0</v>
      </c>
      <c r="EZ97" s="1004"/>
      <c r="FA97" s="1004"/>
      <c r="FB97" s="1005">
        <f>IF(EZ97=0,0,(FA97-EZ97)/EZ97*100)</f>
        <v>0</v>
      </c>
      <c r="FC97" s="1004"/>
      <c r="FD97" s="1004"/>
      <c r="FE97" s="1005">
        <f>IF(FC97=0,0,(FD97-FC97)/FC97*100)</f>
        <v>0</v>
      </c>
      <c r="FF97" s="1004"/>
      <c r="FG97" s="1004"/>
      <c r="FH97" s="1005">
        <f>IF(FF97=0,0,(FG97-FF97)/FF97*100)</f>
        <v>0</v>
      </c>
      <c r="FI97" s="1004"/>
      <c r="FJ97" s="1004"/>
      <c r="FK97" s="1005">
        <f>IF(FI97=0,0,(FJ97-FI97)/FI97*100)</f>
        <v>0</v>
      </c>
      <c r="FL97" s="1004"/>
      <c r="FM97" s="1004"/>
      <c r="FN97" s="1005">
        <f>IF(FL97=0,0,(FM97-FL97)/FL97*100)</f>
        <v>0</v>
      </c>
      <c r="FO97" s="1004"/>
      <c r="FP97" s="1004"/>
      <c r="FQ97" s="1005">
        <f>IF(FO97=0,0,(FP97-FO97)/FO97*100)</f>
        <v>0</v>
      </c>
      <c r="FR97" s="1004"/>
      <c r="FS97" s="1004"/>
      <c r="FT97" s="1005">
        <f>IF(FR97=0,0,(FS97-FR97)/FR97*100)</f>
        <v>0</v>
      </c>
      <c r="FU97" s="1004"/>
      <c r="FV97" s="1004"/>
      <c r="FW97" s="1005">
        <f>IF(FU97=0,0,(FV97-FU97)/FU97*100)</f>
        <v>0</v>
      </c>
      <c r="FX97" s="210"/>
      <c r="FY97" s="1214"/>
      <c r="FZ97" s="964" t="s">
        <v>1612</v>
      </c>
      <c r="GA97" s="1216"/>
      <c r="GB97" s="1216"/>
      <c r="GC97" s="1215"/>
      <c r="GD97" s="1215"/>
    </row>
    <row r="98" spans="1:186" s="1334" customFormat="1" ht="18" hidden="1" customHeight="1" x14ac:dyDescent="0.15">
      <c r="A98" s="416"/>
      <c r="B98" s="837" t="b" cm="1">
        <f t="array" ref="B98">B97</f>
        <v>1</v>
      </c>
      <c r="C98" s="416"/>
      <c r="D98" s="416"/>
      <c r="E98" s="759">
        <v>18.75</v>
      </c>
      <c r="F98" s="3" t="str" cm="1">
        <f t="array" aca="1" ref="F98" ca="1">OFFSET(E98,-1,1)</f>
        <v>1</v>
      </c>
      <c r="G98" s="416"/>
      <c r="H98" s="416" t="s">
        <v>494</v>
      </c>
      <c r="I98" s="416" cm="1">
        <f t="array" ref="I98">AB98</f>
        <v>0</v>
      </c>
      <c r="J98" s="416"/>
      <c r="K98" s="416"/>
      <c r="L98" s="416"/>
      <c r="M98" s="416"/>
      <c r="N98" s="416"/>
      <c r="O98" s="416"/>
      <c r="P98" s="416"/>
      <c r="Q98" s="813"/>
      <c r="R98" s="416"/>
      <c r="S98" s="416"/>
      <c r="T98" s="388" t="b">
        <f ca="1">AND(F98&gt;0,Y98&gt;0)</f>
        <v>0</v>
      </c>
      <c r="U98" s="416"/>
      <c r="V98" s="416"/>
      <c r="W98" s="416" t="s">
        <v>172</v>
      </c>
      <c r="X98" s="2066"/>
      <c r="Y98" s="2066">
        <v>0</v>
      </c>
      <c r="Z98" s="2011"/>
      <c r="AA98" s="1958" t="s">
        <v>173</v>
      </c>
      <c r="AB98" s="1444"/>
      <c r="AC98" s="783" t="s">
        <v>1588</v>
      </c>
      <c r="AD98" s="1445"/>
      <c r="AE98" s="1446"/>
      <c r="AF98" s="1003">
        <f>IF(AD98=0,0,(AE98-AD98)/AD98*100)</f>
        <v>0</v>
      </c>
      <c r="AG98" s="1445"/>
      <c r="AH98" s="1446"/>
      <c r="AI98" s="1003">
        <f>IF(AG98=0,0,(AH98-AG98)/AG98*100)</f>
        <v>0</v>
      </c>
      <c r="AJ98" s="1445"/>
      <c r="AK98" s="1446"/>
      <c r="AL98" s="1003">
        <f>IF(AJ98=0,0,(AK98-AJ98)/AJ98*100)</f>
        <v>0</v>
      </c>
      <c r="AM98" s="1445"/>
      <c r="AN98" s="1446"/>
      <c r="AO98" s="1003">
        <f>IF(AM98=0,0,(AN98-AM98)/AM98*100)</f>
        <v>0</v>
      </c>
      <c r="AP98" s="1445"/>
      <c r="AQ98" s="1446"/>
      <c r="AR98" s="1003">
        <f>IF(AP98=0,0,(AQ98-AP98)/AP98*100)</f>
        <v>0</v>
      </c>
      <c r="AS98" s="1445"/>
      <c r="AT98" s="1446"/>
      <c r="AU98" s="1003">
        <f>IF(AS98=0,0,(AT98-AS98)/AS98*100)</f>
        <v>0</v>
      </c>
      <c r="AV98" s="1445"/>
      <c r="AW98" s="1446"/>
      <c r="AX98" s="1003">
        <f>IF(AV98=0,0,(AW98-AV98)/AV98*100)</f>
        <v>0</v>
      </c>
      <c r="AY98" s="1445"/>
      <c r="AZ98" s="1446"/>
      <c r="BA98" s="1003">
        <f>IF(AY98=0,0,(AZ98-AY98)/AY98*100)</f>
        <v>0</v>
      </c>
      <c r="BB98" s="1445"/>
      <c r="BC98" s="1446"/>
      <c r="BD98" s="1003">
        <f>IF(BB98=0,0,(BC98-BB98)/BB98*100)</f>
        <v>0</v>
      </c>
      <c r="BE98" s="1445"/>
      <c r="BF98" s="1446"/>
      <c r="BG98" s="1003">
        <f>IF(BE98=0,0,(BF98-BE98)/BE98*100)</f>
        <v>0</v>
      </c>
      <c r="BH98" s="1445"/>
      <c r="BI98" s="1446"/>
      <c r="BJ98" s="1003">
        <f>IF(BH98=0,0,(BI98-BH98)/BH98*100)</f>
        <v>0</v>
      </c>
      <c r="BK98" s="1445"/>
      <c r="BL98" s="1446"/>
      <c r="BM98" s="1003">
        <f>IF(BK98=0,0,(BL98-BK98)/BK98*100)</f>
        <v>0</v>
      </c>
      <c r="BN98" s="1445"/>
      <c r="BO98" s="1446"/>
      <c r="BP98" s="1003">
        <f>IF(BN98=0,0,(BO98-BN98)/BN98*100)</f>
        <v>0</v>
      </c>
      <c r="BQ98" s="1445"/>
      <c r="BR98" s="1446"/>
      <c r="BS98" s="1003">
        <f>IF(BQ98=0,0,(BR98-BQ98)/BQ98*100)</f>
        <v>0</v>
      </c>
      <c r="BT98" s="1445"/>
      <c r="BU98" s="1446"/>
      <c r="BV98" s="1003">
        <f>IF(BT98=0,0,(BU98-BT98)/BT98*100)</f>
        <v>0</v>
      </c>
      <c r="BW98" s="1445"/>
      <c r="BX98" s="1446"/>
      <c r="BY98" s="1003">
        <f>IF(BW98=0,0,(BX98-BW98)/BW98*100)</f>
        <v>0</v>
      </c>
      <c r="BZ98" s="1445"/>
      <c r="CA98" s="1446"/>
      <c r="CB98" s="1003">
        <f>IF(BZ98=0,0,(CA98-BZ98)/BZ98*100)</f>
        <v>0</v>
      </c>
      <c r="CC98" s="1445"/>
      <c r="CD98" s="1446"/>
      <c r="CE98" s="1003">
        <f>IF(CC98=0,0,(CD98-CC98)/CC98*100)</f>
        <v>0</v>
      </c>
      <c r="CF98" s="1445"/>
      <c r="CG98" s="1446"/>
      <c r="CH98" s="1003">
        <f>IF(CF98=0,0,(CG98-CF98)/CF98*100)</f>
        <v>0</v>
      </c>
      <c r="CI98" s="1445"/>
      <c r="CJ98" s="1446"/>
      <c r="CK98" s="1003">
        <f>IF(CI98=0,0,(CJ98-CI98)/CI98*100)</f>
        <v>0</v>
      </c>
      <c r="CL98" s="1445"/>
      <c r="CM98" s="1446"/>
      <c r="CN98" s="1003">
        <f>IF(CL98=0,0,(CM98-CL98)/CL98*100)</f>
        <v>0</v>
      </c>
      <c r="CO98" s="1445"/>
      <c r="CP98" s="1446"/>
      <c r="CQ98" s="1003">
        <f>IF(CO98=0,0,(CP98-CO98)/CO98*100)</f>
        <v>0</v>
      </c>
      <c r="CR98" s="1445"/>
      <c r="CS98" s="1446"/>
      <c r="CT98" s="1003">
        <f>IF(CR98=0,0,(CS98-CR98)/CR98*100)</f>
        <v>0</v>
      </c>
      <c r="CU98" s="1445"/>
      <c r="CV98" s="1446"/>
      <c r="CW98" s="1003">
        <f>IF(CU98=0,0,(CV98-CU98)/CU98*100)</f>
        <v>0</v>
      </c>
      <c r="CX98" s="1445"/>
      <c r="CY98" s="1446"/>
      <c r="CZ98" s="1003">
        <f>IF(CX98=0,0,(CY98-CX98)/CX98*100)</f>
        <v>0</v>
      </c>
      <c r="DA98" s="1445"/>
      <c r="DB98" s="1446"/>
      <c r="DC98" s="1003">
        <f>IF(DA98=0,0,(DB98-DA98)/DA98*100)</f>
        <v>0</v>
      </c>
      <c r="DD98" s="1445"/>
      <c r="DE98" s="1446"/>
      <c r="DF98" s="1003">
        <f>IF(DD98=0,0,(DE98-DD98)/DD98*100)</f>
        <v>0</v>
      </c>
      <c r="DG98" s="1445"/>
      <c r="DH98" s="1446"/>
      <c r="DI98" s="1003">
        <f>IF(DG98=0,0,(DH98-DG98)/DG98*100)</f>
        <v>0</v>
      </c>
      <c r="DJ98" s="1445"/>
      <c r="DK98" s="1446"/>
      <c r="DL98" s="1003">
        <f>IF(DJ98=0,0,(DK98-DJ98)/DJ98*100)</f>
        <v>0</v>
      </c>
      <c r="DM98" s="1445"/>
      <c r="DN98" s="1446"/>
      <c r="DO98" s="1003">
        <f>IF(DM98=0,0,(DN98-DM98)/DM98*100)</f>
        <v>0</v>
      </c>
      <c r="DP98" s="1445"/>
      <c r="DQ98" s="1446"/>
      <c r="DR98" s="1003">
        <f>IF(DP98=0,0,(DQ98-DP98)/DP98*100)</f>
        <v>0</v>
      </c>
      <c r="DS98" s="1445"/>
      <c r="DT98" s="1446"/>
      <c r="DU98" s="1003">
        <f>IF(DS98=0,0,(DT98-DS98)/DS98*100)</f>
        <v>0</v>
      </c>
      <c r="DV98" s="1445"/>
      <c r="DW98" s="1446"/>
      <c r="DX98" s="1003">
        <f>IF(DV98=0,0,(DW98-DV98)/DV98*100)</f>
        <v>0</v>
      </c>
      <c r="DY98" s="1445"/>
      <c r="DZ98" s="1446"/>
      <c r="EA98" s="1003">
        <f>IF(DY98=0,0,(DZ98-DY98)/DY98*100)</f>
        <v>0</v>
      </c>
      <c r="EB98" s="1445"/>
      <c r="EC98" s="1446"/>
      <c r="ED98" s="1003">
        <f>IF(EB98=0,0,(EC98-EB98)/EB98*100)</f>
        <v>0</v>
      </c>
      <c r="EE98" s="1445"/>
      <c r="EF98" s="1446"/>
      <c r="EG98" s="1003">
        <f>IF(EE98=0,0,(EF98-EE98)/EE98*100)</f>
        <v>0</v>
      </c>
      <c r="EH98" s="1445"/>
      <c r="EI98" s="1446"/>
      <c r="EJ98" s="1003">
        <f>IF(EH98=0,0,(EI98-EH98)/EH98*100)</f>
        <v>0</v>
      </c>
      <c r="EK98" s="1445"/>
      <c r="EL98" s="1446"/>
      <c r="EM98" s="1003">
        <f>IF(EK98=0,0,(EL98-EK98)/EK98*100)</f>
        <v>0</v>
      </c>
      <c r="EN98" s="1445"/>
      <c r="EO98" s="1446"/>
      <c r="EP98" s="1003">
        <f>IF(EN98=0,0,(EO98-EN98)/EN98*100)</f>
        <v>0</v>
      </c>
      <c r="EQ98" s="1445"/>
      <c r="ER98" s="1446"/>
      <c r="ES98" s="1003">
        <f>IF(EQ98=0,0,(ER98-EQ98)/EQ98*100)</f>
        <v>0</v>
      </c>
      <c r="ET98" s="1445"/>
      <c r="EU98" s="1446"/>
      <c r="EV98" s="1003">
        <f>IF(ET98=0,0,(EU98-ET98)/ET98*100)</f>
        <v>0</v>
      </c>
      <c r="EW98" s="1445"/>
      <c r="EX98" s="1446"/>
      <c r="EY98" s="1003">
        <f>IF(EW98=0,0,(EX98-EW98)/EW98*100)</f>
        <v>0</v>
      </c>
      <c r="EZ98" s="1445"/>
      <c r="FA98" s="1446"/>
      <c r="FB98" s="1003">
        <f>IF(EZ98=0,0,(FA98-EZ98)/EZ98*100)</f>
        <v>0</v>
      </c>
      <c r="FC98" s="1445"/>
      <c r="FD98" s="1446"/>
      <c r="FE98" s="1003">
        <f>IF(FC98=0,0,(FD98-FC98)/FC98*100)</f>
        <v>0</v>
      </c>
      <c r="FF98" s="1445"/>
      <c r="FG98" s="1446"/>
      <c r="FH98" s="1003">
        <f>IF(FF98=0,0,(FG98-FF98)/FF98*100)</f>
        <v>0</v>
      </c>
      <c r="FI98" s="1445"/>
      <c r="FJ98" s="1446"/>
      <c r="FK98" s="1003">
        <f>IF(FI98=0,0,(FJ98-FI98)/FI98*100)</f>
        <v>0</v>
      </c>
      <c r="FL98" s="1445"/>
      <c r="FM98" s="1446"/>
      <c r="FN98" s="1003">
        <f>IF(FL98=0,0,(FM98-FL98)/FL98*100)</f>
        <v>0</v>
      </c>
      <c r="FO98" s="1445"/>
      <c r="FP98" s="1446"/>
      <c r="FQ98" s="1003">
        <f>IF(FO98=0,0,(FP98-FO98)/FO98*100)</f>
        <v>0</v>
      </c>
      <c r="FR98" s="1445"/>
      <c r="FS98" s="1446"/>
      <c r="FT98" s="1003">
        <f>IF(FR98=0,0,(FS98-FR98)/FR98*100)</f>
        <v>0</v>
      </c>
      <c r="FU98" s="1445"/>
      <c r="FV98" s="1446"/>
      <c r="FW98" s="1003">
        <f>IF(FU98=0,0,(FV98-FU98)/FU98*100)</f>
        <v>0</v>
      </c>
      <c r="FX98" s="210"/>
      <c r="FY98" s="1214"/>
      <c r="FZ98" s="964" t="s">
        <v>1613</v>
      </c>
      <c r="GA98" s="924" t="s">
        <v>1614</v>
      </c>
      <c r="GB98" s="924" cm="1">
        <f t="array" ref="GB98">AB98</f>
        <v>0</v>
      </c>
      <c r="GC98" s="1215"/>
      <c r="GD98" s="556" t="b">
        <v>1</v>
      </c>
    </row>
    <row r="99" spans="1:186" s="1334" customFormat="1" ht="14.25" hidden="1" customHeight="1" x14ac:dyDescent="0.15">
      <c r="A99" s="416"/>
      <c r="B99" s="837" t="b" cm="1">
        <f t="array" ref="B99">B98</f>
        <v>1</v>
      </c>
      <c r="C99" s="416"/>
      <c r="D99" s="416"/>
      <c r="E99" s="759">
        <v>15</v>
      </c>
      <c r="F99" s="3" t="str" cm="1">
        <f t="array" aca="1" ref="F99" ca="1">OFFSET(E99,-1,1)</f>
        <v>1</v>
      </c>
      <c r="G99" s="416"/>
      <c r="H99" s="416" t="s">
        <v>501</v>
      </c>
      <c r="I99" s="416" cm="1">
        <f t="array" ref="I99">I98</f>
        <v>0</v>
      </c>
      <c r="J99" s="416"/>
      <c r="K99" s="416"/>
      <c r="L99" s="416"/>
      <c r="M99" s="416"/>
      <c r="N99" s="416"/>
      <c r="O99" s="416"/>
      <c r="P99" s="416"/>
      <c r="Q99" s="813"/>
      <c r="R99" s="416"/>
      <c r="S99" s="416"/>
      <c r="T99" s="388" t="b" cm="1">
        <f t="array" aca="1" ref="T99" ca="1">T98</f>
        <v>0</v>
      </c>
      <c r="U99" s="416"/>
      <c r="V99" s="416"/>
      <c r="W99" s="416"/>
      <c r="X99" s="2066"/>
      <c r="Y99" s="2066"/>
      <c r="Z99" s="2011"/>
      <c r="AA99" s="1958"/>
      <c r="AB99" s="816" t="s">
        <v>1615</v>
      </c>
      <c r="AC99" s="218" t="s">
        <v>563</v>
      </c>
      <c r="AD99" s="1443"/>
      <c r="AE99" s="1443"/>
      <c r="AF99" s="1005">
        <f>IF(AD99=0,0,(AE99-AD99)/AD99*100)</f>
        <v>0</v>
      </c>
      <c r="AG99" s="1443"/>
      <c r="AH99" s="1443"/>
      <c r="AI99" s="1005">
        <f>IF(AG99=0,0,(AH99-AG99)/AG99*100)</f>
        <v>0</v>
      </c>
      <c r="AJ99" s="1443"/>
      <c r="AK99" s="1443"/>
      <c r="AL99" s="1005">
        <f>IF(AJ99=0,0,(AK99-AJ99)/AJ99*100)</f>
        <v>0</v>
      </c>
      <c r="AM99" s="1443"/>
      <c r="AN99" s="1443"/>
      <c r="AO99" s="1005">
        <f>IF(AM99=0,0,(AN99-AM99)/AM99*100)</f>
        <v>0</v>
      </c>
      <c r="AP99" s="1443"/>
      <c r="AQ99" s="1443"/>
      <c r="AR99" s="1005">
        <f>IF(AP99=0,0,(AQ99-AP99)/AP99*100)</f>
        <v>0</v>
      </c>
      <c r="AS99" s="1443"/>
      <c r="AT99" s="1443"/>
      <c r="AU99" s="1005">
        <f>IF(AS99=0,0,(AT99-AS99)/AS99*100)</f>
        <v>0</v>
      </c>
      <c r="AV99" s="1443"/>
      <c r="AW99" s="1443"/>
      <c r="AX99" s="1005">
        <f>IF(AV99=0,0,(AW99-AV99)/AV99*100)</f>
        <v>0</v>
      </c>
      <c r="AY99" s="1443"/>
      <c r="AZ99" s="1443"/>
      <c r="BA99" s="1005">
        <f>IF(AY99=0,0,(AZ99-AY99)/AY99*100)</f>
        <v>0</v>
      </c>
      <c r="BB99" s="1443"/>
      <c r="BC99" s="1443"/>
      <c r="BD99" s="1005">
        <f>IF(BB99=0,0,(BC99-BB99)/BB99*100)</f>
        <v>0</v>
      </c>
      <c r="BE99" s="1443"/>
      <c r="BF99" s="1443"/>
      <c r="BG99" s="1005">
        <f>IF(BE99=0,0,(BF99-BE99)/BE99*100)</f>
        <v>0</v>
      </c>
      <c r="BH99" s="1443"/>
      <c r="BI99" s="1443"/>
      <c r="BJ99" s="1005">
        <f>IF(BH99=0,0,(BI99-BH99)/BH99*100)</f>
        <v>0</v>
      </c>
      <c r="BK99" s="1443"/>
      <c r="BL99" s="1443"/>
      <c r="BM99" s="1005">
        <f>IF(BK99=0,0,(BL99-BK99)/BK99*100)</f>
        <v>0</v>
      </c>
      <c r="BN99" s="1443"/>
      <c r="BO99" s="1443"/>
      <c r="BP99" s="1005">
        <f>IF(BN99=0,0,(BO99-BN99)/BN99*100)</f>
        <v>0</v>
      </c>
      <c r="BQ99" s="1443"/>
      <c r="BR99" s="1443"/>
      <c r="BS99" s="1005">
        <f>IF(BQ99=0,0,(BR99-BQ99)/BQ99*100)</f>
        <v>0</v>
      </c>
      <c r="BT99" s="1443"/>
      <c r="BU99" s="1443"/>
      <c r="BV99" s="1005">
        <f>IF(BT99=0,0,(BU99-BT99)/BT99*100)</f>
        <v>0</v>
      </c>
      <c r="BW99" s="1443"/>
      <c r="BX99" s="1443"/>
      <c r="BY99" s="1005">
        <f>IF(BW99=0,0,(BX99-BW99)/BW99*100)</f>
        <v>0</v>
      </c>
      <c r="BZ99" s="1443"/>
      <c r="CA99" s="1443"/>
      <c r="CB99" s="1005">
        <f>IF(BZ99=0,0,(CA99-BZ99)/BZ99*100)</f>
        <v>0</v>
      </c>
      <c r="CC99" s="1443"/>
      <c r="CD99" s="1443"/>
      <c r="CE99" s="1005">
        <f>IF(CC99=0,0,(CD99-CC99)/CC99*100)</f>
        <v>0</v>
      </c>
      <c r="CF99" s="1443"/>
      <c r="CG99" s="1443"/>
      <c r="CH99" s="1005">
        <f>IF(CF99=0,0,(CG99-CF99)/CF99*100)</f>
        <v>0</v>
      </c>
      <c r="CI99" s="1443"/>
      <c r="CJ99" s="1443"/>
      <c r="CK99" s="1005">
        <f>IF(CI99=0,0,(CJ99-CI99)/CI99*100)</f>
        <v>0</v>
      </c>
      <c r="CL99" s="1443"/>
      <c r="CM99" s="1443"/>
      <c r="CN99" s="1005">
        <f>IF(CL99=0,0,(CM99-CL99)/CL99*100)</f>
        <v>0</v>
      </c>
      <c r="CO99" s="1443"/>
      <c r="CP99" s="1443"/>
      <c r="CQ99" s="1005">
        <f>IF(CO99=0,0,(CP99-CO99)/CO99*100)</f>
        <v>0</v>
      </c>
      <c r="CR99" s="1443"/>
      <c r="CS99" s="1443"/>
      <c r="CT99" s="1005">
        <f>IF(CR99=0,0,(CS99-CR99)/CR99*100)</f>
        <v>0</v>
      </c>
      <c r="CU99" s="1443"/>
      <c r="CV99" s="1443"/>
      <c r="CW99" s="1005">
        <f>IF(CU99=0,0,(CV99-CU99)/CU99*100)</f>
        <v>0</v>
      </c>
      <c r="CX99" s="1443"/>
      <c r="CY99" s="1443"/>
      <c r="CZ99" s="1005">
        <f>IF(CX99=0,0,(CY99-CX99)/CX99*100)</f>
        <v>0</v>
      </c>
      <c r="DA99" s="1443"/>
      <c r="DB99" s="1443"/>
      <c r="DC99" s="1005">
        <f>IF(DA99=0,0,(DB99-DA99)/DA99*100)</f>
        <v>0</v>
      </c>
      <c r="DD99" s="1443"/>
      <c r="DE99" s="1443"/>
      <c r="DF99" s="1005">
        <f>IF(DD99=0,0,(DE99-DD99)/DD99*100)</f>
        <v>0</v>
      </c>
      <c r="DG99" s="1443"/>
      <c r="DH99" s="1443"/>
      <c r="DI99" s="1005">
        <f>IF(DG99=0,0,(DH99-DG99)/DG99*100)</f>
        <v>0</v>
      </c>
      <c r="DJ99" s="1443"/>
      <c r="DK99" s="1443"/>
      <c r="DL99" s="1005">
        <f>IF(DJ99=0,0,(DK99-DJ99)/DJ99*100)</f>
        <v>0</v>
      </c>
      <c r="DM99" s="1443"/>
      <c r="DN99" s="1443"/>
      <c r="DO99" s="1005">
        <f>IF(DM99=0,0,(DN99-DM99)/DM99*100)</f>
        <v>0</v>
      </c>
      <c r="DP99" s="1443"/>
      <c r="DQ99" s="1443"/>
      <c r="DR99" s="1005">
        <f>IF(DP99=0,0,(DQ99-DP99)/DP99*100)</f>
        <v>0</v>
      </c>
      <c r="DS99" s="1443"/>
      <c r="DT99" s="1443"/>
      <c r="DU99" s="1005">
        <f>IF(DS99=0,0,(DT99-DS99)/DS99*100)</f>
        <v>0</v>
      </c>
      <c r="DV99" s="1443"/>
      <c r="DW99" s="1443"/>
      <c r="DX99" s="1005">
        <f>IF(DV99=0,0,(DW99-DV99)/DV99*100)</f>
        <v>0</v>
      </c>
      <c r="DY99" s="1443"/>
      <c r="DZ99" s="1443"/>
      <c r="EA99" s="1005">
        <f>IF(DY99=0,0,(DZ99-DY99)/DY99*100)</f>
        <v>0</v>
      </c>
      <c r="EB99" s="1443"/>
      <c r="EC99" s="1443"/>
      <c r="ED99" s="1005">
        <f>IF(EB99=0,0,(EC99-EB99)/EB99*100)</f>
        <v>0</v>
      </c>
      <c r="EE99" s="1443"/>
      <c r="EF99" s="1443"/>
      <c r="EG99" s="1005">
        <f>IF(EE99=0,0,(EF99-EE99)/EE99*100)</f>
        <v>0</v>
      </c>
      <c r="EH99" s="1443"/>
      <c r="EI99" s="1443"/>
      <c r="EJ99" s="1005">
        <f>IF(EH99=0,0,(EI99-EH99)/EH99*100)</f>
        <v>0</v>
      </c>
      <c r="EK99" s="1443"/>
      <c r="EL99" s="1443"/>
      <c r="EM99" s="1005">
        <f>IF(EK99=0,0,(EL99-EK99)/EK99*100)</f>
        <v>0</v>
      </c>
      <c r="EN99" s="1443"/>
      <c r="EO99" s="1443"/>
      <c r="EP99" s="1005">
        <f>IF(EN99=0,0,(EO99-EN99)/EN99*100)</f>
        <v>0</v>
      </c>
      <c r="EQ99" s="1443"/>
      <c r="ER99" s="1443"/>
      <c r="ES99" s="1005">
        <f>IF(EQ99=0,0,(ER99-EQ99)/EQ99*100)</f>
        <v>0</v>
      </c>
      <c r="ET99" s="1443"/>
      <c r="EU99" s="1443"/>
      <c r="EV99" s="1005">
        <f>IF(ET99=0,0,(EU99-ET99)/ET99*100)</f>
        <v>0</v>
      </c>
      <c r="EW99" s="1443"/>
      <c r="EX99" s="1443"/>
      <c r="EY99" s="1005">
        <f>IF(EW99=0,0,(EX99-EW99)/EW99*100)</f>
        <v>0</v>
      </c>
      <c r="EZ99" s="1443"/>
      <c r="FA99" s="1443"/>
      <c r="FB99" s="1005">
        <f>IF(EZ99=0,0,(FA99-EZ99)/EZ99*100)</f>
        <v>0</v>
      </c>
      <c r="FC99" s="1443"/>
      <c r="FD99" s="1443"/>
      <c r="FE99" s="1005">
        <f>IF(FC99=0,0,(FD99-FC99)/FC99*100)</f>
        <v>0</v>
      </c>
      <c r="FF99" s="1443"/>
      <c r="FG99" s="1443"/>
      <c r="FH99" s="1005">
        <f>IF(FF99=0,0,(FG99-FF99)/FF99*100)</f>
        <v>0</v>
      </c>
      <c r="FI99" s="1443"/>
      <c r="FJ99" s="1443"/>
      <c r="FK99" s="1005">
        <f>IF(FI99=0,0,(FJ99-FI99)/FI99*100)</f>
        <v>0</v>
      </c>
      <c r="FL99" s="1443"/>
      <c r="FM99" s="1443"/>
      <c r="FN99" s="1005">
        <f>IF(FL99=0,0,(FM99-FL99)/FL99*100)</f>
        <v>0</v>
      </c>
      <c r="FO99" s="1443"/>
      <c r="FP99" s="1443"/>
      <c r="FQ99" s="1005">
        <f>IF(FO99=0,0,(FP99-FO99)/FO99*100)</f>
        <v>0</v>
      </c>
      <c r="FR99" s="1443"/>
      <c r="FS99" s="1443"/>
      <c r="FT99" s="1005">
        <f>IF(FR99=0,0,(FS99-FR99)/FR99*100)</f>
        <v>0</v>
      </c>
      <c r="FU99" s="1443"/>
      <c r="FV99" s="1443"/>
      <c r="FW99" s="1005">
        <f>IF(FU99=0,0,(FV99-FU99)/FU99*100)</f>
        <v>0</v>
      </c>
      <c r="FX99" s="210"/>
      <c r="FY99" s="1214"/>
      <c r="FZ99" s="964" t="s">
        <v>1616</v>
      </c>
      <c r="GA99" s="924" t="s">
        <v>1614</v>
      </c>
      <c r="GB99" s="924" cm="1">
        <f t="array" ref="GB99">GB98</f>
        <v>0</v>
      </c>
      <c r="GC99" s="1215"/>
      <c r="GD99" s="1215"/>
    </row>
    <row r="100" spans="1:186" s="1334" customFormat="1" ht="14.25" customHeight="1" x14ac:dyDescent="0.15">
      <c r="A100" s="416"/>
      <c r="B100" s="837" t="b" cm="1">
        <f t="array" ref="B100">B99</f>
        <v>1</v>
      </c>
      <c r="C100" s="416"/>
      <c r="D100" s="416"/>
      <c r="E100" s="759">
        <v>15</v>
      </c>
      <c r="F100" s="3" t="str" cm="1">
        <f t="array" aca="1" ref="F100" ca="1">OFFSET(E100,-1,1)</f>
        <v>1</v>
      </c>
      <c r="G100" s="416"/>
      <c r="H100" s="416"/>
      <c r="I100" s="17" t="s">
        <v>1617</v>
      </c>
      <c r="J100" s="416"/>
      <c r="K100" s="416"/>
      <c r="L100" s="416"/>
      <c r="M100" s="416"/>
      <c r="N100" s="416"/>
      <c r="O100" s="416"/>
      <c r="P100" s="416"/>
      <c r="Q100" s="416"/>
      <c r="R100" s="4"/>
      <c r="S100" s="416"/>
      <c r="T100" s="388" t="b">
        <f ca="1">F100&gt;0</f>
        <v>1</v>
      </c>
      <c r="U100" s="416"/>
      <c r="V100" s="1214"/>
      <c r="W100" s="677" t="s">
        <v>1618</v>
      </c>
      <c r="X100" s="2066"/>
      <c r="Y100" s="1214"/>
      <c r="Z100" s="2011"/>
      <c r="AA100" s="1214"/>
      <c r="AB100" s="178" t="s">
        <v>176</v>
      </c>
      <c r="AC100" s="182"/>
      <c r="AD100" s="1006"/>
      <c r="AE100" s="1006"/>
      <c r="AF100" s="1006"/>
      <c r="AG100" s="1006"/>
      <c r="AH100" s="1006"/>
      <c r="AI100" s="1006"/>
      <c r="AJ100" s="1006"/>
      <c r="AK100" s="1006"/>
      <c r="AL100" s="1006"/>
      <c r="AM100" s="1006"/>
      <c r="AN100" s="1006"/>
      <c r="AO100" s="1006"/>
      <c r="AP100" s="1006"/>
      <c r="AQ100" s="1006"/>
      <c r="AR100" s="1006"/>
      <c r="AS100" s="1006"/>
      <c r="AT100" s="1006"/>
      <c r="AU100" s="1006"/>
      <c r="AV100" s="1006"/>
      <c r="AW100" s="1006"/>
      <c r="AX100" s="1006"/>
      <c r="AY100" s="1006"/>
      <c r="AZ100" s="1006"/>
      <c r="BA100" s="1006"/>
      <c r="BB100" s="1006"/>
      <c r="BC100" s="1006"/>
      <c r="BD100" s="1006"/>
      <c r="BE100" s="1006"/>
      <c r="BF100" s="1006"/>
      <c r="BG100" s="1006"/>
      <c r="BH100" s="1006"/>
      <c r="BI100" s="1006"/>
      <c r="BJ100" s="1006"/>
      <c r="BK100" s="1006"/>
      <c r="BL100" s="1006"/>
      <c r="BM100" s="1006"/>
      <c r="BN100" s="1006"/>
      <c r="BO100" s="1006"/>
      <c r="BP100" s="1006"/>
      <c r="BQ100" s="1006"/>
      <c r="BR100" s="1006"/>
      <c r="BS100" s="1006"/>
      <c r="BT100" s="1006"/>
      <c r="BU100" s="1006"/>
      <c r="BV100" s="1006"/>
      <c r="BW100" s="1006"/>
      <c r="BX100" s="1006"/>
      <c r="BY100" s="1006"/>
      <c r="BZ100" s="1006"/>
      <c r="CA100" s="1006"/>
      <c r="CB100" s="1006"/>
      <c r="CC100" s="1006"/>
      <c r="CD100" s="1006"/>
      <c r="CE100" s="1006"/>
      <c r="CF100" s="1006"/>
      <c r="CG100" s="1006"/>
      <c r="CH100" s="1006"/>
      <c r="CI100" s="1006"/>
      <c r="CJ100" s="1006"/>
      <c r="CK100" s="1006"/>
      <c r="CL100" s="1006"/>
      <c r="CM100" s="1006"/>
      <c r="CN100" s="1006"/>
      <c r="CO100" s="1006"/>
      <c r="CP100" s="1006"/>
      <c r="CQ100" s="1006"/>
      <c r="CR100" s="1006"/>
      <c r="CS100" s="1006"/>
      <c r="CT100" s="1006"/>
      <c r="CU100" s="1006"/>
      <c r="CV100" s="1006"/>
      <c r="CW100" s="1006"/>
      <c r="CX100" s="1006"/>
      <c r="CY100" s="1006"/>
      <c r="CZ100" s="1006"/>
      <c r="DA100" s="1006"/>
      <c r="DB100" s="1006"/>
      <c r="DC100" s="1006"/>
      <c r="DD100" s="1006"/>
      <c r="DE100" s="1006"/>
      <c r="DF100" s="1006"/>
      <c r="DG100" s="1006"/>
      <c r="DH100" s="1006"/>
      <c r="DI100" s="1006"/>
      <c r="DJ100" s="1006"/>
      <c r="DK100" s="1006"/>
      <c r="DL100" s="1006"/>
      <c r="DM100" s="1006"/>
      <c r="DN100" s="1006"/>
      <c r="DO100" s="1006"/>
      <c r="DP100" s="1006"/>
      <c r="DQ100" s="1006"/>
      <c r="DR100" s="1006"/>
      <c r="DS100" s="1006"/>
      <c r="DT100" s="1006"/>
      <c r="DU100" s="1006"/>
      <c r="DV100" s="1006"/>
      <c r="DW100" s="1006"/>
      <c r="DX100" s="1006"/>
      <c r="DY100" s="1006"/>
      <c r="DZ100" s="1006"/>
      <c r="EA100" s="1006"/>
      <c r="EB100" s="1006"/>
      <c r="EC100" s="1006"/>
      <c r="ED100" s="1006"/>
      <c r="EE100" s="1006"/>
      <c r="EF100" s="1006"/>
      <c r="EG100" s="1006"/>
      <c r="EH100" s="1006"/>
      <c r="EI100" s="1006"/>
      <c r="EJ100" s="1006"/>
      <c r="EK100" s="1006"/>
      <c r="EL100" s="1006"/>
      <c r="EM100" s="1006"/>
      <c r="EN100" s="1006"/>
      <c r="EO100" s="1006"/>
      <c r="EP100" s="1006"/>
      <c r="EQ100" s="1006"/>
      <c r="ER100" s="1006"/>
      <c r="ES100" s="1006"/>
      <c r="ET100" s="1006"/>
      <c r="EU100" s="1006"/>
      <c r="EV100" s="1006"/>
      <c r="EW100" s="1006"/>
      <c r="EX100" s="1006"/>
      <c r="EY100" s="1006"/>
      <c r="EZ100" s="1006"/>
      <c r="FA100" s="1006"/>
      <c r="FB100" s="1006"/>
      <c r="FC100" s="1006"/>
      <c r="FD100" s="1006"/>
      <c r="FE100" s="1006"/>
      <c r="FF100" s="1006"/>
      <c r="FG100" s="1006"/>
      <c r="FH100" s="1006"/>
      <c r="FI100" s="1006"/>
      <c r="FJ100" s="1006"/>
      <c r="FK100" s="1006"/>
      <c r="FL100" s="1006"/>
      <c r="FM100" s="1006"/>
      <c r="FN100" s="1006"/>
      <c r="FO100" s="1006"/>
      <c r="FP100" s="1006"/>
      <c r="FQ100" s="1006"/>
      <c r="FR100" s="1006"/>
      <c r="FS100" s="1006"/>
      <c r="FT100" s="1006"/>
      <c r="FU100" s="1006"/>
      <c r="FV100" s="1006"/>
      <c r="FW100" s="1007"/>
      <c r="FX100" s="1214"/>
      <c r="FY100" s="1214"/>
      <c r="FZ100" s="964" t="s">
        <v>147</v>
      </c>
      <c r="GA100" s="1216"/>
      <c r="GB100" s="1216"/>
      <c r="GC100" s="556" t="s">
        <v>1614</v>
      </c>
      <c r="GD100" s="1215"/>
    </row>
    <row r="101" spans="1:186" s="1334" customFormat="1" ht="14.25" hidden="1" customHeight="1" x14ac:dyDescent="0.15">
      <c r="A101" s="416"/>
      <c r="B101" s="837" t="b">
        <f>AND(R85="двухставочный",NOT(S85))</f>
        <v>0</v>
      </c>
      <c r="C101" s="416"/>
      <c r="D101" s="416"/>
      <c r="E101" s="759">
        <v>15</v>
      </c>
      <c r="F101" s="3" t="str" cm="1">
        <f t="array" aca="1" ref="F101" ca="1">OFFSET(E101,-1,1)</f>
        <v>1</v>
      </c>
      <c r="G101" s="416"/>
      <c r="H101" s="416"/>
      <c r="I101" s="416"/>
      <c r="J101" s="416"/>
      <c r="K101" s="416"/>
      <c r="L101" s="416"/>
      <c r="M101" s="416"/>
      <c r="N101" s="416"/>
      <c r="O101" s="416"/>
      <c r="P101" s="416"/>
      <c r="Q101" s="416"/>
      <c r="R101" s="4"/>
      <c r="S101" s="416"/>
      <c r="T101" s="388" t="b" cm="1">
        <f t="array" aca="1" ref="T101" ca="1">T100</f>
        <v>1</v>
      </c>
      <c r="U101" s="416"/>
      <c r="V101" s="416"/>
      <c r="W101" s="416"/>
      <c r="X101" s="2066"/>
      <c r="Y101" s="416"/>
      <c r="Z101" s="2011"/>
      <c r="AA101" s="416"/>
      <c r="AB101" s="810" t="s">
        <v>1619</v>
      </c>
      <c r="AC101" s="811"/>
      <c r="AD101" s="1008"/>
      <c r="AE101" s="1008"/>
      <c r="AF101" s="1008"/>
      <c r="AG101" s="1008"/>
      <c r="AH101" s="1008"/>
      <c r="AI101" s="1008"/>
      <c r="AJ101" s="1008"/>
      <c r="AK101" s="1008"/>
      <c r="AL101" s="1008"/>
      <c r="AM101" s="1008"/>
      <c r="AN101" s="1008"/>
      <c r="AO101" s="1008"/>
      <c r="AP101" s="1008"/>
      <c r="AQ101" s="1008"/>
      <c r="AR101" s="1008"/>
      <c r="AS101" s="1008"/>
      <c r="AT101" s="1008"/>
      <c r="AU101" s="1008"/>
      <c r="AV101" s="1008"/>
      <c r="AW101" s="1008"/>
      <c r="AX101" s="1008"/>
      <c r="AY101" s="1008"/>
      <c r="AZ101" s="1008"/>
      <c r="BA101" s="1008"/>
      <c r="BB101" s="1008"/>
      <c r="BC101" s="1008"/>
      <c r="BD101" s="1008"/>
      <c r="BE101" s="1008"/>
      <c r="BF101" s="1008"/>
      <c r="BG101" s="1008"/>
      <c r="BH101" s="1008"/>
      <c r="BI101" s="1008"/>
      <c r="BJ101" s="1008"/>
      <c r="BK101" s="1008"/>
      <c r="BL101" s="1008"/>
      <c r="BM101" s="1008"/>
      <c r="BN101" s="1008"/>
      <c r="BO101" s="1008"/>
      <c r="BP101" s="1008"/>
      <c r="BQ101" s="1008"/>
      <c r="BR101" s="1008"/>
      <c r="BS101" s="1008"/>
      <c r="BT101" s="1008"/>
      <c r="BU101" s="1008"/>
      <c r="BV101" s="1008"/>
      <c r="BW101" s="1008"/>
      <c r="BX101" s="1008"/>
      <c r="BY101" s="1008"/>
      <c r="BZ101" s="1008"/>
      <c r="CA101" s="1008"/>
      <c r="CB101" s="1008"/>
      <c r="CC101" s="1008"/>
      <c r="CD101" s="1008"/>
      <c r="CE101" s="1008"/>
      <c r="CF101" s="1008"/>
      <c r="CG101" s="1008"/>
      <c r="CH101" s="1008"/>
      <c r="CI101" s="1008"/>
      <c r="CJ101" s="1008"/>
      <c r="CK101" s="1008"/>
      <c r="CL101" s="1008"/>
      <c r="CM101" s="1008"/>
      <c r="CN101" s="1008"/>
      <c r="CO101" s="1008"/>
      <c r="CP101" s="1008"/>
      <c r="CQ101" s="1008"/>
      <c r="CR101" s="1008"/>
      <c r="CS101" s="1008"/>
      <c r="CT101" s="1008"/>
      <c r="CU101" s="1008"/>
      <c r="CV101" s="1008"/>
      <c r="CW101" s="1008"/>
      <c r="CX101" s="1008"/>
      <c r="CY101" s="1008"/>
      <c r="CZ101" s="1008"/>
      <c r="DA101" s="1008"/>
      <c r="DB101" s="1008"/>
      <c r="DC101" s="1008"/>
      <c r="DD101" s="1008"/>
      <c r="DE101" s="1008"/>
      <c r="DF101" s="1008"/>
      <c r="DG101" s="1008"/>
      <c r="DH101" s="1008"/>
      <c r="DI101" s="1008"/>
      <c r="DJ101" s="1008"/>
      <c r="DK101" s="1008"/>
      <c r="DL101" s="1008"/>
      <c r="DM101" s="1008"/>
      <c r="DN101" s="1008"/>
      <c r="DO101" s="1008"/>
      <c r="DP101" s="1008"/>
      <c r="DQ101" s="1008"/>
      <c r="DR101" s="1008"/>
      <c r="DS101" s="1008"/>
      <c r="DT101" s="1008"/>
      <c r="DU101" s="1008"/>
      <c r="DV101" s="1008"/>
      <c r="DW101" s="1008"/>
      <c r="DX101" s="1008"/>
      <c r="DY101" s="1008"/>
      <c r="DZ101" s="1008"/>
      <c r="EA101" s="1008"/>
      <c r="EB101" s="1008"/>
      <c r="EC101" s="1008"/>
      <c r="ED101" s="1008"/>
      <c r="EE101" s="1008"/>
      <c r="EF101" s="1008"/>
      <c r="EG101" s="1008"/>
      <c r="EH101" s="1008"/>
      <c r="EI101" s="1008"/>
      <c r="EJ101" s="1008"/>
      <c r="EK101" s="1008"/>
      <c r="EL101" s="1008"/>
      <c r="EM101" s="1008"/>
      <c r="EN101" s="1008"/>
      <c r="EO101" s="1008"/>
      <c r="EP101" s="1008"/>
      <c r="EQ101" s="1008"/>
      <c r="ER101" s="1008"/>
      <c r="ES101" s="1008"/>
      <c r="ET101" s="1008"/>
      <c r="EU101" s="1008"/>
      <c r="EV101" s="1008"/>
      <c r="EW101" s="1008"/>
      <c r="EX101" s="1008"/>
      <c r="EY101" s="1008"/>
      <c r="EZ101" s="1008"/>
      <c r="FA101" s="1008"/>
      <c r="FB101" s="1008"/>
      <c r="FC101" s="1008"/>
      <c r="FD101" s="1008"/>
      <c r="FE101" s="1008"/>
      <c r="FF101" s="1008"/>
      <c r="FG101" s="1008"/>
      <c r="FH101" s="1008"/>
      <c r="FI101" s="1008"/>
      <c r="FJ101" s="1008"/>
      <c r="FK101" s="1008"/>
      <c r="FL101" s="1008"/>
      <c r="FM101" s="1008"/>
      <c r="FN101" s="1008"/>
      <c r="FO101" s="1008"/>
      <c r="FP101" s="1008"/>
      <c r="FQ101" s="1008"/>
      <c r="FR101" s="1008"/>
      <c r="FS101" s="1008"/>
      <c r="FT101" s="1008"/>
      <c r="FU101" s="1008"/>
      <c r="FV101" s="1008"/>
      <c r="FW101" s="1009"/>
      <c r="FX101" s="1214"/>
      <c r="FY101" s="1214"/>
      <c r="FZ101" s="964" t="s">
        <v>147</v>
      </c>
      <c r="GA101" s="1216"/>
      <c r="GB101" s="1216"/>
      <c r="GC101" s="1215"/>
      <c r="GD101" s="1215"/>
    </row>
    <row r="102" spans="1:186" s="1334" customFormat="1" ht="23.25" hidden="1" customHeight="1" x14ac:dyDescent="0.15">
      <c r="A102" s="416"/>
      <c r="B102" s="837" t="b" cm="1">
        <f t="array" ref="B102">B101</f>
        <v>0</v>
      </c>
      <c r="C102" s="416"/>
      <c r="D102" s="416"/>
      <c r="E102" s="759">
        <v>24.5</v>
      </c>
      <c r="F102" s="3" t="str" cm="1">
        <f t="array" aca="1" ref="F102" ca="1">OFFSET(E102,-1,1)</f>
        <v>1</v>
      </c>
      <c r="G102" s="416"/>
      <c r="H102" s="416"/>
      <c r="I102" s="416"/>
      <c r="J102" s="416"/>
      <c r="K102" s="416"/>
      <c r="L102" s="416"/>
      <c r="M102" s="416"/>
      <c r="N102" s="416"/>
      <c r="O102" s="416"/>
      <c r="P102" s="416"/>
      <c r="Q102" s="416"/>
      <c r="R102" s="416"/>
      <c r="S102" s="416"/>
      <c r="T102" s="388" t="b" cm="1">
        <f t="array" aca="1" ref="T102" ca="1">T101</f>
        <v>1</v>
      </c>
      <c r="U102" s="416"/>
      <c r="V102" s="416"/>
      <c r="W102" s="416"/>
      <c r="X102" s="2066"/>
      <c r="Y102" s="416"/>
      <c r="Z102" s="2011"/>
      <c r="AA102" s="416"/>
      <c r="AB102" s="211" t="s">
        <v>1620</v>
      </c>
      <c r="AC102" s="817"/>
      <c r="AD102" s="1010"/>
      <c r="AE102" s="1010"/>
      <c r="AF102" s="1010"/>
      <c r="AG102" s="1010"/>
      <c r="AH102" s="1010"/>
      <c r="AI102" s="1010"/>
      <c r="AJ102" s="1010"/>
      <c r="AK102" s="1010"/>
      <c r="AL102" s="1010"/>
      <c r="AM102" s="1010"/>
      <c r="AN102" s="1010"/>
      <c r="AO102" s="1010"/>
      <c r="AP102" s="1010"/>
      <c r="AQ102" s="1010"/>
      <c r="AR102" s="1010"/>
      <c r="AS102" s="1010"/>
      <c r="AT102" s="1010"/>
      <c r="AU102" s="1010"/>
      <c r="AV102" s="1010"/>
      <c r="AW102" s="1010"/>
      <c r="AX102" s="1010"/>
      <c r="AY102" s="1010"/>
      <c r="AZ102" s="1010"/>
      <c r="BA102" s="1010"/>
      <c r="BB102" s="1010"/>
      <c r="BC102" s="1010"/>
      <c r="BD102" s="1010"/>
      <c r="BE102" s="1010"/>
      <c r="BF102" s="1010"/>
      <c r="BG102" s="1010"/>
      <c r="BH102" s="1010"/>
      <c r="BI102" s="1010"/>
      <c r="BJ102" s="1010"/>
      <c r="BK102" s="1010"/>
      <c r="BL102" s="1010"/>
      <c r="BM102" s="1010"/>
      <c r="BN102" s="1010"/>
      <c r="BO102" s="1010"/>
      <c r="BP102" s="1010"/>
      <c r="BQ102" s="1010"/>
      <c r="BR102" s="1010"/>
      <c r="BS102" s="1010"/>
      <c r="BT102" s="1010"/>
      <c r="BU102" s="1010"/>
      <c r="BV102" s="1010"/>
      <c r="BW102" s="1010"/>
      <c r="BX102" s="1010"/>
      <c r="BY102" s="1010"/>
      <c r="BZ102" s="1010"/>
      <c r="CA102" s="1010"/>
      <c r="CB102" s="1010"/>
      <c r="CC102" s="1010"/>
      <c r="CD102" s="1010"/>
      <c r="CE102" s="1010"/>
      <c r="CF102" s="1010"/>
      <c r="CG102" s="1010"/>
      <c r="CH102" s="1010"/>
      <c r="CI102" s="1010"/>
      <c r="CJ102" s="1010"/>
      <c r="CK102" s="1010"/>
      <c r="CL102" s="1010"/>
      <c r="CM102" s="1010"/>
      <c r="CN102" s="1010"/>
      <c r="CO102" s="1010"/>
      <c r="CP102" s="1010"/>
      <c r="CQ102" s="1010"/>
      <c r="CR102" s="1010"/>
      <c r="CS102" s="1010"/>
      <c r="CT102" s="1010"/>
      <c r="CU102" s="1010"/>
      <c r="CV102" s="1010"/>
      <c r="CW102" s="1010"/>
      <c r="CX102" s="1010"/>
      <c r="CY102" s="1010"/>
      <c r="CZ102" s="1010"/>
      <c r="DA102" s="1010"/>
      <c r="DB102" s="1010"/>
      <c r="DC102" s="1010"/>
      <c r="DD102" s="1010"/>
      <c r="DE102" s="1010"/>
      <c r="DF102" s="1010"/>
      <c r="DG102" s="1010"/>
      <c r="DH102" s="1010"/>
      <c r="DI102" s="1010"/>
      <c r="DJ102" s="1010"/>
      <c r="DK102" s="1010"/>
      <c r="DL102" s="1010"/>
      <c r="DM102" s="1010"/>
      <c r="DN102" s="1010"/>
      <c r="DO102" s="1010"/>
      <c r="DP102" s="1010"/>
      <c r="DQ102" s="1010"/>
      <c r="DR102" s="1010"/>
      <c r="DS102" s="1010"/>
      <c r="DT102" s="1010"/>
      <c r="DU102" s="1010"/>
      <c r="DV102" s="1010"/>
      <c r="DW102" s="1010"/>
      <c r="DX102" s="1010"/>
      <c r="DY102" s="1010"/>
      <c r="DZ102" s="1010"/>
      <c r="EA102" s="1010"/>
      <c r="EB102" s="1010"/>
      <c r="EC102" s="1010"/>
      <c r="ED102" s="1010"/>
      <c r="EE102" s="1010"/>
      <c r="EF102" s="1010"/>
      <c r="EG102" s="1010"/>
      <c r="EH102" s="1010"/>
      <c r="EI102" s="1010"/>
      <c r="EJ102" s="1010"/>
      <c r="EK102" s="1010"/>
      <c r="EL102" s="1010"/>
      <c r="EM102" s="1010"/>
      <c r="EN102" s="1010"/>
      <c r="EO102" s="1010"/>
      <c r="EP102" s="1010"/>
      <c r="EQ102" s="1010"/>
      <c r="ER102" s="1010"/>
      <c r="ES102" s="1010"/>
      <c r="ET102" s="1010"/>
      <c r="EU102" s="1010"/>
      <c r="EV102" s="1010"/>
      <c r="EW102" s="1010"/>
      <c r="EX102" s="1010"/>
      <c r="EY102" s="1010"/>
      <c r="EZ102" s="1010"/>
      <c r="FA102" s="1010"/>
      <c r="FB102" s="1010"/>
      <c r="FC102" s="1010"/>
      <c r="FD102" s="1010"/>
      <c r="FE102" s="1010"/>
      <c r="FF102" s="1010"/>
      <c r="FG102" s="1010"/>
      <c r="FH102" s="1010"/>
      <c r="FI102" s="1010"/>
      <c r="FJ102" s="1010"/>
      <c r="FK102" s="1010"/>
      <c r="FL102" s="1010"/>
      <c r="FM102" s="1010"/>
      <c r="FN102" s="1010"/>
      <c r="FO102" s="1010"/>
      <c r="FP102" s="1010"/>
      <c r="FQ102" s="1010"/>
      <c r="FR102" s="1010"/>
      <c r="FS102" s="1010"/>
      <c r="FT102" s="1010"/>
      <c r="FU102" s="1010"/>
      <c r="FV102" s="1010"/>
      <c r="FW102" s="1011"/>
      <c r="FX102" s="1214"/>
      <c r="FY102" s="1214"/>
      <c r="FZ102" s="964" t="s">
        <v>147</v>
      </c>
      <c r="GA102" s="1216"/>
      <c r="GB102" s="1216"/>
      <c r="GC102" s="1215"/>
      <c r="GD102" s="1215"/>
    </row>
    <row r="103" spans="1:186" s="1334" customFormat="1" ht="14.25" hidden="1" customHeight="1" x14ac:dyDescent="0.15">
      <c r="A103" s="416"/>
      <c r="B103" s="837" t="b" cm="1">
        <f t="array" ref="B103">B102</f>
        <v>0</v>
      </c>
      <c r="C103" s="416"/>
      <c r="D103" s="416"/>
      <c r="E103" s="759">
        <v>15</v>
      </c>
      <c r="F103" s="3" t="str" cm="1">
        <f t="array" aca="1" ref="F103" ca="1">OFFSET(E103,-1,1)</f>
        <v>1</v>
      </c>
      <c r="G103" s="416"/>
      <c r="H103" s="416" t="s">
        <v>1529</v>
      </c>
      <c r="I103" s="416" t="s">
        <v>1586</v>
      </c>
      <c r="J103" s="416"/>
      <c r="K103" s="416"/>
      <c r="L103" s="416"/>
      <c r="M103" s="416"/>
      <c r="N103" s="416"/>
      <c r="O103" s="416"/>
      <c r="P103" s="416"/>
      <c r="Q103" s="416"/>
      <c r="R103" s="416"/>
      <c r="S103" s="416"/>
      <c r="T103" s="388" t="b" cm="1">
        <f t="array" aca="1" ref="T103" ca="1">T102</f>
        <v>1</v>
      </c>
      <c r="U103" s="416"/>
      <c r="V103" s="416"/>
      <c r="W103" s="416"/>
      <c r="X103" s="2066"/>
      <c r="Y103" s="416"/>
      <c r="Z103" s="2011"/>
      <c r="AA103" s="416"/>
      <c r="AB103" s="818" t="s">
        <v>1621</v>
      </c>
      <c r="AC103" s="783" t="s">
        <v>1588</v>
      </c>
      <c r="AD103" s="1445">
        <f ca="1">IF(AD105=0,0,(AD104*AD105+AD106*AD107*IF(god=2026,9,6))/AD105)</f>
        <v>0</v>
      </c>
      <c r="AE103" s="1445">
        <f ca="1">IF(AE105=0,0,(AE104*AE105+AE106*AE107*IF(god=2026,9,6))/AE105)</f>
        <v>0</v>
      </c>
      <c r="AF103" s="1003">
        <f ca="1">IF(AD103=0,0,(AE103-AD103)/AD103*100)</f>
        <v>0</v>
      </c>
      <c r="AG103" s="1445">
        <f ca="1">IF(AG105=0,0,(AG104*AG105+AG106*AG107*IF(god=2025,9,6))/AG105)</f>
        <v>0</v>
      </c>
      <c r="AH103" s="1445">
        <f ca="1">IF(AH105=0,0,(AH104*AH105+AH106*AH107*IF(god=2025,9,6))/AH105)</f>
        <v>0</v>
      </c>
      <c r="AI103" s="1003">
        <f ca="1">IF(AG103=0,0,(AH103-AG103)/AG103*100)</f>
        <v>0</v>
      </c>
      <c r="AJ103" s="1445">
        <f ca="1">IF(AJ105=0,0,(AJ104*AJ105+AJ106*AJ107*6)/AJ105)</f>
        <v>0</v>
      </c>
      <c r="AK103" s="1445">
        <f ca="1">IF(AK105=0,0,(AK104*AK105+AK106*AK107*6)/AK105)</f>
        <v>0</v>
      </c>
      <c r="AL103" s="1003">
        <f ca="1">IF(AJ103=0,0,(AK103-AJ103)/AJ103*100)</f>
        <v>0</v>
      </c>
      <c r="AM103" s="1445">
        <f ca="1">IF(AM105=0,0,(AM104*AM105+AM106*AM107*6)/AM105)</f>
        <v>0</v>
      </c>
      <c r="AN103" s="1445">
        <f ca="1">IF(AN105=0,0,(AN104*AN105+AN106*AN107*6)/AN105)</f>
        <v>0</v>
      </c>
      <c r="AO103" s="1003">
        <f ca="1">IF(AM103=0,0,(AN103-AM103)/AM103*100)</f>
        <v>0</v>
      </c>
      <c r="AP103" s="1445">
        <f ca="1">IF(AP105=0,0,(AP104*AP105+AP106*AP107*6)/AP105)</f>
        <v>0</v>
      </c>
      <c r="AQ103" s="1445">
        <f ca="1">IF(AQ105=0,0,(AQ104*AQ105+AQ106*AQ107*6)/AQ105)</f>
        <v>0</v>
      </c>
      <c r="AR103" s="1003">
        <f ca="1">IF(AP103=0,0,(AQ103-AP103)/AP103*100)</f>
        <v>0</v>
      </c>
      <c r="AS103" s="1445">
        <f ca="1">IF(AS105=0,0,(AS104*AS105+AS106*AS107*6)/AS105)</f>
        <v>0</v>
      </c>
      <c r="AT103" s="1445">
        <f ca="1">IF(AT105=0,0,(AT104*AT105+AT106*AT107*6)/AT105)</f>
        <v>0</v>
      </c>
      <c r="AU103" s="1003">
        <f ca="1">IF(AS103=0,0,(AT103-AS103)/AS103*100)</f>
        <v>0</v>
      </c>
      <c r="AV103" s="1445">
        <f ca="1">IF(AV105=0,0,(AV104*AV105+AV106*AV107*6)/AV105)</f>
        <v>0</v>
      </c>
      <c r="AW103" s="1445">
        <f ca="1">IF(AW105=0,0,(AW104*AW105+AW106*AW107*6)/AW105)</f>
        <v>0</v>
      </c>
      <c r="AX103" s="1003">
        <f ca="1">IF(AV103=0,0,(AW103-AV103)/AV103*100)</f>
        <v>0</v>
      </c>
      <c r="AY103" s="1445">
        <f ca="1">IF(AY105=0,0,(AY104*AY105+AY106*AY107*6)/AY105)</f>
        <v>0</v>
      </c>
      <c r="AZ103" s="1445">
        <f ca="1">IF(AZ105=0,0,(AZ104*AZ105+AZ106*AZ107*6)/AZ105)</f>
        <v>0</v>
      </c>
      <c r="BA103" s="1003">
        <f ca="1">IF(AY103=0,0,(AZ103-AY103)/AY103*100)</f>
        <v>0</v>
      </c>
      <c r="BB103" s="1445">
        <f ca="1">IF(BB105=0,0,(BB104*BB105+BB106*BB107*6)/BB105)</f>
        <v>0</v>
      </c>
      <c r="BC103" s="1445">
        <f ca="1">IF(BC105=0,0,(BC104*BC105+BC106*BC107*6)/BC105)</f>
        <v>0</v>
      </c>
      <c r="BD103" s="1003">
        <f ca="1">IF(BB103=0,0,(BC103-BB103)/BB103*100)</f>
        <v>0</v>
      </c>
      <c r="BE103" s="1445">
        <f ca="1">IF(BE105=0,0,(BE104*BE105+BE106*BE107*6)/BE105)</f>
        <v>0</v>
      </c>
      <c r="BF103" s="1445">
        <f ca="1">IF(BF105=0,0,(BF104*BF105+BF106*BF107*6)/BF105)</f>
        <v>0</v>
      </c>
      <c r="BG103" s="1003">
        <f ca="1">IF(BE103=0,0,(BF103-BE103)/BE103*100)</f>
        <v>0</v>
      </c>
      <c r="BH103" s="1445">
        <f>IF(BH105=0,0,(BH104*BH105+BH106*BH107*6)/BH105)</f>
        <v>0</v>
      </c>
      <c r="BI103" s="1445">
        <f>IF(BI105=0,0,(BI104*BI105+BI106*BI107*6)/BI105)</f>
        <v>0</v>
      </c>
      <c r="BJ103" s="1003">
        <f>IF(BH103=0,0,(BI103-BH103)/BH103*100)</f>
        <v>0</v>
      </c>
      <c r="BK103" s="1445">
        <f>IF(BK105=0,0,(BK104*BK105+BK106*BK107*6)/BK105)</f>
        <v>0</v>
      </c>
      <c r="BL103" s="1445">
        <f>IF(BL105=0,0,(BL104*BL105+BL106*BL107*6)/BL105)</f>
        <v>0</v>
      </c>
      <c r="BM103" s="1003">
        <f>IF(BK103=0,0,(BL103-BK103)/BK103*100)</f>
        <v>0</v>
      </c>
      <c r="BN103" s="1445">
        <f>IF(BN105=0,0,(BN104*BN105+BN106*BN107*6)/BN105)</f>
        <v>0</v>
      </c>
      <c r="BO103" s="1445">
        <f>IF(BO105=0,0,(BO104*BO105+BO106*BO107*6)/BO105)</f>
        <v>0</v>
      </c>
      <c r="BP103" s="1003">
        <f>IF(BN103=0,0,(BO103-BN103)/BN103*100)</f>
        <v>0</v>
      </c>
      <c r="BQ103" s="1445">
        <f>IF(BQ105=0,0,(BQ104*BQ105+BQ106*BQ107*6)/BQ105)</f>
        <v>0</v>
      </c>
      <c r="BR103" s="1445">
        <f>IF(BR105=0,0,(BR104*BR105+BR106*BR107*6)/BR105)</f>
        <v>0</v>
      </c>
      <c r="BS103" s="1003">
        <f>IF(BQ103=0,0,(BR103-BQ103)/BQ103*100)</f>
        <v>0</v>
      </c>
      <c r="BT103" s="1445">
        <f>IF(BT105=0,0,(BT104*BT105+BT106*BT107*6)/BT105)</f>
        <v>0</v>
      </c>
      <c r="BU103" s="1445">
        <f>IF(BU105=0,0,(BU104*BU105+BU106*BU107*6)/BU105)</f>
        <v>0</v>
      </c>
      <c r="BV103" s="1003">
        <f>IF(BT103=0,0,(BU103-BT103)/BT103*100)</f>
        <v>0</v>
      </c>
      <c r="BW103" s="1445">
        <f>IF(BW105=0,0,(BW104*BW105+BW106*BW107*6)/BW105)</f>
        <v>0</v>
      </c>
      <c r="BX103" s="1445">
        <f>IF(BX105=0,0,(BX104*BX105+BX106*BX107*6)/BX105)</f>
        <v>0</v>
      </c>
      <c r="BY103" s="1003">
        <f>IF(BW103=0,0,(BX103-BW103)/BW103*100)</f>
        <v>0</v>
      </c>
      <c r="BZ103" s="1445">
        <f>IF(BZ105=0,0,(BZ104*BZ105+BZ106*BZ107*6)/BZ105)</f>
        <v>0</v>
      </c>
      <c r="CA103" s="1445">
        <f>IF(CA105=0,0,(CA104*CA105+CA106*CA107*6)/CA105)</f>
        <v>0</v>
      </c>
      <c r="CB103" s="1003">
        <f>IF(BZ103=0,0,(CA103-BZ103)/BZ103*100)</f>
        <v>0</v>
      </c>
      <c r="CC103" s="1445">
        <f>IF(CC105=0,0,(CC104*CC105+CC106*CC107*6)/CC105)</f>
        <v>0</v>
      </c>
      <c r="CD103" s="1445">
        <f>IF(CD105=0,0,(CD104*CD105+CD106*CD107*6)/CD105)</f>
        <v>0</v>
      </c>
      <c r="CE103" s="1003">
        <f>IF(CC103=0,0,(CD103-CC103)/CC103*100)</f>
        <v>0</v>
      </c>
      <c r="CF103" s="1445">
        <f>IF(CF105=0,0,(CF104*CF105+CF106*CF107*6)/CF105)</f>
        <v>0</v>
      </c>
      <c r="CG103" s="1445">
        <f>IF(CG105=0,0,(CG104*CG105+CG106*CG107*6)/CG105)</f>
        <v>0</v>
      </c>
      <c r="CH103" s="1003">
        <f>IF(CF103=0,0,(CG103-CF103)/CF103*100)</f>
        <v>0</v>
      </c>
      <c r="CI103" s="1445">
        <f>IF(CI105=0,0,(CI104*CI105+CI106*CI107*6)/CI105)</f>
        <v>0</v>
      </c>
      <c r="CJ103" s="1445">
        <f>IF(CJ105=0,0,(CJ104*CJ105+CJ106*CJ107*6)/CJ105)</f>
        <v>0</v>
      </c>
      <c r="CK103" s="1003">
        <f>IF(CI103=0,0,(CJ103-CI103)/CI103*100)</f>
        <v>0</v>
      </c>
      <c r="CL103" s="1445">
        <f>IF(CL105=0,0,(CL104*CL105+CL106*CL107*6)/CL105)</f>
        <v>0</v>
      </c>
      <c r="CM103" s="1445">
        <f>IF(CM105=0,0,(CM104*CM105+CM106*CM107*6)/CM105)</f>
        <v>0</v>
      </c>
      <c r="CN103" s="1003">
        <f>IF(CL103=0,0,(CM103-CL103)/CL103*100)</f>
        <v>0</v>
      </c>
      <c r="CO103" s="1445">
        <f>IF(CO105=0,0,(CO104*CO105+CO106*CO107*6)/CO105)</f>
        <v>0</v>
      </c>
      <c r="CP103" s="1445">
        <f>IF(CP105=0,0,(CP104*CP105+CP106*CP107*6)/CP105)</f>
        <v>0</v>
      </c>
      <c r="CQ103" s="1003">
        <f>IF(CO103=0,0,(CP103-CO103)/CO103*100)</f>
        <v>0</v>
      </c>
      <c r="CR103" s="1445">
        <f>IF(CR105=0,0,(CR104*CR105+CR106*CR107*6)/CR105)</f>
        <v>0</v>
      </c>
      <c r="CS103" s="1445">
        <f>IF(CS105=0,0,(CS104*CS105+CS106*CS107*6)/CS105)</f>
        <v>0</v>
      </c>
      <c r="CT103" s="1003">
        <f>IF(CR103=0,0,(CS103-CR103)/CR103*100)</f>
        <v>0</v>
      </c>
      <c r="CU103" s="1445">
        <f>IF(CU105=0,0,(CU104*CU105+CU106*CU107*6)/CU105)</f>
        <v>0</v>
      </c>
      <c r="CV103" s="1445">
        <f>IF(CV105=0,0,(CV104*CV105+CV106*CV107*6)/CV105)</f>
        <v>0</v>
      </c>
      <c r="CW103" s="1003">
        <f>IF(CU103=0,0,(CV103-CU103)/CU103*100)</f>
        <v>0</v>
      </c>
      <c r="CX103" s="1445">
        <f>IF(CX105=0,0,(CX104*CX105+CX106*CX107*6)/CX105)</f>
        <v>0</v>
      </c>
      <c r="CY103" s="1445">
        <f>IF(CY105=0,0,(CY104*CY105+CY106*CY107*6)/CY105)</f>
        <v>0</v>
      </c>
      <c r="CZ103" s="1003">
        <f>IF(CX103=0,0,(CY103-CX103)/CX103*100)</f>
        <v>0</v>
      </c>
      <c r="DA103" s="1445">
        <f>IF(DA105=0,0,(DA104*DA105+DA106*DA107*6)/DA105)</f>
        <v>0</v>
      </c>
      <c r="DB103" s="1445">
        <f>IF(DB105=0,0,(DB104*DB105+DB106*DB107*6)/DB105)</f>
        <v>0</v>
      </c>
      <c r="DC103" s="1003">
        <f>IF(DA103=0,0,(DB103-DA103)/DA103*100)</f>
        <v>0</v>
      </c>
      <c r="DD103" s="1445">
        <f>IF(DD105=0,0,(DD104*DD105+DD106*DD107*6)/DD105)</f>
        <v>0</v>
      </c>
      <c r="DE103" s="1445">
        <f>IF(DE105=0,0,(DE104*DE105+DE106*DE107*6)/DE105)</f>
        <v>0</v>
      </c>
      <c r="DF103" s="1003">
        <f>IF(DD103=0,0,(DE103-DD103)/DD103*100)</f>
        <v>0</v>
      </c>
      <c r="DG103" s="1445">
        <f>IF(DG105=0,0,(DG104*DG105+DG106*DG107*6)/DG105)</f>
        <v>0</v>
      </c>
      <c r="DH103" s="1445">
        <f>IF(DH105=0,0,(DH104*DH105+DH106*DH107*6)/DH105)</f>
        <v>0</v>
      </c>
      <c r="DI103" s="1003">
        <f>IF(DG103=0,0,(DH103-DG103)/DG103*100)</f>
        <v>0</v>
      </c>
      <c r="DJ103" s="1445">
        <f>IF(DJ105=0,0,(DJ104*DJ105+DJ106*DJ107*6)/DJ105)</f>
        <v>0</v>
      </c>
      <c r="DK103" s="1445">
        <f>IF(DK105=0,0,(DK104*DK105+DK106*DK107*6)/DK105)</f>
        <v>0</v>
      </c>
      <c r="DL103" s="1003">
        <f>IF(DJ103=0,0,(DK103-DJ103)/DJ103*100)</f>
        <v>0</v>
      </c>
      <c r="DM103" s="1445">
        <f>IF(DM105=0,0,(DM104*DM105+DM106*DM107*6)/DM105)</f>
        <v>0</v>
      </c>
      <c r="DN103" s="1445">
        <f>IF(DN105=0,0,(DN104*DN105+DN106*DN107*6)/DN105)</f>
        <v>0</v>
      </c>
      <c r="DO103" s="1003">
        <f>IF(DM103=0,0,(DN103-DM103)/DM103*100)</f>
        <v>0</v>
      </c>
      <c r="DP103" s="1445">
        <f>IF(DP105=0,0,(DP104*DP105+DP106*DP107*6)/DP105)</f>
        <v>0</v>
      </c>
      <c r="DQ103" s="1445">
        <f>IF(DQ105=0,0,(DQ104*DQ105+DQ106*DQ107*6)/DQ105)</f>
        <v>0</v>
      </c>
      <c r="DR103" s="1003">
        <f>IF(DP103=0,0,(DQ103-DP103)/DP103*100)</f>
        <v>0</v>
      </c>
      <c r="DS103" s="1445">
        <f>IF(DS105=0,0,(DS104*DS105+DS106*DS107*6)/DS105)</f>
        <v>0</v>
      </c>
      <c r="DT103" s="1445">
        <f>IF(DT105=0,0,(DT104*DT105+DT106*DT107*6)/DT105)</f>
        <v>0</v>
      </c>
      <c r="DU103" s="1003">
        <f>IF(DS103=0,0,(DT103-DS103)/DS103*100)</f>
        <v>0</v>
      </c>
      <c r="DV103" s="1445">
        <f>IF(DV105=0,0,(DV104*DV105+DV106*DV107*6)/DV105)</f>
        <v>0</v>
      </c>
      <c r="DW103" s="1445">
        <f>IF(DW105=0,0,(DW104*DW105+DW106*DW107*6)/DW105)</f>
        <v>0</v>
      </c>
      <c r="DX103" s="1003">
        <f>IF(DV103=0,0,(DW103-DV103)/DV103*100)</f>
        <v>0</v>
      </c>
      <c r="DY103" s="1445">
        <f>IF(DY105=0,0,(DY104*DY105+DY106*DY107*6)/DY105)</f>
        <v>0</v>
      </c>
      <c r="DZ103" s="1445">
        <f>IF(DZ105=0,0,(DZ104*DZ105+DZ106*DZ107*6)/DZ105)</f>
        <v>0</v>
      </c>
      <c r="EA103" s="1003">
        <f>IF(DY103=0,0,(DZ103-DY103)/DY103*100)</f>
        <v>0</v>
      </c>
      <c r="EB103" s="1445">
        <f>IF(EB105=0,0,(EB104*EB105+EB106*EB107*6)/EB105)</f>
        <v>0</v>
      </c>
      <c r="EC103" s="1445">
        <f>IF(EC105=0,0,(EC104*EC105+EC106*EC107*6)/EC105)</f>
        <v>0</v>
      </c>
      <c r="ED103" s="1003">
        <f>IF(EB103=0,0,(EC103-EB103)/EB103*100)</f>
        <v>0</v>
      </c>
      <c r="EE103" s="1445">
        <f>IF(EE105=0,0,(EE104*EE105+EE106*EE107*6)/EE105)</f>
        <v>0</v>
      </c>
      <c r="EF103" s="1445">
        <f>IF(EF105=0,0,(EF104*EF105+EF106*EF107*6)/EF105)</f>
        <v>0</v>
      </c>
      <c r="EG103" s="1003">
        <f>IF(EE103=0,0,(EF103-EE103)/EE103*100)</f>
        <v>0</v>
      </c>
      <c r="EH103" s="1445">
        <f>IF(EH105=0,0,(EH104*EH105+EH106*EH107*6)/EH105)</f>
        <v>0</v>
      </c>
      <c r="EI103" s="1445">
        <f>IF(EI105=0,0,(EI104*EI105+EI106*EI107*6)/EI105)</f>
        <v>0</v>
      </c>
      <c r="EJ103" s="1003">
        <f>IF(EH103=0,0,(EI103-EH103)/EH103*100)</f>
        <v>0</v>
      </c>
      <c r="EK103" s="1445">
        <f>IF(EK105=0,0,(EK104*EK105+EK106*EK107*6)/EK105)</f>
        <v>0</v>
      </c>
      <c r="EL103" s="1445">
        <f>IF(EL105=0,0,(EL104*EL105+EL106*EL107*6)/EL105)</f>
        <v>0</v>
      </c>
      <c r="EM103" s="1003">
        <f>IF(EK103=0,0,(EL103-EK103)/EK103*100)</f>
        <v>0</v>
      </c>
      <c r="EN103" s="1445">
        <f>IF(EN105=0,0,(EN104*EN105+EN106*EN107*6)/EN105)</f>
        <v>0</v>
      </c>
      <c r="EO103" s="1445">
        <f>IF(EO105=0,0,(EO104*EO105+EO106*EO107*6)/EO105)</f>
        <v>0</v>
      </c>
      <c r="EP103" s="1003">
        <f>IF(EN103=0,0,(EO103-EN103)/EN103*100)</f>
        <v>0</v>
      </c>
      <c r="EQ103" s="1445">
        <f>IF(EQ105=0,0,(EQ104*EQ105+EQ106*EQ107*6)/EQ105)</f>
        <v>0</v>
      </c>
      <c r="ER103" s="1445">
        <f>IF(ER105=0,0,(ER104*ER105+ER106*ER107*6)/ER105)</f>
        <v>0</v>
      </c>
      <c r="ES103" s="1003">
        <f>IF(EQ103=0,0,(ER103-EQ103)/EQ103*100)</f>
        <v>0</v>
      </c>
      <c r="ET103" s="1445">
        <f>IF(ET105=0,0,(ET104*ET105+ET106*ET107*6)/ET105)</f>
        <v>0</v>
      </c>
      <c r="EU103" s="1445">
        <f>IF(EU105=0,0,(EU104*EU105+EU106*EU107*6)/EU105)</f>
        <v>0</v>
      </c>
      <c r="EV103" s="1003">
        <f>IF(ET103=0,0,(EU103-ET103)/ET103*100)</f>
        <v>0</v>
      </c>
      <c r="EW103" s="1445">
        <f>IF(EW105=0,0,(EW104*EW105+EW106*EW107*6)/EW105)</f>
        <v>0</v>
      </c>
      <c r="EX103" s="1445">
        <f>IF(EX105=0,0,(EX104*EX105+EX106*EX107*6)/EX105)</f>
        <v>0</v>
      </c>
      <c r="EY103" s="1003">
        <f>IF(EW103=0,0,(EX103-EW103)/EW103*100)</f>
        <v>0</v>
      </c>
      <c r="EZ103" s="1445">
        <f>IF(EZ105=0,0,(EZ104*EZ105+EZ106*EZ107*6)/EZ105)</f>
        <v>0</v>
      </c>
      <c r="FA103" s="1445">
        <f>IF(FA105=0,0,(FA104*FA105+FA106*FA107*6)/FA105)</f>
        <v>0</v>
      </c>
      <c r="FB103" s="1003">
        <f>IF(EZ103=0,0,(FA103-EZ103)/EZ103*100)</f>
        <v>0</v>
      </c>
      <c r="FC103" s="1445">
        <f>IF(FC105=0,0,(FC104*FC105+FC106*FC107*6)/FC105)</f>
        <v>0</v>
      </c>
      <c r="FD103" s="1445">
        <f>IF(FD105=0,0,(FD104*FD105+FD106*FD107*6)/FD105)</f>
        <v>0</v>
      </c>
      <c r="FE103" s="1003">
        <f>IF(FC103=0,0,(FD103-FC103)/FC103*100)</f>
        <v>0</v>
      </c>
      <c r="FF103" s="1445">
        <f>IF(FF105=0,0,(FF104*FF105+FF106*FF107*6)/FF105)</f>
        <v>0</v>
      </c>
      <c r="FG103" s="1445">
        <f>IF(FG105=0,0,(FG104*FG105+FG106*FG107*6)/FG105)</f>
        <v>0</v>
      </c>
      <c r="FH103" s="1003">
        <f>IF(FF103=0,0,(FG103-FF103)/FF103*100)</f>
        <v>0</v>
      </c>
      <c r="FI103" s="1445">
        <f>IF(FI105=0,0,(FI104*FI105+FI106*FI107*6)/FI105)</f>
        <v>0</v>
      </c>
      <c r="FJ103" s="1445">
        <f>IF(FJ105=0,0,(FJ104*FJ105+FJ106*FJ107*6)/FJ105)</f>
        <v>0</v>
      </c>
      <c r="FK103" s="1003">
        <f>IF(FI103=0,0,(FJ103-FI103)/FI103*100)</f>
        <v>0</v>
      </c>
      <c r="FL103" s="1445">
        <f>IF(FL105=0,0,(FL104*FL105+FL106*FL107*6)/FL105)</f>
        <v>0</v>
      </c>
      <c r="FM103" s="1445">
        <f>IF(FM105=0,0,(FM104*FM105+FM106*FM107*6)/FM105)</f>
        <v>0</v>
      </c>
      <c r="FN103" s="1003">
        <f>IF(FL103=0,0,(FM103-FL103)/FL103*100)</f>
        <v>0</v>
      </c>
      <c r="FO103" s="1445">
        <f>IF(FO105=0,0,(FO104*FO105+FO106*FO107*6)/FO105)</f>
        <v>0</v>
      </c>
      <c r="FP103" s="1445">
        <f>IF(FP105=0,0,(FP104*FP105+FP106*FP107*6)/FP105)</f>
        <v>0</v>
      </c>
      <c r="FQ103" s="1003">
        <f>IF(FO103=0,0,(FP103-FO103)/FO103*100)</f>
        <v>0</v>
      </c>
      <c r="FR103" s="1445">
        <f>IF(FR105=0,0,(FR104*FR105+FR106*FR107*6)/FR105)</f>
        <v>0</v>
      </c>
      <c r="FS103" s="1445">
        <f>IF(FS105=0,0,(FS104*FS105+FS106*FS107*6)/FS105)</f>
        <v>0</v>
      </c>
      <c r="FT103" s="1003">
        <f>IF(FR103=0,0,(FS103-FR103)/FR103*100)</f>
        <v>0</v>
      </c>
      <c r="FU103" s="1445">
        <f>IF(FU105=0,0,(FU104*FU105+FU106*FU107*6)/FU105)</f>
        <v>0</v>
      </c>
      <c r="FV103" s="1445">
        <f>IF(FV105=0,0,(FV104*FV105+FV106*FV107*6)/FV105)</f>
        <v>0</v>
      </c>
      <c r="FW103" s="1003">
        <f>IF(FU103=0,0,(FV103-FU103)/FU103*100)</f>
        <v>0</v>
      </c>
      <c r="FX103" s="1214"/>
      <c r="FY103" s="1214"/>
      <c r="FZ103" s="964" t="s">
        <v>1622</v>
      </c>
      <c r="GA103" s="1216"/>
      <c r="GB103" s="1216"/>
      <c r="GC103" s="1215"/>
      <c r="GD103" s="1215"/>
    </row>
    <row r="104" spans="1:186" s="1334" customFormat="1" ht="14.25" hidden="1" customHeight="1" x14ac:dyDescent="0.15">
      <c r="A104" s="416"/>
      <c r="B104" s="837" t="b" cm="1">
        <f t="array" ref="B104">B103</f>
        <v>0</v>
      </c>
      <c r="C104" s="416"/>
      <c r="D104" s="416"/>
      <c r="E104" s="759">
        <v>15</v>
      </c>
      <c r="F104" s="3" t="str" cm="1">
        <f t="array" aca="1" ref="F104" ca="1">OFFSET(E104,-1,1)</f>
        <v>1</v>
      </c>
      <c r="G104" s="416"/>
      <c r="H104" s="416" t="s">
        <v>1533</v>
      </c>
      <c r="I104" s="416" t="s">
        <v>1586</v>
      </c>
      <c r="J104" s="416"/>
      <c r="K104" s="416"/>
      <c r="L104" s="416"/>
      <c r="M104" s="416"/>
      <c r="N104" s="416"/>
      <c r="O104" s="416"/>
      <c r="P104" s="416"/>
      <c r="Q104" s="416"/>
      <c r="R104" s="416"/>
      <c r="S104" s="416"/>
      <c r="T104" s="388" t="b" cm="1">
        <f t="array" aca="1" ref="T104" ca="1">T103</f>
        <v>1</v>
      </c>
      <c r="U104" s="416"/>
      <c r="V104" s="416"/>
      <c r="W104" s="416"/>
      <c r="X104" s="2066"/>
      <c r="Y104" s="416"/>
      <c r="Z104" s="2011"/>
      <c r="AA104" s="416"/>
      <c r="AB104" s="818" t="str">
        <f>"ставка платы за "&amp;IF(Q85="Водоснабжение","потребление 1 куб.м холодной воды","объем принятых сточных вод")</f>
        <v>ставка платы за потребление 1 куб.м холодной воды</v>
      </c>
      <c r="AC104" s="783" t="s">
        <v>1588</v>
      </c>
      <c r="AD104" s="1445"/>
      <c r="AE104" s="1445"/>
      <c r="AF104" s="1003">
        <f>IF(AD104=0,0,(AE104-AD104)/AD104*100)</f>
        <v>0</v>
      </c>
      <c r="AG104" s="1445"/>
      <c r="AH104" s="1445"/>
      <c r="AI104" s="1003">
        <f>IF(AG104=0,0,(AH104-AG104)/AG104*100)</f>
        <v>0</v>
      </c>
      <c r="AJ104" s="1445"/>
      <c r="AK104" s="1445"/>
      <c r="AL104" s="1003">
        <f>IF(AJ104=0,0,(AK104-AJ104)/AJ104*100)</f>
        <v>0</v>
      </c>
      <c r="AM104" s="1445"/>
      <c r="AN104" s="1445"/>
      <c r="AO104" s="1003">
        <f>IF(AM104=0,0,(AN104-AM104)/AM104*100)</f>
        <v>0</v>
      </c>
      <c r="AP104" s="1445"/>
      <c r="AQ104" s="1445"/>
      <c r="AR104" s="1003">
        <f>IF(AP104=0,0,(AQ104-AP104)/AP104*100)</f>
        <v>0</v>
      </c>
      <c r="AS104" s="1445"/>
      <c r="AT104" s="1445"/>
      <c r="AU104" s="1003">
        <f>IF(AS104=0,0,(AT104-AS104)/AS104*100)</f>
        <v>0</v>
      </c>
      <c r="AV104" s="1445"/>
      <c r="AW104" s="1445"/>
      <c r="AX104" s="1003">
        <f>IF(AV104=0,0,(AW104-AV104)/AV104*100)</f>
        <v>0</v>
      </c>
      <c r="AY104" s="1445"/>
      <c r="AZ104" s="1445"/>
      <c r="BA104" s="1003">
        <f>IF(AY104=0,0,(AZ104-AY104)/AY104*100)</f>
        <v>0</v>
      </c>
      <c r="BB104" s="1445"/>
      <c r="BC104" s="1445"/>
      <c r="BD104" s="1003">
        <f>IF(BB104=0,0,(BC104-BB104)/BB104*100)</f>
        <v>0</v>
      </c>
      <c r="BE104" s="1445"/>
      <c r="BF104" s="1445"/>
      <c r="BG104" s="1003">
        <f>IF(BE104=0,0,(BF104-BE104)/BE104*100)</f>
        <v>0</v>
      </c>
      <c r="BH104" s="1445"/>
      <c r="BI104" s="1445"/>
      <c r="BJ104" s="1003">
        <f>IF(BH104=0,0,(BI104-BH104)/BH104*100)</f>
        <v>0</v>
      </c>
      <c r="BK104" s="1445"/>
      <c r="BL104" s="1445"/>
      <c r="BM104" s="1003">
        <f>IF(BK104=0,0,(BL104-BK104)/BK104*100)</f>
        <v>0</v>
      </c>
      <c r="BN104" s="1445"/>
      <c r="BO104" s="1445"/>
      <c r="BP104" s="1003">
        <f>IF(BN104=0,0,(BO104-BN104)/BN104*100)</f>
        <v>0</v>
      </c>
      <c r="BQ104" s="1445"/>
      <c r="BR104" s="1445"/>
      <c r="BS104" s="1003">
        <f>IF(BQ104=0,0,(BR104-BQ104)/BQ104*100)</f>
        <v>0</v>
      </c>
      <c r="BT104" s="1445"/>
      <c r="BU104" s="1445"/>
      <c r="BV104" s="1003">
        <f>IF(BT104=0,0,(BU104-BT104)/BT104*100)</f>
        <v>0</v>
      </c>
      <c r="BW104" s="1445"/>
      <c r="BX104" s="1445"/>
      <c r="BY104" s="1003">
        <f>IF(BW104=0,0,(BX104-BW104)/BW104*100)</f>
        <v>0</v>
      </c>
      <c r="BZ104" s="1445"/>
      <c r="CA104" s="1445"/>
      <c r="CB104" s="1003">
        <f>IF(BZ104=0,0,(CA104-BZ104)/BZ104*100)</f>
        <v>0</v>
      </c>
      <c r="CC104" s="1445"/>
      <c r="CD104" s="1445"/>
      <c r="CE104" s="1003">
        <f>IF(CC104=0,0,(CD104-CC104)/CC104*100)</f>
        <v>0</v>
      </c>
      <c r="CF104" s="1445"/>
      <c r="CG104" s="1445"/>
      <c r="CH104" s="1003">
        <f>IF(CF104=0,0,(CG104-CF104)/CF104*100)</f>
        <v>0</v>
      </c>
      <c r="CI104" s="1445"/>
      <c r="CJ104" s="1445"/>
      <c r="CK104" s="1003">
        <f>IF(CI104=0,0,(CJ104-CI104)/CI104*100)</f>
        <v>0</v>
      </c>
      <c r="CL104" s="1445"/>
      <c r="CM104" s="1445"/>
      <c r="CN104" s="1003">
        <f>IF(CL104=0,0,(CM104-CL104)/CL104*100)</f>
        <v>0</v>
      </c>
      <c r="CO104" s="1445"/>
      <c r="CP104" s="1445"/>
      <c r="CQ104" s="1003">
        <f>IF(CO104=0,0,(CP104-CO104)/CO104*100)</f>
        <v>0</v>
      </c>
      <c r="CR104" s="1445"/>
      <c r="CS104" s="1445"/>
      <c r="CT104" s="1003">
        <f>IF(CR104=0,0,(CS104-CR104)/CR104*100)</f>
        <v>0</v>
      </c>
      <c r="CU104" s="1445"/>
      <c r="CV104" s="1445"/>
      <c r="CW104" s="1003">
        <f>IF(CU104=0,0,(CV104-CU104)/CU104*100)</f>
        <v>0</v>
      </c>
      <c r="CX104" s="1445"/>
      <c r="CY104" s="1445"/>
      <c r="CZ104" s="1003">
        <f>IF(CX104=0,0,(CY104-CX104)/CX104*100)</f>
        <v>0</v>
      </c>
      <c r="DA104" s="1445"/>
      <c r="DB104" s="1445"/>
      <c r="DC104" s="1003">
        <f>IF(DA104=0,0,(DB104-DA104)/DA104*100)</f>
        <v>0</v>
      </c>
      <c r="DD104" s="1445"/>
      <c r="DE104" s="1445"/>
      <c r="DF104" s="1003">
        <f>IF(DD104=0,0,(DE104-DD104)/DD104*100)</f>
        <v>0</v>
      </c>
      <c r="DG104" s="1445"/>
      <c r="DH104" s="1445"/>
      <c r="DI104" s="1003">
        <f>IF(DG104=0,0,(DH104-DG104)/DG104*100)</f>
        <v>0</v>
      </c>
      <c r="DJ104" s="1445"/>
      <c r="DK104" s="1445"/>
      <c r="DL104" s="1003">
        <f>IF(DJ104=0,0,(DK104-DJ104)/DJ104*100)</f>
        <v>0</v>
      </c>
      <c r="DM104" s="1445"/>
      <c r="DN104" s="1445"/>
      <c r="DO104" s="1003">
        <f>IF(DM104=0,0,(DN104-DM104)/DM104*100)</f>
        <v>0</v>
      </c>
      <c r="DP104" s="1445"/>
      <c r="DQ104" s="1445"/>
      <c r="DR104" s="1003">
        <f>IF(DP104=0,0,(DQ104-DP104)/DP104*100)</f>
        <v>0</v>
      </c>
      <c r="DS104" s="1445"/>
      <c r="DT104" s="1445"/>
      <c r="DU104" s="1003">
        <f>IF(DS104=0,0,(DT104-DS104)/DS104*100)</f>
        <v>0</v>
      </c>
      <c r="DV104" s="1445"/>
      <c r="DW104" s="1445"/>
      <c r="DX104" s="1003">
        <f>IF(DV104=0,0,(DW104-DV104)/DV104*100)</f>
        <v>0</v>
      </c>
      <c r="DY104" s="1445"/>
      <c r="DZ104" s="1445"/>
      <c r="EA104" s="1003">
        <f>IF(DY104=0,0,(DZ104-DY104)/DY104*100)</f>
        <v>0</v>
      </c>
      <c r="EB104" s="1445"/>
      <c r="EC104" s="1445"/>
      <c r="ED104" s="1003">
        <f>IF(EB104=0,0,(EC104-EB104)/EB104*100)</f>
        <v>0</v>
      </c>
      <c r="EE104" s="1445"/>
      <c r="EF104" s="1445"/>
      <c r="EG104" s="1003">
        <f>IF(EE104=0,0,(EF104-EE104)/EE104*100)</f>
        <v>0</v>
      </c>
      <c r="EH104" s="1445"/>
      <c r="EI104" s="1445"/>
      <c r="EJ104" s="1003">
        <f>IF(EH104=0,0,(EI104-EH104)/EH104*100)</f>
        <v>0</v>
      </c>
      <c r="EK104" s="1445"/>
      <c r="EL104" s="1445"/>
      <c r="EM104" s="1003">
        <f>IF(EK104=0,0,(EL104-EK104)/EK104*100)</f>
        <v>0</v>
      </c>
      <c r="EN104" s="1445"/>
      <c r="EO104" s="1445"/>
      <c r="EP104" s="1003">
        <f>IF(EN104=0,0,(EO104-EN104)/EN104*100)</f>
        <v>0</v>
      </c>
      <c r="EQ104" s="1445"/>
      <c r="ER104" s="1445"/>
      <c r="ES104" s="1003">
        <f>IF(EQ104=0,0,(ER104-EQ104)/EQ104*100)</f>
        <v>0</v>
      </c>
      <c r="ET104" s="1445"/>
      <c r="EU104" s="1445"/>
      <c r="EV104" s="1003">
        <f>IF(ET104=0,0,(EU104-ET104)/ET104*100)</f>
        <v>0</v>
      </c>
      <c r="EW104" s="1445"/>
      <c r="EX104" s="1445"/>
      <c r="EY104" s="1003">
        <f>IF(EW104=0,0,(EX104-EW104)/EW104*100)</f>
        <v>0</v>
      </c>
      <c r="EZ104" s="1445"/>
      <c r="FA104" s="1445"/>
      <c r="FB104" s="1003">
        <f>IF(EZ104=0,0,(FA104-EZ104)/EZ104*100)</f>
        <v>0</v>
      </c>
      <c r="FC104" s="1445"/>
      <c r="FD104" s="1445"/>
      <c r="FE104" s="1003">
        <f>IF(FC104=0,0,(FD104-FC104)/FC104*100)</f>
        <v>0</v>
      </c>
      <c r="FF104" s="1445"/>
      <c r="FG104" s="1445"/>
      <c r="FH104" s="1003">
        <f>IF(FF104=0,0,(FG104-FF104)/FF104*100)</f>
        <v>0</v>
      </c>
      <c r="FI104" s="1445"/>
      <c r="FJ104" s="1445"/>
      <c r="FK104" s="1003">
        <f>IF(FI104=0,0,(FJ104-FI104)/FI104*100)</f>
        <v>0</v>
      </c>
      <c r="FL104" s="1445"/>
      <c r="FM104" s="1445"/>
      <c r="FN104" s="1003">
        <f>IF(FL104=0,0,(FM104-FL104)/FL104*100)</f>
        <v>0</v>
      </c>
      <c r="FO104" s="1445"/>
      <c r="FP104" s="1445"/>
      <c r="FQ104" s="1003">
        <f>IF(FO104=0,0,(FP104-FO104)/FO104*100)</f>
        <v>0</v>
      </c>
      <c r="FR104" s="1445"/>
      <c r="FS104" s="1445"/>
      <c r="FT104" s="1003">
        <f>IF(FR104=0,0,(FS104-FR104)/FR104*100)</f>
        <v>0</v>
      </c>
      <c r="FU104" s="1445"/>
      <c r="FV104" s="1445"/>
      <c r="FW104" s="1003">
        <f>IF(FU104=0,0,(FV104-FU104)/FU104*100)</f>
        <v>0</v>
      </c>
      <c r="FX104" s="1214"/>
      <c r="FY104" s="1214"/>
      <c r="FZ104" s="964" t="s">
        <v>1623</v>
      </c>
      <c r="GA104" s="1216"/>
      <c r="GB104" s="1216"/>
      <c r="GC104" s="1215"/>
      <c r="GD104" s="1215"/>
    </row>
    <row r="105" spans="1:186" s="1334" customFormat="1" ht="14.25" hidden="1" customHeight="1" x14ac:dyDescent="0.15">
      <c r="A105" s="416"/>
      <c r="B105" s="837" t="b" cm="1">
        <f t="array" ref="B105">B104</f>
        <v>0</v>
      </c>
      <c r="C105" s="416"/>
      <c r="D105" s="416"/>
      <c r="E105" s="759">
        <v>15</v>
      </c>
      <c r="F105" s="3" t="str" cm="1">
        <f t="array" aca="1" ref="F105" ca="1">OFFSET(E105,-1,1)</f>
        <v>1</v>
      </c>
      <c r="G105" s="26" t="s">
        <v>1624</v>
      </c>
      <c r="H105" s="416" t="s">
        <v>1625</v>
      </c>
      <c r="I105" s="416" t="s">
        <v>1586</v>
      </c>
      <c r="J105" s="416"/>
      <c r="K105" s="416"/>
      <c r="L105" s="416"/>
      <c r="M105" s="416"/>
      <c r="N105" s="416"/>
      <c r="O105" s="416"/>
      <c r="P105" s="416"/>
      <c r="Q105" s="416"/>
      <c r="R105" s="416"/>
      <c r="S105" s="416"/>
      <c r="T105" s="388" t="b" cm="1">
        <f t="array" aca="1" ref="T105" ca="1">T104</f>
        <v>1</v>
      </c>
      <c r="U105" s="416"/>
      <c r="V105" s="416"/>
      <c r="W105" s="416"/>
      <c r="X105" s="2066"/>
      <c r="Y105" s="416"/>
      <c r="Z105" s="2011"/>
      <c r="AA105" s="416"/>
      <c r="AB105" s="818" t="str">
        <f>"объём "&amp;IF(Q85="Водоснабжение","потребления холодной воды","водоотведения")</f>
        <v>объём потребления холодной воды</v>
      </c>
      <c r="AC105" s="783" t="s">
        <v>563</v>
      </c>
      <c r="AD105" s="1443">
        <f ca="1">IF(AND(method_reg="Метод индексации",god&lt;&gt;first_year),SUMIFS(INDEX('Калькуляция (МИ корр)'!$AJ$25:$BC$459,,MATCH(AD$8,'Калькуляция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(МИ)'!$AJ$25:$BC$459,,MATCH(AD$8,'Калькуляция (МИ)'!$AJ$8:$BC$8,0)),'Калькуляция (МИ)'!$F$25:$F$459,$F105,'Калькуляция (МИ)'!$G$25:$G$459,$G105))))</f>
        <v>2253.966105</v>
      </c>
      <c r="AE105" s="1443">
        <f ca="1">IF(AND(method_reg="Метод индексации",god&lt;&gt;first_year),SUMIFS(INDEX('Калькуляция (МИ корр)'!$AJ$25:$BC$459,,MATCH(AE$8,'Калькуляция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(МИ)'!$AJ$25:$BC$459,,MATCH(AE$8,'Калькуляция (МИ)'!$AJ$8:$BC$8,0)),'Калькуляция (МИ)'!$F$25:$F$459,$F105,'Калькуляция (МИ)'!$G$25:$G$459,$G105))))</f>
        <v>2263.1258826666999</v>
      </c>
      <c r="AF105" s="1005">
        <f ca="1">IF(AD105=0,0,(AE105-AD105)/AD105*100)</f>
        <v>0.40638488956780194</v>
      </c>
      <c r="AG105" s="1443">
        <f ca="1">IF(AND(method_reg="Метод индексации",god&lt;&gt;first_year),SUMIFS(INDEX('Калькуляция (МИ корр)'!$AJ$25:$BC$459,,MATCH(AG$8,'Калькуляция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(МИ)'!$AJ$25:$BC$459,,MATCH(AG$8,'Калькуляция (МИ)'!$AJ$8:$BC$8,0)),'Калькуляция (МИ)'!$F$25:$F$459,$F105,'Калькуляция (МИ)'!$G$25:$G$459,$G105))))</f>
        <v>2253.966105</v>
      </c>
      <c r="AH105" s="1443">
        <f ca="1">IF(AND(method_reg="Метод индексации",god&lt;&gt;first_year),SUMIFS(INDEX('Калькуляция (МИ корр)'!$AJ$25:$BC$459,,MATCH(AH$8,'Калькуляция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(МИ)'!$AJ$25:$BC$459,,MATCH(AH$8,'Калькуляция (МИ)'!$AJ$8:$BC$8,0)),'Калькуляция (МИ)'!$F$25:$F$459,$F105,'Калькуляция (МИ)'!$G$25:$G$459,$G105))))</f>
        <v>2263.1258826666999</v>
      </c>
      <c r="AI105" s="1005">
        <f ca="1">IF(AG105=0,0,(AH105-AG105)/AG105*100)</f>
        <v>0.40638488956780194</v>
      </c>
      <c r="AJ105" s="1443">
        <f ca="1">IF(AND(method_reg="Метод индексации",god&lt;&gt;first_year),SUMIFS(INDEX('Калькуляция (МИ корр)'!$AJ$25:$BC$459,,MATCH(AJ$8,'Калькуляция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(МИ)'!$AJ$25:$BC$459,,MATCH(AJ$8,'Калькуляция (МИ)'!$AJ$8:$BC$8,0)),'Калькуляция (МИ)'!$F$25:$F$459,$F105,'Калькуляция (МИ)'!$G$25:$G$459,$G105))))</f>
        <v>2253.966105</v>
      </c>
      <c r="AK105" s="1443">
        <f ca="1">IF(AND(method_reg="Метод индексации",god&lt;&gt;first_year),SUMIFS(INDEX('Калькуляция (МИ корр)'!$AJ$25:$BC$459,,MATCH(AK$8,'Калькуляция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(МИ)'!$AJ$25:$BC$459,,MATCH(AK$8,'Калькуляция (МИ)'!$AJ$8:$BC$8,0)),'Калькуляция (МИ)'!$F$25:$F$459,$F105,'Калькуляция (МИ)'!$G$25:$G$459,$G105))))</f>
        <v>2263.1258826666999</v>
      </c>
      <c r="AL105" s="1005">
        <f ca="1">IF(AJ105=0,0,(AK105-AJ105)/AJ105*100)</f>
        <v>0.40638488956780194</v>
      </c>
      <c r="AM105" s="1443">
        <f ca="1">IF(AND(method_reg="Метод индексации",god&lt;&gt;first_year),SUMIFS(INDEX('Калькуляция (МИ корр)'!$AJ$25:$BC$459,,MATCH(AM$8,'Калькуляция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(МИ)'!$AJ$25:$BC$459,,MATCH(AM$8,'Калькуляция (МИ)'!$AJ$8:$BC$8,0)),'Калькуляция (МИ)'!$F$25:$F$459,$F105,'Калькуляция (МИ)'!$G$25:$G$459,$G105))))</f>
        <v>2253.966105</v>
      </c>
      <c r="AN105" s="1443">
        <f ca="1">IF(AND(method_reg="Метод индексации",god&lt;&gt;first_year),SUMIFS(INDEX('Калькуляция (МИ корр)'!$AJ$25:$BC$459,,MATCH(AN$8,'Калькуляция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(МИ)'!$AJ$25:$BC$459,,MATCH(AN$8,'Калькуляция (МИ)'!$AJ$8:$BC$8,0)),'Калькуляция (МИ)'!$F$25:$F$459,$F105,'Калькуляция (МИ)'!$G$25:$G$459,$G105))))</f>
        <v>2263.1258826666999</v>
      </c>
      <c r="AO105" s="1005">
        <f ca="1">IF(AM105=0,0,(AN105-AM105)/AM105*100)</f>
        <v>0.40638488956780194</v>
      </c>
      <c r="AP105" s="1443">
        <f ca="1">IF(AND(method_reg="Метод индексации",god&lt;&gt;first_year),SUMIFS(INDEX('Калькуляция (МИ корр)'!$AJ$25:$BC$459,,MATCH(AP$8,'Калькуляция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(МИ)'!$AJ$25:$BC$459,,MATCH(AP$8,'Калькуляция (МИ)'!$AJ$8:$BC$8,0)),'Калькуляция (МИ)'!$F$25:$F$459,$F105,'Калькуляция (МИ)'!$G$25:$G$459,$G105))))</f>
        <v>2253.966105</v>
      </c>
      <c r="AQ105" s="1443">
        <f ca="1">IF(AND(method_reg="Метод индексации",god&lt;&gt;first_year),SUMIFS(INDEX('Калькуляция (МИ корр)'!$AJ$25:$BC$459,,MATCH(AQ$8,'Калькуляция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(МИ)'!$AJ$25:$BC$459,,MATCH(AQ$8,'Калькуляция (МИ)'!$AJ$8:$BC$8,0)),'Калькуляция (МИ)'!$F$25:$F$459,$F105,'Калькуляция (МИ)'!$G$25:$G$459,$G105))))</f>
        <v>2263.1258826666999</v>
      </c>
      <c r="AR105" s="1005">
        <f ca="1">IF(AP105=0,0,(AQ105-AP105)/AP105*100)</f>
        <v>0.40638488956780194</v>
      </c>
      <c r="AS105" s="1443">
        <f ca="1">IF(AND(method_reg="Метод индексации",god&lt;&gt;first_year),SUMIFS(INDEX('Калькуляция (МИ корр)'!$AJ$25:$BC$459,,MATCH(AS$8,'Калькуляция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(МИ)'!$AJ$25:$BC$459,,MATCH(AS$8,'Калькуляция (МИ)'!$AJ$8:$BC$8,0)),'Калькуляция (МИ)'!$F$25:$F$459,$F105,'Калькуляция (МИ)'!$G$25:$G$459,$G105))))</f>
        <v>2253.966105</v>
      </c>
      <c r="AT105" s="1443">
        <f ca="1">IF(AND(method_reg="Метод индексации",god&lt;&gt;first_year),SUMIFS(INDEX('Калькуляция (МИ корр)'!$AJ$25:$BC$459,,MATCH(AT$8,'Калькуляция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(МИ)'!$AJ$25:$BC$459,,MATCH(AT$8,'Калькуляция (МИ)'!$AJ$8:$BC$8,0)),'Калькуляция (МИ)'!$F$25:$F$459,$F105,'Калькуляция (МИ)'!$G$25:$G$459,$G105))))</f>
        <v>2263.1258826666999</v>
      </c>
      <c r="AU105" s="1005">
        <f ca="1">IF(AS105=0,0,(AT105-AS105)/AS105*100)</f>
        <v>0.40638488956780194</v>
      </c>
      <c r="AV105" s="1443">
        <f ca="1">IF(AND(method_reg="Метод индексации",god&lt;&gt;first_year),SUMIFS(INDEX('Калькуляция (МИ корр)'!$AJ$25:$BC$459,,MATCH(AV$8,'Калькуляция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(МИ)'!$AJ$25:$BC$459,,MATCH(AV$8,'Калькуляция (МИ)'!$AJ$8:$BC$8,0)),'Калькуляция (МИ)'!$F$25:$F$459,$F105,'Калькуляция (МИ)'!$G$25:$G$459,$G105))))</f>
        <v>2253.966105</v>
      </c>
      <c r="AW105" s="1443">
        <f ca="1">IF(AND(method_reg="Метод индексации",god&lt;&gt;first_year),SUMIFS(INDEX('Калькуляция (МИ корр)'!$AJ$25:$BC$459,,MATCH(AW$8,'Калькуляция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(МИ)'!$AJ$25:$BC$459,,MATCH(AW$8,'Калькуляция (МИ)'!$AJ$8:$BC$8,0)),'Калькуляция (МИ)'!$F$25:$F$459,$F105,'Калькуляция (МИ)'!$G$25:$G$459,$G105))))</f>
        <v>2263.1258826666999</v>
      </c>
      <c r="AX105" s="1005">
        <f ca="1">IF(AV105=0,0,(AW105-AV105)/AV105*100)</f>
        <v>0.40638488956780194</v>
      </c>
      <c r="AY105" s="1443">
        <f ca="1">IF(AND(method_reg="Метод индексации",god&lt;&gt;first_year),SUMIFS(INDEX('Калькуляция (МИ корр)'!$AJ$25:$BC$459,,MATCH(AY$8,'Калькуляция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(МИ)'!$AJ$25:$BC$459,,MATCH(AY$8,'Калькуляция (МИ)'!$AJ$8:$BC$8,0)),'Калькуляция (МИ)'!$F$25:$F$459,$F105,'Калькуляция (МИ)'!$G$25:$G$459,$G105))))</f>
        <v>0</v>
      </c>
      <c r="AZ105" s="1443">
        <f ca="1">IF(AND(method_reg="Метод индексации",god&lt;&gt;first_year),SUMIFS(INDEX('Калькуляция (МИ корр)'!$AJ$25:$BC$459,,MATCH(AZ$8,'Калькуляция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(МИ)'!$AJ$25:$BC$459,,MATCH(AZ$8,'Калькуляция (МИ)'!$AJ$8:$BC$8,0)),'Калькуляция (МИ)'!$F$25:$F$459,$F105,'Калькуляция (МИ)'!$G$25:$G$459,$G105))))</f>
        <v>0</v>
      </c>
      <c r="BA105" s="1005">
        <f ca="1">IF(AY105=0,0,(AZ105-AY105)/AY105*100)</f>
        <v>0</v>
      </c>
      <c r="BB105" s="1443">
        <f ca="1">IF(AND(method_reg="Метод индексации",god&lt;&gt;first_year),SUMIFS(INDEX('Калькуляция (МИ корр)'!$AJ$25:$BC$459,,MATCH(BB$8,'Калькуляция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(МИ)'!$AJ$25:$BC$459,,MATCH(BB$8,'Калькуляция (МИ)'!$AJ$8:$BC$8,0)),'Калькуляция (МИ)'!$F$25:$F$459,$F105,'Калькуляция (МИ)'!$G$25:$G$459,$G105))))</f>
        <v>0</v>
      </c>
      <c r="BC105" s="1443">
        <f ca="1">IF(AND(method_reg="Метод индексации",god&lt;&gt;first_year),SUMIFS(INDEX('Калькуляция (МИ корр)'!$AJ$25:$BC$459,,MATCH(BC$8,'Калькуляция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(МИ)'!$AJ$25:$BC$459,,MATCH(BC$8,'Калькуляция (МИ)'!$AJ$8:$BC$8,0)),'Калькуляция (МИ)'!$F$25:$F$459,$F105,'Калькуляция (МИ)'!$G$25:$G$459,$G105))))</f>
        <v>0</v>
      </c>
      <c r="BD105" s="1005">
        <f ca="1">IF(BB105=0,0,(BC105-BB105)/BB105*100)</f>
        <v>0</v>
      </c>
      <c r="BE105" s="1443">
        <f ca="1">IF(AND(method_reg="Метод индексации",god&lt;&gt;first_year),SUMIFS(INDEX('Калькуляция (МИ корр)'!$AJ$25:$BC$459,,MATCH(BE$8,'Калькуляция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(МИ)'!$AJ$25:$BC$459,,MATCH(BE$8,'Калькуляция (МИ)'!$AJ$8:$BC$8,0)),'Калькуляция (МИ)'!$F$25:$F$459,$F105,'Калькуляция (МИ)'!$G$25:$G$459,$G105))))</f>
        <v>0</v>
      </c>
      <c r="BF105" s="1443">
        <f ca="1">IF(AND(method_reg="Метод индексации",god&lt;&gt;first_year),SUMIFS(INDEX('Калькуляция (МИ корр)'!$AJ$25:$BC$459,,MATCH(BF$8,'Калькуляция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(МИ)'!$AJ$25:$BC$459,,MATCH(BF$8,'Калькуляция (МИ)'!$AJ$8:$BC$8,0)),'Калькуляция (МИ)'!$F$25:$F$459,$F105,'Калькуляция (МИ)'!$G$25:$G$459,$G105))))</f>
        <v>0</v>
      </c>
      <c r="BG105" s="1005">
        <f ca="1">IF(BE105=0,0,(BF105-BE105)/BE105*100)</f>
        <v>0</v>
      </c>
      <c r="BH105" s="1443"/>
      <c r="BI105" s="1443"/>
      <c r="BJ105" s="1005">
        <f>IF(BH105=0,0,(BI105-BH105)/BH105*100)</f>
        <v>0</v>
      </c>
      <c r="BK105" s="1443"/>
      <c r="BL105" s="1443"/>
      <c r="BM105" s="1005">
        <f>IF(BK105=0,0,(BL105-BK105)/BK105*100)</f>
        <v>0</v>
      </c>
      <c r="BN105" s="1443"/>
      <c r="BO105" s="1443"/>
      <c r="BP105" s="1005">
        <f>IF(BN105=0,0,(BO105-BN105)/BN105*100)</f>
        <v>0</v>
      </c>
      <c r="BQ105" s="1443"/>
      <c r="BR105" s="1443"/>
      <c r="BS105" s="1005">
        <f>IF(BQ105=0,0,(BR105-BQ105)/BQ105*100)</f>
        <v>0</v>
      </c>
      <c r="BT105" s="1443"/>
      <c r="BU105" s="1443"/>
      <c r="BV105" s="1005">
        <f>IF(BT105=0,0,(BU105-BT105)/BT105*100)</f>
        <v>0</v>
      </c>
      <c r="BW105" s="1443"/>
      <c r="BX105" s="1443"/>
      <c r="BY105" s="1005">
        <f>IF(BW105=0,0,(BX105-BW105)/BW105*100)</f>
        <v>0</v>
      </c>
      <c r="BZ105" s="1443"/>
      <c r="CA105" s="1443"/>
      <c r="CB105" s="1005">
        <f>IF(BZ105=0,0,(CA105-BZ105)/BZ105*100)</f>
        <v>0</v>
      </c>
      <c r="CC105" s="1443"/>
      <c r="CD105" s="1443"/>
      <c r="CE105" s="1005">
        <f>IF(CC105=0,0,(CD105-CC105)/CC105*100)</f>
        <v>0</v>
      </c>
      <c r="CF105" s="1443"/>
      <c r="CG105" s="1443"/>
      <c r="CH105" s="1005">
        <f>IF(CF105=0,0,(CG105-CF105)/CF105*100)</f>
        <v>0</v>
      </c>
      <c r="CI105" s="1443"/>
      <c r="CJ105" s="1443"/>
      <c r="CK105" s="1005">
        <f>IF(CI105=0,0,(CJ105-CI105)/CI105*100)</f>
        <v>0</v>
      </c>
      <c r="CL105" s="1443"/>
      <c r="CM105" s="1443"/>
      <c r="CN105" s="1005">
        <f>IF(CL105=0,0,(CM105-CL105)/CL105*100)</f>
        <v>0</v>
      </c>
      <c r="CO105" s="1443"/>
      <c r="CP105" s="1443"/>
      <c r="CQ105" s="1005">
        <f>IF(CO105=0,0,(CP105-CO105)/CO105*100)</f>
        <v>0</v>
      </c>
      <c r="CR105" s="1443"/>
      <c r="CS105" s="1443"/>
      <c r="CT105" s="1005">
        <f>IF(CR105=0,0,(CS105-CR105)/CR105*100)</f>
        <v>0</v>
      </c>
      <c r="CU105" s="1443"/>
      <c r="CV105" s="1443"/>
      <c r="CW105" s="1005">
        <f>IF(CU105=0,0,(CV105-CU105)/CU105*100)</f>
        <v>0</v>
      </c>
      <c r="CX105" s="1443"/>
      <c r="CY105" s="1443"/>
      <c r="CZ105" s="1005">
        <f>IF(CX105=0,0,(CY105-CX105)/CX105*100)</f>
        <v>0</v>
      </c>
      <c r="DA105" s="1443"/>
      <c r="DB105" s="1443"/>
      <c r="DC105" s="1005">
        <f>IF(DA105=0,0,(DB105-DA105)/DA105*100)</f>
        <v>0</v>
      </c>
      <c r="DD105" s="1443"/>
      <c r="DE105" s="1443"/>
      <c r="DF105" s="1005">
        <f>IF(DD105=0,0,(DE105-DD105)/DD105*100)</f>
        <v>0</v>
      </c>
      <c r="DG105" s="1443"/>
      <c r="DH105" s="1443"/>
      <c r="DI105" s="1005">
        <f>IF(DG105=0,0,(DH105-DG105)/DG105*100)</f>
        <v>0</v>
      </c>
      <c r="DJ105" s="1443"/>
      <c r="DK105" s="1443"/>
      <c r="DL105" s="1005">
        <f>IF(DJ105=0,0,(DK105-DJ105)/DJ105*100)</f>
        <v>0</v>
      </c>
      <c r="DM105" s="1443"/>
      <c r="DN105" s="1443"/>
      <c r="DO105" s="1005">
        <f>IF(DM105=0,0,(DN105-DM105)/DM105*100)</f>
        <v>0</v>
      </c>
      <c r="DP105" s="1443"/>
      <c r="DQ105" s="1443"/>
      <c r="DR105" s="1005">
        <f>IF(DP105=0,0,(DQ105-DP105)/DP105*100)</f>
        <v>0</v>
      </c>
      <c r="DS105" s="1443"/>
      <c r="DT105" s="1443"/>
      <c r="DU105" s="1005">
        <f>IF(DS105=0,0,(DT105-DS105)/DS105*100)</f>
        <v>0</v>
      </c>
      <c r="DV105" s="1443"/>
      <c r="DW105" s="1443"/>
      <c r="DX105" s="1005">
        <f>IF(DV105=0,0,(DW105-DV105)/DV105*100)</f>
        <v>0</v>
      </c>
      <c r="DY105" s="1443"/>
      <c r="DZ105" s="1443"/>
      <c r="EA105" s="1005">
        <f>IF(DY105=0,0,(DZ105-DY105)/DY105*100)</f>
        <v>0</v>
      </c>
      <c r="EB105" s="1443"/>
      <c r="EC105" s="1443"/>
      <c r="ED105" s="1005">
        <f>IF(EB105=0,0,(EC105-EB105)/EB105*100)</f>
        <v>0</v>
      </c>
      <c r="EE105" s="1443"/>
      <c r="EF105" s="1443"/>
      <c r="EG105" s="1005">
        <f>IF(EE105=0,0,(EF105-EE105)/EE105*100)</f>
        <v>0</v>
      </c>
      <c r="EH105" s="1443"/>
      <c r="EI105" s="1443"/>
      <c r="EJ105" s="1005">
        <f>IF(EH105=0,0,(EI105-EH105)/EH105*100)</f>
        <v>0</v>
      </c>
      <c r="EK105" s="1443"/>
      <c r="EL105" s="1443"/>
      <c r="EM105" s="1005">
        <f>IF(EK105=0,0,(EL105-EK105)/EK105*100)</f>
        <v>0</v>
      </c>
      <c r="EN105" s="1443"/>
      <c r="EO105" s="1443"/>
      <c r="EP105" s="1005">
        <f>IF(EN105=0,0,(EO105-EN105)/EN105*100)</f>
        <v>0</v>
      </c>
      <c r="EQ105" s="1443"/>
      <c r="ER105" s="1443"/>
      <c r="ES105" s="1005">
        <f>IF(EQ105=0,0,(ER105-EQ105)/EQ105*100)</f>
        <v>0</v>
      </c>
      <c r="ET105" s="1443"/>
      <c r="EU105" s="1443"/>
      <c r="EV105" s="1005">
        <f>IF(ET105=0,0,(EU105-ET105)/ET105*100)</f>
        <v>0</v>
      </c>
      <c r="EW105" s="1443"/>
      <c r="EX105" s="1443"/>
      <c r="EY105" s="1005">
        <f>IF(EW105=0,0,(EX105-EW105)/EW105*100)</f>
        <v>0</v>
      </c>
      <c r="EZ105" s="1443"/>
      <c r="FA105" s="1443"/>
      <c r="FB105" s="1005">
        <f>IF(EZ105=0,0,(FA105-EZ105)/EZ105*100)</f>
        <v>0</v>
      </c>
      <c r="FC105" s="1443"/>
      <c r="FD105" s="1443"/>
      <c r="FE105" s="1005">
        <f>IF(FC105=0,0,(FD105-FC105)/FC105*100)</f>
        <v>0</v>
      </c>
      <c r="FF105" s="1443"/>
      <c r="FG105" s="1443"/>
      <c r="FH105" s="1005">
        <f>IF(FF105=0,0,(FG105-FF105)/FF105*100)</f>
        <v>0</v>
      </c>
      <c r="FI105" s="1443"/>
      <c r="FJ105" s="1443"/>
      <c r="FK105" s="1005">
        <f>IF(FI105=0,0,(FJ105-FI105)/FI105*100)</f>
        <v>0</v>
      </c>
      <c r="FL105" s="1443"/>
      <c r="FM105" s="1443"/>
      <c r="FN105" s="1005">
        <f>IF(FL105=0,0,(FM105-FL105)/FL105*100)</f>
        <v>0</v>
      </c>
      <c r="FO105" s="1443"/>
      <c r="FP105" s="1443"/>
      <c r="FQ105" s="1005">
        <f>IF(FO105=0,0,(FP105-FO105)/FO105*100)</f>
        <v>0</v>
      </c>
      <c r="FR105" s="1443"/>
      <c r="FS105" s="1443"/>
      <c r="FT105" s="1005">
        <f>IF(FR105=0,0,(FS105-FR105)/FR105*100)</f>
        <v>0</v>
      </c>
      <c r="FU105" s="1443"/>
      <c r="FV105" s="1443"/>
      <c r="FW105" s="1005">
        <f>IF(FU105=0,0,(FV105-FU105)/FU105*100)</f>
        <v>0</v>
      </c>
      <c r="FX105" s="1214"/>
      <c r="FY105" s="1214"/>
      <c r="FZ105" s="964" t="s">
        <v>1626</v>
      </c>
      <c r="GA105" s="1216"/>
      <c r="GB105" s="1216"/>
      <c r="GC105" s="1215"/>
      <c r="GD105" s="1215"/>
    </row>
    <row r="106" spans="1:186" s="1334" customFormat="1" ht="24" hidden="1" customHeight="1" x14ac:dyDescent="0.15">
      <c r="A106" s="416"/>
      <c r="B106" s="837" t="b" cm="1">
        <f t="array" ref="B106">B105</f>
        <v>0</v>
      </c>
      <c r="C106" s="416"/>
      <c r="D106" s="416"/>
      <c r="E106" s="759">
        <v>24.75</v>
      </c>
      <c r="F106" s="3" t="str" cm="1">
        <f t="array" aca="1" ref="F106" ca="1">OFFSET(E106,-1,1)</f>
        <v>1</v>
      </c>
      <c r="G106" s="416"/>
      <c r="H106" s="416" t="s">
        <v>1627</v>
      </c>
      <c r="I106" s="416" t="s">
        <v>1586</v>
      </c>
      <c r="J106" s="416"/>
      <c r="K106" s="416"/>
      <c r="L106" s="416"/>
      <c r="M106" s="416"/>
      <c r="N106" s="416"/>
      <c r="O106" s="416"/>
      <c r="P106" s="416"/>
      <c r="Q106" s="416"/>
      <c r="R106" s="416"/>
      <c r="S106" s="416"/>
      <c r="T106" s="388" t="b" cm="1">
        <f t="array" aca="1" ref="T106" ca="1">T105</f>
        <v>1</v>
      </c>
      <c r="U106" s="416"/>
      <c r="V106" s="416"/>
      <c r="W106" s="416"/>
      <c r="X106" s="2066"/>
      <c r="Y106" s="416"/>
      <c r="Z106" s="2011"/>
      <c r="AA106" s="416"/>
      <c r="AB106" s="818"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06" s="783" t="s">
        <v>1628</v>
      </c>
      <c r="AD106" s="1445"/>
      <c r="AE106" s="1445"/>
      <c r="AF106" s="1003">
        <f>IF(AD106=0,0,(AE106-AD106)/AD106*100)</f>
        <v>0</v>
      </c>
      <c r="AG106" s="1445"/>
      <c r="AH106" s="1445"/>
      <c r="AI106" s="1003">
        <f>IF(AG106=0,0,(AH106-AG106)/AG106*100)</f>
        <v>0</v>
      </c>
      <c r="AJ106" s="1445"/>
      <c r="AK106" s="1445"/>
      <c r="AL106" s="1003">
        <f>IF(AJ106=0,0,(AK106-AJ106)/AJ106*100)</f>
        <v>0</v>
      </c>
      <c r="AM106" s="1445"/>
      <c r="AN106" s="1445"/>
      <c r="AO106" s="1003">
        <f>IF(AM106=0,0,(AN106-AM106)/AM106*100)</f>
        <v>0</v>
      </c>
      <c r="AP106" s="1445"/>
      <c r="AQ106" s="1445"/>
      <c r="AR106" s="1003">
        <f>IF(AP106=0,0,(AQ106-AP106)/AP106*100)</f>
        <v>0</v>
      </c>
      <c r="AS106" s="1445"/>
      <c r="AT106" s="1445"/>
      <c r="AU106" s="1003">
        <f>IF(AS106=0,0,(AT106-AS106)/AS106*100)</f>
        <v>0</v>
      </c>
      <c r="AV106" s="1445"/>
      <c r="AW106" s="1445"/>
      <c r="AX106" s="1003">
        <f>IF(AV106=0,0,(AW106-AV106)/AV106*100)</f>
        <v>0</v>
      </c>
      <c r="AY106" s="1445"/>
      <c r="AZ106" s="1445"/>
      <c r="BA106" s="1003">
        <f>IF(AY106=0,0,(AZ106-AY106)/AY106*100)</f>
        <v>0</v>
      </c>
      <c r="BB106" s="1445"/>
      <c r="BC106" s="1445"/>
      <c r="BD106" s="1003">
        <f>IF(BB106=0,0,(BC106-BB106)/BB106*100)</f>
        <v>0</v>
      </c>
      <c r="BE106" s="1445"/>
      <c r="BF106" s="1445"/>
      <c r="BG106" s="1003">
        <f>IF(BE106=0,0,(BF106-BE106)/BE106*100)</f>
        <v>0</v>
      </c>
      <c r="BH106" s="1445"/>
      <c r="BI106" s="1445"/>
      <c r="BJ106" s="1003">
        <f>IF(BH106=0,0,(BI106-BH106)/BH106*100)</f>
        <v>0</v>
      </c>
      <c r="BK106" s="1445"/>
      <c r="BL106" s="1445"/>
      <c r="BM106" s="1003">
        <f>IF(BK106=0,0,(BL106-BK106)/BK106*100)</f>
        <v>0</v>
      </c>
      <c r="BN106" s="1445"/>
      <c r="BO106" s="1445"/>
      <c r="BP106" s="1003">
        <f>IF(BN106=0,0,(BO106-BN106)/BN106*100)</f>
        <v>0</v>
      </c>
      <c r="BQ106" s="1445"/>
      <c r="BR106" s="1445"/>
      <c r="BS106" s="1003">
        <f>IF(BQ106=0,0,(BR106-BQ106)/BQ106*100)</f>
        <v>0</v>
      </c>
      <c r="BT106" s="1445"/>
      <c r="BU106" s="1445"/>
      <c r="BV106" s="1003">
        <f>IF(BT106=0,0,(BU106-BT106)/BT106*100)</f>
        <v>0</v>
      </c>
      <c r="BW106" s="1445"/>
      <c r="BX106" s="1445"/>
      <c r="BY106" s="1003">
        <f>IF(BW106=0,0,(BX106-BW106)/BW106*100)</f>
        <v>0</v>
      </c>
      <c r="BZ106" s="1445"/>
      <c r="CA106" s="1445"/>
      <c r="CB106" s="1003">
        <f>IF(BZ106=0,0,(CA106-BZ106)/BZ106*100)</f>
        <v>0</v>
      </c>
      <c r="CC106" s="1445"/>
      <c r="CD106" s="1445"/>
      <c r="CE106" s="1003">
        <f>IF(CC106=0,0,(CD106-CC106)/CC106*100)</f>
        <v>0</v>
      </c>
      <c r="CF106" s="1445"/>
      <c r="CG106" s="1445"/>
      <c r="CH106" s="1003">
        <f>IF(CF106=0,0,(CG106-CF106)/CF106*100)</f>
        <v>0</v>
      </c>
      <c r="CI106" s="1445"/>
      <c r="CJ106" s="1445"/>
      <c r="CK106" s="1003">
        <f>IF(CI106=0,0,(CJ106-CI106)/CI106*100)</f>
        <v>0</v>
      </c>
      <c r="CL106" s="1445"/>
      <c r="CM106" s="1445"/>
      <c r="CN106" s="1003">
        <f>IF(CL106=0,0,(CM106-CL106)/CL106*100)</f>
        <v>0</v>
      </c>
      <c r="CO106" s="1445"/>
      <c r="CP106" s="1445"/>
      <c r="CQ106" s="1003">
        <f>IF(CO106=0,0,(CP106-CO106)/CO106*100)</f>
        <v>0</v>
      </c>
      <c r="CR106" s="1445"/>
      <c r="CS106" s="1445"/>
      <c r="CT106" s="1003">
        <f>IF(CR106=0,0,(CS106-CR106)/CR106*100)</f>
        <v>0</v>
      </c>
      <c r="CU106" s="1445"/>
      <c r="CV106" s="1445"/>
      <c r="CW106" s="1003">
        <f>IF(CU106=0,0,(CV106-CU106)/CU106*100)</f>
        <v>0</v>
      </c>
      <c r="CX106" s="1445"/>
      <c r="CY106" s="1445"/>
      <c r="CZ106" s="1003">
        <f>IF(CX106=0,0,(CY106-CX106)/CX106*100)</f>
        <v>0</v>
      </c>
      <c r="DA106" s="1445"/>
      <c r="DB106" s="1445"/>
      <c r="DC106" s="1003">
        <f>IF(DA106=0,0,(DB106-DA106)/DA106*100)</f>
        <v>0</v>
      </c>
      <c r="DD106" s="1445"/>
      <c r="DE106" s="1445"/>
      <c r="DF106" s="1003">
        <f>IF(DD106=0,0,(DE106-DD106)/DD106*100)</f>
        <v>0</v>
      </c>
      <c r="DG106" s="1445"/>
      <c r="DH106" s="1445"/>
      <c r="DI106" s="1003">
        <f>IF(DG106=0,0,(DH106-DG106)/DG106*100)</f>
        <v>0</v>
      </c>
      <c r="DJ106" s="1445"/>
      <c r="DK106" s="1445"/>
      <c r="DL106" s="1003">
        <f>IF(DJ106=0,0,(DK106-DJ106)/DJ106*100)</f>
        <v>0</v>
      </c>
      <c r="DM106" s="1445"/>
      <c r="DN106" s="1445"/>
      <c r="DO106" s="1003">
        <f>IF(DM106=0,0,(DN106-DM106)/DM106*100)</f>
        <v>0</v>
      </c>
      <c r="DP106" s="1445"/>
      <c r="DQ106" s="1445"/>
      <c r="DR106" s="1003">
        <f>IF(DP106=0,0,(DQ106-DP106)/DP106*100)</f>
        <v>0</v>
      </c>
      <c r="DS106" s="1445"/>
      <c r="DT106" s="1445"/>
      <c r="DU106" s="1003">
        <f>IF(DS106=0,0,(DT106-DS106)/DS106*100)</f>
        <v>0</v>
      </c>
      <c r="DV106" s="1445"/>
      <c r="DW106" s="1445"/>
      <c r="DX106" s="1003">
        <f>IF(DV106=0,0,(DW106-DV106)/DV106*100)</f>
        <v>0</v>
      </c>
      <c r="DY106" s="1445"/>
      <c r="DZ106" s="1445"/>
      <c r="EA106" s="1003">
        <f>IF(DY106=0,0,(DZ106-DY106)/DY106*100)</f>
        <v>0</v>
      </c>
      <c r="EB106" s="1445"/>
      <c r="EC106" s="1445"/>
      <c r="ED106" s="1003">
        <f>IF(EB106=0,0,(EC106-EB106)/EB106*100)</f>
        <v>0</v>
      </c>
      <c r="EE106" s="1445"/>
      <c r="EF106" s="1445"/>
      <c r="EG106" s="1003">
        <f>IF(EE106=0,0,(EF106-EE106)/EE106*100)</f>
        <v>0</v>
      </c>
      <c r="EH106" s="1445"/>
      <c r="EI106" s="1445"/>
      <c r="EJ106" s="1003">
        <f>IF(EH106=0,0,(EI106-EH106)/EH106*100)</f>
        <v>0</v>
      </c>
      <c r="EK106" s="1445"/>
      <c r="EL106" s="1445"/>
      <c r="EM106" s="1003">
        <f>IF(EK106=0,0,(EL106-EK106)/EK106*100)</f>
        <v>0</v>
      </c>
      <c r="EN106" s="1445"/>
      <c r="EO106" s="1445"/>
      <c r="EP106" s="1003">
        <f>IF(EN106=0,0,(EO106-EN106)/EN106*100)</f>
        <v>0</v>
      </c>
      <c r="EQ106" s="1445"/>
      <c r="ER106" s="1445"/>
      <c r="ES106" s="1003">
        <f>IF(EQ106=0,0,(ER106-EQ106)/EQ106*100)</f>
        <v>0</v>
      </c>
      <c r="ET106" s="1445"/>
      <c r="EU106" s="1445"/>
      <c r="EV106" s="1003">
        <f>IF(ET106=0,0,(EU106-ET106)/ET106*100)</f>
        <v>0</v>
      </c>
      <c r="EW106" s="1445"/>
      <c r="EX106" s="1445"/>
      <c r="EY106" s="1003">
        <f>IF(EW106=0,0,(EX106-EW106)/EW106*100)</f>
        <v>0</v>
      </c>
      <c r="EZ106" s="1445"/>
      <c r="FA106" s="1445"/>
      <c r="FB106" s="1003">
        <f>IF(EZ106=0,0,(FA106-EZ106)/EZ106*100)</f>
        <v>0</v>
      </c>
      <c r="FC106" s="1445"/>
      <c r="FD106" s="1445"/>
      <c r="FE106" s="1003">
        <f>IF(FC106=0,0,(FD106-FC106)/FC106*100)</f>
        <v>0</v>
      </c>
      <c r="FF106" s="1445"/>
      <c r="FG106" s="1445"/>
      <c r="FH106" s="1003">
        <f>IF(FF106=0,0,(FG106-FF106)/FF106*100)</f>
        <v>0</v>
      </c>
      <c r="FI106" s="1445"/>
      <c r="FJ106" s="1445"/>
      <c r="FK106" s="1003">
        <f>IF(FI106=0,0,(FJ106-FI106)/FI106*100)</f>
        <v>0</v>
      </c>
      <c r="FL106" s="1445"/>
      <c r="FM106" s="1445"/>
      <c r="FN106" s="1003">
        <f>IF(FL106=0,0,(FM106-FL106)/FL106*100)</f>
        <v>0</v>
      </c>
      <c r="FO106" s="1445"/>
      <c r="FP106" s="1445"/>
      <c r="FQ106" s="1003">
        <f>IF(FO106=0,0,(FP106-FO106)/FO106*100)</f>
        <v>0</v>
      </c>
      <c r="FR106" s="1445"/>
      <c r="FS106" s="1445"/>
      <c r="FT106" s="1003">
        <f>IF(FR106=0,0,(FS106-FR106)/FR106*100)</f>
        <v>0</v>
      </c>
      <c r="FU106" s="1445"/>
      <c r="FV106" s="1445"/>
      <c r="FW106" s="1003">
        <f>IF(FU106=0,0,(FV106-FU106)/FU106*100)</f>
        <v>0</v>
      </c>
      <c r="FX106" s="1214"/>
      <c r="FY106" s="1214"/>
      <c r="FZ106" s="964" t="s">
        <v>1629</v>
      </c>
      <c r="GA106" s="1216"/>
      <c r="GB106" s="1216"/>
      <c r="GC106" s="1215"/>
      <c r="GD106" s="1215"/>
    </row>
    <row r="107" spans="1:186" s="1334" customFormat="1" ht="14.25" hidden="1" customHeight="1" x14ac:dyDescent="0.15">
      <c r="A107" s="416"/>
      <c r="B107" s="837" t="b" cm="1">
        <f t="array" ref="B107">B106</f>
        <v>0</v>
      </c>
      <c r="C107" s="416"/>
      <c r="D107" s="416"/>
      <c r="E107" s="759">
        <v>15</v>
      </c>
      <c r="F107" s="3" t="str" cm="1">
        <f t="array" aca="1" ref="F107" ca="1">OFFSET(E107,-1,1)</f>
        <v>1</v>
      </c>
      <c r="G107" s="416"/>
      <c r="H107" s="416" t="s">
        <v>1630</v>
      </c>
      <c r="I107" s="416" t="s">
        <v>1586</v>
      </c>
      <c r="J107" s="416"/>
      <c r="K107" s="416"/>
      <c r="L107" s="416"/>
      <c r="M107" s="416"/>
      <c r="N107" s="416"/>
      <c r="O107" s="416"/>
      <c r="P107" s="416"/>
      <c r="Q107" s="416"/>
      <c r="R107" s="416"/>
      <c r="S107" s="416"/>
      <c r="T107" s="388" t="b" cm="1">
        <f t="array" aca="1" ref="T107" ca="1">T106</f>
        <v>1</v>
      </c>
      <c r="U107" s="416"/>
      <c r="V107" s="416"/>
      <c r="W107" s="416"/>
      <c r="X107" s="2066"/>
      <c r="Y107" s="416"/>
      <c r="Z107" s="2011"/>
      <c r="AA107" s="416"/>
      <c r="AB107" s="818" t="s">
        <v>1631</v>
      </c>
      <c r="AC107" s="783" t="s">
        <v>1632</v>
      </c>
      <c r="AD107" s="1445"/>
      <c r="AE107" s="1445"/>
      <c r="AF107" s="1003">
        <f>IF(AD107=0,0,(AE107-AD107)/AD107*100)</f>
        <v>0</v>
      </c>
      <c r="AG107" s="1445"/>
      <c r="AH107" s="1445"/>
      <c r="AI107" s="1003">
        <f>IF(AG107=0,0,(AH107-AG107)/AG107*100)</f>
        <v>0</v>
      </c>
      <c r="AJ107" s="1445"/>
      <c r="AK107" s="1445"/>
      <c r="AL107" s="1003">
        <f>IF(AJ107=0,0,(AK107-AJ107)/AJ107*100)</f>
        <v>0</v>
      </c>
      <c r="AM107" s="1445"/>
      <c r="AN107" s="1445"/>
      <c r="AO107" s="1003">
        <f>IF(AM107=0,0,(AN107-AM107)/AM107*100)</f>
        <v>0</v>
      </c>
      <c r="AP107" s="1445"/>
      <c r="AQ107" s="1445"/>
      <c r="AR107" s="1003">
        <f>IF(AP107=0,0,(AQ107-AP107)/AP107*100)</f>
        <v>0</v>
      </c>
      <c r="AS107" s="1445"/>
      <c r="AT107" s="1445"/>
      <c r="AU107" s="1003">
        <f>IF(AS107=0,0,(AT107-AS107)/AS107*100)</f>
        <v>0</v>
      </c>
      <c r="AV107" s="1445"/>
      <c r="AW107" s="1445"/>
      <c r="AX107" s="1003">
        <f>IF(AV107=0,0,(AW107-AV107)/AV107*100)</f>
        <v>0</v>
      </c>
      <c r="AY107" s="1445"/>
      <c r="AZ107" s="1445"/>
      <c r="BA107" s="1003">
        <f>IF(AY107=0,0,(AZ107-AY107)/AY107*100)</f>
        <v>0</v>
      </c>
      <c r="BB107" s="1445"/>
      <c r="BC107" s="1445"/>
      <c r="BD107" s="1003">
        <f>IF(BB107=0,0,(BC107-BB107)/BB107*100)</f>
        <v>0</v>
      </c>
      <c r="BE107" s="1445"/>
      <c r="BF107" s="1445"/>
      <c r="BG107" s="1003">
        <f>IF(BE107=0,0,(BF107-BE107)/BE107*100)</f>
        <v>0</v>
      </c>
      <c r="BH107" s="1445"/>
      <c r="BI107" s="1445"/>
      <c r="BJ107" s="1003">
        <f>IF(BH107=0,0,(BI107-BH107)/BH107*100)</f>
        <v>0</v>
      </c>
      <c r="BK107" s="1445"/>
      <c r="BL107" s="1445"/>
      <c r="BM107" s="1003">
        <f>IF(BK107=0,0,(BL107-BK107)/BK107*100)</f>
        <v>0</v>
      </c>
      <c r="BN107" s="1445"/>
      <c r="BO107" s="1445"/>
      <c r="BP107" s="1003">
        <f>IF(BN107=0,0,(BO107-BN107)/BN107*100)</f>
        <v>0</v>
      </c>
      <c r="BQ107" s="1445"/>
      <c r="BR107" s="1445"/>
      <c r="BS107" s="1003">
        <f>IF(BQ107=0,0,(BR107-BQ107)/BQ107*100)</f>
        <v>0</v>
      </c>
      <c r="BT107" s="1445"/>
      <c r="BU107" s="1445"/>
      <c r="BV107" s="1003">
        <f>IF(BT107=0,0,(BU107-BT107)/BT107*100)</f>
        <v>0</v>
      </c>
      <c r="BW107" s="1445"/>
      <c r="BX107" s="1445"/>
      <c r="BY107" s="1003">
        <f>IF(BW107=0,0,(BX107-BW107)/BW107*100)</f>
        <v>0</v>
      </c>
      <c r="BZ107" s="1445"/>
      <c r="CA107" s="1445"/>
      <c r="CB107" s="1003">
        <f>IF(BZ107=0,0,(CA107-BZ107)/BZ107*100)</f>
        <v>0</v>
      </c>
      <c r="CC107" s="1445"/>
      <c r="CD107" s="1445"/>
      <c r="CE107" s="1003">
        <f>IF(CC107=0,0,(CD107-CC107)/CC107*100)</f>
        <v>0</v>
      </c>
      <c r="CF107" s="1445"/>
      <c r="CG107" s="1445"/>
      <c r="CH107" s="1003">
        <f>IF(CF107=0,0,(CG107-CF107)/CF107*100)</f>
        <v>0</v>
      </c>
      <c r="CI107" s="1445"/>
      <c r="CJ107" s="1445"/>
      <c r="CK107" s="1003">
        <f>IF(CI107=0,0,(CJ107-CI107)/CI107*100)</f>
        <v>0</v>
      </c>
      <c r="CL107" s="1445"/>
      <c r="CM107" s="1445"/>
      <c r="CN107" s="1003">
        <f>IF(CL107=0,0,(CM107-CL107)/CL107*100)</f>
        <v>0</v>
      </c>
      <c r="CO107" s="1445"/>
      <c r="CP107" s="1445"/>
      <c r="CQ107" s="1003">
        <f>IF(CO107=0,0,(CP107-CO107)/CO107*100)</f>
        <v>0</v>
      </c>
      <c r="CR107" s="1445"/>
      <c r="CS107" s="1445"/>
      <c r="CT107" s="1003">
        <f>IF(CR107=0,0,(CS107-CR107)/CR107*100)</f>
        <v>0</v>
      </c>
      <c r="CU107" s="1445"/>
      <c r="CV107" s="1445"/>
      <c r="CW107" s="1003">
        <f>IF(CU107=0,0,(CV107-CU107)/CU107*100)</f>
        <v>0</v>
      </c>
      <c r="CX107" s="1445"/>
      <c r="CY107" s="1445"/>
      <c r="CZ107" s="1003">
        <f>IF(CX107=0,0,(CY107-CX107)/CX107*100)</f>
        <v>0</v>
      </c>
      <c r="DA107" s="1445"/>
      <c r="DB107" s="1445"/>
      <c r="DC107" s="1003">
        <f>IF(DA107=0,0,(DB107-DA107)/DA107*100)</f>
        <v>0</v>
      </c>
      <c r="DD107" s="1445"/>
      <c r="DE107" s="1445"/>
      <c r="DF107" s="1003">
        <f>IF(DD107=0,0,(DE107-DD107)/DD107*100)</f>
        <v>0</v>
      </c>
      <c r="DG107" s="1445"/>
      <c r="DH107" s="1445"/>
      <c r="DI107" s="1003">
        <f>IF(DG107=0,0,(DH107-DG107)/DG107*100)</f>
        <v>0</v>
      </c>
      <c r="DJ107" s="1445"/>
      <c r="DK107" s="1445"/>
      <c r="DL107" s="1003">
        <f>IF(DJ107=0,0,(DK107-DJ107)/DJ107*100)</f>
        <v>0</v>
      </c>
      <c r="DM107" s="1445"/>
      <c r="DN107" s="1445"/>
      <c r="DO107" s="1003">
        <f>IF(DM107=0,0,(DN107-DM107)/DM107*100)</f>
        <v>0</v>
      </c>
      <c r="DP107" s="1445"/>
      <c r="DQ107" s="1445"/>
      <c r="DR107" s="1003">
        <f>IF(DP107=0,0,(DQ107-DP107)/DP107*100)</f>
        <v>0</v>
      </c>
      <c r="DS107" s="1445"/>
      <c r="DT107" s="1445"/>
      <c r="DU107" s="1003">
        <f>IF(DS107=0,0,(DT107-DS107)/DS107*100)</f>
        <v>0</v>
      </c>
      <c r="DV107" s="1445"/>
      <c r="DW107" s="1445"/>
      <c r="DX107" s="1003">
        <f>IF(DV107=0,0,(DW107-DV107)/DV107*100)</f>
        <v>0</v>
      </c>
      <c r="DY107" s="1445"/>
      <c r="DZ107" s="1445"/>
      <c r="EA107" s="1003">
        <f>IF(DY107=0,0,(DZ107-DY107)/DY107*100)</f>
        <v>0</v>
      </c>
      <c r="EB107" s="1445"/>
      <c r="EC107" s="1445"/>
      <c r="ED107" s="1003">
        <f>IF(EB107=0,0,(EC107-EB107)/EB107*100)</f>
        <v>0</v>
      </c>
      <c r="EE107" s="1445"/>
      <c r="EF107" s="1445"/>
      <c r="EG107" s="1003">
        <f>IF(EE107=0,0,(EF107-EE107)/EE107*100)</f>
        <v>0</v>
      </c>
      <c r="EH107" s="1445"/>
      <c r="EI107" s="1445"/>
      <c r="EJ107" s="1003">
        <f>IF(EH107=0,0,(EI107-EH107)/EH107*100)</f>
        <v>0</v>
      </c>
      <c r="EK107" s="1445"/>
      <c r="EL107" s="1445"/>
      <c r="EM107" s="1003">
        <f>IF(EK107=0,0,(EL107-EK107)/EK107*100)</f>
        <v>0</v>
      </c>
      <c r="EN107" s="1445"/>
      <c r="EO107" s="1445"/>
      <c r="EP107" s="1003">
        <f>IF(EN107=0,0,(EO107-EN107)/EN107*100)</f>
        <v>0</v>
      </c>
      <c r="EQ107" s="1445"/>
      <c r="ER107" s="1445"/>
      <c r="ES107" s="1003">
        <f>IF(EQ107=0,0,(ER107-EQ107)/EQ107*100)</f>
        <v>0</v>
      </c>
      <c r="ET107" s="1445"/>
      <c r="EU107" s="1445"/>
      <c r="EV107" s="1003">
        <f>IF(ET107=0,0,(EU107-ET107)/ET107*100)</f>
        <v>0</v>
      </c>
      <c r="EW107" s="1445"/>
      <c r="EX107" s="1445"/>
      <c r="EY107" s="1003">
        <f>IF(EW107=0,0,(EX107-EW107)/EW107*100)</f>
        <v>0</v>
      </c>
      <c r="EZ107" s="1445"/>
      <c r="FA107" s="1445"/>
      <c r="FB107" s="1003">
        <f>IF(EZ107=0,0,(FA107-EZ107)/EZ107*100)</f>
        <v>0</v>
      </c>
      <c r="FC107" s="1445"/>
      <c r="FD107" s="1445"/>
      <c r="FE107" s="1003">
        <f>IF(FC107=0,0,(FD107-FC107)/FC107*100)</f>
        <v>0</v>
      </c>
      <c r="FF107" s="1445"/>
      <c r="FG107" s="1445"/>
      <c r="FH107" s="1003">
        <f>IF(FF107=0,0,(FG107-FF107)/FF107*100)</f>
        <v>0</v>
      </c>
      <c r="FI107" s="1445"/>
      <c r="FJ107" s="1445"/>
      <c r="FK107" s="1003">
        <f>IF(FI107=0,0,(FJ107-FI107)/FI107*100)</f>
        <v>0</v>
      </c>
      <c r="FL107" s="1445"/>
      <c r="FM107" s="1445"/>
      <c r="FN107" s="1003">
        <f>IF(FL107=0,0,(FM107-FL107)/FL107*100)</f>
        <v>0</v>
      </c>
      <c r="FO107" s="1445"/>
      <c r="FP107" s="1445"/>
      <c r="FQ107" s="1003">
        <f>IF(FO107=0,0,(FP107-FO107)/FO107*100)</f>
        <v>0</v>
      </c>
      <c r="FR107" s="1445"/>
      <c r="FS107" s="1445"/>
      <c r="FT107" s="1003">
        <f>IF(FR107=0,0,(FS107-FR107)/FR107*100)</f>
        <v>0</v>
      </c>
      <c r="FU107" s="1445"/>
      <c r="FV107" s="1445"/>
      <c r="FW107" s="1003">
        <f>IF(FU107=0,0,(FV107-FU107)/FU107*100)</f>
        <v>0</v>
      </c>
      <c r="FX107" s="1214"/>
      <c r="FY107" s="1214"/>
      <c r="FZ107" s="964" t="s">
        <v>1633</v>
      </c>
      <c r="GA107" s="1216"/>
      <c r="GB107" s="1216"/>
      <c r="GC107" s="1215"/>
      <c r="GD107" s="1215"/>
    </row>
    <row r="108" spans="1:186" s="1334" customFormat="1" ht="23.25" hidden="1" customHeight="1" x14ac:dyDescent="0.15">
      <c r="A108" s="416"/>
      <c r="B108" s="837" t="b" cm="1">
        <f t="array" ref="B108">B107</f>
        <v>0</v>
      </c>
      <c r="C108" s="416"/>
      <c r="D108" s="416"/>
      <c r="E108" s="759">
        <v>24.5</v>
      </c>
      <c r="F108" s="3" t="str" cm="1">
        <f t="array" aca="1" ref="F108" ca="1">OFFSET(E108,-1,1)</f>
        <v>1</v>
      </c>
      <c r="G108" s="416"/>
      <c r="H108" s="416"/>
      <c r="I108" s="416"/>
      <c r="J108" s="416"/>
      <c r="K108" s="416"/>
      <c r="L108" s="416"/>
      <c r="M108" s="416"/>
      <c r="N108" s="416"/>
      <c r="O108" s="416"/>
      <c r="P108" s="416"/>
      <c r="Q108" s="416"/>
      <c r="R108" s="416"/>
      <c r="S108" s="416"/>
      <c r="T108" s="388" t="b" cm="1">
        <f t="array" aca="1" ref="T108" ca="1">T107</f>
        <v>1</v>
      </c>
      <c r="U108" s="416"/>
      <c r="V108" s="416"/>
      <c r="W108" s="416"/>
      <c r="X108" s="2066"/>
      <c r="Y108" s="416"/>
      <c r="Z108" s="2011"/>
      <c r="AA108" s="416"/>
      <c r="AB108" s="211" t="s">
        <v>1634</v>
      </c>
      <c r="AC108" s="817"/>
      <c r="AD108" s="1010"/>
      <c r="AE108" s="1010"/>
      <c r="AF108" s="1010"/>
      <c r="AG108" s="1010"/>
      <c r="AH108" s="1010"/>
      <c r="AI108" s="1010"/>
      <c r="AJ108" s="1010"/>
      <c r="AK108" s="1010"/>
      <c r="AL108" s="1010"/>
      <c r="AM108" s="1010"/>
      <c r="AN108" s="1010"/>
      <c r="AO108" s="1010"/>
      <c r="AP108" s="1010"/>
      <c r="AQ108" s="1010"/>
      <c r="AR108" s="1010"/>
      <c r="AS108" s="1010"/>
      <c r="AT108" s="1010"/>
      <c r="AU108" s="1010"/>
      <c r="AV108" s="1010"/>
      <c r="AW108" s="1010"/>
      <c r="AX108" s="1010"/>
      <c r="AY108" s="1010"/>
      <c r="AZ108" s="1010"/>
      <c r="BA108" s="1010"/>
      <c r="BB108" s="1010"/>
      <c r="BC108" s="1010"/>
      <c r="BD108" s="1010"/>
      <c r="BE108" s="1010"/>
      <c r="BF108" s="1010"/>
      <c r="BG108" s="1010"/>
      <c r="BH108" s="1010"/>
      <c r="BI108" s="1010"/>
      <c r="BJ108" s="1010"/>
      <c r="BK108" s="1010"/>
      <c r="BL108" s="1010"/>
      <c r="BM108" s="1010"/>
      <c r="BN108" s="1010"/>
      <c r="BO108" s="1010"/>
      <c r="BP108" s="1010"/>
      <c r="BQ108" s="1010"/>
      <c r="BR108" s="1010"/>
      <c r="BS108" s="1010"/>
      <c r="BT108" s="1010"/>
      <c r="BU108" s="1010"/>
      <c r="BV108" s="1010"/>
      <c r="BW108" s="1010"/>
      <c r="BX108" s="1010"/>
      <c r="BY108" s="1010"/>
      <c r="BZ108" s="1010"/>
      <c r="CA108" s="1010"/>
      <c r="CB108" s="1010"/>
      <c r="CC108" s="1010"/>
      <c r="CD108" s="1010"/>
      <c r="CE108" s="1010"/>
      <c r="CF108" s="1010"/>
      <c r="CG108" s="1010"/>
      <c r="CH108" s="1010"/>
      <c r="CI108" s="1010"/>
      <c r="CJ108" s="1010"/>
      <c r="CK108" s="1010"/>
      <c r="CL108" s="1010"/>
      <c r="CM108" s="1010"/>
      <c r="CN108" s="1010"/>
      <c r="CO108" s="1010"/>
      <c r="CP108" s="1010"/>
      <c r="CQ108" s="1010"/>
      <c r="CR108" s="1010"/>
      <c r="CS108" s="1010"/>
      <c r="CT108" s="1010"/>
      <c r="CU108" s="1010"/>
      <c r="CV108" s="1010"/>
      <c r="CW108" s="1010"/>
      <c r="CX108" s="1010"/>
      <c r="CY108" s="1010"/>
      <c r="CZ108" s="1010"/>
      <c r="DA108" s="1010"/>
      <c r="DB108" s="1010"/>
      <c r="DC108" s="1010"/>
      <c r="DD108" s="1010"/>
      <c r="DE108" s="1010"/>
      <c r="DF108" s="1010"/>
      <c r="DG108" s="1010"/>
      <c r="DH108" s="1010"/>
      <c r="DI108" s="1010"/>
      <c r="DJ108" s="1010"/>
      <c r="DK108" s="1010"/>
      <c r="DL108" s="1010"/>
      <c r="DM108" s="1010"/>
      <c r="DN108" s="1010"/>
      <c r="DO108" s="1010"/>
      <c r="DP108" s="1010"/>
      <c r="DQ108" s="1010"/>
      <c r="DR108" s="1010"/>
      <c r="DS108" s="1010"/>
      <c r="DT108" s="1010"/>
      <c r="DU108" s="1010"/>
      <c r="DV108" s="1010"/>
      <c r="DW108" s="1010"/>
      <c r="DX108" s="1010"/>
      <c r="DY108" s="1010"/>
      <c r="DZ108" s="1010"/>
      <c r="EA108" s="1010"/>
      <c r="EB108" s="1010"/>
      <c r="EC108" s="1010"/>
      <c r="ED108" s="1010"/>
      <c r="EE108" s="1010"/>
      <c r="EF108" s="1010"/>
      <c r="EG108" s="1010"/>
      <c r="EH108" s="1010"/>
      <c r="EI108" s="1010"/>
      <c r="EJ108" s="1010"/>
      <c r="EK108" s="1010"/>
      <c r="EL108" s="1010"/>
      <c r="EM108" s="1010"/>
      <c r="EN108" s="1010"/>
      <c r="EO108" s="1010"/>
      <c r="EP108" s="1010"/>
      <c r="EQ108" s="1010"/>
      <c r="ER108" s="1010"/>
      <c r="ES108" s="1010"/>
      <c r="ET108" s="1010"/>
      <c r="EU108" s="1010"/>
      <c r="EV108" s="1010"/>
      <c r="EW108" s="1010"/>
      <c r="EX108" s="1010"/>
      <c r="EY108" s="1010"/>
      <c r="EZ108" s="1010"/>
      <c r="FA108" s="1010"/>
      <c r="FB108" s="1010"/>
      <c r="FC108" s="1010"/>
      <c r="FD108" s="1010"/>
      <c r="FE108" s="1010"/>
      <c r="FF108" s="1010"/>
      <c r="FG108" s="1010"/>
      <c r="FH108" s="1010"/>
      <c r="FI108" s="1010"/>
      <c r="FJ108" s="1010"/>
      <c r="FK108" s="1010"/>
      <c r="FL108" s="1010"/>
      <c r="FM108" s="1010"/>
      <c r="FN108" s="1010"/>
      <c r="FO108" s="1010"/>
      <c r="FP108" s="1010"/>
      <c r="FQ108" s="1010"/>
      <c r="FR108" s="1010"/>
      <c r="FS108" s="1010"/>
      <c r="FT108" s="1010"/>
      <c r="FU108" s="1010"/>
      <c r="FV108" s="1010"/>
      <c r="FW108" s="1011"/>
      <c r="FX108" s="1214"/>
      <c r="FY108" s="1214"/>
      <c r="FZ108" s="964"/>
      <c r="GA108" s="1216"/>
      <c r="GB108" s="1216"/>
      <c r="GC108" s="1215"/>
      <c r="GD108" s="1215"/>
    </row>
    <row r="109" spans="1:186" s="1334" customFormat="1" ht="14.25" hidden="1" customHeight="1" x14ac:dyDescent="0.15">
      <c r="A109" s="416"/>
      <c r="B109" s="837" t="b" cm="1">
        <f t="array" ref="B109">B108</f>
        <v>0</v>
      </c>
      <c r="C109" s="416"/>
      <c r="D109" s="416"/>
      <c r="E109" s="759">
        <v>15</v>
      </c>
      <c r="F109" s="3" t="str" cm="1">
        <f t="array" aca="1" ref="F109" ca="1">OFFSET(E109,-1,1)</f>
        <v>1</v>
      </c>
      <c r="G109" s="416"/>
      <c r="H109" s="416" t="s">
        <v>1529</v>
      </c>
      <c r="I109" s="416" t="s">
        <v>1591</v>
      </c>
      <c r="J109" s="416"/>
      <c r="K109" s="416"/>
      <c r="L109" s="416"/>
      <c r="M109" s="416"/>
      <c r="N109" s="416"/>
      <c r="O109" s="416"/>
      <c r="P109" s="416"/>
      <c r="Q109" s="416"/>
      <c r="R109" s="416"/>
      <c r="S109" s="416"/>
      <c r="T109" s="388" t="b" cm="1">
        <f t="array" aca="1" ref="T109" ca="1">T108</f>
        <v>1</v>
      </c>
      <c r="U109" s="416"/>
      <c r="V109" s="416"/>
      <c r="W109" s="416"/>
      <c r="X109" s="2066"/>
      <c r="Y109" s="416"/>
      <c r="Z109" s="2011"/>
      <c r="AA109" s="416"/>
      <c r="AB109" s="1001" t="s">
        <v>1621</v>
      </c>
      <c r="AC109" s="783" t="s">
        <v>1588</v>
      </c>
      <c r="AD109" s="1445">
        <f ca="1">IF(AD111=0,0,(AD110*AD111+AD112*AD113*IF(god=2026,3,6))/AD111)</f>
        <v>0</v>
      </c>
      <c r="AE109" s="1445">
        <f ca="1">IF(AE111=0,0,(AE110*AE111+AE112*AE113*IF(god=2026,3,6))/AE111)</f>
        <v>0</v>
      </c>
      <c r="AF109" s="1003">
        <f ca="1">IF(AD109=0,0,(AE109-AD109)/AD109*100)</f>
        <v>0</v>
      </c>
      <c r="AG109" s="1445">
        <f ca="1">IF(AG111=0,0,(AG110*AG111+AG112*AG113*IF(god=2025,3,6))/AG111)</f>
        <v>0</v>
      </c>
      <c r="AH109" s="1445">
        <f ca="1">IF(AH111=0,0,(AH110*AH111+AH112*AH113*IF(god=2025,3,6))/AH111)</f>
        <v>0</v>
      </c>
      <c r="AI109" s="1003">
        <f ca="1">IF(AG109=0,0,(AH109-AG109)/AG109*100)</f>
        <v>0</v>
      </c>
      <c r="AJ109" s="1445">
        <f ca="1">IF(AJ111=0,0,(AJ110*AJ111+AJ112*AJ113*6)/AJ111)</f>
        <v>0</v>
      </c>
      <c r="AK109" s="1445">
        <f ca="1">IF(AK111=0,0,(AK110*AK111+AK112*AK113*6)/AK111)</f>
        <v>0</v>
      </c>
      <c r="AL109" s="1003">
        <f ca="1">IF(AJ109=0,0,(AK109-AJ109)/AJ109*100)</f>
        <v>0</v>
      </c>
      <c r="AM109" s="1445">
        <f ca="1">IF(AM111=0,0,(AM110*AM111+AM112*AM113*6)/AM111)</f>
        <v>0</v>
      </c>
      <c r="AN109" s="1445">
        <f ca="1">IF(AN111=0,0,(AN110*AN111+AN112*AN113*6)/AN111)</f>
        <v>0</v>
      </c>
      <c r="AO109" s="1003">
        <f ca="1">IF(AM109=0,0,(AN109-AM109)/AM109*100)</f>
        <v>0</v>
      </c>
      <c r="AP109" s="1445">
        <f ca="1">IF(AP111=0,0,(AP110*AP111+AP112*AP113*6)/AP111)</f>
        <v>0</v>
      </c>
      <c r="AQ109" s="1445">
        <f ca="1">IF(AQ111=0,0,(AQ110*AQ111+AQ112*AQ113*6)/AQ111)</f>
        <v>0</v>
      </c>
      <c r="AR109" s="1003">
        <f ca="1">IF(AP109=0,0,(AQ109-AP109)/AP109*100)</f>
        <v>0</v>
      </c>
      <c r="AS109" s="1445">
        <f ca="1">IF(AS111=0,0,(AS110*AS111+AS112*AS113*6)/AS111)</f>
        <v>0</v>
      </c>
      <c r="AT109" s="1445">
        <f ca="1">IF(AT111=0,0,(AT110*AT111+AT112*AT113*6)/AT111)</f>
        <v>0</v>
      </c>
      <c r="AU109" s="1003">
        <f ca="1">IF(AS109=0,0,(AT109-AS109)/AS109*100)</f>
        <v>0</v>
      </c>
      <c r="AV109" s="1445">
        <f ca="1">IF(AV111=0,0,(AV110*AV111+AV112*AV113*6)/AV111)</f>
        <v>0</v>
      </c>
      <c r="AW109" s="1445">
        <f ca="1">IF(AW111=0,0,(AW110*AW111+AW112*AW113*6)/AW111)</f>
        <v>0</v>
      </c>
      <c r="AX109" s="1003">
        <f ca="1">IF(AV109=0,0,(AW109-AV109)/AV109*100)</f>
        <v>0</v>
      </c>
      <c r="AY109" s="1445">
        <f ca="1">IF(AY111=0,0,(AY110*AY111+AY112*AY113*6)/AY111)</f>
        <v>0</v>
      </c>
      <c r="AZ109" s="1445">
        <f ca="1">IF(AZ111=0,0,(AZ110*AZ111+AZ112*AZ113*6)/AZ111)</f>
        <v>0</v>
      </c>
      <c r="BA109" s="1003">
        <f ca="1">IF(AY109=0,0,(AZ109-AY109)/AY109*100)</f>
        <v>0</v>
      </c>
      <c r="BB109" s="1445">
        <f ca="1">IF(BB111=0,0,(BB110*BB111+BB112*BB113*6)/BB111)</f>
        <v>0</v>
      </c>
      <c r="BC109" s="1445">
        <f ca="1">IF(BC111=0,0,(BC110*BC111+BC112*BC113*6)/BC111)</f>
        <v>0</v>
      </c>
      <c r="BD109" s="1003">
        <f ca="1">IF(BB109=0,0,(BC109-BB109)/BB109*100)</f>
        <v>0</v>
      </c>
      <c r="BE109" s="1445">
        <f ca="1">IF(BE111=0,0,(BE110*BE111+BE112*BE113*6)/BE111)</f>
        <v>0</v>
      </c>
      <c r="BF109" s="1445">
        <f ca="1">IF(BF111=0,0,(BF110*BF111+BF112*BF113*6)/BF111)</f>
        <v>0</v>
      </c>
      <c r="BG109" s="1003">
        <f ca="1">IF(BE109=0,0,(BF109-BE109)/BE109*100)</f>
        <v>0</v>
      </c>
      <c r="BH109" s="1445">
        <f>IF(BH111=0,0,(BH110*BH111+BH112*BH113*6)/BH111)</f>
        <v>0</v>
      </c>
      <c r="BI109" s="1445">
        <f>IF(BI111=0,0,(BI110*BI111+BI112*BI113*6)/BI111)</f>
        <v>0</v>
      </c>
      <c r="BJ109" s="1003">
        <f>IF(BH109=0,0,(BI109-BH109)/BH109*100)</f>
        <v>0</v>
      </c>
      <c r="BK109" s="1445">
        <f>IF(BK111=0,0,(BK110*BK111+BK112*BK113*6)/BK111)</f>
        <v>0</v>
      </c>
      <c r="BL109" s="1445">
        <f>IF(BL111=0,0,(BL110*BL111+BL112*BL113*6)/BL111)</f>
        <v>0</v>
      </c>
      <c r="BM109" s="1003">
        <f>IF(BK109=0,0,(BL109-BK109)/BK109*100)</f>
        <v>0</v>
      </c>
      <c r="BN109" s="1445">
        <f>IF(BN111=0,0,(BN110*BN111+BN112*BN113*6)/BN111)</f>
        <v>0</v>
      </c>
      <c r="BO109" s="1445">
        <f>IF(BO111=0,0,(BO110*BO111+BO112*BO113*6)/BO111)</f>
        <v>0</v>
      </c>
      <c r="BP109" s="1003">
        <f>IF(BN109=0,0,(BO109-BN109)/BN109*100)</f>
        <v>0</v>
      </c>
      <c r="BQ109" s="1445">
        <f>IF(BQ111=0,0,(BQ110*BQ111+BQ112*BQ113*6)/BQ111)</f>
        <v>0</v>
      </c>
      <c r="BR109" s="1445">
        <f>IF(BR111=0,0,(BR110*BR111+BR112*BR113*6)/BR111)</f>
        <v>0</v>
      </c>
      <c r="BS109" s="1003">
        <f>IF(BQ109=0,0,(BR109-BQ109)/BQ109*100)</f>
        <v>0</v>
      </c>
      <c r="BT109" s="1445">
        <f>IF(BT111=0,0,(BT110*BT111+BT112*BT113*6)/BT111)</f>
        <v>0</v>
      </c>
      <c r="BU109" s="1445">
        <f>IF(BU111=0,0,(BU110*BU111+BU112*BU113*6)/BU111)</f>
        <v>0</v>
      </c>
      <c r="BV109" s="1003">
        <f>IF(BT109=0,0,(BU109-BT109)/BT109*100)</f>
        <v>0</v>
      </c>
      <c r="BW109" s="1445">
        <f>IF(BW111=0,0,(BW110*BW111+BW112*BW113*6)/BW111)</f>
        <v>0</v>
      </c>
      <c r="BX109" s="1445">
        <f>IF(BX111=0,0,(BX110*BX111+BX112*BX113*6)/BX111)</f>
        <v>0</v>
      </c>
      <c r="BY109" s="1003">
        <f>IF(BW109=0,0,(BX109-BW109)/BW109*100)</f>
        <v>0</v>
      </c>
      <c r="BZ109" s="1445">
        <f>IF(BZ111=0,0,(BZ110*BZ111+BZ112*BZ113*6)/BZ111)</f>
        <v>0</v>
      </c>
      <c r="CA109" s="1445">
        <f>IF(CA111=0,0,(CA110*CA111+CA112*CA113*6)/CA111)</f>
        <v>0</v>
      </c>
      <c r="CB109" s="1003">
        <f>IF(BZ109=0,0,(CA109-BZ109)/BZ109*100)</f>
        <v>0</v>
      </c>
      <c r="CC109" s="1445">
        <f>IF(CC111=0,0,(CC110*CC111+CC112*CC113*6)/CC111)</f>
        <v>0</v>
      </c>
      <c r="CD109" s="1445">
        <f>IF(CD111=0,0,(CD110*CD111+CD112*CD113*6)/CD111)</f>
        <v>0</v>
      </c>
      <c r="CE109" s="1003">
        <f>IF(CC109=0,0,(CD109-CC109)/CC109*100)</f>
        <v>0</v>
      </c>
      <c r="CF109" s="1445">
        <f>IF(CF111=0,0,(CF110*CF111+CF112*CF113*6)/CF111)</f>
        <v>0</v>
      </c>
      <c r="CG109" s="1445">
        <f>IF(CG111=0,0,(CG110*CG111+CG112*CG113*6)/CG111)</f>
        <v>0</v>
      </c>
      <c r="CH109" s="1003">
        <f>IF(CF109=0,0,(CG109-CF109)/CF109*100)</f>
        <v>0</v>
      </c>
      <c r="CI109" s="1445">
        <f>IF(CI111=0,0,(CI110*CI111+CI112*CI113*6)/CI111)</f>
        <v>0</v>
      </c>
      <c r="CJ109" s="1445">
        <f>IF(CJ111=0,0,(CJ110*CJ111+CJ112*CJ113*6)/CJ111)</f>
        <v>0</v>
      </c>
      <c r="CK109" s="1003">
        <f>IF(CI109=0,0,(CJ109-CI109)/CI109*100)</f>
        <v>0</v>
      </c>
      <c r="CL109" s="1445">
        <f>IF(CL111=0,0,(CL110*CL111+CL112*CL113*6)/CL111)</f>
        <v>0</v>
      </c>
      <c r="CM109" s="1445">
        <f>IF(CM111=0,0,(CM110*CM111+CM112*CM113*6)/CM111)</f>
        <v>0</v>
      </c>
      <c r="CN109" s="1003">
        <f>IF(CL109=0,0,(CM109-CL109)/CL109*100)</f>
        <v>0</v>
      </c>
      <c r="CO109" s="1445">
        <f>IF(CO111=0,0,(CO110*CO111+CO112*CO113*6)/CO111)</f>
        <v>0</v>
      </c>
      <c r="CP109" s="1445">
        <f>IF(CP111=0,0,(CP110*CP111+CP112*CP113*6)/CP111)</f>
        <v>0</v>
      </c>
      <c r="CQ109" s="1003">
        <f>IF(CO109=0,0,(CP109-CO109)/CO109*100)</f>
        <v>0</v>
      </c>
      <c r="CR109" s="1445">
        <f>IF(CR111=0,0,(CR110*CR111+CR112*CR113*6)/CR111)</f>
        <v>0</v>
      </c>
      <c r="CS109" s="1445">
        <f>IF(CS111=0,0,(CS110*CS111+CS112*CS113*6)/CS111)</f>
        <v>0</v>
      </c>
      <c r="CT109" s="1003">
        <f>IF(CR109=0,0,(CS109-CR109)/CR109*100)</f>
        <v>0</v>
      </c>
      <c r="CU109" s="1445">
        <f>IF(CU111=0,0,(CU110*CU111+CU112*CU113*6)/CU111)</f>
        <v>0</v>
      </c>
      <c r="CV109" s="1445">
        <f>IF(CV111=0,0,(CV110*CV111+CV112*CV113*6)/CV111)</f>
        <v>0</v>
      </c>
      <c r="CW109" s="1003">
        <f>IF(CU109=0,0,(CV109-CU109)/CU109*100)</f>
        <v>0</v>
      </c>
      <c r="CX109" s="1445">
        <f>IF(CX111=0,0,(CX110*CX111+CX112*CX113*6)/CX111)</f>
        <v>0</v>
      </c>
      <c r="CY109" s="1445">
        <f>IF(CY111=0,0,(CY110*CY111+CY112*CY113*6)/CY111)</f>
        <v>0</v>
      </c>
      <c r="CZ109" s="1003">
        <f>IF(CX109=0,0,(CY109-CX109)/CX109*100)</f>
        <v>0</v>
      </c>
      <c r="DA109" s="1445">
        <f>IF(DA111=0,0,(DA110*DA111+DA112*DA113*6)/DA111)</f>
        <v>0</v>
      </c>
      <c r="DB109" s="1445">
        <f>IF(DB111=0,0,(DB110*DB111+DB112*DB113*6)/DB111)</f>
        <v>0</v>
      </c>
      <c r="DC109" s="1003">
        <f>IF(DA109=0,0,(DB109-DA109)/DA109*100)</f>
        <v>0</v>
      </c>
      <c r="DD109" s="1445">
        <f>IF(DD111=0,0,(DD110*DD111+DD112*DD113*6)/DD111)</f>
        <v>0</v>
      </c>
      <c r="DE109" s="1445">
        <f>IF(DE111=0,0,(DE110*DE111+DE112*DE113*6)/DE111)</f>
        <v>0</v>
      </c>
      <c r="DF109" s="1003">
        <f>IF(DD109=0,0,(DE109-DD109)/DD109*100)</f>
        <v>0</v>
      </c>
      <c r="DG109" s="1445">
        <f>IF(DG111=0,0,(DG110*DG111+DG112*DG113*6)/DG111)</f>
        <v>0</v>
      </c>
      <c r="DH109" s="1445">
        <f>IF(DH111=0,0,(DH110*DH111+DH112*DH113*6)/DH111)</f>
        <v>0</v>
      </c>
      <c r="DI109" s="1003">
        <f>IF(DG109=0,0,(DH109-DG109)/DG109*100)</f>
        <v>0</v>
      </c>
      <c r="DJ109" s="1445">
        <f>IF(DJ111=0,0,(DJ110*DJ111+DJ112*DJ113*6)/DJ111)</f>
        <v>0</v>
      </c>
      <c r="DK109" s="1445">
        <f>IF(DK111=0,0,(DK110*DK111+DK112*DK113*6)/DK111)</f>
        <v>0</v>
      </c>
      <c r="DL109" s="1003">
        <f>IF(DJ109=0,0,(DK109-DJ109)/DJ109*100)</f>
        <v>0</v>
      </c>
      <c r="DM109" s="1445">
        <f>IF(DM111=0,0,(DM110*DM111+DM112*DM113*6)/DM111)</f>
        <v>0</v>
      </c>
      <c r="DN109" s="1445">
        <f>IF(DN111=0,0,(DN110*DN111+DN112*DN113*6)/DN111)</f>
        <v>0</v>
      </c>
      <c r="DO109" s="1003">
        <f>IF(DM109=0,0,(DN109-DM109)/DM109*100)</f>
        <v>0</v>
      </c>
      <c r="DP109" s="1445">
        <f>IF(DP111=0,0,(DP110*DP111+DP112*DP113*6)/DP111)</f>
        <v>0</v>
      </c>
      <c r="DQ109" s="1445">
        <f>IF(DQ111=0,0,(DQ110*DQ111+DQ112*DQ113*6)/DQ111)</f>
        <v>0</v>
      </c>
      <c r="DR109" s="1003">
        <f>IF(DP109=0,0,(DQ109-DP109)/DP109*100)</f>
        <v>0</v>
      </c>
      <c r="DS109" s="1445">
        <f>IF(DS111=0,0,(DS110*DS111+DS112*DS113*6)/DS111)</f>
        <v>0</v>
      </c>
      <c r="DT109" s="1445">
        <f>IF(DT111=0,0,(DT110*DT111+DT112*DT113*6)/DT111)</f>
        <v>0</v>
      </c>
      <c r="DU109" s="1003">
        <f>IF(DS109=0,0,(DT109-DS109)/DS109*100)</f>
        <v>0</v>
      </c>
      <c r="DV109" s="1445">
        <f>IF(DV111=0,0,(DV110*DV111+DV112*DV113*6)/DV111)</f>
        <v>0</v>
      </c>
      <c r="DW109" s="1445">
        <f>IF(DW111=0,0,(DW110*DW111+DW112*DW113*6)/DW111)</f>
        <v>0</v>
      </c>
      <c r="DX109" s="1003">
        <f>IF(DV109=0,0,(DW109-DV109)/DV109*100)</f>
        <v>0</v>
      </c>
      <c r="DY109" s="1445">
        <f>IF(DY111=0,0,(DY110*DY111+DY112*DY113*6)/DY111)</f>
        <v>0</v>
      </c>
      <c r="DZ109" s="1445">
        <f>IF(DZ111=0,0,(DZ110*DZ111+DZ112*DZ113*6)/DZ111)</f>
        <v>0</v>
      </c>
      <c r="EA109" s="1003">
        <f>IF(DY109=0,0,(DZ109-DY109)/DY109*100)</f>
        <v>0</v>
      </c>
      <c r="EB109" s="1445">
        <f>IF(EB111=0,0,(EB110*EB111+EB112*EB113*6)/EB111)</f>
        <v>0</v>
      </c>
      <c r="EC109" s="1445">
        <f>IF(EC111=0,0,(EC110*EC111+EC112*EC113*6)/EC111)</f>
        <v>0</v>
      </c>
      <c r="ED109" s="1003">
        <f>IF(EB109=0,0,(EC109-EB109)/EB109*100)</f>
        <v>0</v>
      </c>
      <c r="EE109" s="1445">
        <f>IF(EE111=0,0,(EE110*EE111+EE112*EE113*6)/EE111)</f>
        <v>0</v>
      </c>
      <c r="EF109" s="1445">
        <f>IF(EF111=0,0,(EF110*EF111+EF112*EF113*6)/EF111)</f>
        <v>0</v>
      </c>
      <c r="EG109" s="1003">
        <f>IF(EE109=0,0,(EF109-EE109)/EE109*100)</f>
        <v>0</v>
      </c>
      <c r="EH109" s="1445">
        <f>IF(EH111=0,0,(EH110*EH111+EH112*EH113*6)/EH111)</f>
        <v>0</v>
      </c>
      <c r="EI109" s="1445">
        <f>IF(EI111=0,0,(EI110*EI111+EI112*EI113*6)/EI111)</f>
        <v>0</v>
      </c>
      <c r="EJ109" s="1003">
        <f>IF(EH109=0,0,(EI109-EH109)/EH109*100)</f>
        <v>0</v>
      </c>
      <c r="EK109" s="1445">
        <f>IF(EK111=0,0,(EK110*EK111+EK112*EK113*6)/EK111)</f>
        <v>0</v>
      </c>
      <c r="EL109" s="1445">
        <f>IF(EL111=0,0,(EL110*EL111+EL112*EL113*6)/EL111)</f>
        <v>0</v>
      </c>
      <c r="EM109" s="1003">
        <f>IF(EK109=0,0,(EL109-EK109)/EK109*100)</f>
        <v>0</v>
      </c>
      <c r="EN109" s="1445">
        <f>IF(EN111=0,0,(EN110*EN111+EN112*EN113*6)/EN111)</f>
        <v>0</v>
      </c>
      <c r="EO109" s="1445">
        <f>IF(EO111=0,0,(EO110*EO111+EO112*EO113*6)/EO111)</f>
        <v>0</v>
      </c>
      <c r="EP109" s="1003">
        <f>IF(EN109=0,0,(EO109-EN109)/EN109*100)</f>
        <v>0</v>
      </c>
      <c r="EQ109" s="1445">
        <f>IF(EQ111=0,0,(EQ110*EQ111+EQ112*EQ113*6)/EQ111)</f>
        <v>0</v>
      </c>
      <c r="ER109" s="1445">
        <f>IF(ER111=0,0,(ER110*ER111+ER112*ER113*6)/ER111)</f>
        <v>0</v>
      </c>
      <c r="ES109" s="1003">
        <f>IF(EQ109=0,0,(ER109-EQ109)/EQ109*100)</f>
        <v>0</v>
      </c>
      <c r="ET109" s="1445">
        <f>IF(ET111=0,0,(ET110*ET111+ET112*ET113*6)/ET111)</f>
        <v>0</v>
      </c>
      <c r="EU109" s="1445">
        <f>IF(EU111=0,0,(EU110*EU111+EU112*EU113*6)/EU111)</f>
        <v>0</v>
      </c>
      <c r="EV109" s="1003">
        <f>IF(ET109=0,0,(EU109-ET109)/ET109*100)</f>
        <v>0</v>
      </c>
      <c r="EW109" s="1445">
        <f>IF(EW111=0,0,(EW110*EW111+EW112*EW113*6)/EW111)</f>
        <v>0</v>
      </c>
      <c r="EX109" s="1445">
        <f>IF(EX111=0,0,(EX110*EX111+EX112*EX113*6)/EX111)</f>
        <v>0</v>
      </c>
      <c r="EY109" s="1003">
        <f>IF(EW109=0,0,(EX109-EW109)/EW109*100)</f>
        <v>0</v>
      </c>
      <c r="EZ109" s="1445">
        <f>IF(EZ111=0,0,(EZ110*EZ111+EZ112*EZ113*6)/EZ111)</f>
        <v>0</v>
      </c>
      <c r="FA109" s="1445">
        <f>IF(FA111=0,0,(FA110*FA111+FA112*FA113*6)/FA111)</f>
        <v>0</v>
      </c>
      <c r="FB109" s="1003">
        <f>IF(EZ109=0,0,(FA109-EZ109)/EZ109*100)</f>
        <v>0</v>
      </c>
      <c r="FC109" s="1445">
        <f>IF(FC111=0,0,(FC110*FC111+FC112*FC113*6)/FC111)</f>
        <v>0</v>
      </c>
      <c r="FD109" s="1445">
        <f>IF(FD111=0,0,(FD110*FD111+FD112*FD113*6)/FD111)</f>
        <v>0</v>
      </c>
      <c r="FE109" s="1003">
        <f>IF(FC109=0,0,(FD109-FC109)/FC109*100)</f>
        <v>0</v>
      </c>
      <c r="FF109" s="1445">
        <f>IF(FF111=0,0,(FF110*FF111+FF112*FF113*6)/FF111)</f>
        <v>0</v>
      </c>
      <c r="FG109" s="1445">
        <f>IF(FG111=0,0,(FG110*FG111+FG112*FG113*6)/FG111)</f>
        <v>0</v>
      </c>
      <c r="FH109" s="1003">
        <f>IF(FF109=0,0,(FG109-FF109)/FF109*100)</f>
        <v>0</v>
      </c>
      <c r="FI109" s="1445">
        <f>IF(FI111=0,0,(FI110*FI111+FI112*FI113*6)/FI111)</f>
        <v>0</v>
      </c>
      <c r="FJ109" s="1445">
        <f>IF(FJ111=0,0,(FJ110*FJ111+FJ112*FJ113*6)/FJ111)</f>
        <v>0</v>
      </c>
      <c r="FK109" s="1003">
        <f>IF(FI109=0,0,(FJ109-FI109)/FI109*100)</f>
        <v>0</v>
      </c>
      <c r="FL109" s="1445">
        <f>IF(FL111=0,0,(FL110*FL111+FL112*FL113*6)/FL111)</f>
        <v>0</v>
      </c>
      <c r="FM109" s="1445">
        <f>IF(FM111=0,0,(FM110*FM111+FM112*FM113*6)/FM111)</f>
        <v>0</v>
      </c>
      <c r="FN109" s="1003">
        <f>IF(FL109=0,0,(FM109-FL109)/FL109*100)</f>
        <v>0</v>
      </c>
      <c r="FO109" s="1445">
        <f>IF(FO111=0,0,(FO110*FO111+FO112*FO113*6)/FO111)</f>
        <v>0</v>
      </c>
      <c r="FP109" s="1445">
        <f>IF(FP111=0,0,(FP110*FP111+FP112*FP113*6)/FP111)</f>
        <v>0</v>
      </c>
      <c r="FQ109" s="1003">
        <f>IF(FO109=0,0,(FP109-FO109)/FO109*100)</f>
        <v>0</v>
      </c>
      <c r="FR109" s="1445">
        <f>IF(FR111=0,0,(FR110*FR111+FR112*FR113*6)/FR111)</f>
        <v>0</v>
      </c>
      <c r="FS109" s="1445">
        <f>IF(FS111=0,0,(FS110*FS111+FS112*FS113*6)/FS111)</f>
        <v>0</v>
      </c>
      <c r="FT109" s="1003">
        <f>IF(FR109=0,0,(FS109-FR109)/FR109*100)</f>
        <v>0</v>
      </c>
      <c r="FU109" s="1445">
        <f>IF(FU111=0,0,(FU110*FU111+FU112*FU113*6)/FU111)</f>
        <v>0</v>
      </c>
      <c r="FV109" s="1445">
        <f>IF(FV111=0,0,(FV110*FV111+FV112*FV113*6)/FV111)</f>
        <v>0</v>
      </c>
      <c r="FW109" s="1003">
        <f>IF(FU109=0,0,(FV109-FU109)/FU109*100)</f>
        <v>0</v>
      </c>
      <c r="FX109" s="1214"/>
      <c r="FY109" s="1214"/>
      <c r="FZ109" s="964" t="s">
        <v>1635</v>
      </c>
      <c r="GA109" s="1216"/>
      <c r="GB109" s="1216"/>
      <c r="GC109" s="1215"/>
      <c r="GD109" s="1215"/>
    </row>
    <row r="110" spans="1:186" s="1334" customFormat="1" ht="14.25" hidden="1" customHeight="1" x14ac:dyDescent="0.15">
      <c r="A110" s="416"/>
      <c r="B110" s="837" t="b" cm="1">
        <f t="array" ref="B110">B109</f>
        <v>0</v>
      </c>
      <c r="C110" s="416"/>
      <c r="D110" s="416"/>
      <c r="E110" s="759">
        <v>15</v>
      </c>
      <c r="F110" s="3" t="str" cm="1">
        <f t="array" aca="1" ref="F110" ca="1">OFFSET(E110,-1,1)</f>
        <v>1</v>
      </c>
      <c r="G110" s="416"/>
      <c r="H110" s="416" t="s">
        <v>1533</v>
      </c>
      <c r="I110" s="416" t="s">
        <v>1591</v>
      </c>
      <c r="J110" s="416"/>
      <c r="K110" s="416"/>
      <c r="L110" s="416"/>
      <c r="M110" s="416"/>
      <c r="N110" s="416"/>
      <c r="O110" s="416"/>
      <c r="P110" s="416"/>
      <c r="Q110" s="416"/>
      <c r="R110" s="416"/>
      <c r="S110" s="416"/>
      <c r="T110" s="388" t="b" cm="1">
        <f t="array" aca="1" ref="T110" ca="1">T109</f>
        <v>1</v>
      </c>
      <c r="U110" s="416"/>
      <c r="V110" s="416"/>
      <c r="W110" s="416"/>
      <c r="X110" s="2066"/>
      <c r="Y110" s="416"/>
      <c r="Z110" s="2011"/>
      <c r="AA110" s="416"/>
      <c r="AB110" s="1001"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0" s="783" t="s">
        <v>1588</v>
      </c>
      <c r="AD110" s="1445"/>
      <c r="AE110" s="1445"/>
      <c r="AF110" s="1003">
        <f>IF(AD110=0,0,(AE110-AD110)/AD110*100)</f>
        <v>0</v>
      </c>
      <c r="AG110" s="1445"/>
      <c r="AH110" s="1445"/>
      <c r="AI110" s="1003">
        <f>IF(AG110=0,0,(AH110-AG110)/AG110*100)</f>
        <v>0</v>
      </c>
      <c r="AJ110" s="1445"/>
      <c r="AK110" s="1445"/>
      <c r="AL110" s="1003">
        <f>IF(AJ110=0,0,(AK110-AJ110)/AJ110*100)</f>
        <v>0</v>
      </c>
      <c r="AM110" s="1445"/>
      <c r="AN110" s="1445"/>
      <c r="AO110" s="1003">
        <f>IF(AM110=0,0,(AN110-AM110)/AM110*100)</f>
        <v>0</v>
      </c>
      <c r="AP110" s="1445"/>
      <c r="AQ110" s="1445"/>
      <c r="AR110" s="1003">
        <f>IF(AP110=0,0,(AQ110-AP110)/AP110*100)</f>
        <v>0</v>
      </c>
      <c r="AS110" s="1445"/>
      <c r="AT110" s="1445"/>
      <c r="AU110" s="1003">
        <f>IF(AS110=0,0,(AT110-AS110)/AS110*100)</f>
        <v>0</v>
      </c>
      <c r="AV110" s="1445"/>
      <c r="AW110" s="1445"/>
      <c r="AX110" s="1003">
        <f>IF(AV110=0,0,(AW110-AV110)/AV110*100)</f>
        <v>0</v>
      </c>
      <c r="AY110" s="1445"/>
      <c r="AZ110" s="1445"/>
      <c r="BA110" s="1003">
        <f>IF(AY110=0,0,(AZ110-AY110)/AY110*100)</f>
        <v>0</v>
      </c>
      <c r="BB110" s="1445"/>
      <c r="BC110" s="1445"/>
      <c r="BD110" s="1003">
        <f>IF(BB110=0,0,(BC110-BB110)/BB110*100)</f>
        <v>0</v>
      </c>
      <c r="BE110" s="1445"/>
      <c r="BF110" s="1445"/>
      <c r="BG110" s="1003">
        <f>IF(BE110=0,0,(BF110-BE110)/BE110*100)</f>
        <v>0</v>
      </c>
      <c r="BH110" s="1445"/>
      <c r="BI110" s="1445"/>
      <c r="BJ110" s="1003">
        <f>IF(BH110=0,0,(BI110-BH110)/BH110*100)</f>
        <v>0</v>
      </c>
      <c r="BK110" s="1445"/>
      <c r="BL110" s="1445"/>
      <c r="BM110" s="1003">
        <f>IF(BK110=0,0,(BL110-BK110)/BK110*100)</f>
        <v>0</v>
      </c>
      <c r="BN110" s="1445"/>
      <c r="BO110" s="1445"/>
      <c r="BP110" s="1003">
        <f>IF(BN110=0,0,(BO110-BN110)/BN110*100)</f>
        <v>0</v>
      </c>
      <c r="BQ110" s="1445"/>
      <c r="BR110" s="1445"/>
      <c r="BS110" s="1003">
        <f>IF(BQ110=0,0,(BR110-BQ110)/BQ110*100)</f>
        <v>0</v>
      </c>
      <c r="BT110" s="1445"/>
      <c r="BU110" s="1445"/>
      <c r="BV110" s="1003">
        <f>IF(BT110=0,0,(BU110-BT110)/BT110*100)</f>
        <v>0</v>
      </c>
      <c r="BW110" s="1445"/>
      <c r="BX110" s="1445"/>
      <c r="BY110" s="1003">
        <f>IF(BW110=0,0,(BX110-BW110)/BW110*100)</f>
        <v>0</v>
      </c>
      <c r="BZ110" s="1445"/>
      <c r="CA110" s="1445"/>
      <c r="CB110" s="1003">
        <f>IF(BZ110=0,0,(CA110-BZ110)/BZ110*100)</f>
        <v>0</v>
      </c>
      <c r="CC110" s="1445"/>
      <c r="CD110" s="1445"/>
      <c r="CE110" s="1003">
        <f>IF(CC110=0,0,(CD110-CC110)/CC110*100)</f>
        <v>0</v>
      </c>
      <c r="CF110" s="1445"/>
      <c r="CG110" s="1445"/>
      <c r="CH110" s="1003">
        <f>IF(CF110=0,0,(CG110-CF110)/CF110*100)</f>
        <v>0</v>
      </c>
      <c r="CI110" s="1445"/>
      <c r="CJ110" s="1445"/>
      <c r="CK110" s="1003">
        <f>IF(CI110=0,0,(CJ110-CI110)/CI110*100)</f>
        <v>0</v>
      </c>
      <c r="CL110" s="1445"/>
      <c r="CM110" s="1445"/>
      <c r="CN110" s="1003">
        <f>IF(CL110=0,0,(CM110-CL110)/CL110*100)</f>
        <v>0</v>
      </c>
      <c r="CO110" s="1445"/>
      <c r="CP110" s="1445"/>
      <c r="CQ110" s="1003">
        <f>IF(CO110=0,0,(CP110-CO110)/CO110*100)</f>
        <v>0</v>
      </c>
      <c r="CR110" s="1445"/>
      <c r="CS110" s="1445"/>
      <c r="CT110" s="1003">
        <f>IF(CR110=0,0,(CS110-CR110)/CR110*100)</f>
        <v>0</v>
      </c>
      <c r="CU110" s="1445"/>
      <c r="CV110" s="1445"/>
      <c r="CW110" s="1003">
        <f>IF(CU110=0,0,(CV110-CU110)/CU110*100)</f>
        <v>0</v>
      </c>
      <c r="CX110" s="1445"/>
      <c r="CY110" s="1445"/>
      <c r="CZ110" s="1003">
        <f>IF(CX110=0,0,(CY110-CX110)/CX110*100)</f>
        <v>0</v>
      </c>
      <c r="DA110" s="1445"/>
      <c r="DB110" s="1445"/>
      <c r="DC110" s="1003">
        <f>IF(DA110=0,0,(DB110-DA110)/DA110*100)</f>
        <v>0</v>
      </c>
      <c r="DD110" s="1445"/>
      <c r="DE110" s="1445"/>
      <c r="DF110" s="1003">
        <f>IF(DD110=0,0,(DE110-DD110)/DD110*100)</f>
        <v>0</v>
      </c>
      <c r="DG110" s="1445"/>
      <c r="DH110" s="1445"/>
      <c r="DI110" s="1003">
        <f>IF(DG110=0,0,(DH110-DG110)/DG110*100)</f>
        <v>0</v>
      </c>
      <c r="DJ110" s="1445"/>
      <c r="DK110" s="1445"/>
      <c r="DL110" s="1003">
        <f>IF(DJ110=0,0,(DK110-DJ110)/DJ110*100)</f>
        <v>0</v>
      </c>
      <c r="DM110" s="1445"/>
      <c r="DN110" s="1445"/>
      <c r="DO110" s="1003">
        <f>IF(DM110=0,0,(DN110-DM110)/DM110*100)</f>
        <v>0</v>
      </c>
      <c r="DP110" s="1445"/>
      <c r="DQ110" s="1445"/>
      <c r="DR110" s="1003">
        <f>IF(DP110=0,0,(DQ110-DP110)/DP110*100)</f>
        <v>0</v>
      </c>
      <c r="DS110" s="1445"/>
      <c r="DT110" s="1445"/>
      <c r="DU110" s="1003">
        <f>IF(DS110=0,0,(DT110-DS110)/DS110*100)</f>
        <v>0</v>
      </c>
      <c r="DV110" s="1445"/>
      <c r="DW110" s="1445"/>
      <c r="DX110" s="1003">
        <f>IF(DV110=0,0,(DW110-DV110)/DV110*100)</f>
        <v>0</v>
      </c>
      <c r="DY110" s="1445"/>
      <c r="DZ110" s="1445"/>
      <c r="EA110" s="1003">
        <f>IF(DY110=0,0,(DZ110-DY110)/DY110*100)</f>
        <v>0</v>
      </c>
      <c r="EB110" s="1445"/>
      <c r="EC110" s="1445"/>
      <c r="ED110" s="1003">
        <f>IF(EB110=0,0,(EC110-EB110)/EB110*100)</f>
        <v>0</v>
      </c>
      <c r="EE110" s="1445"/>
      <c r="EF110" s="1445"/>
      <c r="EG110" s="1003">
        <f>IF(EE110=0,0,(EF110-EE110)/EE110*100)</f>
        <v>0</v>
      </c>
      <c r="EH110" s="1445"/>
      <c r="EI110" s="1445"/>
      <c r="EJ110" s="1003">
        <f>IF(EH110=0,0,(EI110-EH110)/EH110*100)</f>
        <v>0</v>
      </c>
      <c r="EK110" s="1445"/>
      <c r="EL110" s="1445"/>
      <c r="EM110" s="1003">
        <f>IF(EK110=0,0,(EL110-EK110)/EK110*100)</f>
        <v>0</v>
      </c>
      <c r="EN110" s="1445"/>
      <c r="EO110" s="1445"/>
      <c r="EP110" s="1003">
        <f>IF(EN110=0,0,(EO110-EN110)/EN110*100)</f>
        <v>0</v>
      </c>
      <c r="EQ110" s="1445"/>
      <c r="ER110" s="1445"/>
      <c r="ES110" s="1003">
        <f>IF(EQ110=0,0,(ER110-EQ110)/EQ110*100)</f>
        <v>0</v>
      </c>
      <c r="ET110" s="1445"/>
      <c r="EU110" s="1445"/>
      <c r="EV110" s="1003">
        <f>IF(ET110=0,0,(EU110-ET110)/ET110*100)</f>
        <v>0</v>
      </c>
      <c r="EW110" s="1445"/>
      <c r="EX110" s="1445"/>
      <c r="EY110" s="1003">
        <f>IF(EW110=0,0,(EX110-EW110)/EW110*100)</f>
        <v>0</v>
      </c>
      <c r="EZ110" s="1445"/>
      <c r="FA110" s="1445"/>
      <c r="FB110" s="1003">
        <f>IF(EZ110=0,0,(FA110-EZ110)/EZ110*100)</f>
        <v>0</v>
      </c>
      <c r="FC110" s="1445"/>
      <c r="FD110" s="1445"/>
      <c r="FE110" s="1003">
        <f>IF(FC110=0,0,(FD110-FC110)/FC110*100)</f>
        <v>0</v>
      </c>
      <c r="FF110" s="1445"/>
      <c r="FG110" s="1445"/>
      <c r="FH110" s="1003">
        <f>IF(FF110=0,0,(FG110-FF110)/FF110*100)</f>
        <v>0</v>
      </c>
      <c r="FI110" s="1445"/>
      <c r="FJ110" s="1445"/>
      <c r="FK110" s="1003">
        <f>IF(FI110=0,0,(FJ110-FI110)/FI110*100)</f>
        <v>0</v>
      </c>
      <c r="FL110" s="1445"/>
      <c r="FM110" s="1445"/>
      <c r="FN110" s="1003">
        <f>IF(FL110=0,0,(FM110-FL110)/FL110*100)</f>
        <v>0</v>
      </c>
      <c r="FO110" s="1445"/>
      <c r="FP110" s="1445"/>
      <c r="FQ110" s="1003">
        <f>IF(FO110=0,0,(FP110-FO110)/FO110*100)</f>
        <v>0</v>
      </c>
      <c r="FR110" s="1445"/>
      <c r="FS110" s="1445"/>
      <c r="FT110" s="1003">
        <f>IF(FR110=0,0,(FS110-FR110)/FR110*100)</f>
        <v>0</v>
      </c>
      <c r="FU110" s="1445"/>
      <c r="FV110" s="1445"/>
      <c r="FW110" s="1003">
        <f>IF(FU110=0,0,(FV110-FU110)/FU110*100)</f>
        <v>0</v>
      </c>
      <c r="FX110" s="1214"/>
      <c r="FY110" s="1214"/>
      <c r="FZ110" s="964" t="s">
        <v>1636</v>
      </c>
      <c r="GA110" s="1216"/>
      <c r="GB110" s="1216"/>
      <c r="GC110" s="1215"/>
      <c r="GD110" s="1215"/>
    </row>
    <row r="111" spans="1:186" s="1334" customFormat="1" ht="14.25" hidden="1" customHeight="1" x14ac:dyDescent="0.15">
      <c r="A111" s="416"/>
      <c r="B111" s="837" t="b" cm="1">
        <f t="array" ref="B111">B110</f>
        <v>0</v>
      </c>
      <c r="C111" s="416"/>
      <c r="D111" s="416"/>
      <c r="E111" s="759">
        <v>15</v>
      </c>
      <c r="F111" s="3" t="str" cm="1">
        <f t="array" aca="1" ref="F111" ca="1">OFFSET(E111,-1,1)</f>
        <v>1</v>
      </c>
      <c r="G111" s="26" t="s">
        <v>1637</v>
      </c>
      <c r="H111" s="416" t="s">
        <v>1625</v>
      </c>
      <c r="I111" s="416" t="s">
        <v>1591</v>
      </c>
      <c r="J111" s="416"/>
      <c r="K111" s="416"/>
      <c r="L111" s="416"/>
      <c r="M111" s="416"/>
      <c r="N111" s="416"/>
      <c r="O111" s="416"/>
      <c r="P111" s="416"/>
      <c r="Q111" s="416"/>
      <c r="R111" s="416"/>
      <c r="S111" s="416"/>
      <c r="T111" s="388" t="b" cm="1">
        <f t="array" aca="1" ref="T111" ca="1">T110</f>
        <v>1</v>
      </c>
      <c r="U111" s="416"/>
      <c r="V111" s="416"/>
      <c r="W111" s="416"/>
      <c r="X111" s="2066"/>
      <c r="Y111" s="416"/>
      <c r="Z111" s="2011"/>
      <c r="AA111" s="416"/>
      <c r="AB111" s="1001" t="str">
        <f>"объём "&amp;IF(Q85="Водоснабжение","потребления холодной воды","водоотведения")</f>
        <v>объём потребления холодной воды</v>
      </c>
      <c r="AC111" s="783" t="s">
        <v>563</v>
      </c>
      <c r="AD111" s="1443">
        <f ca="1">IF(AND(method_reg="Метод индексации",god&lt;&gt;first_year),SUMIFS(INDEX('Калькуляция (МИ корр)'!$AJ$25:$BC$459,,MATCH(AD$8,'Калькуляция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(МИ)'!$AJ$25:$BC$459,,MATCH(AD$8,'Калькуляция (МИ)'!$AJ$8:$BC$8,0)),'Калькуляция (МИ)'!$F$25:$F$459,$F111,'Калькуляция (МИ)'!$G$25:$G$459,$G111))))</f>
        <v>2080.1518950000004</v>
      </c>
      <c r="AE111" s="1443">
        <f ca="1">IF(AND(method_reg="Метод индексации",god&lt;&gt;first_year),SUMIFS(INDEX('Калькуляция (МИ корр)'!$AJ$25:$BC$459,,MATCH(AE$8,'Калькуляция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(МИ)'!$AJ$25:$BC$459,,MATCH(AE$8,'Калькуляция (МИ)'!$AJ$8:$BC$8,0)),'Калькуляция (МИ)'!$F$25:$F$459,$F111,'Калькуляция (МИ)'!$G$25:$G$459,$G111))))</f>
        <v>2073.7544273333006</v>
      </c>
      <c r="AF111" s="1005">
        <f ca="1">IF(AD111=0,0,(AE111-AD111)/AD111*100)</f>
        <v>-0.30754810175532238</v>
      </c>
      <c r="AG111" s="1443">
        <f ca="1">IF(AND(method_reg="Метод индексации",god&lt;&gt;first_year),SUMIFS(INDEX('Калькуляция (МИ корр)'!$AJ$25:$BC$459,,MATCH(AG$8,'Калькуляция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(МИ)'!$AJ$25:$BC$459,,MATCH(AG$8,'Калькуляция (МИ)'!$AJ$8:$BC$8,0)),'Калькуляция (МИ)'!$F$25:$F$459,$F111,'Калькуляция (МИ)'!$G$25:$G$459,$G111))))</f>
        <v>2253.966105</v>
      </c>
      <c r="AH111" s="1443">
        <f ca="1">IF(AND(method_reg="Метод индексации",god&lt;&gt;first_year),SUMIFS(INDEX('Калькуляция (МИ корр)'!$AJ$25:$BC$459,,MATCH(AH$8,'Калькуляция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(МИ)'!$AJ$25:$BC$459,,MATCH(AH$8,'Калькуляция (МИ)'!$AJ$8:$BC$8,0)),'Калькуляция (МИ)'!$F$25:$F$459,$F111,'Калькуляция (МИ)'!$G$25:$G$459,$G111))))</f>
        <v>2263.1258826666999</v>
      </c>
      <c r="AI111" s="1005">
        <f ca="1">IF(AG111=0,0,(AH111-AG111)/AG111*100)</f>
        <v>0.40638488956780194</v>
      </c>
      <c r="AJ111" s="1443">
        <f ca="1">IF(AND(method_reg="Метод индексации",god&lt;&gt;first_year),SUMIFS(INDEX('Калькуляция (МИ корр)'!$AJ$25:$BC$459,,MATCH(AJ$8,'Калькуляция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(МИ)'!$AJ$25:$BC$459,,MATCH(AJ$8,'Калькуляция (МИ)'!$AJ$8:$BC$8,0)),'Калькуляция (МИ)'!$F$25:$F$459,$F111,'Калькуляция (МИ)'!$G$25:$G$459,$G111))))</f>
        <v>2253.966105</v>
      </c>
      <c r="AK111" s="1443">
        <f ca="1">IF(AND(method_reg="Метод индексации",god&lt;&gt;first_year),SUMIFS(INDEX('Калькуляция (МИ корр)'!$AJ$25:$BC$459,,MATCH(AK$8,'Калькуляция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(МИ)'!$AJ$25:$BC$459,,MATCH(AK$8,'Калькуляция (МИ)'!$AJ$8:$BC$8,0)),'Калькуляция (МИ)'!$F$25:$F$459,$F111,'Калькуляция (МИ)'!$G$25:$G$459,$G111))))</f>
        <v>2263.1258826666999</v>
      </c>
      <c r="AL111" s="1005">
        <f ca="1">IF(AJ111=0,0,(AK111-AJ111)/AJ111*100)</f>
        <v>0.40638488956780194</v>
      </c>
      <c r="AM111" s="1443">
        <f ca="1">IF(AND(method_reg="Метод индексации",god&lt;&gt;first_year),SUMIFS(INDEX('Калькуляция (МИ корр)'!$AJ$25:$BC$459,,MATCH(AM$8,'Калькуляция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(МИ)'!$AJ$25:$BC$459,,MATCH(AM$8,'Калькуляция (МИ)'!$AJ$8:$BC$8,0)),'Калькуляция (МИ)'!$F$25:$F$459,$F111,'Калькуляция (МИ)'!$G$25:$G$459,$G111))))</f>
        <v>2253.966105</v>
      </c>
      <c r="AN111" s="1443">
        <f ca="1">IF(AND(method_reg="Метод индексации",god&lt;&gt;first_year),SUMIFS(INDEX('Калькуляция (МИ корр)'!$AJ$25:$BC$459,,MATCH(AN$8,'Калькуляция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(МИ)'!$AJ$25:$BC$459,,MATCH(AN$8,'Калькуляция (МИ)'!$AJ$8:$BC$8,0)),'Калькуляция (МИ)'!$F$25:$F$459,$F111,'Калькуляция (МИ)'!$G$25:$G$459,$G111))))</f>
        <v>2263.1258826666999</v>
      </c>
      <c r="AO111" s="1005">
        <f ca="1">IF(AM111=0,0,(AN111-AM111)/AM111*100)</f>
        <v>0.40638488956780194</v>
      </c>
      <c r="AP111" s="1443">
        <f ca="1">IF(AND(method_reg="Метод индексации",god&lt;&gt;first_year),SUMIFS(INDEX('Калькуляция (МИ корр)'!$AJ$25:$BC$459,,MATCH(AP$8,'Калькуляция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(МИ)'!$AJ$25:$BC$459,,MATCH(AP$8,'Калькуляция (МИ)'!$AJ$8:$BC$8,0)),'Калькуляция (МИ)'!$F$25:$F$459,$F111,'Калькуляция (МИ)'!$G$25:$G$459,$G111))))</f>
        <v>2253.966105</v>
      </c>
      <c r="AQ111" s="1443">
        <f ca="1">IF(AND(method_reg="Метод индексации",god&lt;&gt;first_year),SUMIFS(INDEX('Калькуляция (МИ корр)'!$AJ$25:$BC$459,,MATCH(AQ$8,'Калькуляция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(МИ)'!$AJ$25:$BC$459,,MATCH(AQ$8,'Калькуляция (МИ)'!$AJ$8:$BC$8,0)),'Калькуляция (МИ)'!$F$25:$F$459,$F111,'Калькуляция (МИ)'!$G$25:$G$459,$G111))))</f>
        <v>2263.1258826666999</v>
      </c>
      <c r="AR111" s="1005">
        <f ca="1">IF(AP111=0,0,(AQ111-AP111)/AP111*100)</f>
        <v>0.40638488956780194</v>
      </c>
      <c r="AS111" s="1443">
        <f ca="1">IF(AND(method_reg="Метод индексации",god&lt;&gt;first_year),SUMIFS(INDEX('Калькуляция (МИ корр)'!$AJ$25:$BC$459,,MATCH(AS$8,'Калькуляция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(МИ)'!$AJ$25:$BC$459,,MATCH(AS$8,'Калькуляция (МИ)'!$AJ$8:$BC$8,0)),'Калькуляция (МИ)'!$F$25:$F$459,$F111,'Калькуляция (МИ)'!$G$25:$G$459,$G111))))</f>
        <v>2253.966105</v>
      </c>
      <c r="AT111" s="1443">
        <f ca="1">IF(AND(method_reg="Метод индексации",god&lt;&gt;first_year),SUMIFS(INDEX('Калькуляция (МИ корр)'!$AJ$25:$BC$459,,MATCH(AT$8,'Калькуляция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(МИ)'!$AJ$25:$BC$459,,MATCH(AT$8,'Калькуляция (МИ)'!$AJ$8:$BC$8,0)),'Калькуляция (МИ)'!$F$25:$F$459,$F111,'Калькуляция (МИ)'!$G$25:$G$459,$G111))))</f>
        <v>2263.1258826666999</v>
      </c>
      <c r="AU111" s="1005">
        <f ca="1">IF(AS111=0,0,(AT111-AS111)/AS111*100)</f>
        <v>0.40638488956780194</v>
      </c>
      <c r="AV111" s="1443">
        <f ca="1">IF(AND(method_reg="Метод индексации",god&lt;&gt;first_year),SUMIFS(INDEX('Калькуляция (МИ корр)'!$AJ$25:$BC$459,,MATCH(AV$8,'Калькуляция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(МИ)'!$AJ$25:$BC$459,,MATCH(AV$8,'Калькуляция (МИ)'!$AJ$8:$BC$8,0)),'Калькуляция (МИ)'!$F$25:$F$459,$F111,'Калькуляция (МИ)'!$G$25:$G$459,$G111))))</f>
        <v>2253.966105</v>
      </c>
      <c r="AW111" s="1443">
        <f ca="1">IF(AND(method_reg="Метод индексации",god&lt;&gt;first_year),SUMIFS(INDEX('Калькуляция (МИ корр)'!$AJ$25:$BC$459,,MATCH(AW$8,'Калькуляция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(МИ)'!$AJ$25:$BC$459,,MATCH(AW$8,'Калькуляция (МИ)'!$AJ$8:$BC$8,0)),'Калькуляция (МИ)'!$F$25:$F$459,$F111,'Калькуляция (МИ)'!$G$25:$G$459,$G111))))</f>
        <v>2263.1258826666999</v>
      </c>
      <c r="AX111" s="1005">
        <f ca="1">IF(AV111=0,0,(AW111-AV111)/AV111*100)</f>
        <v>0.40638488956780194</v>
      </c>
      <c r="AY111" s="1443">
        <f ca="1">IF(AND(method_reg="Метод индексации",god&lt;&gt;first_year),SUMIFS(INDEX('Калькуляция (МИ корр)'!$AJ$25:$BC$459,,MATCH(AY$8,'Калькуляция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(МИ)'!$AJ$25:$BC$459,,MATCH(AY$8,'Калькуляция (МИ)'!$AJ$8:$BC$8,0)),'Калькуляция (МИ)'!$F$25:$F$459,$F111,'Калькуляция (МИ)'!$G$25:$G$459,$G111))))</f>
        <v>0</v>
      </c>
      <c r="AZ111" s="1443">
        <f ca="1">IF(AND(method_reg="Метод индексации",god&lt;&gt;first_year),SUMIFS(INDEX('Калькуляция (МИ корр)'!$AJ$25:$BC$459,,MATCH(AZ$8,'Калькуляция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(МИ)'!$AJ$25:$BC$459,,MATCH(AZ$8,'Калькуляция (МИ)'!$AJ$8:$BC$8,0)),'Калькуляция (МИ)'!$F$25:$F$459,$F111,'Калькуляция (МИ)'!$G$25:$G$459,$G111))))</f>
        <v>0</v>
      </c>
      <c r="BA111" s="1005">
        <f ca="1">IF(AY111=0,0,(AZ111-AY111)/AY111*100)</f>
        <v>0</v>
      </c>
      <c r="BB111" s="1443">
        <f ca="1">IF(AND(method_reg="Метод индексации",god&lt;&gt;first_year),SUMIFS(INDEX('Калькуляция (МИ корр)'!$AJ$25:$BC$459,,MATCH(BB$8,'Калькуляция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(МИ)'!$AJ$25:$BC$459,,MATCH(BB$8,'Калькуляция (МИ)'!$AJ$8:$BC$8,0)),'Калькуляция (МИ)'!$F$25:$F$459,$F111,'Калькуляция (МИ)'!$G$25:$G$459,$G111))))</f>
        <v>0</v>
      </c>
      <c r="BC111" s="1443">
        <f ca="1">IF(AND(method_reg="Метод индексации",god&lt;&gt;first_year),SUMIFS(INDEX('Калькуляция (МИ корр)'!$AJ$25:$BC$459,,MATCH(BC$8,'Калькуляция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(МИ)'!$AJ$25:$BC$459,,MATCH(BC$8,'Калькуляция (МИ)'!$AJ$8:$BC$8,0)),'Калькуляция (МИ)'!$F$25:$F$459,$F111,'Калькуляция (МИ)'!$G$25:$G$459,$G111))))</f>
        <v>0</v>
      </c>
      <c r="BD111" s="1005">
        <f ca="1">IF(BB111=0,0,(BC111-BB111)/BB111*100)</f>
        <v>0</v>
      </c>
      <c r="BE111" s="1443">
        <f ca="1">IF(AND(method_reg="Метод индексации",god&lt;&gt;first_year),SUMIFS(INDEX('Калькуляция (МИ корр)'!$AJ$25:$BC$459,,MATCH(BE$8,'Калькуляция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(МИ)'!$AJ$25:$BC$459,,MATCH(BE$8,'Калькуляция (МИ)'!$AJ$8:$BC$8,0)),'Калькуляция (МИ)'!$F$25:$F$459,$F111,'Калькуляция (МИ)'!$G$25:$G$459,$G111))))</f>
        <v>0</v>
      </c>
      <c r="BF111" s="1443">
        <f ca="1">IF(AND(method_reg="Метод индексации",god&lt;&gt;first_year),SUMIFS(INDEX('Калькуляция (МИ корр)'!$AJ$25:$BC$459,,MATCH(BF$8,'Калькуляция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(МИ)'!$AJ$25:$BC$459,,MATCH(BF$8,'Калькуляция (МИ)'!$AJ$8:$BC$8,0)),'Калькуляция (МИ)'!$F$25:$F$459,$F111,'Калькуляция (МИ)'!$G$25:$G$459,$G111))))</f>
        <v>0</v>
      </c>
      <c r="BG111" s="1012">
        <f ca="1">IF(BE111=0,0,(BF111-BE111)/BE111*100)</f>
        <v>0</v>
      </c>
      <c r="BH111" s="1443"/>
      <c r="BI111" s="1443"/>
      <c r="BJ111" s="1012">
        <f>IF(BH111=0,0,(BI111-BH111)/BH111*100)</f>
        <v>0</v>
      </c>
      <c r="BK111" s="1443"/>
      <c r="BL111" s="1443"/>
      <c r="BM111" s="1012">
        <f>IF(BK111=0,0,(BL111-BK111)/BK111*100)</f>
        <v>0</v>
      </c>
      <c r="BN111" s="1443"/>
      <c r="BO111" s="1443"/>
      <c r="BP111" s="1012">
        <f>IF(BN111=0,0,(BO111-BN111)/BN111*100)</f>
        <v>0</v>
      </c>
      <c r="BQ111" s="1443"/>
      <c r="BR111" s="1443"/>
      <c r="BS111" s="1012">
        <f>IF(BQ111=0,0,(BR111-BQ111)/BQ111*100)</f>
        <v>0</v>
      </c>
      <c r="BT111" s="1443"/>
      <c r="BU111" s="1443"/>
      <c r="BV111" s="1012">
        <f>IF(BT111=0,0,(BU111-BT111)/BT111*100)</f>
        <v>0</v>
      </c>
      <c r="BW111" s="1443"/>
      <c r="BX111" s="1443"/>
      <c r="BY111" s="1012">
        <f>IF(BW111=0,0,(BX111-BW111)/BW111*100)</f>
        <v>0</v>
      </c>
      <c r="BZ111" s="1443"/>
      <c r="CA111" s="1443"/>
      <c r="CB111" s="1012">
        <f>IF(BZ111=0,0,(CA111-BZ111)/BZ111*100)</f>
        <v>0</v>
      </c>
      <c r="CC111" s="1443"/>
      <c r="CD111" s="1443"/>
      <c r="CE111" s="1012">
        <f>IF(CC111=0,0,(CD111-CC111)/CC111*100)</f>
        <v>0</v>
      </c>
      <c r="CF111" s="1443"/>
      <c r="CG111" s="1443"/>
      <c r="CH111" s="1012">
        <f>IF(CF111=0,0,(CG111-CF111)/CF111*100)</f>
        <v>0</v>
      </c>
      <c r="CI111" s="1443"/>
      <c r="CJ111" s="1443"/>
      <c r="CK111" s="1012">
        <f>IF(CI111=0,0,(CJ111-CI111)/CI111*100)</f>
        <v>0</v>
      </c>
      <c r="CL111" s="1443"/>
      <c r="CM111" s="1443"/>
      <c r="CN111" s="1012">
        <f>IF(CL111=0,0,(CM111-CL111)/CL111*100)</f>
        <v>0</v>
      </c>
      <c r="CO111" s="1443"/>
      <c r="CP111" s="1443"/>
      <c r="CQ111" s="1012">
        <f>IF(CO111=0,0,(CP111-CO111)/CO111*100)</f>
        <v>0</v>
      </c>
      <c r="CR111" s="1443"/>
      <c r="CS111" s="1443"/>
      <c r="CT111" s="1012">
        <f>IF(CR111=0,0,(CS111-CR111)/CR111*100)</f>
        <v>0</v>
      </c>
      <c r="CU111" s="1443"/>
      <c r="CV111" s="1443"/>
      <c r="CW111" s="1012">
        <f>IF(CU111=0,0,(CV111-CU111)/CU111*100)</f>
        <v>0</v>
      </c>
      <c r="CX111" s="1443"/>
      <c r="CY111" s="1443"/>
      <c r="CZ111" s="1012">
        <f>IF(CX111=0,0,(CY111-CX111)/CX111*100)</f>
        <v>0</v>
      </c>
      <c r="DA111" s="1443"/>
      <c r="DB111" s="1443"/>
      <c r="DC111" s="1012">
        <f>IF(DA111=0,0,(DB111-DA111)/DA111*100)</f>
        <v>0</v>
      </c>
      <c r="DD111" s="1443"/>
      <c r="DE111" s="1443"/>
      <c r="DF111" s="1012">
        <f>IF(DD111=0,0,(DE111-DD111)/DD111*100)</f>
        <v>0</v>
      </c>
      <c r="DG111" s="1443"/>
      <c r="DH111" s="1443"/>
      <c r="DI111" s="1012">
        <f>IF(DG111=0,0,(DH111-DG111)/DG111*100)</f>
        <v>0</v>
      </c>
      <c r="DJ111" s="1443"/>
      <c r="DK111" s="1443"/>
      <c r="DL111" s="1012">
        <f>IF(DJ111=0,0,(DK111-DJ111)/DJ111*100)</f>
        <v>0</v>
      </c>
      <c r="DM111" s="1443"/>
      <c r="DN111" s="1443"/>
      <c r="DO111" s="1012">
        <f>IF(DM111=0,0,(DN111-DM111)/DM111*100)</f>
        <v>0</v>
      </c>
      <c r="DP111" s="1443"/>
      <c r="DQ111" s="1443"/>
      <c r="DR111" s="1012">
        <f>IF(DP111=0,0,(DQ111-DP111)/DP111*100)</f>
        <v>0</v>
      </c>
      <c r="DS111" s="1443"/>
      <c r="DT111" s="1443"/>
      <c r="DU111" s="1012">
        <f>IF(DS111=0,0,(DT111-DS111)/DS111*100)</f>
        <v>0</v>
      </c>
      <c r="DV111" s="1443"/>
      <c r="DW111" s="1443"/>
      <c r="DX111" s="1012">
        <f>IF(DV111=0,0,(DW111-DV111)/DV111*100)</f>
        <v>0</v>
      </c>
      <c r="DY111" s="1443"/>
      <c r="DZ111" s="1443"/>
      <c r="EA111" s="1012">
        <f>IF(DY111=0,0,(DZ111-DY111)/DY111*100)</f>
        <v>0</v>
      </c>
      <c r="EB111" s="1443"/>
      <c r="EC111" s="1443"/>
      <c r="ED111" s="1012">
        <f>IF(EB111=0,0,(EC111-EB111)/EB111*100)</f>
        <v>0</v>
      </c>
      <c r="EE111" s="1443"/>
      <c r="EF111" s="1443"/>
      <c r="EG111" s="1012">
        <f>IF(EE111=0,0,(EF111-EE111)/EE111*100)</f>
        <v>0</v>
      </c>
      <c r="EH111" s="1443"/>
      <c r="EI111" s="1443"/>
      <c r="EJ111" s="1012">
        <f>IF(EH111=0,0,(EI111-EH111)/EH111*100)</f>
        <v>0</v>
      </c>
      <c r="EK111" s="1443"/>
      <c r="EL111" s="1443"/>
      <c r="EM111" s="1012">
        <f>IF(EK111=0,0,(EL111-EK111)/EK111*100)</f>
        <v>0</v>
      </c>
      <c r="EN111" s="1443"/>
      <c r="EO111" s="1443"/>
      <c r="EP111" s="1012">
        <f>IF(EN111=0,0,(EO111-EN111)/EN111*100)</f>
        <v>0</v>
      </c>
      <c r="EQ111" s="1443"/>
      <c r="ER111" s="1443"/>
      <c r="ES111" s="1012">
        <f>IF(EQ111=0,0,(ER111-EQ111)/EQ111*100)</f>
        <v>0</v>
      </c>
      <c r="ET111" s="1443"/>
      <c r="EU111" s="1443"/>
      <c r="EV111" s="1012">
        <f>IF(ET111=0,0,(EU111-ET111)/ET111*100)</f>
        <v>0</v>
      </c>
      <c r="EW111" s="1443"/>
      <c r="EX111" s="1443"/>
      <c r="EY111" s="1012">
        <f>IF(EW111=0,0,(EX111-EW111)/EW111*100)</f>
        <v>0</v>
      </c>
      <c r="EZ111" s="1443"/>
      <c r="FA111" s="1443"/>
      <c r="FB111" s="1012">
        <f>IF(EZ111=0,0,(FA111-EZ111)/EZ111*100)</f>
        <v>0</v>
      </c>
      <c r="FC111" s="1443"/>
      <c r="FD111" s="1443"/>
      <c r="FE111" s="1012">
        <f>IF(FC111=0,0,(FD111-FC111)/FC111*100)</f>
        <v>0</v>
      </c>
      <c r="FF111" s="1443"/>
      <c r="FG111" s="1443"/>
      <c r="FH111" s="1012">
        <f>IF(FF111=0,0,(FG111-FF111)/FF111*100)</f>
        <v>0</v>
      </c>
      <c r="FI111" s="1443"/>
      <c r="FJ111" s="1443"/>
      <c r="FK111" s="1012">
        <f>IF(FI111=0,0,(FJ111-FI111)/FI111*100)</f>
        <v>0</v>
      </c>
      <c r="FL111" s="1443"/>
      <c r="FM111" s="1443"/>
      <c r="FN111" s="1012">
        <f>IF(FL111=0,0,(FM111-FL111)/FL111*100)</f>
        <v>0</v>
      </c>
      <c r="FO111" s="1443"/>
      <c r="FP111" s="1443"/>
      <c r="FQ111" s="1012">
        <f>IF(FO111=0,0,(FP111-FO111)/FO111*100)</f>
        <v>0</v>
      </c>
      <c r="FR111" s="1443"/>
      <c r="FS111" s="1443"/>
      <c r="FT111" s="1012">
        <f>IF(FR111=0,0,(FS111-FR111)/FR111*100)</f>
        <v>0</v>
      </c>
      <c r="FU111" s="1443"/>
      <c r="FV111" s="1443"/>
      <c r="FW111" s="1012">
        <f>IF(FU111=0,0,(FV111-FU111)/FU111*100)</f>
        <v>0</v>
      </c>
      <c r="FX111" s="1214"/>
      <c r="FY111" s="1214"/>
      <c r="FZ111" s="964" t="s">
        <v>1638</v>
      </c>
      <c r="GA111" s="1216"/>
      <c r="GB111" s="1216"/>
      <c r="GC111" s="1215"/>
      <c r="GD111" s="1215"/>
    </row>
    <row r="112" spans="1:186" s="1334" customFormat="1" ht="21.75" hidden="1" customHeight="1" x14ac:dyDescent="0.15">
      <c r="A112" s="416"/>
      <c r="B112" s="837" t="b" cm="1">
        <f t="array" ref="B112">B111</f>
        <v>0</v>
      </c>
      <c r="C112" s="416"/>
      <c r="D112" s="416"/>
      <c r="E112" s="759">
        <v>22.5</v>
      </c>
      <c r="F112" s="3" t="str" cm="1">
        <f t="array" aca="1" ref="F112" ca="1">OFFSET(E112,-1,1)</f>
        <v>1</v>
      </c>
      <c r="G112" s="416"/>
      <c r="H112" s="416" t="s">
        <v>1627</v>
      </c>
      <c r="I112" s="416" t="s">
        <v>1591</v>
      </c>
      <c r="J112" s="416"/>
      <c r="K112" s="416"/>
      <c r="L112" s="416"/>
      <c r="M112" s="416"/>
      <c r="N112" s="416"/>
      <c r="O112" s="416"/>
      <c r="P112" s="416"/>
      <c r="Q112" s="416"/>
      <c r="R112" s="416"/>
      <c r="S112" s="416"/>
      <c r="T112" s="388" t="b" cm="1">
        <f t="array" aca="1" ref="T112" ca="1">T111</f>
        <v>1</v>
      </c>
      <c r="U112" s="416"/>
      <c r="V112" s="416"/>
      <c r="W112" s="416"/>
      <c r="X112" s="2066"/>
      <c r="Y112" s="416"/>
      <c r="Z112" s="2011"/>
      <c r="AA112" s="416"/>
      <c r="AB112" s="1001"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2" s="783" t="s">
        <v>1628</v>
      </c>
      <c r="AD112" s="1445"/>
      <c r="AE112" s="1445"/>
      <c r="AF112" s="1003">
        <f>IF(AD112=0,0,(AE112-AD112)/AD112*100)</f>
        <v>0</v>
      </c>
      <c r="AG112" s="1445"/>
      <c r="AH112" s="1445"/>
      <c r="AI112" s="1003">
        <f>IF(AG112=0,0,(AH112-AG112)/AG112*100)</f>
        <v>0</v>
      </c>
      <c r="AJ112" s="1445"/>
      <c r="AK112" s="1445"/>
      <c r="AL112" s="1003">
        <f>IF(AJ112=0,0,(AK112-AJ112)/AJ112*100)</f>
        <v>0</v>
      </c>
      <c r="AM112" s="1445"/>
      <c r="AN112" s="1445"/>
      <c r="AO112" s="1003">
        <f>IF(AM112=0,0,(AN112-AM112)/AM112*100)</f>
        <v>0</v>
      </c>
      <c r="AP112" s="1445"/>
      <c r="AQ112" s="1445"/>
      <c r="AR112" s="1003">
        <f>IF(AP112=0,0,(AQ112-AP112)/AP112*100)</f>
        <v>0</v>
      </c>
      <c r="AS112" s="1445"/>
      <c r="AT112" s="1445"/>
      <c r="AU112" s="1003">
        <f>IF(AS112=0,0,(AT112-AS112)/AS112*100)</f>
        <v>0</v>
      </c>
      <c r="AV112" s="1445"/>
      <c r="AW112" s="1445"/>
      <c r="AX112" s="1003">
        <f>IF(AV112=0,0,(AW112-AV112)/AV112*100)</f>
        <v>0</v>
      </c>
      <c r="AY112" s="1445"/>
      <c r="AZ112" s="1445"/>
      <c r="BA112" s="1003">
        <f>IF(AY112=0,0,(AZ112-AY112)/AY112*100)</f>
        <v>0</v>
      </c>
      <c r="BB112" s="1445"/>
      <c r="BC112" s="1445"/>
      <c r="BD112" s="1003">
        <f>IF(BB112=0,0,(BC112-BB112)/BB112*100)</f>
        <v>0</v>
      </c>
      <c r="BE112" s="1445"/>
      <c r="BF112" s="1445"/>
      <c r="BG112" s="1003">
        <f>IF(BE112=0,0,(BF112-BE112)/BE112*100)</f>
        <v>0</v>
      </c>
      <c r="BH112" s="1445"/>
      <c r="BI112" s="1445"/>
      <c r="BJ112" s="1003">
        <f>IF(BH112=0,0,(BI112-BH112)/BH112*100)</f>
        <v>0</v>
      </c>
      <c r="BK112" s="1445"/>
      <c r="BL112" s="1445"/>
      <c r="BM112" s="1003">
        <f>IF(BK112=0,0,(BL112-BK112)/BK112*100)</f>
        <v>0</v>
      </c>
      <c r="BN112" s="1445"/>
      <c r="BO112" s="1445"/>
      <c r="BP112" s="1003">
        <f>IF(BN112=0,0,(BO112-BN112)/BN112*100)</f>
        <v>0</v>
      </c>
      <c r="BQ112" s="1445"/>
      <c r="BR112" s="1445"/>
      <c r="BS112" s="1003">
        <f>IF(BQ112=0,0,(BR112-BQ112)/BQ112*100)</f>
        <v>0</v>
      </c>
      <c r="BT112" s="1445"/>
      <c r="BU112" s="1445"/>
      <c r="BV112" s="1003">
        <f>IF(BT112=0,0,(BU112-BT112)/BT112*100)</f>
        <v>0</v>
      </c>
      <c r="BW112" s="1445"/>
      <c r="BX112" s="1445"/>
      <c r="BY112" s="1003">
        <f>IF(BW112=0,0,(BX112-BW112)/BW112*100)</f>
        <v>0</v>
      </c>
      <c r="BZ112" s="1445"/>
      <c r="CA112" s="1445"/>
      <c r="CB112" s="1003">
        <f>IF(BZ112=0,0,(CA112-BZ112)/BZ112*100)</f>
        <v>0</v>
      </c>
      <c r="CC112" s="1445"/>
      <c r="CD112" s="1445"/>
      <c r="CE112" s="1003">
        <f>IF(CC112=0,0,(CD112-CC112)/CC112*100)</f>
        <v>0</v>
      </c>
      <c r="CF112" s="1445"/>
      <c r="CG112" s="1445"/>
      <c r="CH112" s="1003">
        <f>IF(CF112=0,0,(CG112-CF112)/CF112*100)</f>
        <v>0</v>
      </c>
      <c r="CI112" s="1445"/>
      <c r="CJ112" s="1445"/>
      <c r="CK112" s="1003">
        <f>IF(CI112=0,0,(CJ112-CI112)/CI112*100)</f>
        <v>0</v>
      </c>
      <c r="CL112" s="1445"/>
      <c r="CM112" s="1445"/>
      <c r="CN112" s="1003">
        <f>IF(CL112=0,0,(CM112-CL112)/CL112*100)</f>
        <v>0</v>
      </c>
      <c r="CO112" s="1445"/>
      <c r="CP112" s="1445"/>
      <c r="CQ112" s="1003">
        <f>IF(CO112=0,0,(CP112-CO112)/CO112*100)</f>
        <v>0</v>
      </c>
      <c r="CR112" s="1445"/>
      <c r="CS112" s="1445"/>
      <c r="CT112" s="1003">
        <f>IF(CR112=0,0,(CS112-CR112)/CR112*100)</f>
        <v>0</v>
      </c>
      <c r="CU112" s="1445"/>
      <c r="CV112" s="1445"/>
      <c r="CW112" s="1003">
        <f>IF(CU112=0,0,(CV112-CU112)/CU112*100)</f>
        <v>0</v>
      </c>
      <c r="CX112" s="1445"/>
      <c r="CY112" s="1445"/>
      <c r="CZ112" s="1003">
        <f>IF(CX112=0,0,(CY112-CX112)/CX112*100)</f>
        <v>0</v>
      </c>
      <c r="DA112" s="1445"/>
      <c r="DB112" s="1445"/>
      <c r="DC112" s="1003">
        <f>IF(DA112=0,0,(DB112-DA112)/DA112*100)</f>
        <v>0</v>
      </c>
      <c r="DD112" s="1445"/>
      <c r="DE112" s="1445"/>
      <c r="DF112" s="1003">
        <f>IF(DD112=0,0,(DE112-DD112)/DD112*100)</f>
        <v>0</v>
      </c>
      <c r="DG112" s="1445"/>
      <c r="DH112" s="1445"/>
      <c r="DI112" s="1003">
        <f>IF(DG112=0,0,(DH112-DG112)/DG112*100)</f>
        <v>0</v>
      </c>
      <c r="DJ112" s="1445"/>
      <c r="DK112" s="1445"/>
      <c r="DL112" s="1003">
        <f>IF(DJ112=0,0,(DK112-DJ112)/DJ112*100)</f>
        <v>0</v>
      </c>
      <c r="DM112" s="1445"/>
      <c r="DN112" s="1445"/>
      <c r="DO112" s="1003">
        <f>IF(DM112=0,0,(DN112-DM112)/DM112*100)</f>
        <v>0</v>
      </c>
      <c r="DP112" s="1445"/>
      <c r="DQ112" s="1445"/>
      <c r="DR112" s="1003">
        <f>IF(DP112=0,0,(DQ112-DP112)/DP112*100)</f>
        <v>0</v>
      </c>
      <c r="DS112" s="1445"/>
      <c r="DT112" s="1445"/>
      <c r="DU112" s="1003">
        <f>IF(DS112=0,0,(DT112-DS112)/DS112*100)</f>
        <v>0</v>
      </c>
      <c r="DV112" s="1445"/>
      <c r="DW112" s="1445"/>
      <c r="DX112" s="1003">
        <f>IF(DV112=0,0,(DW112-DV112)/DV112*100)</f>
        <v>0</v>
      </c>
      <c r="DY112" s="1445"/>
      <c r="DZ112" s="1445"/>
      <c r="EA112" s="1003">
        <f>IF(DY112=0,0,(DZ112-DY112)/DY112*100)</f>
        <v>0</v>
      </c>
      <c r="EB112" s="1445"/>
      <c r="EC112" s="1445"/>
      <c r="ED112" s="1003">
        <f>IF(EB112=0,0,(EC112-EB112)/EB112*100)</f>
        <v>0</v>
      </c>
      <c r="EE112" s="1445"/>
      <c r="EF112" s="1445"/>
      <c r="EG112" s="1003">
        <f>IF(EE112=0,0,(EF112-EE112)/EE112*100)</f>
        <v>0</v>
      </c>
      <c r="EH112" s="1445"/>
      <c r="EI112" s="1445"/>
      <c r="EJ112" s="1003">
        <f>IF(EH112=0,0,(EI112-EH112)/EH112*100)</f>
        <v>0</v>
      </c>
      <c r="EK112" s="1445"/>
      <c r="EL112" s="1445"/>
      <c r="EM112" s="1003">
        <f>IF(EK112=0,0,(EL112-EK112)/EK112*100)</f>
        <v>0</v>
      </c>
      <c r="EN112" s="1445"/>
      <c r="EO112" s="1445"/>
      <c r="EP112" s="1003">
        <f>IF(EN112=0,0,(EO112-EN112)/EN112*100)</f>
        <v>0</v>
      </c>
      <c r="EQ112" s="1445"/>
      <c r="ER112" s="1445"/>
      <c r="ES112" s="1003">
        <f>IF(EQ112=0,0,(ER112-EQ112)/EQ112*100)</f>
        <v>0</v>
      </c>
      <c r="ET112" s="1445"/>
      <c r="EU112" s="1445"/>
      <c r="EV112" s="1003">
        <f>IF(ET112=0,0,(EU112-ET112)/ET112*100)</f>
        <v>0</v>
      </c>
      <c r="EW112" s="1445"/>
      <c r="EX112" s="1445"/>
      <c r="EY112" s="1003">
        <f>IF(EW112=0,0,(EX112-EW112)/EW112*100)</f>
        <v>0</v>
      </c>
      <c r="EZ112" s="1445"/>
      <c r="FA112" s="1445"/>
      <c r="FB112" s="1003">
        <f>IF(EZ112=0,0,(FA112-EZ112)/EZ112*100)</f>
        <v>0</v>
      </c>
      <c r="FC112" s="1445"/>
      <c r="FD112" s="1445"/>
      <c r="FE112" s="1003">
        <f>IF(FC112=0,0,(FD112-FC112)/FC112*100)</f>
        <v>0</v>
      </c>
      <c r="FF112" s="1445"/>
      <c r="FG112" s="1445"/>
      <c r="FH112" s="1003">
        <f>IF(FF112=0,0,(FG112-FF112)/FF112*100)</f>
        <v>0</v>
      </c>
      <c r="FI112" s="1445"/>
      <c r="FJ112" s="1445"/>
      <c r="FK112" s="1003">
        <f>IF(FI112=0,0,(FJ112-FI112)/FI112*100)</f>
        <v>0</v>
      </c>
      <c r="FL112" s="1445"/>
      <c r="FM112" s="1445"/>
      <c r="FN112" s="1003">
        <f>IF(FL112=0,0,(FM112-FL112)/FL112*100)</f>
        <v>0</v>
      </c>
      <c r="FO112" s="1445"/>
      <c r="FP112" s="1445"/>
      <c r="FQ112" s="1003">
        <f>IF(FO112=0,0,(FP112-FO112)/FO112*100)</f>
        <v>0</v>
      </c>
      <c r="FR112" s="1445"/>
      <c r="FS112" s="1445"/>
      <c r="FT112" s="1003">
        <f>IF(FR112=0,0,(FS112-FR112)/FR112*100)</f>
        <v>0</v>
      </c>
      <c r="FU112" s="1445"/>
      <c r="FV112" s="1445"/>
      <c r="FW112" s="1003">
        <f>IF(FU112=0,0,(FV112-FU112)/FU112*100)</f>
        <v>0</v>
      </c>
      <c r="FX112" s="1214"/>
      <c r="FY112" s="1214"/>
      <c r="FZ112" s="964" t="s">
        <v>1639</v>
      </c>
      <c r="GA112" s="1216"/>
      <c r="GB112" s="1216"/>
      <c r="GC112" s="1215"/>
      <c r="GD112" s="1215"/>
    </row>
    <row r="113" spans="1:186" s="1334" customFormat="1" ht="14.25" hidden="1" customHeight="1" x14ac:dyDescent="0.15">
      <c r="A113" s="416"/>
      <c r="B113" s="837" t="b" cm="1">
        <f t="array" ref="B113">B112</f>
        <v>0</v>
      </c>
      <c r="C113" s="416"/>
      <c r="D113" s="416"/>
      <c r="E113" s="759">
        <v>15</v>
      </c>
      <c r="F113" s="3" t="str" cm="1">
        <f t="array" aca="1" ref="F113" ca="1">OFFSET(E113,-1,1)</f>
        <v>1</v>
      </c>
      <c r="G113" s="416"/>
      <c r="H113" s="416" t="s">
        <v>1630</v>
      </c>
      <c r="I113" s="416" t="s">
        <v>1591</v>
      </c>
      <c r="J113" s="416"/>
      <c r="K113" s="416"/>
      <c r="L113" s="416"/>
      <c r="M113" s="416"/>
      <c r="N113" s="416"/>
      <c r="O113" s="416"/>
      <c r="P113" s="416"/>
      <c r="Q113" s="416"/>
      <c r="R113" s="416"/>
      <c r="S113" s="416"/>
      <c r="T113" s="388" t="b" cm="1">
        <f t="array" aca="1" ref="T113" ca="1">T112</f>
        <v>1</v>
      </c>
      <c r="U113" s="416"/>
      <c r="V113" s="416"/>
      <c r="W113" s="416"/>
      <c r="X113" s="2066"/>
      <c r="Y113" s="416"/>
      <c r="Z113" s="2011"/>
      <c r="AA113" s="416"/>
      <c r="AB113" s="1001" t="s">
        <v>1631</v>
      </c>
      <c r="AC113" s="783" t="s">
        <v>1632</v>
      </c>
      <c r="AD113" s="1445"/>
      <c r="AE113" s="1445"/>
      <c r="AF113" s="1003">
        <f>IF(AD113=0,0,(AE113-AD113)/AD113*100)</f>
        <v>0</v>
      </c>
      <c r="AG113" s="1445"/>
      <c r="AH113" s="1445"/>
      <c r="AI113" s="1003">
        <f>IF(AG113=0,0,(AH113-AG113)/AG113*100)</f>
        <v>0</v>
      </c>
      <c r="AJ113" s="1445"/>
      <c r="AK113" s="1445"/>
      <c r="AL113" s="1003">
        <f>IF(AJ113=0,0,(AK113-AJ113)/AJ113*100)</f>
        <v>0</v>
      </c>
      <c r="AM113" s="1445"/>
      <c r="AN113" s="1445"/>
      <c r="AO113" s="1003">
        <f>IF(AM113=0,0,(AN113-AM113)/AM113*100)</f>
        <v>0</v>
      </c>
      <c r="AP113" s="1445"/>
      <c r="AQ113" s="1445"/>
      <c r="AR113" s="1003">
        <f>IF(AP113=0,0,(AQ113-AP113)/AP113*100)</f>
        <v>0</v>
      </c>
      <c r="AS113" s="1445"/>
      <c r="AT113" s="1445"/>
      <c r="AU113" s="1003">
        <f>IF(AS113=0,0,(AT113-AS113)/AS113*100)</f>
        <v>0</v>
      </c>
      <c r="AV113" s="1445"/>
      <c r="AW113" s="1445"/>
      <c r="AX113" s="1003">
        <f>IF(AV113=0,0,(AW113-AV113)/AV113*100)</f>
        <v>0</v>
      </c>
      <c r="AY113" s="1445"/>
      <c r="AZ113" s="1445"/>
      <c r="BA113" s="1003">
        <f>IF(AY113=0,0,(AZ113-AY113)/AY113*100)</f>
        <v>0</v>
      </c>
      <c r="BB113" s="1445"/>
      <c r="BC113" s="1445"/>
      <c r="BD113" s="1003">
        <f>IF(BB113=0,0,(BC113-BB113)/BB113*100)</f>
        <v>0</v>
      </c>
      <c r="BE113" s="1445"/>
      <c r="BF113" s="1445"/>
      <c r="BG113" s="1003">
        <f>IF(BE113=0,0,(BF113-BE113)/BE113*100)</f>
        <v>0</v>
      </c>
      <c r="BH113" s="1445"/>
      <c r="BI113" s="1445"/>
      <c r="BJ113" s="1003">
        <f>IF(BH113=0,0,(BI113-BH113)/BH113*100)</f>
        <v>0</v>
      </c>
      <c r="BK113" s="1445"/>
      <c r="BL113" s="1445"/>
      <c r="BM113" s="1003">
        <f>IF(BK113=0,0,(BL113-BK113)/BK113*100)</f>
        <v>0</v>
      </c>
      <c r="BN113" s="1445"/>
      <c r="BO113" s="1445"/>
      <c r="BP113" s="1003">
        <f>IF(BN113=0,0,(BO113-BN113)/BN113*100)</f>
        <v>0</v>
      </c>
      <c r="BQ113" s="1445"/>
      <c r="BR113" s="1445"/>
      <c r="BS113" s="1003">
        <f>IF(BQ113=0,0,(BR113-BQ113)/BQ113*100)</f>
        <v>0</v>
      </c>
      <c r="BT113" s="1445"/>
      <c r="BU113" s="1445"/>
      <c r="BV113" s="1003">
        <f>IF(BT113=0,0,(BU113-BT113)/BT113*100)</f>
        <v>0</v>
      </c>
      <c r="BW113" s="1445"/>
      <c r="BX113" s="1445"/>
      <c r="BY113" s="1003">
        <f>IF(BW113=0,0,(BX113-BW113)/BW113*100)</f>
        <v>0</v>
      </c>
      <c r="BZ113" s="1445"/>
      <c r="CA113" s="1445"/>
      <c r="CB113" s="1003">
        <f>IF(BZ113=0,0,(CA113-BZ113)/BZ113*100)</f>
        <v>0</v>
      </c>
      <c r="CC113" s="1445"/>
      <c r="CD113" s="1445"/>
      <c r="CE113" s="1003">
        <f>IF(CC113=0,0,(CD113-CC113)/CC113*100)</f>
        <v>0</v>
      </c>
      <c r="CF113" s="1445"/>
      <c r="CG113" s="1445"/>
      <c r="CH113" s="1003">
        <f>IF(CF113=0,0,(CG113-CF113)/CF113*100)</f>
        <v>0</v>
      </c>
      <c r="CI113" s="1445"/>
      <c r="CJ113" s="1445"/>
      <c r="CK113" s="1003">
        <f>IF(CI113=0,0,(CJ113-CI113)/CI113*100)</f>
        <v>0</v>
      </c>
      <c r="CL113" s="1445"/>
      <c r="CM113" s="1445"/>
      <c r="CN113" s="1003">
        <f>IF(CL113=0,0,(CM113-CL113)/CL113*100)</f>
        <v>0</v>
      </c>
      <c r="CO113" s="1445"/>
      <c r="CP113" s="1445"/>
      <c r="CQ113" s="1003">
        <f>IF(CO113=0,0,(CP113-CO113)/CO113*100)</f>
        <v>0</v>
      </c>
      <c r="CR113" s="1445"/>
      <c r="CS113" s="1445"/>
      <c r="CT113" s="1003">
        <f>IF(CR113=0,0,(CS113-CR113)/CR113*100)</f>
        <v>0</v>
      </c>
      <c r="CU113" s="1445"/>
      <c r="CV113" s="1445"/>
      <c r="CW113" s="1003">
        <f>IF(CU113=0,0,(CV113-CU113)/CU113*100)</f>
        <v>0</v>
      </c>
      <c r="CX113" s="1445"/>
      <c r="CY113" s="1445"/>
      <c r="CZ113" s="1003">
        <f>IF(CX113=0,0,(CY113-CX113)/CX113*100)</f>
        <v>0</v>
      </c>
      <c r="DA113" s="1445"/>
      <c r="DB113" s="1445"/>
      <c r="DC113" s="1003">
        <f>IF(DA113=0,0,(DB113-DA113)/DA113*100)</f>
        <v>0</v>
      </c>
      <c r="DD113" s="1445"/>
      <c r="DE113" s="1445"/>
      <c r="DF113" s="1003">
        <f>IF(DD113=0,0,(DE113-DD113)/DD113*100)</f>
        <v>0</v>
      </c>
      <c r="DG113" s="1445"/>
      <c r="DH113" s="1445"/>
      <c r="DI113" s="1003">
        <f>IF(DG113=0,0,(DH113-DG113)/DG113*100)</f>
        <v>0</v>
      </c>
      <c r="DJ113" s="1445"/>
      <c r="DK113" s="1445"/>
      <c r="DL113" s="1003">
        <f>IF(DJ113=0,0,(DK113-DJ113)/DJ113*100)</f>
        <v>0</v>
      </c>
      <c r="DM113" s="1445"/>
      <c r="DN113" s="1445"/>
      <c r="DO113" s="1003">
        <f>IF(DM113=0,0,(DN113-DM113)/DM113*100)</f>
        <v>0</v>
      </c>
      <c r="DP113" s="1445"/>
      <c r="DQ113" s="1445"/>
      <c r="DR113" s="1003">
        <f>IF(DP113=0,0,(DQ113-DP113)/DP113*100)</f>
        <v>0</v>
      </c>
      <c r="DS113" s="1445"/>
      <c r="DT113" s="1445"/>
      <c r="DU113" s="1003">
        <f>IF(DS113=0,0,(DT113-DS113)/DS113*100)</f>
        <v>0</v>
      </c>
      <c r="DV113" s="1445"/>
      <c r="DW113" s="1445"/>
      <c r="DX113" s="1003">
        <f>IF(DV113=0,0,(DW113-DV113)/DV113*100)</f>
        <v>0</v>
      </c>
      <c r="DY113" s="1445"/>
      <c r="DZ113" s="1445"/>
      <c r="EA113" s="1003">
        <f>IF(DY113=0,0,(DZ113-DY113)/DY113*100)</f>
        <v>0</v>
      </c>
      <c r="EB113" s="1445"/>
      <c r="EC113" s="1445"/>
      <c r="ED113" s="1003">
        <f>IF(EB113=0,0,(EC113-EB113)/EB113*100)</f>
        <v>0</v>
      </c>
      <c r="EE113" s="1445"/>
      <c r="EF113" s="1445"/>
      <c r="EG113" s="1003">
        <f>IF(EE113=0,0,(EF113-EE113)/EE113*100)</f>
        <v>0</v>
      </c>
      <c r="EH113" s="1445"/>
      <c r="EI113" s="1445"/>
      <c r="EJ113" s="1003">
        <f>IF(EH113=0,0,(EI113-EH113)/EH113*100)</f>
        <v>0</v>
      </c>
      <c r="EK113" s="1445"/>
      <c r="EL113" s="1445"/>
      <c r="EM113" s="1003">
        <f>IF(EK113=0,0,(EL113-EK113)/EK113*100)</f>
        <v>0</v>
      </c>
      <c r="EN113" s="1445"/>
      <c r="EO113" s="1445"/>
      <c r="EP113" s="1003">
        <f>IF(EN113=0,0,(EO113-EN113)/EN113*100)</f>
        <v>0</v>
      </c>
      <c r="EQ113" s="1445"/>
      <c r="ER113" s="1445"/>
      <c r="ES113" s="1003">
        <f>IF(EQ113=0,0,(ER113-EQ113)/EQ113*100)</f>
        <v>0</v>
      </c>
      <c r="ET113" s="1445"/>
      <c r="EU113" s="1445"/>
      <c r="EV113" s="1003">
        <f>IF(ET113=0,0,(EU113-ET113)/ET113*100)</f>
        <v>0</v>
      </c>
      <c r="EW113" s="1445"/>
      <c r="EX113" s="1445"/>
      <c r="EY113" s="1003">
        <f>IF(EW113=0,0,(EX113-EW113)/EW113*100)</f>
        <v>0</v>
      </c>
      <c r="EZ113" s="1445"/>
      <c r="FA113" s="1445"/>
      <c r="FB113" s="1003">
        <f>IF(EZ113=0,0,(FA113-EZ113)/EZ113*100)</f>
        <v>0</v>
      </c>
      <c r="FC113" s="1445"/>
      <c r="FD113" s="1445"/>
      <c r="FE113" s="1003">
        <f>IF(FC113=0,0,(FD113-FC113)/FC113*100)</f>
        <v>0</v>
      </c>
      <c r="FF113" s="1445"/>
      <c r="FG113" s="1445"/>
      <c r="FH113" s="1003">
        <f>IF(FF113=0,0,(FG113-FF113)/FF113*100)</f>
        <v>0</v>
      </c>
      <c r="FI113" s="1445"/>
      <c r="FJ113" s="1445"/>
      <c r="FK113" s="1003">
        <f>IF(FI113=0,0,(FJ113-FI113)/FI113*100)</f>
        <v>0</v>
      </c>
      <c r="FL113" s="1445"/>
      <c r="FM113" s="1445"/>
      <c r="FN113" s="1003">
        <f>IF(FL113=0,0,(FM113-FL113)/FL113*100)</f>
        <v>0</v>
      </c>
      <c r="FO113" s="1445"/>
      <c r="FP113" s="1445"/>
      <c r="FQ113" s="1003">
        <f>IF(FO113=0,0,(FP113-FO113)/FO113*100)</f>
        <v>0</v>
      </c>
      <c r="FR113" s="1445"/>
      <c r="FS113" s="1445"/>
      <c r="FT113" s="1003">
        <f>IF(FR113=0,0,(FS113-FR113)/FR113*100)</f>
        <v>0</v>
      </c>
      <c r="FU113" s="1445"/>
      <c r="FV113" s="1445"/>
      <c r="FW113" s="1003">
        <f>IF(FU113=0,0,(FV113-FU113)/FU113*100)</f>
        <v>0</v>
      </c>
      <c r="FX113" s="1214"/>
      <c r="FY113" s="1214"/>
      <c r="FZ113" s="964" t="s">
        <v>1640</v>
      </c>
      <c r="GA113" s="1216"/>
      <c r="GB113" s="1216"/>
      <c r="GC113" s="1215"/>
      <c r="GD113" s="1215"/>
    </row>
    <row r="114" spans="1:186" s="1334" customFormat="1" ht="23.25" hidden="1" customHeight="1" x14ac:dyDescent="0.15">
      <c r="A114" s="416"/>
      <c r="B114" s="837" t="b" cm="1">
        <f t="array" ref="B114">B113</f>
        <v>0</v>
      </c>
      <c r="C114" s="416"/>
      <c r="D114" s="416"/>
      <c r="E114" s="759">
        <v>24.5</v>
      </c>
      <c r="F114" s="3" t="str" cm="1">
        <f t="array" aca="1" ref="F114" ca="1">OFFSET(E114,-1,1)</f>
        <v>1</v>
      </c>
      <c r="G114" s="416"/>
      <c r="H114" s="416"/>
      <c r="I114" s="416"/>
      <c r="J114" s="416"/>
      <c r="K114" s="416"/>
      <c r="L114" s="416"/>
      <c r="M114" s="416"/>
      <c r="N114" s="416"/>
      <c r="O114" s="416"/>
      <c r="P114" s="416"/>
      <c r="Q114" s="416"/>
      <c r="R114" s="416"/>
      <c r="S114" s="416"/>
      <c r="T114" s="388" t="b" cm="1">
        <f t="array" aca="1" ref="T114" ca="1">T113</f>
        <v>1</v>
      </c>
      <c r="U114" s="416"/>
      <c r="V114" s="416"/>
      <c r="W114" s="416"/>
      <c r="X114" s="2066"/>
      <c r="Y114" s="416"/>
      <c r="Z114" s="2011"/>
      <c r="AA114" s="416"/>
      <c r="AB114" s="211" t="s">
        <v>1641</v>
      </c>
      <c r="AC114" s="817"/>
      <c r="AD114" s="1010"/>
      <c r="AE114" s="1010"/>
      <c r="AF114" s="1010"/>
      <c r="AG114" s="1010"/>
      <c r="AH114" s="1010"/>
      <c r="AI114" s="1010"/>
      <c r="AJ114" s="1010"/>
      <c r="AK114" s="1010"/>
      <c r="AL114" s="1010"/>
      <c r="AM114" s="1010"/>
      <c r="AN114" s="1010"/>
      <c r="AO114" s="1010"/>
      <c r="AP114" s="1010"/>
      <c r="AQ114" s="1010"/>
      <c r="AR114" s="1010"/>
      <c r="AS114" s="1010"/>
      <c r="AT114" s="1010"/>
      <c r="AU114" s="1010"/>
      <c r="AV114" s="1010"/>
      <c r="AW114" s="1010"/>
      <c r="AX114" s="1010"/>
      <c r="AY114" s="1010"/>
      <c r="AZ114" s="1010"/>
      <c r="BA114" s="1010"/>
      <c r="BB114" s="1010"/>
      <c r="BC114" s="1010"/>
      <c r="BD114" s="1010"/>
      <c r="BE114" s="1010"/>
      <c r="BF114" s="1010"/>
      <c r="BG114" s="1010"/>
      <c r="BH114" s="1010"/>
      <c r="BI114" s="1010"/>
      <c r="BJ114" s="1010"/>
      <c r="BK114" s="1010"/>
      <c r="BL114" s="1010"/>
      <c r="BM114" s="1010"/>
      <c r="BN114" s="1010"/>
      <c r="BO114" s="1010"/>
      <c r="BP114" s="1010"/>
      <c r="BQ114" s="1010"/>
      <c r="BR114" s="1010"/>
      <c r="BS114" s="1010"/>
      <c r="BT114" s="1010"/>
      <c r="BU114" s="1010"/>
      <c r="BV114" s="1010"/>
      <c r="BW114" s="1010"/>
      <c r="BX114" s="1010"/>
      <c r="BY114" s="1010"/>
      <c r="BZ114" s="1010"/>
      <c r="CA114" s="1010"/>
      <c r="CB114" s="1010"/>
      <c r="CC114" s="1010"/>
      <c r="CD114" s="1010"/>
      <c r="CE114" s="1010"/>
      <c r="CF114" s="1010"/>
      <c r="CG114" s="1010"/>
      <c r="CH114" s="1010"/>
      <c r="CI114" s="1010"/>
      <c r="CJ114" s="1010"/>
      <c r="CK114" s="1010"/>
      <c r="CL114" s="1010"/>
      <c r="CM114" s="1010"/>
      <c r="CN114" s="1010"/>
      <c r="CO114" s="1010"/>
      <c r="CP114" s="1010"/>
      <c r="CQ114" s="1010"/>
      <c r="CR114" s="1010"/>
      <c r="CS114" s="1010"/>
      <c r="CT114" s="1010"/>
      <c r="CU114" s="1010"/>
      <c r="CV114" s="1010"/>
      <c r="CW114" s="1010"/>
      <c r="CX114" s="1010"/>
      <c r="CY114" s="1010"/>
      <c r="CZ114" s="1010"/>
      <c r="DA114" s="1010"/>
      <c r="DB114" s="1010"/>
      <c r="DC114" s="1010"/>
      <c r="DD114" s="1010"/>
      <c r="DE114" s="1010"/>
      <c r="DF114" s="1010"/>
      <c r="DG114" s="1010"/>
      <c r="DH114" s="1010"/>
      <c r="DI114" s="1010"/>
      <c r="DJ114" s="1010"/>
      <c r="DK114" s="1010"/>
      <c r="DL114" s="1010"/>
      <c r="DM114" s="1010"/>
      <c r="DN114" s="1010"/>
      <c r="DO114" s="1010"/>
      <c r="DP114" s="1010"/>
      <c r="DQ114" s="1010"/>
      <c r="DR114" s="1010"/>
      <c r="DS114" s="1010"/>
      <c r="DT114" s="1010"/>
      <c r="DU114" s="1010"/>
      <c r="DV114" s="1010"/>
      <c r="DW114" s="1010"/>
      <c r="DX114" s="1010"/>
      <c r="DY114" s="1010"/>
      <c r="DZ114" s="1010"/>
      <c r="EA114" s="1010"/>
      <c r="EB114" s="1010"/>
      <c r="EC114" s="1010"/>
      <c r="ED114" s="1010"/>
      <c r="EE114" s="1010"/>
      <c r="EF114" s="1010"/>
      <c r="EG114" s="1010"/>
      <c r="EH114" s="1010"/>
      <c r="EI114" s="1010"/>
      <c r="EJ114" s="1010"/>
      <c r="EK114" s="1010"/>
      <c r="EL114" s="1010"/>
      <c r="EM114" s="1010"/>
      <c r="EN114" s="1010"/>
      <c r="EO114" s="1010"/>
      <c r="EP114" s="1010"/>
      <c r="EQ114" s="1010"/>
      <c r="ER114" s="1010"/>
      <c r="ES114" s="1010"/>
      <c r="ET114" s="1010"/>
      <c r="EU114" s="1010"/>
      <c r="EV114" s="1010"/>
      <c r="EW114" s="1010"/>
      <c r="EX114" s="1010"/>
      <c r="EY114" s="1010"/>
      <c r="EZ114" s="1010"/>
      <c r="FA114" s="1010"/>
      <c r="FB114" s="1010"/>
      <c r="FC114" s="1010"/>
      <c r="FD114" s="1010"/>
      <c r="FE114" s="1010"/>
      <c r="FF114" s="1010"/>
      <c r="FG114" s="1010"/>
      <c r="FH114" s="1010"/>
      <c r="FI114" s="1010"/>
      <c r="FJ114" s="1010"/>
      <c r="FK114" s="1010"/>
      <c r="FL114" s="1010"/>
      <c r="FM114" s="1010"/>
      <c r="FN114" s="1010"/>
      <c r="FO114" s="1010"/>
      <c r="FP114" s="1010"/>
      <c r="FQ114" s="1010"/>
      <c r="FR114" s="1010"/>
      <c r="FS114" s="1010"/>
      <c r="FT114" s="1010"/>
      <c r="FU114" s="1010"/>
      <c r="FV114" s="1010"/>
      <c r="FW114" s="1011"/>
      <c r="FX114" s="1214"/>
      <c r="FY114" s="1214"/>
      <c r="FZ114" s="964"/>
      <c r="GA114" s="1216"/>
      <c r="GB114" s="1216"/>
      <c r="GC114" s="1215"/>
      <c r="GD114" s="1215"/>
    </row>
    <row r="115" spans="1:186" s="1334" customFormat="1" ht="14.25" hidden="1" customHeight="1" x14ac:dyDescent="0.15">
      <c r="A115" s="416"/>
      <c r="B115" s="837" t="b" cm="1">
        <f t="array" ref="B115">B114</f>
        <v>0</v>
      </c>
      <c r="C115" s="416"/>
      <c r="D115" s="416"/>
      <c r="E115" s="759">
        <v>15</v>
      </c>
      <c r="F115" s="3" t="str" cm="1">
        <f t="array" aca="1" ref="F115" ca="1">OFFSET(E115,-1,1)</f>
        <v>1</v>
      </c>
      <c r="G115" s="416"/>
      <c r="H115" s="416" t="s">
        <v>1529</v>
      </c>
      <c r="I115" s="416" t="s">
        <v>1601</v>
      </c>
      <c r="J115" s="416"/>
      <c r="K115" s="416"/>
      <c r="L115" s="416"/>
      <c r="M115" s="416"/>
      <c r="N115" s="416"/>
      <c r="O115" s="416"/>
      <c r="P115" s="416"/>
      <c r="Q115" s="416"/>
      <c r="R115" s="416"/>
      <c r="S115" s="416"/>
      <c r="T115" s="388" t="b" cm="1">
        <f t="array" aca="1" ref="T115" ca="1">T114</f>
        <v>1</v>
      </c>
      <c r="U115" s="416"/>
      <c r="V115" s="416"/>
      <c r="W115" s="416"/>
      <c r="X115" s="2066"/>
      <c r="Y115" s="416"/>
      <c r="Z115" s="2011"/>
      <c r="AA115" s="416"/>
      <c r="AB115" s="1001" t="s">
        <v>1621</v>
      </c>
      <c r="AC115" s="783" t="s">
        <v>1588</v>
      </c>
      <c r="AD115" s="1445">
        <f ca="1">IF(AD117=0,0,(AD116*AD117+AD118*AD119*IF(god=2026,9,6))/AD117)</f>
        <v>0</v>
      </c>
      <c r="AE115" s="1445">
        <f ca="1">IF(AE117=0,0,(AE116*AE117+AE118*AE119*IF(god=2026,9,6))/AE117)</f>
        <v>0</v>
      </c>
      <c r="AF115" s="1003">
        <f ca="1">IF(AD115=0,0,(AE115-AD115)/AD115*100)</f>
        <v>0</v>
      </c>
      <c r="AG115" s="1445">
        <f ca="1">IF(AG117=0,0,(AG116*AG117+AG118*AG119*IF(god=2025,9,6))/AG117)</f>
        <v>0</v>
      </c>
      <c r="AH115" s="1445">
        <f ca="1">IF(AH117=0,0,(AH116*AH117+AH118*AH119*IF(god=2025,9,6))/AH117)</f>
        <v>0</v>
      </c>
      <c r="AI115" s="1003">
        <f ca="1">IF(AG115=0,0,(AH115-AG115)/AG115*100)</f>
        <v>0</v>
      </c>
      <c r="AJ115" s="1445">
        <f ca="1">IF(AJ117=0,0,(AJ116*AJ117+AJ118*AJ119*6)/AJ117)</f>
        <v>0</v>
      </c>
      <c r="AK115" s="1445">
        <f ca="1">IF(AK117=0,0,(AK116*AK117+AK118*AK119*6)/AK117)</f>
        <v>0</v>
      </c>
      <c r="AL115" s="1003">
        <f ca="1">IF(AJ115=0,0,(AK115-AJ115)/AJ115*100)</f>
        <v>0</v>
      </c>
      <c r="AM115" s="1445">
        <f ca="1">IF(AM117=0,0,(AM116*AM117+AM118*AM119*6)/AM117)</f>
        <v>0</v>
      </c>
      <c r="AN115" s="1445">
        <f ca="1">IF(AN117=0,0,(AN116*AN117+AN118*AN119*6)/AN117)</f>
        <v>0</v>
      </c>
      <c r="AO115" s="1003">
        <f ca="1">IF(AM115=0,0,(AN115-AM115)/AM115*100)</f>
        <v>0</v>
      </c>
      <c r="AP115" s="1445">
        <f ca="1">IF(AP117=0,0,(AP116*AP117+AP118*AP119*6)/AP117)</f>
        <v>0</v>
      </c>
      <c r="AQ115" s="1445">
        <f ca="1">IF(AQ117=0,0,(AQ116*AQ117+AQ118*AQ119*6)/AQ117)</f>
        <v>0</v>
      </c>
      <c r="AR115" s="1003">
        <f ca="1">IF(AP115=0,0,(AQ115-AP115)/AP115*100)</f>
        <v>0</v>
      </c>
      <c r="AS115" s="1445">
        <f ca="1">IF(AS117=0,0,(AS116*AS117+AS118*AS119*6)/AS117)</f>
        <v>0</v>
      </c>
      <c r="AT115" s="1445">
        <f ca="1">IF(AT117=0,0,(AT116*AT117+AT118*AT119*6)/AT117)</f>
        <v>0</v>
      </c>
      <c r="AU115" s="1003">
        <f ca="1">IF(AS115=0,0,(AT115-AS115)/AS115*100)</f>
        <v>0</v>
      </c>
      <c r="AV115" s="1445">
        <f ca="1">IF(AV117=0,0,(AV116*AV117+AV118*AV119*6)/AV117)</f>
        <v>0</v>
      </c>
      <c r="AW115" s="1445">
        <f ca="1">IF(AW117=0,0,(AW116*AW117+AW118*AW119*6)/AW117)</f>
        <v>0</v>
      </c>
      <c r="AX115" s="1003">
        <f ca="1">IF(AV115=0,0,(AW115-AV115)/AV115*100)</f>
        <v>0</v>
      </c>
      <c r="AY115" s="1445">
        <f ca="1">IF(AY117=0,0,(AY116*AY117+AY118*AY119*6)/AY117)</f>
        <v>0</v>
      </c>
      <c r="AZ115" s="1445">
        <f ca="1">IF(AZ117=0,0,(AZ116*AZ117+AZ118*AZ119*6)/AZ117)</f>
        <v>0</v>
      </c>
      <c r="BA115" s="1003">
        <f ca="1">IF(AY115=0,0,(AZ115-AY115)/AY115*100)</f>
        <v>0</v>
      </c>
      <c r="BB115" s="1445">
        <f ca="1">IF(BB117=0,0,(BB116*BB117+BB118*BB119*6)/BB117)</f>
        <v>0</v>
      </c>
      <c r="BC115" s="1445">
        <f ca="1">IF(BC117=0,0,(BC116*BC117+BC118*BC119*6)/BC117)</f>
        <v>0</v>
      </c>
      <c r="BD115" s="1003">
        <f ca="1">IF(BB115=0,0,(BC115-BB115)/BB115*100)</f>
        <v>0</v>
      </c>
      <c r="BE115" s="1445">
        <f ca="1">IF(BE117=0,0,(BE116*BE117+BE118*BE119*6)/BE117)</f>
        <v>0</v>
      </c>
      <c r="BF115" s="1445">
        <f ca="1">IF(BF117=0,0,(BF116*BF117+BF118*BF119*6)/BF117)</f>
        <v>0</v>
      </c>
      <c r="BG115" s="1003">
        <f ca="1">IF(BE115=0,0,(BF115-BE115)/BE115*100)</f>
        <v>0</v>
      </c>
      <c r="BH115" s="1445">
        <f>IF(BH117=0,0,(BH116*BH117+BH118*BH119*6)/BH117)</f>
        <v>0</v>
      </c>
      <c r="BI115" s="1445">
        <f>IF(BI117=0,0,(BI116*BI117+BI118*BI119*6)/BI117)</f>
        <v>0</v>
      </c>
      <c r="BJ115" s="1003">
        <f>IF(BH115=0,0,(BI115-BH115)/BH115*100)</f>
        <v>0</v>
      </c>
      <c r="BK115" s="1445">
        <f>IF(BK117=0,0,(BK116*BK117+BK118*BK119*6)/BK117)</f>
        <v>0</v>
      </c>
      <c r="BL115" s="1445">
        <f>IF(BL117=0,0,(BL116*BL117+BL118*BL119*6)/BL117)</f>
        <v>0</v>
      </c>
      <c r="BM115" s="1003">
        <f>IF(BK115=0,0,(BL115-BK115)/BK115*100)</f>
        <v>0</v>
      </c>
      <c r="BN115" s="1445">
        <f>IF(BN117=0,0,(BN116*BN117+BN118*BN119*6)/BN117)</f>
        <v>0</v>
      </c>
      <c r="BO115" s="1445">
        <f>IF(BO117=0,0,(BO116*BO117+BO118*BO119*6)/BO117)</f>
        <v>0</v>
      </c>
      <c r="BP115" s="1003">
        <f>IF(BN115=0,0,(BO115-BN115)/BN115*100)</f>
        <v>0</v>
      </c>
      <c r="BQ115" s="1445">
        <f>IF(BQ117=0,0,(BQ116*BQ117+BQ118*BQ119*6)/BQ117)</f>
        <v>0</v>
      </c>
      <c r="BR115" s="1445">
        <f>IF(BR117=0,0,(BR116*BR117+BR118*BR119*6)/BR117)</f>
        <v>0</v>
      </c>
      <c r="BS115" s="1003">
        <f>IF(BQ115=0,0,(BR115-BQ115)/BQ115*100)</f>
        <v>0</v>
      </c>
      <c r="BT115" s="1445">
        <f>IF(BT117=0,0,(BT116*BT117+BT118*BT119*6)/BT117)</f>
        <v>0</v>
      </c>
      <c r="BU115" s="1445">
        <f>IF(BU117=0,0,(BU116*BU117+BU118*BU119*6)/BU117)</f>
        <v>0</v>
      </c>
      <c r="BV115" s="1003">
        <f>IF(BT115=0,0,(BU115-BT115)/BT115*100)</f>
        <v>0</v>
      </c>
      <c r="BW115" s="1445">
        <f>IF(BW117=0,0,(BW116*BW117+BW118*BW119*6)/BW117)</f>
        <v>0</v>
      </c>
      <c r="BX115" s="1445">
        <f>IF(BX117=0,0,(BX116*BX117+BX118*BX119*6)/BX117)</f>
        <v>0</v>
      </c>
      <c r="BY115" s="1003">
        <f>IF(BW115=0,0,(BX115-BW115)/BW115*100)</f>
        <v>0</v>
      </c>
      <c r="BZ115" s="1445">
        <f>IF(BZ117=0,0,(BZ116*BZ117+BZ118*BZ119*6)/BZ117)</f>
        <v>0</v>
      </c>
      <c r="CA115" s="1445">
        <f>IF(CA117=0,0,(CA116*CA117+CA118*CA119*6)/CA117)</f>
        <v>0</v>
      </c>
      <c r="CB115" s="1003">
        <f>IF(BZ115=0,0,(CA115-BZ115)/BZ115*100)</f>
        <v>0</v>
      </c>
      <c r="CC115" s="1445">
        <f>IF(CC117=0,0,(CC116*CC117+CC118*CC119*6)/CC117)</f>
        <v>0</v>
      </c>
      <c r="CD115" s="1445">
        <f>IF(CD117=0,0,(CD116*CD117+CD118*CD119*6)/CD117)</f>
        <v>0</v>
      </c>
      <c r="CE115" s="1003">
        <f>IF(CC115=0,0,(CD115-CC115)/CC115*100)</f>
        <v>0</v>
      </c>
      <c r="CF115" s="1445">
        <f>IF(CF117=0,0,(CF116*CF117+CF118*CF119*6)/CF117)</f>
        <v>0</v>
      </c>
      <c r="CG115" s="1445">
        <f>IF(CG117=0,0,(CG116*CG117+CG118*CG119*6)/CG117)</f>
        <v>0</v>
      </c>
      <c r="CH115" s="1003">
        <f>IF(CF115=0,0,(CG115-CF115)/CF115*100)</f>
        <v>0</v>
      </c>
      <c r="CI115" s="1445">
        <f>IF(CI117=0,0,(CI116*CI117+CI118*CI119*6)/CI117)</f>
        <v>0</v>
      </c>
      <c r="CJ115" s="1445">
        <f>IF(CJ117=0,0,(CJ116*CJ117+CJ118*CJ119*6)/CJ117)</f>
        <v>0</v>
      </c>
      <c r="CK115" s="1003">
        <f>IF(CI115=0,0,(CJ115-CI115)/CI115*100)</f>
        <v>0</v>
      </c>
      <c r="CL115" s="1445">
        <f>IF(CL117=0,0,(CL116*CL117+CL118*CL119*6)/CL117)</f>
        <v>0</v>
      </c>
      <c r="CM115" s="1445">
        <f>IF(CM117=0,0,(CM116*CM117+CM118*CM119*6)/CM117)</f>
        <v>0</v>
      </c>
      <c r="CN115" s="1003">
        <f>IF(CL115=0,0,(CM115-CL115)/CL115*100)</f>
        <v>0</v>
      </c>
      <c r="CO115" s="1445">
        <f>IF(CO117=0,0,(CO116*CO117+CO118*CO119*6)/CO117)</f>
        <v>0</v>
      </c>
      <c r="CP115" s="1445">
        <f>IF(CP117=0,0,(CP116*CP117+CP118*CP119*6)/CP117)</f>
        <v>0</v>
      </c>
      <c r="CQ115" s="1003">
        <f>IF(CO115=0,0,(CP115-CO115)/CO115*100)</f>
        <v>0</v>
      </c>
      <c r="CR115" s="1445">
        <f>IF(CR117=0,0,(CR116*CR117+CR118*CR119*6)/CR117)</f>
        <v>0</v>
      </c>
      <c r="CS115" s="1445">
        <f>IF(CS117=0,0,(CS116*CS117+CS118*CS119*6)/CS117)</f>
        <v>0</v>
      </c>
      <c r="CT115" s="1003">
        <f>IF(CR115=0,0,(CS115-CR115)/CR115*100)</f>
        <v>0</v>
      </c>
      <c r="CU115" s="1445">
        <f>IF(CU117=0,0,(CU116*CU117+CU118*CU119*6)/CU117)</f>
        <v>0</v>
      </c>
      <c r="CV115" s="1445">
        <f>IF(CV117=0,0,(CV116*CV117+CV118*CV119*6)/CV117)</f>
        <v>0</v>
      </c>
      <c r="CW115" s="1003">
        <f>IF(CU115=0,0,(CV115-CU115)/CU115*100)</f>
        <v>0</v>
      </c>
      <c r="CX115" s="1445">
        <f>IF(CX117=0,0,(CX116*CX117+CX118*CX119*6)/CX117)</f>
        <v>0</v>
      </c>
      <c r="CY115" s="1445">
        <f>IF(CY117=0,0,(CY116*CY117+CY118*CY119*6)/CY117)</f>
        <v>0</v>
      </c>
      <c r="CZ115" s="1003">
        <f>IF(CX115=0,0,(CY115-CX115)/CX115*100)</f>
        <v>0</v>
      </c>
      <c r="DA115" s="1445">
        <f>IF(DA117=0,0,(DA116*DA117+DA118*DA119*6)/DA117)</f>
        <v>0</v>
      </c>
      <c r="DB115" s="1445">
        <f>IF(DB117=0,0,(DB116*DB117+DB118*DB119*6)/DB117)</f>
        <v>0</v>
      </c>
      <c r="DC115" s="1003">
        <f>IF(DA115=0,0,(DB115-DA115)/DA115*100)</f>
        <v>0</v>
      </c>
      <c r="DD115" s="1445">
        <f>IF(DD117=0,0,(DD116*DD117+DD118*DD119*6)/DD117)</f>
        <v>0</v>
      </c>
      <c r="DE115" s="1445">
        <f>IF(DE117=0,0,(DE116*DE117+DE118*DE119*6)/DE117)</f>
        <v>0</v>
      </c>
      <c r="DF115" s="1003">
        <f>IF(DD115=0,0,(DE115-DD115)/DD115*100)</f>
        <v>0</v>
      </c>
      <c r="DG115" s="1445">
        <f>IF(DG117=0,0,(DG116*DG117+DG118*DG119*6)/DG117)</f>
        <v>0</v>
      </c>
      <c r="DH115" s="1445">
        <f>IF(DH117=0,0,(DH116*DH117+DH118*DH119*6)/DH117)</f>
        <v>0</v>
      </c>
      <c r="DI115" s="1003">
        <f>IF(DG115=0,0,(DH115-DG115)/DG115*100)</f>
        <v>0</v>
      </c>
      <c r="DJ115" s="1445">
        <f>IF(DJ117=0,0,(DJ116*DJ117+DJ118*DJ119*6)/DJ117)</f>
        <v>0</v>
      </c>
      <c r="DK115" s="1445">
        <f>IF(DK117=0,0,(DK116*DK117+DK118*DK119*6)/DK117)</f>
        <v>0</v>
      </c>
      <c r="DL115" s="1003">
        <f>IF(DJ115=0,0,(DK115-DJ115)/DJ115*100)</f>
        <v>0</v>
      </c>
      <c r="DM115" s="1445">
        <f>IF(DM117=0,0,(DM116*DM117+DM118*DM119*6)/DM117)</f>
        <v>0</v>
      </c>
      <c r="DN115" s="1445">
        <f>IF(DN117=0,0,(DN116*DN117+DN118*DN119*6)/DN117)</f>
        <v>0</v>
      </c>
      <c r="DO115" s="1003">
        <f>IF(DM115=0,0,(DN115-DM115)/DM115*100)</f>
        <v>0</v>
      </c>
      <c r="DP115" s="1445">
        <f>IF(DP117=0,0,(DP116*DP117+DP118*DP119*6)/DP117)</f>
        <v>0</v>
      </c>
      <c r="DQ115" s="1445">
        <f>IF(DQ117=0,0,(DQ116*DQ117+DQ118*DQ119*6)/DQ117)</f>
        <v>0</v>
      </c>
      <c r="DR115" s="1003">
        <f>IF(DP115=0,0,(DQ115-DP115)/DP115*100)</f>
        <v>0</v>
      </c>
      <c r="DS115" s="1445">
        <f>IF(DS117=0,0,(DS116*DS117+DS118*DS119*6)/DS117)</f>
        <v>0</v>
      </c>
      <c r="DT115" s="1445">
        <f>IF(DT117=0,0,(DT116*DT117+DT118*DT119*6)/DT117)</f>
        <v>0</v>
      </c>
      <c r="DU115" s="1003">
        <f>IF(DS115=0,0,(DT115-DS115)/DS115*100)</f>
        <v>0</v>
      </c>
      <c r="DV115" s="1445">
        <f>IF(DV117=0,0,(DV116*DV117+DV118*DV119*6)/DV117)</f>
        <v>0</v>
      </c>
      <c r="DW115" s="1445">
        <f>IF(DW117=0,0,(DW116*DW117+DW118*DW119*6)/DW117)</f>
        <v>0</v>
      </c>
      <c r="DX115" s="1003">
        <f>IF(DV115=0,0,(DW115-DV115)/DV115*100)</f>
        <v>0</v>
      </c>
      <c r="DY115" s="1445">
        <f>IF(DY117=0,0,(DY116*DY117+DY118*DY119*6)/DY117)</f>
        <v>0</v>
      </c>
      <c r="DZ115" s="1445">
        <f>IF(DZ117=0,0,(DZ116*DZ117+DZ118*DZ119*6)/DZ117)</f>
        <v>0</v>
      </c>
      <c r="EA115" s="1003">
        <f>IF(DY115=0,0,(DZ115-DY115)/DY115*100)</f>
        <v>0</v>
      </c>
      <c r="EB115" s="1445">
        <f>IF(EB117=0,0,(EB116*EB117+EB118*EB119*6)/EB117)</f>
        <v>0</v>
      </c>
      <c r="EC115" s="1445">
        <f>IF(EC117=0,0,(EC116*EC117+EC118*EC119*6)/EC117)</f>
        <v>0</v>
      </c>
      <c r="ED115" s="1003">
        <f>IF(EB115=0,0,(EC115-EB115)/EB115*100)</f>
        <v>0</v>
      </c>
      <c r="EE115" s="1445">
        <f>IF(EE117=0,0,(EE116*EE117+EE118*EE119*6)/EE117)</f>
        <v>0</v>
      </c>
      <c r="EF115" s="1445">
        <f>IF(EF117=0,0,(EF116*EF117+EF118*EF119*6)/EF117)</f>
        <v>0</v>
      </c>
      <c r="EG115" s="1003">
        <f>IF(EE115=0,0,(EF115-EE115)/EE115*100)</f>
        <v>0</v>
      </c>
      <c r="EH115" s="1445">
        <f>IF(EH117=0,0,(EH116*EH117+EH118*EH119*6)/EH117)</f>
        <v>0</v>
      </c>
      <c r="EI115" s="1445">
        <f>IF(EI117=0,0,(EI116*EI117+EI118*EI119*6)/EI117)</f>
        <v>0</v>
      </c>
      <c r="EJ115" s="1003">
        <f>IF(EH115=0,0,(EI115-EH115)/EH115*100)</f>
        <v>0</v>
      </c>
      <c r="EK115" s="1445">
        <f>IF(EK117=0,0,(EK116*EK117+EK118*EK119*6)/EK117)</f>
        <v>0</v>
      </c>
      <c r="EL115" s="1445">
        <f>IF(EL117=0,0,(EL116*EL117+EL118*EL119*6)/EL117)</f>
        <v>0</v>
      </c>
      <c r="EM115" s="1003">
        <f>IF(EK115=0,0,(EL115-EK115)/EK115*100)</f>
        <v>0</v>
      </c>
      <c r="EN115" s="1445">
        <f>IF(EN117=0,0,(EN116*EN117+EN118*EN119*6)/EN117)</f>
        <v>0</v>
      </c>
      <c r="EO115" s="1445">
        <f>IF(EO117=0,0,(EO116*EO117+EO118*EO119*6)/EO117)</f>
        <v>0</v>
      </c>
      <c r="EP115" s="1003">
        <f>IF(EN115=0,0,(EO115-EN115)/EN115*100)</f>
        <v>0</v>
      </c>
      <c r="EQ115" s="1445">
        <f>IF(EQ117=0,0,(EQ116*EQ117+EQ118*EQ119*6)/EQ117)</f>
        <v>0</v>
      </c>
      <c r="ER115" s="1445">
        <f>IF(ER117=0,0,(ER116*ER117+ER118*ER119*6)/ER117)</f>
        <v>0</v>
      </c>
      <c r="ES115" s="1003">
        <f>IF(EQ115=0,0,(ER115-EQ115)/EQ115*100)</f>
        <v>0</v>
      </c>
      <c r="ET115" s="1445">
        <f>IF(ET117=0,0,(ET116*ET117+ET118*ET119*6)/ET117)</f>
        <v>0</v>
      </c>
      <c r="EU115" s="1445">
        <f>IF(EU117=0,0,(EU116*EU117+EU118*EU119*6)/EU117)</f>
        <v>0</v>
      </c>
      <c r="EV115" s="1003">
        <f>IF(ET115=0,0,(EU115-ET115)/ET115*100)</f>
        <v>0</v>
      </c>
      <c r="EW115" s="1445">
        <f>IF(EW117=0,0,(EW116*EW117+EW118*EW119*6)/EW117)</f>
        <v>0</v>
      </c>
      <c r="EX115" s="1445">
        <f>IF(EX117=0,0,(EX116*EX117+EX118*EX119*6)/EX117)</f>
        <v>0</v>
      </c>
      <c r="EY115" s="1003">
        <f>IF(EW115=0,0,(EX115-EW115)/EW115*100)</f>
        <v>0</v>
      </c>
      <c r="EZ115" s="1445">
        <f>IF(EZ117=0,0,(EZ116*EZ117+EZ118*EZ119*6)/EZ117)</f>
        <v>0</v>
      </c>
      <c r="FA115" s="1445">
        <f>IF(FA117=0,0,(FA116*FA117+FA118*FA119*6)/FA117)</f>
        <v>0</v>
      </c>
      <c r="FB115" s="1003">
        <f>IF(EZ115=0,0,(FA115-EZ115)/EZ115*100)</f>
        <v>0</v>
      </c>
      <c r="FC115" s="1445">
        <f>IF(FC117=0,0,(FC116*FC117+FC118*FC119*6)/FC117)</f>
        <v>0</v>
      </c>
      <c r="FD115" s="1445">
        <f>IF(FD117=0,0,(FD116*FD117+FD118*FD119*6)/FD117)</f>
        <v>0</v>
      </c>
      <c r="FE115" s="1003">
        <f>IF(FC115=0,0,(FD115-FC115)/FC115*100)</f>
        <v>0</v>
      </c>
      <c r="FF115" s="1445">
        <f>IF(FF117=0,0,(FF116*FF117+FF118*FF119*6)/FF117)</f>
        <v>0</v>
      </c>
      <c r="FG115" s="1445">
        <f>IF(FG117=0,0,(FG116*FG117+FG118*FG119*6)/FG117)</f>
        <v>0</v>
      </c>
      <c r="FH115" s="1003">
        <f>IF(FF115=0,0,(FG115-FF115)/FF115*100)</f>
        <v>0</v>
      </c>
      <c r="FI115" s="1445">
        <f>IF(FI117=0,0,(FI116*FI117+FI118*FI119*6)/FI117)</f>
        <v>0</v>
      </c>
      <c r="FJ115" s="1445">
        <f>IF(FJ117=0,0,(FJ116*FJ117+FJ118*FJ119*6)/FJ117)</f>
        <v>0</v>
      </c>
      <c r="FK115" s="1003">
        <f>IF(FI115=0,0,(FJ115-FI115)/FI115*100)</f>
        <v>0</v>
      </c>
      <c r="FL115" s="1445">
        <f>IF(FL117=0,0,(FL116*FL117+FL118*FL119*6)/FL117)</f>
        <v>0</v>
      </c>
      <c r="FM115" s="1445">
        <f>IF(FM117=0,0,(FM116*FM117+FM118*FM119*6)/FM117)</f>
        <v>0</v>
      </c>
      <c r="FN115" s="1003">
        <f>IF(FL115=0,0,(FM115-FL115)/FL115*100)</f>
        <v>0</v>
      </c>
      <c r="FO115" s="1445">
        <f>IF(FO117=0,0,(FO116*FO117+FO118*FO119*6)/FO117)</f>
        <v>0</v>
      </c>
      <c r="FP115" s="1445">
        <f>IF(FP117=0,0,(FP116*FP117+FP118*FP119*6)/FP117)</f>
        <v>0</v>
      </c>
      <c r="FQ115" s="1003">
        <f>IF(FO115=0,0,(FP115-FO115)/FO115*100)</f>
        <v>0</v>
      </c>
      <c r="FR115" s="1445">
        <f>IF(FR117=0,0,(FR116*FR117+FR118*FR119*6)/FR117)</f>
        <v>0</v>
      </c>
      <c r="FS115" s="1445">
        <f>IF(FS117=0,0,(FS116*FS117+FS118*FS119*6)/FS117)</f>
        <v>0</v>
      </c>
      <c r="FT115" s="1003">
        <f>IF(FR115=0,0,(FS115-FR115)/FR115*100)</f>
        <v>0</v>
      </c>
      <c r="FU115" s="1445">
        <f>IF(FU117=0,0,(FU116*FU117+FU118*FU119*6)/FU117)</f>
        <v>0</v>
      </c>
      <c r="FV115" s="1445">
        <f>IF(FV117=0,0,(FV116*FV117+FV118*FV119*6)/FV117)</f>
        <v>0</v>
      </c>
      <c r="FW115" s="1003">
        <f>IF(FU115=0,0,(FV115-FU115)/FU115*100)</f>
        <v>0</v>
      </c>
      <c r="FX115" s="1214"/>
      <c r="FY115" s="1214"/>
      <c r="FZ115" s="964" t="s">
        <v>1642</v>
      </c>
      <c r="GA115" s="1216"/>
      <c r="GB115" s="1216"/>
      <c r="GC115" s="1215"/>
      <c r="GD115" s="1215"/>
    </row>
    <row r="116" spans="1:186" s="1334" customFormat="1" ht="14.25" hidden="1" customHeight="1" x14ac:dyDescent="0.15">
      <c r="A116" s="416"/>
      <c r="B116" s="837" t="b" cm="1">
        <f t="array" ref="B116">B115</f>
        <v>0</v>
      </c>
      <c r="C116" s="416"/>
      <c r="D116" s="416"/>
      <c r="E116" s="759">
        <v>15</v>
      </c>
      <c r="F116" s="3" t="str" cm="1">
        <f t="array" aca="1" ref="F116" ca="1">OFFSET(E116,-1,1)</f>
        <v>1</v>
      </c>
      <c r="G116" s="416"/>
      <c r="H116" s="416" t="s">
        <v>1533</v>
      </c>
      <c r="I116" s="416" t="s">
        <v>1601</v>
      </c>
      <c r="J116" s="416"/>
      <c r="K116" s="416"/>
      <c r="L116" s="416"/>
      <c r="M116" s="416"/>
      <c r="N116" s="416"/>
      <c r="O116" s="416"/>
      <c r="P116" s="416"/>
      <c r="Q116" s="416"/>
      <c r="R116" s="416"/>
      <c r="S116" s="416"/>
      <c r="T116" s="388" t="b" cm="1">
        <f t="array" aca="1" ref="T116" ca="1">T115</f>
        <v>1</v>
      </c>
      <c r="U116" s="416"/>
      <c r="V116" s="416"/>
      <c r="W116" s="416"/>
      <c r="X116" s="2066"/>
      <c r="Y116" s="416"/>
      <c r="Z116" s="2011"/>
      <c r="AA116" s="416"/>
      <c r="AB116" s="1001"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6" s="783" t="s">
        <v>1588</v>
      </c>
      <c r="AD116" s="1445"/>
      <c r="AE116" s="1445"/>
      <c r="AF116" s="1003">
        <f>IF(AD116=0,0,(AE116-AD116)/AD116*100)</f>
        <v>0</v>
      </c>
      <c r="AG116" s="1445"/>
      <c r="AH116" s="1445"/>
      <c r="AI116" s="1003">
        <f>IF(AG116=0,0,(AH116-AG116)/AG116*100)</f>
        <v>0</v>
      </c>
      <c r="AJ116" s="1445"/>
      <c r="AK116" s="1445"/>
      <c r="AL116" s="1003">
        <f>IF(AJ116=0,0,(AK116-AJ116)/AJ116*100)</f>
        <v>0</v>
      </c>
      <c r="AM116" s="1445"/>
      <c r="AN116" s="1445"/>
      <c r="AO116" s="1003">
        <f>IF(AM116=0,0,(AN116-AM116)/AM116*100)</f>
        <v>0</v>
      </c>
      <c r="AP116" s="1445"/>
      <c r="AQ116" s="1445"/>
      <c r="AR116" s="1003">
        <f>IF(AP116=0,0,(AQ116-AP116)/AP116*100)</f>
        <v>0</v>
      </c>
      <c r="AS116" s="1445"/>
      <c r="AT116" s="1445"/>
      <c r="AU116" s="1003">
        <f>IF(AS116=0,0,(AT116-AS116)/AS116*100)</f>
        <v>0</v>
      </c>
      <c r="AV116" s="1445"/>
      <c r="AW116" s="1445"/>
      <c r="AX116" s="1003">
        <f>IF(AV116=0,0,(AW116-AV116)/AV116*100)</f>
        <v>0</v>
      </c>
      <c r="AY116" s="1445"/>
      <c r="AZ116" s="1445"/>
      <c r="BA116" s="1003">
        <f>IF(AY116=0,0,(AZ116-AY116)/AY116*100)</f>
        <v>0</v>
      </c>
      <c r="BB116" s="1445"/>
      <c r="BC116" s="1445"/>
      <c r="BD116" s="1003">
        <f>IF(BB116=0,0,(BC116-BB116)/BB116*100)</f>
        <v>0</v>
      </c>
      <c r="BE116" s="1445"/>
      <c r="BF116" s="1445"/>
      <c r="BG116" s="1003">
        <f>IF(BE116=0,0,(BF116-BE116)/BE116*100)</f>
        <v>0</v>
      </c>
      <c r="BH116" s="1445"/>
      <c r="BI116" s="1445"/>
      <c r="BJ116" s="1003">
        <f>IF(BH116=0,0,(BI116-BH116)/BH116*100)</f>
        <v>0</v>
      </c>
      <c r="BK116" s="1445"/>
      <c r="BL116" s="1445"/>
      <c r="BM116" s="1003">
        <f>IF(BK116=0,0,(BL116-BK116)/BK116*100)</f>
        <v>0</v>
      </c>
      <c r="BN116" s="1445"/>
      <c r="BO116" s="1445"/>
      <c r="BP116" s="1003">
        <f>IF(BN116=0,0,(BO116-BN116)/BN116*100)</f>
        <v>0</v>
      </c>
      <c r="BQ116" s="1445"/>
      <c r="BR116" s="1445"/>
      <c r="BS116" s="1003">
        <f>IF(BQ116=0,0,(BR116-BQ116)/BQ116*100)</f>
        <v>0</v>
      </c>
      <c r="BT116" s="1445"/>
      <c r="BU116" s="1445"/>
      <c r="BV116" s="1003">
        <f>IF(BT116=0,0,(BU116-BT116)/BT116*100)</f>
        <v>0</v>
      </c>
      <c r="BW116" s="1445"/>
      <c r="BX116" s="1445"/>
      <c r="BY116" s="1003">
        <f>IF(BW116=0,0,(BX116-BW116)/BW116*100)</f>
        <v>0</v>
      </c>
      <c r="BZ116" s="1445"/>
      <c r="CA116" s="1445"/>
      <c r="CB116" s="1003">
        <f>IF(BZ116=0,0,(CA116-BZ116)/BZ116*100)</f>
        <v>0</v>
      </c>
      <c r="CC116" s="1445"/>
      <c r="CD116" s="1445"/>
      <c r="CE116" s="1003">
        <f>IF(CC116=0,0,(CD116-CC116)/CC116*100)</f>
        <v>0</v>
      </c>
      <c r="CF116" s="1445"/>
      <c r="CG116" s="1445"/>
      <c r="CH116" s="1003">
        <f>IF(CF116=0,0,(CG116-CF116)/CF116*100)</f>
        <v>0</v>
      </c>
      <c r="CI116" s="1445"/>
      <c r="CJ116" s="1445"/>
      <c r="CK116" s="1003">
        <f>IF(CI116=0,0,(CJ116-CI116)/CI116*100)</f>
        <v>0</v>
      </c>
      <c r="CL116" s="1445"/>
      <c r="CM116" s="1445"/>
      <c r="CN116" s="1003">
        <f>IF(CL116=0,0,(CM116-CL116)/CL116*100)</f>
        <v>0</v>
      </c>
      <c r="CO116" s="1445"/>
      <c r="CP116" s="1445"/>
      <c r="CQ116" s="1003">
        <f>IF(CO116=0,0,(CP116-CO116)/CO116*100)</f>
        <v>0</v>
      </c>
      <c r="CR116" s="1445"/>
      <c r="CS116" s="1445"/>
      <c r="CT116" s="1003">
        <f>IF(CR116=0,0,(CS116-CR116)/CR116*100)</f>
        <v>0</v>
      </c>
      <c r="CU116" s="1445"/>
      <c r="CV116" s="1445"/>
      <c r="CW116" s="1003">
        <f>IF(CU116=0,0,(CV116-CU116)/CU116*100)</f>
        <v>0</v>
      </c>
      <c r="CX116" s="1445"/>
      <c r="CY116" s="1445"/>
      <c r="CZ116" s="1003">
        <f>IF(CX116=0,0,(CY116-CX116)/CX116*100)</f>
        <v>0</v>
      </c>
      <c r="DA116" s="1445"/>
      <c r="DB116" s="1445"/>
      <c r="DC116" s="1003">
        <f>IF(DA116=0,0,(DB116-DA116)/DA116*100)</f>
        <v>0</v>
      </c>
      <c r="DD116" s="1445"/>
      <c r="DE116" s="1445"/>
      <c r="DF116" s="1003">
        <f>IF(DD116=0,0,(DE116-DD116)/DD116*100)</f>
        <v>0</v>
      </c>
      <c r="DG116" s="1445"/>
      <c r="DH116" s="1445"/>
      <c r="DI116" s="1003">
        <f>IF(DG116=0,0,(DH116-DG116)/DG116*100)</f>
        <v>0</v>
      </c>
      <c r="DJ116" s="1445"/>
      <c r="DK116" s="1445"/>
      <c r="DL116" s="1003">
        <f>IF(DJ116=0,0,(DK116-DJ116)/DJ116*100)</f>
        <v>0</v>
      </c>
      <c r="DM116" s="1445"/>
      <c r="DN116" s="1445"/>
      <c r="DO116" s="1003">
        <f>IF(DM116=0,0,(DN116-DM116)/DM116*100)</f>
        <v>0</v>
      </c>
      <c r="DP116" s="1445"/>
      <c r="DQ116" s="1445"/>
      <c r="DR116" s="1003">
        <f>IF(DP116=0,0,(DQ116-DP116)/DP116*100)</f>
        <v>0</v>
      </c>
      <c r="DS116" s="1445"/>
      <c r="DT116" s="1445"/>
      <c r="DU116" s="1003">
        <f>IF(DS116=0,0,(DT116-DS116)/DS116*100)</f>
        <v>0</v>
      </c>
      <c r="DV116" s="1445"/>
      <c r="DW116" s="1445"/>
      <c r="DX116" s="1003">
        <f>IF(DV116=0,0,(DW116-DV116)/DV116*100)</f>
        <v>0</v>
      </c>
      <c r="DY116" s="1445"/>
      <c r="DZ116" s="1445"/>
      <c r="EA116" s="1003">
        <f>IF(DY116=0,0,(DZ116-DY116)/DY116*100)</f>
        <v>0</v>
      </c>
      <c r="EB116" s="1445"/>
      <c r="EC116" s="1445"/>
      <c r="ED116" s="1003">
        <f>IF(EB116=0,0,(EC116-EB116)/EB116*100)</f>
        <v>0</v>
      </c>
      <c r="EE116" s="1445"/>
      <c r="EF116" s="1445"/>
      <c r="EG116" s="1003">
        <f>IF(EE116=0,0,(EF116-EE116)/EE116*100)</f>
        <v>0</v>
      </c>
      <c r="EH116" s="1445"/>
      <c r="EI116" s="1445"/>
      <c r="EJ116" s="1003">
        <f>IF(EH116=0,0,(EI116-EH116)/EH116*100)</f>
        <v>0</v>
      </c>
      <c r="EK116" s="1445"/>
      <c r="EL116" s="1445"/>
      <c r="EM116" s="1003">
        <f>IF(EK116=0,0,(EL116-EK116)/EK116*100)</f>
        <v>0</v>
      </c>
      <c r="EN116" s="1445"/>
      <c r="EO116" s="1445"/>
      <c r="EP116" s="1003">
        <f>IF(EN116=0,0,(EO116-EN116)/EN116*100)</f>
        <v>0</v>
      </c>
      <c r="EQ116" s="1445"/>
      <c r="ER116" s="1445"/>
      <c r="ES116" s="1003">
        <f>IF(EQ116=0,0,(ER116-EQ116)/EQ116*100)</f>
        <v>0</v>
      </c>
      <c r="ET116" s="1445"/>
      <c r="EU116" s="1445"/>
      <c r="EV116" s="1003">
        <f>IF(ET116=0,0,(EU116-ET116)/ET116*100)</f>
        <v>0</v>
      </c>
      <c r="EW116" s="1445"/>
      <c r="EX116" s="1445"/>
      <c r="EY116" s="1003">
        <f>IF(EW116=0,0,(EX116-EW116)/EW116*100)</f>
        <v>0</v>
      </c>
      <c r="EZ116" s="1445"/>
      <c r="FA116" s="1445"/>
      <c r="FB116" s="1003">
        <f>IF(EZ116=0,0,(FA116-EZ116)/EZ116*100)</f>
        <v>0</v>
      </c>
      <c r="FC116" s="1445"/>
      <c r="FD116" s="1445"/>
      <c r="FE116" s="1003">
        <f>IF(FC116=0,0,(FD116-FC116)/FC116*100)</f>
        <v>0</v>
      </c>
      <c r="FF116" s="1445"/>
      <c r="FG116" s="1445"/>
      <c r="FH116" s="1003">
        <f>IF(FF116=0,0,(FG116-FF116)/FF116*100)</f>
        <v>0</v>
      </c>
      <c r="FI116" s="1445"/>
      <c r="FJ116" s="1445"/>
      <c r="FK116" s="1003">
        <f>IF(FI116=0,0,(FJ116-FI116)/FI116*100)</f>
        <v>0</v>
      </c>
      <c r="FL116" s="1445"/>
      <c r="FM116" s="1445"/>
      <c r="FN116" s="1003">
        <f>IF(FL116=0,0,(FM116-FL116)/FL116*100)</f>
        <v>0</v>
      </c>
      <c r="FO116" s="1445"/>
      <c r="FP116" s="1445"/>
      <c r="FQ116" s="1003">
        <f>IF(FO116=0,0,(FP116-FO116)/FO116*100)</f>
        <v>0</v>
      </c>
      <c r="FR116" s="1445"/>
      <c r="FS116" s="1445"/>
      <c r="FT116" s="1003">
        <f>IF(FR116=0,0,(FS116-FR116)/FR116*100)</f>
        <v>0</v>
      </c>
      <c r="FU116" s="1445"/>
      <c r="FV116" s="1445"/>
      <c r="FW116" s="1003">
        <f>IF(FU116=0,0,(FV116-FU116)/FU116*100)</f>
        <v>0</v>
      </c>
      <c r="FX116" s="1214"/>
      <c r="FY116" s="1214"/>
      <c r="FZ116" s="964" t="s">
        <v>1643</v>
      </c>
      <c r="GA116" s="1216"/>
      <c r="GB116" s="1216"/>
      <c r="GC116" s="1215"/>
      <c r="GD116" s="1215"/>
    </row>
    <row r="117" spans="1:186" s="1334" customFormat="1" ht="14.25" hidden="1" customHeight="1" x14ac:dyDescent="0.15">
      <c r="A117" s="416"/>
      <c r="B117" s="837" t="b" cm="1">
        <f t="array" ref="B117">B116</f>
        <v>0</v>
      </c>
      <c r="C117" s="416"/>
      <c r="D117" s="416"/>
      <c r="E117" s="759">
        <v>15</v>
      </c>
      <c r="F117" s="3" t="str" cm="1">
        <f t="array" aca="1" ref="F117" ca="1">OFFSET(E117,-1,1)</f>
        <v>1</v>
      </c>
      <c r="G117" s="26" t="s">
        <v>1644</v>
      </c>
      <c r="H117" s="416" t="s">
        <v>1625</v>
      </c>
      <c r="I117" s="416" t="s">
        <v>1601</v>
      </c>
      <c r="J117" s="416"/>
      <c r="K117" s="416"/>
      <c r="L117" s="416"/>
      <c r="M117" s="416"/>
      <c r="N117" s="416"/>
      <c r="O117" s="416"/>
      <c r="P117" s="416"/>
      <c r="Q117" s="416"/>
      <c r="R117" s="416"/>
      <c r="S117" s="416"/>
      <c r="T117" s="388" t="b" cm="1">
        <f t="array" aca="1" ref="T117" ca="1">T116</f>
        <v>1</v>
      </c>
      <c r="U117" s="416"/>
      <c r="V117" s="416"/>
      <c r="W117" s="416"/>
      <c r="X117" s="2066"/>
      <c r="Y117" s="416"/>
      <c r="Z117" s="2011"/>
      <c r="AA117" s="416"/>
      <c r="AB117" s="1001" t="str">
        <f>"объём "&amp;IF(Q85="Водоснабжение","потребления холодной воды","водоотведения")</f>
        <v>объём потребления холодной воды</v>
      </c>
      <c r="AC117" s="783" t="s">
        <v>563</v>
      </c>
      <c r="AD117" s="1443">
        <f ca="1">IF(AND(method_reg="Метод индексации",god&lt;&gt;first_year),SUMIFS(INDEX('Калькуляция (МИ корр)'!$AJ$25:$BC$459,,MATCH(AD$8,'Калькуляция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(МИ)'!$AJ$25:$BC$459,,MATCH(AD$8,'Калькуляция (МИ)'!$AJ$8:$BC$8,0)),'Калькуляция (МИ)'!$F$25:$F$459,$F117,'Калькуляция (МИ)'!$G$25:$G$459,$G117))))</f>
        <v>1156.6303949999999</v>
      </c>
      <c r="AE117" s="1443">
        <f ca="1">IF(AND(method_reg="Метод индексации",god&lt;&gt;first_year),SUMIFS(INDEX('Калькуляция (МИ корр)'!$AJ$25:$BC$459,,MATCH(AE$8,'Калькуляция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(МИ)'!$AJ$25:$BC$459,,MATCH(AE$8,'Калькуляция (МИ)'!$AJ$8:$BC$8,0)),'Калькуляция (МИ)'!$F$25:$F$459,$F117,'Калькуляция (МИ)'!$G$25:$G$459,$G117))))</f>
        <v>1093.1671160000001</v>
      </c>
      <c r="AF117" s="1005">
        <f ca="1">IF(AD117=0,0,(AE117-AD117)/AD117*100)</f>
        <v>-5.4869108813278107</v>
      </c>
      <c r="AG117" s="1443">
        <f ca="1">IF(AND(method_reg="Метод индексации",god&lt;&gt;first_year),SUMIFS(INDEX('Калькуляция (МИ корр)'!$AJ$25:$BC$459,,MATCH(AG$8,'Калькуляция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(МИ)'!$AJ$25:$BC$459,,MATCH(AG$8,'Калькуляция (МИ)'!$AJ$8:$BC$8,0)),'Калькуляция (МИ)'!$F$25:$F$459,$F117,'Калькуляция (МИ)'!$G$25:$G$459,$G117))))</f>
        <v>1156.6303949999999</v>
      </c>
      <c r="AH117" s="1443">
        <f ca="1">IF(AND(method_reg="Метод индексации",god&lt;&gt;first_year),SUMIFS(INDEX('Калькуляция (МИ корр)'!$AJ$25:$BC$459,,MATCH(AH$8,'Калькуляция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(МИ)'!$AJ$25:$BC$459,,MATCH(AH$8,'Калькуляция (МИ)'!$AJ$8:$BC$8,0)),'Калькуляция (МИ)'!$F$25:$F$459,$F117,'Калькуляция (МИ)'!$G$25:$G$459,$G117))))</f>
        <v>1093.1671160000001</v>
      </c>
      <c r="AI117" s="1005">
        <f ca="1">IF(AG117=0,0,(AH117-AG117)/AG117*100)</f>
        <v>-5.4869108813278107</v>
      </c>
      <c r="AJ117" s="1443">
        <f ca="1">IF(AND(method_reg="Метод индексации",god&lt;&gt;first_year),SUMIFS(INDEX('Калькуляция (МИ корр)'!$AJ$25:$BC$459,,MATCH(AJ$8,'Калькуляция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(МИ)'!$AJ$25:$BC$459,,MATCH(AJ$8,'Калькуляция (МИ)'!$AJ$8:$BC$8,0)),'Калькуляция (МИ)'!$F$25:$F$459,$F117,'Калькуляция (МИ)'!$G$25:$G$459,$G117))))</f>
        <v>1156.6303949999999</v>
      </c>
      <c r="AK117" s="1443">
        <f ca="1">IF(AND(method_reg="Метод индексации",god&lt;&gt;first_year),SUMIFS(INDEX('Калькуляция (МИ корр)'!$AJ$25:$BC$459,,MATCH(AK$8,'Калькуляция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(МИ)'!$AJ$25:$BC$459,,MATCH(AK$8,'Калькуляция (МИ)'!$AJ$8:$BC$8,0)),'Калькуляция (МИ)'!$F$25:$F$459,$F117,'Калькуляция (МИ)'!$G$25:$G$459,$G117))))</f>
        <v>1093.1671160000001</v>
      </c>
      <c r="AL117" s="1005">
        <f ca="1">IF(AJ117=0,0,(AK117-AJ117)/AJ117*100)</f>
        <v>-5.4869108813278107</v>
      </c>
      <c r="AM117" s="1443">
        <f ca="1">IF(AND(method_reg="Метод индексации",god&lt;&gt;first_year),SUMIFS(INDEX('Калькуляция (МИ корр)'!$AJ$25:$BC$459,,MATCH(AM$8,'Калькуляция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(МИ)'!$AJ$25:$BC$459,,MATCH(AM$8,'Калькуляция (МИ)'!$AJ$8:$BC$8,0)),'Калькуляция (МИ)'!$F$25:$F$459,$F117,'Калькуляция (МИ)'!$G$25:$G$459,$G117))))</f>
        <v>1156.6303949999999</v>
      </c>
      <c r="AN117" s="1443">
        <f ca="1">IF(AND(method_reg="Метод индексации",god&lt;&gt;first_year),SUMIFS(INDEX('Калькуляция (МИ корр)'!$AJ$25:$BC$459,,MATCH(AN$8,'Калькуляция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(МИ)'!$AJ$25:$BC$459,,MATCH(AN$8,'Калькуляция (МИ)'!$AJ$8:$BC$8,0)),'Калькуляция (МИ)'!$F$25:$F$459,$F117,'Калькуляция (МИ)'!$G$25:$G$459,$G117))))</f>
        <v>1093.1671160000001</v>
      </c>
      <c r="AO117" s="1005">
        <f ca="1">IF(AM117=0,0,(AN117-AM117)/AM117*100)</f>
        <v>-5.4869108813278107</v>
      </c>
      <c r="AP117" s="1443">
        <f ca="1">IF(AND(method_reg="Метод индексации",god&lt;&gt;first_year),SUMIFS(INDEX('Калькуляция (МИ корр)'!$AJ$25:$BC$459,,MATCH(AP$8,'Калькуляция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(МИ)'!$AJ$25:$BC$459,,MATCH(AP$8,'Калькуляция (МИ)'!$AJ$8:$BC$8,0)),'Калькуляция (МИ)'!$F$25:$F$459,$F117,'Калькуляция (МИ)'!$G$25:$G$459,$G117))))</f>
        <v>1156.6303949999999</v>
      </c>
      <c r="AQ117" s="1443">
        <f ca="1">IF(AND(method_reg="Метод индексации",god&lt;&gt;first_year),SUMIFS(INDEX('Калькуляция (МИ корр)'!$AJ$25:$BC$459,,MATCH(AQ$8,'Калькуляция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(МИ)'!$AJ$25:$BC$459,,MATCH(AQ$8,'Калькуляция (МИ)'!$AJ$8:$BC$8,0)),'Калькуляция (МИ)'!$F$25:$F$459,$F117,'Калькуляция (МИ)'!$G$25:$G$459,$G117))))</f>
        <v>1093.1671160000001</v>
      </c>
      <c r="AR117" s="1005">
        <f ca="1">IF(AP117=0,0,(AQ117-AP117)/AP117*100)</f>
        <v>-5.4869108813278107</v>
      </c>
      <c r="AS117" s="1443">
        <f ca="1">IF(AND(method_reg="Метод индексации",god&lt;&gt;first_year),SUMIFS(INDEX('Калькуляция (МИ корр)'!$AJ$25:$BC$459,,MATCH(AS$8,'Калькуляция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(МИ)'!$AJ$25:$BC$459,,MATCH(AS$8,'Калькуляция (МИ)'!$AJ$8:$BC$8,0)),'Калькуляция (МИ)'!$F$25:$F$459,$F117,'Калькуляция (МИ)'!$G$25:$G$459,$G117))))</f>
        <v>1156.6303949999999</v>
      </c>
      <c r="AT117" s="1443">
        <f ca="1">IF(AND(method_reg="Метод индексации",god&lt;&gt;first_year),SUMIFS(INDEX('Калькуляция (МИ корр)'!$AJ$25:$BC$459,,MATCH(AT$8,'Калькуляция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(МИ)'!$AJ$25:$BC$459,,MATCH(AT$8,'Калькуляция (МИ)'!$AJ$8:$BC$8,0)),'Калькуляция (МИ)'!$F$25:$F$459,$F117,'Калькуляция (МИ)'!$G$25:$G$459,$G117))))</f>
        <v>1093.1671160000001</v>
      </c>
      <c r="AU117" s="1005">
        <f ca="1">IF(AS117=0,0,(AT117-AS117)/AS117*100)</f>
        <v>-5.4869108813278107</v>
      </c>
      <c r="AV117" s="1443">
        <f ca="1">IF(AND(method_reg="Метод индексации",god&lt;&gt;first_year),SUMIFS(INDEX('Калькуляция (МИ корр)'!$AJ$25:$BC$459,,MATCH(AV$8,'Калькуляция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(МИ)'!$AJ$25:$BC$459,,MATCH(AV$8,'Калькуляция (МИ)'!$AJ$8:$BC$8,0)),'Калькуляция (МИ)'!$F$25:$F$459,$F117,'Калькуляция (МИ)'!$G$25:$G$459,$G117))))</f>
        <v>1156.6303949999999</v>
      </c>
      <c r="AW117" s="1443">
        <f ca="1">IF(AND(method_reg="Метод индексации",god&lt;&gt;first_year),SUMIFS(INDEX('Калькуляция (МИ корр)'!$AJ$25:$BC$459,,MATCH(AW$8,'Калькуляция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(МИ)'!$AJ$25:$BC$459,,MATCH(AW$8,'Калькуляция (МИ)'!$AJ$8:$BC$8,0)),'Калькуляция (МИ)'!$F$25:$F$459,$F117,'Калькуляция (МИ)'!$G$25:$G$459,$G117))))</f>
        <v>1093.1671160000001</v>
      </c>
      <c r="AX117" s="1005">
        <f ca="1">IF(AV117=0,0,(AW117-AV117)/AV117*100)</f>
        <v>-5.4869108813278107</v>
      </c>
      <c r="AY117" s="1443">
        <f ca="1">IF(AND(method_reg="Метод индексации",god&lt;&gt;first_year),SUMIFS(INDEX('Калькуляция (МИ корр)'!$AJ$25:$BC$459,,MATCH(AY$8,'Калькуляция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(МИ)'!$AJ$25:$BC$459,,MATCH(AY$8,'Калькуляция (МИ)'!$AJ$8:$BC$8,0)),'Калькуляция (МИ)'!$F$25:$F$459,$F117,'Калькуляция (МИ)'!$G$25:$G$459,$G117))))</f>
        <v>0</v>
      </c>
      <c r="AZ117" s="1443">
        <f ca="1">IF(AND(method_reg="Метод индексации",god&lt;&gt;first_year),SUMIFS(INDEX('Калькуляция (МИ корр)'!$AJ$25:$BC$459,,MATCH(AZ$8,'Калькуляция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(МИ)'!$AJ$25:$BC$459,,MATCH(AZ$8,'Калькуляция (МИ)'!$AJ$8:$BC$8,0)),'Калькуляция (МИ)'!$F$25:$F$459,$F117,'Калькуляция (МИ)'!$G$25:$G$459,$G117))))</f>
        <v>0</v>
      </c>
      <c r="BA117" s="1005">
        <f ca="1">IF(AY117=0,0,(AZ117-AY117)/AY117*100)</f>
        <v>0</v>
      </c>
      <c r="BB117" s="1443">
        <f ca="1">IF(AND(method_reg="Метод индексации",god&lt;&gt;first_year),SUMIFS(INDEX('Калькуляция (МИ корр)'!$AJ$25:$BC$459,,MATCH(BB$8,'Калькуляция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(МИ)'!$AJ$25:$BC$459,,MATCH(BB$8,'Калькуляция (МИ)'!$AJ$8:$BC$8,0)),'Калькуляция (МИ)'!$F$25:$F$459,$F117,'Калькуляция (МИ)'!$G$25:$G$459,$G117))))</f>
        <v>0</v>
      </c>
      <c r="BC117" s="1443">
        <f ca="1">IF(AND(method_reg="Метод индексации",god&lt;&gt;first_year),SUMIFS(INDEX('Калькуляция (МИ корр)'!$AJ$25:$BC$459,,MATCH(BC$8,'Калькуляция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(МИ)'!$AJ$25:$BC$459,,MATCH(BC$8,'Калькуляция (МИ)'!$AJ$8:$BC$8,0)),'Калькуляция (МИ)'!$F$25:$F$459,$F117,'Калькуляция (МИ)'!$G$25:$G$459,$G117))))</f>
        <v>0</v>
      </c>
      <c r="BD117" s="1005">
        <f ca="1">IF(BB117=0,0,(BC117-BB117)/BB117*100)</f>
        <v>0</v>
      </c>
      <c r="BE117" s="1443">
        <f ca="1">IF(AND(method_reg="Метод индексации",god&lt;&gt;first_year),SUMIFS(INDEX('Калькуляция (МИ корр)'!$AJ$25:$BC$459,,MATCH(BE$8,'Калькуляция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(МИ)'!$AJ$25:$BC$459,,MATCH(BE$8,'Калькуляция (МИ)'!$AJ$8:$BC$8,0)),'Калькуляция (МИ)'!$F$25:$F$459,$F117,'Калькуляция (МИ)'!$G$25:$G$459,$G117))))</f>
        <v>0</v>
      </c>
      <c r="BF117" s="1443">
        <f ca="1">IF(AND(method_reg="Метод индексации",god&lt;&gt;first_year),SUMIFS(INDEX('Калькуляция (МИ корр)'!$AJ$25:$BC$459,,MATCH(BF$8,'Калькуляция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(МИ)'!$AJ$25:$BC$459,,MATCH(BF$8,'Калькуляция (МИ)'!$AJ$8:$BC$8,0)),'Калькуляция (МИ)'!$F$25:$F$459,$F117,'Калькуляция (МИ)'!$G$25:$G$459,$G117))))</f>
        <v>0</v>
      </c>
      <c r="BG117" s="1005">
        <f ca="1">IF(BE117=0,0,(BF117-BE117)/BE117*100)</f>
        <v>0</v>
      </c>
      <c r="BH117" s="1443"/>
      <c r="BI117" s="1443"/>
      <c r="BJ117" s="1005">
        <f>IF(BH117=0,0,(BI117-BH117)/BH117*100)</f>
        <v>0</v>
      </c>
      <c r="BK117" s="1443"/>
      <c r="BL117" s="1443"/>
      <c r="BM117" s="1005">
        <f>IF(BK117=0,0,(BL117-BK117)/BK117*100)</f>
        <v>0</v>
      </c>
      <c r="BN117" s="1443"/>
      <c r="BO117" s="1443"/>
      <c r="BP117" s="1005">
        <f>IF(BN117=0,0,(BO117-BN117)/BN117*100)</f>
        <v>0</v>
      </c>
      <c r="BQ117" s="1443"/>
      <c r="BR117" s="1443"/>
      <c r="BS117" s="1005">
        <f>IF(BQ117=0,0,(BR117-BQ117)/BQ117*100)</f>
        <v>0</v>
      </c>
      <c r="BT117" s="1443"/>
      <c r="BU117" s="1443"/>
      <c r="BV117" s="1005">
        <f>IF(BT117=0,0,(BU117-BT117)/BT117*100)</f>
        <v>0</v>
      </c>
      <c r="BW117" s="1443"/>
      <c r="BX117" s="1443"/>
      <c r="BY117" s="1005">
        <f>IF(BW117=0,0,(BX117-BW117)/BW117*100)</f>
        <v>0</v>
      </c>
      <c r="BZ117" s="1443"/>
      <c r="CA117" s="1443"/>
      <c r="CB117" s="1005">
        <f>IF(BZ117=0,0,(CA117-BZ117)/BZ117*100)</f>
        <v>0</v>
      </c>
      <c r="CC117" s="1443"/>
      <c r="CD117" s="1443"/>
      <c r="CE117" s="1005">
        <f>IF(CC117=0,0,(CD117-CC117)/CC117*100)</f>
        <v>0</v>
      </c>
      <c r="CF117" s="1443"/>
      <c r="CG117" s="1443"/>
      <c r="CH117" s="1005">
        <f>IF(CF117=0,0,(CG117-CF117)/CF117*100)</f>
        <v>0</v>
      </c>
      <c r="CI117" s="1443"/>
      <c r="CJ117" s="1443"/>
      <c r="CK117" s="1005">
        <f>IF(CI117=0,0,(CJ117-CI117)/CI117*100)</f>
        <v>0</v>
      </c>
      <c r="CL117" s="1443"/>
      <c r="CM117" s="1443"/>
      <c r="CN117" s="1005">
        <f>IF(CL117=0,0,(CM117-CL117)/CL117*100)</f>
        <v>0</v>
      </c>
      <c r="CO117" s="1443"/>
      <c r="CP117" s="1443"/>
      <c r="CQ117" s="1005">
        <f>IF(CO117=0,0,(CP117-CO117)/CO117*100)</f>
        <v>0</v>
      </c>
      <c r="CR117" s="1443"/>
      <c r="CS117" s="1443"/>
      <c r="CT117" s="1005">
        <f>IF(CR117=0,0,(CS117-CR117)/CR117*100)</f>
        <v>0</v>
      </c>
      <c r="CU117" s="1443"/>
      <c r="CV117" s="1443"/>
      <c r="CW117" s="1005">
        <f>IF(CU117=0,0,(CV117-CU117)/CU117*100)</f>
        <v>0</v>
      </c>
      <c r="CX117" s="1443"/>
      <c r="CY117" s="1443"/>
      <c r="CZ117" s="1005">
        <f>IF(CX117=0,0,(CY117-CX117)/CX117*100)</f>
        <v>0</v>
      </c>
      <c r="DA117" s="1443"/>
      <c r="DB117" s="1443"/>
      <c r="DC117" s="1005">
        <f>IF(DA117=0,0,(DB117-DA117)/DA117*100)</f>
        <v>0</v>
      </c>
      <c r="DD117" s="1443"/>
      <c r="DE117" s="1443"/>
      <c r="DF117" s="1005">
        <f>IF(DD117=0,0,(DE117-DD117)/DD117*100)</f>
        <v>0</v>
      </c>
      <c r="DG117" s="1443"/>
      <c r="DH117" s="1443"/>
      <c r="DI117" s="1005">
        <f>IF(DG117=0,0,(DH117-DG117)/DG117*100)</f>
        <v>0</v>
      </c>
      <c r="DJ117" s="1443"/>
      <c r="DK117" s="1443"/>
      <c r="DL117" s="1005">
        <f>IF(DJ117=0,0,(DK117-DJ117)/DJ117*100)</f>
        <v>0</v>
      </c>
      <c r="DM117" s="1443"/>
      <c r="DN117" s="1443"/>
      <c r="DO117" s="1005">
        <f>IF(DM117=0,0,(DN117-DM117)/DM117*100)</f>
        <v>0</v>
      </c>
      <c r="DP117" s="1443"/>
      <c r="DQ117" s="1443"/>
      <c r="DR117" s="1005">
        <f>IF(DP117=0,0,(DQ117-DP117)/DP117*100)</f>
        <v>0</v>
      </c>
      <c r="DS117" s="1443"/>
      <c r="DT117" s="1443"/>
      <c r="DU117" s="1005">
        <f>IF(DS117=0,0,(DT117-DS117)/DS117*100)</f>
        <v>0</v>
      </c>
      <c r="DV117" s="1443"/>
      <c r="DW117" s="1443"/>
      <c r="DX117" s="1005">
        <f>IF(DV117=0,0,(DW117-DV117)/DV117*100)</f>
        <v>0</v>
      </c>
      <c r="DY117" s="1443"/>
      <c r="DZ117" s="1443"/>
      <c r="EA117" s="1005">
        <f>IF(DY117=0,0,(DZ117-DY117)/DY117*100)</f>
        <v>0</v>
      </c>
      <c r="EB117" s="1443"/>
      <c r="EC117" s="1443"/>
      <c r="ED117" s="1005">
        <f>IF(EB117=0,0,(EC117-EB117)/EB117*100)</f>
        <v>0</v>
      </c>
      <c r="EE117" s="1443"/>
      <c r="EF117" s="1443"/>
      <c r="EG117" s="1005">
        <f>IF(EE117=0,0,(EF117-EE117)/EE117*100)</f>
        <v>0</v>
      </c>
      <c r="EH117" s="1443"/>
      <c r="EI117" s="1443"/>
      <c r="EJ117" s="1005">
        <f>IF(EH117=0,0,(EI117-EH117)/EH117*100)</f>
        <v>0</v>
      </c>
      <c r="EK117" s="1443"/>
      <c r="EL117" s="1443"/>
      <c r="EM117" s="1005">
        <f>IF(EK117=0,0,(EL117-EK117)/EK117*100)</f>
        <v>0</v>
      </c>
      <c r="EN117" s="1443"/>
      <c r="EO117" s="1443"/>
      <c r="EP117" s="1005">
        <f>IF(EN117=0,0,(EO117-EN117)/EN117*100)</f>
        <v>0</v>
      </c>
      <c r="EQ117" s="1443"/>
      <c r="ER117" s="1443"/>
      <c r="ES117" s="1005">
        <f>IF(EQ117=0,0,(ER117-EQ117)/EQ117*100)</f>
        <v>0</v>
      </c>
      <c r="ET117" s="1443"/>
      <c r="EU117" s="1443"/>
      <c r="EV117" s="1005">
        <f>IF(ET117=0,0,(EU117-ET117)/ET117*100)</f>
        <v>0</v>
      </c>
      <c r="EW117" s="1443"/>
      <c r="EX117" s="1443"/>
      <c r="EY117" s="1005">
        <f>IF(EW117=0,0,(EX117-EW117)/EW117*100)</f>
        <v>0</v>
      </c>
      <c r="EZ117" s="1443"/>
      <c r="FA117" s="1443"/>
      <c r="FB117" s="1005">
        <f>IF(EZ117=0,0,(FA117-EZ117)/EZ117*100)</f>
        <v>0</v>
      </c>
      <c r="FC117" s="1443"/>
      <c r="FD117" s="1443"/>
      <c r="FE117" s="1005">
        <f>IF(FC117=0,0,(FD117-FC117)/FC117*100)</f>
        <v>0</v>
      </c>
      <c r="FF117" s="1443"/>
      <c r="FG117" s="1443"/>
      <c r="FH117" s="1005">
        <f>IF(FF117=0,0,(FG117-FF117)/FF117*100)</f>
        <v>0</v>
      </c>
      <c r="FI117" s="1443"/>
      <c r="FJ117" s="1443"/>
      <c r="FK117" s="1005">
        <f>IF(FI117=0,0,(FJ117-FI117)/FI117*100)</f>
        <v>0</v>
      </c>
      <c r="FL117" s="1443"/>
      <c r="FM117" s="1443"/>
      <c r="FN117" s="1005">
        <f>IF(FL117=0,0,(FM117-FL117)/FL117*100)</f>
        <v>0</v>
      </c>
      <c r="FO117" s="1443"/>
      <c r="FP117" s="1443"/>
      <c r="FQ117" s="1005">
        <f>IF(FO117=0,0,(FP117-FO117)/FO117*100)</f>
        <v>0</v>
      </c>
      <c r="FR117" s="1443"/>
      <c r="FS117" s="1443"/>
      <c r="FT117" s="1005">
        <f>IF(FR117=0,0,(FS117-FR117)/FR117*100)</f>
        <v>0</v>
      </c>
      <c r="FU117" s="1443"/>
      <c r="FV117" s="1443"/>
      <c r="FW117" s="1005">
        <f>IF(FU117=0,0,(FV117-FU117)/FU117*100)</f>
        <v>0</v>
      </c>
      <c r="FX117" s="1214"/>
      <c r="FY117" s="1214"/>
      <c r="FZ117" s="964" t="s">
        <v>1645</v>
      </c>
      <c r="GA117" s="1216"/>
      <c r="GB117" s="1216"/>
      <c r="GC117" s="1215"/>
      <c r="GD117" s="1215"/>
    </row>
    <row r="118" spans="1:186" s="1334" customFormat="1" ht="21.75" hidden="1" customHeight="1" x14ac:dyDescent="0.15">
      <c r="A118" s="416"/>
      <c r="B118" s="837" t="b" cm="1">
        <f t="array" ref="B118">B117</f>
        <v>0</v>
      </c>
      <c r="C118" s="416"/>
      <c r="D118" s="416"/>
      <c r="E118" s="759">
        <v>22.5</v>
      </c>
      <c r="F118" s="3" t="str" cm="1">
        <f t="array" aca="1" ref="F118" ca="1">OFFSET(E118,-1,1)</f>
        <v>1</v>
      </c>
      <c r="G118" s="416"/>
      <c r="H118" s="416" t="s">
        <v>1627</v>
      </c>
      <c r="I118" s="416" t="s">
        <v>1601</v>
      </c>
      <c r="J118" s="416"/>
      <c r="K118" s="416"/>
      <c r="L118" s="416"/>
      <c r="M118" s="416"/>
      <c r="N118" s="416"/>
      <c r="O118" s="416"/>
      <c r="P118" s="416"/>
      <c r="Q118" s="416"/>
      <c r="R118" s="416"/>
      <c r="S118" s="416"/>
      <c r="T118" s="388" t="b" cm="1">
        <f t="array" aca="1" ref="T118" ca="1">T117</f>
        <v>1</v>
      </c>
      <c r="U118" s="416"/>
      <c r="V118" s="416"/>
      <c r="W118" s="416"/>
      <c r="X118" s="2066"/>
      <c r="Y118" s="416"/>
      <c r="Z118" s="2011"/>
      <c r="AA118" s="416"/>
      <c r="AB118" s="1001"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8" s="783" t="s">
        <v>1628</v>
      </c>
      <c r="AD118" s="1445"/>
      <c r="AE118" s="1445"/>
      <c r="AF118" s="1003">
        <f>IF(AD118=0,0,(AE118-AD118)/AD118*100)</f>
        <v>0</v>
      </c>
      <c r="AG118" s="1445"/>
      <c r="AH118" s="1445"/>
      <c r="AI118" s="1003">
        <f>IF(AG118=0,0,(AH118-AG118)/AG118*100)</f>
        <v>0</v>
      </c>
      <c r="AJ118" s="1445"/>
      <c r="AK118" s="1445"/>
      <c r="AL118" s="1003">
        <f>IF(AJ118=0,0,(AK118-AJ118)/AJ118*100)</f>
        <v>0</v>
      </c>
      <c r="AM118" s="1445"/>
      <c r="AN118" s="1445"/>
      <c r="AO118" s="1003">
        <f>IF(AM118=0,0,(AN118-AM118)/AM118*100)</f>
        <v>0</v>
      </c>
      <c r="AP118" s="1445"/>
      <c r="AQ118" s="1445"/>
      <c r="AR118" s="1003">
        <f>IF(AP118=0,0,(AQ118-AP118)/AP118*100)</f>
        <v>0</v>
      </c>
      <c r="AS118" s="1445"/>
      <c r="AT118" s="1445"/>
      <c r="AU118" s="1003">
        <f>IF(AS118=0,0,(AT118-AS118)/AS118*100)</f>
        <v>0</v>
      </c>
      <c r="AV118" s="1445"/>
      <c r="AW118" s="1445"/>
      <c r="AX118" s="1003">
        <f>IF(AV118=0,0,(AW118-AV118)/AV118*100)</f>
        <v>0</v>
      </c>
      <c r="AY118" s="1445"/>
      <c r="AZ118" s="1445"/>
      <c r="BA118" s="1003">
        <f>IF(AY118=0,0,(AZ118-AY118)/AY118*100)</f>
        <v>0</v>
      </c>
      <c r="BB118" s="1445"/>
      <c r="BC118" s="1445"/>
      <c r="BD118" s="1003">
        <f>IF(BB118=0,0,(BC118-BB118)/BB118*100)</f>
        <v>0</v>
      </c>
      <c r="BE118" s="1445"/>
      <c r="BF118" s="1445"/>
      <c r="BG118" s="1003">
        <f>IF(BE118=0,0,(BF118-BE118)/BE118*100)</f>
        <v>0</v>
      </c>
      <c r="BH118" s="1445"/>
      <c r="BI118" s="1445"/>
      <c r="BJ118" s="1003">
        <f>IF(BH118=0,0,(BI118-BH118)/BH118*100)</f>
        <v>0</v>
      </c>
      <c r="BK118" s="1445"/>
      <c r="BL118" s="1445"/>
      <c r="BM118" s="1003">
        <f>IF(BK118=0,0,(BL118-BK118)/BK118*100)</f>
        <v>0</v>
      </c>
      <c r="BN118" s="1445"/>
      <c r="BO118" s="1445"/>
      <c r="BP118" s="1003">
        <f>IF(BN118=0,0,(BO118-BN118)/BN118*100)</f>
        <v>0</v>
      </c>
      <c r="BQ118" s="1445"/>
      <c r="BR118" s="1445"/>
      <c r="BS118" s="1003">
        <f>IF(BQ118=0,0,(BR118-BQ118)/BQ118*100)</f>
        <v>0</v>
      </c>
      <c r="BT118" s="1445"/>
      <c r="BU118" s="1445"/>
      <c r="BV118" s="1003">
        <f>IF(BT118=0,0,(BU118-BT118)/BT118*100)</f>
        <v>0</v>
      </c>
      <c r="BW118" s="1445"/>
      <c r="BX118" s="1445"/>
      <c r="BY118" s="1003">
        <f>IF(BW118=0,0,(BX118-BW118)/BW118*100)</f>
        <v>0</v>
      </c>
      <c r="BZ118" s="1445"/>
      <c r="CA118" s="1445"/>
      <c r="CB118" s="1003">
        <f>IF(BZ118=0,0,(CA118-BZ118)/BZ118*100)</f>
        <v>0</v>
      </c>
      <c r="CC118" s="1445"/>
      <c r="CD118" s="1445"/>
      <c r="CE118" s="1003">
        <f>IF(CC118=0,0,(CD118-CC118)/CC118*100)</f>
        <v>0</v>
      </c>
      <c r="CF118" s="1445"/>
      <c r="CG118" s="1445"/>
      <c r="CH118" s="1003">
        <f>IF(CF118=0,0,(CG118-CF118)/CF118*100)</f>
        <v>0</v>
      </c>
      <c r="CI118" s="1445"/>
      <c r="CJ118" s="1445"/>
      <c r="CK118" s="1003">
        <f>IF(CI118=0,0,(CJ118-CI118)/CI118*100)</f>
        <v>0</v>
      </c>
      <c r="CL118" s="1445"/>
      <c r="CM118" s="1445"/>
      <c r="CN118" s="1003">
        <f>IF(CL118=0,0,(CM118-CL118)/CL118*100)</f>
        <v>0</v>
      </c>
      <c r="CO118" s="1445"/>
      <c r="CP118" s="1445"/>
      <c r="CQ118" s="1003">
        <f>IF(CO118=0,0,(CP118-CO118)/CO118*100)</f>
        <v>0</v>
      </c>
      <c r="CR118" s="1445"/>
      <c r="CS118" s="1445"/>
      <c r="CT118" s="1003">
        <f>IF(CR118=0,0,(CS118-CR118)/CR118*100)</f>
        <v>0</v>
      </c>
      <c r="CU118" s="1445"/>
      <c r="CV118" s="1445"/>
      <c r="CW118" s="1003">
        <f>IF(CU118=0,0,(CV118-CU118)/CU118*100)</f>
        <v>0</v>
      </c>
      <c r="CX118" s="1445"/>
      <c r="CY118" s="1445"/>
      <c r="CZ118" s="1003">
        <f>IF(CX118=0,0,(CY118-CX118)/CX118*100)</f>
        <v>0</v>
      </c>
      <c r="DA118" s="1445"/>
      <c r="DB118" s="1445"/>
      <c r="DC118" s="1003">
        <f>IF(DA118=0,0,(DB118-DA118)/DA118*100)</f>
        <v>0</v>
      </c>
      <c r="DD118" s="1445"/>
      <c r="DE118" s="1445"/>
      <c r="DF118" s="1003">
        <f>IF(DD118=0,0,(DE118-DD118)/DD118*100)</f>
        <v>0</v>
      </c>
      <c r="DG118" s="1445"/>
      <c r="DH118" s="1445"/>
      <c r="DI118" s="1003">
        <f>IF(DG118=0,0,(DH118-DG118)/DG118*100)</f>
        <v>0</v>
      </c>
      <c r="DJ118" s="1445"/>
      <c r="DK118" s="1445"/>
      <c r="DL118" s="1003">
        <f>IF(DJ118=0,0,(DK118-DJ118)/DJ118*100)</f>
        <v>0</v>
      </c>
      <c r="DM118" s="1445"/>
      <c r="DN118" s="1445"/>
      <c r="DO118" s="1003">
        <f>IF(DM118=0,0,(DN118-DM118)/DM118*100)</f>
        <v>0</v>
      </c>
      <c r="DP118" s="1445"/>
      <c r="DQ118" s="1445"/>
      <c r="DR118" s="1003">
        <f>IF(DP118=0,0,(DQ118-DP118)/DP118*100)</f>
        <v>0</v>
      </c>
      <c r="DS118" s="1445"/>
      <c r="DT118" s="1445"/>
      <c r="DU118" s="1003">
        <f>IF(DS118=0,0,(DT118-DS118)/DS118*100)</f>
        <v>0</v>
      </c>
      <c r="DV118" s="1445"/>
      <c r="DW118" s="1445"/>
      <c r="DX118" s="1003">
        <f>IF(DV118=0,0,(DW118-DV118)/DV118*100)</f>
        <v>0</v>
      </c>
      <c r="DY118" s="1445"/>
      <c r="DZ118" s="1445"/>
      <c r="EA118" s="1003">
        <f>IF(DY118=0,0,(DZ118-DY118)/DY118*100)</f>
        <v>0</v>
      </c>
      <c r="EB118" s="1445"/>
      <c r="EC118" s="1445"/>
      <c r="ED118" s="1003">
        <f>IF(EB118=0,0,(EC118-EB118)/EB118*100)</f>
        <v>0</v>
      </c>
      <c r="EE118" s="1445"/>
      <c r="EF118" s="1445"/>
      <c r="EG118" s="1003">
        <f>IF(EE118=0,0,(EF118-EE118)/EE118*100)</f>
        <v>0</v>
      </c>
      <c r="EH118" s="1445"/>
      <c r="EI118" s="1445"/>
      <c r="EJ118" s="1003">
        <f>IF(EH118=0,0,(EI118-EH118)/EH118*100)</f>
        <v>0</v>
      </c>
      <c r="EK118" s="1445"/>
      <c r="EL118" s="1445"/>
      <c r="EM118" s="1003">
        <f>IF(EK118=0,0,(EL118-EK118)/EK118*100)</f>
        <v>0</v>
      </c>
      <c r="EN118" s="1445"/>
      <c r="EO118" s="1445"/>
      <c r="EP118" s="1003">
        <f>IF(EN118=0,0,(EO118-EN118)/EN118*100)</f>
        <v>0</v>
      </c>
      <c r="EQ118" s="1445"/>
      <c r="ER118" s="1445"/>
      <c r="ES118" s="1003">
        <f>IF(EQ118=0,0,(ER118-EQ118)/EQ118*100)</f>
        <v>0</v>
      </c>
      <c r="ET118" s="1445"/>
      <c r="EU118" s="1445"/>
      <c r="EV118" s="1003">
        <f>IF(ET118=0,0,(EU118-ET118)/ET118*100)</f>
        <v>0</v>
      </c>
      <c r="EW118" s="1445"/>
      <c r="EX118" s="1445"/>
      <c r="EY118" s="1003">
        <f>IF(EW118=0,0,(EX118-EW118)/EW118*100)</f>
        <v>0</v>
      </c>
      <c r="EZ118" s="1445"/>
      <c r="FA118" s="1445"/>
      <c r="FB118" s="1003">
        <f>IF(EZ118=0,0,(FA118-EZ118)/EZ118*100)</f>
        <v>0</v>
      </c>
      <c r="FC118" s="1445"/>
      <c r="FD118" s="1445"/>
      <c r="FE118" s="1003">
        <f>IF(FC118=0,0,(FD118-FC118)/FC118*100)</f>
        <v>0</v>
      </c>
      <c r="FF118" s="1445"/>
      <c r="FG118" s="1445"/>
      <c r="FH118" s="1003">
        <f>IF(FF118=0,0,(FG118-FF118)/FF118*100)</f>
        <v>0</v>
      </c>
      <c r="FI118" s="1445"/>
      <c r="FJ118" s="1445"/>
      <c r="FK118" s="1003">
        <f>IF(FI118=0,0,(FJ118-FI118)/FI118*100)</f>
        <v>0</v>
      </c>
      <c r="FL118" s="1445"/>
      <c r="FM118" s="1445"/>
      <c r="FN118" s="1003">
        <f>IF(FL118=0,0,(FM118-FL118)/FL118*100)</f>
        <v>0</v>
      </c>
      <c r="FO118" s="1445"/>
      <c r="FP118" s="1445"/>
      <c r="FQ118" s="1003">
        <f>IF(FO118=0,0,(FP118-FO118)/FO118*100)</f>
        <v>0</v>
      </c>
      <c r="FR118" s="1445"/>
      <c r="FS118" s="1445"/>
      <c r="FT118" s="1003">
        <f>IF(FR118=0,0,(FS118-FR118)/FR118*100)</f>
        <v>0</v>
      </c>
      <c r="FU118" s="1445"/>
      <c r="FV118" s="1445"/>
      <c r="FW118" s="1003">
        <f>IF(FU118=0,0,(FV118-FU118)/FU118*100)</f>
        <v>0</v>
      </c>
      <c r="FX118" s="1214"/>
      <c r="FY118" s="1214"/>
      <c r="FZ118" s="964" t="s">
        <v>1646</v>
      </c>
      <c r="GA118" s="1216"/>
      <c r="GB118" s="1216"/>
      <c r="GC118" s="1215"/>
      <c r="GD118" s="1215"/>
    </row>
    <row r="119" spans="1:186" s="1334" customFormat="1" ht="14.25" hidden="1" customHeight="1" x14ac:dyDescent="0.15">
      <c r="A119" s="416"/>
      <c r="B119" s="837" t="b" cm="1">
        <f t="array" ref="B119">B118</f>
        <v>0</v>
      </c>
      <c r="C119" s="416"/>
      <c r="D119" s="416"/>
      <c r="E119" s="759">
        <v>15</v>
      </c>
      <c r="F119" s="3" t="str" cm="1">
        <f t="array" aca="1" ref="F119" ca="1">OFFSET(E119,-1,1)</f>
        <v>1</v>
      </c>
      <c r="G119" s="416"/>
      <c r="H119" s="416" t="s">
        <v>1630</v>
      </c>
      <c r="I119" s="416" t="s">
        <v>1601</v>
      </c>
      <c r="J119" s="416"/>
      <c r="K119" s="416"/>
      <c r="L119" s="416"/>
      <c r="M119" s="416"/>
      <c r="N119" s="416"/>
      <c r="O119" s="416"/>
      <c r="P119" s="416"/>
      <c r="Q119" s="416"/>
      <c r="R119" s="416"/>
      <c r="S119" s="416"/>
      <c r="T119" s="388" t="b" cm="1">
        <f t="array" aca="1" ref="T119" ca="1">T118</f>
        <v>1</v>
      </c>
      <c r="U119" s="416"/>
      <c r="V119" s="416"/>
      <c r="W119" s="416"/>
      <c r="X119" s="2066"/>
      <c r="Y119" s="416"/>
      <c r="Z119" s="2011"/>
      <c r="AA119" s="416"/>
      <c r="AB119" s="1001" t="s">
        <v>1631</v>
      </c>
      <c r="AC119" s="783" t="s">
        <v>1632</v>
      </c>
      <c r="AD119" s="1445"/>
      <c r="AE119" s="1445"/>
      <c r="AF119" s="1003">
        <f>IF(AD119=0,0,(AE119-AD119)/AD119*100)</f>
        <v>0</v>
      </c>
      <c r="AG119" s="1445"/>
      <c r="AH119" s="1445"/>
      <c r="AI119" s="1003">
        <f>IF(AG119=0,0,(AH119-AG119)/AG119*100)</f>
        <v>0</v>
      </c>
      <c r="AJ119" s="1445"/>
      <c r="AK119" s="1445"/>
      <c r="AL119" s="1003">
        <f>IF(AJ119=0,0,(AK119-AJ119)/AJ119*100)</f>
        <v>0</v>
      </c>
      <c r="AM119" s="1445"/>
      <c r="AN119" s="1445"/>
      <c r="AO119" s="1003">
        <f>IF(AM119=0,0,(AN119-AM119)/AM119*100)</f>
        <v>0</v>
      </c>
      <c r="AP119" s="1445"/>
      <c r="AQ119" s="1445"/>
      <c r="AR119" s="1003">
        <f>IF(AP119=0,0,(AQ119-AP119)/AP119*100)</f>
        <v>0</v>
      </c>
      <c r="AS119" s="1445"/>
      <c r="AT119" s="1445"/>
      <c r="AU119" s="1003">
        <f>IF(AS119=0,0,(AT119-AS119)/AS119*100)</f>
        <v>0</v>
      </c>
      <c r="AV119" s="1445"/>
      <c r="AW119" s="1445"/>
      <c r="AX119" s="1003">
        <f>IF(AV119=0,0,(AW119-AV119)/AV119*100)</f>
        <v>0</v>
      </c>
      <c r="AY119" s="1445"/>
      <c r="AZ119" s="1445"/>
      <c r="BA119" s="1003">
        <f>IF(AY119=0,0,(AZ119-AY119)/AY119*100)</f>
        <v>0</v>
      </c>
      <c r="BB119" s="1445"/>
      <c r="BC119" s="1445"/>
      <c r="BD119" s="1003">
        <f>IF(BB119=0,0,(BC119-BB119)/BB119*100)</f>
        <v>0</v>
      </c>
      <c r="BE119" s="1445"/>
      <c r="BF119" s="1445"/>
      <c r="BG119" s="1003">
        <f>IF(BE119=0,0,(BF119-BE119)/BE119*100)</f>
        <v>0</v>
      </c>
      <c r="BH119" s="1445"/>
      <c r="BI119" s="1445"/>
      <c r="BJ119" s="1003">
        <f>IF(BH119=0,0,(BI119-BH119)/BH119*100)</f>
        <v>0</v>
      </c>
      <c r="BK119" s="1445"/>
      <c r="BL119" s="1445"/>
      <c r="BM119" s="1003">
        <f>IF(BK119=0,0,(BL119-BK119)/BK119*100)</f>
        <v>0</v>
      </c>
      <c r="BN119" s="1445"/>
      <c r="BO119" s="1445"/>
      <c r="BP119" s="1003">
        <f>IF(BN119=0,0,(BO119-BN119)/BN119*100)</f>
        <v>0</v>
      </c>
      <c r="BQ119" s="1445"/>
      <c r="BR119" s="1445"/>
      <c r="BS119" s="1003">
        <f>IF(BQ119=0,0,(BR119-BQ119)/BQ119*100)</f>
        <v>0</v>
      </c>
      <c r="BT119" s="1445"/>
      <c r="BU119" s="1445"/>
      <c r="BV119" s="1003">
        <f>IF(BT119=0,0,(BU119-BT119)/BT119*100)</f>
        <v>0</v>
      </c>
      <c r="BW119" s="1445"/>
      <c r="BX119" s="1445"/>
      <c r="BY119" s="1003">
        <f>IF(BW119=0,0,(BX119-BW119)/BW119*100)</f>
        <v>0</v>
      </c>
      <c r="BZ119" s="1445"/>
      <c r="CA119" s="1445"/>
      <c r="CB119" s="1003">
        <f>IF(BZ119=0,0,(CA119-BZ119)/BZ119*100)</f>
        <v>0</v>
      </c>
      <c r="CC119" s="1445"/>
      <c r="CD119" s="1445"/>
      <c r="CE119" s="1003">
        <f>IF(CC119=0,0,(CD119-CC119)/CC119*100)</f>
        <v>0</v>
      </c>
      <c r="CF119" s="1445"/>
      <c r="CG119" s="1445"/>
      <c r="CH119" s="1003">
        <f>IF(CF119=0,0,(CG119-CF119)/CF119*100)</f>
        <v>0</v>
      </c>
      <c r="CI119" s="1445"/>
      <c r="CJ119" s="1445"/>
      <c r="CK119" s="1003">
        <f>IF(CI119=0,0,(CJ119-CI119)/CI119*100)</f>
        <v>0</v>
      </c>
      <c r="CL119" s="1445"/>
      <c r="CM119" s="1445"/>
      <c r="CN119" s="1003">
        <f>IF(CL119=0,0,(CM119-CL119)/CL119*100)</f>
        <v>0</v>
      </c>
      <c r="CO119" s="1445"/>
      <c r="CP119" s="1445"/>
      <c r="CQ119" s="1003">
        <f>IF(CO119=0,0,(CP119-CO119)/CO119*100)</f>
        <v>0</v>
      </c>
      <c r="CR119" s="1445"/>
      <c r="CS119" s="1445"/>
      <c r="CT119" s="1003">
        <f>IF(CR119=0,0,(CS119-CR119)/CR119*100)</f>
        <v>0</v>
      </c>
      <c r="CU119" s="1445"/>
      <c r="CV119" s="1445"/>
      <c r="CW119" s="1003">
        <f>IF(CU119=0,0,(CV119-CU119)/CU119*100)</f>
        <v>0</v>
      </c>
      <c r="CX119" s="1445"/>
      <c r="CY119" s="1445"/>
      <c r="CZ119" s="1003">
        <f>IF(CX119=0,0,(CY119-CX119)/CX119*100)</f>
        <v>0</v>
      </c>
      <c r="DA119" s="1445"/>
      <c r="DB119" s="1445"/>
      <c r="DC119" s="1003">
        <f>IF(DA119=0,0,(DB119-DA119)/DA119*100)</f>
        <v>0</v>
      </c>
      <c r="DD119" s="1445"/>
      <c r="DE119" s="1445"/>
      <c r="DF119" s="1003">
        <f>IF(DD119=0,0,(DE119-DD119)/DD119*100)</f>
        <v>0</v>
      </c>
      <c r="DG119" s="1445"/>
      <c r="DH119" s="1445"/>
      <c r="DI119" s="1003">
        <f>IF(DG119=0,0,(DH119-DG119)/DG119*100)</f>
        <v>0</v>
      </c>
      <c r="DJ119" s="1445"/>
      <c r="DK119" s="1445"/>
      <c r="DL119" s="1003">
        <f>IF(DJ119=0,0,(DK119-DJ119)/DJ119*100)</f>
        <v>0</v>
      </c>
      <c r="DM119" s="1445"/>
      <c r="DN119" s="1445"/>
      <c r="DO119" s="1003">
        <f>IF(DM119=0,0,(DN119-DM119)/DM119*100)</f>
        <v>0</v>
      </c>
      <c r="DP119" s="1445"/>
      <c r="DQ119" s="1445"/>
      <c r="DR119" s="1003">
        <f>IF(DP119=0,0,(DQ119-DP119)/DP119*100)</f>
        <v>0</v>
      </c>
      <c r="DS119" s="1445"/>
      <c r="DT119" s="1445"/>
      <c r="DU119" s="1003">
        <f>IF(DS119=0,0,(DT119-DS119)/DS119*100)</f>
        <v>0</v>
      </c>
      <c r="DV119" s="1445"/>
      <c r="DW119" s="1445"/>
      <c r="DX119" s="1003">
        <f>IF(DV119=0,0,(DW119-DV119)/DV119*100)</f>
        <v>0</v>
      </c>
      <c r="DY119" s="1445"/>
      <c r="DZ119" s="1445"/>
      <c r="EA119" s="1003">
        <f>IF(DY119=0,0,(DZ119-DY119)/DY119*100)</f>
        <v>0</v>
      </c>
      <c r="EB119" s="1445"/>
      <c r="EC119" s="1445"/>
      <c r="ED119" s="1003">
        <f>IF(EB119=0,0,(EC119-EB119)/EB119*100)</f>
        <v>0</v>
      </c>
      <c r="EE119" s="1445"/>
      <c r="EF119" s="1445"/>
      <c r="EG119" s="1003">
        <f>IF(EE119=0,0,(EF119-EE119)/EE119*100)</f>
        <v>0</v>
      </c>
      <c r="EH119" s="1445"/>
      <c r="EI119" s="1445"/>
      <c r="EJ119" s="1003">
        <f>IF(EH119=0,0,(EI119-EH119)/EH119*100)</f>
        <v>0</v>
      </c>
      <c r="EK119" s="1445"/>
      <c r="EL119" s="1445"/>
      <c r="EM119" s="1003">
        <f>IF(EK119=0,0,(EL119-EK119)/EK119*100)</f>
        <v>0</v>
      </c>
      <c r="EN119" s="1445"/>
      <c r="EO119" s="1445"/>
      <c r="EP119" s="1003">
        <f>IF(EN119=0,0,(EO119-EN119)/EN119*100)</f>
        <v>0</v>
      </c>
      <c r="EQ119" s="1445"/>
      <c r="ER119" s="1445"/>
      <c r="ES119" s="1003">
        <f>IF(EQ119=0,0,(ER119-EQ119)/EQ119*100)</f>
        <v>0</v>
      </c>
      <c r="ET119" s="1445"/>
      <c r="EU119" s="1445"/>
      <c r="EV119" s="1003">
        <f>IF(ET119=0,0,(EU119-ET119)/ET119*100)</f>
        <v>0</v>
      </c>
      <c r="EW119" s="1445"/>
      <c r="EX119" s="1445"/>
      <c r="EY119" s="1003">
        <f>IF(EW119=0,0,(EX119-EW119)/EW119*100)</f>
        <v>0</v>
      </c>
      <c r="EZ119" s="1445"/>
      <c r="FA119" s="1445"/>
      <c r="FB119" s="1003">
        <f>IF(EZ119=0,0,(FA119-EZ119)/EZ119*100)</f>
        <v>0</v>
      </c>
      <c r="FC119" s="1445"/>
      <c r="FD119" s="1445"/>
      <c r="FE119" s="1003">
        <f>IF(FC119=0,0,(FD119-FC119)/FC119*100)</f>
        <v>0</v>
      </c>
      <c r="FF119" s="1445"/>
      <c r="FG119" s="1445"/>
      <c r="FH119" s="1003">
        <f>IF(FF119=0,0,(FG119-FF119)/FF119*100)</f>
        <v>0</v>
      </c>
      <c r="FI119" s="1445"/>
      <c r="FJ119" s="1445"/>
      <c r="FK119" s="1003">
        <f>IF(FI119=0,0,(FJ119-FI119)/FI119*100)</f>
        <v>0</v>
      </c>
      <c r="FL119" s="1445"/>
      <c r="FM119" s="1445"/>
      <c r="FN119" s="1003">
        <f>IF(FL119=0,0,(FM119-FL119)/FL119*100)</f>
        <v>0</v>
      </c>
      <c r="FO119" s="1445"/>
      <c r="FP119" s="1445"/>
      <c r="FQ119" s="1003">
        <f>IF(FO119=0,0,(FP119-FO119)/FO119*100)</f>
        <v>0</v>
      </c>
      <c r="FR119" s="1445"/>
      <c r="FS119" s="1445"/>
      <c r="FT119" s="1003">
        <f>IF(FR119=0,0,(FS119-FR119)/FR119*100)</f>
        <v>0</v>
      </c>
      <c r="FU119" s="1445"/>
      <c r="FV119" s="1445"/>
      <c r="FW119" s="1003">
        <f>IF(FU119=0,0,(FV119-FU119)/FU119*100)</f>
        <v>0</v>
      </c>
      <c r="FX119" s="1214"/>
      <c r="FY119" s="1214"/>
      <c r="FZ119" s="964" t="s">
        <v>1647</v>
      </c>
      <c r="GA119" s="1216"/>
      <c r="GB119" s="1216"/>
      <c r="GC119" s="1215"/>
      <c r="GD119" s="1215"/>
    </row>
    <row r="120" spans="1:186" s="1334" customFormat="1" ht="23.25" hidden="1" customHeight="1" x14ac:dyDescent="0.15">
      <c r="A120" s="416"/>
      <c r="B120" s="837" t="b" cm="1">
        <f t="array" ref="B120">B119</f>
        <v>0</v>
      </c>
      <c r="C120" s="416"/>
      <c r="D120" s="416"/>
      <c r="E120" s="759">
        <v>24.5</v>
      </c>
      <c r="F120" s="3" t="str" cm="1">
        <f t="array" aca="1" ref="F120" ca="1">OFFSET(E120,-1,1)</f>
        <v>1</v>
      </c>
      <c r="G120" s="416"/>
      <c r="H120" s="416"/>
      <c r="I120" s="416"/>
      <c r="J120" s="416"/>
      <c r="K120" s="416"/>
      <c r="L120" s="416"/>
      <c r="M120" s="416"/>
      <c r="N120" s="416"/>
      <c r="O120" s="416"/>
      <c r="P120" s="416"/>
      <c r="Q120" s="416"/>
      <c r="R120" s="416"/>
      <c r="S120" s="416"/>
      <c r="T120" s="388" t="b" cm="1">
        <f t="array" aca="1" ref="T120" ca="1">T119</f>
        <v>1</v>
      </c>
      <c r="U120" s="416"/>
      <c r="V120" s="416"/>
      <c r="W120" s="416"/>
      <c r="X120" s="2066"/>
      <c r="Y120" s="416"/>
      <c r="Z120" s="2011"/>
      <c r="AA120" s="416"/>
      <c r="AB120" s="211" t="s">
        <v>1648</v>
      </c>
      <c r="AC120" s="817"/>
      <c r="AD120" s="1010"/>
      <c r="AE120" s="1010"/>
      <c r="AF120" s="1010"/>
      <c r="AG120" s="1010"/>
      <c r="AH120" s="1010"/>
      <c r="AI120" s="1010"/>
      <c r="AJ120" s="1010"/>
      <c r="AK120" s="1010"/>
      <c r="AL120" s="1010"/>
      <c r="AM120" s="1010"/>
      <c r="AN120" s="1010"/>
      <c r="AO120" s="1010"/>
      <c r="AP120" s="1010"/>
      <c r="AQ120" s="1010"/>
      <c r="AR120" s="1010"/>
      <c r="AS120" s="1010"/>
      <c r="AT120" s="1010"/>
      <c r="AU120" s="1010"/>
      <c r="AV120" s="1010"/>
      <c r="AW120" s="1010"/>
      <c r="AX120" s="1010"/>
      <c r="AY120" s="1010"/>
      <c r="AZ120" s="1010"/>
      <c r="BA120" s="1010"/>
      <c r="BB120" s="1010"/>
      <c r="BC120" s="1010"/>
      <c r="BD120" s="1010"/>
      <c r="BE120" s="1010"/>
      <c r="BF120" s="1010"/>
      <c r="BG120" s="1010"/>
      <c r="BH120" s="1010"/>
      <c r="BI120" s="1010"/>
      <c r="BJ120" s="1010"/>
      <c r="BK120" s="1010"/>
      <c r="BL120" s="1010"/>
      <c r="BM120" s="1010"/>
      <c r="BN120" s="1010"/>
      <c r="BO120" s="1010"/>
      <c r="BP120" s="1010"/>
      <c r="BQ120" s="1010"/>
      <c r="BR120" s="1010"/>
      <c r="BS120" s="1010"/>
      <c r="BT120" s="1010"/>
      <c r="BU120" s="1010"/>
      <c r="BV120" s="1010"/>
      <c r="BW120" s="1010"/>
      <c r="BX120" s="1010"/>
      <c r="BY120" s="1010"/>
      <c r="BZ120" s="1010"/>
      <c r="CA120" s="1010"/>
      <c r="CB120" s="1010"/>
      <c r="CC120" s="1010"/>
      <c r="CD120" s="1010"/>
      <c r="CE120" s="1010"/>
      <c r="CF120" s="1010"/>
      <c r="CG120" s="1010"/>
      <c r="CH120" s="1010"/>
      <c r="CI120" s="1010"/>
      <c r="CJ120" s="1010"/>
      <c r="CK120" s="1010"/>
      <c r="CL120" s="1010"/>
      <c r="CM120" s="1010"/>
      <c r="CN120" s="1010"/>
      <c r="CO120" s="1010"/>
      <c r="CP120" s="1010"/>
      <c r="CQ120" s="1010"/>
      <c r="CR120" s="1010"/>
      <c r="CS120" s="1010"/>
      <c r="CT120" s="1010"/>
      <c r="CU120" s="1010"/>
      <c r="CV120" s="1010"/>
      <c r="CW120" s="1010"/>
      <c r="CX120" s="1010"/>
      <c r="CY120" s="1010"/>
      <c r="CZ120" s="1010"/>
      <c r="DA120" s="1010"/>
      <c r="DB120" s="1010"/>
      <c r="DC120" s="1010"/>
      <c r="DD120" s="1010"/>
      <c r="DE120" s="1010"/>
      <c r="DF120" s="1010"/>
      <c r="DG120" s="1010"/>
      <c r="DH120" s="1010"/>
      <c r="DI120" s="1010"/>
      <c r="DJ120" s="1010"/>
      <c r="DK120" s="1010"/>
      <c r="DL120" s="1010"/>
      <c r="DM120" s="1010"/>
      <c r="DN120" s="1010"/>
      <c r="DO120" s="1010"/>
      <c r="DP120" s="1010"/>
      <c r="DQ120" s="1010"/>
      <c r="DR120" s="1010"/>
      <c r="DS120" s="1010"/>
      <c r="DT120" s="1010"/>
      <c r="DU120" s="1010"/>
      <c r="DV120" s="1010"/>
      <c r="DW120" s="1010"/>
      <c r="DX120" s="1010"/>
      <c r="DY120" s="1010"/>
      <c r="DZ120" s="1010"/>
      <c r="EA120" s="1010"/>
      <c r="EB120" s="1010"/>
      <c r="EC120" s="1010"/>
      <c r="ED120" s="1010"/>
      <c r="EE120" s="1010"/>
      <c r="EF120" s="1010"/>
      <c r="EG120" s="1010"/>
      <c r="EH120" s="1010"/>
      <c r="EI120" s="1010"/>
      <c r="EJ120" s="1010"/>
      <c r="EK120" s="1010"/>
      <c r="EL120" s="1010"/>
      <c r="EM120" s="1010"/>
      <c r="EN120" s="1010"/>
      <c r="EO120" s="1010"/>
      <c r="EP120" s="1010"/>
      <c r="EQ120" s="1010"/>
      <c r="ER120" s="1010"/>
      <c r="ES120" s="1010"/>
      <c r="ET120" s="1010"/>
      <c r="EU120" s="1010"/>
      <c r="EV120" s="1010"/>
      <c r="EW120" s="1010"/>
      <c r="EX120" s="1010"/>
      <c r="EY120" s="1010"/>
      <c r="EZ120" s="1010"/>
      <c r="FA120" s="1010"/>
      <c r="FB120" s="1010"/>
      <c r="FC120" s="1010"/>
      <c r="FD120" s="1010"/>
      <c r="FE120" s="1010"/>
      <c r="FF120" s="1010"/>
      <c r="FG120" s="1010"/>
      <c r="FH120" s="1010"/>
      <c r="FI120" s="1010"/>
      <c r="FJ120" s="1010"/>
      <c r="FK120" s="1010"/>
      <c r="FL120" s="1010"/>
      <c r="FM120" s="1010"/>
      <c r="FN120" s="1010"/>
      <c r="FO120" s="1010"/>
      <c r="FP120" s="1010"/>
      <c r="FQ120" s="1010"/>
      <c r="FR120" s="1010"/>
      <c r="FS120" s="1010"/>
      <c r="FT120" s="1010"/>
      <c r="FU120" s="1010"/>
      <c r="FV120" s="1010"/>
      <c r="FW120" s="1011"/>
      <c r="FX120" s="1214"/>
      <c r="FY120" s="1214"/>
      <c r="FZ120" s="964"/>
      <c r="GA120" s="1216"/>
      <c r="GB120" s="1216"/>
      <c r="GC120" s="1215"/>
      <c r="GD120" s="1215"/>
    </row>
    <row r="121" spans="1:186" s="1334" customFormat="1" ht="14.25" hidden="1" customHeight="1" x14ac:dyDescent="0.15">
      <c r="A121" s="416"/>
      <c r="B121" s="837" t="b" cm="1">
        <f t="array" ref="B121">B120</f>
        <v>0</v>
      </c>
      <c r="C121" s="416"/>
      <c r="D121" s="416"/>
      <c r="E121" s="759">
        <v>15</v>
      </c>
      <c r="F121" s="3" t="str" cm="1">
        <f t="array" aca="1" ref="F121" ca="1">OFFSET(E121,-1,1)</f>
        <v>1</v>
      </c>
      <c r="G121" s="416"/>
      <c r="H121" s="416" t="s">
        <v>1529</v>
      </c>
      <c r="I121" s="416" t="s">
        <v>1605</v>
      </c>
      <c r="J121" s="416"/>
      <c r="K121" s="416"/>
      <c r="L121" s="416"/>
      <c r="M121" s="416"/>
      <c r="N121" s="416"/>
      <c r="O121" s="416"/>
      <c r="P121" s="416"/>
      <c r="Q121" s="416"/>
      <c r="R121" s="416"/>
      <c r="S121" s="416"/>
      <c r="T121" s="388" t="b" cm="1">
        <f t="array" aca="1" ref="T121" ca="1">T120</f>
        <v>1</v>
      </c>
      <c r="U121" s="416"/>
      <c r="V121" s="416"/>
      <c r="W121" s="416"/>
      <c r="X121" s="2066"/>
      <c r="Y121" s="416"/>
      <c r="Z121" s="2011"/>
      <c r="AA121" s="416"/>
      <c r="AB121" s="1001" t="s">
        <v>1621</v>
      </c>
      <c r="AC121" s="783" t="s">
        <v>1588</v>
      </c>
      <c r="AD121" s="1445">
        <f ca="1">IF(AD123=0,0,(AD122*AD123+AD124*AD125*IF(god=2026,3,6))/AD123)</f>
        <v>0</v>
      </c>
      <c r="AE121" s="1445">
        <f ca="1">IF(AE123=0,0,(AE122*AE123+AE124*AE125*IF(god=2026,3,6))/AE123)</f>
        <v>0</v>
      </c>
      <c r="AF121" s="1003">
        <f ca="1">IF(AD121=0,0,(AE121-AD121)/AD121*100)</f>
        <v>0</v>
      </c>
      <c r="AG121" s="1445">
        <f ca="1">IF(AG123=0,0,(AG122*AG123+AG124*AG125*IF(god=2025,3,6))/AG123)</f>
        <v>0</v>
      </c>
      <c r="AH121" s="1445">
        <f ca="1">IF(AH123=0,0,(AH122*AH123+AH124*AH125*IF(god=2025,3,6))/AH123)</f>
        <v>0</v>
      </c>
      <c r="AI121" s="1003">
        <f ca="1">IF(AG121=0,0,(AH121-AG121)/AG121*100)</f>
        <v>0</v>
      </c>
      <c r="AJ121" s="1445">
        <f ca="1">IF(AJ123=0,0,(AJ122*AJ123+AJ124*AJ125*6)/AJ123)</f>
        <v>0</v>
      </c>
      <c r="AK121" s="1445">
        <f ca="1">IF(AK123=0,0,(AK122*AK123+AK124*AK125*6)/AK123)</f>
        <v>0</v>
      </c>
      <c r="AL121" s="1003">
        <f ca="1">IF(AJ121=0,0,(AK121-AJ121)/AJ121*100)</f>
        <v>0</v>
      </c>
      <c r="AM121" s="1445">
        <f ca="1">IF(AM123=0,0,(AM122*AM123+AM124*AM125*6)/AM123)</f>
        <v>0</v>
      </c>
      <c r="AN121" s="1445">
        <f ca="1">IF(AN123=0,0,(AN122*AN123+AN124*AN125*6)/AN123)</f>
        <v>0</v>
      </c>
      <c r="AO121" s="1003">
        <f ca="1">IF(AM121=0,0,(AN121-AM121)/AM121*100)</f>
        <v>0</v>
      </c>
      <c r="AP121" s="1445">
        <f ca="1">IF(AP123=0,0,(AP122*AP123+AP124*AP125*6)/AP123)</f>
        <v>0</v>
      </c>
      <c r="AQ121" s="1445">
        <f ca="1">IF(AQ123=0,0,(AQ122*AQ123+AQ124*AQ125*6)/AQ123)</f>
        <v>0</v>
      </c>
      <c r="AR121" s="1003">
        <f ca="1">IF(AP121=0,0,(AQ121-AP121)/AP121*100)</f>
        <v>0</v>
      </c>
      <c r="AS121" s="1445">
        <f ca="1">IF(AS123=0,0,(AS122*AS123+AS124*AS125*6)/AS123)</f>
        <v>0</v>
      </c>
      <c r="AT121" s="1445">
        <f ca="1">IF(AT123=0,0,(AT122*AT123+AT124*AT125*6)/AT123)</f>
        <v>0</v>
      </c>
      <c r="AU121" s="1003">
        <f ca="1">IF(AS121=0,0,(AT121-AS121)/AS121*100)</f>
        <v>0</v>
      </c>
      <c r="AV121" s="1445">
        <f ca="1">IF(AV123=0,0,(AV122*AV123+AV124*AV125*6)/AV123)</f>
        <v>0</v>
      </c>
      <c r="AW121" s="1445">
        <f ca="1">IF(AW123=0,0,(AW122*AW123+AW124*AW125*6)/AW123)</f>
        <v>0</v>
      </c>
      <c r="AX121" s="1003">
        <f ca="1">IF(AV121=0,0,(AW121-AV121)/AV121*100)</f>
        <v>0</v>
      </c>
      <c r="AY121" s="1445">
        <f ca="1">IF(AY123=0,0,(AY122*AY123+AY124*AY125*6)/AY123)</f>
        <v>0</v>
      </c>
      <c r="AZ121" s="1445">
        <f ca="1">IF(AZ123=0,0,(AZ122*AZ123+AZ124*AZ125*6)/AZ123)</f>
        <v>0</v>
      </c>
      <c r="BA121" s="1003">
        <f ca="1">IF(AY121=0,0,(AZ121-AY121)/AY121*100)</f>
        <v>0</v>
      </c>
      <c r="BB121" s="1445">
        <f ca="1">IF(BB123=0,0,(BB122*BB123+BB124*BB125*6)/BB123)</f>
        <v>0</v>
      </c>
      <c r="BC121" s="1445">
        <f ca="1">IF(BC123=0,0,(BC122*BC123+BC124*BC125*6)/BC123)</f>
        <v>0</v>
      </c>
      <c r="BD121" s="1003">
        <f ca="1">IF(BB121=0,0,(BC121-BB121)/BB121*100)</f>
        <v>0</v>
      </c>
      <c r="BE121" s="1445">
        <f ca="1">IF(BE123=0,0,(BE122*BE123+BE124*BE125*6)/BE123)</f>
        <v>0</v>
      </c>
      <c r="BF121" s="1445">
        <f ca="1">IF(BF123=0,0,(BF122*BF123+BF124*BF125*6)/BF123)</f>
        <v>0</v>
      </c>
      <c r="BG121" s="1003">
        <f ca="1">IF(BE121=0,0,(BF121-BE121)/BE121*100)</f>
        <v>0</v>
      </c>
      <c r="BH121" s="1445">
        <f>IF(BH123=0,0,(BH122*BH123+BH124*BH125*6)/BH123)</f>
        <v>0</v>
      </c>
      <c r="BI121" s="1445">
        <f>IF(BI123=0,0,(BI122*BI123+BI124*BI125*6)/BI123)</f>
        <v>0</v>
      </c>
      <c r="BJ121" s="1003">
        <f>IF(BH121=0,0,(BI121-BH121)/BH121*100)</f>
        <v>0</v>
      </c>
      <c r="BK121" s="1445">
        <f>IF(BK123=0,0,(BK122*BK123+BK124*BK125*6)/BK123)</f>
        <v>0</v>
      </c>
      <c r="BL121" s="1445">
        <f>IF(BL123=0,0,(BL122*BL123+BL124*BL125*6)/BL123)</f>
        <v>0</v>
      </c>
      <c r="BM121" s="1003">
        <f>IF(BK121=0,0,(BL121-BK121)/BK121*100)</f>
        <v>0</v>
      </c>
      <c r="BN121" s="1445">
        <f>IF(BN123=0,0,(BN122*BN123+BN124*BN125*6)/BN123)</f>
        <v>0</v>
      </c>
      <c r="BO121" s="1445">
        <f>IF(BO123=0,0,(BO122*BO123+BO124*BO125*6)/BO123)</f>
        <v>0</v>
      </c>
      <c r="BP121" s="1003">
        <f>IF(BN121=0,0,(BO121-BN121)/BN121*100)</f>
        <v>0</v>
      </c>
      <c r="BQ121" s="1445">
        <f>IF(BQ123=0,0,(BQ122*BQ123+BQ124*BQ125*6)/BQ123)</f>
        <v>0</v>
      </c>
      <c r="BR121" s="1445">
        <f>IF(BR123=0,0,(BR122*BR123+BR124*BR125*6)/BR123)</f>
        <v>0</v>
      </c>
      <c r="BS121" s="1003">
        <f>IF(BQ121=0,0,(BR121-BQ121)/BQ121*100)</f>
        <v>0</v>
      </c>
      <c r="BT121" s="1445">
        <f>IF(BT123=0,0,(BT122*BT123+BT124*BT125*6)/BT123)</f>
        <v>0</v>
      </c>
      <c r="BU121" s="1445">
        <f>IF(BU123=0,0,(BU122*BU123+BU124*BU125*6)/BU123)</f>
        <v>0</v>
      </c>
      <c r="BV121" s="1003">
        <f>IF(BT121=0,0,(BU121-BT121)/BT121*100)</f>
        <v>0</v>
      </c>
      <c r="BW121" s="1445">
        <f>IF(BW123=0,0,(BW122*BW123+BW124*BW125*6)/BW123)</f>
        <v>0</v>
      </c>
      <c r="BX121" s="1445">
        <f>IF(BX123=0,0,(BX122*BX123+BX124*BX125*6)/BX123)</f>
        <v>0</v>
      </c>
      <c r="BY121" s="1003">
        <f>IF(BW121=0,0,(BX121-BW121)/BW121*100)</f>
        <v>0</v>
      </c>
      <c r="BZ121" s="1445">
        <f>IF(BZ123=0,0,(BZ122*BZ123+BZ124*BZ125*6)/BZ123)</f>
        <v>0</v>
      </c>
      <c r="CA121" s="1445">
        <f>IF(CA123=0,0,(CA122*CA123+CA124*CA125*6)/CA123)</f>
        <v>0</v>
      </c>
      <c r="CB121" s="1003">
        <f>IF(BZ121=0,0,(CA121-BZ121)/BZ121*100)</f>
        <v>0</v>
      </c>
      <c r="CC121" s="1445">
        <f>IF(CC123=0,0,(CC122*CC123+CC124*CC125*6)/CC123)</f>
        <v>0</v>
      </c>
      <c r="CD121" s="1445">
        <f>IF(CD123=0,0,(CD122*CD123+CD124*CD125*6)/CD123)</f>
        <v>0</v>
      </c>
      <c r="CE121" s="1003">
        <f>IF(CC121=0,0,(CD121-CC121)/CC121*100)</f>
        <v>0</v>
      </c>
      <c r="CF121" s="1445">
        <f>IF(CF123=0,0,(CF122*CF123+CF124*CF125*6)/CF123)</f>
        <v>0</v>
      </c>
      <c r="CG121" s="1445">
        <f>IF(CG123=0,0,(CG122*CG123+CG124*CG125*6)/CG123)</f>
        <v>0</v>
      </c>
      <c r="CH121" s="1003">
        <f>IF(CF121=0,0,(CG121-CF121)/CF121*100)</f>
        <v>0</v>
      </c>
      <c r="CI121" s="1445">
        <f>IF(CI123=0,0,(CI122*CI123+CI124*CI125*6)/CI123)</f>
        <v>0</v>
      </c>
      <c r="CJ121" s="1445">
        <f>IF(CJ123=0,0,(CJ122*CJ123+CJ124*CJ125*6)/CJ123)</f>
        <v>0</v>
      </c>
      <c r="CK121" s="1003">
        <f>IF(CI121=0,0,(CJ121-CI121)/CI121*100)</f>
        <v>0</v>
      </c>
      <c r="CL121" s="1445">
        <f>IF(CL123=0,0,(CL122*CL123+CL124*CL125*6)/CL123)</f>
        <v>0</v>
      </c>
      <c r="CM121" s="1445">
        <f>IF(CM123=0,0,(CM122*CM123+CM124*CM125*6)/CM123)</f>
        <v>0</v>
      </c>
      <c r="CN121" s="1003">
        <f>IF(CL121=0,0,(CM121-CL121)/CL121*100)</f>
        <v>0</v>
      </c>
      <c r="CO121" s="1445">
        <f>IF(CO123=0,0,(CO122*CO123+CO124*CO125*6)/CO123)</f>
        <v>0</v>
      </c>
      <c r="CP121" s="1445">
        <f>IF(CP123=0,0,(CP122*CP123+CP124*CP125*6)/CP123)</f>
        <v>0</v>
      </c>
      <c r="CQ121" s="1003">
        <f>IF(CO121=0,0,(CP121-CO121)/CO121*100)</f>
        <v>0</v>
      </c>
      <c r="CR121" s="1445">
        <f>IF(CR123=0,0,(CR122*CR123+CR124*CR125*6)/CR123)</f>
        <v>0</v>
      </c>
      <c r="CS121" s="1445">
        <f>IF(CS123=0,0,(CS122*CS123+CS124*CS125*6)/CS123)</f>
        <v>0</v>
      </c>
      <c r="CT121" s="1003">
        <f>IF(CR121=0,0,(CS121-CR121)/CR121*100)</f>
        <v>0</v>
      </c>
      <c r="CU121" s="1445">
        <f>IF(CU123=0,0,(CU122*CU123+CU124*CU125*6)/CU123)</f>
        <v>0</v>
      </c>
      <c r="CV121" s="1445">
        <f>IF(CV123=0,0,(CV122*CV123+CV124*CV125*6)/CV123)</f>
        <v>0</v>
      </c>
      <c r="CW121" s="1003">
        <f>IF(CU121=0,0,(CV121-CU121)/CU121*100)</f>
        <v>0</v>
      </c>
      <c r="CX121" s="1445">
        <f>IF(CX123=0,0,(CX122*CX123+CX124*CX125*6)/CX123)</f>
        <v>0</v>
      </c>
      <c r="CY121" s="1445">
        <f>IF(CY123=0,0,(CY122*CY123+CY124*CY125*6)/CY123)</f>
        <v>0</v>
      </c>
      <c r="CZ121" s="1003">
        <f>IF(CX121=0,0,(CY121-CX121)/CX121*100)</f>
        <v>0</v>
      </c>
      <c r="DA121" s="1445">
        <f>IF(DA123=0,0,(DA122*DA123+DA124*DA125*6)/DA123)</f>
        <v>0</v>
      </c>
      <c r="DB121" s="1445">
        <f>IF(DB123=0,0,(DB122*DB123+DB124*DB125*6)/DB123)</f>
        <v>0</v>
      </c>
      <c r="DC121" s="1003">
        <f>IF(DA121=0,0,(DB121-DA121)/DA121*100)</f>
        <v>0</v>
      </c>
      <c r="DD121" s="1445">
        <f>IF(DD123=0,0,(DD122*DD123+DD124*DD125*6)/DD123)</f>
        <v>0</v>
      </c>
      <c r="DE121" s="1445">
        <f>IF(DE123=0,0,(DE122*DE123+DE124*DE125*6)/DE123)</f>
        <v>0</v>
      </c>
      <c r="DF121" s="1003">
        <f>IF(DD121=0,0,(DE121-DD121)/DD121*100)</f>
        <v>0</v>
      </c>
      <c r="DG121" s="1445">
        <f>IF(DG123=0,0,(DG122*DG123+DG124*DG125*6)/DG123)</f>
        <v>0</v>
      </c>
      <c r="DH121" s="1445">
        <f>IF(DH123=0,0,(DH122*DH123+DH124*DH125*6)/DH123)</f>
        <v>0</v>
      </c>
      <c r="DI121" s="1003">
        <f>IF(DG121=0,0,(DH121-DG121)/DG121*100)</f>
        <v>0</v>
      </c>
      <c r="DJ121" s="1445">
        <f>IF(DJ123=0,0,(DJ122*DJ123+DJ124*DJ125*6)/DJ123)</f>
        <v>0</v>
      </c>
      <c r="DK121" s="1445">
        <f>IF(DK123=0,0,(DK122*DK123+DK124*DK125*6)/DK123)</f>
        <v>0</v>
      </c>
      <c r="DL121" s="1003">
        <f>IF(DJ121=0,0,(DK121-DJ121)/DJ121*100)</f>
        <v>0</v>
      </c>
      <c r="DM121" s="1445">
        <f>IF(DM123=0,0,(DM122*DM123+DM124*DM125*6)/DM123)</f>
        <v>0</v>
      </c>
      <c r="DN121" s="1445">
        <f>IF(DN123=0,0,(DN122*DN123+DN124*DN125*6)/DN123)</f>
        <v>0</v>
      </c>
      <c r="DO121" s="1003">
        <f>IF(DM121=0,0,(DN121-DM121)/DM121*100)</f>
        <v>0</v>
      </c>
      <c r="DP121" s="1445">
        <f>IF(DP123=0,0,(DP122*DP123+DP124*DP125*6)/DP123)</f>
        <v>0</v>
      </c>
      <c r="DQ121" s="1445">
        <f>IF(DQ123=0,0,(DQ122*DQ123+DQ124*DQ125*6)/DQ123)</f>
        <v>0</v>
      </c>
      <c r="DR121" s="1003">
        <f>IF(DP121=0,0,(DQ121-DP121)/DP121*100)</f>
        <v>0</v>
      </c>
      <c r="DS121" s="1445">
        <f>IF(DS123=0,0,(DS122*DS123+DS124*DS125*6)/DS123)</f>
        <v>0</v>
      </c>
      <c r="DT121" s="1445">
        <f>IF(DT123=0,0,(DT122*DT123+DT124*DT125*6)/DT123)</f>
        <v>0</v>
      </c>
      <c r="DU121" s="1003">
        <f>IF(DS121=0,0,(DT121-DS121)/DS121*100)</f>
        <v>0</v>
      </c>
      <c r="DV121" s="1445">
        <f>IF(DV123=0,0,(DV122*DV123+DV124*DV125*6)/DV123)</f>
        <v>0</v>
      </c>
      <c r="DW121" s="1445">
        <f>IF(DW123=0,0,(DW122*DW123+DW124*DW125*6)/DW123)</f>
        <v>0</v>
      </c>
      <c r="DX121" s="1003">
        <f>IF(DV121=0,0,(DW121-DV121)/DV121*100)</f>
        <v>0</v>
      </c>
      <c r="DY121" s="1445">
        <f>IF(DY123=0,0,(DY122*DY123+DY124*DY125*6)/DY123)</f>
        <v>0</v>
      </c>
      <c r="DZ121" s="1445">
        <f>IF(DZ123=0,0,(DZ122*DZ123+DZ124*DZ125*6)/DZ123)</f>
        <v>0</v>
      </c>
      <c r="EA121" s="1003">
        <f>IF(DY121=0,0,(DZ121-DY121)/DY121*100)</f>
        <v>0</v>
      </c>
      <c r="EB121" s="1445">
        <f>IF(EB123=0,0,(EB122*EB123+EB124*EB125*6)/EB123)</f>
        <v>0</v>
      </c>
      <c r="EC121" s="1445">
        <f>IF(EC123=0,0,(EC122*EC123+EC124*EC125*6)/EC123)</f>
        <v>0</v>
      </c>
      <c r="ED121" s="1003">
        <f>IF(EB121=0,0,(EC121-EB121)/EB121*100)</f>
        <v>0</v>
      </c>
      <c r="EE121" s="1445">
        <f>IF(EE123=0,0,(EE122*EE123+EE124*EE125*6)/EE123)</f>
        <v>0</v>
      </c>
      <c r="EF121" s="1445">
        <f>IF(EF123=0,0,(EF122*EF123+EF124*EF125*6)/EF123)</f>
        <v>0</v>
      </c>
      <c r="EG121" s="1003">
        <f>IF(EE121=0,0,(EF121-EE121)/EE121*100)</f>
        <v>0</v>
      </c>
      <c r="EH121" s="1445">
        <f>IF(EH123=0,0,(EH122*EH123+EH124*EH125*6)/EH123)</f>
        <v>0</v>
      </c>
      <c r="EI121" s="1445">
        <f>IF(EI123=0,0,(EI122*EI123+EI124*EI125*6)/EI123)</f>
        <v>0</v>
      </c>
      <c r="EJ121" s="1003">
        <f>IF(EH121=0,0,(EI121-EH121)/EH121*100)</f>
        <v>0</v>
      </c>
      <c r="EK121" s="1445">
        <f>IF(EK123=0,0,(EK122*EK123+EK124*EK125*6)/EK123)</f>
        <v>0</v>
      </c>
      <c r="EL121" s="1445">
        <f>IF(EL123=0,0,(EL122*EL123+EL124*EL125*6)/EL123)</f>
        <v>0</v>
      </c>
      <c r="EM121" s="1003">
        <f>IF(EK121=0,0,(EL121-EK121)/EK121*100)</f>
        <v>0</v>
      </c>
      <c r="EN121" s="1445">
        <f>IF(EN123=0,0,(EN122*EN123+EN124*EN125*6)/EN123)</f>
        <v>0</v>
      </c>
      <c r="EO121" s="1445">
        <f>IF(EO123=0,0,(EO122*EO123+EO124*EO125*6)/EO123)</f>
        <v>0</v>
      </c>
      <c r="EP121" s="1003">
        <f>IF(EN121=0,0,(EO121-EN121)/EN121*100)</f>
        <v>0</v>
      </c>
      <c r="EQ121" s="1445">
        <f>IF(EQ123=0,0,(EQ122*EQ123+EQ124*EQ125*6)/EQ123)</f>
        <v>0</v>
      </c>
      <c r="ER121" s="1445">
        <f>IF(ER123=0,0,(ER122*ER123+ER124*ER125*6)/ER123)</f>
        <v>0</v>
      </c>
      <c r="ES121" s="1003">
        <f>IF(EQ121=0,0,(ER121-EQ121)/EQ121*100)</f>
        <v>0</v>
      </c>
      <c r="ET121" s="1445">
        <f>IF(ET123=0,0,(ET122*ET123+ET124*ET125*6)/ET123)</f>
        <v>0</v>
      </c>
      <c r="EU121" s="1445">
        <f>IF(EU123=0,0,(EU122*EU123+EU124*EU125*6)/EU123)</f>
        <v>0</v>
      </c>
      <c r="EV121" s="1003">
        <f>IF(ET121=0,0,(EU121-ET121)/ET121*100)</f>
        <v>0</v>
      </c>
      <c r="EW121" s="1445">
        <f>IF(EW123=0,0,(EW122*EW123+EW124*EW125*6)/EW123)</f>
        <v>0</v>
      </c>
      <c r="EX121" s="1445">
        <f>IF(EX123=0,0,(EX122*EX123+EX124*EX125*6)/EX123)</f>
        <v>0</v>
      </c>
      <c r="EY121" s="1003">
        <f>IF(EW121=0,0,(EX121-EW121)/EW121*100)</f>
        <v>0</v>
      </c>
      <c r="EZ121" s="1445">
        <f>IF(EZ123=0,0,(EZ122*EZ123+EZ124*EZ125*6)/EZ123)</f>
        <v>0</v>
      </c>
      <c r="FA121" s="1445">
        <f>IF(FA123=0,0,(FA122*FA123+FA124*FA125*6)/FA123)</f>
        <v>0</v>
      </c>
      <c r="FB121" s="1003">
        <f>IF(EZ121=0,0,(FA121-EZ121)/EZ121*100)</f>
        <v>0</v>
      </c>
      <c r="FC121" s="1445">
        <f>IF(FC123=0,0,(FC122*FC123+FC124*FC125*6)/FC123)</f>
        <v>0</v>
      </c>
      <c r="FD121" s="1445">
        <f>IF(FD123=0,0,(FD122*FD123+FD124*FD125*6)/FD123)</f>
        <v>0</v>
      </c>
      <c r="FE121" s="1003">
        <f>IF(FC121=0,0,(FD121-FC121)/FC121*100)</f>
        <v>0</v>
      </c>
      <c r="FF121" s="1445">
        <f>IF(FF123=0,0,(FF122*FF123+FF124*FF125*6)/FF123)</f>
        <v>0</v>
      </c>
      <c r="FG121" s="1445">
        <f>IF(FG123=0,0,(FG122*FG123+FG124*FG125*6)/FG123)</f>
        <v>0</v>
      </c>
      <c r="FH121" s="1003">
        <f>IF(FF121=0,0,(FG121-FF121)/FF121*100)</f>
        <v>0</v>
      </c>
      <c r="FI121" s="1445">
        <f>IF(FI123=0,0,(FI122*FI123+FI124*FI125*6)/FI123)</f>
        <v>0</v>
      </c>
      <c r="FJ121" s="1445">
        <f>IF(FJ123=0,0,(FJ122*FJ123+FJ124*FJ125*6)/FJ123)</f>
        <v>0</v>
      </c>
      <c r="FK121" s="1003">
        <f>IF(FI121=0,0,(FJ121-FI121)/FI121*100)</f>
        <v>0</v>
      </c>
      <c r="FL121" s="1445">
        <f>IF(FL123=0,0,(FL122*FL123+FL124*FL125*6)/FL123)</f>
        <v>0</v>
      </c>
      <c r="FM121" s="1445">
        <f>IF(FM123=0,0,(FM122*FM123+FM124*FM125*6)/FM123)</f>
        <v>0</v>
      </c>
      <c r="FN121" s="1003">
        <f>IF(FL121=0,0,(FM121-FL121)/FL121*100)</f>
        <v>0</v>
      </c>
      <c r="FO121" s="1445">
        <f>IF(FO123=0,0,(FO122*FO123+FO124*FO125*6)/FO123)</f>
        <v>0</v>
      </c>
      <c r="FP121" s="1445">
        <f>IF(FP123=0,0,(FP122*FP123+FP124*FP125*6)/FP123)</f>
        <v>0</v>
      </c>
      <c r="FQ121" s="1003">
        <f>IF(FO121=0,0,(FP121-FO121)/FO121*100)</f>
        <v>0</v>
      </c>
      <c r="FR121" s="1445">
        <f>IF(FR123=0,0,(FR122*FR123+FR124*FR125*6)/FR123)</f>
        <v>0</v>
      </c>
      <c r="FS121" s="1445">
        <f>IF(FS123=0,0,(FS122*FS123+FS124*FS125*6)/FS123)</f>
        <v>0</v>
      </c>
      <c r="FT121" s="1003">
        <f>IF(FR121=0,0,(FS121-FR121)/FR121*100)</f>
        <v>0</v>
      </c>
      <c r="FU121" s="1445">
        <f>IF(FU123=0,0,(FU122*FU123+FU124*FU125*6)/FU123)</f>
        <v>0</v>
      </c>
      <c r="FV121" s="1445">
        <f>IF(FV123=0,0,(FV122*FV123+FV124*FV125*6)/FV123)</f>
        <v>0</v>
      </c>
      <c r="FW121" s="1003">
        <f>IF(FU121=0,0,(FV121-FU121)/FU121*100)</f>
        <v>0</v>
      </c>
      <c r="FX121" s="1214"/>
      <c r="FY121" s="1214"/>
      <c r="FZ121" s="964" t="s">
        <v>1649</v>
      </c>
      <c r="GA121" s="1216"/>
      <c r="GB121" s="1216"/>
      <c r="GC121" s="1215"/>
      <c r="GD121" s="1215"/>
    </row>
    <row r="122" spans="1:186" s="1334" customFormat="1" ht="14.25" hidden="1" customHeight="1" x14ac:dyDescent="0.15">
      <c r="A122" s="416"/>
      <c r="B122" s="837" t="b" cm="1">
        <f t="array" ref="B122">B121</f>
        <v>0</v>
      </c>
      <c r="C122" s="416"/>
      <c r="D122" s="416"/>
      <c r="E122" s="759">
        <v>15</v>
      </c>
      <c r="F122" s="3" t="str" cm="1">
        <f t="array" aca="1" ref="F122" ca="1">OFFSET(E122,-1,1)</f>
        <v>1</v>
      </c>
      <c r="G122" s="416"/>
      <c r="H122" s="416" t="s">
        <v>1533</v>
      </c>
      <c r="I122" s="416" t="s">
        <v>1605</v>
      </c>
      <c r="J122" s="416"/>
      <c r="K122" s="416"/>
      <c r="L122" s="416"/>
      <c r="M122" s="416"/>
      <c r="N122" s="416"/>
      <c r="O122" s="416"/>
      <c r="P122" s="416"/>
      <c r="Q122" s="416"/>
      <c r="R122" s="416"/>
      <c r="S122" s="416"/>
      <c r="T122" s="388" t="b" cm="1">
        <f t="array" aca="1" ref="T122" ca="1">T121</f>
        <v>1</v>
      </c>
      <c r="U122" s="416"/>
      <c r="V122" s="416"/>
      <c r="W122" s="416"/>
      <c r="X122" s="2066"/>
      <c r="Y122" s="416"/>
      <c r="Z122" s="2011"/>
      <c r="AA122" s="416"/>
      <c r="AB122" s="818"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2" s="783" t="s">
        <v>1588</v>
      </c>
      <c r="AD122" s="1445"/>
      <c r="AE122" s="1445"/>
      <c r="AF122" s="1003">
        <f>IF(AD122=0,0,(AE122-AD122)/AD122*100)</f>
        <v>0</v>
      </c>
      <c r="AG122" s="1445"/>
      <c r="AH122" s="1445"/>
      <c r="AI122" s="1003">
        <f>IF(AG122=0,0,(AH122-AG122)/AG122*100)</f>
        <v>0</v>
      </c>
      <c r="AJ122" s="1445"/>
      <c r="AK122" s="1445"/>
      <c r="AL122" s="1003">
        <f>IF(AJ122=0,0,(AK122-AJ122)/AJ122*100)</f>
        <v>0</v>
      </c>
      <c r="AM122" s="1445"/>
      <c r="AN122" s="1445"/>
      <c r="AO122" s="1003">
        <f>IF(AM122=0,0,(AN122-AM122)/AM122*100)</f>
        <v>0</v>
      </c>
      <c r="AP122" s="1445"/>
      <c r="AQ122" s="1445"/>
      <c r="AR122" s="1003">
        <f>IF(AP122=0,0,(AQ122-AP122)/AP122*100)</f>
        <v>0</v>
      </c>
      <c r="AS122" s="1445"/>
      <c r="AT122" s="1445"/>
      <c r="AU122" s="1003">
        <f>IF(AS122=0,0,(AT122-AS122)/AS122*100)</f>
        <v>0</v>
      </c>
      <c r="AV122" s="1445"/>
      <c r="AW122" s="1445"/>
      <c r="AX122" s="1003">
        <f>IF(AV122=0,0,(AW122-AV122)/AV122*100)</f>
        <v>0</v>
      </c>
      <c r="AY122" s="1445"/>
      <c r="AZ122" s="1445"/>
      <c r="BA122" s="1003">
        <f>IF(AY122=0,0,(AZ122-AY122)/AY122*100)</f>
        <v>0</v>
      </c>
      <c r="BB122" s="1445"/>
      <c r="BC122" s="1445"/>
      <c r="BD122" s="1003">
        <f>IF(BB122=0,0,(BC122-BB122)/BB122*100)</f>
        <v>0</v>
      </c>
      <c r="BE122" s="1445"/>
      <c r="BF122" s="1445"/>
      <c r="BG122" s="1003">
        <f>IF(BE122=0,0,(BF122-BE122)/BE122*100)</f>
        <v>0</v>
      </c>
      <c r="BH122" s="1445"/>
      <c r="BI122" s="1445"/>
      <c r="BJ122" s="1003">
        <f>IF(BH122=0,0,(BI122-BH122)/BH122*100)</f>
        <v>0</v>
      </c>
      <c r="BK122" s="1445"/>
      <c r="BL122" s="1445"/>
      <c r="BM122" s="1003">
        <f>IF(BK122=0,0,(BL122-BK122)/BK122*100)</f>
        <v>0</v>
      </c>
      <c r="BN122" s="1445"/>
      <c r="BO122" s="1445"/>
      <c r="BP122" s="1003">
        <f>IF(BN122=0,0,(BO122-BN122)/BN122*100)</f>
        <v>0</v>
      </c>
      <c r="BQ122" s="1445"/>
      <c r="BR122" s="1445"/>
      <c r="BS122" s="1003">
        <f>IF(BQ122=0,0,(BR122-BQ122)/BQ122*100)</f>
        <v>0</v>
      </c>
      <c r="BT122" s="1445"/>
      <c r="BU122" s="1445"/>
      <c r="BV122" s="1003">
        <f>IF(BT122=0,0,(BU122-BT122)/BT122*100)</f>
        <v>0</v>
      </c>
      <c r="BW122" s="1445"/>
      <c r="BX122" s="1445"/>
      <c r="BY122" s="1003">
        <f>IF(BW122=0,0,(BX122-BW122)/BW122*100)</f>
        <v>0</v>
      </c>
      <c r="BZ122" s="1445"/>
      <c r="CA122" s="1445"/>
      <c r="CB122" s="1003">
        <f>IF(BZ122=0,0,(CA122-BZ122)/BZ122*100)</f>
        <v>0</v>
      </c>
      <c r="CC122" s="1445"/>
      <c r="CD122" s="1445"/>
      <c r="CE122" s="1003">
        <f>IF(CC122=0,0,(CD122-CC122)/CC122*100)</f>
        <v>0</v>
      </c>
      <c r="CF122" s="1445"/>
      <c r="CG122" s="1445"/>
      <c r="CH122" s="1003">
        <f>IF(CF122=0,0,(CG122-CF122)/CF122*100)</f>
        <v>0</v>
      </c>
      <c r="CI122" s="1445"/>
      <c r="CJ122" s="1445"/>
      <c r="CK122" s="1003">
        <f>IF(CI122=0,0,(CJ122-CI122)/CI122*100)</f>
        <v>0</v>
      </c>
      <c r="CL122" s="1445"/>
      <c r="CM122" s="1445"/>
      <c r="CN122" s="1003">
        <f>IF(CL122=0,0,(CM122-CL122)/CL122*100)</f>
        <v>0</v>
      </c>
      <c r="CO122" s="1445"/>
      <c r="CP122" s="1445"/>
      <c r="CQ122" s="1003">
        <f>IF(CO122=0,0,(CP122-CO122)/CO122*100)</f>
        <v>0</v>
      </c>
      <c r="CR122" s="1445"/>
      <c r="CS122" s="1445"/>
      <c r="CT122" s="1003">
        <f>IF(CR122=0,0,(CS122-CR122)/CR122*100)</f>
        <v>0</v>
      </c>
      <c r="CU122" s="1445"/>
      <c r="CV122" s="1445"/>
      <c r="CW122" s="1003">
        <f>IF(CU122=0,0,(CV122-CU122)/CU122*100)</f>
        <v>0</v>
      </c>
      <c r="CX122" s="1445"/>
      <c r="CY122" s="1445"/>
      <c r="CZ122" s="1003">
        <f>IF(CX122=0,0,(CY122-CX122)/CX122*100)</f>
        <v>0</v>
      </c>
      <c r="DA122" s="1445"/>
      <c r="DB122" s="1445"/>
      <c r="DC122" s="1003">
        <f>IF(DA122=0,0,(DB122-DA122)/DA122*100)</f>
        <v>0</v>
      </c>
      <c r="DD122" s="1445"/>
      <c r="DE122" s="1445"/>
      <c r="DF122" s="1003">
        <f>IF(DD122=0,0,(DE122-DD122)/DD122*100)</f>
        <v>0</v>
      </c>
      <c r="DG122" s="1445"/>
      <c r="DH122" s="1445"/>
      <c r="DI122" s="1003">
        <f>IF(DG122=0,0,(DH122-DG122)/DG122*100)</f>
        <v>0</v>
      </c>
      <c r="DJ122" s="1445"/>
      <c r="DK122" s="1445"/>
      <c r="DL122" s="1003">
        <f>IF(DJ122=0,0,(DK122-DJ122)/DJ122*100)</f>
        <v>0</v>
      </c>
      <c r="DM122" s="1445"/>
      <c r="DN122" s="1445"/>
      <c r="DO122" s="1003">
        <f>IF(DM122=0,0,(DN122-DM122)/DM122*100)</f>
        <v>0</v>
      </c>
      <c r="DP122" s="1445"/>
      <c r="DQ122" s="1445"/>
      <c r="DR122" s="1003">
        <f>IF(DP122=0,0,(DQ122-DP122)/DP122*100)</f>
        <v>0</v>
      </c>
      <c r="DS122" s="1445"/>
      <c r="DT122" s="1445"/>
      <c r="DU122" s="1003">
        <f>IF(DS122=0,0,(DT122-DS122)/DS122*100)</f>
        <v>0</v>
      </c>
      <c r="DV122" s="1445"/>
      <c r="DW122" s="1445"/>
      <c r="DX122" s="1003">
        <f>IF(DV122=0,0,(DW122-DV122)/DV122*100)</f>
        <v>0</v>
      </c>
      <c r="DY122" s="1445"/>
      <c r="DZ122" s="1445"/>
      <c r="EA122" s="1003">
        <f>IF(DY122=0,0,(DZ122-DY122)/DY122*100)</f>
        <v>0</v>
      </c>
      <c r="EB122" s="1445"/>
      <c r="EC122" s="1445"/>
      <c r="ED122" s="1003">
        <f>IF(EB122=0,0,(EC122-EB122)/EB122*100)</f>
        <v>0</v>
      </c>
      <c r="EE122" s="1445"/>
      <c r="EF122" s="1445"/>
      <c r="EG122" s="1003">
        <f>IF(EE122=0,0,(EF122-EE122)/EE122*100)</f>
        <v>0</v>
      </c>
      <c r="EH122" s="1445"/>
      <c r="EI122" s="1445"/>
      <c r="EJ122" s="1003">
        <f>IF(EH122=0,0,(EI122-EH122)/EH122*100)</f>
        <v>0</v>
      </c>
      <c r="EK122" s="1445"/>
      <c r="EL122" s="1445"/>
      <c r="EM122" s="1003">
        <f>IF(EK122=0,0,(EL122-EK122)/EK122*100)</f>
        <v>0</v>
      </c>
      <c r="EN122" s="1445"/>
      <c r="EO122" s="1445"/>
      <c r="EP122" s="1003">
        <f>IF(EN122=0,0,(EO122-EN122)/EN122*100)</f>
        <v>0</v>
      </c>
      <c r="EQ122" s="1445"/>
      <c r="ER122" s="1445"/>
      <c r="ES122" s="1003">
        <f>IF(EQ122=0,0,(ER122-EQ122)/EQ122*100)</f>
        <v>0</v>
      </c>
      <c r="ET122" s="1445"/>
      <c r="EU122" s="1445"/>
      <c r="EV122" s="1003">
        <f>IF(ET122=0,0,(EU122-ET122)/ET122*100)</f>
        <v>0</v>
      </c>
      <c r="EW122" s="1445"/>
      <c r="EX122" s="1445"/>
      <c r="EY122" s="1003">
        <f>IF(EW122=0,0,(EX122-EW122)/EW122*100)</f>
        <v>0</v>
      </c>
      <c r="EZ122" s="1445"/>
      <c r="FA122" s="1445"/>
      <c r="FB122" s="1003">
        <f>IF(EZ122=0,0,(FA122-EZ122)/EZ122*100)</f>
        <v>0</v>
      </c>
      <c r="FC122" s="1445"/>
      <c r="FD122" s="1445"/>
      <c r="FE122" s="1003">
        <f>IF(FC122=0,0,(FD122-FC122)/FC122*100)</f>
        <v>0</v>
      </c>
      <c r="FF122" s="1445"/>
      <c r="FG122" s="1445"/>
      <c r="FH122" s="1003">
        <f>IF(FF122=0,0,(FG122-FF122)/FF122*100)</f>
        <v>0</v>
      </c>
      <c r="FI122" s="1445"/>
      <c r="FJ122" s="1445"/>
      <c r="FK122" s="1003">
        <f>IF(FI122=0,0,(FJ122-FI122)/FI122*100)</f>
        <v>0</v>
      </c>
      <c r="FL122" s="1445"/>
      <c r="FM122" s="1445"/>
      <c r="FN122" s="1003">
        <f>IF(FL122=0,0,(FM122-FL122)/FL122*100)</f>
        <v>0</v>
      </c>
      <c r="FO122" s="1445"/>
      <c r="FP122" s="1445"/>
      <c r="FQ122" s="1003">
        <f>IF(FO122=0,0,(FP122-FO122)/FO122*100)</f>
        <v>0</v>
      </c>
      <c r="FR122" s="1445"/>
      <c r="FS122" s="1445"/>
      <c r="FT122" s="1003">
        <f>IF(FR122=0,0,(FS122-FR122)/FR122*100)</f>
        <v>0</v>
      </c>
      <c r="FU122" s="1445"/>
      <c r="FV122" s="1445"/>
      <c r="FW122" s="1003">
        <f>IF(FU122=0,0,(FV122-FU122)/FU122*100)</f>
        <v>0</v>
      </c>
      <c r="FX122" s="1214"/>
      <c r="FY122" s="1214"/>
      <c r="FZ122" s="964" t="s">
        <v>1650</v>
      </c>
      <c r="GA122" s="1216"/>
      <c r="GB122" s="1216"/>
      <c r="GC122" s="1215"/>
      <c r="GD122" s="1215"/>
    </row>
    <row r="123" spans="1:186" s="1334" customFormat="1" ht="14.25" hidden="1" customHeight="1" x14ac:dyDescent="0.15">
      <c r="A123" s="416"/>
      <c r="B123" s="837" t="b" cm="1">
        <f t="array" ref="B123">B122</f>
        <v>0</v>
      </c>
      <c r="C123" s="416"/>
      <c r="D123" s="416"/>
      <c r="E123" s="759">
        <v>15</v>
      </c>
      <c r="F123" s="3" t="str" cm="1">
        <f t="array" aca="1" ref="F123" ca="1">OFFSET(E123,-1,1)</f>
        <v>1</v>
      </c>
      <c r="G123" s="26" t="s">
        <v>1651</v>
      </c>
      <c r="H123" s="416" t="s">
        <v>1625</v>
      </c>
      <c r="I123" s="416" t="s">
        <v>1605</v>
      </c>
      <c r="J123" s="416"/>
      <c r="K123" s="416"/>
      <c r="L123" s="416"/>
      <c r="M123" s="416"/>
      <c r="N123" s="416"/>
      <c r="O123" s="416"/>
      <c r="P123" s="416"/>
      <c r="Q123" s="416"/>
      <c r="R123" s="416"/>
      <c r="S123" s="416"/>
      <c r="T123" s="388" t="b" cm="1">
        <f t="array" aca="1" ref="T123" ca="1">T122</f>
        <v>1</v>
      </c>
      <c r="U123" s="416"/>
      <c r="V123" s="416"/>
      <c r="W123" s="416"/>
      <c r="X123" s="2066"/>
      <c r="Y123" s="416"/>
      <c r="Z123" s="2011"/>
      <c r="AA123" s="416"/>
      <c r="AB123" s="818" t="str">
        <f>"объём "&amp;IF(Q85="Водоснабжение","потребления холодной воды","водоотведения")</f>
        <v>объём потребления холодной воды</v>
      </c>
      <c r="AC123" s="783" t="s">
        <v>563</v>
      </c>
      <c r="AD123" s="1443">
        <f ca="1">IF(AND(method_reg="Метод индексации",god&lt;&gt;first_year),SUMIFS(INDEX('Калькуляция (МИ корр)'!$AJ$25:$BC$459,,MATCH(AD$8,'Калькуляция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(МИ)'!$AJ$25:$BC$459,,MATCH(AD$8,'Калькуляция (МИ)'!$AJ$8:$BC$8,0)),'Калькуляция (МИ)'!$F$25:$F$459,$F123,'Калькуляция (МИ)'!$G$25:$G$459,$G123))))</f>
        <v>742.88760500000012</v>
      </c>
      <c r="AE123" s="1443">
        <f ca="1">IF(AND(method_reg="Метод индексации",god&lt;&gt;first_year),SUMIFS(INDEX('Калькуляция (МИ корр)'!$AJ$25:$BC$459,,MATCH(AE$8,'Калькуляция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(МИ)'!$AJ$25:$BC$459,,MATCH(AE$8,'Калькуляция (МИ)'!$AJ$8:$BC$8,0)),'Калькуляция (МИ)'!$F$25:$F$459,$F123,'Калькуляция (МИ)'!$G$25:$G$459,$G123))))</f>
        <v>806.35076400000003</v>
      </c>
      <c r="AF123" s="1005">
        <f ca="1">IF(AD123=0,0,(AE123-AD123)/AD123*100)</f>
        <v>8.5427672467357834</v>
      </c>
      <c r="AG123" s="1443">
        <f ca="1">IF(AND(method_reg="Метод индексации",god&lt;&gt;first_year),SUMIFS(INDEX('Калькуляция (МИ корр)'!$AJ$25:$BC$459,,MATCH(AG$8,'Калькуляция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(МИ)'!$AJ$25:$BC$459,,MATCH(AG$8,'Калькуляция (МИ)'!$AJ$8:$BC$8,0)),'Калькуляция (МИ)'!$F$25:$F$459,$F123,'Калькуляция (МИ)'!$G$25:$G$459,$G123))))</f>
        <v>1156.6303949999999</v>
      </c>
      <c r="AH123" s="1443">
        <f ca="1">IF(AND(method_reg="Метод индексации",god&lt;&gt;first_year),SUMIFS(INDEX('Калькуляция (МИ корр)'!$AJ$25:$BC$459,,MATCH(AH$8,'Калькуляция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(МИ)'!$AJ$25:$BC$459,,MATCH(AH$8,'Калькуляция (МИ)'!$AJ$8:$BC$8,0)),'Калькуляция (МИ)'!$F$25:$F$459,$F123,'Калькуляция (МИ)'!$G$25:$G$459,$G123))))</f>
        <v>1093.1671160000001</v>
      </c>
      <c r="AI123" s="1005">
        <f ca="1">IF(AG123=0,0,(AH123-AG123)/AG123*100)</f>
        <v>-5.4869108813278107</v>
      </c>
      <c r="AJ123" s="1443">
        <f ca="1">IF(AND(method_reg="Метод индексации",god&lt;&gt;first_year),SUMIFS(INDEX('Калькуляция (МИ корр)'!$AJ$25:$BC$459,,MATCH(AJ$8,'Калькуляция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(МИ)'!$AJ$25:$BC$459,,MATCH(AJ$8,'Калькуляция (МИ)'!$AJ$8:$BC$8,0)),'Калькуляция (МИ)'!$F$25:$F$459,$F123,'Калькуляция (МИ)'!$G$25:$G$459,$G123))))</f>
        <v>1156.6303949999999</v>
      </c>
      <c r="AK123" s="1443">
        <f ca="1">IF(AND(method_reg="Метод индексации",god&lt;&gt;first_year),SUMIFS(INDEX('Калькуляция (МИ корр)'!$AJ$25:$BC$459,,MATCH(AK$8,'Калькуляция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(МИ)'!$AJ$25:$BC$459,,MATCH(AK$8,'Калькуляция (МИ)'!$AJ$8:$BC$8,0)),'Калькуляция (МИ)'!$F$25:$F$459,$F123,'Калькуляция (МИ)'!$G$25:$G$459,$G123))))</f>
        <v>1093.1671160000001</v>
      </c>
      <c r="AL123" s="1005">
        <f ca="1">IF(AJ123=0,0,(AK123-AJ123)/AJ123*100)</f>
        <v>-5.4869108813278107</v>
      </c>
      <c r="AM123" s="1443">
        <f ca="1">IF(AND(method_reg="Метод индексации",god&lt;&gt;first_year),SUMIFS(INDEX('Калькуляция (МИ корр)'!$AJ$25:$BC$459,,MATCH(AM$8,'Калькуляция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(МИ)'!$AJ$25:$BC$459,,MATCH(AM$8,'Калькуляция (МИ)'!$AJ$8:$BC$8,0)),'Калькуляция (МИ)'!$F$25:$F$459,$F123,'Калькуляция (МИ)'!$G$25:$G$459,$G123))))</f>
        <v>1156.6303949999999</v>
      </c>
      <c r="AN123" s="1443">
        <f ca="1">IF(AND(method_reg="Метод индексации",god&lt;&gt;first_year),SUMIFS(INDEX('Калькуляция (МИ корр)'!$AJ$25:$BC$459,,MATCH(AN$8,'Калькуляция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(МИ)'!$AJ$25:$BC$459,,MATCH(AN$8,'Калькуляция (МИ)'!$AJ$8:$BC$8,0)),'Калькуляция (МИ)'!$F$25:$F$459,$F123,'Калькуляция (МИ)'!$G$25:$G$459,$G123))))</f>
        <v>1093.1671160000001</v>
      </c>
      <c r="AO123" s="1005">
        <f ca="1">IF(AM123=0,0,(AN123-AM123)/AM123*100)</f>
        <v>-5.4869108813278107</v>
      </c>
      <c r="AP123" s="1443">
        <f ca="1">IF(AND(method_reg="Метод индексации",god&lt;&gt;first_year),SUMIFS(INDEX('Калькуляция (МИ корр)'!$AJ$25:$BC$459,,MATCH(AP$8,'Калькуляция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(МИ)'!$AJ$25:$BC$459,,MATCH(AP$8,'Калькуляция (МИ)'!$AJ$8:$BC$8,0)),'Калькуляция (МИ)'!$F$25:$F$459,$F123,'Калькуляция (МИ)'!$G$25:$G$459,$G123))))</f>
        <v>1156.6303949999999</v>
      </c>
      <c r="AQ123" s="1443">
        <f ca="1">IF(AND(method_reg="Метод индексации",god&lt;&gt;first_year),SUMIFS(INDEX('Калькуляция (МИ корр)'!$AJ$25:$BC$459,,MATCH(AQ$8,'Калькуляция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(МИ)'!$AJ$25:$BC$459,,MATCH(AQ$8,'Калькуляция (МИ)'!$AJ$8:$BC$8,0)),'Калькуляция (МИ)'!$F$25:$F$459,$F123,'Калькуляция (МИ)'!$G$25:$G$459,$G123))))</f>
        <v>1093.1671160000001</v>
      </c>
      <c r="AR123" s="1005">
        <f ca="1">IF(AP123=0,0,(AQ123-AP123)/AP123*100)</f>
        <v>-5.4869108813278107</v>
      </c>
      <c r="AS123" s="1443">
        <f ca="1">IF(AND(method_reg="Метод индексации",god&lt;&gt;first_year),SUMIFS(INDEX('Калькуляция (МИ корр)'!$AJ$25:$BC$459,,MATCH(AS$8,'Калькуляция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(МИ)'!$AJ$25:$BC$459,,MATCH(AS$8,'Калькуляция (МИ)'!$AJ$8:$BC$8,0)),'Калькуляция (МИ)'!$F$25:$F$459,$F123,'Калькуляция (МИ)'!$G$25:$G$459,$G123))))</f>
        <v>1156.6303949999999</v>
      </c>
      <c r="AT123" s="1443">
        <f ca="1">IF(AND(method_reg="Метод индексации",god&lt;&gt;first_year),SUMIFS(INDEX('Калькуляция (МИ корр)'!$AJ$25:$BC$459,,MATCH(AT$8,'Калькуляция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(МИ)'!$AJ$25:$BC$459,,MATCH(AT$8,'Калькуляция (МИ)'!$AJ$8:$BC$8,0)),'Калькуляция (МИ)'!$F$25:$F$459,$F123,'Калькуляция (МИ)'!$G$25:$G$459,$G123))))</f>
        <v>1093.1671160000001</v>
      </c>
      <c r="AU123" s="1005">
        <f ca="1">IF(AS123=0,0,(AT123-AS123)/AS123*100)</f>
        <v>-5.4869108813278107</v>
      </c>
      <c r="AV123" s="1443">
        <f ca="1">IF(AND(method_reg="Метод индексации",god&lt;&gt;first_year),SUMIFS(INDEX('Калькуляция (МИ корр)'!$AJ$25:$BC$459,,MATCH(AV$8,'Калькуляция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(МИ)'!$AJ$25:$BC$459,,MATCH(AV$8,'Калькуляция (МИ)'!$AJ$8:$BC$8,0)),'Калькуляция (МИ)'!$F$25:$F$459,$F123,'Калькуляция (МИ)'!$G$25:$G$459,$G123))))</f>
        <v>1156.6303949999999</v>
      </c>
      <c r="AW123" s="1443">
        <f ca="1">IF(AND(method_reg="Метод индексации",god&lt;&gt;first_year),SUMIFS(INDEX('Калькуляция (МИ корр)'!$AJ$25:$BC$459,,MATCH(AW$8,'Калькуляция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(МИ)'!$AJ$25:$BC$459,,MATCH(AW$8,'Калькуляция (МИ)'!$AJ$8:$BC$8,0)),'Калькуляция (МИ)'!$F$25:$F$459,$F123,'Калькуляция (МИ)'!$G$25:$G$459,$G123))))</f>
        <v>1093.1671160000001</v>
      </c>
      <c r="AX123" s="1005">
        <f ca="1">IF(AV123=0,0,(AW123-AV123)/AV123*100)</f>
        <v>-5.4869108813278107</v>
      </c>
      <c r="AY123" s="1443">
        <f ca="1">IF(AND(method_reg="Метод индексации",god&lt;&gt;first_year),SUMIFS(INDEX('Калькуляция (МИ корр)'!$AJ$25:$BC$459,,MATCH(AY$8,'Калькуляция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(МИ)'!$AJ$25:$BC$459,,MATCH(AY$8,'Калькуляция (МИ)'!$AJ$8:$BC$8,0)),'Калькуляция (МИ)'!$F$25:$F$459,$F123,'Калькуляция (МИ)'!$G$25:$G$459,$G123))))</f>
        <v>0</v>
      </c>
      <c r="AZ123" s="1443">
        <f ca="1">IF(AND(method_reg="Метод индексации",god&lt;&gt;first_year),SUMIFS(INDEX('Калькуляция (МИ корр)'!$AJ$25:$BC$459,,MATCH(AZ$8,'Калькуляция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(МИ)'!$AJ$25:$BC$459,,MATCH(AZ$8,'Калькуляция (МИ)'!$AJ$8:$BC$8,0)),'Калькуляция (МИ)'!$F$25:$F$459,$F123,'Калькуляция (МИ)'!$G$25:$G$459,$G123))))</f>
        <v>0</v>
      </c>
      <c r="BA123" s="1005">
        <f ca="1">IF(AY123=0,0,(AZ123-AY123)/AY123*100)</f>
        <v>0</v>
      </c>
      <c r="BB123" s="1443">
        <f ca="1">IF(AND(method_reg="Метод индексации",god&lt;&gt;first_year),SUMIFS(INDEX('Калькуляция (МИ корр)'!$AJ$25:$BC$459,,MATCH(BB$8,'Калькуляция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(МИ)'!$AJ$25:$BC$459,,MATCH(BB$8,'Калькуляция (МИ)'!$AJ$8:$BC$8,0)),'Калькуляция (МИ)'!$F$25:$F$459,$F123,'Калькуляция (МИ)'!$G$25:$G$459,$G123))))</f>
        <v>0</v>
      </c>
      <c r="BC123" s="1443">
        <f ca="1">IF(AND(method_reg="Метод индексации",god&lt;&gt;first_year),SUMIFS(INDEX('Калькуляция (МИ корр)'!$AJ$25:$BC$459,,MATCH(BC$8,'Калькуляция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(МИ)'!$AJ$25:$BC$459,,MATCH(BC$8,'Калькуляция (МИ)'!$AJ$8:$BC$8,0)),'Калькуляция (МИ)'!$F$25:$F$459,$F123,'Калькуляция (МИ)'!$G$25:$G$459,$G123))))</f>
        <v>0</v>
      </c>
      <c r="BD123" s="1005">
        <f ca="1">IF(BB123=0,0,(BC123-BB123)/BB123*100)</f>
        <v>0</v>
      </c>
      <c r="BE123" s="1443">
        <f ca="1">IF(AND(method_reg="Метод индексации",god&lt;&gt;first_year),SUMIFS(INDEX('Калькуляция (МИ корр)'!$AJ$25:$BC$459,,MATCH(BE$8,'Калькуляция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(МИ)'!$AJ$25:$BC$459,,MATCH(BE$8,'Калькуляция (МИ)'!$AJ$8:$BC$8,0)),'Калькуляция (МИ)'!$F$25:$F$459,$F123,'Калькуляция (МИ)'!$G$25:$G$459,$G123))))</f>
        <v>0</v>
      </c>
      <c r="BF123" s="1443">
        <f ca="1">IF(AND(method_reg="Метод индексации",god&lt;&gt;first_year),SUMIFS(INDEX('Калькуляция (МИ корр)'!$AJ$25:$BC$459,,MATCH(BF$8,'Калькуляция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(МИ)'!$AJ$25:$BC$459,,MATCH(BF$8,'Калькуляция (МИ)'!$AJ$8:$BC$8,0)),'Калькуляция (МИ)'!$F$25:$F$459,$F123,'Калькуляция (МИ)'!$G$25:$G$459,$G123))))</f>
        <v>0</v>
      </c>
      <c r="BG123" s="1005">
        <f ca="1">IF(BE123=0,0,(BF123-BE123)/BE123*100)</f>
        <v>0</v>
      </c>
      <c r="BH123" s="1443"/>
      <c r="BI123" s="1443"/>
      <c r="BJ123" s="1005">
        <f>IF(BH123=0,0,(BI123-BH123)/BH123*100)</f>
        <v>0</v>
      </c>
      <c r="BK123" s="1443"/>
      <c r="BL123" s="1443"/>
      <c r="BM123" s="1005">
        <f>IF(BK123=0,0,(BL123-BK123)/BK123*100)</f>
        <v>0</v>
      </c>
      <c r="BN123" s="1443"/>
      <c r="BO123" s="1443"/>
      <c r="BP123" s="1005">
        <f>IF(BN123=0,0,(BO123-BN123)/BN123*100)</f>
        <v>0</v>
      </c>
      <c r="BQ123" s="1443"/>
      <c r="BR123" s="1443"/>
      <c r="BS123" s="1005">
        <f>IF(BQ123=0,0,(BR123-BQ123)/BQ123*100)</f>
        <v>0</v>
      </c>
      <c r="BT123" s="1443"/>
      <c r="BU123" s="1443"/>
      <c r="BV123" s="1005">
        <f>IF(BT123=0,0,(BU123-BT123)/BT123*100)</f>
        <v>0</v>
      </c>
      <c r="BW123" s="1443"/>
      <c r="BX123" s="1443"/>
      <c r="BY123" s="1005">
        <f>IF(BW123=0,0,(BX123-BW123)/BW123*100)</f>
        <v>0</v>
      </c>
      <c r="BZ123" s="1443"/>
      <c r="CA123" s="1443"/>
      <c r="CB123" s="1005">
        <f>IF(BZ123=0,0,(CA123-BZ123)/BZ123*100)</f>
        <v>0</v>
      </c>
      <c r="CC123" s="1443"/>
      <c r="CD123" s="1443"/>
      <c r="CE123" s="1005">
        <f>IF(CC123=0,0,(CD123-CC123)/CC123*100)</f>
        <v>0</v>
      </c>
      <c r="CF123" s="1443"/>
      <c r="CG123" s="1443"/>
      <c r="CH123" s="1005">
        <f>IF(CF123=0,0,(CG123-CF123)/CF123*100)</f>
        <v>0</v>
      </c>
      <c r="CI123" s="1443"/>
      <c r="CJ123" s="1443"/>
      <c r="CK123" s="1005">
        <f>IF(CI123=0,0,(CJ123-CI123)/CI123*100)</f>
        <v>0</v>
      </c>
      <c r="CL123" s="1443"/>
      <c r="CM123" s="1443"/>
      <c r="CN123" s="1005">
        <f>IF(CL123=0,0,(CM123-CL123)/CL123*100)</f>
        <v>0</v>
      </c>
      <c r="CO123" s="1443"/>
      <c r="CP123" s="1443"/>
      <c r="CQ123" s="1005">
        <f>IF(CO123=0,0,(CP123-CO123)/CO123*100)</f>
        <v>0</v>
      </c>
      <c r="CR123" s="1443"/>
      <c r="CS123" s="1443"/>
      <c r="CT123" s="1005">
        <f>IF(CR123=0,0,(CS123-CR123)/CR123*100)</f>
        <v>0</v>
      </c>
      <c r="CU123" s="1443"/>
      <c r="CV123" s="1443"/>
      <c r="CW123" s="1005">
        <f>IF(CU123=0,0,(CV123-CU123)/CU123*100)</f>
        <v>0</v>
      </c>
      <c r="CX123" s="1443"/>
      <c r="CY123" s="1443"/>
      <c r="CZ123" s="1005">
        <f>IF(CX123=0,0,(CY123-CX123)/CX123*100)</f>
        <v>0</v>
      </c>
      <c r="DA123" s="1443"/>
      <c r="DB123" s="1443"/>
      <c r="DC123" s="1005">
        <f>IF(DA123=0,0,(DB123-DA123)/DA123*100)</f>
        <v>0</v>
      </c>
      <c r="DD123" s="1443"/>
      <c r="DE123" s="1443"/>
      <c r="DF123" s="1005">
        <f>IF(DD123=0,0,(DE123-DD123)/DD123*100)</f>
        <v>0</v>
      </c>
      <c r="DG123" s="1443"/>
      <c r="DH123" s="1443"/>
      <c r="DI123" s="1005">
        <f>IF(DG123=0,0,(DH123-DG123)/DG123*100)</f>
        <v>0</v>
      </c>
      <c r="DJ123" s="1443"/>
      <c r="DK123" s="1443"/>
      <c r="DL123" s="1005">
        <f>IF(DJ123=0,0,(DK123-DJ123)/DJ123*100)</f>
        <v>0</v>
      </c>
      <c r="DM123" s="1443"/>
      <c r="DN123" s="1443"/>
      <c r="DO123" s="1005">
        <f>IF(DM123=0,0,(DN123-DM123)/DM123*100)</f>
        <v>0</v>
      </c>
      <c r="DP123" s="1443"/>
      <c r="DQ123" s="1443"/>
      <c r="DR123" s="1005">
        <f>IF(DP123=0,0,(DQ123-DP123)/DP123*100)</f>
        <v>0</v>
      </c>
      <c r="DS123" s="1443"/>
      <c r="DT123" s="1443"/>
      <c r="DU123" s="1005">
        <f>IF(DS123=0,0,(DT123-DS123)/DS123*100)</f>
        <v>0</v>
      </c>
      <c r="DV123" s="1443"/>
      <c r="DW123" s="1443"/>
      <c r="DX123" s="1005">
        <f>IF(DV123=0,0,(DW123-DV123)/DV123*100)</f>
        <v>0</v>
      </c>
      <c r="DY123" s="1443"/>
      <c r="DZ123" s="1443"/>
      <c r="EA123" s="1005">
        <f>IF(DY123=0,0,(DZ123-DY123)/DY123*100)</f>
        <v>0</v>
      </c>
      <c r="EB123" s="1443"/>
      <c r="EC123" s="1443"/>
      <c r="ED123" s="1005">
        <f>IF(EB123=0,0,(EC123-EB123)/EB123*100)</f>
        <v>0</v>
      </c>
      <c r="EE123" s="1443"/>
      <c r="EF123" s="1443"/>
      <c r="EG123" s="1005">
        <f>IF(EE123=0,0,(EF123-EE123)/EE123*100)</f>
        <v>0</v>
      </c>
      <c r="EH123" s="1443"/>
      <c r="EI123" s="1443"/>
      <c r="EJ123" s="1005">
        <f>IF(EH123=0,0,(EI123-EH123)/EH123*100)</f>
        <v>0</v>
      </c>
      <c r="EK123" s="1443"/>
      <c r="EL123" s="1443"/>
      <c r="EM123" s="1005">
        <f>IF(EK123=0,0,(EL123-EK123)/EK123*100)</f>
        <v>0</v>
      </c>
      <c r="EN123" s="1443"/>
      <c r="EO123" s="1443"/>
      <c r="EP123" s="1005">
        <f>IF(EN123=0,0,(EO123-EN123)/EN123*100)</f>
        <v>0</v>
      </c>
      <c r="EQ123" s="1443"/>
      <c r="ER123" s="1443"/>
      <c r="ES123" s="1005">
        <f>IF(EQ123=0,0,(ER123-EQ123)/EQ123*100)</f>
        <v>0</v>
      </c>
      <c r="ET123" s="1443"/>
      <c r="EU123" s="1443"/>
      <c r="EV123" s="1005">
        <f>IF(ET123=0,0,(EU123-ET123)/ET123*100)</f>
        <v>0</v>
      </c>
      <c r="EW123" s="1443"/>
      <c r="EX123" s="1443"/>
      <c r="EY123" s="1005">
        <f>IF(EW123=0,0,(EX123-EW123)/EW123*100)</f>
        <v>0</v>
      </c>
      <c r="EZ123" s="1443"/>
      <c r="FA123" s="1443"/>
      <c r="FB123" s="1005">
        <f>IF(EZ123=0,0,(FA123-EZ123)/EZ123*100)</f>
        <v>0</v>
      </c>
      <c r="FC123" s="1443"/>
      <c r="FD123" s="1443"/>
      <c r="FE123" s="1005">
        <f>IF(FC123=0,0,(FD123-FC123)/FC123*100)</f>
        <v>0</v>
      </c>
      <c r="FF123" s="1443"/>
      <c r="FG123" s="1443"/>
      <c r="FH123" s="1005">
        <f>IF(FF123=0,0,(FG123-FF123)/FF123*100)</f>
        <v>0</v>
      </c>
      <c r="FI123" s="1443"/>
      <c r="FJ123" s="1443"/>
      <c r="FK123" s="1005">
        <f>IF(FI123=0,0,(FJ123-FI123)/FI123*100)</f>
        <v>0</v>
      </c>
      <c r="FL123" s="1443"/>
      <c r="FM123" s="1443"/>
      <c r="FN123" s="1005">
        <f>IF(FL123=0,0,(FM123-FL123)/FL123*100)</f>
        <v>0</v>
      </c>
      <c r="FO123" s="1443"/>
      <c r="FP123" s="1443"/>
      <c r="FQ123" s="1005">
        <f>IF(FO123=0,0,(FP123-FO123)/FO123*100)</f>
        <v>0</v>
      </c>
      <c r="FR123" s="1443"/>
      <c r="FS123" s="1443"/>
      <c r="FT123" s="1005">
        <f>IF(FR123=0,0,(FS123-FR123)/FR123*100)</f>
        <v>0</v>
      </c>
      <c r="FU123" s="1443"/>
      <c r="FV123" s="1443"/>
      <c r="FW123" s="1005">
        <f>IF(FU123=0,0,(FV123-FU123)/FU123*100)</f>
        <v>0</v>
      </c>
      <c r="FX123" s="1214"/>
      <c r="FY123" s="1214"/>
      <c r="FZ123" s="964" t="s">
        <v>1652</v>
      </c>
      <c r="GA123" s="1216"/>
      <c r="GB123" s="1216"/>
      <c r="GC123" s="1215"/>
      <c r="GD123" s="1215"/>
    </row>
    <row r="124" spans="1:186" s="1334" customFormat="1" ht="21.75" hidden="1" customHeight="1" x14ac:dyDescent="0.15">
      <c r="A124" s="416"/>
      <c r="B124" s="837" t="b" cm="1">
        <f t="array" ref="B124">B123</f>
        <v>0</v>
      </c>
      <c r="C124" s="416"/>
      <c r="D124" s="416"/>
      <c r="E124" s="759">
        <v>22.5</v>
      </c>
      <c r="F124" s="3" t="str" cm="1">
        <f t="array" aca="1" ref="F124" ca="1">OFFSET(E124,-1,1)</f>
        <v>1</v>
      </c>
      <c r="G124" s="416"/>
      <c r="H124" s="416" t="s">
        <v>1627</v>
      </c>
      <c r="I124" s="416" t="s">
        <v>1605</v>
      </c>
      <c r="J124" s="416"/>
      <c r="K124" s="416"/>
      <c r="L124" s="416"/>
      <c r="M124" s="416"/>
      <c r="N124" s="416"/>
      <c r="O124" s="416"/>
      <c r="P124" s="416"/>
      <c r="Q124" s="416"/>
      <c r="R124" s="416"/>
      <c r="S124" s="416"/>
      <c r="T124" s="388" t="b" cm="1">
        <f t="array" aca="1" ref="T124" ca="1">T123</f>
        <v>1</v>
      </c>
      <c r="U124" s="416"/>
      <c r="V124" s="416"/>
      <c r="W124" s="416"/>
      <c r="X124" s="2066"/>
      <c r="Y124" s="416"/>
      <c r="Z124" s="2011"/>
      <c r="AA124" s="416"/>
      <c r="AB124" s="818"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24" s="783" t="s">
        <v>1628</v>
      </c>
      <c r="AD124" s="1445"/>
      <c r="AE124" s="1445"/>
      <c r="AF124" s="1003">
        <f>IF(AD124=0,0,(AE124-AD124)/AD124*100)</f>
        <v>0</v>
      </c>
      <c r="AG124" s="1445"/>
      <c r="AH124" s="1445"/>
      <c r="AI124" s="1003">
        <f>IF(AG124=0,0,(AH124-AG124)/AG124*100)</f>
        <v>0</v>
      </c>
      <c r="AJ124" s="1445"/>
      <c r="AK124" s="1445"/>
      <c r="AL124" s="1003">
        <f>IF(AJ124=0,0,(AK124-AJ124)/AJ124*100)</f>
        <v>0</v>
      </c>
      <c r="AM124" s="1445"/>
      <c r="AN124" s="1445"/>
      <c r="AO124" s="1003">
        <f>IF(AM124=0,0,(AN124-AM124)/AM124*100)</f>
        <v>0</v>
      </c>
      <c r="AP124" s="1445"/>
      <c r="AQ124" s="1445"/>
      <c r="AR124" s="1003">
        <f>IF(AP124=0,0,(AQ124-AP124)/AP124*100)</f>
        <v>0</v>
      </c>
      <c r="AS124" s="1445"/>
      <c r="AT124" s="1445"/>
      <c r="AU124" s="1003">
        <f>IF(AS124=0,0,(AT124-AS124)/AS124*100)</f>
        <v>0</v>
      </c>
      <c r="AV124" s="1445"/>
      <c r="AW124" s="1445"/>
      <c r="AX124" s="1003">
        <f>IF(AV124=0,0,(AW124-AV124)/AV124*100)</f>
        <v>0</v>
      </c>
      <c r="AY124" s="1445"/>
      <c r="AZ124" s="1445"/>
      <c r="BA124" s="1003">
        <f>IF(AY124=0,0,(AZ124-AY124)/AY124*100)</f>
        <v>0</v>
      </c>
      <c r="BB124" s="1445"/>
      <c r="BC124" s="1445"/>
      <c r="BD124" s="1003">
        <f>IF(BB124=0,0,(BC124-BB124)/BB124*100)</f>
        <v>0</v>
      </c>
      <c r="BE124" s="1445"/>
      <c r="BF124" s="1445"/>
      <c r="BG124" s="1003">
        <f>IF(BE124=0,0,(BF124-BE124)/BE124*100)</f>
        <v>0</v>
      </c>
      <c r="BH124" s="1445"/>
      <c r="BI124" s="1445"/>
      <c r="BJ124" s="1003">
        <f>IF(BH124=0,0,(BI124-BH124)/BH124*100)</f>
        <v>0</v>
      </c>
      <c r="BK124" s="1445"/>
      <c r="BL124" s="1445"/>
      <c r="BM124" s="1003">
        <f>IF(BK124=0,0,(BL124-BK124)/BK124*100)</f>
        <v>0</v>
      </c>
      <c r="BN124" s="1445"/>
      <c r="BO124" s="1445"/>
      <c r="BP124" s="1003">
        <f>IF(BN124=0,0,(BO124-BN124)/BN124*100)</f>
        <v>0</v>
      </c>
      <c r="BQ124" s="1445"/>
      <c r="BR124" s="1445"/>
      <c r="BS124" s="1003">
        <f>IF(BQ124=0,0,(BR124-BQ124)/BQ124*100)</f>
        <v>0</v>
      </c>
      <c r="BT124" s="1445"/>
      <c r="BU124" s="1445"/>
      <c r="BV124" s="1003">
        <f>IF(BT124=0,0,(BU124-BT124)/BT124*100)</f>
        <v>0</v>
      </c>
      <c r="BW124" s="1445"/>
      <c r="BX124" s="1445"/>
      <c r="BY124" s="1003">
        <f>IF(BW124=0,0,(BX124-BW124)/BW124*100)</f>
        <v>0</v>
      </c>
      <c r="BZ124" s="1445"/>
      <c r="CA124" s="1445"/>
      <c r="CB124" s="1003">
        <f>IF(BZ124=0,0,(CA124-BZ124)/BZ124*100)</f>
        <v>0</v>
      </c>
      <c r="CC124" s="1445"/>
      <c r="CD124" s="1445"/>
      <c r="CE124" s="1003">
        <f>IF(CC124=0,0,(CD124-CC124)/CC124*100)</f>
        <v>0</v>
      </c>
      <c r="CF124" s="1445"/>
      <c r="CG124" s="1445"/>
      <c r="CH124" s="1003">
        <f>IF(CF124=0,0,(CG124-CF124)/CF124*100)</f>
        <v>0</v>
      </c>
      <c r="CI124" s="1445"/>
      <c r="CJ124" s="1445"/>
      <c r="CK124" s="1003">
        <f>IF(CI124=0,0,(CJ124-CI124)/CI124*100)</f>
        <v>0</v>
      </c>
      <c r="CL124" s="1445"/>
      <c r="CM124" s="1445"/>
      <c r="CN124" s="1003">
        <f>IF(CL124=0,0,(CM124-CL124)/CL124*100)</f>
        <v>0</v>
      </c>
      <c r="CO124" s="1445"/>
      <c r="CP124" s="1445"/>
      <c r="CQ124" s="1003">
        <f>IF(CO124=0,0,(CP124-CO124)/CO124*100)</f>
        <v>0</v>
      </c>
      <c r="CR124" s="1445"/>
      <c r="CS124" s="1445"/>
      <c r="CT124" s="1003">
        <f>IF(CR124=0,0,(CS124-CR124)/CR124*100)</f>
        <v>0</v>
      </c>
      <c r="CU124" s="1445"/>
      <c r="CV124" s="1445"/>
      <c r="CW124" s="1003">
        <f>IF(CU124=0,0,(CV124-CU124)/CU124*100)</f>
        <v>0</v>
      </c>
      <c r="CX124" s="1445"/>
      <c r="CY124" s="1445"/>
      <c r="CZ124" s="1003">
        <f>IF(CX124=0,0,(CY124-CX124)/CX124*100)</f>
        <v>0</v>
      </c>
      <c r="DA124" s="1445"/>
      <c r="DB124" s="1445"/>
      <c r="DC124" s="1003">
        <f>IF(DA124=0,0,(DB124-DA124)/DA124*100)</f>
        <v>0</v>
      </c>
      <c r="DD124" s="1445"/>
      <c r="DE124" s="1445"/>
      <c r="DF124" s="1003">
        <f>IF(DD124=0,0,(DE124-DD124)/DD124*100)</f>
        <v>0</v>
      </c>
      <c r="DG124" s="1445"/>
      <c r="DH124" s="1445"/>
      <c r="DI124" s="1003">
        <f>IF(DG124=0,0,(DH124-DG124)/DG124*100)</f>
        <v>0</v>
      </c>
      <c r="DJ124" s="1445"/>
      <c r="DK124" s="1445"/>
      <c r="DL124" s="1003">
        <f>IF(DJ124=0,0,(DK124-DJ124)/DJ124*100)</f>
        <v>0</v>
      </c>
      <c r="DM124" s="1445"/>
      <c r="DN124" s="1445"/>
      <c r="DO124" s="1003">
        <f>IF(DM124=0,0,(DN124-DM124)/DM124*100)</f>
        <v>0</v>
      </c>
      <c r="DP124" s="1445"/>
      <c r="DQ124" s="1445"/>
      <c r="DR124" s="1003">
        <f>IF(DP124=0,0,(DQ124-DP124)/DP124*100)</f>
        <v>0</v>
      </c>
      <c r="DS124" s="1445"/>
      <c r="DT124" s="1445"/>
      <c r="DU124" s="1003">
        <f>IF(DS124=0,0,(DT124-DS124)/DS124*100)</f>
        <v>0</v>
      </c>
      <c r="DV124" s="1445"/>
      <c r="DW124" s="1445"/>
      <c r="DX124" s="1003">
        <f>IF(DV124=0,0,(DW124-DV124)/DV124*100)</f>
        <v>0</v>
      </c>
      <c r="DY124" s="1445"/>
      <c r="DZ124" s="1445"/>
      <c r="EA124" s="1003">
        <f>IF(DY124=0,0,(DZ124-DY124)/DY124*100)</f>
        <v>0</v>
      </c>
      <c r="EB124" s="1445"/>
      <c r="EC124" s="1445"/>
      <c r="ED124" s="1003">
        <f>IF(EB124=0,0,(EC124-EB124)/EB124*100)</f>
        <v>0</v>
      </c>
      <c r="EE124" s="1445"/>
      <c r="EF124" s="1445"/>
      <c r="EG124" s="1003">
        <f>IF(EE124=0,0,(EF124-EE124)/EE124*100)</f>
        <v>0</v>
      </c>
      <c r="EH124" s="1445"/>
      <c r="EI124" s="1445"/>
      <c r="EJ124" s="1003">
        <f>IF(EH124=0,0,(EI124-EH124)/EH124*100)</f>
        <v>0</v>
      </c>
      <c r="EK124" s="1445"/>
      <c r="EL124" s="1445"/>
      <c r="EM124" s="1003">
        <f>IF(EK124=0,0,(EL124-EK124)/EK124*100)</f>
        <v>0</v>
      </c>
      <c r="EN124" s="1445"/>
      <c r="EO124" s="1445"/>
      <c r="EP124" s="1003">
        <f>IF(EN124=0,0,(EO124-EN124)/EN124*100)</f>
        <v>0</v>
      </c>
      <c r="EQ124" s="1445"/>
      <c r="ER124" s="1445"/>
      <c r="ES124" s="1003">
        <f>IF(EQ124=0,0,(ER124-EQ124)/EQ124*100)</f>
        <v>0</v>
      </c>
      <c r="ET124" s="1445"/>
      <c r="EU124" s="1445"/>
      <c r="EV124" s="1003">
        <f>IF(ET124=0,0,(EU124-ET124)/ET124*100)</f>
        <v>0</v>
      </c>
      <c r="EW124" s="1445"/>
      <c r="EX124" s="1445"/>
      <c r="EY124" s="1003">
        <f>IF(EW124=0,0,(EX124-EW124)/EW124*100)</f>
        <v>0</v>
      </c>
      <c r="EZ124" s="1445"/>
      <c r="FA124" s="1445"/>
      <c r="FB124" s="1003">
        <f>IF(EZ124=0,0,(FA124-EZ124)/EZ124*100)</f>
        <v>0</v>
      </c>
      <c r="FC124" s="1445"/>
      <c r="FD124" s="1445"/>
      <c r="FE124" s="1003">
        <f>IF(FC124=0,0,(FD124-FC124)/FC124*100)</f>
        <v>0</v>
      </c>
      <c r="FF124" s="1445"/>
      <c r="FG124" s="1445"/>
      <c r="FH124" s="1003">
        <f>IF(FF124=0,0,(FG124-FF124)/FF124*100)</f>
        <v>0</v>
      </c>
      <c r="FI124" s="1445"/>
      <c r="FJ124" s="1445"/>
      <c r="FK124" s="1003">
        <f>IF(FI124=0,0,(FJ124-FI124)/FI124*100)</f>
        <v>0</v>
      </c>
      <c r="FL124" s="1445"/>
      <c r="FM124" s="1445"/>
      <c r="FN124" s="1003">
        <f>IF(FL124=0,0,(FM124-FL124)/FL124*100)</f>
        <v>0</v>
      </c>
      <c r="FO124" s="1445"/>
      <c r="FP124" s="1445"/>
      <c r="FQ124" s="1003">
        <f>IF(FO124=0,0,(FP124-FO124)/FO124*100)</f>
        <v>0</v>
      </c>
      <c r="FR124" s="1445"/>
      <c r="FS124" s="1445"/>
      <c r="FT124" s="1003">
        <f>IF(FR124=0,0,(FS124-FR124)/FR124*100)</f>
        <v>0</v>
      </c>
      <c r="FU124" s="1445"/>
      <c r="FV124" s="1445"/>
      <c r="FW124" s="1003">
        <f>IF(FU124=0,0,(FV124-FU124)/FU124*100)</f>
        <v>0</v>
      </c>
      <c r="FX124" s="1214"/>
      <c r="FY124" s="1214"/>
      <c r="FZ124" s="964" t="s">
        <v>1653</v>
      </c>
      <c r="GA124" s="1216"/>
      <c r="GB124" s="1216"/>
      <c r="GC124" s="1215"/>
      <c r="GD124" s="1215"/>
    </row>
    <row r="125" spans="1:186" s="1334" customFormat="1" ht="14.25" hidden="1" customHeight="1" x14ac:dyDescent="0.15">
      <c r="A125" s="416"/>
      <c r="B125" s="837" t="b" cm="1">
        <f t="array" ref="B125">B124</f>
        <v>0</v>
      </c>
      <c r="C125" s="416"/>
      <c r="D125" s="416"/>
      <c r="E125" s="759">
        <v>15</v>
      </c>
      <c r="F125" s="3" t="str" cm="1">
        <f t="array" aca="1" ref="F125" ca="1">OFFSET(E125,-1,1)</f>
        <v>1</v>
      </c>
      <c r="G125" s="416"/>
      <c r="H125" s="416" t="s">
        <v>1630</v>
      </c>
      <c r="I125" s="416" t="s">
        <v>1605</v>
      </c>
      <c r="J125" s="416"/>
      <c r="K125" s="416"/>
      <c r="L125" s="416"/>
      <c r="M125" s="416"/>
      <c r="N125" s="416"/>
      <c r="O125" s="416"/>
      <c r="P125" s="416"/>
      <c r="Q125" s="416"/>
      <c r="R125" s="416"/>
      <c r="S125" s="416"/>
      <c r="T125" s="388" t="b" cm="1">
        <f t="array" aca="1" ref="T125" ca="1">T124</f>
        <v>1</v>
      </c>
      <c r="U125" s="416"/>
      <c r="V125" s="416"/>
      <c r="W125" s="416"/>
      <c r="X125" s="2066"/>
      <c r="Y125" s="416"/>
      <c r="Z125" s="2011"/>
      <c r="AA125" s="416"/>
      <c r="AB125" s="818" t="s">
        <v>1631</v>
      </c>
      <c r="AC125" s="783" t="s">
        <v>1632</v>
      </c>
      <c r="AD125" s="1445"/>
      <c r="AE125" s="1445"/>
      <c r="AF125" s="1003">
        <f>IF(AD125=0,0,(AE125-AD125)/AD125*100)</f>
        <v>0</v>
      </c>
      <c r="AG125" s="1445"/>
      <c r="AH125" s="1445"/>
      <c r="AI125" s="1003">
        <f>IF(AG125=0,0,(AH125-AG125)/AG125*100)</f>
        <v>0</v>
      </c>
      <c r="AJ125" s="1445"/>
      <c r="AK125" s="1445"/>
      <c r="AL125" s="1003">
        <f>IF(AJ125=0,0,(AK125-AJ125)/AJ125*100)</f>
        <v>0</v>
      </c>
      <c r="AM125" s="1445"/>
      <c r="AN125" s="1445"/>
      <c r="AO125" s="1003">
        <f>IF(AM125=0,0,(AN125-AM125)/AM125*100)</f>
        <v>0</v>
      </c>
      <c r="AP125" s="1445"/>
      <c r="AQ125" s="1445"/>
      <c r="AR125" s="1003">
        <f>IF(AP125=0,0,(AQ125-AP125)/AP125*100)</f>
        <v>0</v>
      </c>
      <c r="AS125" s="1445"/>
      <c r="AT125" s="1445"/>
      <c r="AU125" s="1003">
        <f>IF(AS125=0,0,(AT125-AS125)/AS125*100)</f>
        <v>0</v>
      </c>
      <c r="AV125" s="1445"/>
      <c r="AW125" s="1445"/>
      <c r="AX125" s="1003">
        <f>IF(AV125=0,0,(AW125-AV125)/AV125*100)</f>
        <v>0</v>
      </c>
      <c r="AY125" s="1445"/>
      <c r="AZ125" s="1445"/>
      <c r="BA125" s="1003">
        <f>IF(AY125=0,0,(AZ125-AY125)/AY125*100)</f>
        <v>0</v>
      </c>
      <c r="BB125" s="1445"/>
      <c r="BC125" s="1445"/>
      <c r="BD125" s="1003">
        <f>IF(BB125=0,0,(BC125-BB125)/BB125*100)</f>
        <v>0</v>
      </c>
      <c r="BE125" s="1445"/>
      <c r="BF125" s="1445"/>
      <c r="BG125" s="1003">
        <f>IF(BE125=0,0,(BF125-BE125)/BE125*100)</f>
        <v>0</v>
      </c>
      <c r="BH125" s="1445"/>
      <c r="BI125" s="1445"/>
      <c r="BJ125" s="1003">
        <f>IF(BH125=0,0,(BI125-BH125)/BH125*100)</f>
        <v>0</v>
      </c>
      <c r="BK125" s="1445"/>
      <c r="BL125" s="1445"/>
      <c r="BM125" s="1003">
        <f>IF(BK125=0,0,(BL125-BK125)/BK125*100)</f>
        <v>0</v>
      </c>
      <c r="BN125" s="1445"/>
      <c r="BO125" s="1445"/>
      <c r="BP125" s="1003">
        <f>IF(BN125=0,0,(BO125-BN125)/BN125*100)</f>
        <v>0</v>
      </c>
      <c r="BQ125" s="1445"/>
      <c r="BR125" s="1445"/>
      <c r="BS125" s="1003">
        <f>IF(BQ125=0,0,(BR125-BQ125)/BQ125*100)</f>
        <v>0</v>
      </c>
      <c r="BT125" s="1445"/>
      <c r="BU125" s="1445"/>
      <c r="BV125" s="1003">
        <f>IF(BT125=0,0,(BU125-BT125)/BT125*100)</f>
        <v>0</v>
      </c>
      <c r="BW125" s="1445"/>
      <c r="BX125" s="1445"/>
      <c r="BY125" s="1003">
        <f>IF(BW125=0,0,(BX125-BW125)/BW125*100)</f>
        <v>0</v>
      </c>
      <c r="BZ125" s="1445"/>
      <c r="CA125" s="1445"/>
      <c r="CB125" s="1003">
        <f>IF(BZ125=0,0,(CA125-BZ125)/BZ125*100)</f>
        <v>0</v>
      </c>
      <c r="CC125" s="1445"/>
      <c r="CD125" s="1445"/>
      <c r="CE125" s="1003">
        <f>IF(CC125=0,0,(CD125-CC125)/CC125*100)</f>
        <v>0</v>
      </c>
      <c r="CF125" s="1445"/>
      <c r="CG125" s="1445"/>
      <c r="CH125" s="1003">
        <f>IF(CF125=0,0,(CG125-CF125)/CF125*100)</f>
        <v>0</v>
      </c>
      <c r="CI125" s="1445"/>
      <c r="CJ125" s="1445"/>
      <c r="CK125" s="1003">
        <f>IF(CI125=0,0,(CJ125-CI125)/CI125*100)</f>
        <v>0</v>
      </c>
      <c r="CL125" s="1445"/>
      <c r="CM125" s="1445"/>
      <c r="CN125" s="1003">
        <f>IF(CL125=0,0,(CM125-CL125)/CL125*100)</f>
        <v>0</v>
      </c>
      <c r="CO125" s="1445"/>
      <c r="CP125" s="1445"/>
      <c r="CQ125" s="1003">
        <f>IF(CO125=0,0,(CP125-CO125)/CO125*100)</f>
        <v>0</v>
      </c>
      <c r="CR125" s="1445"/>
      <c r="CS125" s="1445"/>
      <c r="CT125" s="1003">
        <f>IF(CR125=0,0,(CS125-CR125)/CR125*100)</f>
        <v>0</v>
      </c>
      <c r="CU125" s="1445"/>
      <c r="CV125" s="1445"/>
      <c r="CW125" s="1003">
        <f>IF(CU125=0,0,(CV125-CU125)/CU125*100)</f>
        <v>0</v>
      </c>
      <c r="CX125" s="1445"/>
      <c r="CY125" s="1445"/>
      <c r="CZ125" s="1003">
        <f>IF(CX125=0,0,(CY125-CX125)/CX125*100)</f>
        <v>0</v>
      </c>
      <c r="DA125" s="1445"/>
      <c r="DB125" s="1445"/>
      <c r="DC125" s="1003">
        <f>IF(DA125=0,0,(DB125-DA125)/DA125*100)</f>
        <v>0</v>
      </c>
      <c r="DD125" s="1445"/>
      <c r="DE125" s="1445"/>
      <c r="DF125" s="1003">
        <f>IF(DD125=0,0,(DE125-DD125)/DD125*100)</f>
        <v>0</v>
      </c>
      <c r="DG125" s="1445"/>
      <c r="DH125" s="1445"/>
      <c r="DI125" s="1003">
        <f>IF(DG125=0,0,(DH125-DG125)/DG125*100)</f>
        <v>0</v>
      </c>
      <c r="DJ125" s="1445"/>
      <c r="DK125" s="1445"/>
      <c r="DL125" s="1003">
        <f>IF(DJ125=0,0,(DK125-DJ125)/DJ125*100)</f>
        <v>0</v>
      </c>
      <c r="DM125" s="1445"/>
      <c r="DN125" s="1445"/>
      <c r="DO125" s="1003">
        <f>IF(DM125=0,0,(DN125-DM125)/DM125*100)</f>
        <v>0</v>
      </c>
      <c r="DP125" s="1445"/>
      <c r="DQ125" s="1445"/>
      <c r="DR125" s="1003">
        <f>IF(DP125=0,0,(DQ125-DP125)/DP125*100)</f>
        <v>0</v>
      </c>
      <c r="DS125" s="1445"/>
      <c r="DT125" s="1445"/>
      <c r="DU125" s="1003">
        <f>IF(DS125=0,0,(DT125-DS125)/DS125*100)</f>
        <v>0</v>
      </c>
      <c r="DV125" s="1445"/>
      <c r="DW125" s="1445"/>
      <c r="DX125" s="1003">
        <f>IF(DV125=0,0,(DW125-DV125)/DV125*100)</f>
        <v>0</v>
      </c>
      <c r="DY125" s="1445"/>
      <c r="DZ125" s="1445"/>
      <c r="EA125" s="1003">
        <f>IF(DY125=0,0,(DZ125-DY125)/DY125*100)</f>
        <v>0</v>
      </c>
      <c r="EB125" s="1445"/>
      <c r="EC125" s="1445"/>
      <c r="ED125" s="1003">
        <f>IF(EB125=0,0,(EC125-EB125)/EB125*100)</f>
        <v>0</v>
      </c>
      <c r="EE125" s="1445"/>
      <c r="EF125" s="1445"/>
      <c r="EG125" s="1003">
        <f>IF(EE125=0,0,(EF125-EE125)/EE125*100)</f>
        <v>0</v>
      </c>
      <c r="EH125" s="1445"/>
      <c r="EI125" s="1445"/>
      <c r="EJ125" s="1003">
        <f>IF(EH125=0,0,(EI125-EH125)/EH125*100)</f>
        <v>0</v>
      </c>
      <c r="EK125" s="1445"/>
      <c r="EL125" s="1445"/>
      <c r="EM125" s="1003">
        <f>IF(EK125=0,0,(EL125-EK125)/EK125*100)</f>
        <v>0</v>
      </c>
      <c r="EN125" s="1445"/>
      <c r="EO125" s="1445"/>
      <c r="EP125" s="1003">
        <f>IF(EN125=0,0,(EO125-EN125)/EN125*100)</f>
        <v>0</v>
      </c>
      <c r="EQ125" s="1445"/>
      <c r="ER125" s="1445"/>
      <c r="ES125" s="1003">
        <f>IF(EQ125=0,0,(ER125-EQ125)/EQ125*100)</f>
        <v>0</v>
      </c>
      <c r="ET125" s="1445"/>
      <c r="EU125" s="1445"/>
      <c r="EV125" s="1003">
        <f>IF(ET125=0,0,(EU125-ET125)/ET125*100)</f>
        <v>0</v>
      </c>
      <c r="EW125" s="1445"/>
      <c r="EX125" s="1445"/>
      <c r="EY125" s="1003">
        <f>IF(EW125=0,0,(EX125-EW125)/EW125*100)</f>
        <v>0</v>
      </c>
      <c r="EZ125" s="1445"/>
      <c r="FA125" s="1445"/>
      <c r="FB125" s="1003">
        <f>IF(EZ125=0,0,(FA125-EZ125)/EZ125*100)</f>
        <v>0</v>
      </c>
      <c r="FC125" s="1445"/>
      <c r="FD125" s="1445"/>
      <c r="FE125" s="1003">
        <f>IF(FC125=0,0,(FD125-FC125)/FC125*100)</f>
        <v>0</v>
      </c>
      <c r="FF125" s="1445"/>
      <c r="FG125" s="1445"/>
      <c r="FH125" s="1003">
        <f>IF(FF125=0,0,(FG125-FF125)/FF125*100)</f>
        <v>0</v>
      </c>
      <c r="FI125" s="1445"/>
      <c r="FJ125" s="1445"/>
      <c r="FK125" s="1003">
        <f>IF(FI125=0,0,(FJ125-FI125)/FI125*100)</f>
        <v>0</v>
      </c>
      <c r="FL125" s="1445"/>
      <c r="FM125" s="1445"/>
      <c r="FN125" s="1003">
        <f>IF(FL125=0,0,(FM125-FL125)/FL125*100)</f>
        <v>0</v>
      </c>
      <c r="FO125" s="1445"/>
      <c r="FP125" s="1445"/>
      <c r="FQ125" s="1003">
        <f>IF(FO125=0,0,(FP125-FO125)/FO125*100)</f>
        <v>0</v>
      </c>
      <c r="FR125" s="1445"/>
      <c r="FS125" s="1445"/>
      <c r="FT125" s="1003">
        <f>IF(FR125=0,0,(FS125-FR125)/FR125*100)</f>
        <v>0</v>
      </c>
      <c r="FU125" s="1445"/>
      <c r="FV125" s="1445"/>
      <c r="FW125" s="1003">
        <f>IF(FU125=0,0,(FV125-FU125)/FU125*100)</f>
        <v>0</v>
      </c>
      <c r="FX125" s="1214"/>
      <c r="FY125" s="1214"/>
      <c r="FZ125" s="964" t="s">
        <v>1654</v>
      </c>
      <c r="GA125" s="1216"/>
      <c r="GB125" s="1216"/>
      <c r="GC125" s="1215"/>
      <c r="GD125" s="1215"/>
    </row>
    <row r="126" spans="1:186" s="1334" customFormat="1" ht="18" hidden="1" customHeight="1" x14ac:dyDescent="0.15">
      <c r="A126" s="416"/>
      <c r="B126" s="837" t="b" cm="1">
        <f t="array" ref="B126">B125</f>
        <v>0</v>
      </c>
      <c r="C126" s="416"/>
      <c r="D126" s="416"/>
      <c r="E126" s="759">
        <v>18.75</v>
      </c>
      <c r="F126" s="3" t="str" cm="1">
        <f t="array" aca="1" ref="F126" ca="1">OFFSET(E126,-1,1)</f>
        <v>1</v>
      </c>
      <c r="G126" s="416"/>
      <c r="H126" s="416"/>
      <c r="I126" s="416"/>
      <c r="J126" s="416"/>
      <c r="K126" s="416"/>
      <c r="L126" s="416"/>
      <c r="M126" s="416"/>
      <c r="N126" s="416"/>
      <c r="O126" s="416"/>
      <c r="P126" s="416"/>
      <c r="Q126" s="416"/>
      <c r="R126" s="416"/>
      <c r="S126" s="416"/>
      <c r="T126" s="388" t="b">
        <f ca="1">AND(F126&gt;0,Y126&gt;0)</f>
        <v>0</v>
      </c>
      <c r="U126" s="416"/>
      <c r="V126" s="416"/>
      <c r="W126" s="416" t="s">
        <v>172</v>
      </c>
      <c r="X126" s="2066"/>
      <c r="Y126" s="2066">
        <v>0</v>
      </c>
      <c r="Z126" s="2011"/>
      <c r="AA126" s="1958" t="s">
        <v>173</v>
      </c>
      <c r="AB126" s="1444"/>
      <c r="AC126" s="784"/>
      <c r="AD126" s="1013"/>
      <c r="AE126" s="1014"/>
      <c r="AF126" s="1014"/>
      <c r="AG126" s="1013"/>
      <c r="AH126" s="1014"/>
      <c r="AI126" s="1014"/>
      <c r="AJ126" s="1013"/>
      <c r="AK126" s="1014"/>
      <c r="AL126" s="1014"/>
      <c r="AM126" s="1013"/>
      <c r="AN126" s="1014"/>
      <c r="AO126" s="1014"/>
      <c r="AP126" s="1013"/>
      <c r="AQ126" s="1014"/>
      <c r="AR126" s="1014"/>
      <c r="AS126" s="1013"/>
      <c r="AT126" s="1014"/>
      <c r="AU126" s="1014"/>
      <c r="AV126" s="1013"/>
      <c r="AW126" s="1014"/>
      <c r="AX126" s="1014"/>
      <c r="AY126" s="1013"/>
      <c r="AZ126" s="1014"/>
      <c r="BA126" s="1014"/>
      <c r="BB126" s="1013"/>
      <c r="BC126" s="1014"/>
      <c r="BD126" s="1014"/>
      <c r="BE126" s="1013"/>
      <c r="BF126" s="1014"/>
      <c r="BG126" s="1014"/>
      <c r="BH126" s="1013"/>
      <c r="BI126" s="1014"/>
      <c r="BJ126" s="1014"/>
      <c r="BK126" s="1013"/>
      <c r="BL126" s="1014"/>
      <c r="BM126" s="1014"/>
      <c r="BN126" s="1013"/>
      <c r="BO126" s="1014"/>
      <c r="BP126" s="1014"/>
      <c r="BQ126" s="1013"/>
      <c r="BR126" s="1014"/>
      <c r="BS126" s="1014"/>
      <c r="BT126" s="1013"/>
      <c r="BU126" s="1014"/>
      <c r="BV126" s="1014"/>
      <c r="BW126" s="1013"/>
      <c r="BX126" s="1014"/>
      <c r="BY126" s="1014"/>
      <c r="BZ126" s="1013"/>
      <c r="CA126" s="1014"/>
      <c r="CB126" s="1014"/>
      <c r="CC126" s="1013"/>
      <c r="CD126" s="1014"/>
      <c r="CE126" s="1014"/>
      <c r="CF126" s="1013"/>
      <c r="CG126" s="1014"/>
      <c r="CH126" s="1014"/>
      <c r="CI126" s="1013"/>
      <c r="CJ126" s="1014"/>
      <c r="CK126" s="1014"/>
      <c r="CL126" s="1013"/>
      <c r="CM126" s="1014"/>
      <c r="CN126" s="1014"/>
      <c r="CO126" s="1013"/>
      <c r="CP126" s="1014"/>
      <c r="CQ126" s="1014"/>
      <c r="CR126" s="1013"/>
      <c r="CS126" s="1014"/>
      <c r="CT126" s="1014"/>
      <c r="CU126" s="1013"/>
      <c r="CV126" s="1014"/>
      <c r="CW126" s="1014"/>
      <c r="CX126" s="1013"/>
      <c r="CY126" s="1014"/>
      <c r="CZ126" s="1014"/>
      <c r="DA126" s="1013"/>
      <c r="DB126" s="1014"/>
      <c r="DC126" s="1014"/>
      <c r="DD126" s="1013"/>
      <c r="DE126" s="1014"/>
      <c r="DF126" s="1014"/>
      <c r="DG126" s="1013"/>
      <c r="DH126" s="1014"/>
      <c r="DI126" s="1014"/>
      <c r="DJ126" s="1013"/>
      <c r="DK126" s="1014"/>
      <c r="DL126" s="1014"/>
      <c r="DM126" s="1013"/>
      <c r="DN126" s="1014"/>
      <c r="DO126" s="1014"/>
      <c r="DP126" s="1013"/>
      <c r="DQ126" s="1014"/>
      <c r="DR126" s="1014"/>
      <c r="DS126" s="1013"/>
      <c r="DT126" s="1014"/>
      <c r="DU126" s="1014"/>
      <c r="DV126" s="1013"/>
      <c r="DW126" s="1014"/>
      <c r="DX126" s="1014"/>
      <c r="DY126" s="1013"/>
      <c r="DZ126" s="1014"/>
      <c r="EA126" s="1014"/>
      <c r="EB126" s="1013"/>
      <c r="EC126" s="1014"/>
      <c r="ED126" s="1014"/>
      <c r="EE126" s="1013"/>
      <c r="EF126" s="1014"/>
      <c r="EG126" s="1014"/>
      <c r="EH126" s="1013"/>
      <c r="EI126" s="1014"/>
      <c r="EJ126" s="1014"/>
      <c r="EK126" s="1013"/>
      <c r="EL126" s="1014"/>
      <c r="EM126" s="1014"/>
      <c r="EN126" s="1013"/>
      <c r="EO126" s="1014"/>
      <c r="EP126" s="1014"/>
      <c r="EQ126" s="1013"/>
      <c r="ER126" s="1014"/>
      <c r="ES126" s="1014"/>
      <c r="ET126" s="1013"/>
      <c r="EU126" s="1014"/>
      <c r="EV126" s="1014"/>
      <c r="EW126" s="1013"/>
      <c r="EX126" s="1014"/>
      <c r="EY126" s="1014"/>
      <c r="EZ126" s="1013"/>
      <c r="FA126" s="1014"/>
      <c r="FB126" s="1014"/>
      <c r="FC126" s="1013"/>
      <c r="FD126" s="1014"/>
      <c r="FE126" s="1014"/>
      <c r="FF126" s="1013"/>
      <c r="FG126" s="1014"/>
      <c r="FH126" s="1014"/>
      <c r="FI126" s="1013"/>
      <c r="FJ126" s="1014"/>
      <c r="FK126" s="1014"/>
      <c r="FL126" s="1013"/>
      <c r="FM126" s="1014"/>
      <c r="FN126" s="1014"/>
      <c r="FO126" s="1013"/>
      <c r="FP126" s="1014"/>
      <c r="FQ126" s="1014"/>
      <c r="FR126" s="1013"/>
      <c r="FS126" s="1014"/>
      <c r="FT126" s="1014"/>
      <c r="FU126" s="1013"/>
      <c r="FV126" s="1014"/>
      <c r="FW126" s="1015"/>
      <c r="FX126" s="1214"/>
      <c r="FY126" s="1214"/>
      <c r="FZ126" s="964"/>
      <c r="GA126" s="1216"/>
      <c r="GB126" s="1216"/>
      <c r="GC126" s="1215"/>
      <c r="GD126" s="556" t="b">
        <v>1</v>
      </c>
    </row>
    <row r="127" spans="1:186" s="1334" customFormat="1" ht="14.25" hidden="1" customHeight="1" x14ac:dyDescent="0.15">
      <c r="A127" s="416"/>
      <c r="B127" s="837" t="b" cm="1">
        <f t="array" ref="B127">B126</f>
        <v>0</v>
      </c>
      <c r="C127" s="416"/>
      <c r="D127" s="416"/>
      <c r="E127" s="759">
        <v>15</v>
      </c>
      <c r="F127" s="3" t="str" cm="1">
        <f t="array" aca="1" ref="F127" ca="1">OFFSET(E127,-1,1)</f>
        <v>1</v>
      </c>
      <c r="G127" s="416"/>
      <c r="H127" s="416" t="s">
        <v>1529</v>
      </c>
      <c r="I127" s="416" cm="1">
        <f t="array" ref="I127">AB126</f>
        <v>0</v>
      </c>
      <c r="J127" s="416"/>
      <c r="K127" s="416"/>
      <c r="L127" s="416"/>
      <c r="M127" s="416"/>
      <c r="N127" s="416"/>
      <c r="O127" s="416"/>
      <c r="P127" s="416"/>
      <c r="Q127" s="416"/>
      <c r="R127" s="416"/>
      <c r="S127" s="416"/>
      <c r="T127" s="388" t="b" cm="1">
        <f t="array" aca="1" ref="T127" ca="1">T126</f>
        <v>0</v>
      </c>
      <c r="U127" s="416"/>
      <c r="V127" s="416"/>
      <c r="W127" s="416"/>
      <c r="X127" s="2066"/>
      <c r="Y127" s="2066"/>
      <c r="Z127" s="2011"/>
      <c r="AA127" s="1958"/>
      <c r="AB127" s="818" t="s">
        <v>1621</v>
      </c>
      <c r="AC127" s="783" t="s">
        <v>1588</v>
      </c>
      <c r="AD127" s="1445">
        <f>IF(AD129=0,0,(AD128*AD129+AD130*AD131*IF(god=2026,3,6))/AD129)</f>
        <v>0</v>
      </c>
      <c r="AE127" s="1445">
        <f>IF(AE129=0,0,(AE128*AE129+AE130*AE131*IF(god=2026,3,6))/AE129)</f>
        <v>0</v>
      </c>
      <c r="AF127" s="1003">
        <f>IF(AD127=0,0,(AE127-AD127)/AD127*100)</f>
        <v>0</v>
      </c>
      <c r="AG127" s="1445">
        <f>IF(AG129=0,0,(AG128*AG129+AG130*AG131*IF(god=2025,3,6))/AG129)</f>
        <v>0</v>
      </c>
      <c r="AH127" s="1445">
        <f>IF(AH129=0,0,(AH128*AH129+AH130*AH131*IF(god=2025,3,6))/AH129)</f>
        <v>0</v>
      </c>
      <c r="AI127" s="1003">
        <f>IF(AG127=0,0,(AH127-AG127)/AG127*100)</f>
        <v>0</v>
      </c>
      <c r="AJ127" s="1445">
        <f>IF(AJ129=0,0,(AJ128*AJ129+AJ130*AJ131*6)/AJ129)</f>
        <v>0</v>
      </c>
      <c r="AK127" s="1445">
        <f>IF(AK129=0,0,(AK128*AK129+AK130*AK131*6)/AK129)</f>
        <v>0</v>
      </c>
      <c r="AL127" s="1003">
        <f>IF(AJ127=0,0,(AK127-AJ127)/AJ127*100)</f>
        <v>0</v>
      </c>
      <c r="AM127" s="1445">
        <f>IF(AM129=0,0,(AM128*AM129+AM130*AM131*6)/AM129)</f>
        <v>0</v>
      </c>
      <c r="AN127" s="1445">
        <f>IF(AN129=0,0,(AN128*AN129+AN130*AN131*6)/AN129)</f>
        <v>0</v>
      </c>
      <c r="AO127" s="1003">
        <f>IF(AM127=0,0,(AN127-AM127)/AM127*100)</f>
        <v>0</v>
      </c>
      <c r="AP127" s="1445">
        <f>IF(AP129=0,0,(AP128*AP129+AP130*AP131*6)/AP129)</f>
        <v>0</v>
      </c>
      <c r="AQ127" s="1445">
        <f>IF(AQ129=0,0,(AQ128*AQ129+AQ130*AQ131*6)/AQ129)</f>
        <v>0</v>
      </c>
      <c r="AR127" s="1003">
        <f>IF(AP127=0,0,(AQ127-AP127)/AP127*100)</f>
        <v>0</v>
      </c>
      <c r="AS127" s="1445">
        <f>IF(AS129=0,0,(AS128*AS129+AS130*AS131*6)/AS129)</f>
        <v>0</v>
      </c>
      <c r="AT127" s="1445">
        <f>IF(AT129=0,0,(AT128*AT129+AT130*AT131*6)/AT129)</f>
        <v>0</v>
      </c>
      <c r="AU127" s="1003">
        <f>IF(AS127=0,0,(AT127-AS127)/AS127*100)</f>
        <v>0</v>
      </c>
      <c r="AV127" s="1445">
        <f>IF(AV129=0,0,(AV128*AV129+AV130*AV131*6)/AV129)</f>
        <v>0</v>
      </c>
      <c r="AW127" s="1445">
        <f>IF(AW129=0,0,(AW128*AW129+AW130*AW131*6)/AW129)</f>
        <v>0</v>
      </c>
      <c r="AX127" s="1003">
        <f>IF(AV127=0,0,(AW127-AV127)/AV127*100)</f>
        <v>0</v>
      </c>
      <c r="AY127" s="1445">
        <f>IF(AY129=0,0,(AY128*AY129+AY130*AY131*6)/AY129)</f>
        <v>0</v>
      </c>
      <c r="AZ127" s="1445">
        <f>IF(AZ129=0,0,(AZ128*AZ129+AZ130*AZ131*6)/AZ129)</f>
        <v>0</v>
      </c>
      <c r="BA127" s="1003">
        <f>IF(AY127=0,0,(AZ127-AY127)/AY127*100)</f>
        <v>0</v>
      </c>
      <c r="BB127" s="1445">
        <f>IF(BB129=0,0,(BB128*BB129+BB130*BB131*6)/BB129)</f>
        <v>0</v>
      </c>
      <c r="BC127" s="1445">
        <f>IF(BC129=0,0,(BC128*BC129+BC130*BC131*6)/BC129)</f>
        <v>0</v>
      </c>
      <c r="BD127" s="1003">
        <f>IF(BB127=0,0,(BC127-BB127)/BB127*100)</f>
        <v>0</v>
      </c>
      <c r="BE127" s="1445">
        <f>IF(BE129=0,0,(BE128*BE129+BE130*BE131*6)/BE129)</f>
        <v>0</v>
      </c>
      <c r="BF127" s="1445">
        <f>IF(BF129=0,0,(BF128*BF129+BF130*BF131*6)/BF129)</f>
        <v>0</v>
      </c>
      <c r="BG127" s="1003">
        <f>IF(BE127=0,0,(BF127-BE127)/BE127*100)</f>
        <v>0</v>
      </c>
      <c r="BH127" s="1445">
        <f>IF(BH129=0,0,(BH128*BH129+BH130*BH131*6)/BH129)</f>
        <v>0</v>
      </c>
      <c r="BI127" s="1445">
        <f>IF(BI129=0,0,(BI128*BI129+BI130*BI131*6)/BI129)</f>
        <v>0</v>
      </c>
      <c r="BJ127" s="1003">
        <f>IF(BH127=0,0,(BI127-BH127)/BH127*100)</f>
        <v>0</v>
      </c>
      <c r="BK127" s="1445">
        <f>IF(BK129=0,0,(BK128*BK129+BK130*BK131*6)/BK129)</f>
        <v>0</v>
      </c>
      <c r="BL127" s="1445">
        <f>IF(BL129=0,0,(BL128*BL129+BL130*BL131*6)/BL129)</f>
        <v>0</v>
      </c>
      <c r="BM127" s="1003">
        <f>IF(BK127=0,0,(BL127-BK127)/BK127*100)</f>
        <v>0</v>
      </c>
      <c r="BN127" s="1445">
        <f>IF(BN129=0,0,(BN128*BN129+BN130*BN131*6)/BN129)</f>
        <v>0</v>
      </c>
      <c r="BO127" s="1445">
        <f>IF(BO129=0,0,(BO128*BO129+BO130*BO131*6)/BO129)</f>
        <v>0</v>
      </c>
      <c r="BP127" s="1003">
        <f>IF(BN127=0,0,(BO127-BN127)/BN127*100)</f>
        <v>0</v>
      </c>
      <c r="BQ127" s="1445">
        <f>IF(BQ129=0,0,(BQ128*BQ129+BQ130*BQ131*6)/BQ129)</f>
        <v>0</v>
      </c>
      <c r="BR127" s="1445">
        <f>IF(BR129=0,0,(BR128*BR129+BR130*BR131*6)/BR129)</f>
        <v>0</v>
      </c>
      <c r="BS127" s="1003">
        <f>IF(BQ127=0,0,(BR127-BQ127)/BQ127*100)</f>
        <v>0</v>
      </c>
      <c r="BT127" s="1445">
        <f>IF(BT129=0,0,(BT128*BT129+BT130*BT131*6)/BT129)</f>
        <v>0</v>
      </c>
      <c r="BU127" s="1445">
        <f>IF(BU129=0,0,(BU128*BU129+BU130*BU131*6)/BU129)</f>
        <v>0</v>
      </c>
      <c r="BV127" s="1003">
        <f>IF(BT127=0,0,(BU127-BT127)/BT127*100)</f>
        <v>0</v>
      </c>
      <c r="BW127" s="1445">
        <f>IF(BW129=0,0,(BW128*BW129+BW130*BW131*6)/BW129)</f>
        <v>0</v>
      </c>
      <c r="BX127" s="1445">
        <f>IF(BX129=0,0,(BX128*BX129+BX130*BX131*6)/BX129)</f>
        <v>0</v>
      </c>
      <c r="BY127" s="1003">
        <f>IF(BW127=0,0,(BX127-BW127)/BW127*100)</f>
        <v>0</v>
      </c>
      <c r="BZ127" s="1445">
        <f>IF(BZ129=0,0,(BZ128*BZ129+BZ130*BZ131*6)/BZ129)</f>
        <v>0</v>
      </c>
      <c r="CA127" s="1445">
        <f>IF(CA129=0,0,(CA128*CA129+CA130*CA131*6)/CA129)</f>
        <v>0</v>
      </c>
      <c r="CB127" s="1003">
        <f>IF(BZ127=0,0,(CA127-BZ127)/BZ127*100)</f>
        <v>0</v>
      </c>
      <c r="CC127" s="1445">
        <f>IF(CC129=0,0,(CC128*CC129+CC130*CC131*6)/CC129)</f>
        <v>0</v>
      </c>
      <c r="CD127" s="1445">
        <f>IF(CD129=0,0,(CD128*CD129+CD130*CD131*6)/CD129)</f>
        <v>0</v>
      </c>
      <c r="CE127" s="1003">
        <f>IF(CC127=0,0,(CD127-CC127)/CC127*100)</f>
        <v>0</v>
      </c>
      <c r="CF127" s="1445">
        <f>IF(CF129=0,0,(CF128*CF129+CF130*CF131*6)/CF129)</f>
        <v>0</v>
      </c>
      <c r="CG127" s="1445">
        <f>IF(CG129=0,0,(CG128*CG129+CG130*CG131*6)/CG129)</f>
        <v>0</v>
      </c>
      <c r="CH127" s="1003">
        <f>IF(CF127=0,0,(CG127-CF127)/CF127*100)</f>
        <v>0</v>
      </c>
      <c r="CI127" s="1445">
        <f>IF(CI129=0,0,(CI128*CI129+CI130*CI131*6)/CI129)</f>
        <v>0</v>
      </c>
      <c r="CJ127" s="1445">
        <f>IF(CJ129=0,0,(CJ128*CJ129+CJ130*CJ131*6)/CJ129)</f>
        <v>0</v>
      </c>
      <c r="CK127" s="1003">
        <f>IF(CI127=0,0,(CJ127-CI127)/CI127*100)</f>
        <v>0</v>
      </c>
      <c r="CL127" s="1445">
        <f>IF(CL129=0,0,(CL128*CL129+CL130*CL131*6)/CL129)</f>
        <v>0</v>
      </c>
      <c r="CM127" s="1445">
        <f>IF(CM129=0,0,(CM128*CM129+CM130*CM131*6)/CM129)</f>
        <v>0</v>
      </c>
      <c r="CN127" s="1003">
        <f>IF(CL127=0,0,(CM127-CL127)/CL127*100)</f>
        <v>0</v>
      </c>
      <c r="CO127" s="1445">
        <f>IF(CO129=0,0,(CO128*CO129+CO130*CO131*6)/CO129)</f>
        <v>0</v>
      </c>
      <c r="CP127" s="1445">
        <f>IF(CP129=0,0,(CP128*CP129+CP130*CP131*6)/CP129)</f>
        <v>0</v>
      </c>
      <c r="CQ127" s="1003">
        <f>IF(CO127=0,0,(CP127-CO127)/CO127*100)</f>
        <v>0</v>
      </c>
      <c r="CR127" s="1445">
        <f>IF(CR129=0,0,(CR128*CR129+CR130*CR131*6)/CR129)</f>
        <v>0</v>
      </c>
      <c r="CS127" s="1445">
        <f>IF(CS129=0,0,(CS128*CS129+CS130*CS131*6)/CS129)</f>
        <v>0</v>
      </c>
      <c r="CT127" s="1003">
        <f>IF(CR127=0,0,(CS127-CR127)/CR127*100)</f>
        <v>0</v>
      </c>
      <c r="CU127" s="1445">
        <f>IF(CU129=0,0,(CU128*CU129+CU130*CU131*6)/CU129)</f>
        <v>0</v>
      </c>
      <c r="CV127" s="1445">
        <f>IF(CV129=0,0,(CV128*CV129+CV130*CV131*6)/CV129)</f>
        <v>0</v>
      </c>
      <c r="CW127" s="1003">
        <f>IF(CU127=0,0,(CV127-CU127)/CU127*100)</f>
        <v>0</v>
      </c>
      <c r="CX127" s="1445">
        <f>IF(CX129=0,0,(CX128*CX129+CX130*CX131*6)/CX129)</f>
        <v>0</v>
      </c>
      <c r="CY127" s="1445">
        <f>IF(CY129=0,0,(CY128*CY129+CY130*CY131*6)/CY129)</f>
        <v>0</v>
      </c>
      <c r="CZ127" s="1003">
        <f>IF(CX127=0,0,(CY127-CX127)/CX127*100)</f>
        <v>0</v>
      </c>
      <c r="DA127" s="1445">
        <f>IF(DA129=0,0,(DA128*DA129+DA130*DA131*6)/DA129)</f>
        <v>0</v>
      </c>
      <c r="DB127" s="1445">
        <f>IF(DB129=0,0,(DB128*DB129+DB130*DB131*6)/DB129)</f>
        <v>0</v>
      </c>
      <c r="DC127" s="1003">
        <f>IF(DA127=0,0,(DB127-DA127)/DA127*100)</f>
        <v>0</v>
      </c>
      <c r="DD127" s="1445">
        <f>IF(DD129=0,0,(DD128*DD129+DD130*DD131*6)/DD129)</f>
        <v>0</v>
      </c>
      <c r="DE127" s="1445">
        <f>IF(DE129=0,0,(DE128*DE129+DE130*DE131*6)/DE129)</f>
        <v>0</v>
      </c>
      <c r="DF127" s="1003">
        <f>IF(DD127=0,0,(DE127-DD127)/DD127*100)</f>
        <v>0</v>
      </c>
      <c r="DG127" s="1445">
        <f>IF(DG129=0,0,(DG128*DG129+DG130*DG131*6)/DG129)</f>
        <v>0</v>
      </c>
      <c r="DH127" s="1445">
        <f>IF(DH129=0,0,(DH128*DH129+DH130*DH131*6)/DH129)</f>
        <v>0</v>
      </c>
      <c r="DI127" s="1003">
        <f>IF(DG127=0,0,(DH127-DG127)/DG127*100)</f>
        <v>0</v>
      </c>
      <c r="DJ127" s="1445">
        <f>IF(DJ129=0,0,(DJ128*DJ129+DJ130*DJ131*6)/DJ129)</f>
        <v>0</v>
      </c>
      <c r="DK127" s="1445">
        <f>IF(DK129=0,0,(DK128*DK129+DK130*DK131*6)/DK129)</f>
        <v>0</v>
      </c>
      <c r="DL127" s="1003">
        <f>IF(DJ127=0,0,(DK127-DJ127)/DJ127*100)</f>
        <v>0</v>
      </c>
      <c r="DM127" s="1445">
        <f>IF(DM129=0,0,(DM128*DM129+DM130*DM131*6)/DM129)</f>
        <v>0</v>
      </c>
      <c r="DN127" s="1445">
        <f>IF(DN129=0,0,(DN128*DN129+DN130*DN131*6)/DN129)</f>
        <v>0</v>
      </c>
      <c r="DO127" s="1003">
        <f>IF(DM127=0,0,(DN127-DM127)/DM127*100)</f>
        <v>0</v>
      </c>
      <c r="DP127" s="1445">
        <f>IF(DP129=0,0,(DP128*DP129+DP130*DP131*6)/DP129)</f>
        <v>0</v>
      </c>
      <c r="DQ127" s="1445">
        <f>IF(DQ129=0,0,(DQ128*DQ129+DQ130*DQ131*6)/DQ129)</f>
        <v>0</v>
      </c>
      <c r="DR127" s="1003">
        <f>IF(DP127=0,0,(DQ127-DP127)/DP127*100)</f>
        <v>0</v>
      </c>
      <c r="DS127" s="1445">
        <f>IF(DS129=0,0,(DS128*DS129+DS130*DS131*6)/DS129)</f>
        <v>0</v>
      </c>
      <c r="DT127" s="1445">
        <f>IF(DT129=0,0,(DT128*DT129+DT130*DT131*6)/DT129)</f>
        <v>0</v>
      </c>
      <c r="DU127" s="1003">
        <f>IF(DS127=0,0,(DT127-DS127)/DS127*100)</f>
        <v>0</v>
      </c>
      <c r="DV127" s="1445">
        <f>IF(DV129=0,0,(DV128*DV129+DV130*DV131*6)/DV129)</f>
        <v>0</v>
      </c>
      <c r="DW127" s="1445">
        <f>IF(DW129=0,0,(DW128*DW129+DW130*DW131*6)/DW129)</f>
        <v>0</v>
      </c>
      <c r="DX127" s="1003">
        <f>IF(DV127=0,0,(DW127-DV127)/DV127*100)</f>
        <v>0</v>
      </c>
      <c r="DY127" s="1445">
        <f>IF(DY129=0,0,(DY128*DY129+DY130*DY131*6)/DY129)</f>
        <v>0</v>
      </c>
      <c r="DZ127" s="1445">
        <f>IF(DZ129=0,0,(DZ128*DZ129+DZ130*DZ131*6)/DZ129)</f>
        <v>0</v>
      </c>
      <c r="EA127" s="1003">
        <f>IF(DY127=0,0,(DZ127-DY127)/DY127*100)</f>
        <v>0</v>
      </c>
      <c r="EB127" s="1445">
        <f>IF(EB129=0,0,(EB128*EB129+EB130*EB131*6)/EB129)</f>
        <v>0</v>
      </c>
      <c r="EC127" s="1445">
        <f>IF(EC129=0,0,(EC128*EC129+EC130*EC131*6)/EC129)</f>
        <v>0</v>
      </c>
      <c r="ED127" s="1003">
        <f>IF(EB127=0,0,(EC127-EB127)/EB127*100)</f>
        <v>0</v>
      </c>
      <c r="EE127" s="1445">
        <f>IF(EE129=0,0,(EE128*EE129+EE130*EE131*6)/EE129)</f>
        <v>0</v>
      </c>
      <c r="EF127" s="1445">
        <f>IF(EF129=0,0,(EF128*EF129+EF130*EF131*6)/EF129)</f>
        <v>0</v>
      </c>
      <c r="EG127" s="1003">
        <f>IF(EE127=0,0,(EF127-EE127)/EE127*100)</f>
        <v>0</v>
      </c>
      <c r="EH127" s="1445">
        <f>IF(EH129=0,0,(EH128*EH129+EH130*EH131*6)/EH129)</f>
        <v>0</v>
      </c>
      <c r="EI127" s="1445">
        <f>IF(EI129=0,0,(EI128*EI129+EI130*EI131*6)/EI129)</f>
        <v>0</v>
      </c>
      <c r="EJ127" s="1003">
        <f>IF(EH127=0,0,(EI127-EH127)/EH127*100)</f>
        <v>0</v>
      </c>
      <c r="EK127" s="1445">
        <f>IF(EK129=0,0,(EK128*EK129+EK130*EK131*6)/EK129)</f>
        <v>0</v>
      </c>
      <c r="EL127" s="1445">
        <f>IF(EL129=0,0,(EL128*EL129+EL130*EL131*6)/EL129)</f>
        <v>0</v>
      </c>
      <c r="EM127" s="1003">
        <f>IF(EK127=0,0,(EL127-EK127)/EK127*100)</f>
        <v>0</v>
      </c>
      <c r="EN127" s="1445">
        <f>IF(EN129=0,0,(EN128*EN129+EN130*EN131*6)/EN129)</f>
        <v>0</v>
      </c>
      <c r="EO127" s="1445">
        <f>IF(EO129=0,0,(EO128*EO129+EO130*EO131*6)/EO129)</f>
        <v>0</v>
      </c>
      <c r="EP127" s="1003">
        <f>IF(EN127=0,0,(EO127-EN127)/EN127*100)</f>
        <v>0</v>
      </c>
      <c r="EQ127" s="1445">
        <f>IF(EQ129=0,0,(EQ128*EQ129+EQ130*EQ131*6)/EQ129)</f>
        <v>0</v>
      </c>
      <c r="ER127" s="1445">
        <f>IF(ER129=0,0,(ER128*ER129+ER130*ER131*6)/ER129)</f>
        <v>0</v>
      </c>
      <c r="ES127" s="1003">
        <f>IF(EQ127=0,0,(ER127-EQ127)/EQ127*100)</f>
        <v>0</v>
      </c>
      <c r="ET127" s="1445">
        <f>IF(ET129=0,0,(ET128*ET129+ET130*ET131*6)/ET129)</f>
        <v>0</v>
      </c>
      <c r="EU127" s="1445">
        <f>IF(EU129=0,0,(EU128*EU129+EU130*EU131*6)/EU129)</f>
        <v>0</v>
      </c>
      <c r="EV127" s="1003">
        <f>IF(ET127=0,0,(EU127-ET127)/ET127*100)</f>
        <v>0</v>
      </c>
      <c r="EW127" s="1445">
        <f>IF(EW129=0,0,(EW128*EW129+EW130*EW131*6)/EW129)</f>
        <v>0</v>
      </c>
      <c r="EX127" s="1445">
        <f>IF(EX129=0,0,(EX128*EX129+EX130*EX131*6)/EX129)</f>
        <v>0</v>
      </c>
      <c r="EY127" s="1003">
        <f>IF(EW127=0,0,(EX127-EW127)/EW127*100)</f>
        <v>0</v>
      </c>
      <c r="EZ127" s="1445">
        <f>IF(EZ129=0,0,(EZ128*EZ129+EZ130*EZ131*6)/EZ129)</f>
        <v>0</v>
      </c>
      <c r="FA127" s="1445">
        <f>IF(FA129=0,0,(FA128*FA129+FA130*FA131*6)/FA129)</f>
        <v>0</v>
      </c>
      <c r="FB127" s="1003">
        <f>IF(EZ127=0,0,(FA127-EZ127)/EZ127*100)</f>
        <v>0</v>
      </c>
      <c r="FC127" s="1445">
        <f>IF(FC129=0,0,(FC128*FC129+FC130*FC131*6)/FC129)</f>
        <v>0</v>
      </c>
      <c r="FD127" s="1445">
        <f>IF(FD129=0,0,(FD128*FD129+FD130*FD131*6)/FD129)</f>
        <v>0</v>
      </c>
      <c r="FE127" s="1003">
        <f>IF(FC127=0,0,(FD127-FC127)/FC127*100)</f>
        <v>0</v>
      </c>
      <c r="FF127" s="1445">
        <f>IF(FF129=0,0,(FF128*FF129+FF130*FF131*6)/FF129)</f>
        <v>0</v>
      </c>
      <c r="FG127" s="1445">
        <f>IF(FG129=0,0,(FG128*FG129+FG130*FG131*6)/FG129)</f>
        <v>0</v>
      </c>
      <c r="FH127" s="1003">
        <f>IF(FF127=0,0,(FG127-FF127)/FF127*100)</f>
        <v>0</v>
      </c>
      <c r="FI127" s="1445">
        <f>IF(FI129=0,0,(FI128*FI129+FI130*FI131*6)/FI129)</f>
        <v>0</v>
      </c>
      <c r="FJ127" s="1445">
        <f>IF(FJ129=0,0,(FJ128*FJ129+FJ130*FJ131*6)/FJ129)</f>
        <v>0</v>
      </c>
      <c r="FK127" s="1003">
        <f>IF(FI127=0,0,(FJ127-FI127)/FI127*100)</f>
        <v>0</v>
      </c>
      <c r="FL127" s="1445">
        <f>IF(FL129=0,0,(FL128*FL129+FL130*FL131*6)/FL129)</f>
        <v>0</v>
      </c>
      <c r="FM127" s="1445">
        <f>IF(FM129=0,0,(FM128*FM129+FM130*FM131*6)/FM129)</f>
        <v>0</v>
      </c>
      <c r="FN127" s="1003">
        <f>IF(FL127=0,0,(FM127-FL127)/FL127*100)</f>
        <v>0</v>
      </c>
      <c r="FO127" s="1445">
        <f>IF(FO129=0,0,(FO128*FO129+FO130*FO131*6)/FO129)</f>
        <v>0</v>
      </c>
      <c r="FP127" s="1445">
        <f>IF(FP129=0,0,(FP128*FP129+FP130*FP131*6)/FP129)</f>
        <v>0</v>
      </c>
      <c r="FQ127" s="1003">
        <f>IF(FO127=0,0,(FP127-FO127)/FO127*100)</f>
        <v>0</v>
      </c>
      <c r="FR127" s="1445">
        <f>IF(FR129=0,0,(FR128*FR129+FR130*FR131*6)/FR129)</f>
        <v>0</v>
      </c>
      <c r="FS127" s="1445">
        <f>IF(FS129=0,0,(FS128*FS129+FS130*FS131*6)/FS129)</f>
        <v>0</v>
      </c>
      <c r="FT127" s="1003">
        <f>IF(FR127=0,0,(FS127-FR127)/FR127*100)</f>
        <v>0</v>
      </c>
      <c r="FU127" s="1445">
        <f>IF(FU129=0,0,(FU128*FU129+FU130*FU131*6)/FU129)</f>
        <v>0</v>
      </c>
      <c r="FV127" s="1445">
        <f>IF(FV129=0,0,(FV128*FV129+FV130*FV131*6)/FV129)</f>
        <v>0</v>
      </c>
      <c r="FW127" s="1003">
        <f>IF(FU127=0,0,(FV127-FU127)/FU127*100)</f>
        <v>0</v>
      </c>
      <c r="FX127" s="1214"/>
      <c r="FY127" s="1214"/>
      <c r="FZ127" s="964" t="s">
        <v>1655</v>
      </c>
      <c r="GA127" s="924" t="s">
        <v>875</v>
      </c>
      <c r="GB127" s="966" cm="1">
        <f t="array" ref="GB127">AB126</f>
        <v>0</v>
      </c>
      <c r="GC127" s="1215"/>
      <c r="GD127" s="1215"/>
    </row>
    <row r="128" spans="1:186" s="1334" customFormat="1" ht="14.25" hidden="1" customHeight="1" x14ac:dyDescent="0.15">
      <c r="A128" s="416"/>
      <c r="B128" s="837" t="b" cm="1">
        <f t="array" ref="B128">B127</f>
        <v>0</v>
      </c>
      <c r="C128" s="416"/>
      <c r="D128" s="416"/>
      <c r="E128" s="759">
        <v>15</v>
      </c>
      <c r="F128" s="3" t="str" cm="1">
        <f t="array" aca="1" ref="F128" ca="1">OFFSET(E128,-1,1)</f>
        <v>1</v>
      </c>
      <c r="G128" s="416"/>
      <c r="H128" s="416" t="s">
        <v>1533</v>
      </c>
      <c r="I128" s="416" cm="1">
        <f t="array" ref="I128">I127</f>
        <v>0</v>
      </c>
      <c r="J128" s="416"/>
      <c r="K128" s="416"/>
      <c r="L128" s="416"/>
      <c r="M128" s="416"/>
      <c r="N128" s="416"/>
      <c r="O128" s="416"/>
      <c r="P128" s="416"/>
      <c r="Q128" s="416"/>
      <c r="R128" s="416"/>
      <c r="S128" s="416"/>
      <c r="T128" s="388" t="b" cm="1">
        <f t="array" aca="1" ref="T128" ca="1">T127</f>
        <v>0</v>
      </c>
      <c r="U128" s="416"/>
      <c r="V128" s="416"/>
      <c r="W128" s="416"/>
      <c r="X128" s="2066"/>
      <c r="Y128" s="2066"/>
      <c r="Z128" s="2011"/>
      <c r="AA128" s="1958"/>
      <c r="AB128" s="818"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8" s="783" t="s">
        <v>1588</v>
      </c>
      <c r="AD128" s="1445"/>
      <c r="AE128" s="1445"/>
      <c r="AF128" s="1003">
        <f>IF(AD128=0,0,(AE128-AD128)/AD128*100)</f>
        <v>0</v>
      </c>
      <c r="AG128" s="1445"/>
      <c r="AH128" s="1445"/>
      <c r="AI128" s="1003">
        <f>IF(AG128=0,0,(AH128-AG128)/AG128*100)</f>
        <v>0</v>
      </c>
      <c r="AJ128" s="1445"/>
      <c r="AK128" s="1445"/>
      <c r="AL128" s="1003">
        <f>IF(AJ128=0,0,(AK128-AJ128)/AJ128*100)</f>
        <v>0</v>
      </c>
      <c r="AM128" s="1445"/>
      <c r="AN128" s="1445"/>
      <c r="AO128" s="1003">
        <f>IF(AM128=0,0,(AN128-AM128)/AM128*100)</f>
        <v>0</v>
      </c>
      <c r="AP128" s="1445"/>
      <c r="AQ128" s="1445"/>
      <c r="AR128" s="1003">
        <f>IF(AP128=0,0,(AQ128-AP128)/AP128*100)</f>
        <v>0</v>
      </c>
      <c r="AS128" s="1445"/>
      <c r="AT128" s="1445"/>
      <c r="AU128" s="1003">
        <f>IF(AS128=0,0,(AT128-AS128)/AS128*100)</f>
        <v>0</v>
      </c>
      <c r="AV128" s="1445"/>
      <c r="AW128" s="1445"/>
      <c r="AX128" s="1003">
        <f>IF(AV128=0,0,(AW128-AV128)/AV128*100)</f>
        <v>0</v>
      </c>
      <c r="AY128" s="1445"/>
      <c r="AZ128" s="1445"/>
      <c r="BA128" s="1003">
        <f>IF(AY128=0,0,(AZ128-AY128)/AY128*100)</f>
        <v>0</v>
      </c>
      <c r="BB128" s="1445"/>
      <c r="BC128" s="1445"/>
      <c r="BD128" s="1003">
        <f>IF(BB128=0,0,(BC128-BB128)/BB128*100)</f>
        <v>0</v>
      </c>
      <c r="BE128" s="1445"/>
      <c r="BF128" s="1445"/>
      <c r="BG128" s="1003">
        <f>IF(BE128=0,0,(BF128-BE128)/BE128*100)</f>
        <v>0</v>
      </c>
      <c r="BH128" s="1445"/>
      <c r="BI128" s="1445"/>
      <c r="BJ128" s="1003">
        <f>IF(BH128=0,0,(BI128-BH128)/BH128*100)</f>
        <v>0</v>
      </c>
      <c r="BK128" s="1445"/>
      <c r="BL128" s="1445"/>
      <c r="BM128" s="1003">
        <f>IF(BK128=0,0,(BL128-BK128)/BK128*100)</f>
        <v>0</v>
      </c>
      <c r="BN128" s="1445"/>
      <c r="BO128" s="1445"/>
      <c r="BP128" s="1003">
        <f>IF(BN128=0,0,(BO128-BN128)/BN128*100)</f>
        <v>0</v>
      </c>
      <c r="BQ128" s="1445"/>
      <c r="BR128" s="1445"/>
      <c r="BS128" s="1003">
        <f>IF(BQ128=0,0,(BR128-BQ128)/BQ128*100)</f>
        <v>0</v>
      </c>
      <c r="BT128" s="1445"/>
      <c r="BU128" s="1445"/>
      <c r="BV128" s="1003">
        <f>IF(BT128=0,0,(BU128-BT128)/BT128*100)</f>
        <v>0</v>
      </c>
      <c r="BW128" s="1445"/>
      <c r="BX128" s="1445"/>
      <c r="BY128" s="1003">
        <f>IF(BW128=0,0,(BX128-BW128)/BW128*100)</f>
        <v>0</v>
      </c>
      <c r="BZ128" s="1445"/>
      <c r="CA128" s="1445"/>
      <c r="CB128" s="1003">
        <f>IF(BZ128=0,0,(CA128-BZ128)/BZ128*100)</f>
        <v>0</v>
      </c>
      <c r="CC128" s="1445"/>
      <c r="CD128" s="1445"/>
      <c r="CE128" s="1003">
        <f>IF(CC128=0,0,(CD128-CC128)/CC128*100)</f>
        <v>0</v>
      </c>
      <c r="CF128" s="1445"/>
      <c r="CG128" s="1445"/>
      <c r="CH128" s="1003">
        <f>IF(CF128=0,0,(CG128-CF128)/CF128*100)</f>
        <v>0</v>
      </c>
      <c r="CI128" s="1445"/>
      <c r="CJ128" s="1445"/>
      <c r="CK128" s="1003">
        <f>IF(CI128=0,0,(CJ128-CI128)/CI128*100)</f>
        <v>0</v>
      </c>
      <c r="CL128" s="1445"/>
      <c r="CM128" s="1445"/>
      <c r="CN128" s="1003">
        <f>IF(CL128=0,0,(CM128-CL128)/CL128*100)</f>
        <v>0</v>
      </c>
      <c r="CO128" s="1445"/>
      <c r="CP128" s="1445"/>
      <c r="CQ128" s="1003">
        <f>IF(CO128=0,0,(CP128-CO128)/CO128*100)</f>
        <v>0</v>
      </c>
      <c r="CR128" s="1445"/>
      <c r="CS128" s="1445"/>
      <c r="CT128" s="1003">
        <f>IF(CR128=0,0,(CS128-CR128)/CR128*100)</f>
        <v>0</v>
      </c>
      <c r="CU128" s="1445"/>
      <c r="CV128" s="1445"/>
      <c r="CW128" s="1003">
        <f>IF(CU128=0,0,(CV128-CU128)/CU128*100)</f>
        <v>0</v>
      </c>
      <c r="CX128" s="1445"/>
      <c r="CY128" s="1445"/>
      <c r="CZ128" s="1003">
        <f>IF(CX128=0,0,(CY128-CX128)/CX128*100)</f>
        <v>0</v>
      </c>
      <c r="DA128" s="1445"/>
      <c r="DB128" s="1445"/>
      <c r="DC128" s="1003">
        <f>IF(DA128=0,0,(DB128-DA128)/DA128*100)</f>
        <v>0</v>
      </c>
      <c r="DD128" s="1445"/>
      <c r="DE128" s="1445"/>
      <c r="DF128" s="1003">
        <f>IF(DD128=0,0,(DE128-DD128)/DD128*100)</f>
        <v>0</v>
      </c>
      <c r="DG128" s="1445"/>
      <c r="DH128" s="1445"/>
      <c r="DI128" s="1003">
        <f>IF(DG128=0,0,(DH128-DG128)/DG128*100)</f>
        <v>0</v>
      </c>
      <c r="DJ128" s="1445"/>
      <c r="DK128" s="1445"/>
      <c r="DL128" s="1003">
        <f>IF(DJ128=0,0,(DK128-DJ128)/DJ128*100)</f>
        <v>0</v>
      </c>
      <c r="DM128" s="1445"/>
      <c r="DN128" s="1445"/>
      <c r="DO128" s="1003">
        <f>IF(DM128=0,0,(DN128-DM128)/DM128*100)</f>
        <v>0</v>
      </c>
      <c r="DP128" s="1445"/>
      <c r="DQ128" s="1445"/>
      <c r="DR128" s="1003">
        <f>IF(DP128=0,0,(DQ128-DP128)/DP128*100)</f>
        <v>0</v>
      </c>
      <c r="DS128" s="1445"/>
      <c r="DT128" s="1445"/>
      <c r="DU128" s="1003">
        <f>IF(DS128=0,0,(DT128-DS128)/DS128*100)</f>
        <v>0</v>
      </c>
      <c r="DV128" s="1445"/>
      <c r="DW128" s="1445"/>
      <c r="DX128" s="1003">
        <f>IF(DV128=0,0,(DW128-DV128)/DV128*100)</f>
        <v>0</v>
      </c>
      <c r="DY128" s="1445"/>
      <c r="DZ128" s="1445"/>
      <c r="EA128" s="1003">
        <f>IF(DY128=0,0,(DZ128-DY128)/DY128*100)</f>
        <v>0</v>
      </c>
      <c r="EB128" s="1445"/>
      <c r="EC128" s="1445"/>
      <c r="ED128" s="1003">
        <f>IF(EB128=0,0,(EC128-EB128)/EB128*100)</f>
        <v>0</v>
      </c>
      <c r="EE128" s="1445"/>
      <c r="EF128" s="1445"/>
      <c r="EG128" s="1003">
        <f>IF(EE128=0,0,(EF128-EE128)/EE128*100)</f>
        <v>0</v>
      </c>
      <c r="EH128" s="1445"/>
      <c r="EI128" s="1445"/>
      <c r="EJ128" s="1003">
        <f>IF(EH128=0,0,(EI128-EH128)/EH128*100)</f>
        <v>0</v>
      </c>
      <c r="EK128" s="1445"/>
      <c r="EL128" s="1445"/>
      <c r="EM128" s="1003">
        <f>IF(EK128=0,0,(EL128-EK128)/EK128*100)</f>
        <v>0</v>
      </c>
      <c r="EN128" s="1445"/>
      <c r="EO128" s="1445"/>
      <c r="EP128" s="1003">
        <f>IF(EN128=0,0,(EO128-EN128)/EN128*100)</f>
        <v>0</v>
      </c>
      <c r="EQ128" s="1445"/>
      <c r="ER128" s="1445"/>
      <c r="ES128" s="1003">
        <f>IF(EQ128=0,0,(ER128-EQ128)/EQ128*100)</f>
        <v>0</v>
      </c>
      <c r="ET128" s="1445"/>
      <c r="EU128" s="1445"/>
      <c r="EV128" s="1003">
        <f>IF(ET128=0,0,(EU128-ET128)/ET128*100)</f>
        <v>0</v>
      </c>
      <c r="EW128" s="1445"/>
      <c r="EX128" s="1445"/>
      <c r="EY128" s="1003">
        <f>IF(EW128=0,0,(EX128-EW128)/EW128*100)</f>
        <v>0</v>
      </c>
      <c r="EZ128" s="1445"/>
      <c r="FA128" s="1445"/>
      <c r="FB128" s="1003">
        <f>IF(EZ128=0,0,(FA128-EZ128)/EZ128*100)</f>
        <v>0</v>
      </c>
      <c r="FC128" s="1445"/>
      <c r="FD128" s="1445"/>
      <c r="FE128" s="1003">
        <f>IF(FC128=0,0,(FD128-FC128)/FC128*100)</f>
        <v>0</v>
      </c>
      <c r="FF128" s="1445"/>
      <c r="FG128" s="1445"/>
      <c r="FH128" s="1003">
        <f>IF(FF128=0,0,(FG128-FF128)/FF128*100)</f>
        <v>0</v>
      </c>
      <c r="FI128" s="1445"/>
      <c r="FJ128" s="1445"/>
      <c r="FK128" s="1003">
        <f>IF(FI128=0,0,(FJ128-FI128)/FI128*100)</f>
        <v>0</v>
      </c>
      <c r="FL128" s="1445"/>
      <c r="FM128" s="1445"/>
      <c r="FN128" s="1003">
        <f>IF(FL128=0,0,(FM128-FL128)/FL128*100)</f>
        <v>0</v>
      </c>
      <c r="FO128" s="1445"/>
      <c r="FP128" s="1445"/>
      <c r="FQ128" s="1003">
        <f>IF(FO128=0,0,(FP128-FO128)/FO128*100)</f>
        <v>0</v>
      </c>
      <c r="FR128" s="1445"/>
      <c r="FS128" s="1445"/>
      <c r="FT128" s="1003">
        <f>IF(FR128=0,0,(FS128-FR128)/FR128*100)</f>
        <v>0</v>
      </c>
      <c r="FU128" s="1445"/>
      <c r="FV128" s="1445"/>
      <c r="FW128" s="1003">
        <f>IF(FU128=0,0,(FV128-FU128)/FU128*100)</f>
        <v>0</v>
      </c>
      <c r="FX128" s="1214"/>
      <c r="FY128" s="1214"/>
      <c r="FZ128" s="964" t="s">
        <v>1656</v>
      </c>
      <c r="GA128" s="924" t="s">
        <v>875</v>
      </c>
      <c r="GB128" s="924" cm="1">
        <f t="array" ref="GB128">GB127</f>
        <v>0</v>
      </c>
      <c r="GC128" s="1215"/>
      <c r="GD128" s="1215"/>
    </row>
    <row r="129" spans="1:186" s="1334" customFormat="1" ht="14.25" hidden="1" customHeight="1" x14ac:dyDescent="0.15">
      <c r="A129" s="416"/>
      <c r="B129" s="837" t="b" cm="1">
        <f t="array" ref="B129">B128</f>
        <v>0</v>
      </c>
      <c r="C129" s="416"/>
      <c r="D129" s="416"/>
      <c r="E129" s="759">
        <v>15</v>
      </c>
      <c r="F129" s="3" t="str" cm="1">
        <f t="array" aca="1" ref="F129" ca="1">OFFSET(E129,-1,1)</f>
        <v>1</v>
      </c>
      <c r="G129" s="416"/>
      <c r="H129" s="416" t="s">
        <v>1625</v>
      </c>
      <c r="I129" s="416" cm="1">
        <f t="array" ref="I129">I128</f>
        <v>0</v>
      </c>
      <c r="J129" s="416"/>
      <c r="K129" s="416"/>
      <c r="L129" s="416"/>
      <c r="M129" s="416"/>
      <c r="N129" s="416"/>
      <c r="O129" s="416"/>
      <c r="P129" s="416"/>
      <c r="Q129" s="416"/>
      <c r="R129" s="416"/>
      <c r="S129" s="416"/>
      <c r="T129" s="388" t="b" cm="1">
        <f t="array" aca="1" ref="T129" ca="1">T128</f>
        <v>0</v>
      </c>
      <c r="U129" s="416"/>
      <c r="V129" s="416"/>
      <c r="W129" s="416"/>
      <c r="X129" s="2066"/>
      <c r="Y129" s="2066"/>
      <c r="Z129" s="2011"/>
      <c r="AA129" s="1958"/>
      <c r="AB129" s="818" t="str">
        <f>"объём "&amp;IF(Q85="Водоснабжение","потребления холодной воды","водоотведения")</f>
        <v>объём потребления холодной воды</v>
      </c>
      <c r="AC129" s="783" t="s">
        <v>563</v>
      </c>
      <c r="AD129" s="1443"/>
      <c r="AE129" s="1443"/>
      <c r="AF129" s="1005">
        <f>IF(AD129=0,0,(AE129-AD129)/AD129*100)</f>
        <v>0</v>
      </c>
      <c r="AG129" s="1443"/>
      <c r="AH129" s="1443"/>
      <c r="AI129" s="1005">
        <f>IF(AG129=0,0,(AH129-AG129)/AG129*100)</f>
        <v>0</v>
      </c>
      <c r="AJ129" s="1443"/>
      <c r="AK129" s="1443"/>
      <c r="AL129" s="1005">
        <f>IF(AJ129=0,0,(AK129-AJ129)/AJ129*100)</f>
        <v>0</v>
      </c>
      <c r="AM129" s="1443"/>
      <c r="AN129" s="1443"/>
      <c r="AO129" s="1005">
        <f>IF(AM129=0,0,(AN129-AM129)/AM129*100)</f>
        <v>0</v>
      </c>
      <c r="AP129" s="1443"/>
      <c r="AQ129" s="1443"/>
      <c r="AR129" s="1005">
        <f>IF(AP129=0,0,(AQ129-AP129)/AP129*100)</f>
        <v>0</v>
      </c>
      <c r="AS129" s="1443"/>
      <c r="AT129" s="1443"/>
      <c r="AU129" s="1005">
        <f>IF(AS129=0,0,(AT129-AS129)/AS129*100)</f>
        <v>0</v>
      </c>
      <c r="AV129" s="1443"/>
      <c r="AW129" s="1443"/>
      <c r="AX129" s="1005">
        <f>IF(AV129=0,0,(AW129-AV129)/AV129*100)</f>
        <v>0</v>
      </c>
      <c r="AY129" s="1443"/>
      <c r="AZ129" s="1443"/>
      <c r="BA129" s="1005">
        <f>IF(AY129=0,0,(AZ129-AY129)/AY129*100)</f>
        <v>0</v>
      </c>
      <c r="BB129" s="1443"/>
      <c r="BC129" s="1443"/>
      <c r="BD129" s="1005">
        <f>IF(BB129=0,0,(BC129-BB129)/BB129*100)</f>
        <v>0</v>
      </c>
      <c r="BE129" s="1443"/>
      <c r="BF129" s="1443"/>
      <c r="BG129" s="1005">
        <f>IF(BE129=0,0,(BF129-BE129)/BE129*100)</f>
        <v>0</v>
      </c>
      <c r="BH129" s="1443"/>
      <c r="BI129" s="1443"/>
      <c r="BJ129" s="1005">
        <f>IF(BH129=0,0,(BI129-BH129)/BH129*100)</f>
        <v>0</v>
      </c>
      <c r="BK129" s="1443"/>
      <c r="BL129" s="1443"/>
      <c r="BM129" s="1005">
        <f>IF(BK129=0,0,(BL129-BK129)/BK129*100)</f>
        <v>0</v>
      </c>
      <c r="BN129" s="1443"/>
      <c r="BO129" s="1443"/>
      <c r="BP129" s="1005">
        <f>IF(BN129=0,0,(BO129-BN129)/BN129*100)</f>
        <v>0</v>
      </c>
      <c r="BQ129" s="1443"/>
      <c r="BR129" s="1443"/>
      <c r="BS129" s="1005">
        <f>IF(BQ129=0,0,(BR129-BQ129)/BQ129*100)</f>
        <v>0</v>
      </c>
      <c r="BT129" s="1443"/>
      <c r="BU129" s="1443"/>
      <c r="BV129" s="1005">
        <f>IF(BT129=0,0,(BU129-BT129)/BT129*100)</f>
        <v>0</v>
      </c>
      <c r="BW129" s="1443"/>
      <c r="BX129" s="1443"/>
      <c r="BY129" s="1005">
        <f>IF(BW129=0,0,(BX129-BW129)/BW129*100)</f>
        <v>0</v>
      </c>
      <c r="BZ129" s="1443"/>
      <c r="CA129" s="1443"/>
      <c r="CB129" s="1005">
        <f>IF(BZ129=0,0,(CA129-BZ129)/BZ129*100)</f>
        <v>0</v>
      </c>
      <c r="CC129" s="1443"/>
      <c r="CD129" s="1443"/>
      <c r="CE129" s="1005">
        <f>IF(CC129=0,0,(CD129-CC129)/CC129*100)</f>
        <v>0</v>
      </c>
      <c r="CF129" s="1443"/>
      <c r="CG129" s="1443"/>
      <c r="CH129" s="1005">
        <f>IF(CF129=0,0,(CG129-CF129)/CF129*100)</f>
        <v>0</v>
      </c>
      <c r="CI129" s="1443"/>
      <c r="CJ129" s="1443"/>
      <c r="CK129" s="1005">
        <f>IF(CI129=0,0,(CJ129-CI129)/CI129*100)</f>
        <v>0</v>
      </c>
      <c r="CL129" s="1443"/>
      <c r="CM129" s="1443"/>
      <c r="CN129" s="1005">
        <f>IF(CL129=0,0,(CM129-CL129)/CL129*100)</f>
        <v>0</v>
      </c>
      <c r="CO129" s="1443"/>
      <c r="CP129" s="1443"/>
      <c r="CQ129" s="1005">
        <f>IF(CO129=0,0,(CP129-CO129)/CO129*100)</f>
        <v>0</v>
      </c>
      <c r="CR129" s="1443"/>
      <c r="CS129" s="1443"/>
      <c r="CT129" s="1005">
        <f>IF(CR129=0,0,(CS129-CR129)/CR129*100)</f>
        <v>0</v>
      </c>
      <c r="CU129" s="1443"/>
      <c r="CV129" s="1443"/>
      <c r="CW129" s="1005">
        <f>IF(CU129=0,0,(CV129-CU129)/CU129*100)</f>
        <v>0</v>
      </c>
      <c r="CX129" s="1443"/>
      <c r="CY129" s="1443"/>
      <c r="CZ129" s="1005">
        <f>IF(CX129=0,0,(CY129-CX129)/CX129*100)</f>
        <v>0</v>
      </c>
      <c r="DA129" s="1443"/>
      <c r="DB129" s="1443"/>
      <c r="DC129" s="1005">
        <f>IF(DA129=0,0,(DB129-DA129)/DA129*100)</f>
        <v>0</v>
      </c>
      <c r="DD129" s="1443"/>
      <c r="DE129" s="1443"/>
      <c r="DF129" s="1005">
        <f>IF(DD129=0,0,(DE129-DD129)/DD129*100)</f>
        <v>0</v>
      </c>
      <c r="DG129" s="1443"/>
      <c r="DH129" s="1443"/>
      <c r="DI129" s="1005">
        <f>IF(DG129=0,0,(DH129-DG129)/DG129*100)</f>
        <v>0</v>
      </c>
      <c r="DJ129" s="1443"/>
      <c r="DK129" s="1443"/>
      <c r="DL129" s="1005">
        <f>IF(DJ129=0,0,(DK129-DJ129)/DJ129*100)</f>
        <v>0</v>
      </c>
      <c r="DM129" s="1443"/>
      <c r="DN129" s="1443"/>
      <c r="DO129" s="1005">
        <f>IF(DM129=0,0,(DN129-DM129)/DM129*100)</f>
        <v>0</v>
      </c>
      <c r="DP129" s="1443"/>
      <c r="DQ129" s="1443"/>
      <c r="DR129" s="1005">
        <f>IF(DP129=0,0,(DQ129-DP129)/DP129*100)</f>
        <v>0</v>
      </c>
      <c r="DS129" s="1443"/>
      <c r="DT129" s="1443"/>
      <c r="DU129" s="1005">
        <f>IF(DS129=0,0,(DT129-DS129)/DS129*100)</f>
        <v>0</v>
      </c>
      <c r="DV129" s="1443"/>
      <c r="DW129" s="1443"/>
      <c r="DX129" s="1005">
        <f>IF(DV129=0,0,(DW129-DV129)/DV129*100)</f>
        <v>0</v>
      </c>
      <c r="DY129" s="1443"/>
      <c r="DZ129" s="1443"/>
      <c r="EA129" s="1005">
        <f>IF(DY129=0,0,(DZ129-DY129)/DY129*100)</f>
        <v>0</v>
      </c>
      <c r="EB129" s="1443"/>
      <c r="EC129" s="1443"/>
      <c r="ED129" s="1005">
        <f>IF(EB129=0,0,(EC129-EB129)/EB129*100)</f>
        <v>0</v>
      </c>
      <c r="EE129" s="1443"/>
      <c r="EF129" s="1443"/>
      <c r="EG129" s="1005">
        <f>IF(EE129=0,0,(EF129-EE129)/EE129*100)</f>
        <v>0</v>
      </c>
      <c r="EH129" s="1443"/>
      <c r="EI129" s="1443"/>
      <c r="EJ129" s="1005">
        <f>IF(EH129=0,0,(EI129-EH129)/EH129*100)</f>
        <v>0</v>
      </c>
      <c r="EK129" s="1443"/>
      <c r="EL129" s="1443"/>
      <c r="EM129" s="1005">
        <f>IF(EK129=0,0,(EL129-EK129)/EK129*100)</f>
        <v>0</v>
      </c>
      <c r="EN129" s="1443"/>
      <c r="EO129" s="1443"/>
      <c r="EP129" s="1005">
        <f>IF(EN129=0,0,(EO129-EN129)/EN129*100)</f>
        <v>0</v>
      </c>
      <c r="EQ129" s="1443"/>
      <c r="ER129" s="1443"/>
      <c r="ES129" s="1005">
        <f>IF(EQ129=0,0,(ER129-EQ129)/EQ129*100)</f>
        <v>0</v>
      </c>
      <c r="ET129" s="1443"/>
      <c r="EU129" s="1443"/>
      <c r="EV129" s="1005">
        <f>IF(ET129=0,0,(EU129-ET129)/ET129*100)</f>
        <v>0</v>
      </c>
      <c r="EW129" s="1443"/>
      <c r="EX129" s="1443"/>
      <c r="EY129" s="1005">
        <f>IF(EW129=0,0,(EX129-EW129)/EW129*100)</f>
        <v>0</v>
      </c>
      <c r="EZ129" s="1443"/>
      <c r="FA129" s="1443"/>
      <c r="FB129" s="1005">
        <f>IF(EZ129=0,0,(FA129-EZ129)/EZ129*100)</f>
        <v>0</v>
      </c>
      <c r="FC129" s="1443"/>
      <c r="FD129" s="1443"/>
      <c r="FE129" s="1005">
        <f>IF(FC129=0,0,(FD129-FC129)/FC129*100)</f>
        <v>0</v>
      </c>
      <c r="FF129" s="1443"/>
      <c r="FG129" s="1443"/>
      <c r="FH129" s="1005">
        <f>IF(FF129=0,0,(FG129-FF129)/FF129*100)</f>
        <v>0</v>
      </c>
      <c r="FI129" s="1443"/>
      <c r="FJ129" s="1443"/>
      <c r="FK129" s="1005">
        <f>IF(FI129=0,0,(FJ129-FI129)/FI129*100)</f>
        <v>0</v>
      </c>
      <c r="FL129" s="1443"/>
      <c r="FM129" s="1443"/>
      <c r="FN129" s="1005">
        <f>IF(FL129=0,0,(FM129-FL129)/FL129*100)</f>
        <v>0</v>
      </c>
      <c r="FO129" s="1443"/>
      <c r="FP129" s="1443"/>
      <c r="FQ129" s="1005">
        <f>IF(FO129=0,0,(FP129-FO129)/FO129*100)</f>
        <v>0</v>
      </c>
      <c r="FR129" s="1443"/>
      <c r="FS129" s="1443"/>
      <c r="FT129" s="1005">
        <f>IF(FR129=0,0,(FS129-FR129)/FR129*100)</f>
        <v>0</v>
      </c>
      <c r="FU129" s="1443"/>
      <c r="FV129" s="1443"/>
      <c r="FW129" s="1005">
        <f>IF(FU129=0,0,(FV129-FU129)/FU129*100)</f>
        <v>0</v>
      </c>
      <c r="FX129" s="1214"/>
      <c r="FY129" s="1214"/>
      <c r="FZ129" s="964" t="s">
        <v>1657</v>
      </c>
      <c r="GA129" s="924" t="s">
        <v>875</v>
      </c>
      <c r="GB129" s="924" cm="1">
        <f t="array" ref="GB129">GB128</f>
        <v>0</v>
      </c>
      <c r="GC129" s="1215"/>
      <c r="GD129" s="1215"/>
    </row>
    <row r="130" spans="1:186" s="1334" customFormat="1" ht="21.75" hidden="1" customHeight="1" x14ac:dyDescent="0.15">
      <c r="A130" s="416"/>
      <c r="B130" s="837" t="b" cm="1">
        <f t="array" ref="B130">B129</f>
        <v>0</v>
      </c>
      <c r="C130" s="416"/>
      <c r="D130" s="416"/>
      <c r="E130" s="759">
        <v>22.5</v>
      </c>
      <c r="F130" s="3" t="str" cm="1">
        <f t="array" aca="1" ref="F130" ca="1">OFFSET(E130,-1,1)</f>
        <v>1</v>
      </c>
      <c r="G130" s="416"/>
      <c r="H130" s="416" t="s">
        <v>1627</v>
      </c>
      <c r="I130" s="416" cm="1">
        <f t="array" ref="I130">I129</f>
        <v>0</v>
      </c>
      <c r="J130" s="416"/>
      <c r="K130" s="416"/>
      <c r="L130" s="416"/>
      <c r="M130" s="416"/>
      <c r="N130" s="416"/>
      <c r="O130" s="416"/>
      <c r="P130" s="416"/>
      <c r="Q130" s="416"/>
      <c r="R130" s="416"/>
      <c r="S130" s="416"/>
      <c r="T130" s="388" t="b" cm="1">
        <f t="array" aca="1" ref="T130" ca="1">T129</f>
        <v>0</v>
      </c>
      <c r="U130" s="416"/>
      <c r="V130" s="416"/>
      <c r="W130" s="416"/>
      <c r="X130" s="2066"/>
      <c r="Y130" s="2066"/>
      <c r="Z130" s="2011"/>
      <c r="AA130" s="1958"/>
      <c r="AB130" s="818"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30" s="783" t="s">
        <v>1628</v>
      </c>
      <c r="AD130" s="1445"/>
      <c r="AE130" s="1445"/>
      <c r="AF130" s="1003">
        <f>IF(AD130=0,0,(AE130-AD130)/AD130*100)</f>
        <v>0</v>
      </c>
      <c r="AG130" s="1445"/>
      <c r="AH130" s="1445"/>
      <c r="AI130" s="1003">
        <f>IF(AG130=0,0,(AH130-AG130)/AG130*100)</f>
        <v>0</v>
      </c>
      <c r="AJ130" s="1445"/>
      <c r="AK130" s="1445"/>
      <c r="AL130" s="1003">
        <f>IF(AJ130=0,0,(AK130-AJ130)/AJ130*100)</f>
        <v>0</v>
      </c>
      <c r="AM130" s="1445"/>
      <c r="AN130" s="1445"/>
      <c r="AO130" s="1003">
        <f>IF(AM130=0,0,(AN130-AM130)/AM130*100)</f>
        <v>0</v>
      </c>
      <c r="AP130" s="1445"/>
      <c r="AQ130" s="1445"/>
      <c r="AR130" s="1003">
        <f>IF(AP130=0,0,(AQ130-AP130)/AP130*100)</f>
        <v>0</v>
      </c>
      <c r="AS130" s="1445"/>
      <c r="AT130" s="1445"/>
      <c r="AU130" s="1003">
        <f>IF(AS130=0,0,(AT130-AS130)/AS130*100)</f>
        <v>0</v>
      </c>
      <c r="AV130" s="1445"/>
      <c r="AW130" s="1445"/>
      <c r="AX130" s="1003">
        <f>IF(AV130=0,0,(AW130-AV130)/AV130*100)</f>
        <v>0</v>
      </c>
      <c r="AY130" s="1445"/>
      <c r="AZ130" s="1445"/>
      <c r="BA130" s="1003">
        <f>IF(AY130=0,0,(AZ130-AY130)/AY130*100)</f>
        <v>0</v>
      </c>
      <c r="BB130" s="1445"/>
      <c r="BC130" s="1445"/>
      <c r="BD130" s="1003">
        <f>IF(BB130=0,0,(BC130-BB130)/BB130*100)</f>
        <v>0</v>
      </c>
      <c r="BE130" s="1445"/>
      <c r="BF130" s="1445"/>
      <c r="BG130" s="1003">
        <f>IF(BE130=0,0,(BF130-BE130)/BE130*100)</f>
        <v>0</v>
      </c>
      <c r="BH130" s="1445"/>
      <c r="BI130" s="1445"/>
      <c r="BJ130" s="1003">
        <f>IF(BH130=0,0,(BI130-BH130)/BH130*100)</f>
        <v>0</v>
      </c>
      <c r="BK130" s="1445"/>
      <c r="BL130" s="1445"/>
      <c r="BM130" s="1003">
        <f>IF(BK130=0,0,(BL130-BK130)/BK130*100)</f>
        <v>0</v>
      </c>
      <c r="BN130" s="1445"/>
      <c r="BO130" s="1445"/>
      <c r="BP130" s="1003">
        <f>IF(BN130=0,0,(BO130-BN130)/BN130*100)</f>
        <v>0</v>
      </c>
      <c r="BQ130" s="1445"/>
      <c r="BR130" s="1445"/>
      <c r="BS130" s="1003">
        <f>IF(BQ130=0,0,(BR130-BQ130)/BQ130*100)</f>
        <v>0</v>
      </c>
      <c r="BT130" s="1445"/>
      <c r="BU130" s="1445"/>
      <c r="BV130" s="1003">
        <f>IF(BT130=0,0,(BU130-BT130)/BT130*100)</f>
        <v>0</v>
      </c>
      <c r="BW130" s="1445"/>
      <c r="BX130" s="1445"/>
      <c r="BY130" s="1003">
        <f>IF(BW130=0,0,(BX130-BW130)/BW130*100)</f>
        <v>0</v>
      </c>
      <c r="BZ130" s="1445"/>
      <c r="CA130" s="1445"/>
      <c r="CB130" s="1003">
        <f>IF(BZ130=0,0,(CA130-BZ130)/BZ130*100)</f>
        <v>0</v>
      </c>
      <c r="CC130" s="1445"/>
      <c r="CD130" s="1445"/>
      <c r="CE130" s="1003">
        <f>IF(CC130=0,0,(CD130-CC130)/CC130*100)</f>
        <v>0</v>
      </c>
      <c r="CF130" s="1445"/>
      <c r="CG130" s="1445"/>
      <c r="CH130" s="1003">
        <f>IF(CF130=0,0,(CG130-CF130)/CF130*100)</f>
        <v>0</v>
      </c>
      <c r="CI130" s="1445"/>
      <c r="CJ130" s="1445"/>
      <c r="CK130" s="1003">
        <f>IF(CI130=0,0,(CJ130-CI130)/CI130*100)</f>
        <v>0</v>
      </c>
      <c r="CL130" s="1445"/>
      <c r="CM130" s="1445"/>
      <c r="CN130" s="1003">
        <f>IF(CL130=0,0,(CM130-CL130)/CL130*100)</f>
        <v>0</v>
      </c>
      <c r="CO130" s="1445"/>
      <c r="CP130" s="1445"/>
      <c r="CQ130" s="1003">
        <f>IF(CO130=0,0,(CP130-CO130)/CO130*100)</f>
        <v>0</v>
      </c>
      <c r="CR130" s="1445"/>
      <c r="CS130" s="1445"/>
      <c r="CT130" s="1003">
        <f>IF(CR130=0,0,(CS130-CR130)/CR130*100)</f>
        <v>0</v>
      </c>
      <c r="CU130" s="1445"/>
      <c r="CV130" s="1445"/>
      <c r="CW130" s="1003">
        <f>IF(CU130=0,0,(CV130-CU130)/CU130*100)</f>
        <v>0</v>
      </c>
      <c r="CX130" s="1445"/>
      <c r="CY130" s="1445"/>
      <c r="CZ130" s="1003">
        <f>IF(CX130=0,0,(CY130-CX130)/CX130*100)</f>
        <v>0</v>
      </c>
      <c r="DA130" s="1445"/>
      <c r="DB130" s="1445"/>
      <c r="DC130" s="1003">
        <f>IF(DA130=0,0,(DB130-DA130)/DA130*100)</f>
        <v>0</v>
      </c>
      <c r="DD130" s="1445"/>
      <c r="DE130" s="1445"/>
      <c r="DF130" s="1003">
        <f>IF(DD130=0,0,(DE130-DD130)/DD130*100)</f>
        <v>0</v>
      </c>
      <c r="DG130" s="1445"/>
      <c r="DH130" s="1445"/>
      <c r="DI130" s="1003">
        <f>IF(DG130=0,0,(DH130-DG130)/DG130*100)</f>
        <v>0</v>
      </c>
      <c r="DJ130" s="1445"/>
      <c r="DK130" s="1445"/>
      <c r="DL130" s="1003">
        <f>IF(DJ130=0,0,(DK130-DJ130)/DJ130*100)</f>
        <v>0</v>
      </c>
      <c r="DM130" s="1445"/>
      <c r="DN130" s="1445"/>
      <c r="DO130" s="1003">
        <f>IF(DM130=0,0,(DN130-DM130)/DM130*100)</f>
        <v>0</v>
      </c>
      <c r="DP130" s="1445"/>
      <c r="DQ130" s="1445"/>
      <c r="DR130" s="1003">
        <f>IF(DP130=0,0,(DQ130-DP130)/DP130*100)</f>
        <v>0</v>
      </c>
      <c r="DS130" s="1445"/>
      <c r="DT130" s="1445"/>
      <c r="DU130" s="1003">
        <f>IF(DS130=0,0,(DT130-DS130)/DS130*100)</f>
        <v>0</v>
      </c>
      <c r="DV130" s="1445"/>
      <c r="DW130" s="1445"/>
      <c r="DX130" s="1003">
        <f>IF(DV130=0,0,(DW130-DV130)/DV130*100)</f>
        <v>0</v>
      </c>
      <c r="DY130" s="1445"/>
      <c r="DZ130" s="1445"/>
      <c r="EA130" s="1003">
        <f>IF(DY130=0,0,(DZ130-DY130)/DY130*100)</f>
        <v>0</v>
      </c>
      <c r="EB130" s="1445"/>
      <c r="EC130" s="1445"/>
      <c r="ED130" s="1003">
        <f>IF(EB130=0,0,(EC130-EB130)/EB130*100)</f>
        <v>0</v>
      </c>
      <c r="EE130" s="1445"/>
      <c r="EF130" s="1445"/>
      <c r="EG130" s="1003">
        <f>IF(EE130=0,0,(EF130-EE130)/EE130*100)</f>
        <v>0</v>
      </c>
      <c r="EH130" s="1445"/>
      <c r="EI130" s="1445"/>
      <c r="EJ130" s="1003">
        <f>IF(EH130=0,0,(EI130-EH130)/EH130*100)</f>
        <v>0</v>
      </c>
      <c r="EK130" s="1445"/>
      <c r="EL130" s="1445"/>
      <c r="EM130" s="1003">
        <f>IF(EK130=0,0,(EL130-EK130)/EK130*100)</f>
        <v>0</v>
      </c>
      <c r="EN130" s="1445"/>
      <c r="EO130" s="1445"/>
      <c r="EP130" s="1003">
        <f>IF(EN130=0,0,(EO130-EN130)/EN130*100)</f>
        <v>0</v>
      </c>
      <c r="EQ130" s="1445"/>
      <c r="ER130" s="1445"/>
      <c r="ES130" s="1003">
        <f>IF(EQ130=0,0,(ER130-EQ130)/EQ130*100)</f>
        <v>0</v>
      </c>
      <c r="ET130" s="1445"/>
      <c r="EU130" s="1445"/>
      <c r="EV130" s="1003">
        <f>IF(ET130=0,0,(EU130-ET130)/ET130*100)</f>
        <v>0</v>
      </c>
      <c r="EW130" s="1445"/>
      <c r="EX130" s="1445"/>
      <c r="EY130" s="1003">
        <f>IF(EW130=0,0,(EX130-EW130)/EW130*100)</f>
        <v>0</v>
      </c>
      <c r="EZ130" s="1445"/>
      <c r="FA130" s="1445"/>
      <c r="FB130" s="1003">
        <f>IF(EZ130=0,0,(FA130-EZ130)/EZ130*100)</f>
        <v>0</v>
      </c>
      <c r="FC130" s="1445"/>
      <c r="FD130" s="1445"/>
      <c r="FE130" s="1003">
        <f>IF(FC130=0,0,(FD130-FC130)/FC130*100)</f>
        <v>0</v>
      </c>
      <c r="FF130" s="1445"/>
      <c r="FG130" s="1445"/>
      <c r="FH130" s="1003">
        <f>IF(FF130=0,0,(FG130-FF130)/FF130*100)</f>
        <v>0</v>
      </c>
      <c r="FI130" s="1445"/>
      <c r="FJ130" s="1445"/>
      <c r="FK130" s="1003">
        <f>IF(FI130=0,0,(FJ130-FI130)/FI130*100)</f>
        <v>0</v>
      </c>
      <c r="FL130" s="1445"/>
      <c r="FM130" s="1445"/>
      <c r="FN130" s="1003">
        <f>IF(FL130=0,0,(FM130-FL130)/FL130*100)</f>
        <v>0</v>
      </c>
      <c r="FO130" s="1445"/>
      <c r="FP130" s="1445"/>
      <c r="FQ130" s="1003">
        <f>IF(FO130=0,0,(FP130-FO130)/FO130*100)</f>
        <v>0</v>
      </c>
      <c r="FR130" s="1445"/>
      <c r="FS130" s="1445"/>
      <c r="FT130" s="1003">
        <f>IF(FR130=0,0,(FS130-FR130)/FR130*100)</f>
        <v>0</v>
      </c>
      <c r="FU130" s="1445"/>
      <c r="FV130" s="1445"/>
      <c r="FW130" s="1003">
        <f>IF(FU130=0,0,(FV130-FU130)/FU130*100)</f>
        <v>0</v>
      </c>
      <c r="FX130" s="1214"/>
      <c r="FY130" s="1214"/>
      <c r="FZ130" s="964" t="s">
        <v>1658</v>
      </c>
      <c r="GA130" s="924" t="s">
        <v>875</v>
      </c>
      <c r="GB130" s="924" cm="1">
        <f t="array" ref="GB130">GB129</f>
        <v>0</v>
      </c>
      <c r="GC130" s="1215"/>
      <c r="GD130" s="1215"/>
    </row>
    <row r="131" spans="1:186" s="1334" customFormat="1" ht="14.25" hidden="1" customHeight="1" x14ac:dyDescent="0.15">
      <c r="A131" s="416"/>
      <c r="B131" s="837" t="b" cm="1">
        <f t="array" ref="B131">B130</f>
        <v>0</v>
      </c>
      <c r="C131" s="416"/>
      <c r="D131" s="416"/>
      <c r="E131" s="759">
        <v>15</v>
      </c>
      <c r="F131" s="3" t="str" cm="1">
        <f t="array" aca="1" ref="F131" ca="1">OFFSET(E131,-1,1)</f>
        <v>1</v>
      </c>
      <c r="G131" s="416"/>
      <c r="H131" s="416" t="s">
        <v>1630</v>
      </c>
      <c r="I131" s="416" cm="1">
        <f t="array" ref="I131">I130</f>
        <v>0</v>
      </c>
      <c r="J131" s="416"/>
      <c r="K131" s="416"/>
      <c r="L131" s="416"/>
      <c r="M131" s="416"/>
      <c r="N131" s="416"/>
      <c r="O131" s="416"/>
      <c r="P131" s="416"/>
      <c r="Q131" s="416"/>
      <c r="R131" s="416"/>
      <c r="S131" s="416"/>
      <c r="T131" s="388" t="b" cm="1">
        <f t="array" aca="1" ref="T131" ca="1">T130</f>
        <v>0</v>
      </c>
      <c r="U131" s="416"/>
      <c r="V131" s="416"/>
      <c r="W131" s="416"/>
      <c r="X131" s="2066"/>
      <c r="Y131" s="2066"/>
      <c r="Z131" s="2011"/>
      <c r="AA131" s="1958"/>
      <c r="AB131" s="818" t="s">
        <v>1631</v>
      </c>
      <c r="AC131" s="783" t="s">
        <v>1632</v>
      </c>
      <c r="AD131" s="1445"/>
      <c r="AE131" s="1445"/>
      <c r="AF131" s="1003">
        <f>IF(AD131=0,0,(AE131-AD131)/AD131*100)</f>
        <v>0</v>
      </c>
      <c r="AG131" s="1445"/>
      <c r="AH131" s="1445"/>
      <c r="AI131" s="1003">
        <f>IF(AG131=0,0,(AH131-AG131)/AG131*100)</f>
        <v>0</v>
      </c>
      <c r="AJ131" s="1445"/>
      <c r="AK131" s="1445"/>
      <c r="AL131" s="1003">
        <f>IF(AJ131=0,0,(AK131-AJ131)/AJ131*100)</f>
        <v>0</v>
      </c>
      <c r="AM131" s="1445"/>
      <c r="AN131" s="1445"/>
      <c r="AO131" s="1003">
        <f>IF(AM131=0,0,(AN131-AM131)/AM131*100)</f>
        <v>0</v>
      </c>
      <c r="AP131" s="1445"/>
      <c r="AQ131" s="1445"/>
      <c r="AR131" s="1003">
        <f>IF(AP131=0,0,(AQ131-AP131)/AP131*100)</f>
        <v>0</v>
      </c>
      <c r="AS131" s="1445"/>
      <c r="AT131" s="1445"/>
      <c r="AU131" s="1003">
        <f>IF(AS131=0,0,(AT131-AS131)/AS131*100)</f>
        <v>0</v>
      </c>
      <c r="AV131" s="1445"/>
      <c r="AW131" s="1445"/>
      <c r="AX131" s="1003">
        <f>IF(AV131=0,0,(AW131-AV131)/AV131*100)</f>
        <v>0</v>
      </c>
      <c r="AY131" s="1445"/>
      <c r="AZ131" s="1445"/>
      <c r="BA131" s="1003">
        <f>IF(AY131=0,0,(AZ131-AY131)/AY131*100)</f>
        <v>0</v>
      </c>
      <c r="BB131" s="1445"/>
      <c r="BC131" s="1445"/>
      <c r="BD131" s="1003">
        <f>IF(BB131=0,0,(BC131-BB131)/BB131*100)</f>
        <v>0</v>
      </c>
      <c r="BE131" s="1445"/>
      <c r="BF131" s="1445"/>
      <c r="BG131" s="1003">
        <f>IF(BE131=0,0,(BF131-BE131)/BE131*100)</f>
        <v>0</v>
      </c>
      <c r="BH131" s="1445"/>
      <c r="BI131" s="1445"/>
      <c r="BJ131" s="1003">
        <f>IF(BH131=0,0,(BI131-BH131)/BH131*100)</f>
        <v>0</v>
      </c>
      <c r="BK131" s="1445"/>
      <c r="BL131" s="1445"/>
      <c r="BM131" s="1003">
        <f>IF(BK131=0,0,(BL131-BK131)/BK131*100)</f>
        <v>0</v>
      </c>
      <c r="BN131" s="1445"/>
      <c r="BO131" s="1445"/>
      <c r="BP131" s="1003">
        <f>IF(BN131=0,0,(BO131-BN131)/BN131*100)</f>
        <v>0</v>
      </c>
      <c r="BQ131" s="1445"/>
      <c r="BR131" s="1445"/>
      <c r="BS131" s="1003">
        <f>IF(BQ131=0,0,(BR131-BQ131)/BQ131*100)</f>
        <v>0</v>
      </c>
      <c r="BT131" s="1445"/>
      <c r="BU131" s="1445"/>
      <c r="BV131" s="1003">
        <f>IF(BT131=0,0,(BU131-BT131)/BT131*100)</f>
        <v>0</v>
      </c>
      <c r="BW131" s="1445"/>
      <c r="BX131" s="1445"/>
      <c r="BY131" s="1003">
        <f>IF(BW131=0,0,(BX131-BW131)/BW131*100)</f>
        <v>0</v>
      </c>
      <c r="BZ131" s="1445"/>
      <c r="CA131" s="1445"/>
      <c r="CB131" s="1003">
        <f>IF(BZ131=0,0,(CA131-BZ131)/BZ131*100)</f>
        <v>0</v>
      </c>
      <c r="CC131" s="1445"/>
      <c r="CD131" s="1445"/>
      <c r="CE131" s="1003">
        <f>IF(CC131=0,0,(CD131-CC131)/CC131*100)</f>
        <v>0</v>
      </c>
      <c r="CF131" s="1445"/>
      <c r="CG131" s="1445"/>
      <c r="CH131" s="1003">
        <f>IF(CF131=0,0,(CG131-CF131)/CF131*100)</f>
        <v>0</v>
      </c>
      <c r="CI131" s="1445"/>
      <c r="CJ131" s="1445"/>
      <c r="CK131" s="1003">
        <f>IF(CI131=0,0,(CJ131-CI131)/CI131*100)</f>
        <v>0</v>
      </c>
      <c r="CL131" s="1445"/>
      <c r="CM131" s="1445"/>
      <c r="CN131" s="1003">
        <f>IF(CL131=0,0,(CM131-CL131)/CL131*100)</f>
        <v>0</v>
      </c>
      <c r="CO131" s="1445"/>
      <c r="CP131" s="1445"/>
      <c r="CQ131" s="1003">
        <f>IF(CO131=0,0,(CP131-CO131)/CO131*100)</f>
        <v>0</v>
      </c>
      <c r="CR131" s="1445"/>
      <c r="CS131" s="1445"/>
      <c r="CT131" s="1003">
        <f>IF(CR131=0,0,(CS131-CR131)/CR131*100)</f>
        <v>0</v>
      </c>
      <c r="CU131" s="1445"/>
      <c r="CV131" s="1445"/>
      <c r="CW131" s="1003">
        <f>IF(CU131=0,0,(CV131-CU131)/CU131*100)</f>
        <v>0</v>
      </c>
      <c r="CX131" s="1445"/>
      <c r="CY131" s="1445"/>
      <c r="CZ131" s="1003">
        <f>IF(CX131=0,0,(CY131-CX131)/CX131*100)</f>
        <v>0</v>
      </c>
      <c r="DA131" s="1445"/>
      <c r="DB131" s="1445"/>
      <c r="DC131" s="1003">
        <f>IF(DA131=0,0,(DB131-DA131)/DA131*100)</f>
        <v>0</v>
      </c>
      <c r="DD131" s="1445"/>
      <c r="DE131" s="1445"/>
      <c r="DF131" s="1003">
        <f>IF(DD131=0,0,(DE131-DD131)/DD131*100)</f>
        <v>0</v>
      </c>
      <c r="DG131" s="1445"/>
      <c r="DH131" s="1445"/>
      <c r="DI131" s="1003">
        <f>IF(DG131=0,0,(DH131-DG131)/DG131*100)</f>
        <v>0</v>
      </c>
      <c r="DJ131" s="1445"/>
      <c r="DK131" s="1445"/>
      <c r="DL131" s="1003">
        <f>IF(DJ131=0,0,(DK131-DJ131)/DJ131*100)</f>
        <v>0</v>
      </c>
      <c r="DM131" s="1445"/>
      <c r="DN131" s="1445"/>
      <c r="DO131" s="1003">
        <f>IF(DM131=0,0,(DN131-DM131)/DM131*100)</f>
        <v>0</v>
      </c>
      <c r="DP131" s="1445"/>
      <c r="DQ131" s="1445"/>
      <c r="DR131" s="1003">
        <f>IF(DP131=0,0,(DQ131-DP131)/DP131*100)</f>
        <v>0</v>
      </c>
      <c r="DS131" s="1445"/>
      <c r="DT131" s="1445"/>
      <c r="DU131" s="1003">
        <f>IF(DS131=0,0,(DT131-DS131)/DS131*100)</f>
        <v>0</v>
      </c>
      <c r="DV131" s="1445"/>
      <c r="DW131" s="1445"/>
      <c r="DX131" s="1003">
        <f>IF(DV131=0,0,(DW131-DV131)/DV131*100)</f>
        <v>0</v>
      </c>
      <c r="DY131" s="1445"/>
      <c r="DZ131" s="1445"/>
      <c r="EA131" s="1003">
        <f>IF(DY131=0,0,(DZ131-DY131)/DY131*100)</f>
        <v>0</v>
      </c>
      <c r="EB131" s="1445"/>
      <c r="EC131" s="1445"/>
      <c r="ED131" s="1003">
        <f>IF(EB131=0,0,(EC131-EB131)/EB131*100)</f>
        <v>0</v>
      </c>
      <c r="EE131" s="1445"/>
      <c r="EF131" s="1445"/>
      <c r="EG131" s="1003">
        <f>IF(EE131=0,0,(EF131-EE131)/EE131*100)</f>
        <v>0</v>
      </c>
      <c r="EH131" s="1445"/>
      <c r="EI131" s="1445"/>
      <c r="EJ131" s="1003">
        <f>IF(EH131=0,0,(EI131-EH131)/EH131*100)</f>
        <v>0</v>
      </c>
      <c r="EK131" s="1445"/>
      <c r="EL131" s="1445"/>
      <c r="EM131" s="1003">
        <f>IF(EK131=0,0,(EL131-EK131)/EK131*100)</f>
        <v>0</v>
      </c>
      <c r="EN131" s="1445"/>
      <c r="EO131" s="1445"/>
      <c r="EP131" s="1003">
        <f>IF(EN131=0,0,(EO131-EN131)/EN131*100)</f>
        <v>0</v>
      </c>
      <c r="EQ131" s="1445"/>
      <c r="ER131" s="1445"/>
      <c r="ES131" s="1003">
        <f>IF(EQ131=0,0,(ER131-EQ131)/EQ131*100)</f>
        <v>0</v>
      </c>
      <c r="ET131" s="1445"/>
      <c r="EU131" s="1445"/>
      <c r="EV131" s="1003">
        <f>IF(ET131=0,0,(EU131-ET131)/ET131*100)</f>
        <v>0</v>
      </c>
      <c r="EW131" s="1445"/>
      <c r="EX131" s="1445"/>
      <c r="EY131" s="1003">
        <f>IF(EW131=0,0,(EX131-EW131)/EW131*100)</f>
        <v>0</v>
      </c>
      <c r="EZ131" s="1445"/>
      <c r="FA131" s="1445"/>
      <c r="FB131" s="1003">
        <f>IF(EZ131=0,0,(FA131-EZ131)/EZ131*100)</f>
        <v>0</v>
      </c>
      <c r="FC131" s="1445"/>
      <c r="FD131" s="1445"/>
      <c r="FE131" s="1003">
        <f>IF(FC131=0,0,(FD131-FC131)/FC131*100)</f>
        <v>0</v>
      </c>
      <c r="FF131" s="1445"/>
      <c r="FG131" s="1445"/>
      <c r="FH131" s="1003">
        <f>IF(FF131=0,0,(FG131-FF131)/FF131*100)</f>
        <v>0</v>
      </c>
      <c r="FI131" s="1445"/>
      <c r="FJ131" s="1445"/>
      <c r="FK131" s="1003">
        <f>IF(FI131=0,0,(FJ131-FI131)/FI131*100)</f>
        <v>0</v>
      </c>
      <c r="FL131" s="1445"/>
      <c r="FM131" s="1445"/>
      <c r="FN131" s="1003">
        <f>IF(FL131=0,0,(FM131-FL131)/FL131*100)</f>
        <v>0</v>
      </c>
      <c r="FO131" s="1445"/>
      <c r="FP131" s="1445"/>
      <c r="FQ131" s="1003">
        <f>IF(FO131=0,0,(FP131-FO131)/FO131*100)</f>
        <v>0</v>
      </c>
      <c r="FR131" s="1445"/>
      <c r="FS131" s="1445"/>
      <c r="FT131" s="1003">
        <f>IF(FR131=0,0,(FS131-FR131)/FR131*100)</f>
        <v>0</v>
      </c>
      <c r="FU131" s="1445"/>
      <c r="FV131" s="1445"/>
      <c r="FW131" s="1003">
        <f>IF(FU131=0,0,(FV131-FU131)/FU131*100)</f>
        <v>0</v>
      </c>
      <c r="FX131" s="1214"/>
      <c r="FY131" s="1214"/>
      <c r="FZ131" s="964" t="s">
        <v>1659</v>
      </c>
      <c r="GA131" s="924" t="s">
        <v>875</v>
      </c>
      <c r="GB131" s="924" cm="1">
        <f t="array" ref="GB131">GB130</f>
        <v>0</v>
      </c>
      <c r="GC131" s="1215"/>
      <c r="GD131" s="1215"/>
    </row>
    <row r="132" spans="1:186" s="1334" customFormat="1" ht="14.25" hidden="1" customHeight="1" x14ac:dyDescent="0.15">
      <c r="A132" s="416"/>
      <c r="B132" s="837" t="b" cm="1">
        <f t="array" ref="B132">B131</f>
        <v>0</v>
      </c>
      <c r="C132" s="416"/>
      <c r="D132" s="416"/>
      <c r="E132" s="759">
        <v>15</v>
      </c>
      <c r="F132" s="3" t="str" cm="1">
        <f t="array" aca="1" ref="F132" ca="1">OFFSET(E132,-1,1)</f>
        <v>1</v>
      </c>
      <c r="G132" s="416"/>
      <c r="H132" s="416"/>
      <c r="I132" s="17" t="s">
        <v>1660</v>
      </c>
      <c r="J132" s="416"/>
      <c r="K132" s="416"/>
      <c r="L132" s="416"/>
      <c r="M132" s="416"/>
      <c r="N132" s="416"/>
      <c r="O132" s="416"/>
      <c r="P132" s="416"/>
      <c r="Q132" s="416"/>
      <c r="R132" s="416"/>
      <c r="S132" s="416"/>
      <c r="T132" s="388" t="b">
        <f ca="1">F132&gt;0</f>
        <v>1</v>
      </c>
      <c r="U132" s="416"/>
      <c r="V132" s="1214"/>
      <c r="W132" s="677" t="s">
        <v>1618</v>
      </c>
      <c r="X132" s="2066"/>
      <c r="Y132" s="1214"/>
      <c r="Z132" s="2011"/>
      <c r="AA132" s="1214"/>
      <c r="AB132" s="178" t="s">
        <v>176</v>
      </c>
      <c r="AC132" s="182"/>
      <c r="AD132" s="1006"/>
      <c r="AE132" s="1006"/>
      <c r="AF132" s="1006"/>
      <c r="AG132" s="1006"/>
      <c r="AH132" s="1006"/>
      <c r="AI132" s="1006"/>
      <c r="AJ132" s="1006"/>
      <c r="AK132" s="1006"/>
      <c r="AL132" s="1006"/>
      <c r="AM132" s="1006"/>
      <c r="AN132" s="1006"/>
      <c r="AO132" s="1006"/>
      <c r="AP132" s="1006"/>
      <c r="AQ132" s="1006"/>
      <c r="AR132" s="1006"/>
      <c r="AS132" s="1006"/>
      <c r="AT132" s="1006"/>
      <c r="AU132" s="1006"/>
      <c r="AV132" s="1006"/>
      <c r="AW132" s="1006"/>
      <c r="AX132" s="1006"/>
      <c r="AY132" s="1006"/>
      <c r="AZ132" s="1006"/>
      <c r="BA132" s="1006"/>
      <c r="BB132" s="1006"/>
      <c r="BC132" s="1006"/>
      <c r="BD132" s="1006"/>
      <c r="BE132" s="1006"/>
      <c r="BF132" s="1006"/>
      <c r="BG132" s="1006"/>
      <c r="BH132" s="1006"/>
      <c r="BI132" s="1006"/>
      <c r="BJ132" s="1006"/>
      <c r="BK132" s="1006"/>
      <c r="BL132" s="1006"/>
      <c r="BM132" s="1006"/>
      <c r="BN132" s="1006"/>
      <c r="BO132" s="1006"/>
      <c r="BP132" s="1006"/>
      <c r="BQ132" s="1006"/>
      <c r="BR132" s="1006"/>
      <c r="BS132" s="1006"/>
      <c r="BT132" s="1006"/>
      <c r="BU132" s="1006"/>
      <c r="BV132" s="1006"/>
      <c r="BW132" s="1006"/>
      <c r="BX132" s="1006"/>
      <c r="BY132" s="1006"/>
      <c r="BZ132" s="1006"/>
      <c r="CA132" s="1006"/>
      <c r="CB132" s="1006"/>
      <c r="CC132" s="1006"/>
      <c r="CD132" s="1006"/>
      <c r="CE132" s="1006"/>
      <c r="CF132" s="1006"/>
      <c r="CG132" s="1006"/>
      <c r="CH132" s="1006"/>
      <c r="CI132" s="1006"/>
      <c r="CJ132" s="1006"/>
      <c r="CK132" s="1006"/>
      <c r="CL132" s="1006"/>
      <c r="CM132" s="1006"/>
      <c r="CN132" s="1006"/>
      <c r="CO132" s="1006"/>
      <c r="CP132" s="1006"/>
      <c r="CQ132" s="1006"/>
      <c r="CR132" s="1006"/>
      <c r="CS132" s="1006"/>
      <c r="CT132" s="1006"/>
      <c r="CU132" s="1006"/>
      <c r="CV132" s="1006"/>
      <c r="CW132" s="1006"/>
      <c r="CX132" s="1006"/>
      <c r="CY132" s="1006"/>
      <c r="CZ132" s="1006"/>
      <c r="DA132" s="1006"/>
      <c r="DB132" s="1006"/>
      <c r="DC132" s="1006"/>
      <c r="DD132" s="1006"/>
      <c r="DE132" s="1006"/>
      <c r="DF132" s="1006"/>
      <c r="DG132" s="1006"/>
      <c r="DH132" s="1006"/>
      <c r="DI132" s="1006"/>
      <c r="DJ132" s="1006"/>
      <c r="DK132" s="1006"/>
      <c r="DL132" s="1006"/>
      <c r="DM132" s="1006"/>
      <c r="DN132" s="1006"/>
      <c r="DO132" s="1006"/>
      <c r="DP132" s="1006"/>
      <c r="DQ132" s="1006"/>
      <c r="DR132" s="1006"/>
      <c r="DS132" s="1006"/>
      <c r="DT132" s="1006"/>
      <c r="DU132" s="1006"/>
      <c r="DV132" s="1006"/>
      <c r="DW132" s="1006"/>
      <c r="DX132" s="1006"/>
      <c r="DY132" s="1006"/>
      <c r="DZ132" s="1006"/>
      <c r="EA132" s="1006"/>
      <c r="EB132" s="1006"/>
      <c r="EC132" s="1006"/>
      <c r="ED132" s="1006"/>
      <c r="EE132" s="1006"/>
      <c r="EF132" s="1006"/>
      <c r="EG132" s="1006"/>
      <c r="EH132" s="1006"/>
      <c r="EI132" s="1006"/>
      <c r="EJ132" s="1006"/>
      <c r="EK132" s="1006"/>
      <c r="EL132" s="1006"/>
      <c r="EM132" s="1006"/>
      <c r="EN132" s="1006"/>
      <c r="EO132" s="1006"/>
      <c r="EP132" s="1006"/>
      <c r="EQ132" s="1006"/>
      <c r="ER132" s="1006"/>
      <c r="ES132" s="1006"/>
      <c r="ET132" s="1006"/>
      <c r="EU132" s="1006"/>
      <c r="EV132" s="1006"/>
      <c r="EW132" s="1006"/>
      <c r="EX132" s="1006"/>
      <c r="EY132" s="1006"/>
      <c r="EZ132" s="1006"/>
      <c r="FA132" s="1006"/>
      <c r="FB132" s="1006"/>
      <c r="FC132" s="1006"/>
      <c r="FD132" s="1006"/>
      <c r="FE132" s="1006"/>
      <c r="FF132" s="1006"/>
      <c r="FG132" s="1006"/>
      <c r="FH132" s="1006"/>
      <c r="FI132" s="1006"/>
      <c r="FJ132" s="1006"/>
      <c r="FK132" s="1006"/>
      <c r="FL132" s="1006"/>
      <c r="FM132" s="1006"/>
      <c r="FN132" s="1006"/>
      <c r="FO132" s="1006"/>
      <c r="FP132" s="1006"/>
      <c r="FQ132" s="1006"/>
      <c r="FR132" s="1006"/>
      <c r="FS132" s="1006"/>
      <c r="FT132" s="1006"/>
      <c r="FU132" s="1006"/>
      <c r="FV132" s="1006"/>
      <c r="FW132" s="1007"/>
      <c r="FX132" s="1214"/>
      <c r="FY132" s="1214"/>
      <c r="FZ132" s="964" t="s">
        <v>147</v>
      </c>
      <c r="GA132" s="1216"/>
      <c r="GB132" s="1216"/>
      <c r="GC132" s="556" t="s">
        <v>875</v>
      </c>
      <c r="GD132" s="1215"/>
    </row>
    <row r="133" spans="1:186" s="1334" customFormat="1" ht="11.25" hidden="1" customHeight="1" x14ac:dyDescent="0.15">
      <c r="A133" s="405"/>
      <c r="B133" s="837"/>
      <c r="C133" s="405"/>
      <c r="D133" s="405"/>
      <c r="E133" s="785">
        <v>0</v>
      </c>
      <c r="F133" s="1090" t="str" cm="1">
        <f t="array" aca="1" ref="F133" ca="1">OFFSET(E133,-1,1)</f>
        <v>1</v>
      </c>
      <c r="G133" s="405"/>
      <c r="H133" s="405"/>
      <c r="I133" s="405"/>
      <c r="J133" s="405"/>
      <c r="K133" s="405"/>
      <c r="L133" s="405"/>
      <c r="M133" s="405"/>
      <c r="N133" s="405"/>
      <c r="O133" s="405"/>
      <c r="P133" s="405"/>
      <c r="Q133" s="405"/>
      <c r="R133" s="405"/>
      <c r="S133" s="405"/>
      <c r="T133" s="388" t="b">
        <v>0</v>
      </c>
      <c r="U133" s="405"/>
      <c r="V133" s="405"/>
      <c r="W133" s="405"/>
      <c r="X133" s="2066"/>
      <c r="Y133" s="405"/>
      <c r="Z133" s="2011"/>
      <c r="AA133" s="405"/>
      <c r="AB133"/>
      <c r="AC133" s="405"/>
      <c r="AD133" s="1016"/>
      <c r="AE133" s="1016"/>
      <c r="AF133" s="1016"/>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Z133" s="964" t="s">
        <v>147</v>
      </c>
      <c r="GA133" s="928"/>
      <c r="GB133" s="967"/>
      <c r="GC133" s="610"/>
      <c r="GD133" s="610"/>
    </row>
    <row r="134" spans="1:186" s="1453" customFormat="1" ht="23.25" hidden="1" customHeight="1" x14ac:dyDescent="0.15">
      <c r="A134" s="813"/>
      <c r="B134" s="837" t="b" cm="1">
        <f t="array" ref="B134">S85</f>
        <v>0</v>
      </c>
      <c r="C134" s="813"/>
      <c r="D134" s="813"/>
      <c r="E134" s="759">
        <v>24.5</v>
      </c>
      <c r="F134" s="3" t="str" cm="1">
        <f t="array" aca="1" ref="F134" ca="1">OFFSET(E134,-1,1)</f>
        <v>1</v>
      </c>
      <c r="G134" s="26" t="s">
        <v>1585</v>
      </c>
      <c r="H134" s="416" t="s">
        <v>494</v>
      </c>
      <c r="I134" s="416" t="s">
        <v>1661</v>
      </c>
      <c r="J134" s="813"/>
      <c r="K134" s="813"/>
      <c r="L134" s="813"/>
      <c r="M134" s="813"/>
      <c r="N134" s="813"/>
      <c r="O134" s="813"/>
      <c r="P134" s="813"/>
      <c r="Q134" s="813"/>
      <c r="R134" s="813"/>
      <c r="S134" s="416"/>
      <c r="T134" s="388" t="b" cm="1">
        <f t="array" aca="1" ref="T134" ca="1">T132</f>
        <v>1</v>
      </c>
      <c r="U134" s="813"/>
      <c r="V134" s="813"/>
      <c r="W134" s="813"/>
      <c r="X134" s="2066"/>
      <c r="Y134" s="813"/>
      <c r="Z134" s="2011"/>
      <c r="AA134" s="813"/>
      <c r="AB134" s="138" t="s">
        <v>1662</v>
      </c>
      <c r="AC134" s="153" t="s">
        <v>1588</v>
      </c>
      <c r="AD134" s="1447">
        <f ca="1">IF(AND(method_reg="Метод индексации",god&lt;&gt;first_year),SUMIFS(INDEX('Калькуляция (МИ корр)'!$AJ$25:$BC$459,,MATCH(AD$8,'Калькуляция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(МИ)'!$AJ$25:$BC$459,,MATCH(AD$8,'Калькуляция (МИ)'!$AJ$8:$BC$8,0)),'Калькуляция (МИ)'!$F$25:$F$459,$F134,'Калькуляция (МИ)'!$G$25:$G$459,$G134))))</f>
        <v>70.069999999999993</v>
      </c>
      <c r="AE134" s="1447">
        <f ca="1">IF(AND(method_reg="Метод индексации",god&lt;&gt;first_year),SUMIFS(INDEX('Калькуляция (МИ корр)'!$AJ$25:$BC$459,,MATCH(AE$8,'Калькуляция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(МИ)'!$AJ$25:$BC$459,,MATCH(AE$8,'Калькуляция (МИ)'!$AJ$8:$BC$8,0)),'Калькуляция (МИ)'!$F$25:$F$459,$F134,'Калькуляция (МИ)'!$G$25:$G$459,$G134))))</f>
        <v>50.313792702000001</v>
      </c>
      <c r="AF134" s="214">
        <f ca="1">IF(AD134=0,0,(AE134-AD134)/AD134*100)</f>
        <v>-28.194958324532603</v>
      </c>
      <c r="AG134" s="1447">
        <f ca="1">IF(AND(method_reg="Метод индексации",god&lt;&gt;first_year),SUMIFS(INDEX('Калькуляция (МИ корр)'!$AJ$25:$BC$459,,MATCH(AG$8,'Калькуляция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(МИ)'!$AJ$25:$BC$459,,MATCH(AG$8,'Калькуляция (МИ)'!$AJ$8:$BC$8,0)),'Калькуляция (МИ)'!$F$25:$F$459,$F134,'Калькуляция (МИ)'!$G$25:$G$459,$G134))))</f>
        <v>62.907293322900003</v>
      </c>
      <c r="AH134" s="1447">
        <f ca="1">IF(AND(method_reg="Метод индексации",god&lt;&gt;first_year),SUMIFS(INDEX('Калькуляция (МИ корр)'!$AJ$25:$BC$459,,MATCH(AH$8,'Калькуляция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(МИ)'!$AJ$25:$BC$459,,MATCH(AH$8,'Калькуляция (МИ)'!$AJ$8:$BC$8,0)),'Калькуляция (МИ)'!$F$25:$F$459,$F134,'Калькуляция (МИ)'!$G$25:$G$459,$G134))))</f>
        <v>52.926890897600003</v>
      </c>
      <c r="AI134" s="214">
        <f ca="1">IF(AG134=0,0,(AH134-AG134)/AG134*100)</f>
        <v>-15.865254882404638</v>
      </c>
      <c r="AJ134" s="1447">
        <f ca="1">IF(AND(method_reg="Метод индексации",god&lt;&gt;first_year),SUMIFS(INDEX('Калькуляция (МИ корр)'!$AJ$25:$BC$459,,MATCH(AJ$8,'Калькуляция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(МИ)'!$AJ$25:$BC$459,,MATCH(AJ$8,'Калькуляция (МИ)'!$AJ$8:$BC$8,0)),'Калькуляция (МИ)'!$F$25:$F$459,$F134,'Калькуляция (МИ)'!$G$25:$G$459,$G134))))</f>
        <v>65.263337262799993</v>
      </c>
      <c r="AK134" s="1447">
        <f ca="1">IF(AND(method_reg="Метод индексации",god&lt;&gt;first_year),SUMIFS(INDEX('Калькуляция (МИ корр)'!$AJ$25:$BC$459,,MATCH(AK$8,'Калькуляция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(МИ)'!$AJ$25:$BC$459,,MATCH(AK$8,'Калькуляция (МИ)'!$AJ$8:$BC$8,0)),'Калькуляция (МИ)'!$F$25:$F$459,$F134,'Калькуляция (МИ)'!$G$25:$G$459,$G134))))</f>
        <v>55.3720632705</v>
      </c>
      <c r="AL134" s="214">
        <f ca="1">IF(AJ134=0,0,(AK134-AJ134)/AJ134*100)</f>
        <v>-15.155942688726102</v>
      </c>
      <c r="AM134" s="1447">
        <f ca="1">IF(AND(method_reg="Метод индексации",god&lt;&gt;first_year),SUMIFS(INDEX('Калькуляция (МИ корр)'!$AJ$25:$BC$459,,MATCH(AM$8,'Калькуляция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(МИ)'!$AJ$25:$BC$459,,MATCH(AM$8,'Калькуляция (МИ)'!$AJ$8:$BC$8,0)),'Калькуляция (МИ)'!$F$25:$F$459,$F134,'Калькуляция (МИ)'!$G$25:$G$459,$G134))))</f>
        <v>67.739464045600002</v>
      </c>
      <c r="AN134" s="1447">
        <f ca="1">IF(AND(method_reg="Метод индексации",god&lt;&gt;first_year),SUMIFS(INDEX('Калькуляция (МИ корр)'!$AJ$25:$BC$459,,MATCH(AN$8,'Калькуляция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(МИ)'!$AJ$25:$BC$459,,MATCH(AN$8,'Калькуляция (МИ)'!$AJ$8:$BC$8,0)),'Калькуляция (МИ)'!$F$25:$F$459,$F134,'Калькуляция (МИ)'!$G$25:$G$459,$G134))))</f>
        <v>57.603738131900002</v>
      </c>
      <c r="AO134" s="214">
        <f ca="1">IF(AM134=0,0,(AN134-AM134)/AM134*100)</f>
        <v>-14.962807953244154</v>
      </c>
      <c r="AP134" s="1447">
        <f ca="1">IF(AND(method_reg="Метод индексации",god&lt;&gt;first_year),SUMIFS(INDEX('Калькуляция (МИ корр)'!$AJ$25:$BC$459,,MATCH(AP$8,'Калькуляция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(МИ)'!$AJ$25:$BC$459,,MATCH(AP$8,'Калькуляция (МИ)'!$AJ$8:$BC$8,0)),'Калькуляция (МИ)'!$F$25:$F$459,$F134,'Калькуляция (МИ)'!$G$25:$G$459,$G134))))</f>
        <v>70.222836525000005</v>
      </c>
      <c r="AQ134" s="1447">
        <f ca="1">IF(AND(method_reg="Метод индексации",god&lt;&gt;first_year),SUMIFS(INDEX('Калькуляция (МИ корр)'!$AJ$25:$BC$459,,MATCH(AQ$8,'Калькуляция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(МИ)'!$AJ$25:$BC$459,,MATCH(AQ$8,'Калькуляция (МИ)'!$AJ$8:$BC$8,0)),'Калькуляция (МИ)'!$F$25:$F$459,$F134,'Калькуляция (МИ)'!$G$25:$G$459,$G134))))</f>
        <v>60.597604509</v>
      </c>
      <c r="AR134" s="214">
        <f ca="1">IF(AP134=0,0,(AQ134-AP134)/AP134*100)</f>
        <v>-13.70669783834968</v>
      </c>
      <c r="AS134" s="1447">
        <f ca="1">IF(AND(method_reg="Метод индексации",god&lt;&gt;first_year),SUMIFS(INDEX('Калькуляция (МИ корр)'!$AJ$25:$BC$459,,MATCH(AS$8,'Калькуляция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(МИ)'!$AJ$25:$BC$459,,MATCH(AS$8,'Калькуляция (МИ)'!$AJ$8:$BC$8,0)),'Калькуляция (МИ)'!$F$25:$F$459,$F134,'Калькуляция (МИ)'!$G$25:$G$459,$G134))))</f>
        <v>72.810328324799997</v>
      </c>
      <c r="AT134" s="1447">
        <f ca="1">IF(AND(method_reg="Метод индексации",god&lt;&gt;first_year),SUMIFS(INDEX('Калькуляция (МИ корр)'!$AJ$25:$BC$459,,MATCH(AT$8,'Калькуляция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(МИ)'!$AJ$25:$BC$459,,MATCH(AT$8,'Калькуляция (МИ)'!$AJ$8:$BC$8,0)),'Калькуляция (МИ)'!$F$25:$F$459,$F134,'Калькуляция (МИ)'!$G$25:$G$459,$G134))))</f>
        <v>62.68954213</v>
      </c>
      <c r="AU134" s="214">
        <f ca="1">IF(AS134=0,0,(AT134-AS134)/AS134*100)</f>
        <v>-13.900206780626132</v>
      </c>
      <c r="AV134" s="1447">
        <f ca="1">IF(AND(method_reg="Метод индексации",god&lt;&gt;first_year),SUMIFS(INDEX('Калькуляция (МИ корр)'!$AJ$25:$BC$459,,MATCH(AV$8,'Калькуляция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(МИ)'!$AJ$25:$BC$459,,MATCH(AV$8,'Калькуляция (МИ)'!$AJ$8:$BC$8,0)),'Калькуляция (МИ)'!$F$25:$F$459,$F134,'Калькуляция (МИ)'!$G$25:$G$459,$G134))))</f>
        <v>75.586172871299993</v>
      </c>
      <c r="AW134" s="1447">
        <f ca="1">IF(AND(method_reg="Метод индексации",god&lt;&gt;first_year),SUMIFS(INDEX('Калькуляция (МИ корр)'!$AJ$25:$BC$459,,MATCH(AW$8,'Калькуляция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(МИ)'!$AJ$25:$BC$459,,MATCH(AW$8,'Калькуляция (МИ)'!$AJ$8:$BC$8,0)),'Калькуляция (МИ)'!$F$25:$F$459,$F134,'Калькуляция (МИ)'!$G$25:$G$459,$G134))))</f>
        <v>64.913726668099997</v>
      </c>
      <c r="AX134" s="214">
        <f ca="1">IF(AV134=0,0,(AW134-AV134)/AV134*100)</f>
        <v>-14.119574781715553</v>
      </c>
      <c r="AY134" s="1447">
        <f ca="1">IF(AND(method_reg="Метод индексации",god&lt;&gt;first_year),SUMIFS(INDEX('Калькуляция (МИ корр)'!$AJ$25:$BC$459,,MATCH(AY$8,'Калькуляция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(МИ)'!$AJ$25:$BC$459,,MATCH(AY$8,'Калькуляция (МИ)'!$AJ$8:$BC$8,0)),'Калькуляция (МИ)'!$F$25:$F$459,$F134,'Калькуляция (МИ)'!$G$25:$G$459,$G134))))</f>
        <v>0</v>
      </c>
      <c r="AZ134" s="1447">
        <f ca="1">IF(AND(method_reg="Метод индексации",god&lt;&gt;first_year),SUMIFS(INDEX('Калькуляция (МИ корр)'!$AJ$25:$BC$459,,MATCH(AZ$8,'Калькуляция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(МИ)'!$AJ$25:$BC$459,,MATCH(AZ$8,'Калькуляция (МИ)'!$AJ$8:$BC$8,0)),'Калькуляция (МИ)'!$F$25:$F$459,$F134,'Калькуляция (МИ)'!$G$25:$G$459,$G134))))</f>
        <v>66.856127181900007</v>
      </c>
      <c r="BA134" s="214">
        <f ca="1">IF(AY134=0,0,(AZ134-AY134)/AY134*100)</f>
        <v>0</v>
      </c>
      <c r="BB134" s="1447">
        <f ca="1">IF(AND(method_reg="Метод индексации",god&lt;&gt;first_year),SUMIFS(INDEX('Калькуляция (МИ корр)'!$AJ$25:$BC$459,,MATCH(BB$8,'Калькуляция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(МИ)'!$AJ$25:$BC$459,,MATCH(BB$8,'Калькуляция (МИ)'!$AJ$8:$BC$8,0)),'Калькуляция (МИ)'!$F$25:$F$459,$F134,'Калькуляция (МИ)'!$G$25:$G$459,$G134))))</f>
        <v>0</v>
      </c>
      <c r="BC134" s="1447">
        <f ca="1">IF(AND(method_reg="Метод индексации",god&lt;&gt;first_year),SUMIFS(INDEX('Калькуляция (МИ корр)'!$AJ$25:$BC$459,,MATCH(BC$8,'Калькуляция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(МИ)'!$AJ$25:$BC$459,,MATCH(BC$8,'Калькуляция (МИ)'!$AJ$8:$BC$8,0)),'Калькуляция (МИ)'!$F$25:$F$459,$F134,'Калькуляция (МИ)'!$G$25:$G$459,$G134))))</f>
        <v>0</v>
      </c>
      <c r="BD134" s="214">
        <f ca="1">IF(BB134=0,0,(BC134-BB134)/BB134*100)</f>
        <v>0</v>
      </c>
      <c r="BE134" s="1447">
        <f ca="1">IF(AND(method_reg="Метод индексации",god&lt;&gt;first_year),SUMIFS(INDEX('Калькуляция (МИ корр)'!$AJ$25:$BC$459,,MATCH(BE$8,'Калькуляция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(МИ)'!$AJ$25:$BC$459,,MATCH(BE$8,'Калькуляция (МИ)'!$AJ$8:$BC$8,0)),'Калькуляция (МИ)'!$F$25:$F$459,$F134,'Калькуляция (МИ)'!$G$25:$G$459,$G134))))</f>
        <v>0</v>
      </c>
      <c r="BF134" s="1447">
        <f ca="1">IF(AND(method_reg="Метод индексации",god&lt;&gt;first_year),SUMIFS(INDEX('Калькуляция (МИ корр)'!$AJ$25:$BC$459,,MATCH(BF$8,'Калькуляция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(МИ)'!$AJ$25:$BC$459,,MATCH(BF$8,'Калькуляция (МИ)'!$AJ$8:$BC$8,0)),'Калькуляция (МИ)'!$F$25:$F$459,$F134,'Калькуляция (МИ)'!$G$25:$G$459,$G134))))</f>
        <v>0</v>
      </c>
      <c r="BG134" s="214">
        <f ca="1">IF(BE134=0,0,(BF134-BE134)/BE134*100)</f>
        <v>0</v>
      </c>
      <c r="BH134" s="1447"/>
      <c r="BI134" s="1447"/>
      <c r="BJ134" s="214">
        <f>IF(BH134=0,0,(BI134-BH134)/BH134*100)</f>
        <v>0</v>
      </c>
      <c r="BK134" s="1447"/>
      <c r="BL134" s="1447"/>
      <c r="BM134" s="214">
        <f>IF(BK134=0,0,(BL134-BK134)/BK134*100)</f>
        <v>0</v>
      </c>
      <c r="BN134" s="1447"/>
      <c r="BO134" s="1447"/>
      <c r="BP134" s="214">
        <f>IF(BN134=0,0,(BO134-BN134)/BN134*100)</f>
        <v>0</v>
      </c>
      <c r="BQ134" s="1447"/>
      <c r="BR134" s="1447"/>
      <c r="BS134" s="214">
        <f>IF(BQ134=0,0,(BR134-BQ134)/BQ134*100)</f>
        <v>0</v>
      </c>
      <c r="BT134" s="1447"/>
      <c r="BU134" s="1447"/>
      <c r="BV134" s="214">
        <f>IF(BT134=0,0,(BU134-BT134)/BT134*100)</f>
        <v>0</v>
      </c>
      <c r="BW134" s="1447"/>
      <c r="BX134" s="1447"/>
      <c r="BY134" s="214">
        <f>IF(BW134=0,0,(BX134-BW134)/BW134*100)</f>
        <v>0</v>
      </c>
      <c r="BZ134" s="1447"/>
      <c r="CA134" s="1447"/>
      <c r="CB134" s="214">
        <f>IF(BZ134=0,0,(CA134-BZ134)/BZ134*100)</f>
        <v>0</v>
      </c>
      <c r="CC134" s="1447"/>
      <c r="CD134" s="1447"/>
      <c r="CE134" s="214">
        <f>IF(CC134=0,0,(CD134-CC134)/CC134*100)</f>
        <v>0</v>
      </c>
      <c r="CF134" s="1447"/>
      <c r="CG134" s="1447"/>
      <c r="CH134" s="214">
        <f>IF(CF134=0,0,(CG134-CF134)/CF134*100)</f>
        <v>0</v>
      </c>
      <c r="CI134" s="1447"/>
      <c r="CJ134" s="1447"/>
      <c r="CK134" s="214">
        <f>IF(CI134=0,0,(CJ134-CI134)/CI134*100)</f>
        <v>0</v>
      </c>
      <c r="CL134" s="1447"/>
      <c r="CM134" s="1447"/>
      <c r="CN134" s="214">
        <f>IF(CL134=0,0,(CM134-CL134)/CL134*100)</f>
        <v>0</v>
      </c>
      <c r="CO134" s="1447"/>
      <c r="CP134" s="1447"/>
      <c r="CQ134" s="214">
        <f>IF(CO134=0,0,(CP134-CO134)/CO134*100)</f>
        <v>0</v>
      </c>
      <c r="CR134" s="1447"/>
      <c r="CS134" s="1447"/>
      <c r="CT134" s="214">
        <f>IF(CR134=0,0,(CS134-CR134)/CR134*100)</f>
        <v>0</v>
      </c>
      <c r="CU134" s="1447"/>
      <c r="CV134" s="1447"/>
      <c r="CW134" s="214">
        <f>IF(CU134=0,0,(CV134-CU134)/CU134*100)</f>
        <v>0</v>
      </c>
      <c r="CX134" s="1447"/>
      <c r="CY134" s="1447"/>
      <c r="CZ134" s="214">
        <f>IF(CX134=0,0,(CY134-CX134)/CX134*100)</f>
        <v>0</v>
      </c>
      <c r="DA134" s="1447"/>
      <c r="DB134" s="1447"/>
      <c r="DC134" s="214">
        <f>IF(DA134=0,0,(DB134-DA134)/DA134*100)</f>
        <v>0</v>
      </c>
      <c r="DD134" s="1447"/>
      <c r="DE134" s="1447"/>
      <c r="DF134" s="214">
        <f>IF(DD134=0,0,(DE134-DD134)/DD134*100)</f>
        <v>0</v>
      </c>
      <c r="DG134" s="1447"/>
      <c r="DH134" s="1447"/>
      <c r="DI134" s="214">
        <f>IF(DG134=0,0,(DH134-DG134)/DG134*100)</f>
        <v>0</v>
      </c>
      <c r="DJ134" s="1447"/>
      <c r="DK134" s="1447"/>
      <c r="DL134" s="214">
        <f>IF(DJ134=0,0,(DK134-DJ134)/DJ134*100)</f>
        <v>0</v>
      </c>
      <c r="DM134" s="1447"/>
      <c r="DN134" s="1447"/>
      <c r="DO134" s="214">
        <f>IF(DM134=0,0,(DN134-DM134)/DM134*100)</f>
        <v>0</v>
      </c>
      <c r="DP134" s="1447"/>
      <c r="DQ134" s="1447"/>
      <c r="DR134" s="214">
        <f>IF(DP134=0,0,(DQ134-DP134)/DP134*100)</f>
        <v>0</v>
      </c>
      <c r="DS134" s="1447"/>
      <c r="DT134" s="1447"/>
      <c r="DU134" s="214">
        <f>IF(DS134=0,0,(DT134-DS134)/DS134*100)</f>
        <v>0</v>
      </c>
      <c r="DV134" s="1447"/>
      <c r="DW134" s="1447"/>
      <c r="DX134" s="214">
        <f>IF(DV134=0,0,(DW134-DV134)/DV134*100)</f>
        <v>0</v>
      </c>
      <c r="DY134" s="1447"/>
      <c r="DZ134" s="1447"/>
      <c r="EA134" s="214">
        <f>IF(DY134=0,0,(DZ134-DY134)/DY134*100)</f>
        <v>0</v>
      </c>
      <c r="EB134" s="1447"/>
      <c r="EC134" s="1447"/>
      <c r="ED134" s="214">
        <f>IF(EB134=0,0,(EC134-EB134)/EB134*100)</f>
        <v>0</v>
      </c>
      <c r="EE134" s="1447"/>
      <c r="EF134" s="1447"/>
      <c r="EG134" s="214">
        <f>IF(EE134=0,0,(EF134-EE134)/EE134*100)</f>
        <v>0</v>
      </c>
      <c r="EH134" s="1447"/>
      <c r="EI134" s="1447"/>
      <c r="EJ134" s="214">
        <f>IF(EH134=0,0,(EI134-EH134)/EH134*100)</f>
        <v>0</v>
      </c>
      <c r="EK134" s="1447"/>
      <c r="EL134" s="1447"/>
      <c r="EM134" s="214">
        <f>IF(EK134=0,0,(EL134-EK134)/EK134*100)</f>
        <v>0</v>
      </c>
      <c r="EN134" s="1447"/>
      <c r="EO134" s="1447"/>
      <c r="EP134" s="214">
        <f>IF(EN134=0,0,(EO134-EN134)/EN134*100)</f>
        <v>0</v>
      </c>
      <c r="EQ134" s="1447"/>
      <c r="ER134" s="1447"/>
      <c r="ES134" s="214">
        <f>IF(EQ134=0,0,(ER134-EQ134)/EQ134*100)</f>
        <v>0</v>
      </c>
      <c r="ET134" s="1447"/>
      <c r="EU134" s="1447"/>
      <c r="EV134" s="214">
        <f>IF(ET134=0,0,(EU134-ET134)/ET134*100)</f>
        <v>0</v>
      </c>
      <c r="EW134" s="1447"/>
      <c r="EX134" s="1447"/>
      <c r="EY134" s="214">
        <f>IF(EW134=0,0,(EX134-EW134)/EW134*100)</f>
        <v>0</v>
      </c>
      <c r="EZ134" s="1447"/>
      <c r="FA134" s="1447"/>
      <c r="FB134" s="214">
        <f>IF(EZ134=0,0,(FA134-EZ134)/EZ134*100)</f>
        <v>0</v>
      </c>
      <c r="FC134" s="1447"/>
      <c r="FD134" s="1447"/>
      <c r="FE134" s="214">
        <f>IF(FC134=0,0,(FD134-FC134)/FC134*100)</f>
        <v>0</v>
      </c>
      <c r="FF134" s="1447"/>
      <c r="FG134" s="1447"/>
      <c r="FH134" s="214">
        <f>IF(FF134=0,0,(FG134-FF134)/FF134*100)</f>
        <v>0</v>
      </c>
      <c r="FI134" s="1447"/>
      <c r="FJ134" s="1447"/>
      <c r="FK134" s="214">
        <f>IF(FI134=0,0,(FJ134-FI134)/FI134*100)</f>
        <v>0</v>
      </c>
      <c r="FL134" s="1447"/>
      <c r="FM134" s="1447"/>
      <c r="FN134" s="214">
        <f>IF(FL134=0,0,(FM134-FL134)/FL134*100)</f>
        <v>0</v>
      </c>
      <c r="FO134" s="1447"/>
      <c r="FP134" s="1447"/>
      <c r="FQ134" s="214">
        <f>IF(FO134=0,0,(FP134-FO134)/FO134*100)</f>
        <v>0</v>
      </c>
      <c r="FR134" s="1447"/>
      <c r="FS134" s="1447"/>
      <c r="FT134" s="214">
        <f>IF(FR134=0,0,(FS134-FR134)/FR134*100)</f>
        <v>0</v>
      </c>
      <c r="FU134" s="1447"/>
      <c r="FV134" s="1447"/>
      <c r="FW134" s="214">
        <f>IF(FU134=0,0,(FV134-FU134)/FU134*100)</f>
        <v>0</v>
      </c>
      <c r="FX134" s="210"/>
      <c r="FY134" s="210"/>
      <c r="FZ134" s="964" t="s">
        <v>1663</v>
      </c>
      <c r="GA134" s="964"/>
      <c r="GB134" s="964"/>
      <c r="GC134" s="965"/>
      <c r="GD134" s="965"/>
    </row>
    <row r="135" spans="1:186" s="1454" customFormat="1" ht="23.25" hidden="1" customHeight="1" x14ac:dyDescent="0.15">
      <c r="A135" s="813"/>
      <c r="B135" s="837" t="b" cm="1">
        <f t="array" ref="B135">B134</f>
        <v>0</v>
      </c>
      <c r="C135" s="813"/>
      <c r="D135" s="813"/>
      <c r="E135" s="759">
        <v>24.5</v>
      </c>
      <c r="F135" s="3" t="str" cm="1">
        <f t="array" aca="1" ref="F135" ca="1">OFFSET(E135,-1,1)</f>
        <v>1</v>
      </c>
      <c r="G135" s="26" t="s">
        <v>1590</v>
      </c>
      <c r="H135" s="416" t="s">
        <v>494</v>
      </c>
      <c r="I135" s="416" t="s">
        <v>1664</v>
      </c>
      <c r="J135" s="813"/>
      <c r="K135" s="813"/>
      <c r="L135" s="813"/>
      <c r="M135" s="813"/>
      <c r="N135" s="813"/>
      <c r="O135" s="813"/>
      <c r="P135" s="813"/>
      <c r="Q135" s="813"/>
      <c r="R135" s="813"/>
      <c r="S135" s="416"/>
      <c r="T135" s="388" t="b" cm="1">
        <f t="array" aca="1" ref="T135" ca="1">T134</f>
        <v>1</v>
      </c>
      <c r="U135" s="813"/>
      <c r="V135" s="813"/>
      <c r="W135" s="813"/>
      <c r="X135" s="2066"/>
      <c r="Y135" s="813"/>
      <c r="Z135" s="2011"/>
      <c r="AA135" s="813"/>
      <c r="AB135" s="138" t="s">
        <v>1665</v>
      </c>
      <c r="AC135" s="153" t="s">
        <v>1588</v>
      </c>
      <c r="AD135" s="1447">
        <f ca="1">IF(AND(method_reg="Метод индексации",god&lt;&gt;first_year),SUMIFS(INDEX('Калькуляция (МИ корр)'!$AJ$25:$BC$459,,MATCH(AD$8,'Калькуляция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(МИ)'!$AJ$25:$BC$459,,MATCH(AD$8,'Калькуляция (МИ)'!$AJ$8:$BC$8,0)),'Калькуляция (МИ)'!$F$25:$F$459,$F135,'Калькуляция (МИ)'!$G$25:$G$459,$G135))))</f>
        <v>70.069999999999993</v>
      </c>
      <c r="AE135" s="1447">
        <f ca="1">IF(AND(method_reg="Метод индексации",god&lt;&gt;first_year),SUMIFS(INDEX('Калькуляция (МИ корр)'!$AJ$25:$BC$459,,MATCH(AE$8,'Калькуляция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(МИ)'!$AJ$25:$BC$459,,MATCH(AE$8,'Калькуляция (МИ)'!$AJ$8:$BC$8,0)),'Калькуляция (МИ)'!$F$25:$F$459,$F135,'Калькуляция (МИ)'!$G$25:$G$459,$G135))))</f>
        <v>57.37</v>
      </c>
      <c r="AF135" s="214">
        <f ca="1">IF(AD135=0,0,(AE135-AD135)/AD135*100)</f>
        <v>-18.124732410446693</v>
      </c>
      <c r="AG135" s="1447">
        <f ca="1">IF(AND(method_reg="Метод индексации",god&lt;&gt;first_year),SUMIFS(INDEX('Калькуляция (МИ корр)'!$AJ$25:$BC$459,,MATCH(AG$8,'Калькуляция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(МИ)'!$AJ$25:$BC$459,,MATCH(AG$8,'Калькуляция (МИ)'!$AJ$8:$BC$8,0)),'Калькуляция (МИ)'!$F$25:$F$459,$F135,'Калькуляция (МИ)'!$G$25:$G$459,$G135))))</f>
        <v>62.907293322900003</v>
      </c>
      <c r="AH135" s="1447">
        <f ca="1">IF(AND(method_reg="Метод индексации",god&lt;&gt;first_year),SUMIFS(INDEX('Калькуляция (МИ корр)'!$AJ$25:$BC$459,,MATCH(AH$8,'Калькуляция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(МИ)'!$AJ$25:$BC$459,,MATCH(AH$8,'Калькуляция (МИ)'!$AJ$8:$BC$8,0)),'Калькуляция (МИ)'!$F$25:$F$459,$F135,'Калькуляция (МИ)'!$G$25:$G$459,$G135))))</f>
        <v>55.3720632705</v>
      </c>
      <c r="AI135" s="214">
        <f ca="1">IF(AG135=0,0,(AH135-AG135)/AG135*100)</f>
        <v>-11.978309118661397</v>
      </c>
      <c r="AJ135" s="1447">
        <f ca="1">IF(AND(method_reg="Метод индексации",god&lt;&gt;first_year),SUMIFS(INDEX('Калькуляция (МИ корр)'!$AJ$25:$BC$459,,MATCH(AJ$8,'Калькуляция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(МИ)'!$AJ$25:$BC$459,,MATCH(AJ$8,'Калькуляция (МИ)'!$AJ$8:$BC$8,0)),'Калькуляция (МИ)'!$F$25:$F$459,$F135,'Калькуляция (МИ)'!$G$25:$G$459,$G135))))</f>
        <v>65.263337262799993</v>
      </c>
      <c r="AK135" s="1447">
        <f ca="1">IF(AND(method_reg="Метод индексации",god&lt;&gt;first_year),SUMIFS(INDEX('Калькуляция (МИ корр)'!$AJ$25:$BC$459,,MATCH(AK$8,'Калькуляция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(МИ)'!$AJ$25:$BC$459,,MATCH(AK$8,'Калькуляция (МИ)'!$AJ$8:$BC$8,0)),'Калькуляция (МИ)'!$F$25:$F$459,$F135,'Калькуляция (МИ)'!$G$25:$G$459,$G135))))</f>
        <v>57.603738131900002</v>
      </c>
      <c r="AL135" s="214">
        <f ca="1">IF(AJ135=0,0,(AK135-AJ135)/AJ135*100)</f>
        <v>-11.736450283038087</v>
      </c>
      <c r="AM135" s="1447">
        <f ca="1">IF(AND(method_reg="Метод индексации",god&lt;&gt;first_year),SUMIFS(INDEX('Калькуляция (МИ корр)'!$AJ$25:$BC$459,,MATCH(AM$8,'Калькуляция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(МИ)'!$AJ$25:$BC$459,,MATCH(AM$8,'Калькуляция (МИ)'!$AJ$8:$BC$8,0)),'Калькуляция (МИ)'!$F$25:$F$459,$F135,'Калькуляция (МИ)'!$G$25:$G$459,$G135))))</f>
        <v>67.739464045600002</v>
      </c>
      <c r="AN135" s="1447">
        <f ca="1">IF(AND(method_reg="Метод индексации",god&lt;&gt;first_year),SUMIFS(INDEX('Калькуляция (МИ корр)'!$AJ$25:$BC$459,,MATCH(AN$8,'Калькуляция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(МИ)'!$AJ$25:$BC$459,,MATCH(AN$8,'Калькуляция (МИ)'!$AJ$8:$BC$8,0)),'Калькуляция (МИ)'!$F$25:$F$459,$F135,'Калькуляция (МИ)'!$G$25:$G$459,$G135))))</f>
        <v>60.597604509</v>
      </c>
      <c r="AO135" s="214">
        <f ca="1">IF(AM135=0,0,(AN135-AM135)/AM135*100)</f>
        <v>-10.543129676656926</v>
      </c>
      <c r="AP135" s="1447">
        <f ca="1">IF(AND(method_reg="Метод индексации",god&lt;&gt;first_year),SUMIFS(INDEX('Калькуляция (МИ корр)'!$AJ$25:$BC$459,,MATCH(AP$8,'Калькуляция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(МИ)'!$AJ$25:$BC$459,,MATCH(AP$8,'Калькуляция (МИ)'!$AJ$8:$BC$8,0)),'Калькуляция (МИ)'!$F$25:$F$459,$F135,'Калькуляция (МИ)'!$G$25:$G$459,$G135))))</f>
        <v>70.222836525000005</v>
      </c>
      <c r="AQ135" s="1447">
        <f ca="1">IF(AND(method_reg="Метод индексации",god&lt;&gt;first_year),SUMIFS(INDEX('Калькуляция (МИ корр)'!$AJ$25:$BC$459,,MATCH(AQ$8,'Калькуляция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(МИ)'!$AJ$25:$BC$459,,MATCH(AQ$8,'Калькуляция (МИ)'!$AJ$8:$BC$8,0)),'Калькуляция (МИ)'!$F$25:$F$459,$F135,'Калькуляция (МИ)'!$G$25:$G$459,$G135))))</f>
        <v>62.68954213</v>
      </c>
      <c r="AR135" s="214">
        <f ca="1">IF(AP135=0,0,(AQ135-AP135)/AP135*100)</f>
        <v>-10.727698805385169</v>
      </c>
      <c r="AS135" s="1447">
        <f ca="1">IF(AND(method_reg="Метод индексации",god&lt;&gt;first_year),SUMIFS(INDEX('Калькуляция (МИ корр)'!$AJ$25:$BC$459,,MATCH(AS$8,'Калькуляция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(МИ)'!$AJ$25:$BC$459,,MATCH(AS$8,'Калькуляция (МИ)'!$AJ$8:$BC$8,0)),'Калькуляция (МИ)'!$F$25:$F$459,$F135,'Калькуляция (МИ)'!$G$25:$G$459,$G135))))</f>
        <v>72.810328324799997</v>
      </c>
      <c r="AT135" s="1447">
        <f ca="1">IF(AND(method_reg="Метод индексации",god&lt;&gt;first_year),SUMIFS(INDEX('Калькуляция (МИ корр)'!$AJ$25:$BC$459,,MATCH(AT$8,'Калькуляция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(МИ)'!$AJ$25:$BC$459,,MATCH(AT$8,'Калькуляция (МИ)'!$AJ$8:$BC$8,0)),'Калькуляция (МИ)'!$F$25:$F$459,$F135,'Калькуляция (МИ)'!$G$25:$G$459,$G135))))</f>
        <v>64.913726668099997</v>
      </c>
      <c r="AU135" s="214">
        <f ca="1">IF(AS135=0,0,(AT135-AS135)/AS135*100)</f>
        <v>-10.84544162673461</v>
      </c>
      <c r="AV135" s="1447">
        <f ca="1">IF(AND(method_reg="Метод индексации",god&lt;&gt;first_year),SUMIFS(INDEX('Калькуляция (МИ корр)'!$AJ$25:$BC$459,,MATCH(AV$8,'Калькуляция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(МИ)'!$AJ$25:$BC$459,,MATCH(AV$8,'Калькуляция (МИ)'!$AJ$8:$BC$8,0)),'Калькуляция (МИ)'!$F$25:$F$459,$F135,'Калькуляция (МИ)'!$G$25:$G$459,$G135))))</f>
        <v>75.586172871299993</v>
      </c>
      <c r="AW135" s="1447">
        <f ca="1">IF(AND(method_reg="Метод индексации",god&lt;&gt;first_year),SUMIFS(INDEX('Калькуляция (МИ корр)'!$AJ$25:$BC$459,,MATCH(AW$8,'Калькуляция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(МИ)'!$AJ$25:$BC$459,,MATCH(AW$8,'Калькуляция (МИ)'!$AJ$8:$BC$8,0)),'Калькуляция (МИ)'!$F$25:$F$459,$F135,'Калькуляция (МИ)'!$G$25:$G$459,$G135))))</f>
        <v>66.856127181900007</v>
      </c>
      <c r="AX135" s="214">
        <f ca="1">IF(AV135=0,0,(AW135-AV135)/AV135*100)</f>
        <v>-11.549791923272222</v>
      </c>
      <c r="AY135" s="1447">
        <f ca="1">IF(AND(method_reg="Метод индексации",god&lt;&gt;first_year),SUMIFS(INDEX('Калькуляция (МИ корр)'!$AJ$25:$BC$459,,MATCH(AY$8,'Калькуляция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(МИ)'!$AJ$25:$BC$459,,MATCH(AY$8,'Калькуляция (МИ)'!$AJ$8:$BC$8,0)),'Калькуляция (МИ)'!$F$25:$F$459,$F135,'Калькуляция (МИ)'!$G$25:$G$459,$G135))))</f>
        <v>0</v>
      </c>
      <c r="AZ135" s="1447">
        <f ca="1">IF(AND(method_reg="Метод индексации",god&lt;&gt;first_year),SUMIFS(INDEX('Калькуляция (МИ корр)'!$AJ$25:$BC$459,,MATCH(AZ$8,'Калькуляция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(МИ)'!$AJ$25:$BC$459,,MATCH(AZ$8,'Калькуляция (МИ)'!$AJ$8:$BC$8,0)),'Калькуляция (МИ)'!$F$25:$F$459,$F135,'Калькуляция (МИ)'!$G$25:$G$459,$G135))))</f>
        <v>0</v>
      </c>
      <c r="BA135" s="214">
        <f ca="1">IF(AY135=0,0,(AZ135-AY135)/AY135*100)</f>
        <v>0</v>
      </c>
      <c r="BB135" s="1447">
        <f ca="1">IF(AND(method_reg="Метод индексации",god&lt;&gt;first_year),SUMIFS(INDEX('Калькуляция (МИ корр)'!$AJ$25:$BC$459,,MATCH(BB$8,'Калькуляция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(МИ)'!$AJ$25:$BC$459,,MATCH(BB$8,'Калькуляция (МИ)'!$AJ$8:$BC$8,0)),'Калькуляция (МИ)'!$F$25:$F$459,$F135,'Калькуляция (МИ)'!$G$25:$G$459,$G135))))</f>
        <v>0</v>
      </c>
      <c r="BC135" s="1447">
        <f ca="1">IF(AND(method_reg="Метод индексации",god&lt;&gt;first_year),SUMIFS(INDEX('Калькуляция (МИ корр)'!$AJ$25:$BC$459,,MATCH(BC$8,'Калькуляция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(МИ)'!$AJ$25:$BC$459,,MATCH(BC$8,'Калькуляция (МИ)'!$AJ$8:$BC$8,0)),'Калькуляция (МИ)'!$F$25:$F$459,$F135,'Калькуляция (МИ)'!$G$25:$G$459,$G135))))</f>
        <v>0</v>
      </c>
      <c r="BD135" s="214">
        <f ca="1">IF(BB135=0,0,(BC135-BB135)/BB135*100)</f>
        <v>0</v>
      </c>
      <c r="BE135" s="1447">
        <f ca="1">IF(AND(method_reg="Метод индексации",god&lt;&gt;first_year),SUMIFS(INDEX('Калькуляция (МИ корр)'!$AJ$25:$BC$459,,MATCH(BE$8,'Калькуляция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(МИ)'!$AJ$25:$BC$459,,MATCH(BE$8,'Калькуляция (МИ)'!$AJ$8:$BC$8,0)),'Калькуляция (МИ)'!$F$25:$F$459,$F135,'Калькуляция (МИ)'!$G$25:$G$459,$G135))))</f>
        <v>0</v>
      </c>
      <c r="BF135" s="1447">
        <f ca="1">IF(AND(method_reg="Метод индексации",god&lt;&gt;first_year),SUMIFS(INDEX('Калькуляция (МИ корр)'!$AJ$25:$BC$459,,MATCH(BF$8,'Калькуляция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(МИ)'!$AJ$25:$BC$459,,MATCH(BF$8,'Калькуляция (МИ)'!$AJ$8:$BC$8,0)),'Калькуляция (МИ)'!$F$25:$F$459,$F135,'Калькуляция (МИ)'!$G$25:$G$459,$G135))))</f>
        <v>0</v>
      </c>
      <c r="BG135" s="214">
        <f ca="1">IF(BE135=0,0,(BF135-BE135)/BE135*100)</f>
        <v>0</v>
      </c>
      <c r="BH135" s="1447"/>
      <c r="BI135" s="1447"/>
      <c r="BJ135" s="214">
        <f>IF(BH135=0,0,(BI135-BH135)/BH135*100)</f>
        <v>0</v>
      </c>
      <c r="BK135" s="1447"/>
      <c r="BL135" s="1447"/>
      <c r="BM135" s="214">
        <f>IF(BK135=0,0,(BL135-BK135)/BK135*100)</f>
        <v>0</v>
      </c>
      <c r="BN135" s="1447"/>
      <c r="BO135" s="1447"/>
      <c r="BP135" s="214">
        <f>IF(BN135=0,0,(BO135-BN135)/BN135*100)</f>
        <v>0</v>
      </c>
      <c r="BQ135" s="1447"/>
      <c r="BR135" s="1447"/>
      <c r="BS135" s="214">
        <f>IF(BQ135=0,0,(BR135-BQ135)/BQ135*100)</f>
        <v>0</v>
      </c>
      <c r="BT135" s="1447"/>
      <c r="BU135" s="1447"/>
      <c r="BV135" s="214">
        <f>IF(BT135=0,0,(BU135-BT135)/BT135*100)</f>
        <v>0</v>
      </c>
      <c r="BW135" s="1447"/>
      <c r="BX135" s="1447"/>
      <c r="BY135" s="214">
        <f>IF(BW135=0,0,(BX135-BW135)/BW135*100)</f>
        <v>0</v>
      </c>
      <c r="BZ135" s="1447"/>
      <c r="CA135" s="1447"/>
      <c r="CB135" s="214">
        <f>IF(BZ135=0,0,(CA135-BZ135)/BZ135*100)</f>
        <v>0</v>
      </c>
      <c r="CC135" s="1447"/>
      <c r="CD135" s="1447"/>
      <c r="CE135" s="214">
        <f>IF(CC135=0,0,(CD135-CC135)/CC135*100)</f>
        <v>0</v>
      </c>
      <c r="CF135" s="1447"/>
      <c r="CG135" s="1447"/>
      <c r="CH135" s="214">
        <f>IF(CF135=0,0,(CG135-CF135)/CF135*100)</f>
        <v>0</v>
      </c>
      <c r="CI135" s="1447"/>
      <c r="CJ135" s="1447"/>
      <c r="CK135" s="214">
        <f>IF(CI135=0,0,(CJ135-CI135)/CI135*100)</f>
        <v>0</v>
      </c>
      <c r="CL135" s="1447"/>
      <c r="CM135" s="1447"/>
      <c r="CN135" s="214">
        <f>IF(CL135=0,0,(CM135-CL135)/CL135*100)</f>
        <v>0</v>
      </c>
      <c r="CO135" s="1447"/>
      <c r="CP135" s="1447"/>
      <c r="CQ135" s="214">
        <f>IF(CO135=0,0,(CP135-CO135)/CO135*100)</f>
        <v>0</v>
      </c>
      <c r="CR135" s="1447"/>
      <c r="CS135" s="1447"/>
      <c r="CT135" s="214">
        <f>IF(CR135=0,0,(CS135-CR135)/CR135*100)</f>
        <v>0</v>
      </c>
      <c r="CU135" s="1447"/>
      <c r="CV135" s="1447"/>
      <c r="CW135" s="214">
        <f>IF(CU135=0,0,(CV135-CU135)/CU135*100)</f>
        <v>0</v>
      </c>
      <c r="CX135" s="1447"/>
      <c r="CY135" s="1447"/>
      <c r="CZ135" s="214">
        <f>IF(CX135=0,0,(CY135-CX135)/CX135*100)</f>
        <v>0</v>
      </c>
      <c r="DA135" s="1447"/>
      <c r="DB135" s="1447"/>
      <c r="DC135" s="214">
        <f>IF(DA135=0,0,(DB135-DA135)/DA135*100)</f>
        <v>0</v>
      </c>
      <c r="DD135" s="1447"/>
      <c r="DE135" s="1447"/>
      <c r="DF135" s="214">
        <f>IF(DD135=0,0,(DE135-DD135)/DD135*100)</f>
        <v>0</v>
      </c>
      <c r="DG135" s="1447"/>
      <c r="DH135" s="1447"/>
      <c r="DI135" s="214">
        <f>IF(DG135=0,0,(DH135-DG135)/DG135*100)</f>
        <v>0</v>
      </c>
      <c r="DJ135" s="1447"/>
      <c r="DK135" s="1447"/>
      <c r="DL135" s="214">
        <f>IF(DJ135=0,0,(DK135-DJ135)/DJ135*100)</f>
        <v>0</v>
      </c>
      <c r="DM135" s="1447"/>
      <c r="DN135" s="1447"/>
      <c r="DO135" s="214">
        <f>IF(DM135=0,0,(DN135-DM135)/DM135*100)</f>
        <v>0</v>
      </c>
      <c r="DP135" s="1447"/>
      <c r="DQ135" s="1447"/>
      <c r="DR135" s="214">
        <f>IF(DP135=0,0,(DQ135-DP135)/DP135*100)</f>
        <v>0</v>
      </c>
      <c r="DS135" s="1447"/>
      <c r="DT135" s="1447"/>
      <c r="DU135" s="214">
        <f>IF(DS135=0,0,(DT135-DS135)/DS135*100)</f>
        <v>0</v>
      </c>
      <c r="DV135" s="1447"/>
      <c r="DW135" s="1447"/>
      <c r="DX135" s="214">
        <f>IF(DV135=0,0,(DW135-DV135)/DV135*100)</f>
        <v>0</v>
      </c>
      <c r="DY135" s="1447"/>
      <c r="DZ135" s="1447"/>
      <c r="EA135" s="214">
        <f>IF(DY135=0,0,(DZ135-DY135)/DY135*100)</f>
        <v>0</v>
      </c>
      <c r="EB135" s="1447"/>
      <c r="EC135" s="1447"/>
      <c r="ED135" s="214">
        <f>IF(EB135=0,0,(EC135-EB135)/EB135*100)</f>
        <v>0</v>
      </c>
      <c r="EE135" s="1447"/>
      <c r="EF135" s="1447"/>
      <c r="EG135" s="214">
        <f>IF(EE135=0,0,(EF135-EE135)/EE135*100)</f>
        <v>0</v>
      </c>
      <c r="EH135" s="1447"/>
      <c r="EI135" s="1447"/>
      <c r="EJ135" s="214">
        <f>IF(EH135=0,0,(EI135-EH135)/EH135*100)</f>
        <v>0</v>
      </c>
      <c r="EK135" s="1447"/>
      <c r="EL135" s="1447"/>
      <c r="EM135" s="214">
        <f>IF(EK135=0,0,(EL135-EK135)/EK135*100)</f>
        <v>0</v>
      </c>
      <c r="EN135" s="1447"/>
      <c r="EO135" s="1447"/>
      <c r="EP135" s="214">
        <f>IF(EN135=0,0,(EO135-EN135)/EN135*100)</f>
        <v>0</v>
      </c>
      <c r="EQ135" s="1447"/>
      <c r="ER135" s="1447"/>
      <c r="ES135" s="214">
        <f>IF(EQ135=0,0,(ER135-EQ135)/EQ135*100)</f>
        <v>0</v>
      </c>
      <c r="ET135" s="1447"/>
      <c r="EU135" s="1447"/>
      <c r="EV135" s="214">
        <f>IF(ET135=0,0,(EU135-ET135)/ET135*100)</f>
        <v>0</v>
      </c>
      <c r="EW135" s="1447"/>
      <c r="EX135" s="1447"/>
      <c r="EY135" s="214">
        <f>IF(EW135=0,0,(EX135-EW135)/EW135*100)</f>
        <v>0</v>
      </c>
      <c r="EZ135" s="1447"/>
      <c r="FA135" s="1447"/>
      <c r="FB135" s="214">
        <f>IF(EZ135=0,0,(FA135-EZ135)/EZ135*100)</f>
        <v>0</v>
      </c>
      <c r="FC135" s="1447"/>
      <c r="FD135" s="1447"/>
      <c r="FE135" s="214">
        <f>IF(FC135=0,0,(FD135-FC135)/FC135*100)</f>
        <v>0</v>
      </c>
      <c r="FF135" s="1447"/>
      <c r="FG135" s="1447"/>
      <c r="FH135" s="214">
        <f>IF(FF135=0,0,(FG135-FF135)/FF135*100)</f>
        <v>0</v>
      </c>
      <c r="FI135" s="1447"/>
      <c r="FJ135" s="1447"/>
      <c r="FK135" s="214">
        <f>IF(FI135=0,0,(FJ135-FI135)/FI135*100)</f>
        <v>0</v>
      </c>
      <c r="FL135" s="1447"/>
      <c r="FM135" s="1447"/>
      <c r="FN135" s="214">
        <f>IF(FL135=0,0,(FM135-FL135)/FL135*100)</f>
        <v>0</v>
      </c>
      <c r="FO135" s="1447"/>
      <c r="FP135" s="1447"/>
      <c r="FQ135" s="214">
        <f>IF(FO135=0,0,(FP135-FO135)/FO135*100)</f>
        <v>0</v>
      </c>
      <c r="FR135" s="1447"/>
      <c r="FS135" s="1447"/>
      <c r="FT135" s="214">
        <f>IF(FR135=0,0,(FS135-FR135)/FR135*100)</f>
        <v>0</v>
      </c>
      <c r="FU135" s="1447"/>
      <c r="FV135" s="1447"/>
      <c r="FW135" s="214">
        <f>IF(FU135=0,0,(FV135-FU135)/FU135*100)</f>
        <v>0</v>
      </c>
      <c r="FX135" s="210"/>
      <c r="FY135" s="210"/>
      <c r="FZ135" s="964" t="s">
        <v>1666</v>
      </c>
      <c r="GA135" s="964"/>
      <c r="GB135" s="964"/>
      <c r="GC135" s="965"/>
      <c r="GD135" s="965"/>
    </row>
    <row r="136" spans="1:186" s="1334" customFormat="1" ht="14.25" hidden="1" customHeight="1" x14ac:dyDescent="0.15">
      <c r="A136" s="416"/>
      <c r="B136" s="837" t="b" cm="1">
        <f t="array" ref="B136">B135</f>
        <v>0</v>
      </c>
      <c r="C136" s="416"/>
      <c r="D136" s="416"/>
      <c r="E136" s="759">
        <v>15</v>
      </c>
      <c r="F136" s="3" t="str" cm="1">
        <f t="array" aca="1" ref="F136" ca="1">OFFSET(E136,-1,1)</f>
        <v>1</v>
      </c>
      <c r="G136" s="416"/>
      <c r="H136" s="416" t="s">
        <v>498</v>
      </c>
      <c r="I136" s="416"/>
      <c r="J136" s="416"/>
      <c r="K136" s="416"/>
      <c r="L136" s="416"/>
      <c r="M136" s="416"/>
      <c r="N136" s="416"/>
      <c r="O136" s="416"/>
      <c r="P136" s="416"/>
      <c r="Q136" s="416"/>
      <c r="R136" s="416"/>
      <c r="S136" s="416"/>
      <c r="T136" s="388" t="b" cm="1">
        <f t="array" aca="1" ref="T136" ca="1">T135</f>
        <v>1</v>
      </c>
      <c r="U136" s="416"/>
      <c r="V136" s="416"/>
      <c r="W136" s="416"/>
      <c r="X136" s="2066"/>
      <c r="Y136" s="416"/>
      <c r="Z136" s="2011"/>
      <c r="AA136" s="416"/>
      <c r="AB136" s="998" t="s">
        <v>1667</v>
      </c>
      <c r="AC136" s="686" t="s">
        <v>490</v>
      </c>
      <c r="AD136" s="1002">
        <f ca="1">IF(AD134=0,0,AD135/AD134)*100</f>
        <v>100</v>
      </c>
      <c r="AE136" s="1002">
        <f ca="1">IF(AE134=0,0,AE135/AE134)*100</f>
        <v>114.02439951166612</v>
      </c>
      <c r="AF136" s="1017"/>
      <c r="AG136" s="1002">
        <f ca="1">IF(AG134=0,0,AG135/AG134)*100</f>
        <v>100</v>
      </c>
      <c r="AH136" s="1002">
        <f ca="1">IF(AH134=0,0,AH135/AH134)*100</f>
        <v>104.61990555544021</v>
      </c>
      <c r="AI136" s="1017"/>
      <c r="AJ136" s="1002">
        <f ca="1">IF(AJ134=0,0,AJ135/AJ134)*100</f>
        <v>100</v>
      </c>
      <c r="AK136" s="1002">
        <f ca="1">IF(AK134=0,0,AK135/AK134)*100</f>
        <v>104.03032635879572</v>
      </c>
      <c r="AL136" s="1017"/>
      <c r="AM136" s="1002">
        <f ca="1">IF(AM134=0,0,AM135/AM134)*100</f>
        <v>100</v>
      </c>
      <c r="AN136" s="1002">
        <f ca="1">IF(AN134=0,0,AN135/AN134)*100</f>
        <v>105.19734738437407</v>
      </c>
      <c r="AO136" s="1017"/>
      <c r="AP136" s="1002">
        <f ca="1">IF(AP134=0,0,AP135/AP134)*100</f>
        <v>100</v>
      </c>
      <c r="AQ136" s="1002">
        <f ca="1">IF(AQ134=0,0,AQ135/AQ134)*100</f>
        <v>103.45217874196547</v>
      </c>
      <c r="AR136" s="1017"/>
      <c r="AS136" s="1002">
        <f ca="1">IF(AS134=0,0,AS135/AS134)*100</f>
        <v>100</v>
      </c>
      <c r="AT136" s="1002">
        <f ca="1">IF(AT134=0,0,AT135/AT134)*100</f>
        <v>103.54793552884416</v>
      </c>
      <c r="AU136" s="1017"/>
      <c r="AV136" s="1002">
        <f ca="1">IF(AV134=0,0,AV135/AV134)*100</f>
        <v>100</v>
      </c>
      <c r="AW136" s="1002">
        <f ca="1">IF(AW134=0,0,AW135/AW134)*100</f>
        <v>102.99228008234897</v>
      </c>
      <c r="AX136" s="1017"/>
      <c r="AY136" s="1002">
        <f ca="1">IF(AY134=0,0,AY135/AY134)*100</f>
        <v>0</v>
      </c>
      <c r="AZ136" s="1002">
        <f ca="1">IF(AZ134=0,0,AZ135/AZ134)*100</f>
        <v>0</v>
      </c>
      <c r="BA136" s="1017"/>
      <c r="BB136" s="1002">
        <f ca="1">IF(BB134=0,0,BB135/BB134)*100</f>
        <v>0</v>
      </c>
      <c r="BC136" s="1002">
        <f ca="1">IF(BC134=0,0,BC135/BC134)*100</f>
        <v>0</v>
      </c>
      <c r="BD136" s="1017"/>
      <c r="BE136" s="1002">
        <f ca="1">IF(BE134=0,0,BE135/BE134)*100</f>
        <v>0</v>
      </c>
      <c r="BF136" s="1002">
        <f ca="1">IF(BF134=0,0,BF135/BF134)*100</f>
        <v>0</v>
      </c>
      <c r="BG136" s="1017"/>
      <c r="BH136" s="1002">
        <f>IF(BH134=0,0,BH135/BH134)*100</f>
        <v>0</v>
      </c>
      <c r="BI136" s="1002">
        <f>IF(BI134=0,0,BI135/BI134)*100</f>
        <v>0</v>
      </c>
      <c r="BJ136" s="1017"/>
      <c r="BK136" s="1002">
        <f>IF(BK134=0,0,BK135/BK134)*100</f>
        <v>0</v>
      </c>
      <c r="BL136" s="1002">
        <f>IF(BL134=0,0,BL135/BL134)*100</f>
        <v>0</v>
      </c>
      <c r="BM136" s="1017"/>
      <c r="BN136" s="1002">
        <f>IF(BN134=0,0,BN135/BN134)*100</f>
        <v>0</v>
      </c>
      <c r="BO136" s="1002">
        <f>IF(BO134=0,0,BO135/BO134)*100</f>
        <v>0</v>
      </c>
      <c r="BP136" s="1017"/>
      <c r="BQ136" s="1002">
        <f>IF(BQ134=0,0,BQ135/BQ134)*100</f>
        <v>0</v>
      </c>
      <c r="BR136" s="1002">
        <f>IF(BR134=0,0,BR135/BR134)*100</f>
        <v>0</v>
      </c>
      <c r="BS136" s="1017"/>
      <c r="BT136" s="1002">
        <f>IF(BT134=0,0,BT135/BT134)*100</f>
        <v>0</v>
      </c>
      <c r="BU136" s="1002">
        <f>IF(BU134=0,0,BU135/BU134)*100</f>
        <v>0</v>
      </c>
      <c r="BV136" s="1017"/>
      <c r="BW136" s="1002">
        <f>IF(BW134=0,0,BW135/BW134)*100</f>
        <v>0</v>
      </c>
      <c r="BX136" s="1002">
        <f>IF(BX134=0,0,BX135/BX134)*100</f>
        <v>0</v>
      </c>
      <c r="BY136" s="1017"/>
      <c r="BZ136" s="1002">
        <f>IF(BZ134=0,0,BZ135/BZ134)*100</f>
        <v>0</v>
      </c>
      <c r="CA136" s="1002">
        <f>IF(CA134=0,0,CA135/CA134)*100</f>
        <v>0</v>
      </c>
      <c r="CB136" s="1017"/>
      <c r="CC136" s="1002">
        <f>IF(CC134=0,0,CC135/CC134)*100</f>
        <v>0</v>
      </c>
      <c r="CD136" s="1002">
        <f>IF(CD134=0,0,CD135/CD134)*100</f>
        <v>0</v>
      </c>
      <c r="CE136" s="1017"/>
      <c r="CF136" s="1002">
        <f>IF(CF134=0,0,CF135/CF134)*100</f>
        <v>0</v>
      </c>
      <c r="CG136" s="1002">
        <f>IF(CG134=0,0,CG135/CG134)*100</f>
        <v>0</v>
      </c>
      <c r="CH136" s="1017"/>
      <c r="CI136" s="1002">
        <f>IF(CI134=0,0,CI135/CI134)*100</f>
        <v>0</v>
      </c>
      <c r="CJ136" s="1002">
        <f>IF(CJ134=0,0,CJ135/CJ134)*100</f>
        <v>0</v>
      </c>
      <c r="CK136" s="1017"/>
      <c r="CL136" s="1002">
        <f>IF(CL134=0,0,CL135/CL134)*100</f>
        <v>0</v>
      </c>
      <c r="CM136" s="1002">
        <f>IF(CM134=0,0,CM135/CM134)*100</f>
        <v>0</v>
      </c>
      <c r="CN136" s="1017"/>
      <c r="CO136" s="1002">
        <f>IF(CO134=0,0,CO135/CO134)*100</f>
        <v>0</v>
      </c>
      <c r="CP136" s="1002">
        <f>IF(CP134=0,0,CP135/CP134)*100</f>
        <v>0</v>
      </c>
      <c r="CQ136" s="1017"/>
      <c r="CR136" s="1002">
        <f>IF(CR134=0,0,CR135/CR134)*100</f>
        <v>0</v>
      </c>
      <c r="CS136" s="1002">
        <f>IF(CS134=0,0,CS135/CS134)*100</f>
        <v>0</v>
      </c>
      <c r="CT136" s="1017"/>
      <c r="CU136" s="1002">
        <f>IF(CU134=0,0,CU135/CU134)*100</f>
        <v>0</v>
      </c>
      <c r="CV136" s="1002">
        <f>IF(CV134=0,0,CV135/CV134)*100</f>
        <v>0</v>
      </c>
      <c r="CW136" s="1017"/>
      <c r="CX136" s="1002">
        <f>IF(CX134=0,0,CX135/CX134)*100</f>
        <v>0</v>
      </c>
      <c r="CY136" s="1002">
        <f>IF(CY134=0,0,CY135/CY134)*100</f>
        <v>0</v>
      </c>
      <c r="CZ136" s="1017"/>
      <c r="DA136" s="1002">
        <f>IF(DA134=0,0,DA135/DA134)*100</f>
        <v>0</v>
      </c>
      <c r="DB136" s="1002">
        <f>IF(DB134=0,0,DB135/DB134)*100</f>
        <v>0</v>
      </c>
      <c r="DC136" s="1017"/>
      <c r="DD136" s="1002">
        <f>IF(DD134=0,0,DD135/DD134)*100</f>
        <v>0</v>
      </c>
      <c r="DE136" s="1002">
        <f>IF(DE134=0,0,DE135/DE134)*100</f>
        <v>0</v>
      </c>
      <c r="DF136" s="1017"/>
      <c r="DG136" s="1002">
        <f>IF(DG134=0,0,DG135/DG134)*100</f>
        <v>0</v>
      </c>
      <c r="DH136" s="1002">
        <f>IF(DH134=0,0,DH135/DH134)*100</f>
        <v>0</v>
      </c>
      <c r="DI136" s="1017"/>
      <c r="DJ136" s="1002">
        <f>IF(DJ134=0,0,DJ135/DJ134)*100</f>
        <v>0</v>
      </c>
      <c r="DK136" s="1002">
        <f>IF(DK134=0,0,DK135/DK134)*100</f>
        <v>0</v>
      </c>
      <c r="DL136" s="1017"/>
      <c r="DM136" s="1002">
        <f>IF(DM134=0,0,DM135/DM134)*100</f>
        <v>0</v>
      </c>
      <c r="DN136" s="1002">
        <f>IF(DN134=0,0,DN135/DN134)*100</f>
        <v>0</v>
      </c>
      <c r="DO136" s="1017"/>
      <c r="DP136" s="1002">
        <f>IF(DP134=0,0,DP135/DP134)*100</f>
        <v>0</v>
      </c>
      <c r="DQ136" s="1002">
        <f>IF(DQ134=0,0,DQ135/DQ134)*100</f>
        <v>0</v>
      </c>
      <c r="DR136" s="1017"/>
      <c r="DS136" s="1002">
        <f>IF(DS134=0,0,DS135/DS134)*100</f>
        <v>0</v>
      </c>
      <c r="DT136" s="1002">
        <f>IF(DT134=0,0,DT135/DT134)*100</f>
        <v>0</v>
      </c>
      <c r="DU136" s="1017"/>
      <c r="DV136" s="1002">
        <f>IF(DV134=0,0,DV135/DV134)*100</f>
        <v>0</v>
      </c>
      <c r="DW136" s="1002">
        <f>IF(DW134=0,0,DW135/DW134)*100</f>
        <v>0</v>
      </c>
      <c r="DX136" s="1017"/>
      <c r="DY136" s="1002">
        <f>IF(DY134=0,0,DY135/DY134)*100</f>
        <v>0</v>
      </c>
      <c r="DZ136" s="1002">
        <f>IF(DZ134=0,0,DZ135/DZ134)*100</f>
        <v>0</v>
      </c>
      <c r="EA136" s="1017"/>
      <c r="EB136" s="1002">
        <f>IF(EB134=0,0,EB135/EB134)*100</f>
        <v>0</v>
      </c>
      <c r="EC136" s="1002">
        <f>IF(EC134=0,0,EC135/EC134)*100</f>
        <v>0</v>
      </c>
      <c r="ED136" s="1017"/>
      <c r="EE136" s="1002">
        <f>IF(EE134=0,0,EE135/EE134)*100</f>
        <v>0</v>
      </c>
      <c r="EF136" s="1002">
        <f>IF(EF134=0,0,EF135/EF134)*100</f>
        <v>0</v>
      </c>
      <c r="EG136" s="1017"/>
      <c r="EH136" s="1002">
        <f>IF(EH134=0,0,EH135/EH134)*100</f>
        <v>0</v>
      </c>
      <c r="EI136" s="1002">
        <f>IF(EI134=0,0,EI135/EI134)*100</f>
        <v>0</v>
      </c>
      <c r="EJ136" s="1017"/>
      <c r="EK136" s="1002">
        <f>IF(EK134=0,0,EK135/EK134)*100</f>
        <v>0</v>
      </c>
      <c r="EL136" s="1002">
        <f>IF(EL134=0,0,EL135/EL134)*100</f>
        <v>0</v>
      </c>
      <c r="EM136" s="1017"/>
      <c r="EN136" s="1002">
        <f>IF(EN134=0,0,EN135/EN134)*100</f>
        <v>0</v>
      </c>
      <c r="EO136" s="1002">
        <f>IF(EO134=0,0,EO135/EO134)*100</f>
        <v>0</v>
      </c>
      <c r="EP136" s="1017"/>
      <c r="EQ136" s="1002">
        <f>IF(EQ134=0,0,EQ135/EQ134)*100</f>
        <v>0</v>
      </c>
      <c r="ER136" s="1002">
        <f>IF(ER134=0,0,ER135/ER134)*100</f>
        <v>0</v>
      </c>
      <c r="ES136" s="1017"/>
      <c r="ET136" s="1002">
        <f>IF(ET134=0,0,ET135/ET134)*100</f>
        <v>0</v>
      </c>
      <c r="EU136" s="1002">
        <f>IF(EU134=0,0,EU135/EU134)*100</f>
        <v>0</v>
      </c>
      <c r="EV136" s="1017"/>
      <c r="EW136" s="1002">
        <f>IF(EW134=0,0,EW135/EW134)*100</f>
        <v>0</v>
      </c>
      <c r="EX136" s="1002">
        <f>IF(EX134=0,0,EX135/EX134)*100</f>
        <v>0</v>
      </c>
      <c r="EY136" s="1017"/>
      <c r="EZ136" s="1002">
        <f>IF(EZ134=0,0,EZ135/EZ134)*100</f>
        <v>0</v>
      </c>
      <c r="FA136" s="1002">
        <f>IF(FA134=0,0,FA135/FA134)*100</f>
        <v>0</v>
      </c>
      <c r="FB136" s="1017"/>
      <c r="FC136" s="1002">
        <f>IF(FC134=0,0,FC135/FC134)*100</f>
        <v>0</v>
      </c>
      <c r="FD136" s="1002">
        <f>IF(FD134=0,0,FD135/FD134)*100</f>
        <v>0</v>
      </c>
      <c r="FE136" s="1017"/>
      <c r="FF136" s="1002">
        <f>IF(FF134=0,0,FF135/FF134)*100</f>
        <v>0</v>
      </c>
      <c r="FG136" s="1002">
        <f>IF(FG134=0,0,FG135/FG134)*100</f>
        <v>0</v>
      </c>
      <c r="FH136" s="1017"/>
      <c r="FI136" s="1002">
        <f>IF(FI134=0,0,FI135/FI134)*100</f>
        <v>0</v>
      </c>
      <c r="FJ136" s="1002">
        <f>IF(FJ134=0,0,FJ135/FJ134)*100</f>
        <v>0</v>
      </c>
      <c r="FK136" s="1017"/>
      <c r="FL136" s="1002">
        <f>IF(FL134=0,0,FL135/FL134)*100</f>
        <v>0</v>
      </c>
      <c r="FM136" s="1002">
        <f>IF(FM134=0,0,FM135/FM134)*100</f>
        <v>0</v>
      </c>
      <c r="FN136" s="1017"/>
      <c r="FO136" s="1002">
        <f>IF(FO134=0,0,FO135/FO134)*100</f>
        <v>0</v>
      </c>
      <c r="FP136" s="1002">
        <f>IF(FP134=0,0,FP135/FP134)*100</f>
        <v>0</v>
      </c>
      <c r="FQ136" s="1017"/>
      <c r="FR136" s="1002">
        <f>IF(FR134=0,0,FR135/FR134)*100</f>
        <v>0</v>
      </c>
      <c r="FS136" s="1002">
        <f>IF(FS134=0,0,FS135/FS134)*100</f>
        <v>0</v>
      </c>
      <c r="FT136" s="1017"/>
      <c r="FU136" s="1002">
        <f>IF(FU134=0,0,FU135/FU134)*100</f>
        <v>0</v>
      </c>
      <c r="FV136" s="1002">
        <f>IF(FV134=0,0,FV135/FV134)*100</f>
        <v>0</v>
      </c>
      <c r="FW136" s="1018"/>
      <c r="FX136" s="210"/>
      <c r="FY136" s="1214"/>
      <c r="FZ136" s="964" t="s">
        <v>1668</v>
      </c>
      <c r="GA136" s="1216"/>
      <c r="GB136" s="1216"/>
      <c r="GC136" s="1215"/>
      <c r="GD136" s="1215"/>
    </row>
    <row r="137" spans="1:186" s="1334" customFormat="1" ht="14.25" hidden="1" customHeight="1" x14ac:dyDescent="0.15">
      <c r="A137" s="416"/>
      <c r="B137" s="837" t="b" cm="1">
        <f t="array" ref="B137">B136</f>
        <v>0</v>
      </c>
      <c r="C137" s="416"/>
      <c r="D137" s="416"/>
      <c r="E137" s="759">
        <v>15</v>
      </c>
      <c r="F137" s="3" t="str" cm="1">
        <f t="array" aca="1" ref="F137" ca="1">OFFSET(E137,-1,1)</f>
        <v>1</v>
      </c>
      <c r="G137" s="26" t="s">
        <v>1597</v>
      </c>
      <c r="H137" s="416"/>
      <c r="I137" s="416"/>
      <c r="J137" s="416"/>
      <c r="K137" s="416"/>
      <c r="L137" s="416"/>
      <c r="M137" s="416"/>
      <c r="N137" s="416"/>
      <c r="O137" s="416"/>
      <c r="P137" s="416"/>
      <c r="Q137" s="416"/>
      <c r="R137" s="416"/>
      <c r="S137" s="416"/>
      <c r="T137" s="388" t="b" cm="1">
        <f t="array" aca="1" ref="T137" ca="1">T136</f>
        <v>1</v>
      </c>
      <c r="U137" s="416"/>
      <c r="V137" s="416"/>
      <c r="W137" s="416"/>
      <c r="X137" s="2066"/>
      <c r="Y137" s="416"/>
      <c r="Z137" s="2011"/>
      <c r="AA137" s="416"/>
      <c r="AB137" s="816" t="s">
        <v>1598</v>
      </c>
      <c r="AC137" s="783" t="s">
        <v>563</v>
      </c>
      <c r="AD137" s="1443">
        <f ca="1">IF(AND(method_reg="Метод индексации",god&lt;&gt;first_year),SUMIFS(INDEX('Калькуляция (МИ корр)'!$AJ$25:$BC$459,,MATCH(AD$8,'Калькуляция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(МИ)'!$AJ$25:$BC$459,,MATCH(AD$8,'Калькуляция (МИ)'!$AJ$8:$BC$8,0)),'Калькуляция (МИ)'!$F$25:$F$459,$F137,'Калькуляция (МИ)'!$G$25:$G$459,$G137))))</f>
        <v>4334.1180000000004</v>
      </c>
      <c r="AE137" s="1443">
        <f ca="1">IF(AND(method_reg="Метод индексации",god&lt;&gt;first_year),SUMIFS(INDEX('Калькуляция (МИ корр)'!$AJ$25:$BC$459,,MATCH(AE$8,'Калькуляция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(МИ)'!$AJ$25:$BC$459,,MATCH(AE$8,'Калькуляция (МИ)'!$AJ$8:$BC$8,0)),'Калькуляция (МИ)'!$F$25:$F$459,$F137,'Калькуляция (МИ)'!$G$25:$G$459,$G137))))</f>
        <v>4336.8803100000005</v>
      </c>
      <c r="AF137" s="1005">
        <f ca="1">IF(AD137=0,0,(AE137-AD137)/AD137*100)</f>
        <v>6.3734074614490668E-2</v>
      </c>
      <c r="AG137" s="1443">
        <f ca="1">IF(AND(method_reg="Метод индексации",god&lt;&gt;first_year),SUMIFS(INDEX('Калькуляция (МИ корр)'!$AJ$25:$BC$459,,MATCH(AG$8,'Калькуляция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(МИ)'!$AJ$25:$BC$459,,MATCH(AG$8,'Калькуляция (МИ)'!$AJ$8:$BC$8,0)),'Калькуляция (МИ)'!$F$25:$F$459,$F137,'Калькуляция (МИ)'!$G$25:$G$459,$G137))))</f>
        <v>4507.9322099999999</v>
      </c>
      <c r="AH137" s="1443">
        <f ca="1">IF(AND(method_reg="Метод индексации",god&lt;&gt;first_year),SUMIFS(INDEX('Калькуляция (МИ корр)'!$AJ$25:$BC$459,,MATCH(AH$8,'Калькуляция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(МИ)'!$AJ$25:$BC$459,,MATCH(AH$8,'Калькуляция (МИ)'!$AJ$8:$BC$8,0)),'Калькуляция (МИ)'!$F$25:$F$459,$F137,'Калькуляция (МИ)'!$G$25:$G$459,$G137))))</f>
        <v>4526.2517653333998</v>
      </c>
      <c r="AI137" s="1005">
        <f ca="1">IF(AG137=0,0,(AH137-AG137)/AG137*100)</f>
        <v>0.40638488956780194</v>
      </c>
      <c r="AJ137" s="1443">
        <f ca="1">IF(AND(method_reg="Метод индексации",god&lt;&gt;first_year),SUMIFS(INDEX('Калькуляция (МИ корр)'!$AJ$25:$BC$459,,MATCH(AJ$8,'Калькуляция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(МИ)'!$AJ$25:$BC$459,,MATCH(AJ$8,'Калькуляция (МИ)'!$AJ$8:$BC$8,0)),'Калькуляция (МИ)'!$F$25:$F$459,$F137,'Калькуляция (МИ)'!$G$25:$G$459,$G137))))</f>
        <v>4507.9322099999999</v>
      </c>
      <c r="AK137" s="1443">
        <f ca="1">IF(AND(method_reg="Метод индексации",god&lt;&gt;first_year),SUMIFS(INDEX('Калькуляция (МИ корр)'!$AJ$25:$BC$459,,MATCH(AK$8,'Калькуляция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(МИ)'!$AJ$25:$BC$459,,MATCH(AK$8,'Калькуляция (МИ)'!$AJ$8:$BC$8,0)),'Калькуляция (МИ)'!$F$25:$F$459,$F137,'Калькуляция (МИ)'!$G$25:$G$459,$G137))))</f>
        <v>4526.2517653333998</v>
      </c>
      <c r="AL137" s="1005">
        <f ca="1">IF(AJ137=0,0,(AK137-AJ137)/AJ137*100)</f>
        <v>0.40638488956780194</v>
      </c>
      <c r="AM137" s="1443">
        <f ca="1">IF(AND(method_reg="Метод индексации",god&lt;&gt;first_year),SUMIFS(INDEX('Калькуляция (МИ корр)'!$AJ$25:$BC$459,,MATCH(AM$8,'Калькуляция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(МИ)'!$AJ$25:$BC$459,,MATCH(AM$8,'Калькуляция (МИ)'!$AJ$8:$BC$8,0)),'Калькуляция (МИ)'!$F$25:$F$459,$F137,'Калькуляция (МИ)'!$G$25:$G$459,$G137))))</f>
        <v>4507.9322099999999</v>
      </c>
      <c r="AN137" s="1443">
        <f ca="1">IF(AND(method_reg="Метод индексации",god&lt;&gt;first_year),SUMIFS(INDEX('Калькуляция (МИ корр)'!$AJ$25:$BC$459,,MATCH(AN$8,'Калькуляция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(МИ)'!$AJ$25:$BC$459,,MATCH(AN$8,'Калькуляция (МИ)'!$AJ$8:$BC$8,0)),'Калькуляция (МИ)'!$F$25:$F$459,$F137,'Калькуляция (МИ)'!$G$25:$G$459,$G137))))</f>
        <v>4526.2517653333998</v>
      </c>
      <c r="AO137" s="1005">
        <f ca="1">IF(AM137=0,0,(AN137-AM137)/AM137*100)</f>
        <v>0.40638488956780194</v>
      </c>
      <c r="AP137" s="1443">
        <f ca="1">IF(AND(method_reg="Метод индексации",god&lt;&gt;first_year),SUMIFS(INDEX('Калькуляция (МИ корр)'!$AJ$25:$BC$459,,MATCH(AP$8,'Калькуляция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(МИ)'!$AJ$25:$BC$459,,MATCH(AP$8,'Калькуляция (МИ)'!$AJ$8:$BC$8,0)),'Калькуляция (МИ)'!$F$25:$F$459,$F137,'Калькуляция (МИ)'!$G$25:$G$459,$G137))))</f>
        <v>4507.9322099999999</v>
      </c>
      <c r="AQ137" s="1443">
        <f ca="1">IF(AND(method_reg="Метод индексации",god&lt;&gt;first_year),SUMIFS(INDEX('Калькуляция (МИ корр)'!$AJ$25:$BC$459,,MATCH(AQ$8,'Калькуляция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(МИ)'!$AJ$25:$BC$459,,MATCH(AQ$8,'Калькуляция (МИ)'!$AJ$8:$BC$8,0)),'Калькуляция (МИ)'!$F$25:$F$459,$F137,'Калькуляция (МИ)'!$G$25:$G$459,$G137))))</f>
        <v>4526.2517653333998</v>
      </c>
      <c r="AR137" s="1005">
        <f ca="1">IF(AP137=0,0,(AQ137-AP137)/AP137*100)</f>
        <v>0.40638488956780194</v>
      </c>
      <c r="AS137" s="1443">
        <f ca="1">IF(AND(method_reg="Метод индексации",god&lt;&gt;first_year),SUMIFS(INDEX('Калькуляция (МИ корр)'!$AJ$25:$BC$459,,MATCH(AS$8,'Калькуляция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(МИ)'!$AJ$25:$BC$459,,MATCH(AS$8,'Калькуляция (МИ)'!$AJ$8:$BC$8,0)),'Калькуляция (МИ)'!$F$25:$F$459,$F137,'Калькуляция (МИ)'!$G$25:$G$459,$G137))))</f>
        <v>4507.9322099999999</v>
      </c>
      <c r="AT137" s="1443">
        <f ca="1">IF(AND(method_reg="Метод индексации",god&lt;&gt;first_year),SUMIFS(INDEX('Калькуляция (МИ корр)'!$AJ$25:$BC$459,,MATCH(AT$8,'Калькуляция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(МИ)'!$AJ$25:$BC$459,,MATCH(AT$8,'Калькуляция (МИ)'!$AJ$8:$BC$8,0)),'Калькуляция (МИ)'!$F$25:$F$459,$F137,'Калькуляция (МИ)'!$G$25:$G$459,$G137))))</f>
        <v>4526.2517653333998</v>
      </c>
      <c r="AU137" s="1005">
        <f ca="1">IF(AS137=0,0,(AT137-AS137)/AS137*100)</f>
        <v>0.40638488956780194</v>
      </c>
      <c r="AV137" s="1443">
        <f ca="1">IF(AND(method_reg="Метод индексации",god&lt;&gt;first_year),SUMIFS(INDEX('Калькуляция (МИ корр)'!$AJ$25:$BC$459,,MATCH(AV$8,'Калькуляция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(МИ)'!$AJ$25:$BC$459,,MATCH(AV$8,'Калькуляция (МИ)'!$AJ$8:$BC$8,0)),'Калькуляция (МИ)'!$F$25:$F$459,$F137,'Калькуляция (МИ)'!$G$25:$G$459,$G137))))</f>
        <v>4507.9322099999999</v>
      </c>
      <c r="AW137" s="1443">
        <f ca="1">IF(AND(method_reg="Метод индексации",god&lt;&gt;first_year),SUMIFS(INDEX('Калькуляция (МИ корр)'!$AJ$25:$BC$459,,MATCH(AW$8,'Калькуляция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(МИ)'!$AJ$25:$BC$459,,MATCH(AW$8,'Калькуляция (МИ)'!$AJ$8:$BC$8,0)),'Калькуляция (МИ)'!$F$25:$F$459,$F137,'Калькуляция (МИ)'!$G$25:$G$459,$G137))))</f>
        <v>4526.2517653333998</v>
      </c>
      <c r="AX137" s="1005">
        <f ca="1">IF(AV137=0,0,(AW137-AV137)/AV137*100)</f>
        <v>0.40638488956780194</v>
      </c>
      <c r="AY137" s="1443">
        <f ca="1">IF(AND(method_reg="Метод индексации",god&lt;&gt;first_year),SUMIFS(INDEX('Калькуляция (МИ корр)'!$AJ$25:$BC$459,,MATCH(AY$8,'Калькуляция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(МИ)'!$AJ$25:$BC$459,,MATCH(AY$8,'Калькуляция (МИ)'!$AJ$8:$BC$8,0)),'Калькуляция (МИ)'!$F$25:$F$459,$F137,'Калькуляция (МИ)'!$G$25:$G$459,$G137))))</f>
        <v>0</v>
      </c>
      <c r="AZ137" s="1443">
        <f ca="1">IF(AND(method_reg="Метод индексации",god&lt;&gt;first_year),SUMIFS(INDEX('Калькуляция (МИ корр)'!$AJ$25:$BC$459,,MATCH(AZ$8,'Калькуляция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(МИ)'!$AJ$25:$BC$459,,MATCH(AZ$8,'Калькуляция (МИ)'!$AJ$8:$BC$8,0)),'Калькуляция (МИ)'!$F$25:$F$459,$F137,'Калькуляция (МИ)'!$G$25:$G$459,$G137))))</f>
        <v>0</v>
      </c>
      <c r="BA137" s="1005">
        <f ca="1">IF(AY137=0,0,(AZ137-AY137)/AY137*100)</f>
        <v>0</v>
      </c>
      <c r="BB137" s="1443">
        <f ca="1">IF(AND(method_reg="Метод индексации",god&lt;&gt;first_year),SUMIFS(INDEX('Калькуляция (МИ корр)'!$AJ$25:$BC$459,,MATCH(BB$8,'Калькуляция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(МИ)'!$AJ$25:$BC$459,,MATCH(BB$8,'Калькуляция (МИ)'!$AJ$8:$BC$8,0)),'Калькуляция (МИ)'!$F$25:$F$459,$F137,'Калькуляция (МИ)'!$G$25:$G$459,$G137))))</f>
        <v>0</v>
      </c>
      <c r="BC137" s="1443">
        <f ca="1">IF(AND(method_reg="Метод индексации",god&lt;&gt;first_year),SUMIFS(INDEX('Калькуляция (МИ корр)'!$AJ$25:$BC$459,,MATCH(BC$8,'Калькуляция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(МИ)'!$AJ$25:$BC$459,,MATCH(BC$8,'Калькуляция (МИ)'!$AJ$8:$BC$8,0)),'Калькуляция (МИ)'!$F$25:$F$459,$F137,'Калькуляция (МИ)'!$G$25:$G$459,$G137))))</f>
        <v>0</v>
      </c>
      <c r="BD137" s="1005">
        <f ca="1">IF(BB137=0,0,(BC137-BB137)/BB137*100)</f>
        <v>0</v>
      </c>
      <c r="BE137" s="1443">
        <f ca="1">IF(AND(method_reg="Метод индексации",god&lt;&gt;first_year),SUMIFS(INDEX('Калькуляция (МИ корр)'!$AJ$25:$BC$459,,MATCH(BE$8,'Калькуляция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(МИ)'!$AJ$25:$BC$459,,MATCH(BE$8,'Калькуляция (МИ)'!$AJ$8:$BC$8,0)),'Калькуляция (МИ)'!$F$25:$F$459,$F137,'Калькуляция (МИ)'!$G$25:$G$459,$G137))))</f>
        <v>0</v>
      </c>
      <c r="BF137" s="1443">
        <f ca="1">IF(AND(method_reg="Метод индексации",god&lt;&gt;first_year),SUMIFS(INDEX('Калькуляция (МИ корр)'!$AJ$25:$BC$459,,MATCH(BF$8,'Калькуляция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(МИ)'!$AJ$25:$BC$459,,MATCH(BF$8,'Калькуляция (МИ)'!$AJ$8:$BC$8,0)),'Калькуляция (МИ)'!$F$25:$F$459,$F137,'Калькуляция (МИ)'!$G$25:$G$459,$G137))))</f>
        <v>0</v>
      </c>
      <c r="BG137" s="1005">
        <f ca="1">IF(BE137=0,0,(BF137-BE137)/BE137*100)</f>
        <v>0</v>
      </c>
      <c r="BH137" s="1443"/>
      <c r="BI137" s="1443"/>
      <c r="BJ137" s="1005">
        <f>IF(BH137=0,0,(BI137-BH137)/BH137*100)</f>
        <v>0</v>
      </c>
      <c r="BK137" s="1443"/>
      <c r="BL137" s="1443"/>
      <c r="BM137" s="1005">
        <f>IF(BK137=0,0,(BL137-BK137)/BK137*100)</f>
        <v>0</v>
      </c>
      <c r="BN137" s="1443"/>
      <c r="BO137" s="1443"/>
      <c r="BP137" s="1005">
        <f>IF(BN137=0,0,(BO137-BN137)/BN137*100)</f>
        <v>0</v>
      </c>
      <c r="BQ137" s="1443"/>
      <c r="BR137" s="1443"/>
      <c r="BS137" s="1005">
        <f>IF(BQ137=0,0,(BR137-BQ137)/BQ137*100)</f>
        <v>0</v>
      </c>
      <c r="BT137" s="1443"/>
      <c r="BU137" s="1443"/>
      <c r="BV137" s="1005">
        <f>IF(BT137=0,0,(BU137-BT137)/BT137*100)</f>
        <v>0</v>
      </c>
      <c r="BW137" s="1443"/>
      <c r="BX137" s="1443"/>
      <c r="BY137" s="1005">
        <f>IF(BW137=0,0,(BX137-BW137)/BW137*100)</f>
        <v>0</v>
      </c>
      <c r="BZ137" s="1443"/>
      <c r="CA137" s="1443"/>
      <c r="CB137" s="1005">
        <f>IF(BZ137=0,0,(CA137-BZ137)/BZ137*100)</f>
        <v>0</v>
      </c>
      <c r="CC137" s="1443"/>
      <c r="CD137" s="1443"/>
      <c r="CE137" s="1005">
        <f>IF(CC137=0,0,(CD137-CC137)/CC137*100)</f>
        <v>0</v>
      </c>
      <c r="CF137" s="1443"/>
      <c r="CG137" s="1443"/>
      <c r="CH137" s="1005">
        <f>IF(CF137=0,0,(CG137-CF137)/CF137*100)</f>
        <v>0</v>
      </c>
      <c r="CI137" s="1443"/>
      <c r="CJ137" s="1443"/>
      <c r="CK137" s="1005">
        <f>IF(CI137=0,0,(CJ137-CI137)/CI137*100)</f>
        <v>0</v>
      </c>
      <c r="CL137" s="1443"/>
      <c r="CM137" s="1443"/>
      <c r="CN137" s="1005">
        <f>IF(CL137=0,0,(CM137-CL137)/CL137*100)</f>
        <v>0</v>
      </c>
      <c r="CO137" s="1443"/>
      <c r="CP137" s="1443"/>
      <c r="CQ137" s="1005">
        <f>IF(CO137=0,0,(CP137-CO137)/CO137*100)</f>
        <v>0</v>
      </c>
      <c r="CR137" s="1443"/>
      <c r="CS137" s="1443"/>
      <c r="CT137" s="1005">
        <f>IF(CR137=0,0,(CS137-CR137)/CR137*100)</f>
        <v>0</v>
      </c>
      <c r="CU137" s="1443"/>
      <c r="CV137" s="1443"/>
      <c r="CW137" s="1005">
        <f>IF(CU137=0,0,(CV137-CU137)/CU137*100)</f>
        <v>0</v>
      </c>
      <c r="CX137" s="1443"/>
      <c r="CY137" s="1443"/>
      <c r="CZ137" s="1005">
        <f>IF(CX137=0,0,(CY137-CX137)/CX137*100)</f>
        <v>0</v>
      </c>
      <c r="DA137" s="1443"/>
      <c r="DB137" s="1443"/>
      <c r="DC137" s="1005">
        <f>IF(DA137=0,0,(DB137-DA137)/DA137*100)</f>
        <v>0</v>
      </c>
      <c r="DD137" s="1443"/>
      <c r="DE137" s="1443"/>
      <c r="DF137" s="1005">
        <f>IF(DD137=0,0,(DE137-DD137)/DD137*100)</f>
        <v>0</v>
      </c>
      <c r="DG137" s="1443"/>
      <c r="DH137" s="1443"/>
      <c r="DI137" s="1005">
        <f>IF(DG137=0,0,(DH137-DG137)/DG137*100)</f>
        <v>0</v>
      </c>
      <c r="DJ137" s="1443"/>
      <c r="DK137" s="1443"/>
      <c r="DL137" s="1005">
        <f>IF(DJ137=0,0,(DK137-DJ137)/DJ137*100)</f>
        <v>0</v>
      </c>
      <c r="DM137" s="1443"/>
      <c r="DN137" s="1443"/>
      <c r="DO137" s="1005">
        <f>IF(DM137=0,0,(DN137-DM137)/DM137*100)</f>
        <v>0</v>
      </c>
      <c r="DP137" s="1443"/>
      <c r="DQ137" s="1443"/>
      <c r="DR137" s="1005">
        <f>IF(DP137=0,0,(DQ137-DP137)/DP137*100)</f>
        <v>0</v>
      </c>
      <c r="DS137" s="1443"/>
      <c r="DT137" s="1443"/>
      <c r="DU137" s="1005">
        <f>IF(DS137=0,0,(DT137-DS137)/DS137*100)</f>
        <v>0</v>
      </c>
      <c r="DV137" s="1443"/>
      <c r="DW137" s="1443"/>
      <c r="DX137" s="1005">
        <f>IF(DV137=0,0,(DW137-DV137)/DV137*100)</f>
        <v>0</v>
      </c>
      <c r="DY137" s="1443"/>
      <c r="DZ137" s="1443"/>
      <c r="EA137" s="1005">
        <f>IF(DY137=0,0,(DZ137-DY137)/DY137*100)</f>
        <v>0</v>
      </c>
      <c r="EB137" s="1443"/>
      <c r="EC137" s="1443"/>
      <c r="ED137" s="1005">
        <f>IF(EB137=0,0,(EC137-EB137)/EB137*100)</f>
        <v>0</v>
      </c>
      <c r="EE137" s="1443"/>
      <c r="EF137" s="1443"/>
      <c r="EG137" s="1005">
        <f>IF(EE137=0,0,(EF137-EE137)/EE137*100)</f>
        <v>0</v>
      </c>
      <c r="EH137" s="1443"/>
      <c r="EI137" s="1443"/>
      <c r="EJ137" s="1005">
        <f>IF(EH137=0,0,(EI137-EH137)/EH137*100)</f>
        <v>0</v>
      </c>
      <c r="EK137" s="1443"/>
      <c r="EL137" s="1443"/>
      <c r="EM137" s="1005">
        <f>IF(EK137=0,0,(EL137-EK137)/EK137*100)</f>
        <v>0</v>
      </c>
      <c r="EN137" s="1443"/>
      <c r="EO137" s="1443"/>
      <c r="EP137" s="1005">
        <f>IF(EN137=0,0,(EO137-EN137)/EN137*100)</f>
        <v>0</v>
      </c>
      <c r="EQ137" s="1443"/>
      <c r="ER137" s="1443"/>
      <c r="ES137" s="1005">
        <f>IF(EQ137=0,0,(ER137-EQ137)/EQ137*100)</f>
        <v>0</v>
      </c>
      <c r="ET137" s="1443"/>
      <c r="EU137" s="1443"/>
      <c r="EV137" s="1005">
        <f>IF(ET137=0,0,(EU137-ET137)/ET137*100)</f>
        <v>0</v>
      </c>
      <c r="EW137" s="1443"/>
      <c r="EX137" s="1443"/>
      <c r="EY137" s="1005">
        <f>IF(EW137=0,0,(EX137-EW137)/EW137*100)</f>
        <v>0</v>
      </c>
      <c r="EZ137" s="1443"/>
      <c r="FA137" s="1443"/>
      <c r="FB137" s="1005">
        <f>IF(EZ137=0,0,(FA137-EZ137)/EZ137*100)</f>
        <v>0</v>
      </c>
      <c r="FC137" s="1443"/>
      <c r="FD137" s="1443"/>
      <c r="FE137" s="1005">
        <f>IF(FC137=0,0,(FD137-FC137)/FC137*100)</f>
        <v>0</v>
      </c>
      <c r="FF137" s="1443"/>
      <c r="FG137" s="1443"/>
      <c r="FH137" s="1005">
        <f>IF(FF137=0,0,(FG137-FF137)/FF137*100)</f>
        <v>0</v>
      </c>
      <c r="FI137" s="1443"/>
      <c r="FJ137" s="1443"/>
      <c r="FK137" s="1005">
        <f>IF(FI137=0,0,(FJ137-FI137)/FI137*100)</f>
        <v>0</v>
      </c>
      <c r="FL137" s="1443"/>
      <c r="FM137" s="1443"/>
      <c r="FN137" s="1005">
        <f>IF(FL137=0,0,(FM137-FL137)/FL137*100)</f>
        <v>0</v>
      </c>
      <c r="FO137" s="1443"/>
      <c r="FP137" s="1443"/>
      <c r="FQ137" s="1005">
        <f>IF(FO137=0,0,(FP137-FO137)/FO137*100)</f>
        <v>0</v>
      </c>
      <c r="FR137" s="1443"/>
      <c r="FS137" s="1443"/>
      <c r="FT137" s="1005">
        <f>IF(FR137=0,0,(FS137-FR137)/FR137*100)</f>
        <v>0</v>
      </c>
      <c r="FU137" s="1443"/>
      <c r="FV137" s="1443"/>
      <c r="FW137" s="1005">
        <f>IF(FU137=0,0,(FV137-FU137)/FU137*100)</f>
        <v>0</v>
      </c>
      <c r="FX137" s="210"/>
      <c r="FY137" s="1214"/>
      <c r="FZ137" s="964" t="s">
        <v>1669</v>
      </c>
      <c r="GA137" s="1216"/>
      <c r="GB137" s="1216"/>
      <c r="GC137" s="1215"/>
      <c r="GD137" s="1215"/>
    </row>
    <row r="138" spans="1:186" s="1334" customFormat="1" ht="18" hidden="1" customHeight="1" x14ac:dyDescent="0.15">
      <c r="A138" s="416"/>
      <c r="B138" s="837" t="b" cm="1">
        <f t="array" ref="B138">B137</f>
        <v>0</v>
      </c>
      <c r="C138" s="416"/>
      <c r="D138" s="416"/>
      <c r="E138" s="759">
        <v>18.75</v>
      </c>
      <c r="F138" s="3" t="str" cm="1">
        <f t="array" aca="1" ref="F138" ca="1">OFFSET(E138,-1,1)</f>
        <v>1</v>
      </c>
      <c r="G138" s="416"/>
      <c r="H138" s="416" t="s">
        <v>494</v>
      </c>
      <c r="I138" s="416" cm="1">
        <f t="array" ref="I138">AB138</f>
        <v>0</v>
      </c>
      <c r="J138" s="416"/>
      <c r="K138" s="416"/>
      <c r="L138" s="416"/>
      <c r="M138" s="416"/>
      <c r="N138" s="416"/>
      <c r="O138" s="416"/>
      <c r="P138" s="416"/>
      <c r="Q138" s="416"/>
      <c r="R138" s="416"/>
      <c r="S138" s="416"/>
      <c r="T138" s="388" t="b">
        <f ca="1">AND(F138&gt;0,Y138&gt;0)</f>
        <v>0</v>
      </c>
      <c r="U138" s="416"/>
      <c r="V138" s="416"/>
      <c r="W138" s="416" t="s">
        <v>172</v>
      </c>
      <c r="X138" s="2066"/>
      <c r="Y138" s="416">
        <v>0</v>
      </c>
      <c r="Z138" s="2011"/>
      <c r="AA138" s="586" t="s">
        <v>173</v>
      </c>
      <c r="AB138" s="1448"/>
      <c r="AC138" s="783" t="s">
        <v>1588</v>
      </c>
      <c r="AD138" s="1445"/>
      <c r="AE138" s="1446"/>
      <c r="AF138" s="1003">
        <f>IF(AD138=0,0,(AE138-AD138)/AD138*100)</f>
        <v>0</v>
      </c>
      <c r="AG138" s="1446"/>
      <c r="AH138" s="1446"/>
      <c r="AI138" s="1003">
        <f>IF(AG138=0,0,(AH138-AG138)/AG138*100)</f>
        <v>0</v>
      </c>
      <c r="AJ138" s="1446"/>
      <c r="AK138" s="1446"/>
      <c r="AL138" s="1003">
        <f>IF(AJ138=0,0,(AK138-AJ138)/AJ138*100)</f>
        <v>0</v>
      </c>
      <c r="AM138" s="1446"/>
      <c r="AN138" s="1446"/>
      <c r="AO138" s="1003">
        <f>IF(AM138=0,0,(AN138-AM138)/AM138*100)</f>
        <v>0</v>
      </c>
      <c r="AP138" s="1446"/>
      <c r="AQ138" s="1446"/>
      <c r="AR138" s="1003">
        <f>IF(AP138=0,0,(AQ138-AP138)/AP138*100)</f>
        <v>0</v>
      </c>
      <c r="AS138" s="1446"/>
      <c r="AT138" s="1446"/>
      <c r="AU138" s="1003">
        <f>IF(AS138=0,0,(AT138-AS138)/AS138*100)</f>
        <v>0</v>
      </c>
      <c r="AV138" s="1446"/>
      <c r="AW138" s="1446"/>
      <c r="AX138" s="1003">
        <f>IF(AV138=0,0,(AW138-AV138)/AV138*100)</f>
        <v>0</v>
      </c>
      <c r="AY138" s="1446"/>
      <c r="AZ138" s="1446"/>
      <c r="BA138" s="1003">
        <f>IF(AY138=0,0,(AZ138-AY138)/AY138*100)</f>
        <v>0</v>
      </c>
      <c r="BB138" s="1446"/>
      <c r="BC138" s="1446"/>
      <c r="BD138" s="1003">
        <f>IF(BB138=0,0,(BC138-BB138)/BB138*100)</f>
        <v>0</v>
      </c>
      <c r="BE138" s="1446"/>
      <c r="BF138" s="1446"/>
      <c r="BG138" s="1003">
        <f>IF(BE138=0,0,(BF138-BE138)/BE138*100)</f>
        <v>0</v>
      </c>
      <c r="BH138" s="1446"/>
      <c r="BI138" s="1446"/>
      <c r="BJ138" s="1003">
        <f>IF(BH138=0,0,(BI138-BH138)/BH138*100)</f>
        <v>0</v>
      </c>
      <c r="BK138" s="1446"/>
      <c r="BL138" s="1446"/>
      <c r="BM138" s="1003">
        <f>IF(BK138=0,0,(BL138-BK138)/BK138*100)</f>
        <v>0</v>
      </c>
      <c r="BN138" s="1446"/>
      <c r="BO138" s="1446"/>
      <c r="BP138" s="1003">
        <f>IF(BN138=0,0,(BO138-BN138)/BN138*100)</f>
        <v>0</v>
      </c>
      <c r="BQ138" s="1446"/>
      <c r="BR138" s="1446"/>
      <c r="BS138" s="1003">
        <f>IF(BQ138=0,0,(BR138-BQ138)/BQ138*100)</f>
        <v>0</v>
      </c>
      <c r="BT138" s="1446"/>
      <c r="BU138" s="1446"/>
      <c r="BV138" s="1003">
        <f>IF(BT138=0,0,(BU138-BT138)/BT138*100)</f>
        <v>0</v>
      </c>
      <c r="BW138" s="1446"/>
      <c r="BX138" s="1446"/>
      <c r="BY138" s="1003">
        <f>IF(BW138=0,0,(BX138-BW138)/BW138*100)</f>
        <v>0</v>
      </c>
      <c r="BZ138" s="1446"/>
      <c r="CA138" s="1446"/>
      <c r="CB138" s="1003">
        <f>IF(BZ138=0,0,(CA138-BZ138)/BZ138*100)</f>
        <v>0</v>
      </c>
      <c r="CC138" s="1446"/>
      <c r="CD138" s="1446"/>
      <c r="CE138" s="1003">
        <f>IF(CC138=0,0,(CD138-CC138)/CC138*100)</f>
        <v>0</v>
      </c>
      <c r="CF138" s="1446"/>
      <c r="CG138" s="1446"/>
      <c r="CH138" s="1003">
        <f>IF(CF138=0,0,(CG138-CF138)/CF138*100)</f>
        <v>0</v>
      </c>
      <c r="CI138" s="1446"/>
      <c r="CJ138" s="1446"/>
      <c r="CK138" s="1003">
        <f>IF(CI138=0,0,(CJ138-CI138)/CI138*100)</f>
        <v>0</v>
      </c>
      <c r="CL138" s="1446"/>
      <c r="CM138" s="1446"/>
      <c r="CN138" s="1003">
        <f>IF(CL138=0,0,(CM138-CL138)/CL138*100)</f>
        <v>0</v>
      </c>
      <c r="CO138" s="1446"/>
      <c r="CP138" s="1446"/>
      <c r="CQ138" s="1003">
        <f>IF(CO138=0,0,(CP138-CO138)/CO138*100)</f>
        <v>0</v>
      </c>
      <c r="CR138" s="1446"/>
      <c r="CS138" s="1446"/>
      <c r="CT138" s="1003">
        <f>IF(CR138=0,0,(CS138-CR138)/CR138*100)</f>
        <v>0</v>
      </c>
      <c r="CU138" s="1446"/>
      <c r="CV138" s="1446"/>
      <c r="CW138" s="1003">
        <f>IF(CU138=0,0,(CV138-CU138)/CU138*100)</f>
        <v>0</v>
      </c>
      <c r="CX138" s="1446"/>
      <c r="CY138" s="1446"/>
      <c r="CZ138" s="1003">
        <f>IF(CX138=0,0,(CY138-CX138)/CX138*100)</f>
        <v>0</v>
      </c>
      <c r="DA138" s="1446"/>
      <c r="DB138" s="1446"/>
      <c r="DC138" s="1003">
        <f>IF(DA138=0,0,(DB138-DA138)/DA138*100)</f>
        <v>0</v>
      </c>
      <c r="DD138" s="1446"/>
      <c r="DE138" s="1446"/>
      <c r="DF138" s="1003">
        <f>IF(DD138=0,0,(DE138-DD138)/DD138*100)</f>
        <v>0</v>
      </c>
      <c r="DG138" s="1446"/>
      <c r="DH138" s="1446"/>
      <c r="DI138" s="1003">
        <f>IF(DG138=0,0,(DH138-DG138)/DG138*100)</f>
        <v>0</v>
      </c>
      <c r="DJ138" s="1446"/>
      <c r="DK138" s="1446"/>
      <c r="DL138" s="1003">
        <f>IF(DJ138=0,0,(DK138-DJ138)/DJ138*100)</f>
        <v>0</v>
      </c>
      <c r="DM138" s="1446"/>
      <c r="DN138" s="1446"/>
      <c r="DO138" s="1003">
        <f>IF(DM138=0,0,(DN138-DM138)/DM138*100)</f>
        <v>0</v>
      </c>
      <c r="DP138" s="1446"/>
      <c r="DQ138" s="1446"/>
      <c r="DR138" s="1003">
        <f>IF(DP138=0,0,(DQ138-DP138)/DP138*100)</f>
        <v>0</v>
      </c>
      <c r="DS138" s="1446"/>
      <c r="DT138" s="1446"/>
      <c r="DU138" s="1003">
        <f>IF(DS138=0,0,(DT138-DS138)/DS138*100)</f>
        <v>0</v>
      </c>
      <c r="DV138" s="1446"/>
      <c r="DW138" s="1446"/>
      <c r="DX138" s="1003">
        <f>IF(DV138=0,0,(DW138-DV138)/DV138*100)</f>
        <v>0</v>
      </c>
      <c r="DY138" s="1446"/>
      <c r="DZ138" s="1446"/>
      <c r="EA138" s="1003">
        <f>IF(DY138=0,0,(DZ138-DY138)/DY138*100)</f>
        <v>0</v>
      </c>
      <c r="EB138" s="1446"/>
      <c r="EC138" s="1446"/>
      <c r="ED138" s="1003">
        <f>IF(EB138=0,0,(EC138-EB138)/EB138*100)</f>
        <v>0</v>
      </c>
      <c r="EE138" s="1446"/>
      <c r="EF138" s="1446"/>
      <c r="EG138" s="1003">
        <f>IF(EE138=0,0,(EF138-EE138)/EE138*100)</f>
        <v>0</v>
      </c>
      <c r="EH138" s="1446"/>
      <c r="EI138" s="1446"/>
      <c r="EJ138" s="1003">
        <f>IF(EH138=0,0,(EI138-EH138)/EH138*100)</f>
        <v>0</v>
      </c>
      <c r="EK138" s="1446"/>
      <c r="EL138" s="1446"/>
      <c r="EM138" s="1003">
        <f>IF(EK138=0,0,(EL138-EK138)/EK138*100)</f>
        <v>0</v>
      </c>
      <c r="EN138" s="1446"/>
      <c r="EO138" s="1446"/>
      <c r="EP138" s="1003">
        <f>IF(EN138=0,0,(EO138-EN138)/EN138*100)</f>
        <v>0</v>
      </c>
      <c r="EQ138" s="1446"/>
      <c r="ER138" s="1446"/>
      <c r="ES138" s="1003">
        <f>IF(EQ138=0,0,(ER138-EQ138)/EQ138*100)</f>
        <v>0</v>
      </c>
      <c r="ET138" s="1446"/>
      <c r="EU138" s="1446"/>
      <c r="EV138" s="1003">
        <f>IF(ET138=0,0,(EU138-ET138)/ET138*100)</f>
        <v>0</v>
      </c>
      <c r="EW138" s="1446"/>
      <c r="EX138" s="1446"/>
      <c r="EY138" s="1003">
        <f>IF(EW138=0,0,(EX138-EW138)/EW138*100)</f>
        <v>0</v>
      </c>
      <c r="EZ138" s="1446"/>
      <c r="FA138" s="1446"/>
      <c r="FB138" s="1003">
        <f>IF(EZ138=0,0,(FA138-EZ138)/EZ138*100)</f>
        <v>0</v>
      </c>
      <c r="FC138" s="1446"/>
      <c r="FD138" s="1446"/>
      <c r="FE138" s="1003">
        <f>IF(FC138=0,0,(FD138-FC138)/FC138*100)</f>
        <v>0</v>
      </c>
      <c r="FF138" s="1446"/>
      <c r="FG138" s="1446"/>
      <c r="FH138" s="1003">
        <f>IF(FF138=0,0,(FG138-FF138)/FF138*100)</f>
        <v>0</v>
      </c>
      <c r="FI138" s="1446"/>
      <c r="FJ138" s="1446"/>
      <c r="FK138" s="1003">
        <f>IF(FI138=0,0,(FJ138-FI138)/FI138*100)</f>
        <v>0</v>
      </c>
      <c r="FL138" s="1446"/>
      <c r="FM138" s="1446"/>
      <c r="FN138" s="1003">
        <f>IF(FL138=0,0,(FM138-FL138)/FL138*100)</f>
        <v>0</v>
      </c>
      <c r="FO138" s="1446"/>
      <c r="FP138" s="1446"/>
      <c r="FQ138" s="1003">
        <f>IF(FO138=0,0,(FP138-FO138)/FO138*100)</f>
        <v>0</v>
      </c>
      <c r="FR138" s="1446"/>
      <c r="FS138" s="1446"/>
      <c r="FT138" s="1003">
        <f>IF(FR138=0,0,(FS138-FR138)/FR138*100)</f>
        <v>0</v>
      </c>
      <c r="FU138" s="1446"/>
      <c r="FV138" s="1446"/>
      <c r="FW138" s="1003">
        <f>IF(FU138=0,0,(FV138-FU138)/FU138*100)</f>
        <v>0</v>
      </c>
      <c r="FX138" s="210"/>
      <c r="FY138" s="1214"/>
      <c r="FZ138" s="964" t="s">
        <v>1670</v>
      </c>
      <c r="GA138" s="924" t="s">
        <v>1671</v>
      </c>
      <c r="GB138" s="924" cm="1">
        <f t="array" ref="GB138">AB138</f>
        <v>0</v>
      </c>
      <c r="GC138" s="1215"/>
      <c r="GD138" s="556" t="b">
        <v>1</v>
      </c>
    </row>
    <row r="139" spans="1:186" s="1334" customFormat="1" ht="14.25" hidden="1" customHeight="1" x14ac:dyDescent="0.15">
      <c r="A139" s="1214"/>
      <c r="B139" s="837" t="b" cm="1">
        <f t="array" ref="B139">B138</f>
        <v>0</v>
      </c>
      <c r="C139" s="1214"/>
      <c r="D139" s="416"/>
      <c r="E139" s="759">
        <v>15</v>
      </c>
      <c r="F139" s="3" t="str" cm="1">
        <f t="array" aca="1" ref="F139" ca="1">OFFSET(E139,-1,1)</f>
        <v>1</v>
      </c>
      <c r="G139" s="416"/>
      <c r="H139" s="1214"/>
      <c r="I139" s="17" t="s">
        <v>1672</v>
      </c>
      <c r="J139" s="1214"/>
      <c r="K139" s="1214"/>
      <c r="L139" s="1214"/>
      <c r="M139" s="1214"/>
      <c r="N139" s="1214"/>
      <c r="O139" s="1214"/>
      <c r="P139" s="1214"/>
      <c r="Q139" s="1214"/>
      <c r="R139" s="1214"/>
      <c r="S139" s="1214"/>
      <c r="T139" s="388" t="b">
        <f ca="1">F139&gt;0</f>
        <v>1</v>
      </c>
      <c r="U139" s="1214"/>
      <c r="V139" s="1214"/>
      <c r="W139" s="677" t="s">
        <v>1618</v>
      </c>
      <c r="X139" s="2066"/>
      <c r="Y139" s="1214"/>
      <c r="Z139" s="2011"/>
      <c r="AA139" s="1214"/>
      <c r="AB139" s="178" t="s">
        <v>176</v>
      </c>
      <c r="AC139" s="182"/>
      <c r="AD139" s="180"/>
      <c r="AE139" s="180"/>
      <c r="AF139" s="180"/>
      <c r="AG139" s="180"/>
      <c r="AH139" s="180"/>
      <c r="AI139" s="180"/>
      <c r="AJ139" s="180"/>
      <c r="AK139" s="180"/>
      <c r="AL139" s="180"/>
      <c r="AM139" s="180"/>
      <c r="AN139" s="180"/>
      <c r="AO139" s="180"/>
      <c r="AP139" s="180"/>
      <c r="AQ139" s="180"/>
      <c r="AR139" s="180"/>
      <c r="AS139" s="180"/>
      <c r="AT139" s="180"/>
      <c r="AU139" s="180"/>
      <c r="AV139" s="180"/>
      <c r="AW139" s="180"/>
      <c r="AX139" s="180"/>
      <c r="AY139" s="180"/>
      <c r="AZ139" s="180"/>
      <c r="BA139" s="180"/>
      <c r="BB139" s="180"/>
      <c r="BC139" s="180"/>
      <c r="BD139" s="180"/>
      <c r="BE139" s="180"/>
      <c r="BF139" s="180"/>
      <c r="BG139" s="180"/>
      <c r="BH139" s="180"/>
      <c r="BI139" s="180"/>
      <c r="BJ139" s="180"/>
      <c r="BK139" s="180"/>
      <c r="BL139" s="180"/>
      <c r="BM139" s="180"/>
      <c r="BN139" s="180"/>
      <c r="BO139" s="180"/>
      <c r="BP139" s="180"/>
      <c r="BQ139" s="180"/>
      <c r="BR139" s="180"/>
      <c r="BS139" s="180"/>
      <c r="BT139" s="180"/>
      <c r="BU139" s="180"/>
      <c r="BV139" s="180"/>
      <c r="BW139" s="180"/>
      <c r="BX139" s="180"/>
      <c r="BY139" s="180"/>
      <c r="BZ139" s="180"/>
      <c r="CA139" s="180"/>
      <c r="CB139" s="180"/>
      <c r="CC139" s="180"/>
      <c r="CD139" s="180"/>
      <c r="CE139" s="180"/>
      <c r="CF139" s="180"/>
      <c r="CG139" s="180"/>
      <c r="CH139" s="180"/>
      <c r="CI139" s="180"/>
      <c r="CJ139" s="180"/>
      <c r="CK139" s="180"/>
      <c r="CL139" s="180"/>
      <c r="CM139" s="180"/>
      <c r="CN139" s="180"/>
      <c r="CO139" s="180"/>
      <c r="CP139" s="180"/>
      <c r="CQ139" s="180"/>
      <c r="CR139" s="180"/>
      <c r="CS139" s="180"/>
      <c r="CT139" s="180"/>
      <c r="CU139" s="180"/>
      <c r="CV139" s="180"/>
      <c r="CW139" s="180"/>
      <c r="CX139" s="180"/>
      <c r="CY139" s="180"/>
      <c r="CZ139" s="180"/>
      <c r="DA139" s="180"/>
      <c r="DB139" s="180"/>
      <c r="DC139" s="180"/>
      <c r="DD139" s="180"/>
      <c r="DE139" s="180"/>
      <c r="DF139" s="180"/>
      <c r="DG139" s="180"/>
      <c r="DH139" s="180"/>
      <c r="DI139" s="180"/>
      <c r="DJ139" s="180"/>
      <c r="DK139" s="180"/>
      <c r="DL139" s="180"/>
      <c r="DM139" s="180"/>
      <c r="DN139" s="180"/>
      <c r="DO139" s="180"/>
      <c r="DP139" s="180"/>
      <c r="DQ139" s="180"/>
      <c r="DR139" s="180"/>
      <c r="DS139" s="180"/>
      <c r="DT139" s="180"/>
      <c r="DU139" s="180"/>
      <c r="DV139" s="180"/>
      <c r="DW139" s="180"/>
      <c r="DX139" s="180"/>
      <c r="DY139" s="180"/>
      <c r="DZ139" s="180"/>
      <c r="EA139" s="180"/>
      <c r="EB139" s="180"/>
      <c r="EC139" s="180"/>
      <c r="ED139" s="180"/>
      <c r="EE139" s="180"/>
      <c r="EF139" s="180"/>
      <c r="EG139" s="180"/>
      <c r="EH139" s="180"/>
      <c r="EI139" s="180"/>
      <c r="EJ139" s="180"/>
      <c r="EK139" s="180"/>
      <c r="EL139" s="180"/>
      <c r="EM139" s="180"/>
      <c r="EN139" s="180"/>
      <c r="EO139" s="180"/>
      <c r="EP139" s="180"/>
      <c r="EQ139" s="180"/>
      <c r="ER139" s="180"/>
      <c r="ES139" s="180"/>
      <c r="ET139" s="180"/>
      <c r="EU139" s="180"/>
      <c r="EV139" s="180"/>
      <c r="EW139" s="180"/>
      <c r="EX139" s="180"/>
      <c r="EY139" s="180"/>
      <c r="EZ139" s="180"/>
      <c r="FA139" s="180"/>
      <c r="FB139" s="180"/>
      <c r="FC139" s="180"/>
      <c r="FD139" s="180"/>
      <c r="FE139" s="180"/>
      <c r="FF139" s="180"/>
      <c r="FG139" s="180"/>
      <c r="FH139" s="180"/>
      <c r="FI139" s="180"/>
      <c r="FJ139" s="180"/>
      <c r="FK139" s="180"/>
      <c r="FL139" s="180"/>
      <c r="FM139" s="180"/>
      <c r="FN139" s="180"/>
      <c r="FO139" s="180"/>
      <c r="FP139" s="180"/>
      <c r="FQ139" s="180"/>
      <c r="FR139" s="180"/>
      <c r="FS139" s="180"/>
      <c r="FT139" s="180"/>
      <c r="FU139" s="180"/>
      <c r="FV139" s="180"/>
      <c r="FW139" s="181"/>
      <c r="FX139" s="1214"/>
      <c r="FY139" s="1214"/>
      <c r="FZ139" s="1216"/>
      <c r="GA139" s="1216"/>
      <c r="GB139" s="1216"/>
      <c r="GC139" s="556" t="s">
        <v>1671</v>
      </c>
      <c r="GD139" s="1215"/>
    </row>
    <row r="140" spans="1:186" s="1334" customFormat="1" ht="10.5" customHeight="1" x14ac:dyDescent="0.15">
      <c r="A140" s="17"/>
      <c r="B140" s="819"/>
      <c r="C140" s="17"/>
      <c r="D140" s="416"/>
      <c r="E140" s="759">
        <v>11.5</v>
      </c>
      <c r="F140" s="1247"/>
      <c r="G140" s="416"/>
      <c r="H140" s="17"/>
      <c r="I140" s="17"/>
      <c r="J140" s="17"/>
      <c r="K140" s="17"/>
      <c r="L140" s="17"/>
      <c r="M140" s="17"/>
      <c r="N140" s="17"/>
      <c r="O140" s="17"/>
      <c r="P140" s="17"/>
      <c r="Q140" s="17"/>
      <c r="R140" s="17"/>
      <c r="S140" s="17"/>
      <c r="T140" s="388" t="b" cm="1">
        <f t="array" aca="1" ref="T140" ca="1">T139</f>
        <v>1</v>
      </c>
      <c r="U140" s="17"/>
      <c r="V140" s="17"/>
      <c r="W140" s="677"/>
      <c r="X140" s="2066"/>
      <c r="Y140" s="17"/>
      <c r="Z140" s="2011"/>
      <c r="AA140" s="17"/>
      <c r="AB140" s="126"/>
      <c r="AC140" s="1086"/>
      <c r="AD140" s="1214"/>
      <c r="AE140" s="1214"/>
      <c r="AF140" s="1214"/>
      <c r="AG140" s="1214"/>
      <c r="AH140" s="1214"/>
      <c r="AI140" s="1214"/>
      <c r="AJ140" s="1214"/>
      <c r="AK140" s="1214"/>
      <c r="AL140" s="1214"/>
      <c r="AM140" s="1214"/>
      <c r="AN140" s="1214"/>
      <c r="AO140" s="1214"/>
      <c r="AP140" s="1214"/>
      <c r="AQ140" s="1214"/>
      <c r="AR140" s="1214"/>
      <c r="AS140" s="1214"/>
      <c r="AT140" s="1214"/>
      <c r="AU140" s="1214"/>
      <c r="AV140" s="1214"/>
      <c r="AW140" s="1214"/>
      <c r="AX140" s="1214"/>
      <c r="AY140" s="1214"/>
      <c r="AZ140" s="1214"/>
      <c r="BA140" s="1214"/>
      <c r="BB140" s="1214"/>
      <c r="BC140" s="1214"/>
      <c r="BD140" s="1214"/>
      <c r="BE140" s="1214"/>
      <c r="BF140" s="1214"/>
      <c r="BG140" s="1214"/>
      <c r="BH140" s="1214"/>
      <c r="BI140" s="1214"/>
      <c r="BJ140" s="1214"/>
      <c r="BK140" s="1214"/>
      <c r="BL140" s="1214"/>
      <c r="BM140" s="1214"/>
      <c r="BN140" s="1214"/>
      <c r="BO140" s="1214"/>
      <c r="BP140" s="1214"/>
      <c r="BQ140" s="1214"/>
      <c r="BR140" s="1214"/>
      <c r="BS140" s="1214"/>
      <c r="BT140" s="1214"/>
      <c r="BU140" s="1214"/>
      <c r="BV140" s="1214"/>
      <c r="BW140" s="1214"/>
      <c r="BX140" s="1214"/>
      <c r="BY140" s="1214"/>
      <c r="BZ140" s="1214"/>
      <c r="CA140" s="1214"/>
      <c r="CB140" s="1214"/>
      <c r="CC140" s="1214"/>
      <c r="CD140" s="1214"/>
      <c r="CE140" s="1214"/>
      <c r="CF140" s="1214"/>
      <c r="CG140" s="1214"/>
      <c r="CH140" s="1214"/>
      <c r="CI140" s="1214"/>
      <c r="CJ140" s="1214"/>
      <c r="CK140" s="1214"/>
      <c r="CL140" s="1214"/>
      <c r="CM140" s="1214"/>
      <c r="CN140" s="1214"/>
      <c r="CO140" s="1214"/>
      <c r="CP140" s="1214"/>
      <c r="CQ140" s="1214"/>
      <c r="CR140" s="1214"/>
      <c r="CS140" s="1214"/>
      <c r="CT140" s="1214"/>
      <c r="CU140" s="1214"/>
      <c r="CV140" s="1214"/>
      <c r="CW140" s="1214"/>
      <c r="CX140" s="1214"/>
      <c r="CY140" s="1214"/>
      <c r="CZ140" s="1214"/>
      <c r="DA140" s="1214"/>
      <c r="DB140" s="1214"/>
      <c r="DC140" s="1214"/>
      <c r="DD140" s="1214"/>
      <c r="DE140" s="1214"/>
      <c r="DF140" s="1214"/>
      <c r="DG140" s="1214"/>
      <c r="DH140" s="1214"/>
      <c r="DI140" s="1214"/>
      <c r="DJ140" s="1214"/>
      <c r="DK140" s="1214"/>
      <c r="DL140" s="1214"/>
      <c r="DM140" s="1214"/>
      <c r="DN140" s="1214"/>
      <c r="DO140" s="1214"/>
      <c r="DP140" s="1214"/>
      <c r="DQ140" s="1214"/>
      <c r="DR140" s="1214"/>
      <c r="DS140" s="1214"/>
      <c r="DT140" s="1214"/>
      <c r="DU140" s="1214"/>
      <c r="DV140" s="1214"/>
      <c r="DW140" s="1214"/>
      <c r="DX140" s="1214"/>
      <c r="DY140" s="1214"/>
      <c r="DZ140" s="1214"/>
      <c r="EA140" s="1214"/>
      <c r="EB140" s="1214"/>
      <c r="EC140" s="1214"/>
      <c r="ED140" s="1214"/>
      <c r="EE140" s="1214"/>
      <c r="EF140" s="1214"/>
      <c r="EG140" s="1214"/>
      <c r="EH140" s="1214"/>
      <c r="EI140" s="1214"/>
      <c r="EJ140" s="1214"/>
      <c r="EK140" s="1214"/>
      <c r="EL140" s="1214"/>
      <c r="EM140" s="1214"/>
      <c r="EN140" s="1214"/>
      <c r="EO140" s="1214"/>
      <c r="EP140" s="1214"/>
      <c r="EQ140" s="1214"/>
      <c r="ER140" s="1214"/>
      <c r="ES140" s="1214"/>
      <c r="ET140" s="1214"/>
      <c r="EU140" s="1214"/>
      <c r="EV140" s="1214"/>
      <c r="EW140" s="1214"/>
      <c r="EX140" s="1214"/>
      <c r="EY140" s="1214"/>
      <c r="EZ140" s="1214"/>
      <c r="FA140" s="1214"/>
      <c r="FB140" s="1214"/>
      <c r="FC140" s="1214"/>
      <c r="FD140" s="1214"/>
      <c r="FE140" s="1214"/>
      <c r="FF140" s="1214"/>
      <c r="FG140" s="1214"/>
      <c r="FH140" s="1214"/>
      <c r="FI140" s="1214"/>
      <c r="FJ140" s="1214"/>
      <c r="FK140" s="1214"/>
      <c r="FL140" s="1214"/>
      <c r="FM140" s="1214"/>
      <c r="FN140" s="1214"/>
      <c r="FO140" s="1214"/>
      <c r="FP140" s="1214"/>
      <c r="FQ140" s="1214"/>
      <c r="FR140" s="1214"/>
      <c r="FS140" s="1214"/>
      <c r="FT140" s="1214"/>
      <c r="FU140" s="1214"/>
      <c r="FV140" s="1214"/>
      <c r="FW140" s="1214"/>
      <c r="FX140" s="1214"/>
      <c r="FY140" s="1214"/>
      <c r="FZ140" s="915"/>
      <c r="GA140" s="915"/>
      <c r="GB140" s="910"/>
      <c r="GC140" s="599"/>
      <c r="GD140" s="599"/>
    </row>
    <row r="141" spans="1:186" s="1334" customFormat="1" ht="14.25" customHeight="1" x14ac:dyDescent="0.15">
      <c r="A141" s="416"/>
      <c r="B141" s="790"/>
      <c r="C141" s="416"/>
      <c r="D141" s="416"/>
      <c r="E141" s="759">
        <v>15</v>
      </c>
      <c r="F141" s="417" t="str" cm="1">
        <f t="array" ref="F141">X141</f>
        <v>2</v>
      </c>
      <c r="G141" s="416" t="str" cm="1">
        <f t="array" ref="G141">INDEX('Общие сведения'!$AK$185:$AK$228,MATCH($X141,'Общие сведения'!$Z$185:$Z$228,0))</f>
        <v>одноставочный</v>
      </c>
      <c r="H141" s="416"/>
      <c r="I141" s="416"/>
      <c r="J141" s="416"/>
      <c r="K141" s="416"/>
      <c r="L141" s="416"/>
      <c r="M141" s="416"/>
      <c r="N141" s="416"/>
      <c r="O141" s="416"/>
      <c r="P141" s="416"/>
      <c r="Q141" s="416" t="str" cm="1">
        <f t="array" ref="Q141">INDEX('Общие сведения'!$AE$185:$AE$228,MATCH($X141,'Общие сведения'!$Z$185:$Z$228,0))</f>
        <v>Водоотведение</v>
      </c>
      <c r="R141" s="407" t="str" cm="1">
        <f t="array" ref="R141">INDEX('Общие сведения'!$AK$185:$AK$228,MATCH($X141,'Общие сведения'!$Z$185:$Z$228,0))</f>
        <v>одноставочный</v>
      </c>
      <c r="S141" s="416" t="b" cm="1">
        <f t="array" ref="S141">INDEX('Общие сведения'!$AN$185:$AN$228,MATCH($X141,'Общие сведения'!$Z$185:$Z$228,0))</f>
        <v>0</v>
      </c>
      <c r="T141" s="388" t="b">
        <f>X141&gt;0</f>
        <v>1</v>
      </c>
      <c r="U141" s="416"/>
      <c r="V141" s="416" t="str" cm="1">
        <f t="array" ref="V141">'Корректировка НВВ'!$AB$129</f>
        <v>Тариф 2 (Водоотведение) - тариф на водоотведение</v>
      </c>
      <c r="W141" s="416"/>
      <c r="X141" s="2066" t="s">
        <v>289</v>
      </c>
      <c r="Y141" s="416"/>
      <c r="Z141" s="2011"/>
      <c r="AA141" s="416"/>
      <c r="AB141" s="2114" t="s">
        <v>21</v>
      </c>
      <c r="AC141" s="2115"/>
      <c r="AD141" s="809" t="str" cm="1">
        <f t="array" ref="AD141">'Корректировка НВВ'!$AB$129</f>
        <v>Тариф 2 (Водоотведение) - тариф на водоотведение</v>
      </c>
      <c r="AE141" s="204"/>
      <c r="AF141" s="204"/>
      <c r="AG141" s="204"/>
      <c r="AH141" s="204"/>
      <c r="AI141" s="204"/>
      <c r="AJ141" s="204"/>
      <c r="AK141" s="204"/>
      <c r="AL141" s="204"/>
      <c r="AM141" s="204"/>
      <c r="AN141" s="204"/>
      <c r="AO141" s="204"/>
      <c r="AP141" s="204"/>
      <c r="AQ141" s="204"/>
      <c r="AR141" s="204"/>
      <c r="AS141" s="204"/>
      <c r="AT141" s="204"/>
      <c r="AU141" s="204"/>
      <c r="AV141" s="204"/>
      <c r="AW141" s="204"/>
      <c r="AX141" s="204"/>
      <c r="AY141" s="204"/>
      <c r="AZ141" s="204"/>
      <c r="BA141" s="204"/>
      <c r="BB141" s="204"/>
      <c r="BC141" s="204"/>
      <c r="BD141" s="204"/>
      <c r="BE141" s="204"/>
      <c r="BF141" s="204"/>
      <c r="BG141" s="204"/>
      <c r="BH141" s="204"/>
      <c r="BI141" s="204"/>
      <c r="BJ141" s="204"/>
      <c r="BK141" s="204"/>
      <c r="BL141" s="204"/>
      <c r="BM141" s="204"/>
      <c r="BN141" s="204"/>
      <c r="BO141" s="204"/>
      <c r="BP141" s="204"/>
      <c r="BQ141" s="204"/>
      <c r="BR141" s="204"/>
      <c r="BS141" s="204"/>
      <c r="BT141" s="204"/>
      <c r="BU141" s="204"/>
      <c r="BV141" s="204"/>
      <c r="BW141" s="204"/>
      <c r="BX141" s="204"/>
      <c r="BY141" s="204"/>
      <c r="BZ141" s="204"/>
      <c r="CA141" s="204"/>
      <c r="CB141" s="204"/>
      <c r="CC141" s="204"/>
      <c r="CD141" s="204"/>
      <c r="CE141" s="204"/>
      <c r="CF141" s="204"/>
      <c r="CG141" s="204"/>
      <c r="CH141" s="204"/>
      <c r="CI141" s="204"/>
      <c r="CJ141" s="204"/>
      <c r="CK141" s="204"/>
      <c r="CL141" s="204"/>
      <c r="CM141" s="204"/>
      <c r="CN141" s="204"/>
      <c r="CO141" s="204"/>
      <c r="CP141" s="204"/>
      <c r="CQ141" s="204"/>
      <c r="CR141" s="204"/>
      <c r="CS141" s="204"/>
      <c r="CT141" s="204"/>
      <c r="CU141" s="204"/>
      <c r="CV141" s="204"/>
      <c r="CW141" s="204"/>
      <c r="CX141" s="204"/>
      <c r="CY141" s="204"/>
      <c r="CZ141" s="204"/>
      <c r="DA141" s="204"/>
      <c r="DB141" s="204"/>
      <c r="DC141" s="204"/>
      <c r="DD141" s="204"/>
      <c r="DE141" s="204"/>
      <c r="DF141" s="204"/>
      <c r="DG141" s="204"/>
      <c r="DH141" s="204"/>
      <c r="DI141" s="204"/>
      <c r="DJ141" s="204"/>
      <c r="DK141" s="204"/>
      <c r="DL141" s="204"/>
      <c r="DM141" s="204"/>
      <c r="DN141" s="204"/>
      <c r="DO141" s="204"/>
      <c r="DP141" s="204"/>
      <c r="DQ141" s="204"/>
      <c r="DR141" s="204"/>
      <c r="DS141" s="204"/>
      <c r="DT141" s="204"/>
      <c r="DU141" s="204"/>
      <c r="DV141" s="204"/>
      <c r="DW141" s="204"/>
      <c r="DX141" s="204"/>
      <c r="DY141" s="204"/>
      <c r="DZ141" s="204"/>
      <c r="EA141" s="204"/>
      <c r="EB141" s="204"/>
      <c r="EC141" s="204"/>
      <c r="ED141" s="204"/>
      <c r="EE141" s="204"/>
      <c r="EF141" s="204"/>
      <c r="EG141" s="204"/>
      <c r="EH141" s="204"/>
      <c r="EI141" s="204"/>
      <c r="EJ141" s="204"/>
      <c r="EK141" s="204"/>
      <c r="EL141" s="204"/>
      <c r="EM141" s="204"/>
      <c r="EN141" s="204"/>
      <c r="EO141" s="204"/>
      <c r="EP141" s="204"/>
      <c r="EQ141" s="204"/>
      <c r="ER141" s="204"/>
      <c r="ES141" s="204"/>
      <c r="ET141" s="204"/>
      <c r="EU141" s="204"/>
      <c r="EV141" s="204"/>
      <c r="EW141" s="204"/>
      <c r="EX141" s="204"/>
      <c r="EY141" s="204"/>
      <c r="EZ141" s="204"/>
      <c r="FA141" s="204"/>
      <c r="FB141" s="204"/>
      <c r="FC141" s="204"/>
      <c r="FD141" s="204"/>
      <c r="FE141" s="204"/>
      <c r="FF141" s="204"/>
      <c r="FG141" s="204"/>
      <c r="FH141" s="204"/>
      <c r="FI141" s="204"/>
      <c r="FJ141" s="204"/>
      <c r="FK141" s="204"/>
      <c r="FL141" s="204"/>
      <c r="FM141" s="204"/>
      <c r="FN141" s="204"/>
      <c r="FO141" s="204"/>
      <c r="FP141" s="204"/>
      <c r="FQ141" s="204"/>
      <c r="FR141" s="204"/>
      <c r="FS141" s="204"/>
      <c r="FT141" s="204"/>
      <c r="FU141" s="204"/>
      <c r="FV141" s="204"/>
      <c r="FW141" s="205"/>
      <c r="FX141" s="1214"/>
      <c r="FY141" s="1214"/>
      <c r="FZ141" s="1216"/>
      <c r="GA141" s="1216"/>
      <c r="GB141" s="1216"/>
      <c r="GC141" s="1215"/>
      <c r="GD141" s="1215"/>
    </row>
    <row r="142" spans="1:186" s="1334" customFormat="1" ht="14.25" customHeight="1" x14ac:dyDescent="0.15">
      <c r="A142" s="416"/>
      <c r="B142" s="790"/>
      <c r="C142" s="416"/>
      <c r="D142" s="416"/>
      <c r="E142" s="759">
        <v>15</v>
      </c>
      <c r="F142" s="3" t="str" cm="1">
        <f t="array" aca="1" ref="F142" ca="1">OFFSET(E142,-1,1)</f>
        <v>2</v>
      </c>
      <c r="G142" s="416"/>
      <c r="H142" s="416"/>
      <c r="I142" s="416"/>
      <c r="J142" s="416"/>
      <c r="K142" s="416"/>
      <c r="L142" s="416"/>
      <c r="M142" s="416"/>
      <c r="N142" s="416"/>
      <c r="O142" s="416"/>
      <c r="P142" s="416"/>
      <c r="Q142" s="416"/>
      <c r="R142" s="407"/>
      <c r="S142" s="407"/>
      <c r="T142" s="388" t="b" cm="1">
        <f t="array" ref="T142">T141</f>
        <v>1</v>
      </c>
      <c r="U142" s="416"/>
      <c r="V142" s="416"/>
      <c r="W142" s="416"/>
      <c r="X142" s="2066"/>
      <c r="Y142" s="416"/>
      <c r="Z142" s="2011"/>
      <c r="AA142" s="416"/>
      <c r="AB142" s="1967" t="str">
        <f>"Вид "&amp;IF(ISERROR(SEARCH("Водоснабжение",AD141)),"сточных вод","воды")</f>
        <v>Вид сточных вод</v>
      </c>
      <c r="AC142" s="1969"/>
      <c r="AD142" s="809" t="str" cm="1">
        <f t="array" ref="AD142">INDEX('Общие сведения'!$AH$185:$AH$228,MATCH($X141,'Общие сведения'!$Z$185:$Z$228,0))</f>
        <v>без дифференциации</v>
      </c>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c r="BI142" s="206"/>
      <c r="BJ142" s="206"/>
      <c r="BK142" s="206"/>
      <c r="BL142" s="206"/>
      <c r="BM142" s="206"/>
      <c r="BN142" s="206"/>
      <c r="BO142" s="206"/>
      <c r="BP142" s="206"/>
      <c r="BQ142" s="206"/>
      <c r="BR142" s="206"/>
      <c r="BS142" s="206"/>
      <c r="BT142" s="206"/>
      <c r="BU142" s="206"/>
      <c r="BV142" s="206"/>
      <c r="BW142" s="206"/>
      <c r="BX142" s="206"/>
      <c r="BY142" s="206"/>
      <c r="BZ142" s="206"/>
      <c r="CA142" s="206"/>
      <c r="CB142" s="206"/>
      <c r="CC142" s="206"/>
      <c r="CD142" s="206"/>
      <c r="CE142" s="206"/>
      <c r="CF142" s="206"/>
      <c r="CG142" s="206"/>
      <c r="CH142" s="206"/>
      <c r="CI142" s="206"/>
      <c r="CJ142" s="206"/>
      <c r="CK142" s="206"/>
      <c r="CL142" s="206"/>
      <c r="CM142" s="206"/>
      <c r="CN142" s="206"/>
      <c r="CO142" s="206"/>
      <c r="CP142" s="206"/>
      <c r="CQ142" s="206"/>
      <c r="CR142" s="206"/>
      <c r="CS142" s="206"/>
      <c r="CT142" s="206"/>
      <c r="CU142" s="206"/>
      <c r="CV142" s="206"/>
      <c r="CW142" s="206"/>
      <c r="CX142" s="206"/>
      <c r="CY142" s="206"/>
      <c r="CZ142" s="206"/>
      <c r="DA142" s="206"/>
      <c r="DB142" s="206"/>
      <c r="DC142" s="206"/>
      <c r="DD142" s="206"/>
      <c r="DE142" s="206"/>
      <c r="DF142" s="206"/>
      <c r="DG142" s="206"/>
      <c r="DH142" s="206"/>
      <c r="DI142" s="206"/>
      <c r="DJ142" s="206"/>
      <c r="DK142" s="206"/>
      <c r="DL142" s="206"/>
      <c r="DM142" s="206"/>
      <c r="DN142" s="206"/>
      <c r="DO142" s="206"/>
      <c r="DP142" s="206"/>
      <c r="DQ142" s="206"/>
      <c r="DR142" s="206"/>
      <c r="DS142" s="206"/>
      <c r="DT142" s="206"/>
      <c r="DU142" s="206"/>
      <c r="DV142" s="206"/>
      <c r="DW142" s="206"/>
      <c r="DX142" s="206"/>
      <c r="DY142" s="206"/>
      <c r="DZ142" s="206"/>
      <c r="EA142" s="206"/>
      <c r="EB142" s="206"/>
      <c r="EC142" s="206"/>
      <c r="ED142" s="206"/>
      <c r="EE142" s="206"/>
      <c r="EF142" s="206"/>
      <c r="EG142" s="206"/>
      <c r="EH142" s="206"/>
      <c r="EI142" s="206"/>
      <c r="EJ142" s="206"/>
      <c r="EK142" s="206"/>
      <c r="EL142" s="206"/>
      <c r="EM142" s="206"/>
      <c r="EN142" s="206"/>
      <c r="EO142" s="206"/>
      <c r="EP142" s="206"/>
      <c r="EQ142" s="206"/>
      <c r="ER142" s="206"/>
      <c r="ES142" s="206"/>
      <c r="ET142" s="206"/>
      <c r="EU142" s="206"/>
      <c r="EV142" s="206"/>
      <c r="EW142" s="206"/>
      <c r="EX142" s="206"/>
      <c r="EY142" s="206"/>
      <c r="EZ142" s="206"/>
      <c r="FA142" s="206"/>
      <c r="FB142" s="206"/>
      <c r="FC142" s="206"/>
      <c r="FD142" s="206"/>
      <c r="FE142" s="206"/>
      <c r="FF142" s="206"/>
      <c r="FG142" s="206"/>
      <c r="FH142" s="206"/>
      <c r="FI142" s="206"/>
      <c r="FJ142" s="206"/>
      <c r="FK142" s="206"/>
      <c r="FL142" s="206"/>
      <c r="FM142" s="206"/>
      <c r="FN142" s="206"/>
      <c r="FO142" s="206"/>
      <c r="FP142" s="206"/>
      <c r="FQ142" s="206"/>
      <c r="FR142" s="206"/>
      <c r="FS142" s="206"/>
      <c r="FT142" s="206"/>
      <c r="FU142" s="206"/>
      <c r="FV142" s="206"/>
      <c r="FW142" s="207"/>
      <c r="FX142" s="1214"/>
      <c r="FY142" s="1214"/>
      <c r="FZ142" s="1216"/>
      <c r="GA142" s="1216"/>
      <c r="GB142" s="1216"/>
      <c r="GC142" s="1215"/>
      <c r="GD142" s="1215"/>
    </row>
    <row r="143" spans="1:186" s="1334" customFormat="1" ht="14.25" customHeight="1" x14ac:dyDescent="0.15">
      <c r="A143" s="416"/>
      <c r="B143" s="790"/>
      <c r="C143" s="416"/>
      <c r="D143" s="416"/>
      <c r="E143" s="759">
        <v>15</v>
      </c>
      <c r="F143" s="3" t="str" cm="1">
        <f t="array" aca="1" ref="F143" ca="1">OFFSET(E143,-1,1)</f>
        <v>2</v>
      </c>
      <c r="G143" s="416"/>
      <c r="H143" s="416"/>
      <c r="I143" s="416"/>
      <c r="J143" s="416"/>
      <c r="K143" s="416"/>
      <c r="L143" s="416"/>
      <c r="M143" s="416"/>
      <c r="N143" s="416"/>
      <c r="O143" s="416"/>
      <c r="P143" s="416"/>
      <c r="Q143" s="416"/>
      <c r="R143" s="407"/>
      <c r="S143" s="407"/>
      <c r="T143" s="388" t="b" cm="1">
        <f t="array" ref="T143">T142</f>
        <v>1</v>
      </c>
      <c r="U143" s="416"/>
      <c r="V143" s="416"/>
      <c r="W143" s="416"/>
      <c r="X143" s="2066"/>
      <c r="Y143" s="416"/>
      <c r="Z143" s="2011"/>
      <c r="AA143" s="416"/>
      <c r="AB143" s="1967" t="s">
        <v>1582</v>
      </c>
      <c r="AC143" s="1969"/>
      <c r="AD143" s="809" t="str" cm="1">
        <f t="array" ref="AD143">INDEX('Общие сведения'!$AI$185:$AI$228,MATCH($X141,'Общие сведения'!$Z$185:$Z$228,0))</f>
        <v>тариф на водоотведение</v>
      </c>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c r="BI143" s="206"/>
      <c r="BJ143" s="206"/>
      <c r="BK143" s="206"/>
      <c r="BL143" s="206"/>
      <c r="BM143" s="206"/>
      <c r="BN143" s="206"/>
      <c r="BO143" s="206"/>
      <c r="BP143" s="206"/>
      <c r="BQ143" s="206"/>
      <c r="BR143" s="206"/>
      <c r="BS143" s="206"/>
      <c r="BT143" s="206"/>
      <c r="BU143" s="206"/>
      <c r="BV143" s="206"/>
      <c r="BW143" s="206"/>
      <c r="BX143" s="206"/>
      <c r="BY143" s="206"/>
      <c r="BZ143" s="206"/>
      <c r="CA143" s="206"/>
      <c r="CB143" s="206"/>
      <c r="CC143" s="206"/>
      <c r="CD143" s="206"/>
      <c r="CE143" s="206"/>
      <c r="CF143" s="206"/>
      <c r="CG143" s="206"/>
      <c r="CH143" s="206"/>
      <c r="CI143" s="206"/>
      <c r="CJ143" s="206"/>
      <c r="CK143" s="206"/>
      <c r="CL143" s="206"/>
      <c r="CM143" s="206"/>
      <c r="CN143" s="206"/>
      <c r="CO143" s="206"/>
      <c r="CP143" s="206"/>
      <c r="CQ143" s="206"/>
      <c r="CR143" s="206"/>
      <c r="CS143" s="206"/>
      <c r="CT143" s="206"/>
      <c r="CU143" s="206"/>
      <c r="CV143" s="206"/>
      <c r="CW143" s="206"/>
      <c r="CX143" s="206"/>
      <c r="CY143" s="206"/>
      <c r="CZ143" s="206"/>
      <c r="DA143" s="206"/>
      <c r="DB143" s="206"/>
      <c r="DC143" s="206"/>
      <c r="DD143" s="206"/>
      <c r="DE143" s="206"/>
      <c r="DF143" s="206"/>
      <c r="DG143" s="206"/>
      <c r="DH143" s="206"/>
      <c r="DI143" s="206"/>
      <c r="DJ143" s="206"/>
      <c r="DK143" s="206"/>
      <c r="DL143" s="206"/>
      <c r="DM143" s="206"/>
      <c r="DN143" s="206"/>
      <c r="DO143" s="206"/>
      <c r="DP143" s="206"/>
      <c r="DQ143" s="206"/>
      <c r="DR143" s="206"/>
      <c r="DS143" s="206"/>
      <c r="DT143" s="206"/>
      <c r="DU143" s="206"/>
      <c r="DV143" s="206"/>
      <c r="DW143" s="206"/>
      <c r="DX143" s="206"/>
      <c r="DY143" s="206"/>
      <c r="DZ143" s="206"/>
      <c r="EA143" s="206"/>
      <c r="EB143" s="206"/>
      <c r="EC143" s="206"/>
      <c r="ED143" s="206"/>
      <c r="EE143" s="206"/>
      <c r="EF143" s="206"/>
      <c r="EG143" s="206"/>
      <c r="EH143" s="206"/>
      <c r="EI143" s="206"/>
      <c r="EJ143" s="206"/>
      <c r="EK143" s="206"/>
      <c r="EL143" s="206"/>
      <c r="EM143" s="206"/>
      <c r="EN143" s="206"/>
      <c r="EO143" s="206"/>
      <c r="EP143" s="206"/>
      <c r="EQ143" s="206"/>
      <c r="ER143" s="206"/>
      <c r="ES143" s="206"/>
      <c r="ET143" s="206"/>
      <c r="EU143" s="206"/>
      <c r="EV143" s="206"/>
      <c r="EW143" s="206"/>
      <c r="EX143" s="206"/>
      <c r="EY143" s="206"/>
      <c r="EZ143" s="206"/>
      <c r="FA143" s="206"/>
      <c r="FB143" s="206"/>
      <c r="FC143" s="206"/>
      <c r="FD143" s="206"/>
      <c r="FE143" s="206"/>
      <c r="FF143" s="206"/>
      <c r="FG143" s="206"/>
      <c r="FH143" s="206"/>
      <c r="FI143" s="206"/>
      <c r="FJ143" s="206"/>
      <c r="FK143" s="206"/>
      <c r="FL143" s="206"/>
      <c r="FM143" s="206"/>
      <c r="FN143" s="206"/>
      <c r="FO143" s="206"/>
      <c r="FP143" s="206"/>
      <c r="FQ143" s="206"/>
      <c r="FR143" s="206"/>
      <c r="FS143" s="206"/>
      <c r="FT143" s="206"/>
      <c r="FU143" s="206"/>
      <c r="FV143" s="206"/>
      <c r="FW143" s="207"/>
      <c r="FX143" s="1214"/>
      <c r="FY143" s="1214"/>
      <c r="FZ143" s="1216"/>
      <c r="GA143" s="1216"/>
      <c r="GB143" s="1216"/>
      <c r="GC143" s="1215"/>
      <c r="GD143" s="1215"/>
    </row>
    <row r="144" spans="1:186" s="1334" customFormat="1" ht="14.25" customHeight="1" x14ac:dyDescent="0.15">
      <c r="A144" s="416"/>
      <c r="B144" s="790"/>
      <c r="C144" s="416"/>
      <c r="D144" s="416"/>
      <c r="E144" s="759">
        <v>15</v>
      </c>
      <c r="F144" s="3" t="str" cm="1">
        <f t="array" aca="1" ref="F144" ca="1">OFFSET(E144,-1,1)</f>
        <v>2</v>
      </c>
      <c r="G144" s="416"/>
      <c r="H144" s="416"/>
      <c r="I144" s="416"/>
      <c r="J144" s="416"/>
      <c r="K144" s="416"/>
      <c r="L144" s="416"/>
      <c r="M144" s="416"/>
      <c r="N144" s="416"/>
      <c r="O144" s="416"/>
      <c r="P144" s="416"/>
      <c r="Q144" s="840"/>
      <c r="R144" s="416"/>
      <c r="S144" s="407"/>
      <c r="T144" s="388" t="b" cm="1">
        <f t="array" ref="T144">T143</f>
        <v>1</v>
      </c>
      <c r="U144" s="416"/>
      <c r="V144" s="416"/>
      <c r="W144" s="416"/>
      <c r="X144" s="2066"/>
      <c r="Y144" s="416"/>
      <c r="Z144" s="2011"/>
      <c r="AA144" s="416"/>
      <c r="AB144" s="1967" t="s">
        <v>1583</v>
      </c>
      <c r="AC144" s="1969"/>
      <c r="AD144" s="809" cm="1">
        <f t="array" ref="AD144">INDEX('Общие сведения'!$AJ$185:$AJ$228,MATCH($X141,'Общие сведения'!$Z$185:$Z$228,0))</f>
        <v>0</v>
      </c>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c r="BI144" s="206"/>
      <c r="BJ144" s="206"/>
      <c r="BK144" s="206"/>
      <c r="BL144" s="206"/>
      <c r="BM144" s="206"/>
      <c r="BN144" s="206"/>
      <c r="BO144" s="206"/>
      <c r="BP144" s="206"/>
      <c r="BQ144" s="206"/>
      <c r="BR144" s="206"/>
      <c r="BS144" s="206"/>
      <c r="BT144" s="206"/>
      <c r="BU144" s="206"/>
      <c r="BV144" s="206"/>
      <c r="BW144" s="206"/>
      <c r="BX144" s="206"/>
      <c r="BY144" s="206"/>
      <c r="BZ144" s="206"/>
      <c r="CA144" s="206"/>
      <c r="CB144" s="206"/>
      <c r="CC144" s="206"/>
      <c r="CD144" s="206"/>
      <c r="CE144" s="206"/>
      <c r="CF144" s="206"/>
      <c r="CG144" s="206"/>
      <c r="CH144" s="206"/>
      <c r="CI144" s="206"/>
      <c r="CJ144" s="206"/>
      <c r="CK144" s="206"/>
      <c r="CL144" s="206"/>
      <c r="CM144" s="206"/>
      <c r="CN144" s="206"/>
      <c r="CO144" s="206"/>
      <c r="CP144" s="206"/>
      <c r="CQ144" s="206"/>
      <c r="CR144" s="206"/>
      <c r="CS144" s="206"/>
      <c r="CT144" s="206"/>
      <c r="CU144" s="206"/>
      <c r="CV144" s="206"/>
      <c r="CW144" s="206"/>
      <c r="CX144" s="206"/>
      <c r="CY144" s="206"/>
      <c r="CZ144" s="206"/>
      <c r="DA144" s="206"/>
      <c r="DB144" s="206"/>
      <c r="DC144" s="206"/>
      <c r="DD144" s="206"/>
      <c r="DE144" s="206"/>
      <c r="DF144" s="206"/>
      <c r="DG144" s="206"/>
      <c r="DH144" s="206"/>
      <c r="DI144" s="206"/>
      <c r="DJ144" s="206"/>
      <c r="DK144" s="206"/>
      <c r="DL144" s="206"/>
      <c r="DM144" s="206"/>
      <c r="DN144" s="206"/>
      <c r="DO144" s="206"/>
      <c r="DP144" s="206"/>
      <c r="DQ144" s="206"/>
      <c r="DR144" s="206"/>
      <c r="DS144" s="206"/>
      <c r="DT144" s="206"/>
      <c r="DU144" s="206"/>
      <c r="DV144" s="206"/>
      <c r="DW144" s="206"/>
      <c r="DX144" s="206"/>
      <c r="DY144" s="206"/>
      <c r="DZ144" s="206"/>
      <c r="EA144" s="206"/>
      <c r="EB144" s="206"/>
      <c r="EC144" s="206"/>
      <c r="ED144" s="206"/>
      <c r="EE144" s="206"/>
      <c r="EF144" s="206"/>
      <c r="EG144" s="206"/>
      <c r="EH144" s="206"/>
      <c r="EI144" s="206"/>
      <c r="EJ144" s="206"/>
      <c r="EK144" s="206"/>
      <c r="EL144" s="206"/>
      <c r="EM144" s="206"/>
      <c r="EN144" s="206"/>
      <c r="EO144" s="206"/>
      <c r="EP144" s="206"/>
      <c r="EQ144" s="206"/>
      <c r="ER144" s="206"/>
      <c r="ES144" s="206"/>
      <c r="ET144" s="206"/>
      <c r="EU144" s="206"/>
      <c r="EV144" s="206"/>
      <c r="EW144" s="206"/>
      <c r="EX144" s="206"/>
      <c r="EY144" s="206"/>
      <c r="EZ144" s="206"/>
      <c r="FA144" s="206"/>
      <c r="FB144" s="206"/>
      <c r="FC144" s="206"/>
      <c r="FD144" s="206"/>
      <c r="FE144" s="206"/>
      <c r="FF144" s="206"/>
      <c r="FG144" s="206"/>
      <c r="FH144" s="206"/>
      <c r="FI144" s="206"/>
      <c r="FJ144" s="206"/>
      <c r="FK144" s="206"/>
      <c r="FL144" s="206"/>
      <c r="FM144" s="206"/>
      <c r="FN144" s="206"/>
      <c r="FO144" s="206"/>
      <c r="FP144" s="206"/>
      <c r="FQ144" s="206"/>
      <c r="FR144" s="206"/>
      <c r="FS144" s="206"/>
      <c r="FT144" s="206"/>
      <c r="FU144" s="206"/>
      <c r="FV144" s="206"/>
      <c r="FW144" s="207"/>
      <c r="FX144" s="1214"/>
      <c r="FY144" s="1214"/>
      <c r="FZ144" s="1216"/>
      <c r="GA144" s="1216"/>
      <c r="GB144" s="1216"/>
      <c r="GC144" s="1215"/>
      <c r="GD144" s="1215"/>
    </row>
    <row r="145" spans="1:186" s="1334" customFormat="1" ht="14.25" customHeight="1" x14ac:dyDescent="0.15">
      <c r="A145" s="416"/>
      <c r="B145" s="837" t="b">
        <f>AND(R141="одноставочный",NOT(S141))</f>
        <v>1</v>
      </c>
      <c r="C145" s="416"/>
      <c r="D145" s="416"/>
      <c r="E145" s="759">
        <v>15</v>
      </c>
      <c r="F145" s="3" t="str" cm="1">
        <f t="array" aca="1" ref="F145" ca="1">OFFSET(E145,-1,1)</f>
        <v>2</v>
      </c>
      <c r="G145" s="416"/>
      <c r="H145" s="416"/>
      <c r="I145" s="416"/>
      <c r="J145" s="416"/>
      <c r="K145" s="416"/>
      <c r="L145" s="416"/>
      <c r="M145" s="416"/>
      <c r="N145" s="416"/>
      <c r="O145" s="416"/>
      <c r="P145" s="416"/>
      <c r="Q145" s="416"/>
      <c r="R145" s="416"/>
      <c r="S145" s="416"/>
      <c r="T145" s="388" t="b" cm="1">
        <f t="array" ref="T145">T144</f>
        <v>1</v>
      </c>
      <c r="U145" s="416"/>
      <c r="V145" s="416"/>
      <c r="W145" s="416"/>
      <c r="X145" s="2066"/>
      <c r="Y145" s="416"/>
      <c r="Z145" s="2011"/>
      <c r="AA145" s="416"/>
      <c r="AB145" s="810" t="s">
        <v>1584</v>
      </c>
      <c r="AC145" s="811"/>
      <c r="AD145" s="812"/>
      <c r="AE145" s="812"/>
      <c r="AF145" s="812"/>
      <c r="AG145" s="812"/>
      <c r="AH145" s="812"/>
      <c r="AI145" s="812"/>
      <c r="AJ145" s="812"/>
      <c r="AK145" s="812"/>
      <c r="AL145" s="812"/>
      <c r="AM145" s="812"/>
      <c r="AN145" s="812"/>
      <c r="AO145" s="812"/>
      <c r="AP145" s="812"/>
      <c r="AQ145" s="812"/>
      <c r="AR145" s="812"/>
      <c r="AS145" s="812"/>
      <c r="AT145" s="812"/>
      <c r="AU145" s="812"/>
      <c r="AV145" s="812"/>
      <c r="AW145" s="812"/>
      <c r="AX145" s="812"/>
      <c r="AY145" s="812"/>
      <c r="AZ145" s="812"/>
      <c r="BA145" s="812"/>
      <c r="BB145" s="812"/>
      <c r="BC145" s="812"/>
      <c r="BD145" s="812"/>
      <c r="BE145" s="812"/>
      <c r="BF145" s="812"/>
      <c r="BG145" s="812"/>
      <c r="BH145" s="812"/>
      <c r="BI145" s="812"/>
      <c r="BJ145" s="820"/>
      <c r="BK145" s="812"/>
      <c r="BL145" s="812"/>
      <c r="BM145" s="820"/>
      <c r="BN145" s="812"/>
      <c r="BO145" s="812"/>
      <c r="BP145" s="820"/>
      <c r="BQ145" s="812"/>
      <c r="BR145" s="812"/>
      <c r="BS145" s="820"/>
      <c r="BT145" s="812"/>
      <c r="BU145" s="812"/>
      <c r="BV145" s="820"/>
      <c r="BW145" s="812"/>
      <c r="BX145" s="812"/>
      <c r="BY145" s="820"/>
      <c r="BZ145" s="812"/>
      <c r="CA145" s="812"/>
      <c r="CB145" s="820"/>
      <c r="CC145" s="812"/>
      <c r="CD145" s="812"/>
      <c r="CE145" s="820"/>
      <c r="CF145" s="812"/>
      <c r="CG145" s="812"/>
      <c r="CH145" s="820"/>
      <c r="CI145" s="812"/>
      <c r="CJ145" s="812"/>
      <c r="CK145" s="820"/>
      <c r="CL145" s="812"/>
      <c r="CM145" s="812"/>
      <c r="CN145" s="820"/>
      <c r="CO145" s="812"/>
      <c r="CP145" s="812"/>
      <c r="CQ145" s="820"/>
      <c r="CR145" s="812"/>
      <c r="CS145" s="812"/>
      <c r="CT145" s="820"/>
      <c r="CU145" s="812"/>
      <c r="CV145" s="812"/>
      <c r="CW145" s="820"/>
      <c r="CX145" s="812"/>
      <c r="CY145" s="812"/>
      <c r="CZ145" s="820"/>
      <c r="DA145" s="812"/>
      <c r="DB145" s="812"/>
      <c r="DC145" s="820"/>
      <c r="DD145" s="812"/>
      <c r="DE145" s="812"/>
      <c r="DF145" s="209"/>
      <c r="DG145" s="208"/>
      <c r="DH145" s="208"/>
      <c r="DI145" s="209"/>
      <c r="DJ145" s="208"/>
      <c r="DK145" s="208"/>
      <c r="DL145" s="209"/>
      <c r="DM145" s="208"/>
      <c r="DN145" s="208"/>
      <c r="DO145" s="209"/>
      <c r="DP145" s="208"/>
      <c r="DQ145" s="208"/>
      <c r="DR145" s="209"/>
      <c r="DS145" s="208"/>
      <c r="DT145" s="208"/>
      <c r="DU145" s="209"/>
      <c r="DV145" s="208"/>
      <c r="DW145" s="208"/>
      <c r="DX145" s="209"/>
      <c r="DY145" s="208"/>
      <c r="DZ145" s="208"/>
      <c r="EA145" s="209"/>
      <c r="EB145" s="208"/>
      <c r="EC145" s="208"/>
      <c r="ED145" s="209"/>
      <c r="EE145" s="208"/>
      <c r="EF145" s="208"/>
      <c r="EG145" s="209"/>
      <c r="EH145" s="208"/>
      <c r="EI145" s="208"/>
      <c r="EJ145" s="209"/>
      <c r="EK145" s="208"/>
      <c r="EL145" s="208"/>
      <c r="EM145" s="209"/>
      <c r="EN145" s="208"/>
      <c r="EO145" s="208"/>
      <c r="EP145" s="209"/>
      <c r="EQ145" s="208"/>
      <c r="ER145" s="208"/>
      <c r="ES145" s="209"/>
      <c r="ET145" s="208"/>
      <c r="EU145" s="208"/>
      <c r="EV145" s="209"/>
      <c r="EW145" s="208"/>
      <c r="EX145" s="208"/>
      <c r="EY145" s="209"/>
      <c r="EZ145" s="208"/>
      <c r="FA145" s="208"/>
      <c r="FB145" s="209"/>
      <c r="FC145" s="208"/>
      <c r="FD145" s="208"/>
      <c r="FE145" s="209"/>
      <c r="FF145" s="208"/>
      <c r="FG145" s="208"/>
      <c r="FH145" s="209"/>
      <c r="FI145" s="208"/>
      <c r="FJ145" s="208"/>
      <c r="FK145" s="209"/>
      <c r="FL145" s="208"/>
      <c r="FM145" s="208"/>
      <c r="FN145" s="209"/>
      <c r="FO145" s="208"/>
      <c r="FP145" s="208"/>
      <c r="FQ145" s="209"/>
      <c r="FR145" s="208"/>
      <c r="FS145" s="208"/>
      <c r="FT145" s="209"/>
      <c r="FU145" s="208"/>
      <c r="FV145" s="208"/>
      <c r="FW145" s="209"/>
      <c r="FX145" s="1214"/>
      <c r="FY145" s="1214"/>
      <c r="FZ145" s="1216"/>
      <c r="GA145" s="1216"/>
      <c r="GB145" s="1216"/>
      <c r="GC145" s="1215"/>
      <c r="GD145" s="1215"/>
    </row>
    <row r="146" spans="1:186" s="1455" customFormat="1" ht="23.25" customHeight="1" x14ac:dyDescent="0.15">
      <c r="A146" s="813"/>
      <c r="B146" s="837" t="b" cm="1">
        <f t="array" ref="B146">B145</f>
        <v>1</v>
      </c>
      <c r="C146" s="813"/>
      <c r="D146" s="813"/>
      <c r="E146" s="814">
        <v>24.5</v>
      </c>
      <c r="F146" s="3" t="str" cm="1">
        <f t="array" aca="1" ref="F146" ca="1">OFFSET(E146,-1,1)</f>
        <v>2</v>
      </c>
      <c r="G146" s="416" t="s">
        <v>1585</v>
      </c>
      <c r="H146" s="416" t="s">
        <v>494</v>
      </c>
      <c r="I146" s="416" t="s">
        <v>1586</v>
      </c>
      <c r="J146" s="813"/>
      <c r="K146" s="813"/>
      <c r="L146" s="416"/>
      <c r="M146" s="813"/>
      <c r="N146" s="813"/>
      <c r="O146" s="813"/>
      <c r="P146" s="813"/>
      <c r="Q146" s="813"/>
      <c r="R146" s="813"/>
      <c r="S146" s="416"/>
      <c r="T146" s="388" t="b" cm="1">
        <f t="array" ref="T146">T145</f>
        <v>1</v>
      </c>
      <c r="U146" s="813"/>
      <c r="V146" s="813"/>
      <c r="W146" s="813"/>
      <c r="X146" s="2066"/>
      <c r="Y146" s="813"/>
      <c r="Z146" s="2011"/>
      <c r="AA146" s="813"/>
      <c r="AB146" s="211" t="s">
        <v>1587</v>
      </c>
      <c r="AC146" s="212" t="s">
        <v>1588</v>
      </c>
      <c r="AD146" s="815">
        <f ca="1">IF(AND(method_reg="Метод индексации",god&lt;&gt;first_year),SUMIFS(INDEX('Калькуляция (МИ корр)'!$AJ$25:$BC$459,,MATCH(AD$8,'Калькуляция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(МИ)'!$AJ$25:$BC$459,,MATCH(AD$8,'Калькуляция (МИ)'!$AJ$8:$BC$8,0)),'Калькуляция (МИ)'!$F$25:$F$459,$F146,'Калькуляция (МИ)'!$G$25:$G$459,$G146))))</f>
        <v>58.055926775954603</v>
      </c>
      <c r="AE146" s="815">
        <f ca="1">IF(AND(method_reg="Метод индексации",god&lt;&gt;first_year),SUMIFS(INDEX('Калькуляция (МИ корр)'!$AJ$25:$BC$459,,MATCH(AE$8,'Калькуляция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(МИ)'!$AJ$25:$BC$459,,MATCH(AE$8,'Калькуляция (МИ)'!$AJ$8:$BC$8,0)),'Калькуляция (МИ)'!$F$25:$F$459,$F146,'Калькуляция (МИ)'!$G$25:$G$459,$G146))))</f>
        <v>41.6493438603</v>
      </c>
      <c r="AF146" s="214">
        <f ca="1">IF(AD146=0,0,(AE146-AD146)/AD146*100)</f>
        <v>-28.259962120611299</v>
      </c>
      <c r="AG146" s="1441">
        <f ca="1">IF(AND(method_reg="Метод индексации",god&lt;&gt;first_year),SUMIFS(INDEX('Калькуляция (МИ корр)'!$AJ$25:$BC$459,,MATCH(AG$8,'Калькуляция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(МИ)'!$AJ$25:$BC$459,,MATCH(AG$8,'Калькуляция (МИ)'!$AJ$8:$BC$8,0)),'Калькуляция (МИ)'!$F$25:$F$459,$F146,'Калькуляция (МИ)'!$G$25:$G$459,$G146))))</f>
        <v>0</v>
      </c>
      <c r="AH146" s="1441">
        <f ca="1">IF(AND(method_reg="Метод индексации",god&lt;&gt;first_year),SUMIFS(INDEX('Калькуляция (МИ корр)'!$AJ$25:$BC$459,,MATCH(AH$8,'Калькуляция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(МИ)'!$AJ$25:$BC$459,,MATCH(AH$8,'Калькуляция (МИ)'!$AJ$8:$BC$8,0)),'Калькуляция (МИ)'!$F$25:$F$459,$F146,'Калькуляция (МИ)'!$G$25:$G$459,$G146))))</f>
        <v>42.17</v>
      </c>
      <c r="AI146" s="214">
        <f ca="1">IF(AG146=0,0,(AH146-AG146)/AG146*100)</f>
        <v>0</v>
      </c>
      <c r="AJ146" s="1441">
        <f ca="1">IF(AND(method_reg="Метод индексации",god&lt;&gt;first_year),SUMIFS(INDEX('Калькуляция (МИ корр)'!$AJ$25:$BC$459,,MATCH(AJ$8,'Калькуляция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(МИ)'!$AJ$25:$BC$459,,MATCH(AJ$8,'Калькуляция (МИ)'!$AJ$8:$BC$8,0)),'Калькуляция (МИ)'!$F$25:$F$459,$F146,'Калькуляция (МИ)'!$G$25:$G$459,$G146))))</f>
        <v>0</v>
      </c>
      <c r="AK146" s="1441">
        <f ca="1">IF(AND(method_reg="Метод индексации",god&lt;&gt;first_year),SUMIFS(INDEX('Калькуляция (МИ корр)'!$AJ$25:$BC$459,,MATCH(AK$8,'Калькуляция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(МИ)'!$AJ$25:$BC$459,,MATCH(AK$8,'Калькуляция (МИ)'!$AJ$8:$BC$8,0)),'Калькуляция (МИ)'!$F$25:$F$459,$F146,'Калькуляция (МИ)'!$G$25:$G$459,$G146))))</f>
        <v>0</v>
      </c>
      <c r="AL146" s="214">
        <f ca="1">IF(AJ146=0,0,(AK146-AJ146)/AJ146*100)</f>
        <v>0</v>
      </c>
      <c r="AM146" s="1441">
        <f ca="1">IF(AND(method_reg="Метод индексации",god&lt;&gt;first_year),SUMIFS(INDEX('Калькуляция (МИ корр)'!$AJ$25:$BC$459,,MATCH(AM$8,'Калькуляция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(МИ)'!$AJ$25:$BC$459,,MATCH(AM$8,'Калькуляция (МИ)'!$AJ$8:$BC$8,0)),'Калькуляция (МИ)'!$F$25:$F$459,$F146,'Калькуляция (МИ)'!$G$25:$G$459,$G146))))</f>
        <v>0</v>
      </c>
      <c r="AN146" s="1441">
        <f ca="1">IF(AND(method_reg="Метод индексации",god&lt;&gt;first_year),SUMIFS(INDEX('Калькуляция (МИ корр)'!$AJ$25:$BC$459,,MATCH(AN$8,'Калькуляция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(МИ)'!$AJ$25:$BC$459,,MATCH(AN$8,'Калькуляция (МИ)'!$AJ$8:$BC$8,0)),'Калькуляция (МИ)'!$F$25:$F$459,$F146,'Калькуляция (МИ)'!$G$25:$G$459,$G146))))</f>
        <v>0</v>
      </c>
      <c r="AO146" s="214">
        <f ca="1">IF(AM146=0,0,(AN146-AM146)/AM146*100)</f>
        <v>0</v>
      </c>
      <c r="AP146" s="1441">
        <f ca="1">IF(AND(method_reg="Метод индексации",god&lt;&gt;first_year),SUMIFS(INDEX('Калькуляция (МИ корр)'!$AJ$25:$BC$459,,MATCH(AP$8,'Калькуляция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(МИ)'!$AJ$25:$BC$459,,MATCH(AP$8,'Калькуляция (МИ)'!$AJ$8:$BC$8,0)),'Калькуляция (МИ)'!$F$25:$F$459,$F146,'Калькуляция (МИ)'!$G$25:$G$459,$G146))))</f>
        <v>0</v>
      </c>
      <c r="AQ146" s="1441">
        <f ca="1">IF(AND(method_reg="Метод индексации",god&lt;&gt;first_year),SUMIFS(INDEX('Калькуляция (МИ корр)'!$AJ$25:$BC$459,,MATCH(AQ$8,'Калькуляция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(МИ)'!$AJ$25:$BC$459,,MATCH(AQ$8,'Калькуляция (МИ)'!$AJ$8:$BC$8,0)),'Калькуляция (МИ)'!$F$25:$F$459,$F146,'Калькуляция (МИ)'!$G$25:$G$459,$G146))))</f>
        <v>0</v>
      </c>
      <c r="AR146" s="214">
        <f ca="1">IF(AP146=0,0,(AQ146-AP146)/AP146*100)</f>
        <v>0</v>
      </c>
      <c r="AS146" s="1441">
        <f ca="1">IF(AND(method_reg="Метод индексации",god&lt;&gt;first_year),SUMIFS(INDEX('Калькуляция (МИ корр)'!$AJ$25:$BC$459,,MATCH(AS$8,'Калькуляция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(МИ)'!$AJ$25:$BC$459,,MATCH(AS$8,'Калькуляция (МИ)'!$AJ$8:$BC$8,0)),'Калькуляция (МИ)'!$F$25:$F$459,$F146,'Калькуляция (МИ)'!$G$25:$G$459,$G146))))</f>
        <v>0</v>
      </c>
      <c r="AT146" s="1441">
        <f ca="1">IF(AND(method_reg="Метод индексации",god&lt;&gt;first_year),SUMIFS(INDEX('Калькуляция (МИ корр)'!$AJ$25:$BC$459,,MATCH(AT$8,'Калькуляция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(МИ)'!$AJ$25:$BC$459,,MATCH(AT$8,'Калькуляция (МИ)'!$AJ$8:$BC$8,0)),'Калькуляция (МИ)'!$F$25:$F$459,$F146,'Калькуляция (МИ)'!$G$25:$G$459,$G146))))</f>
        <v>0</v>
      </c>
      <c r="AU146" s="214">
        <f ca="1">IF(AS146=0,0,(AT146-AS146)/AS146*100)</f>
        <v>0</v>
      </c>
      <c r="AV146" s="1441">
        <f ca="1">IF(AND(method_reg="Метод индексации",god&lt;&gt;first_year),SUMIFS(INDEX('Калькуляция (МИ корр)'!$AJ$25:$BC$459,,MATCH(AV$8,'Калькуляция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(МИ)'!$AJ$25:$BC$459,,MATCH(AV$8,'Калькуляция (МИ)'!$AJ$8:$BC$8,0)),'Калькуляция (МИ)'!$F$25:$F$459,$F146,'Калькуляция (МИ)'!$G$25:$G$459,$G146))))</f>
        <v>0</v>
      </c>
      <c r="AW146" s="1441">
        <f ca="1">IF(AND(method_reg="Метод индексации",god&lt;&gt;first_year),SUMIFS(INDEX('Калькуляция (МИ корр)'!$AJ$25:$BC$459,,MATCH(AW$8,'Калькуляция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(МИ)'!$AJ$25:$BC$459,,MATCH(AW$8,'Калькуляция (МИ)'!$AJ$8:$BC$8,0)),'Калькуляция (МИ)'!$F$25:$F$459,$F146,'Калькуляция (МИ)'!$G$25:$G$459,$G146))))</f>
        <v>0</v>
      </c>
      <c r="AX146" s="214">
        <f ca="1">IF(AV146=0,0,(AW146-AV146)/AV146*100)</f>
        <v>0</v>
      </c>
      <c r="AY146" s="815">
        <f ca="1">IF(AND(method_reg="Метод индексации",god&lt;&gt;first_year),SUMIFS(INDEX('Калькуляция (МИ корр)'!$AJ$25:$BC$459,,MATCH(AY$8,'Калькуляция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(МИ)'!$AJ$25:$BC$459,,MATCH(AY$8,'Калькуляция (МИ)'!$AJ$8:$BC$8,0)),'Калькуляция (МИ)'!$F$25:$F$459,$F146,'Калькуляция (МИ)'!$G$25:$G$459,$G146))))</f>
        <v>0</v>
      </c>
      <c r="AZ146" s="815">
        <f ca="1">IF(AND(method_reg="Метод индексации",god&lt;&gt;first_year),SUMIFS(INDEX('Калькуляция (МИ корр)'!$AJ$25:$BC$459,,MATCH(AZ$8,'Калькуляция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(МИ)'!$AJ$25:$BC$459,,MATCH(AZ$8,'Калькуляция (МИ)'!$AJ$8:$BC$8,0)),'Калькуляция (МИ)'!$F$25:$F$459,$F146,'Калькуляция (МИ)'!$G$25:$G$459,$G146))))</f>
        <v>0</v>
      </c>
      <c r="BA146" s="214">
        <f ca="1">IF(AY146=0,0,(AZ146-AY146)/AY146*100)</f>
        <v>0</v>
      </c>
      <c r="BB146" s="815">
        <f ca="1">IF(AND(method_reg="Метод индексации",god&lt;&gt;first_year),SUMIFS(INDEX('Калькуляция (МИ корр)'!$AJ$25:$BC$459,,MATCH(BB$8,'Калькуляция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(МИ)'!$AJ$25:$BC$459,,MATCH(BB$8,'Калькуляция (МИ)'!$AJ$8:$BC$8,0)),'Калькуляция (МИ)'!$F$25:$F$459,$F146,'Калькуляция (МИ)'!$G$25:$G$459,$G146))))</f>
        <v>0</v>
      </c>
      <c r="BC146" s="815">
        <f ca="1">IF(AND(method_reg="Метод индексации",god&lt;&gt;first_year),SUMIFS(INDEX('Калькуляция (МИ корр)'!$AJ$25:$BC$459,,MATCH(BC$8,'Калькуляция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(МИ)'!$AJ$25:$BC$459,,MATCH(BC$8,'Калькуляция (МИ)'!$AJ$8:$BC$8,0)),'Калькуляция (МИ)'!$F$25:$F$459,$F146,'Калькуляция (МИ)'!$G$25:$G$459,$G146))))</f>
        <v>0</v>
      </c>
      <c r="BD146" s="214">
        <f ca="1">IF(BB146=0,0,(BC146-BB146)/BB146*100)</f>
        <v>0</v>
      </c>
      <c r="BE146" s="815">
        <f ca="1">IF(AND(method_reg="Метод индексации",god&lt;&gt;first_year),SUMIFS(INDEX('Калькуляция (МИ корр)'!$AJ$25:$BC$459,,MATCH(BE$8,'Калькуляция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(МИ)'!$AJ$25:$BC$459,,MATCH(BE$8,'Калькуляция (МИ)'!$AJ$8:$BC$8,0)),'Калькуляция (МИ)'!$F$25:$F$459,$F146,'Калькуляция (МИ)'!$G$25:$G$459,$G146))))</f>
        <v>0</v>
      </c>
      <c r="BF146" s="815">
        <f ca="1">IF(AND(method_reg="Метод индексации",god&lt;&gt;first_year),SUMIFS(INDEX('Калькуляция (МИ корр)'!$AJ$25:$BC$459,,MATCH(BF$8,'Калькуляция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(МИ)'!$AJ$25:$BC$459,,MATCH(BF$8,'Калькуляция (МИ)'!$AJ$8:$BC$8,0)),'Калькуляция (МИ)'!$F$25:$F$459,$F146,'Калькуляция (МИ)'!$G$25:$G$459,$G146))))</f>
        <v>0</v>
      </c>
      <c r="BG146" s="214">
        <f ca="1">IF(BE146=0,0,(BF146-BE146)/BE146*100)</f>
        <v>0</v>
      </c>
      <c r="BH146" s="815"/>
      <c r="BI146" s="815"/>
      <c r="BJ146" s="214">
        <f>IF(BH146=0,0,(BI146-BH146)/BH146*100)</f>
        <v>0</v>
      </c>
      <c r="BK146" s="815"/>
      <c r="BL146" s="815"/>
      <c r="BM146" s="214">
        <f>IF(BK146=0,0,(BL146-BK146)/BK146*100)</f>
        <v>0</v>
      </c>
      <c r="BN146" s="815"/>
      <c r="BO146" s="815"/>
      <c r="BP146" s="214">
        <f>IF(BN146=0,0,(BO146-BN146)/BN146*100)</f>
        <v>0</v>
      </c>
      <c r="BQ146" s="815"/>
      <c r="BR146" s="815"/>
      <c r="BS146" s="214">
        <f>IF(BQ146=0,0,(BR146-BQ146)/BQ146*100)</f>
        <v>0</v>
      </c>
      <c r="BT146" s="815"/>
      <c r="BU146" s="815"/>
      <c r="BV146" s="214">
        <f>IF(BT146=0,0,(BU146-BT146)/BT146*100)</f>
        <v>0</v>
      </c>
      <c r="BW146" s="815"/>
      <c r="BX146" s="815"/>
      <c r="BY146" s="214">
        <f>IF(BW146=0,0,(BX146-BW146)/BW146*100)</f>
        <v>0</v>
      </c>
      <c r="BZ146" s="815"/>
      <c r="CA146" s="815"/>
      <c r="CB146" s="214">
        <f>IF(BZ146=0,0,(CA146-BZ146)/BZ146*100)</f>
        <v>0</v>
      </c>
      <c r="CC146" s="815"/>
      <c r="CD146" s="815"/>
      <c r="CE146" s="214">
        <f>IF(CC146=0,0,(CD146-CC146)/CC146*100)</f>
        <v>0</v>
      </c>
      <c r="CF146" s="815"/>
      <c r="CG146" s="815"/>
      <c r="CH146" s="214">
        <f>IF(CF146=0,0,(CG146-CF146)/CF146*100)</f>
        <v>0</v>
      </c>
      <c r="CI146" s="815"/>
      <c r="CJ146" s="815"/>
      <c r="CK146" s="214">
        <f>IF(CI146=0,0,(CJ146-CI146)/CI146*100)</f>
        <v>0</v>
      </c>
      <c r="CL146" s="815"/>
      <c r="CM146" s="815"/>
      <c r="CN146" s="214">
        <f>IF(CL146=0,0,(CM146-CL146)/CL146*100)</f>
        <v>0</v>
      </c>
      <c r="CO146" s="815"/>
      <c r="CP146" s="815"/>
      <c r="CQ146" s="214">
        <f>IF(CO146=0,0,(CP146-CO146)/CO146*100)</f>
        <v>0</v>
      </c>
      <c r="CR146" s="815"/>
      <c r="CS146" s="815"/>
      <c r="CT146" s="214">
        <f>IF(CR146=0,0,(CS146-CR146)/CR146*100)</f>
        <v>0</v>
      </c>
      <c r="CU146" s="815"/>
      <c r="CV146" s="815"/>
      <c r="CW146" s="214">
        <f>IF(CU146=0,0,(CV146-CU146)/CU146*100)</f>
        <v>0</v>
      </c>
      <c r="CX146" s="815"/>
      <c r="CY146" s="815"/>
      <c r="CZ146" s="214">
        <f>IF(CX146=0,0,(CY146-CX146)/CX146*100)</f>
        <v>0</v>
      </c>
      <c r="DA146" s="815"/>
      <c r="DB146" s="815"/>
      <c r="DC146" s="214">
        <f>IF(DA146=0,0,(DB146-DA146)/DA146*100)</f>
        <v>0</v>
      </c>
      <c r="DD146" s="815"/>
      <c r="DE146" s="815"/>
      <c r="DF146" s="214">
        <f>IF(DD146=0,0,(DE146-DD146)/DD146*100)</f>
        <v>0</v>
      </c>
      <c r="DG146" s="213"/>
      <c r="DH146" s="213"/>
      <c r="DI146" s="214">
        <f>IF(DG146=0,0,(DH146-DG146)/DG146*100)</f>
        <v>0</v>
      </c>
      <c r="DJ146" s="213"/>
      <c r="DK146" s="213"/>
      <c r="DL146" s="214">
        <f>IF(DJ146=0,0,(DK146-DJ146)/DJ146*100)</f>
        <v>0</v>
      </c>
      <c r="DM146" s="213"/>
      <c r="DN146" s="213"/>
      <c r="DO146" s="214">
        <f>IF(DM146=0,0,(DN146-DM146)/DM146*100)</f>
        <v>0</v>
      </c>
      <c r="DP146" s="213"/>
      <c r="DQ146" s="213"/>
      <c r="DR146" s="214">
        <f>IF(DP146=0,0,(DQ146-DP146)/DP146*100)</f>
        <v>0</v>
      </c>
      <c r="DS146" s="213"/>
      <c r="DT146" s="213"/>
      <c r="DU146" s="214">
        <f>IF(DS146=0,0,(DT146-DS146)/DS146*100)</f>
        <v>0</v>
      </c>
      <c r="DV146" s="213"/>
      <c r="DW146" s="213"/>
      <c r="DX146" s="214">
        <f>IF(DV146=0,0,(DW146-DV146)/DV146*100)</f>
        <v>0</v>
      </c>
      <c r="DY146" s="213"/>
      <c r="DZ146" s="213"/>
      <c r="EA146" s="214">
        <f>IF(DY146=0,0,(DZ146-DY146)/DY146*100)</f>
        <v>0</v>
      </c>
      <c r="EB146" s="213"/>
      <c r="EC146" s="213"/>
      <c r="ED146" s="214">
        <f>IF(EB146=0,0,(EC146-EB146)/EB146*100)</f>
        <v>0</v>
      </c>
      <c r="EE146" s="213"/>
      <c r="EF146" s="213"/>
      <c r="EG146" s="214">
        <f>IF(EE146=0,0,(EF146-EE146)/EE146*100)</f>
        <v>0</v>
      </c>
      <c r="EH146" s="213"/>
      <c r="EI146" s="213"/>
      <c r="EJ146" s="214">
        <f>IF(EH146=0,0,(EI146-EH146)/EH146*100)</f>
        <v>0</v>
      </c>
      <c r="EK146" s="213"/>
      <c r="EL146" s="213"/>
      <c r="EM146" s="214">
        <f>IF(EK146=0,0,(EL146-EK146)/EK146*100)</f>
        <v>0</v>
      </c>
      <c r="EN146" s="213"/>
      <c r="EO146" s="213"/>
      <c r="EP146" s="214">
        <f>IF(EN146=0,0,(EO146-EN146)/EN146*100)</f>
        <v>0</v>
      </c>
      <c r="EQ146" s="213"/>
      <c r="ER146" s="213"/>
      <c r="ES146" s="214">
        <f>IF(EQ146=0,0,(ER146-EQ146)/EQ146*100)</f>
        <v>0</v>
      </c>
      <c r="ET146" s="213"/>
      <c r="EU146" s="213"/>
      <c r="EV146" s="214">
        <f>IF(ET146=0,0,(EU146-ET146)/ET146*100)</f>
        <v>0</v>
      </c>
      <c r="EW146" s="213"/>
      <c r="EX146" s="213"/>
      <c r="EY146" s="214">
        <f>IF(EW146=0,0,(EX146-EW146)/EW146*100)</f>
        <v>0</v>
      </c>
      <c r="EZ146" s="213"/>
      <c r="FA146" s="213"/>
      <c r="FB146" s="214">
        <f>IF(EZ146=0,0,(FA146-EZ146)/EZ146*100)</f>
        <v>0</v>
      </c>
      <c r="FC146" s="213"/>
      <c r="FD146" s="213"/>
      <c r="FE146" s="214">
        <f>IF(FC146=0,0,(FD146-FC146)/FC146*100)</f>
        <v>0</v>
      </c>
      <c r="FF146" s="213"/>
      <c r="FG146" s="213"/>
      <c r="FH146" s="214">
        <f>IF(FF146=0,0,(FG146-FF146)/FF146*100)</f>
        <v>0</v>
      </c>
      <c r="FI146" s="213"/>
      <c r="FJ146" s="213"/>
      <c r="FK146" s="214">
        <f>IF(FI146=0,0,(FJ146-FI146)/FI146*100)</f>
        <v>0</v>
      </c>
      <c r="FL146" s="213"/>
      <c r="FM146" s="213"/>
      <c r="FN146" s="214">
        <f>IF(FL146=0,0,(FM146-FL146)/FL146*100)</f>
        <v>0</v>
      </c>
      <c r="FO146" s="213"/>
      <c r="FP146" s="213"/>
      <c r="FQ146" s="214">
        <f>IF(FO146=0,0,(FP146-FO146)/FO146*100)</f>
        <v>0</v>
      </c>
      <c r="FR146" s="213"/>
      <c r="FS146" s="213"/>
      <c r="FT146" s="214">
        <f>IF(FR146=0,0,(FS146-FR146)/FR146*100)</f>
        <v>0</v>
      </c>
      <c r="FU146" s="213"/>
      <c r="FV146" s="213"/>
      <c r="FW146" s="214">
        <f>IF(FU146=0,0,(FV146-FU146)/FU146*100)</f>
        <v>0</v>
      </c>
      <c r="FX146" s="210"/>
      <c r="FY146" s="210"/>
      <c r="FZ146" s="964" t="s">
        <v>1589</v>
      </c>
      <c r="GA146" s="964"/>
      <c r="GB146" s="964"/>
      <c r="GC146" s="965"/>
      <c r="GD146" s="965"/>
    </row>
    <row r="147" spans="1:186" s="1456" customFormat="1" ht="23.25" customHeight="1" x14ac:dyDescent="0.15">
      <c r="A147" s="813"/>
      <c r="B147" s="837" t="b" cm="1">
        <f t="array" ref="B147">B146</f>
        <v>1</v>
      </c>
      <c r="C147" s="813"/>
      <c r="D147" s="813"/>
      <c r="E147" s="814">
        <v>24.5</v>
      </c>
      <c r="F147" s="3" t="str" cm="1">
        <f t="array" aca="1" ref="F147" ca="1">OFFSET(E147,-1,1)</f>
        <v>2</v>
      </c>
      <c r="G147" s="416" t="s">
        <v>1590</v>
      </c>
      <c r="H147" s="416" t="s">
        <v>494</v>
      </c>
      <c r="I147" s="416" t="s">
        <v>1591</v>
      </c>
      <c r="J147" s="813"/>
      <c r="K147" s="813"/>
      <c r="L147" s="416"/>
      <c r="M147" s="813"/>
      <c r="N147" s="813"/>
      <c r="O147" s="813"/>
      <c r="P147" s="813"/>
      <c r="Q147" s="813"/>
      <c r="R147" s="813"/>
      <c r="S147" s="416"/>
      <c r="T147" s="388" t="b" cm="1">
        <f t="array" ref="T147">T146</f>
        <v>1</v>
      </c>
      <c r="U147" s="813"/>
      <c r="V147" s="813"/>
      <c r="W147" s="813"/>
      <c r="X147" s="2066"/>
      <c r="Y147" s="813"/>
      <c r="Z147" s="2011"/>
      <c r="AA147" s="813"/>
      <c r="AB147" s="211" t="s">
        <v>1592</v>
      </c>
      <c r="AC147" s="212" t="s">
        <v>1588</v>
      </c>
      <c r="AD147" s="815">
        <f ca="1">IF(AND(method_reg="Метод индексации",god&lt;&gt;first_year),SUMIFS(INDEX('Калькуляция (МИ корр)'!$AJ$25:$BC$459,,MATCH(AD$8,'Калькуляция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(МИ)'!$AJ$25:$BC$459,,MATCH(AD$8,'Калькуляция (МИ)'!$AJ$8:$BC$8,0)),'Калькуляция (МИ)'!$F$25:$F$459,$F147,'Калькуляция (МИ)'!$G$25:$G$459,$G147))))</f>
        <v>58.055926775954688</v>
      </c>
      <c r="AE147" s="815">
        <f ca="1">IF(AND(method_reg="Метод индексации",god&lt;&gt;first_year),SUMIFS(INDEX('Калькуляция (МИ корр)'!$AJ$25:$BC$459,,MATCH(AE$8,'Калькуляция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(МИ)'!$AJ$25:$BC$459,,MATCH(AE$8,'Калькуляция (МИ)'!$AJ$8:$BC$8,0)),'Калькуляция (МИ)'!$F$25:$F$459,$F147,'Калькуляция (МИ)'!$G$25:$G$459,$G147))))</f>
        <v>42.17</v>
      </c>
      <c r="AF147" s="214">
        <f ca="1">IF(AD147=0,0,(AE147-AD147)/AD147*100)</f>
        <v>-27.363143882381774</v>
      </c>
      <c r="AG147" s="1441">
        <f ca="1">IF(AND(method_reg="Метод индексации",god&lt;&gt;first_year),SUMIFS(INDEX('Калькуляция (МИ корр)'!$AJ$25:$BC$459,,MATCH(AG$8,'Калькуляция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(МИ)'!$AJ$25:$BC$459,,MATCH(AG$8,'Калькуляция (МИ)'!$AJ$8:$BC$8,0)),'Калькуляция (МИ)'!$F$25:$F$459,$F147,'Калькуляция (МИ)'!$G$25:$G$459,$G147))))</f>
        <v>0</v>
      </c>
      <c r="AH147" s="1441">
        <f ca="1">IF(AND(method_reg="Метод индексации",god&lt;&gt;first_year),SUMIFS(INDEX('Калькуляция (МИ корр)'!$AJ$25:$BC$459,,MATCH(AH$8,'Калькуляция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(МИ)'!$AJ$25:$BC$459,,MATCH(AH$8,'Калькуляция (МИ)'!$AJ$8:$BC$8,0)),'Калькуляция (МИ)'!$F$25:$F$459,$F147,'Калькуляция (МИ)'!$G$25:$G$459,$G147))))</f>
        <v>0</v>
      </c>
      <c r="AI147" s="214">
        <f ca="1">IF(AG147=0,0,(AH147-AG147)/AG147*100)</f>
        <v>0</v>
      </c>
      <c r="AJ147" s="1441">
        <f ca="1">IF(AND(method_reg="Метод индексации",god&lt;&gt;first_year),SUMIFS(INDEX('Калькуляция (МИ корр)'!$AJ$25:$BC$459,,MATCH(AJ$8,'Калькуляция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(МИ)'!$AJ$25:$BC$459,,MATCH(AJ$8,'Калькуляция (МИ)'!$AJ$8:$BC$8,0)),'Калькуляция (МИ)'!$F$25:$F$459,$F147,'Калькуляция (МИ)'!$G$25:$G$459,$G147))))</f>
        <v>0</v>
      </c>
      <c r="AK147" s="1441">
        <f ca="1">IF(AND(method_reg="Метод индексации",god&lt;&gt;first_year),SUMIFS(INDEX('Калькуляция (МИ корр)'!$AJ$25:$BC$459,,MATCH(AK$8,'Калькуляция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(МИ)'!$AJ$25:$BC$459,,MATCH(AK$8,'Калькуляция (МИ)'!$AJ$8:$BC$8,0)),'Калькуляция (МИ)'!$F$25:$F$459,$F147,'Калькуляция (МИ)'!$G$25:$G$459,$G147))))</f>
        <v>0</v>
      </c>
      <c r="AL147" s="214">
        <f ca="1">IF(AJ147=0,0,(AK147-AJ147)/AJ147*100)</f>
        <v>0</v>
      </c>
      <c r="AM147" s="1441">
        <f ca="1">IF(AND(method_reg="Метод индексации",god&lt;&gt;first_year),SUMIFS(INDEX('Калькуляция (МИ корр)'!$AJ$25:$BC$459,,MATCH(AM$8,'Калькуляция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(МИ)'!$AJ$25:$BC$459,,MATCH(AM$8,'Калькуляция (МИ)'!$AJ$8:$BC$8,0)),'Калькуляция (МИ)'!$F$25:$F$459,$F147,'Калькуляция (МИ)'!$G$25:$G$459,$G147))))</f>
        <v>0</v>
      </c>
      <c r="AN147" s="1441">
        <f ca="1">IF(AND(method_reg="Метод индексации",god&lt;&gt;first_year),SUMIFS(INDEX('Калькуляция (МИ корр)'!$AJ$25:$BC$459,,MATCH(AN$8,'Калькуляция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(МИ)'!$AJ$25:$BC$459,,MATCH(AN$8,'Калькуляция (МИ)'!$AJ$8:$BC$8,0)),'Калькуляция (МИ)'!$F$25:$F$459,$F147,'Калькуляция (МИ)'!$G$25:$G$459,$G147))))</f>
        <v>0</v>
      </c>
      <c r="AO147" s="214">
        <f ca="1">IF(AM147=0,0,(AN147-AM147)/AM147*100)</f>
        <v>0</v>
      </c>
      <c r="AP147" s="1441">
        <f ca="1">IF(AND(method_reg="Метод индексации",god&lt;&gt;first_year),SUMIFS(INDEX('Калькуляция (МИ корр)'!$AJ$25:$BC$459,,MATCH(AP$8,'Калькуляция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(МИ)'!$AJ$25:$BC$459,,MATCH(AP$8,'Калькуляция (МИ)'!$AJ$8:$BC$8,0)),'Калькуляция (МИ)'!$F$25:$F$459,$F147,'Калькуляция (МИ)'!$G$25:$G$459,$G147))))</f>
        <v>0</v>
      </c>
      <c r="AQ147" s="1441">
        <f ca="1">IF(AND(method_reg="Метод индексации",god&lt;&gt;first_year),SUMIFS(INDEX('Калькуляция (МИ корр)'!$AJ$25:$BC$459,,MATCH(AQ$8,'Калькуляция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(МИ)'!$AJ$25:$BC$459,,MATCH(AQ$8,'Калькуляция (МИ)'!$AJ$8:$BC$8,0)),'Калькуляция (МИ)'!$F$25:$F$459,$F147,'Калькуляция (МИ)'!$G$25:$G$459,$G147))))</f>
        <v>0</v>
      </c>
      <c r="AR147" s="214">
        <f ca="1">IF(AP147=0,0,(AQ147-AP147)/AP147*100)</f>
        <v>0</v>
      </c>
      <c r="AS147" s="1441">
        <f ca="1">IF(AND(method_reg="Метод индексации",god&lt;&gt;first_year),SUMIFS(INDEX('Калькуляция (МИ корр)'!$AJ$25:$BC$459,,MATCH(AS$8,'Калькуляция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(МИ)'!$AJ$25:$BC$459,,MATCH(AS$8,'Калькуляция (МИ)'!$AJ$8:$BC$8,0)),'Калькуляция (МИ)'!$F$25:$F$459,$F147,'Калькуляция (МИ)'!$G$25:$G$459,$G147))))</f>
        <v>0</v>
      </c>
      <c r="AT147" s="1441">
        <f ca="1">IF(AND(method_reg="Метод индексации",god&lt;&gt;first_year),SUMIFS(INDEX('Калькуляция (МИ корр)'!$AJ$25:$BC$459,,MATCH(AT$8,'Калькуляция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(МИ)'!$AJ$25:$BC$459,,MATCH(AT$8,'Калькуляция (МИ)'!$AJ$8:$BC$8,0)),'Калькуляция (МИ)'!$F$25:$F$459,$F147,'Калькуляция (МИ)'!$G$25:$G$459,$G147))))</f>
        <v>0</v>
      </c>
      <c r="AU147" s="214">
        <f ca="1">IF(AS147=0,0,(AT147-AS147)/AS147*100)</f>
        <v>0</v>
      </c>
      <c r="AV147" s="1441">
        <f ca="1">IF(AND(method_reg="Метод индексации",god&lt;&gt;first_year),SUMIFS(INDEX('Калькуляция (МИ корр)'!$AJ$25:$BC$459,,MATCH(AV$8,'Калькуляция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(МИ)'!$AJ$25:$BC$459,,MATCH(AV$8,'Калькуляция (МИ)'!$AJ$8:$BC$8,0)),'Калькуляция (МИ)'!$F$25:$F$459,$F147,'Калькуляция (МИ)'!$G$25:$G$459,$G147))))</f>
        <v>0</v>
      </c>
      <c r="AW147" s="1441">
        <f ca="1">IF(AND(method_reg="Метод индексации",god&lt;&gt;first_year),SUMIFS(INDEX('Калькуляция (МИ корр)'!$AJ$25:$BC$459,,MATCH(AW$8,'Калькуляция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(МИ)'!$AJ$25:$BC$459,,MATCH(AW$8,'Калькуляция (МИ)'!$AJ$8:$BC$8,0)),'Калькуляция (МИ)'!$F$25:$F$459,$F147,'Калькуляция (МИ)'!$G$25:$G$459,$G147))))</f>
        <v>0</v>
      </c>
      <c r="AX147" s="214">
        <f ca="1">IF(AV147=0,0,(AW147-AV147)/AV147*100)</f>
        <v>0</v>
      </c>
      <c r="AY147" s="815">
        <f ca="1">IF(AND(method_reg="Метод индексации",god&lt;&gt;first_year),SUMIFS(INDEX('Калькуляция (МИ корр)'!$AJ$25:$BC$459,,MATCH(AY$8,'Калькуляция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(МИ)'!$AJ$25:$BC$459,,MATCH(AY$8,'Калькуляция (МИ)'!$AJ$8:$BC$8,0)),'Калькуляция (МИ)'!$F$25:$F$459,$F147,'Калькуляция (МИ)'!$G$25:$G$459,$G147))))</f>
        <v>0</v>
      </c>
      <c r="AZ147" s="815">
        <f ca="1">IF(AND(method_reg="Метод индексации",god&lt;&gt;first_year),SUMIFS(INDEX('Калькуляция (МИ корр)'!$AJ$25:$BC$459,,MATCH(AZ$8,'Калькуляция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(МИ)'!$AJ$25:$BC$459,,MATCH(AZ$8,'Калькуляция (МИ)'!$AJ$8:$BC$8,0)),'Калькуляция (МИ)'!$F$25:$F$459,$F147,'Калькуляция (МИ)'!$G$25:$G$459,$G147))))</f>
        <v>0</v>
      </c>
      <c r="BA147" s="214">
        <f ca="1">IF(AY147=0,0,(AZ147-AY147)/AY147*100)</f>
        <v>0</v>
      </c>
      <c r="BB147" s="815">
        <f ca="1">IF(AND(method_reg="Метод индексации",god&lt;&gt;first_year),SUMIFS(INDEX('Калькуляция (МИ корр)'!$AJ$25:$BC$459,,MATCH(BB$8,'Калькуляция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(МИ)'!$AJ$25:$BC$459,,MATCH(BB$8,'Калькуляция (МИ)'!$AJ$8:$BC$8,0)),'Калькуляция (МИ)'!$F$25:$F$459,$F147,'Калькуляция (МИ)'!$G$25:$G$459,$G147))))</f>
        <v>0</v>
      </c>
      <c r="BC147" s="815">
        <f ca="1">IF(AND(method_reg="Метод индексации",god&lt;&gt;first_year),SUMIFS(INDEX('Калькуляция (МИ корр)'!$AJ$25:$BC$459,,MATCH(BC$8,'Калькуляция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(МИ)'!$AJ$25:$BC$459,,MATCH(BC$8,'Калькуляция (МИ)'!$AJ$8:$BC$8,0)),'Калькуляция (МИ)'!$F$25:$F$459,$F147,'Калькуляция (МИ)'!$G$25:$G$459,$G147))))</f>
        <v>0</v>
      </c>
      <c r="BD147" s="214">
        <f ca="1">IF(BB147=0,0,(BC147-BB147)/BB147*100)</f>
        <v>0</v>
      </c>
      <c r="BE147" s="815">
        <f ca="1">IF(AND(method_reg="Метод индексации",god&lt;&gt;first_year),SUMIFS(INDEX('Калькуляция (МИ корр)'!$AJ$25:$BC$459,,MATCH(BE$8,'Калькуляция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(МИ)'!$AJ$25:$BC$459,,MATCH(BE$8,'Калькуляция (МИ)'!$AJ$8:$BC$8,0)),'Калькуляция (МИ)'!$F$25:$F$459,$F147,'Калькуляция (МИ)'!$G$25:$G$459,$G147))))</f>
        <v>0</v>
      </c>
      <c r="BF147" s="815">
        <f ca="1">IF(AND(method_reg="Метод индексации",god&lt;&gt;first_year),SUMIFS(INDEX('Калькуляция (МИ корр)'!$AJ$25:$BC$459,,MATCH(BF$8,'Калькуляция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(МИ)'!$AJ$25:$BC$459,,MATCH(BF$8,'Калькуляция (МИ)'!$AJ$8:$BC$8,0)),'Калькуляция (МИ)'!$F$25:$F$459,$F147,'Калькуляция (МИ)'!$G$25:$G$459,$G147))))</f>
        <v>0</v>
      </c>
      <c r="BG147" s="214">
        <f ca="1">IF(BE147=0,0,(BF147-BE147)/BE147*100)</f>
        <v>0</v>
      </c>
      <c r="BH147" s="815"/>
      <c r="BI147" s="815"/>
      <c r="BJ147" s="214">
        <f>IF(BH147=0,0,(BI147-BH147)/BH147*100)</f>
        <v>0</v>
      </c>
      <c r="BK147" s="815"/>
      <c r="BL147" s="815"/>
      <c r="BM147" s="214">
        <f>IF(BK147=0,0,(BL147-BK147)/BK147*100)</f>
        <v>0</v>
      </c>
      <c r="BN147" s="815"/>
      <c r="BO147" s="815"/>
      <c r="BP147" s="214">
        <f>IF(BN147=0,0,(BO147-BN147)/BN147*100)</f>
        <v>0</v>
      </c>
      <c r="BQ147" s="815"/>
      <c r="BR147" s="815"/>
      <c r="BS147" s="214">
        <f>IF(BQ147=0,0,(BR147-BQ147)/BQ147*100)</f>
        <v>0</v>
      </c>
      <c r="BT147" s="815"/>
      <c r="BU147" s="815"/>
      <c r="BV147" s="214">
        <f>IF(BT147=0,0,(BU147-BT147)/BT147*100)</f>
        <v>0</v>
      </c>
      <c r="BW147" s="815"/>
      <c r="BX147" s="815"/>
      <c r="BY147" s="214">
        <f>IF(BW147=0,0,(BX147-BW147)/BW147*100)</f>
        <v>0</v>
      </c>
      <c r="BZ147" s="815"/>
      <c r="CA147" s="815"/>
      <c r="CB147" s="214">
        <f>IF(BZ147=0,0,(CA147-BZ147)/BZ147*100)</f>
        <v>0</v>
      </c>
      <c r="CC147" s="815"/>
      <c r="CD147" s="815"/>
      <c r="CE147" s="214">
        <f>IF(CC147=0,0,(CD147-CC147)/CC147*100)</f>
        <v>0</v>
      </c>
      <c r="CF147" s="815"/>
      <c r="CG147" s="815"/>
      <c r="CH147" s="214">
        <f>IF(CF147=0,0,(CG147-CF147)/CF147*100)</f>
        <v>0</v>
      </c>
      <c r="CI147" s="815"/>
      <c r="CJ147" s="815"/>
      <c r="CK147" s="214">
        <f>IF(CI147=0,0,(CJ147-CI147)/CI147*100)</f>
        <v>0</v>
      </c>
      <c r="CL147" s="815"/>
      <c r="CM147" s="815"/>
      <c r="CN147" s="214">
        <f>IF(CL147=0,0,(CM147-CL147)/CL147*100)</f>
        <v>0</v>
      </c>
      <c r="CO147" s="815"/>
      <c r="CP147" s="815"/>
      <c r="CQ147" s="214">
        <f>IF(CO147=0,0,(CP147-CO147)/CO147*100)</f>
        <v>0</v>
      </c>
      <c r="CR147" s="815"/>
      <c r="CS147" s="815"/>
      <c r="CT147" s="214">
        <f>IF(CR147=0,0,(CS147-CR147)/CR147*100)</f>
        <v>0</v>
      </c>
      <c r="CU147" s="815"/>
      <c r="CV147" s="815"/>
      <c r="CW147" s="214">
        <f>IF(CU147=0,0,(CV147-CU147)/CU147*100)</f>
        <v>0</v>
      </c>
      <c r="CX147" s="815"/>
      <c r="CY147" s="815"/>
      <c r="CZ147" s="214">
        <f>IF(CX147=0,0,(CY147-CX147)/CX147*100)</f>
        <v>0</v>
      </c>
      <c r="DA147" s="815"/>
      <c r="DB147" s="815"/>
      <c r="DC147" s="214">
        <f>IF(DA147=0,0,(DB147-DA147)/DA147*100)</f>
        <v>0</v>
      </c>
      <c r="DD147" s="815"/>
      <c r="DE147" s="815"/>
      <c r="DF147" s="214">
        <f>IF(DD147=0,0,(DE147-DD147)/DD147*100)</f>
        <v>0</v>
      </c>
      <c r="DG147" s="213"/>
      <c r="DH147" s="213"/>
      <c r="DI147" s="214">
        <f>IF(DG147=0,0,(DH147-DG147)/DG147*100)</f>
        <v>0</v>
      </c>
      <c r="DJ147" s="213"/>
      <c r="DK147" s="213"/>
      <c r="DL147" s="214">
        <f>IF(DJ147=0,0,(DK147-DJ147)/DJ147*100)</f>
        <v>0</v>
      </c>
      <c r="DM147" s="213"/>
      <c r="DN147" s="213"/>
      <c r="DO147" s="214">
        <f>IF(DM147=0,0,(DN147-DM147)/DM147*100)</f>
        <v>0</v>
      </c>
      <c r="DP147" s="213"/>
      <c r="DQ147" s="213"/>
      <c r="DR147" s="214">
        <f>IF(DP147=0,0,(DQ147-DP147)/DP147*100)</f>
        <v>0</v>
      </c>
      <c r="DS147" s="213"/>
      <c r="DT147" s="213"/>
      <c r="DU147" s="214">
        <f>IF(DS147=0,0,(DT147-DS147)/DS147*100)</f>
        <v>0</v>
      </c>
      <c r="DV147" s="213"/>
      <c r="DW147" s="213"/>
      <c r="DX147" s="214">
        <f>IF(DV147=0,0,(DW147-DV147)/DV147*100)</f>
        <v>0</v>
      </c>
      <c r="DY147" s="213"/>
      <c r="DZ147" s="213"/>
      <c r="EA147" s="214">
        <f>IF(DY147=0,0,(DZ147-DY147)/DY147*100)</f>
        <v>0</v>
      </c>
      <c r="EB147" s="213"/>
      <c r="EC147" s="213"/>
      <c r="ED147" s="214">
        <f>IF(EB147=0,0,(EC147-EB147)/EB147*100)</f>
        <v>0</v>
      </c>
      <c r="EE147" s="213"/>
      <c r="EF147" s="213"/>
      <c r="EG147" s="214">
        <f>IF(EE147=0,0,(EF147-EE147)/EE147*100)</f>
        <v>0</v>
      </c>
      <c r="EH147" s="213"/>
      <c r="EI147" s="213"/>
      <c r="EJ147" s="214">
        <f>IF(EH147=0,0,(EI147-EH147)/EH147*100)</f>
        <v>0</v>
      </c>
      <c r="EK147" s="213"/>
      <c r="EL147" s="213"/>
      <c r="EM147" s="214">
        <f>IF(EK147=0,0,(EL147-EK147)/EK147*100)</f>
        <v>0</v>
      </c>
      <c r="EN147" s="213"/>
      <c r="EO147" s="213"/>
      <c r="EP147" s="214">
        <f>IF(EN147=0,0,(EO147-EN147)/EN147*100)</f>
        <v>0</v>
      </c>
      <c r="EQ147" s="213"/>
      <c r="ER147" s="213"/>
      <c r="ES147" s="214">
        <f>IF(EQ147=0,0,(ER147-EQ147)/EQ147*100)</f>
        <v>0</v>
      </c>
      <c r="ET147" s="213"/>
      <c r="EU147" s="213"/>
      <c r="EV147" s="214">
        <f>IF(ET147=0,0,(EU147-ET147)/ET147*100)</f>
        <v>0</v>
      </c>
      <c r="EW147" s="213"/>
      <c r="EX147" s="213"/>
      <c r="EY147" s="214">
        <f>IF(EW147=0,0,(EX147-EW147)/EW147*100)</f>
        <v>0</v>
      </c>
      <c r="EZ147" s="213"/>
      <c r="FA147" s="213"/>
      <c r="FB147" s="214">
        <f>IF(EZ147=0,0,(FA147-EZ147)/EZ147*100)</f>
        <v>0</v>
      </c>
      <c r="FC147" s="213"/>
      <c r="FD147" s="213"/>
      <c r="FE147" s="214">
        <f>IF(FC147=0,0,(FD147-FC147)/FC147*100)</f>
        <v>0</v>
      </c>
      <c r="FF147" s="213"/>
      <c r="FG147" s="213"/>
      <c r="FH147" s="214">
        <f>IF(FF147=0,0,(FG147-FF147)/FF147*100)</f>
        <v>0</v>
      </c>
      <c r="FI147" s="213"/>
      <c r="FJ147" s="213"/>
      <c r="FK147" s="214">
        <f>IF(FI147=0,0,(FJ147-FI147)/FI147*100)</f>
        <v>0</v>
      </c>
      <c r="FL147" s="213"/>
      <c r="FM147" s="213"/>
      <c r="FN147" s="214">
        <f>IF(FL147=0,0,(FM147-FL147)/FL147*100)</f>
        <v>0</v>
      </c>
      <c r="FO147" s="213"/>
      <c r="FP147" s="213"/>
      <c r="FQ147" s="214">
        <f>IF(FO147=0,0,(FP147-FO147)/FO147*100)</f>
        <v>0</v>
      </c>
      <c r="FR147" s="213"/>
      <c r="FS147" s="213"/>
      <c r="FT147" s="214">
        <f>IF(FR147=0,0,(FS147-FR147)/FR147*100)</f>
        <v>0</v>
      </c>
      <c r="FU147" s="213"/>
      <c r="FV147" s="213"/>
      <c r="FW147" s="214">
        <f>IF(FU147=0,0,(FV147-FU147)/FU147*100)</f>
        <v>0</v>
      </c>
      <c r="FX147" s="210"/>
      <c r="FY147" s="210"/>
      <c r="FZ147" s="964" t="s">
        <v>1593</v>
      </c>
      <c r="GA147" s="964"/>
      <c r="GB147" s="964"/>
      <c r="GC147" s="965"/>
      <c r="GD147" s="965"/>
    </row>
    <row r="148" spans="1:186" s="1334" customFormat="1" ht="14.25" customHeight="1" x14ac:dyDescent="0.15">
      <c r="A148" s="416"/>
      <c r="B148" s="837" t="b" cm="1">
        <f t="array" ref="B148">B147</f>
        <v>1</v>
      </c>
      <c r="C148" s="416"/>
      <c r="D148" s="416"/>
      <c r="E148" s="759">
        <v>15</v>
      </c>
      <c r="F148" s="3" t="str" cm="1">
        <f t="array" aca="1" ref="F148" ca="1">OFFSET(E148,-1,1)</f>
        <v>2</v>
      </c>
      <c r="G148" s="416"/>
      <c r="H148" s="416" t="s">
        <v>498</v>
      </c>
      <c r="I148" s="416" t="s">
        <v>1594</v>
      </c>
      <c r="J148" s="416"/>
      <c r="K148" s="416"/>
      <c r="L148" s="416"/>
      <c r="M148" s="416"/>
      <c r="N148" s="416"/>
      <c r="O148" s="416"/>
      <c r="P148" s="416"/>
      <c r="Q148" s="416"/>
      <c r="R148" s="416"/>
      <c r="S148" s="416"/>
      <c r="T148" s="388" t="b" cm="1">
        <f t="array" ref="T148">T147</f>
        <v>1</v>
      </c>
      <c r="U148" s="416"/>
      <c r="V148" s="416"/>
      <c r="W148" s="416"/>
      <c r="X148" s="2066"/>
      <c r="Y148" s="416"/>
      <c r="Z148" s="2011"/>
      <c r="AA148" s="416"/>
      <c r="AB148" s="999" t="s">
        <v>1595</v>
      </c>
      <c r="AC148" s="783" t="s">
        <v>490</v>
      </c>
      <c r="AD148" s="1002">
        <f ca="1">IF(AD146=0,0,AD147/AD146)*100</f>
        <v>100.00000000000016</v>
      </c>
      <c r="AE148" s="1002">
        <f ca="1">IF(AE146=0,0,AE147/AE146)*100</f>
        <v>101.25009445874198</v>
      </c>
      <c r="AF148" s="1003"/>
      <c r="AG148" s="1002">
        <f ca="1">IF(AG146=0,0,AG147/AG146)*100</f>
        <v>0</v>
      </c>
      <c r="AH148" s="1002">
        <f ca="1">IF(AH146=0,0,AH147/AH146)*100</f>
        <v>0</v>
      </c>
      <c r="AI148" s="1003"/>
      <c r="AJ148" s="1002">
        <f ca="1">IF(AJ146=0,0,AJ147/AJ146)*100</f>
        <v>0</v>
      </c>
      <c r="AK148" s="1002">
        <f ca="1">IF(AK146=0,0,AK147/AK146)*100</f>
        <v>0</v>
      </c>
      <c r="AL148" s="1003"/>
      <c r="AM148" s="1002">
        <f ca="1">IF(AM146=0,0,AM147/AM146)*100</f>
        <v>0</v>
      </c>
      <c r="AN148" s="1002">
        <f ca="1">IF(AN146=0,0,AN147/AN146)*100</f>
        <v>0</v>
      </c>
      <c r="AO148" s="1003"/>
      <c r="AP148" s="1002">
        <f ca="1">IF(AP146=0,0,AP147/AP146)*100</f>
        <v>0</v>
      </c>
      <c r="AQ148" s="1002">
        <f ca="1">IF(AQ146=0,0,AQ147/AQ146)*100</f>
        <v>0</v>
      </c>
      <c r="AR148" s="1003"/>
      <c r="AS148" s="1002">
        <f ca="1">IF(AS146=0,0,AS147/AS146)*100</f>
        <v>0</v>
      </c>
      <c r="AT148" s="1002">
        <f ca="1">IF(AT146=0,0,AT147/AT146)*100</f>
        <v>0</v>
      </c>
      <c r="AU148" s="1003"/>
      <c r="AV148" s="1002">
        <f ca="1">IF(AV146=0,0,AV147/AV146)*100</f>
        <v>0</v>
      </c>
      <c r="AW148" s="1002">
        <f ca="1">IF(AW146=0,0,AW147/AW146)*100</f>
        <v>0</v>
      </c>
      <c r="AX148" s="1003"/>
      <c r="AY148" s="1002">
        <f ca="1">IF(AY146=0,0,AY147/AY146)*100</f>
        <v>0</v>
      </c>
      <c r="AZ148" s="1002">
        <f ca="1">IF(AZ146=0,0,AZ147/AZ146)*100</f>
        <v>0</v>
      </c>
      <c r="BA148" s="1003"/>
      <c r="BB148" s="1002">
        <f ca="1">IF(BB146=0,0,BB147/BB146)*100</f>
        <v>0</v>
      </c>
      <c r="BC148" s="1002">
        <f ca="1">IF(BC146=0,0,BC147/BC146)*100</f>
        <v>0</v>
      </c>
      <c r="BD148" s="1003"/>
      <c r="BE148" s="1002">
        <f ca="1">IF(BE146=0,0,BE147/BE146)*100</f>
        <v>0</v>
      </c>
      <c r="BF148" s="1002">
        <f ca="1">IF(BF146=0,0,BF147/BF146)*100</f>
        <v>0</v>
      </c>
      <c r="BG148" s="1003"/>
      <c r="BH148" s="1002">
        <f>IF(BH146=0,0,BH147/BH146)*100</f>
        <v>0</v>
      </c>
      <c r="BI148" s="1002">
        <f>IF(BI146=0,0,BI147/BI146)*100</f>
        <v>0</v>
      </c>
      <c r="BJ148" s="1003"/>
      <c r="BK148" s="1002">
        <f>IF(BK146=0,0,BK147/BK146)*100</f>
        <v>0</v>
      </c>
      <c r="BL148" s="1002">
        <f>IF(BL146=0,0,BL147/BL146)*100</f>
        <v>0</v>
      </c>
      <c r="BM148" s="1003"/>
      <c r="BN148" s="1002">
        <f>IF(BN146=0,0,BN147/BN146)*100</f>
        <v>0</v>
      </c>
      <c r="BO148" s="1002">
        <f>IF(BO146=0,0,BO147/BO146)*100</f>
        <v>0</v>
      </c>
      <c r="BP148" s="1003"/>
      <c r="BQ148" s="1002">
        <f>IF(BQ146=0,0,BQ147/BQ146)*100</f>
        <v>0</v>
      </c>
      <c r="BR148" s="1002">
        <f>IF(BR146=0,0,BR147/BR146)*100</f>
        <v>0</v>
      </c>
      <c r="BS148" s="1003"/>
      <c r="BT148" s="1002">
        <f>IF(BT146=0,0,BT147/BT146)*100</f>
        <v>0</v>
      </c>
      <c r="BU148" s="1002">
        <f>IF(BU146=0,0,BU147/BU146)*100</f>
        <v>0</v>
      </c>
      <c r="BV148" s="1003"/>
      <c r="BW148" s="1002">
        <f>IF(BW146=0,0,BW147/BW146)*100</f>
        <v>0</v>
      </c>
      <c r="BX148" s="1002">
        <f>IF(BX146=0,0,BX147/BX146)*100</f>
        <v>0</v>
      </c>
      <c r="BY148" s="1003"/>
      <c r="BZ148" s="1002">
        <f>IF(BZ146=0,0,BZ147/BZ146)*100</f>
        <v>0</v>
      </c>
      <c r="CA148" s="1002">
        <f>IF(CA146=0,0,CA147/CA146)*100</f>
        <v>0</v>
      </c>
      <c r="CB148" s="1003"/>
      <c r="CC148" s="1002">
        <f>IF(CC146=0,0,CC147/CC146)*100</f>
        <v>0</v>
      </c>
      <c r="CD148" s="1002">
        <f>IF(CD146=0,0,CD147/CD146)*100</f>
        <v>0</v>
      </c>
      <c r="CE148" s="1003"/>
      <c r="CF148" s="1002">
        <f>IF(CF146=0,0,CF147/CF146)*100</f>
        <v>0</v>
      </c>
      <c r="CG148" s="1002">
        <f>IF(CG146=0,0,CG147/CG146)*100</f>
        <v>0</v>
      </c>
      <c r="CH148" s="1003"/>
      <c r="CI148" s="1002">
        <f>IF(CI146=0,0,CI147/CI146)*100</f>
        <v>0</v>
      </c>
      <c r="CJ148" s="1002">
        <f>IF(CJ146=0,0,CJ147/CJ146)*100</f>
        <v>0</v>
      </c>
      <c r="CK148" s="1003"/>
      <c r="CL148" s="1002">
        <f>IF(CL146=0,0,CL147/CL146)*100</f>
        <v>0</v>
      </c>
      <c r="CM148" s="1002">
        <f>IF(CM146=0,0,CM147/CM146)*100</f>
        <v>0</v>
      </c>
      <c r="CN148" s="1003"/>
      <c r="CO148" s="1002">
        <f>IF(CO146=0,0,CO147/CO146)*100</f>
        <v>0</v>
      </c>
      <c r="CP148" s="1002">
        <f>IF(CP146=0,0,CP147/CP146)*100</f>
        <v>0</v>
      </c>
      <c r="CQ148" s="1003"/>
      <c r="CR148" s="1002">
        <f>IF(CR146=0,0,CR147/CR146)*100</f>
        <v>0</v>
      </c>
      <c r="CS148" s="1002">
        <f>IF(CS146=0,0,CS147/CS146)*100</f>
        <v>0</v>
      </c>
      <c r="CT148" s="1003"/>
      <c r="CU148" s="1002">
        <f>IF(CU146=0,0,CU147/CU146)*100</f>
        <v>0</v>
      </c>
      <c r="CV148" s="1002">
        <f>IF(CV146=0,0,CV147/CV146)*100</f>
        <v>0</v>
      </c>
      <c r="CW148" s="1003"/>
      <c r="CX148" s="1002">
        <f>IF(CX146=0,0,CX147/CX146)*100</f>
        <v>0</v>
      </c>
      <c r="CY148" s="1002">
        <f>IF(CY146=0,0,CY147/CY146)*100</f>
        <v>0</v>
      </c>
      <c r="CZ148" s="1003"/>
      <c r="DA148" s="1002">
        <f>IF(DA146=0,0,DA147/DA146)*100</f>
        <v>0</v>
      </c>
      <c r="DB148" s="1002">
        <f>IF(DB146=0,0,DB147/DB146)*100</f>
        <v>0</v>
      </c>
      <c r="DC148" s="1003"/>
      <c r="DD148" s="1002">
        <f>IF(DD146=0,0,DD147/DD146)*100</f>
        <v>0</v>
      </c>
      <c r="DE148" s="1002">
        <f>IF(DE146=0,0,DE147/DE146)*100</f>
        <v>0</v>
      </c>
      <c r="DF148" s="1003"/>
      <c r="DG148" s="1002">
        <f>IF(DG146=0,0,DG147/DG146)*100</f>
        <v>0</v>
      </c>
      <c r="DH148" s="1002">
        <f>IF(DH146=0,0,DH147/DH146)*100</f>
        <v>0</v>
      </c>
      <c r="DI148" s="1003"/>
      <c r="DJ148" s="1002">
        <f>IF(DJ146=0,0,DJ147/DJ146)*100</f>
        <v>0</v>
      </c>
      <c r="DK148" s="1002">
        <f>IF(DK146=0,0,DK147/DK146)*100</f>
        <v>0</v>
      </c>
      <c r="DL148" s="1003"/>
      <c r="DM148" s="1002">
        <f>IF(DM146=0,0,DM147/DM146)*100</f>
        <v>0</v>
      </c>
      <c r="DN148" s="1002">
        <f>IF(DN146=0,0,DN147/DN146)*100</f>
        <v>0</v>
      </c>
      <c r="DO148" s="1003"/>
      <c r="DP148" s="1002">
        <f>IF(DP146=0,0,DP147/DP146)*100</f>
        <v>0</v>
      </c>
      <c r="DQ148" s="1002">
        <f>IF(DQ146=0,0,DQ147/DQ146)*100</f>
        <v>0</v>
      </c>
      <c r="DR148" s="1003"/>
      <c r="DS148" s="1002">
        <f>IF(DS146=0,0,DS147/DS146)*100</f>
        <v>0</v>
      </c>
      <c r="DT148" s="1002">
        <f>IF(DT146=0,0,DT147/DT146)*100</f>
        <v>0</v>
      </c>
      <c r="DU148" s="1003"/>
      <c r="DV148" s="1002">
        <f>IF(DV146=0,0,DV147/DV146)*100</f>
        <v>0</v>
      </c>
      <c r="DW148" s="1002">
        <f>IF(DW146=0,0,DW147/DW146)*100</f>
        <v>0</v>
      </c>
      <c r="DX148" s="1003"/>
      <c r="DY148" s="1002">
        <f>IF(DY146=0,0,DY147/DY146)*100</f>
        <v>0</v>
      </c>
      <c r="DZ148" s="1002">
        <f>IF(DZ146=0,0,DZ147/DZ146)*100</f>
        <v>0</v>
      </c>
      <c r="EA148" s="1003"/>
      <c r="EB148" s="1002">
        <f>IF(EB146=0,0,EB147/EB146)*100</f>
        <v>0</v>
      </c>
      <c r="EC148" s="1002">
        <f>IF(EC146=0,0,EC147/EC146)*100</f>
        <v>0</v>
      </c>
      <c r="ED148" s="1003"/>
      <c r="EE148" s="1002">
        <f>IF(EE146=0,0,EE147/EE146)*100</f>
        <v>0</v>
      </c>
      <c r="EF148" s="1002">
        <f>IF(EF146=0,0,EF147/EF146)*100</f>
        <v>0</v>
      </c>
      <c r="EG148" s="1003"/>
      <c r="EH148" s="1002">
        <f>IF(EH146=0,0,EH147/EH146)*100</f>
        <v>0</v>
      </c>
      <c r="EI148" s="1002">
        <f>IF(EI146=0,0,EI147/EI146)*100</f>
        <v>0</v>
      </c>
      <c r="EJ148" s="1003"/>
      <c r="EK148" s="1002">
        <f>IF(EK146=0,0,EK147/EK146)*100</f>
        <v>0</v>
      </c>
      <c r="EL148" s="1002">
        <f>IF(EL146=0,0,EL147/EL146)*100</f>
        <v>0</v>
      </c>
      <c r="EM148" s="1003"/>
      <c r="EN148" s="1002">
        <f>IF(EN146=0,0,EN147/EN146)*100</f>
        <v>0</v>
      </c>
      <c r="EO148" s="1002">
        <f>IF(EO146=0,0,EO147/EO146)*100</f>
        <v>0</v>
      </c>
      <c r="EP148" s="1003"/>
      <c r="EQ148" s="1002">
        <f>IF(EQ146=0,0,EQ147/EQ146)*100</f>
        <v>0</v>
      </c>
      <c r="ER148" s="1002">
        <f>IF(ER146=0,0,ER147/ER146)*100</f>
        <v>0</v>
      </c>
      <c r="ES148" s="1003"/>
      <c r="ET148" s="1002">
        <f>IF(ET146=0,0,ET147/ET146)*100</f>
        <v>0</v>
      </c>
      <c r="EU148" s="1002">
        <f>IF(EU146=0,0,EU147/EU146)*100</f>
        <v>0</v>
      </c>
      <c r="EV148" s="1003"/>
      <c r="EW148" s="1002">
        <f>IF(EW146=0,0,EW147/EW146)*100</f>
        <v>0</v>
      </c>
      <c r="EX148" s="1002">
        <f>IF(EX146=0,0,EX147/EX146)*100</f>
        <v>0</v>
      </c>
      <c r="EY148" s="1003"/>
      <c r="EZ148" s="1002">
        <f>IF(EZ146=0,0,EZ147/EZ146)*100</f>
        <v>0</v>
      </c>
      <c r="FA148" s="1002">
        <f>IF(FA146=0,0,FA147/FA146)*100</f>
        <v>0</v>
      </c>
      <c r="FB148" s="1003"/>
      <c r="FC148" s="1002">
        <f>IF(FC146=0,0,FC147/FC146)*100</f>
        <v>0</v>
      </c>
      <c r="FD148" s="1002">
        <f>IF(FD146=0,0,FD147/FD146)*100</f>
        <v>0</v>
      </c>
      <c r="FE148" s="1003"/>
      <c r="FF148" s="1002">
        <f>IF(FF146=0,0,FF147/FF146)*100</f>
        <v>0</v>
      </c>
      <c r="FG148" s="1002">
        <f>IF(FG146=0,0,FG147/FG146)*100</f>
        <v>0</v>
      </c>
      <c r="FH148" s="1003"/>
      <c r="FI148" s="1002">
        <f>IF(FI146=0,0,FI147/FI146)*100</f>
        <v>0</v>
      </c>
      <c r="FJ148" s="1002">
        <f>IF(FJ146=0,0,FJ147/FJ146)*100</f>
        <v>0</v>
      </c>
      <c r="FK148" s="1003"/>
      <c r="FL148" s="1002">
        <f>IF(FL146=0,0,FL147/FL146)*100</f>
        <v>0</v>
      </c>
      <c r="FM148" s="1002">
        <f>IF(FM146=0,0,FM147/FM146)*100</f>
        <v>0</v>
      </c>
      <c r="FN148" s="1003"/>
      <c r="FO148" s="1002">
        <f>IF(FO146=0,0,FO147/FO146)*100</f>
        <v>0</v>
      </c>
      <c r="FP148" s="1002">
        <f>IF(FP146=0,0,FP147/FP146)*100</f>
        <v>0</v>
      </c>
      <c r="FQ148" s="1003"/>
      <c r="FR148" s="1002">
        <f>IF(FR146=0,0,FR147/FR146)*100</f>
        <v>0</v>
      </c>
      <c r="FS148" s="1002">
        <f>IF(FS146=0,0,FS147/FS146)*100</f>
        <v>0</v>
      </c>
      <c r="FT148" s="1003"/>
      <c r="FU148" s="1002">
        <f>IF(FU146=0,0,FU147/FU146)*100</f>
        <v>0</v>
      </c>
      <c r="FV148" s="1002">
        <f>IF(FV146=0,0,FV147/FV146)*100</f>
        <v>0</v>
      </c>
      <c r="FW148" s="1003"/>
      <c r="FX148" s="210"/>
      <c r="FY148" s="1214"/>
      <c r="FZ148" s="964" t="s">
        <v>1596</v>
      </c>
      <c r="GA148" s="1216"/>
      <c r="GB148" s="1216"/>
      <c r="GC148" s="1215"/>
      <c r="GD148" s="1215"/>
    </row>
    <row r="149" spans="1:186" s="1334" customFormat="1" ht="14.25" customHeight="1" x14ac:dyDescent="0.15">
      <c r="A149" s="416"/>
      <c r="B149" s="837" t="b" cm="1">
        <f t="array" ref="B149">B148</f>
        <v>1</v>
      </c>
      <c r="C149" s="416"/>
      <c r="D149" s="416"/>
      <c r="E149" s="759">
        <v>15</v>
      </c>
      <c r="F149" s="3" t="str" cm="1">
        <f t="array" aca="1" ref="F149" ca="1">OFFSET(E149,-1,1)</f>
        <v>2</v>
      </c>
      <c r="G149" s="26" t="s">
        <v>1597</v>
      </c>
      <c r="H149" s="416" t="s">
        <v>501</v>
      </c>
      <c r="I149" s="416" t="s">
        <v>1594</v>
      </c>
      <c r="J149" s="416"/>
      <c r="K149" s="416"/>
      <c r="L149" s="416"/>
      <c r="M149" s="416"/>
      <c r="N149" s="416"/>
      <c r="O149" s="416"/>
      <c r="P149" s="416"/>
      <c r="Q149" s="416"/>
      <c r="R149" s="416"/>
      <c r="S149" s="416"/>
      <c r="T149" s="388" t="b" cm="1">
        <f t="array" ref="T149">T148</f>
        <v>1</v>
      </c>
      <c r="U149" s="416"/>
      <c r="V149" s="416"/>
      <c r="W149" s="416"/>
      <c r="X149" s="2066"/>
      <c r="Y149" s="416"/>
      <c r="Z149" s="2011"/>
      <c r="AA149" s="416"/>
      <c r="AB149" s="999" t="s">
        <v>1598</v>
      </c>
      <c r="AC149" s="783" t="s">
        <v>563</v>
      </c>
      <c r="AD149" s="1004">
        <f ca="1">IF(AND(method_reg="Метод индексации",god&lt;&gt;first_year),SUMIFS(INDEX('Калькуляция (МИ корр)'!$AJ$25:$BC$459,,MATCH(AD$8,'Калькуляция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(МИ)'!$AJ$25:$BC$459,,MATCH(AD$8,'Калькуляция (МИ)'!$AJ$8:$BC$8,0)),'Калькуляция (МИ)'!$F$25:$F$459,$F149,'Калькуляция (МИ)'!$G$25:$G$459,$G149))))</f>
        <v>2636.9479999999999</v>
      </c>
      <c r="AE149" s="1004">
        <f ca="1">IF(AND(method_reg="Метод индексации",god&lt;&gt;first_year),SUMIFS(INDEX('Калькуляция (МИ корр)'!$AJ$25:$BC$459,,MATCH(AE$8,'Калькуляция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(МИ)'!$AJ$25:$BC$459,,MATCH(AE$8,'Калькуляция (МИ)'!$AJ$8:$BC$8,0)),'Калькуляция (МИ)'!$F$25:$F$459,$F149,'Калькуляция (МИ)'!$G$25:$G$459,$G149))))</f>
        <v>2451.4411899999996</v>
      </c>
      <c r="AF149" s="1005">
        <f ca="1">IF(AD149=0,0,(AE149-AD149)/AD149*100)</f>
        <v>-7.0349058836200156</v>
      </c>
      <c r="AG149" s="1443">
        <f ca="1">IF(AND(method_reg="Метод индексации",god&lt;&gt;first_year),SUMIFS(INDEX('Калькуляция (МИ корр)'!$AJ$25:$BC$459,,MATCH(AG$8,'Калькуляция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(МИ)'!$AJ$25:$BC$459,,MATCH(AG$8,'Калькуляция (МИ)'!$AJ$8:$BC$8,0)),'Калькуляция (МИ)'!$F$25:$F$459,$F149,'Калькуляция (МИ)'!$G$25:$G$459,$G149))))</f>
        <v>0</v>
      </c>
      <c r="AH149" s="1443">
        <f ca="1">IF(AND(method_reg="Метод индексации",god&lt;&gt;first_year),SUMIFS(INDEX('Калькуляция (МИ корр)'!$AJ$25:$BC$459,,MATCH(AH$8,'Калькуляция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(МИ)'!$AJ$25:$BC$459,,MATCH(AH$8,'Калькуляция (МИ)'!$AJ$8:$BC$8,0)),'Калькуляция (МИ)'!$F$25:$F$459,$F149,'Калькуляция (МИ)'!$G$25:$G$459,$G149))))</f>
        <v>0</v>
      </c>
      <c r="AI149" s="1005">
        <f ca="1">IF(AG149=0,0,(AH149-AG149)/AG149*100)</f>
        <v>0</v>
      </c>
      <c r="AJ149" s="1443">
        <f ca="1">IF(AND(method_reg="Метод индексации",god&lt;&gt;first_year),SUMIFS(INDEX('Калькуляция (МИ корр)'!$AJ$25:$BC$459,,MATCH(AJ$8,'Калькуляция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(МИ)'!$AJ$25:$BC$459,,MATCH(AJ$8,'Калькуляция (МИ)'!$AJ$8:$BC$8,0)),'Калькуляция (МИ)'!$F$25:$F$459,$F149,'Калькуляция (МИ)'!$G$25:$G$459,$G149))))</f>
        <v>0</v>
      </c>
      <c r="AK149" s="1443">
        <f ca="1">IF(AND(method_reg="Метод индексации",god&lt;&gt;first_year),SUMIFS(INDEX('Калькуляция (МИ корр)'!$AJ$25:$BC$459,,MATCH(AK$8,'Калькуляция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(МИ)'!$AJ$25:$BC$459,,MATCH(AK$8,'Калькуляция (МИ)'!$AJ$8:$BC$8,0)),'Калькуляция (МИ)'!$F$25:$F$459,$F149,'Калькуляция (МИ)'!$G$25:$G$459,$G149))))</f>
        <v>0</v>
      </c>
      <c r="AL149" s="1005">
        <f ca="1">IF(AJ149=0,0,(AK149-AJ149)/AJ149*100)</f>
        <v>0</v>
      </c>
      <c r="AM149" s="1443">
        <f ca="1">IF(AND(method_reg="Метод индексации",god&lt;&gt;first_year),SUMIFS(INDEX('Калькуляция (МИ корр)'!$AJ$25:$BC$459,,MATCH(AM$8,'Калькуляция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(МИ)'!$AJ$25:$BC$459,,MATCH(AM$8,'Калькуляция (МИ)'!$AJ$8:$BC$8,0)),'Калькуляция (МИ)'!$F$25:$F$459,$F149,'Калькуляция (МИ)'!$G$25:$G$459,$G149))))</f>
        <v>0</v>
      </c>
      <c r="AN149" s="1443">
        <f ca="1">IF(AND(method_reg="Метод индексации",god&lt;&gt;first_year),SUMIFS(INDEX('Калькуляция (МИ корр)'!$AJ$25:$BC$459,,MATCH(AN$8,'Калькуляция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(МИ)'!$AJ$25:$BC$459,,MATCH(AN$8,'Калькуляция (МИ)'!$AJ$8:$BC$8,0)),'Калькуляция (МИ)'!$F$25:$F$459,$F149,'Калькуляция (МИ)'!$G$25:$G$459,$G149))))</f>
        <v>0</v>
      </c>
      <c r="AO149" s="1005">
        <f ca="1">IF(AM149=0,0,(AN149-AM149)/AM149*100)</f>
        <v>0</v>
      </c>
      <c r="AP149" s="1443">
        <f ca="1">IF(AND(method_reg="Метод индексации",god&lt;&gt;first_year),SUMIFS(INDEX('Калькуляция (МИ корр)'!$AJ$25:$BC$459,,MATCH(AP$8,'Калькуляция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(МИ)'!$AJ$25:$BC$459,,MATCH(AP$8,'Калькуляция (МИ)'!$AJ$8:$BC$8,0)),'Калькуляция (МИ)'!$F$25:$F$459,$F149,'Калькуляция (МИ)'!$G$25:$G$459,$G149))))</f>
        <v>0</v>
      </c>
      <c r="AQ149" s="1443">
        <f ca="1">IF(AND(method_reg="Метод индексации",god&lt;&gt;first_year),SUMIFS(INDEX('Калькуляция (МИ корр)'!$AJ$25:$BC$459,,MATCH(AQ$8,'Калькуляция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(МИ)'!$AJ$25:$BC$459,,MATCH(AQ$8,'Калькуляция (МИ)'!$AJ$8:$BC$8,0)),'Калькуляция (МИ)'!$F$25:$F$459,$F149,'Калькуляция (МИ)'!$G$25:$G$459,$G149))))</f>
        <v>0</v>
      </c>
      <c r="AR149" s="1005">
        <f ca="1">IF(AP149=0,0,(AQ149-AP149)/AP149*100)</f>
        <v>0</v>
      </c>
      <c r="AS149" s="1443">
        <f ca="1">IF(AND(method_reg="Метод индексации",god&lt;&gt;first_year),SUMIFS(INDEX('Калькуляция (МИ корр)'!$AJ$25:$BC$459,,MATCH(AS$8,'Калькуляция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(МИ)'!$AJ$25:$BC$459,,MATCH(AS$8,'Калькуляция (МИ)'!$AJ$8:$BC$8,0)),'Калькуляция (МИ)'!$F$25:$F$459,$F149,'Калькуляция (МИ)'!$G$25:$G$459,$G149))))</f>
        <v>0</v>
      </c>
      <c r="AT149" s="1443">
        <f ca="1">IF(AND(method_reg="Метод индексации",god&lt;&gt;first_year),SUMIFS(INDEX('Калькуляция (МИ корр)'!$AJ$25:$BC$459,,MATCH(AT$8,'Калькуляция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(МИ)'!$AJ$25:$BC$459,,MATCH(AT$8,'Калькуляция (МИ)'!$AJ$8:$BC$8,0)),'Калькуляция (МИ)'!$F$25:$F$459,$F149,'Калькуляция (МИ)'!$G$25:$G$459,$G149))))</f>
        <v>0</v>
      </c>
      <c r="AU149" s="1005">
        <f ca="1">IF(AS149=0,0,(AT149-AS149)/AS149*100)</f>
        <v>0</v>
      </c>
      <c r="AV149" s="1443">
        <f ca="1">IF(AND(method_reg="Метод индексации",god&lt;&gt;first_year),SUMIFS(INDEX('Калькуляция (МИ корр)'!$AJ$25:$BC$459,,MATCH(AV$8,'Калькуляция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(МИ)'!$AJ$25:$BC$459,,MATCH(AV$8,'Калькуляция (МИ)'!$AJ$8:$BC$8,0)),'Калькуляция (МИ)'!$F$25:$F$459,$F149,'Калькуляция (МИ)'!$G$25:$G$459,$G149))))</f>
        <v>0</v>
      </c>
      <c r="AW149" s="1443">
        <f ca="1">IF(AND(method_reg="Метод индексации",god&lt;&gt;first_year),SUMIFS(INDEX('Калькуляция (МИ корр)'!$AJ$25:$BC$459,,MATCH(AW$8,'Калькуляция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(МИ)'!$AJ$25:$BC$459,,MATCH(AW$8,'Калькуляция (МИ)'!$AJ$8:$BC$8,0)),'Калькуляция (МИ)'!$F$25:$F$459,$F149,'Калькуляция (МИ)'!$G$25:$G$459,$G149))))</f>
        <v>0</v>
      </c>
      <c r="AX149" s="1005">
        <f ca="1">IF(AV149=0,0,(AW149-AV149)/AV149*100)</f>
        <v>0</v>
      </c>
      <c r="AY149" s="1004">
        <f ca="1">IF(AND(method_reg="Метод индексации",god&lt;&gt;first_year),SUMIFS(INDEX('Калькуляция (МИ корр)'!$AJ$25:$BC$459,,MATCH(AY$8,'Калькуляция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(МИ)'!$AJ$25:$BC$459,,MATCH(AY$8,'Калькуляция (МИ)'!$AJ$8:$BC$8,0)),'Калькуляция (МИ)'!$F$25:$F$459,$F149,'Калькуляция (МИ)'!$G$25:$G$459,$G149))))</f>
        <v>0</v>
      </c>
      <c r="AZ149" s="1004">
        <f ca="1">IF(AND(method_reg="Метод индексации",god&lt;&gt;first_year),SUMIFS(INDEX('Калькуляция (МИ корр)'!$AJ$25:$BC$459,,MATCH(AZ$8,'Калькуляция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(МИ)'!$AJ$25:$BC$459,,MATCH(AZ$8,'Калькуляция (МИ)'!$AJ$8:$BC$8,0)),'Калькуляция (МИ)'!$F$25:$F$459,$F149,'Калькуляция (МИ)'!$G$25:$G$459,$G149))))</f>
        <v>0</v>
      </c>
      <c r="BA149" s="1005">
        <f ca="1">IF(AY149=0,0,(AZ149-AY149)/AY149*100)</f>
        <v>0</v>
      </c>
      <c r="BB149" s="1004">
        <f ca="1">IF(AND(method_reg="Метод индексации",god&lt;&gt;first_year),SUMIFS(INDEX('Калькуляция (МИ корр)'!$AJ$25:$BC$459,,MATCH(BB$8,'Калькуляция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(МИ)'!$AJ$25:$BC$459,,MATCH(BB$8,'Калькуляция (МИ)'!$AJ$8:$BC$8,0)),'Калькуляция (МИ)'!$F$25:$F$459,$F149,'Калькуляция (МИ)'!$G$25:$G$459,$G149))))</f>
        <v>0</v>
      </c>
      <c r="BC149" s="1004">
        <f ca="1">IF(AND(method_reg="Метод индексации",god&lt;&gt;first_year),SUMIFS(INDEX('Калькуляция (МИ корр)'!$AJ$25:$BC$459,,MATCH(BC$8,'Калькуляция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(МИ)'!$AJ$25:$BC$459,,MATCH(BC$8,'Калькуляция (МИ)'!$AJ$8:$BC$8,0)),'Калькуляция (МИ)'!$F$25:$F$459,$F149,'Калькуляция (МИ)'!$G$25:$G$459,$G149))))</f>
        <v>0</v>
      </c>
      <c r="BD149" s="1005">
        <f ca="1">IF(BB149=0,0,(BC149-BB149)/BB149*100)</f>
        <v>0</v>
      </c>
      <c r="BE149" s="1004">
        <f ca="1">IF(AND(method_reg="Метод индексации",god&lt;&gt;first_year),SUMIFS(INDEX('Калькуляция (МИ корр)'!$AJ$25:$BC$459,,MATCH(BE$8,'Калькуляция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(МИ)'!$AJ$25:$BC$459,,MATCH(BE$8,'Калькуляция (МИ)'!$AJ$8:$BC$8,0)),'Калькуляция (МИ)'!$F$25:$F$459,$F149,'Калькуляция (МИ)'!$G$25:$G$459,$G149))))</f>
        <v>0</v>
      </c>
      <c r="BF149" s="1004">
        <f ca="1">IF(AND(method_reg="Метод индексации",god&lt;&gt;first_year),SUMIFS(INDEX('Калькуляция (МИ корр)'!$AJ$25:$BC$459,,MATCH(BF$8,'Калькуляция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(МИ)'!$AJ$25:$BC$459,,MATCH(BF$8,'Калькуляция (МИ)'!$AJ$8:$BC$8,0)),'Калькуляция (МИ)'!$F$25:$F$459,$F149,'Калькуляция (МИ)'!$G$25:$G$459,$G149))))</f>
        <v>0</v>
      </c>
      <c r="BG149" s="1005">
        <f ca="1">IF(BE149=0,0,(BF149-BE149)/BE149*100)</f>
        <v>0</v>
      </c>
      <c r="BH149" s="1004"/>
      <c r="BI149" s="1004"/>
      <c r="BJ149" s="1005">
        <f>IF(BH149=0,0,(BI149-BH149)/BH149*100)</f>
        <v>0</v>
      </c>
      <c r="BK149" s="1004"/>
      <c r="BL149" s="1004"/>
      <c r="BM149" s="1005">
        <f>IF(BK149=0,0,(BL149-BK149)/BK149*100)</f>
        <v>0</v>
      </c>
      <c r="BN149" s="1004"/>
      <c r="BO149" s="1004"/>
      <c r="BP149" s="1005">
        <f>IF(BN149=0,0,(BO149-BN149)/BN149*100)</f>
        <v>0</v>
      </c>
      <c r="BQ149" s="1004"/>
      <c r="BR149" s="1004"/>
      <c r="BS149" s="1005">
        <f>IF(BQ149=0,0,(BR149-BQ149)/BQ149*100)</f>
        <v>0</v>
      </c>
      <c r="BT149" s="1004"/>
      <c r="BU149" s="1004"/>
      <c r="BV149" s="1005">
        <f>IF(BT149=0,0,(BU149-BT149)/BT149*100)</f>
        <v>0</v>
      </c>
      <c r="BW149" s="1004"/>
      <c r="BX149" s="1004"/>
      <c r="BY149" s="1005">
        <f>IF(BW149=0,0,(BX149-BW149)/BW149*100)</f>
        <v>0</v>
      </c>
      <c r="BZ149" s="1004"/>
      <c r="CA149" s="1004"/>
      <c r="CB149" s="1005">
        <f>IF(BZ149=0,0,(CA149-BZ149)/BZ149*100)</f>
        <v>0</v>
      </c>
      <c r="CC149" s="1004"/>
      <c r="CD149" s="1004"/>
      <c r="CE149" s="1005">
        <f>IF(CC149=0,0,(CD149-CC149)/CC149*100)</f>
        <v>0</v>
      </c>
      <c r="CF149" s="1004"/>
      <c r="CG149" s="1004"/>
      <c r="CH149" s="1005">
        <f>IF(CF149=0,0,(CG149-CF149)/CF149*100)</f>
        <v>0</v>
      </c>
      <c r="CI149" s="1004"/>
      <c r="CJ149" s="1004"/>
      <c r="CK149" s="1005">
        <f>IF(CI149=0,0,(CJ149-CI149)/CI149*100)</f>
        <v>0</v>
      </c>
      <c r="CL149" s="1004"/>
      <c r="CM149" s="1004"/>
      <c r="CN149" s="1005">
        <f>IF(CL149=0,0,(CM149-CL149)/CL149*100)</f>
        <v>0</v>
      </c>
      <c r="CO149" s="1004"/>
      <c r="CP149" s="1004"/>
      <c r="CQ149" s="1005">
        <f>IF(CO149=0,0,(CP149-CO149)/CO149*100)</f>
        <v>0</v>
      </c>
      <c r="CR149" s="1004"/>
      <c r="CS149" s="1004"/>
      <c r="CT149" s="1005">
        <f>IF(CR149=0,0,(CS149-CR149)/CR149*100)</f>
        <v>0</v>
      </c>
      <c r="CU149" s="1004"/>
      <c r="CV149" s="1004"/>
      <c r="CW149" s="1005">
        <f>IF(CU149=0,0,(CV149-CU149)/CU149*100)</f>
        <v>0</v>
      </c>
      <c r="CX149" s="1004"/>
      <c r="CY149" s="1004"/>
      <c r="CZ149" s="1005">
        <f>IF(CX149=0,0,(CY149-CX149)/CX149*100)</f>
        <v>0</v>
      </c>
      <c r="DA149" s="1004"/>
      <c r="DB149" s="1004"/>
      <c r="DC149" s="1005">
        <f>IF(DA149=0,0,(DB149-DA149)/DA149*100)</f>
        <v>0</v>
      </c>
      <c r="DD149" s="1004"/>
      <c r="DE149" s="1004"/>
      <c r="DF149" s="1005">
        <f>IF(DD149=0,0,(DE149-DD149)/DD149*100)</f>
        <v>0</v>
      </c>
      <c r="DG149" s="1004"/>
      <c r="DH149" s="1004"/>
      <c r="DI149" s="1005">
        <f>IF(DG149=0,0,(DH149-DG149)/DG149*100)</f>
        <v>0</v>
      </c>
      <c r="DJ149" s="1004"/>
      <c r="DK149" s="1004"/>
      <c r="DL149" s="1005">
        <f>IF(DJ149=0,0,(DK149-DJ149)/DJ149*100)</f>
        <v>0</v>
      </c>
      <c r="DM149" s="1004"/>
      <c r="DN149" s="1004"/>
      <c r="DO149" s="1005">
        <f>IF(DM149=0,0,(DN149-DM149)/DM149*100)</f>
        <v>0</v>
      </c>
      <c r="DP149" s="1004"/>
      <c r="DQ149" s="1004"/>
      <c r="DR149" s="1005">
        <f>IF(DP149=0,0,(DQ149-DP149)/DP149*100)</f>
        <v>0</v>
      </c>
      <c r="DS149" s="1004"/>
      <c r="DT149" s="1004"/>
      <c r="DU149" s="1005">
        <f>IF(DS149=0,0,(DT149-DS149)/DS149*100)</f>
        <v>0</v>
      </c>
      <c r="DV149" s="1004"/>
      <c r="DW149" s="1004"/>
      <c r="DX149" s="1005">
        <f>IF(DV149=0,0,(DW149-DV149)/DV149*100)</f>
        <v>0</v>
      </c>
      <c r="DY149" s="1004"/>
      <c r="DZ149" s="1004"/>
      <c r="EA149" s="1005">
        <f>IF(DY149=0,0,(DZ149-DY149)/DY149*100)</f>
        <v>0</v>
      </c>
      <c r="EB149" s="1004"/>
      <c r="EC149" s="1004"/>
      <c r="ED149" s="1005">
        <f>IF(EB149=0,0,(EC149-EB149)/EB149*100)</f>
        <v>0</v>
      </c>
      <c r="EE149" s="1004"/>
      <c r="EF149" s="1004"/>
      <c r="EG149" s="1005">
        <f>IF(EE149=0,0,(EF149-EE149)/EE149*100)</f>
        <v>0</v>
      </c>
      <c r="EH149" s="1004"/>
      <c r="EI149" s="1004"/>
      <c r="EJ149" s="1005">
        <f>IF(EH149=0,0,(EI149-EH149)/EH149*100)</f>
        <v>0</v>
      </c>
      <c r="EK149" s="1004"/>
      <c r="EL149" s="1004"/>
      <c r="EM149" s="1005">
        <f>IF(EK149=0,0,(EL149-EK149)/EK149*100)</f>
        <v>0</v>
      </c>
      <c r="EN149" s="1004"/>
      <c r="EO149" s="1004"/>
      <c r="EP149" s="1005">
        <f>IF(EN149=0,0,(EO149-EN149)/EN149*100)</f>
        <v>0</v>
      </c>
      <c r="EQ149" s="1004"/>
      <c r="ER149" s="1004"/>
      <c r="ES149" s="1005">
        <f>IF(EQ149=0,0,(ER149-EQ149)/EQ149*100)</f>
        <v>0</v>
      </c>
      <c r="ET149" s="1004"/>
      <c r="EU149" s="1004"/>
      <c r="EV149" s="1005">
        <f>IF(ET149=0,0,(EU149-ET149)/ET149*100)</f>
        <v>0</v>
      </c>
      <c r="EW149" s="1004"/>
      <c r="EX149" s="1004"/>
      <c r="EY149" s="1005">
        <f>IF(EW149=0,0,(EX149-EW149)/EW149*100)</f>
        <v>0</v>
      </c>
      <c r="EZ149" s="1004"/>
      <c r="FA149" s="1004"/>
      <c r="FB149" s="1005">
        <f>IF(EZ149=0,0,(FA149-EZ149)/EZ149*100)</f>
        <v>0</v>
      </c>
      <c r="FC149" s="1004"/>
      <c r="FD149" s="1004"/>
      <c r="FE149" s="1005">
        <f>IF(FC149=0,0,(FD149-FC149)/FC149*100)</f>
        <v>0</v>
      </c>
      <c r="FF149" s="1004"/>
      <c r="FG149" s="1004"/>
      <c r="FH149" s="1005">
        <f>IF(FF149=0,0,(FG149-FF149)/FF149*100)</f>
        <v>0</v>
      </c>
      <c r="FI149" s="1004"/>
      <c r="FJ149" s="1004"/>
      <c r="FK149" s="1005">
        <f>IF(FI149=0,0,(FJ149-FI149)/FI149*100)</f>
        <v>0</v>
      </c>
      <c r="FL149" s="1004"/>
      <c r="FM149" s="1004"/>
      <c r="FN149" s="1005">
        <f>IF(FL149=0,0,(FM149-FL149)/FL149*100)</f>
        <v>0</v>
      </c>
      <c r="FO149" s="1004"/>
      <c r="FP149" s="1004"/>
      <c r="FQ149" s="1005">
        <f>IF(FO149=0,0,(FP149-FO149)/FO149*100)</f>
        <v>0</v>
      </c>
      <c r="FR149" s="1004"/>
      <c r="FS149" s="1004"/>
      <c r="FT149" s="1005">
        <f>IF(FR149=0,0,(FS149-FR149)/FR149*100)</f>
        <v>0</v>
      </c>
      <c r="FU149" s="1004"/>
      <c r="FV149" s="1004"/>
      <c r="FW149" s="1005">
        <f>IF(FU149=0,0,(FV149-FU149)/FU149*100)</f>
        <v>0</v>
      </c>
      <c r="FX149" s="210"/>
      <c r="FY149" s="1214"/>
      <c r="FZ149" s="964" t="s">
        <v>1599</v>
      </c>
      <c r="GA149" s="1216"/>
      <c r="GB149" s="1216"/>
      <c r="GC149" s="1215"/>
      <c r="GD149" s="1215"/>
    </row>
    <row r="150" spans="1:186" s="1457" customFormat="1" ht="23.25" customHeight="1" x14ac:dyDescent="0.15">
      <c r="A150" s="813"/>
      <c r="B150" s="837" t="b" cm="1">
        <f t="array" ref="B150">B149</f>
        <v>1</v>
      </c>
      <c r="C150" s="813"/>
      <c r="D150" s="813"/>
      <c r="E150" s="814">
        <v>24.5</v>
      </c>
      <c r="F150" s="3" t="str" cm="1">
        <f t="array" aca="1" ref="F150" ca="1">OFFSET(E150,-1,1)</f>
        <v>2</v>
      </c>
      <c r="G150" s="26" t="s">
        <v>1600</v>
      </c>
      <c r="H150" s="416" t="s">
        <v>494</v>
      </c>
      <c r="I150" s="416" t="s">
        <v>1601</v>
      </c>
      <c r="J150" s="813"/>
      <c r="K150" s="813"/>
      <c r="L150" s="416"/>
      <c r="M150" s="813"/>
      <c r="N150" s="813"/>
      <c r="O150" s="813"/>
      <c r="P150" s="813"/>
      <c r="Q150" s="813"/>
      <c r="R150" s="416"/>
      <c r="S150" s="416"/>
      <c r="T150" s="388" t="b" cm="1">
        <f t="array" ref="T150">T149</f>
        <v>1</v>
      </c>
      <c r="U150" s="813"/>
      <c r="V150" s="813"/>
      <c r="W150" s="813"/>
      <c r="X150" s="2066"/>
      <c r="Y150" s="813"/>
      <c r="Z150" s="2011"/>
      <c r="AA150" s="813"/>
      <c r="AB150" s="211" t="s">
        <v>1602</v>
      </c>
      <c r="AC150" s="212" t="s">
        <v>1588</v>
      </c>
      <c r="AD150" s="815">
        <f ca="1">AD146*1.22</f>
        <v>70.828230666664609</v>
      </c>
      <c r="AE150" s="815">
        <f ca="1">AE146*1.22</f>
        <v>50.812199509566</v>
      </c>
      <c r="AF150" s="214">
        <f ca="1">IF(AD150=0,0,(AE150-AD150)/AD150*100)</f>
        <v>-28.259962120611291</v>
      </c>
      <c r="AG150" s="1441">
        <f ca="1">IF(AND(method_reg="Метод индексации",god&lt;&gt;first_year),SUMIFS(INDEX('Калькуляция (МИ корр)'!$AJ$25:$BC$459,,MATCH(AG$8,'Калькуляция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(МИ)'!$AJ$25:$BC$459,,MATCH(AG$8,'Калькуляция (МИ)'!$AJ$8:$BC$8,0)),'Калькуляция (МИ)'!$F$25:$F$459,$F150,'Калькуляция (МИ)'!$G$25:$G$459,$G150))))</f>
        <v>0</v>
      </c>
      <c r="AH150" s="1441">
        <f ca="1">IF(AND(method_reg="Метод индексации",god&lt;&gt;first_year),SUMIFS(INDEX('Калькуляция (МИ корр)'!$AJ$25:$BC$459,,MATCH(AH$8,'Калькуляция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(МИ)'!$AJ$25:$BC$459,,MATCH(AH$8,'Калькуляция (МИ)'!$AJ$8:$BC$8,0)),'Калькуляция (МИ)'!$F$25:$F$459,$F150,'Калькуляция (МИ)'!$G$25:$G$459,$G150))))</f>
        <v>0</v>
      </c>
      <c r="AI150" s="214">
        <f ca="1">IF(AG150=0,0,(AH150-AG150)/AG150*100)</f>
        <v>0</v>
      </c>
      <c r="AJ150" s="1441">
        <f ca="1">IF(AND(method_reg="Метод индексации",god&lt;&gt;first_year),SUMIFS(INDEX('Калькуляция (МИ корр)'!$AJ$25:$BC$459,,MATCH(AJ$8,'Калькуляция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(МИ)'!$AJ$25:$BC$459,,MATCH(AJ$8,'Калькуляция (МИ)'!$AJ$8:$BC$8,0)),'Калькуляция (МИ)'!$F$25:$F$459,$F150,'Калькуляция (МИ)'!$G$25:$G$459,$G150))))</f>
        <v>0</v>
      </c>
      <c r="AK150" s="1441">
        <f ca="1">IF(AND(method_reg="Метод индексации",god&lt;&gt;first_year),SUMIFS(INDEX('Калькуляция (МИ корр)'!$AJ$25:$BC$459,,MATCH(AK$8,'Калькуляция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(МИ)'!$AJ$25:$BC$459,,MATCH(AK$8,'Калькуляция (МИ)'!$AJ$8:$BC$8,0)),'Калькуляция (МИ)'!$F$25:$F$459,$F150,'Калькуляция (МИ)'!$G$25:$G$459,$G150))))</f>
        <v>0</v>
      </c>
      <c r="AL150" s="214">
        <f ca="1">IF(AJ150=0,0,(AK150-AJ150)/AJ150*100)</f>
        <v>0</v>
      </c>
      <c r="AM150" s="1441">
        <f ca="1">IF(AND(method_reg="Метод индексации",god&lt;&gt;first_year),SUMIFS(INDEX('Калькуляция (МИ корр)'!$AJ$25:$BC$459,,MATCH(AM$8,'Калькуляция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(МИ)'!$AJ$25:$BC$459,,MATCH(AM$8,'Калькуляция (МИ)'!$AJ$8:$BC$8,0)),'Калькуляция (МИ)'!$F$25:$F$459,$F150,'Калькуляция (МИ)'!$G$25:$G$459,$G150))))</f>
        <v>0</v>
      </c>
      <c r="AN150" s="1441">
        <f ca="1">IF(AND(method_reg="Метод индексации",god&lt;&gt;first_year),SUMIFS(INDEX('Калькуляция (МИ корр)'!$AJ$25:$BC$459,,MATCH(AN$8,'Калькуляция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(МИ)'!$AJ$25:$BC$459,,MATCH(AN$8,'Калькуляция (МИ)'!$AJ$8:$BC$8,0)),'Калькуляция (МИ)'!$F$25:$F$459,$F150,'Калькуляция (МИ)'!$G$25:$G$459,$G150))))</f>
        <v>0</v>
      </c>
      <c r="AO150" s="214">
        <f ca="1">IF(AM150=0,0,(AN150-AM150)/AM150*100)</f>
        <v>0</v>
      </c>
      <c r="AP150" s="1441">
        <f ca="1">IF(AND(method_reg="Метод индексации",god&lt;&gt;first_year),SUMIFS(INDEX('Калькуляция (МИ корр)'!$AJ$25:$BC$459,,MATCH(AP$8,'Калькуляция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(МИ)'!$AJ$25:$BC$459,,MATCH(AP$8,'Калькуляция (МИ)'!$AJ$8:$BC$8,0)),'Калькуляция (МИ)'!$F$25:$F$459,$F150,'Калькуляция (МИ)'!$G$25:$G$459,$G150))))</f>
        <v>0</v>
      </c>
      <c r="AQ150" s="1441">
        <f ca="1">IF(AND(method_reg="Метод индексации",god&lt;&gt;first_year),SUMIFS(INDEX('Калькуляция (МИ корр)'!$AJ$25:$BC$459,,MATCH(AQ$8,'Калькуляция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(МИ)'!$AJ$25:$BC$459,,MATCH(AQ$8,'Калькуляция (МИ)'!$AJ$8:$BC$8,0)),'Калькуляция (МИ)'!$F$25:$F$459,$F150,'Калькуляция (МИ)'!$G$25:$G$459,$G150))))</f>
        <v>0</v>
      </c>
      <c r="AR150" s="214">
        <f ca="1">IF(AP150=0,0,(AQ150-AP150)/AP150*100)</f>
        <v>0</v>
      </c>
      <c r="AS150" s="1441">
        <f ca="1">IF(AND(method_reg="Метод индексации",god&lt;&gt;first_year),SUMIFS(INDEX('Калькуляция (МИ корр)'!$AJ$25:$BC$459,,MATCH(AS$8,'Калькуляция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(МИ)'!$AJ$25:$BC$459,,MATCH(AS$8,'Калькуляция (МИ)'!$AJ$8:$BC$8,0)),'Калькуляция (МИ)'!$F$25:$F$459,$F150,'Калькуляция (МИ)'!$G$25:$G$459,$G150))))</f>
        <v>0</v>
      </c>
      <c r="AT150" s="1441">
        <f ca="1">IF(AND(method_reg="Метод индексации",god&lt;&gt;first_year),SUMIFS(INDEX('Калькуляция (МИ корр)'!$AJ$25:$BC$459,,MATCH(AT$8,'Калькуляция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(МИ)'!$AJ$25:$BC$459,,MATCH(AT$8,'Калькуляция (МИ)'!$AJ$8:$BC$8,0)),'Калькуляция (МИ)'!$F$25:$F$459,$F150,'Калькуляция (МИ)'!$G$25:$G$459,$G150))))</f>
        <v>0</v>
      </c>
      <c r="AU150" s="214">
        <f ca="1">IF(AS150=0,0,(AT150-AS150)/AS150*100)</f>
        <v>0</v>
      </c>
      <c r="AV150" s="1441">
        <f ca="1">IF(AND(method_reg="Метод индексации",god&lt;&gt;first_year),SUMIFS(INDEX('Калькуляция (МИ корр)'!$AJ$25:$BC$459,,MATCH(AV$8,'Калькуляция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(МИ)'!$AJ$25:$BC$459,,MATCH(AV$8,'Калькуляция (МИ)'!$AJ$8:$BC$8,0)),'Калькуляция (МИ)'!$F$25:$F$459,$F150,'Калькуляция (МИ)'!$G$25:$G$459,$G150))))</f>
        <v>0</v>
      </c>
      <c r="AW150" s="1441">
        <f ca="1">IF(AND(method_reg="Метод индексации",god&lt;&gt;first_year),SUMIFS(INDEX('Калькуляция (МИ корр)'!$AJ$25:$BC$459,,MATCH(AW$8,'Калькуляция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(МИ)'!$AJ$25:$BC$459,,MATCH(AW$8,'Калькуляция (МИ)'!$AJ$8:$BC$8,0)),'Калькуляция (МИ)'!$F$25:$F$459,$F150,'Калькуляция (МИ)'!$G$25:$G$459,$G150))))</f>
        <v>0</v>
      </c>
      <c r="AX150" s="214">
        <f ca="1">IF(AV150=0,0,(AW150-AV150)/AV150*100)</f>
        <v>0</v>
      </c>
      <c r="AY150" s="815">
        <f ca="1">IF(AND(method_reg="Метод индексации",god&lt;&gt;first_year),SUMIFS(INDEX('Калькуляция (МИ корр)'!$AJ$25:$BC$459,,MATCH(AY$8,'Калькуляция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(МИ)'!$AJ$25:$BC$459,,MATCH(AY$8,'Калькуляция (МИ)'!$AJ$8:$BC$8,0)),'Калькуляция (МИ)'!$F$25:$F$459,$F150,'Калькуляция (МИ)'!$G$25:$G$459,$G150))))</f>
        <v>0</v>
      </c>
      <c r="AZ150" s="815">
        <f ca="1">IF(AND(method_reg="Метод индексации",god&lt;&gt;first_year),SUMIFS(INDEX('Калькуляция (МИ корр)'!$AJ$25:$BC$459,,MATCH(AZ$8,'Калькуляция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(МИ)'!$AJ$25:$BC$459,,MATCH(AZ$8,'Калькуляция (МИ)'!$AJ$8:$BC$8,0)),'Калькуляция (МИ)'!$F$25:$F$459,$F150,'Калькуляция (МИ)'!$G$25:$G$459,$G150))))</f>
        <v>0</v>
      </c>
      <c r="BA150" s="214">
        <f ca="1">IF(AY150=0,0,(AZ150-AY150)/AY150*100)</f>
        <v>0</v>
      </c>
      <c r="BB150" s="815">
        <f ca="1">IF(AND(method_reg="Метод индексации",god&lt;&gt;first_year),SUMIFS(INDEX('Калькуляция (МИ корр)'!$AJ$25:$BC$459,,MATCH(BB$8,'Калькуляция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(МИ)'!$AJ$25:$BC$459,,MATCH(BB$8,'Калькуляция (МИ)'!$AJ$8:$BC$8,0)),'Калькуляция (МИ)'!$F$25:$F$459,$F150,'Калькуляция (МИ)'!$G$25:$G$459,$G150))))</f>
        <v>0</v>
      </c>
      <c r="BC150" s="815">
        <f ca="1">IF(AND(method_reg="Метод индексации",god&lt;&gt;first_year),SUMIFS(INDEX('Калькуляция (МИ корр)'!$AJ$25:$BC$459,,MATCH(BC$8,'Калькуляция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(МИ)'!$AJ$25:$BC$459,,MATCH(BC$8,'Калькуляция (МИ)'!$AJ$8:$BC$8,0)),'Калькуляция (МИ)'!$F$25:$F$459,$F150,'Калькуляция (МИ)'!$G$25:$G$459,$G150))))</f>
        <v>0</v>
      </c>
      <c r="BD150" s="214">
        <f ca="1">IF(BB150=0,0,(BC150-BB150)/BB150*100)</f>
        <v>0</v>
      </c>
      <c r="BE150" s="815">
        <f ca="1">IF(AND(method_reg="Метод индексации",god&lt;&gt;first_year),SUMIFS(INDEX('Калькуляция (МИ корр)'!$AJ$25:$BC$459,,MATCH(BE$8,'Калькуляция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(МИ)'!$AJ$25:$BC$459,,MATCH(BE$8,'Калькуляция (МИ)'!$AJ$8:$BC$8,0)),'Калькуляция (МИ)'!$F$25:$F$459,$F150,'Калькуляция (МИ)'!$G$25:$G$459,$G150))))</f>
        <v>0</v>
      </c>
      <c r="BF150" s="815">
        <f ca="1">IF(AND(method_reg="Метод индексации",god&lt;&gt;first_year),SUMIFS(INDEX('Калькуляция (МИ корр)'!$AJ$25:$BC$459,,MATCH(BF$8,'Калькуляция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(МИ)'!$AJ$25:$BC$459,,MATCH(BF$8,'Калькуляция (МИ)'!$AJ$8:$BC$8,0)),'Калькуляция (МИ)'!$F$25:$F$459,$F150,'Калькуляция (МИ)'!$G$25:$G$459,$G150))))</f>
        <v>0</v>
      </c>
      <c r="BG150" s="214">
        <f ca="1">IF(BE150=0,0,(BF150-BE150)/BE150*100)</f>
        <v>0</v>
      </c>
      <c r="BH150" s="815"/>
      <c r="BI150" s="815"/>
      <c r="BJ150" s="214">
        <f>IF(BH150=0,0,(BI150-BH150)/BH150*100)</f>
        <v>0</v>
      </c>
      <c r="BK150" s="815"/>
      <c r="BL150" s="815"/>
      <c r="BM150" s="214">
        <f>IF(BK150=0,0,(BL150-BK150)/BK150*100)</f>
        <v>0</v>
      </c>
      <c r="BN150" s="815"/>
      <c r="BO150" s="815"/>
      <c r="BP150" s="214">
        <f>IF(BN150=0,0,(BO150-BN150)/BN150*100)</f>
        <v>0</v>
      </c>
      <c r="BQ150" s="815"/>
      <c r="BR150" s="815"/>
      <c r="BS150" s="214">
        <f>IF(BQ150=0,0,(BR150-BQ150)/BQ150*100)</f>
        <v>0</v>
      </c>
      <c r="BT150" s="815"/>
      <c r="BU150" s="815"/>
      <c r="BV150" s="214">
        <f>IF(BT150=0,0,(BU150-BT150)/BT150*100)</f>
        <v>0</v>
      </c>
      <c r="BW150" s="815"/>
      <c r="BX150" s="815"/>
      <c r="BY150" s="214">
        <f>IF(BW150=0,0,(BX150-BW150)/BW150*100)</f>
        <v>0</v>
      </c>
      <c r="BZ150" s="815"/>
      <c r="CA150" s="815"/>
      <c r="CB150" s="214">
        <f>IF(BZ150=0,0,(CA150-BZ150)/BZ150*100)</f>
        <v>0</v>
      </c>
      <c r="CC150" s="815"/>
      <c r="CD150" s="815"/>
      <c r="CE150" s="214">
        <f>IF(CC150=0,0,(CD150-CC150)/CC150*100)</f>
        <v>0</v>
      </c>
      <c r="CF150" s="815"/>
      <c r="CG150" s="815"/>
      <c r="CH150" s="214">
        <f>IF(CF150=0,0,(CG150-CF150)/CF150*100)</f>
        <v>0</v>
      </c>
      <c r="CI150" s="815"/>
      <c r="CJ150" s="815"/>
      <c r="CK150" s="214">
        <f>IF(CI150=0,0,(CJ150-CI150)/CI150*100)</f>
        <v>0</v>
      </c>
      <c r="CL150" s="815"/>
      <c r="CM150" s="815"/>
      <c r="CN150" s="214">
        <f>IF(CL150=0,0,(CM150-CL150)/CL150*100)</f>
        <v>0</v>
      </c>
      <c r="CO150" s="815"/>
      <c r="CP150" s="815"/>
      <c r="CQ150" s="214">
        <f>IF(CO150=0,0,(CP150-CO150)/CO150*100)</f>
        <v>0</v>
      </c>
      <c r="CR150" s="815"/>
      <c r="CS150" s="815"/>
      <c r="CT150" s="214">
        <f>IF(CR150=0,0,(CS150-CR150)/CR150*100)</f>
        <v>0</v>
      </c>
      <c r="CU150" s="815"/>
      <c r="CV150" s="815"/>
      <c r="CW150" s="214">
        <f>IF(CU150=0,0,(CV150-CU150)/CU150*100)</f>
        <v>0</v>
      </c>
      <c r="CX150" s="815"/>
      <c r="CY150" s="815"/>
      <c r="CZ150" s="214">
        <f>IF(CX150=0,0,(CY150-CX150)/CX150*100)</f>
        <v>0</v>
      </c>
      <c r="DA150" s="815"/>
      <c r="DB150" s="815"/>
      <c r="DC150" s="214">
        <f>IF(DA150=0,0,(DB150-DA150)/DA150*100)</f>
        <v>0</v>
      </c>
      <c r="DD150" s="815"/>
      <c r="DE150" s="815"/>
      <c r="DF150" s="214">
        <f>IF(DD150=0,0,(DE150-DD150)/DD150*100)</f>
        <v>0</v>
      </c>
      <c r="DG150" s="815"/>
      <c r="DH150" s="815"/>
      <c r="DI150" s="214">
        <f>IF(DG150=0,0,(DH150-DG150)/DG150*100)</f>
        <v>0</v>
      </c>
      <c r="DJ150" s="815"/>
      <c r="DK150" s="815"/>
      <c r="DL150" s="214">
        <f>IF(DJ150=0,0,(DK150-DJ150)/DJ150*100)</f>
        <v>0</v>
      </c>
      <c r="DM150" s="815"/>
      <c r="DN150" s="815"/>
      <c r="DO150" s="214">
        <f>IF(DM150=0,0,(DN150-DM150)/DM150*100)</f>
        <v>0</v>
      </c>
      <c r="DP150" s="815"/>
      <c r="DQ150" s="815"/>
      <c r="DR150" s="214">
        <f>IF(DP150=0,0,(DQ150-DP150)/DP150*100)</f>
        <v>0</v>
      </c>
      <c r="DS150" s="815"/>
      <c r="DT150" s="815"/>
      <c r="DU150" s="214">
        <f>IF(DS150=0,0,(DT150-DS150)/DS150*100)</f>
        <v>0</v>
      </c>
      <c r="DV150" s="815"/>
      <c r="DW150" s="815"/>
      <c r="DX150" s="214">
        <f>IF(DV150=0,0,(DW150-DV150)/DV150*100)</f>
        <v>0</v>
      </c>
      <c r="DY150" s="815"/>
      <c r="DZ150" s="815"/>
      <c r="EA150" s="214">
        <f>IF(DY150=0,0,(DZ150-DY150)/DY150*100)</f>
        <v>0</v>
      </c>
      <c r="EB150" s="815"/>
      <c r="EC150" s="815"/>
      <c r="ED150" s="214">
        <f>IF(EB150=0,0,(EC150-EB150)/EB150*100)</f>
        <v>0</v>
      </c>
      <c r="EE150" s="815"/>
      <c r="EF150" s="815"/>
      <c r="EG150" s="214">
        <f>IF(EE150=0,0,(EF150-EE150)/EE150*100)</f>
        <v>0</v>
      </c>
      <c r="EH150" s="815"/>
      <c r="EI150" s="815"/>
      <c r="EJ150" s="214">
        <f>IF(EH150=0,0,(EI150-EH150)/EH150*100)</f>
        <v>0</v>
      </c>
      <c r="EK150" s="815"/>
      <c r="EL150" s="815"/>
      <c r="EM150" s="214">
        <f>IF(EK150=0,0,(EL150-EK150)/EK150*100)</f>
        <v>0</v>
      </c>
      <c r="EN150" s="815"/>
      <c r="EO150" s="815"/>
      <c r="EP150" s="214">
        <f>IF(EN150=0,0,(EO150-EN150)/EN150*100)</f>
        <v>0</v>
      </c>
      <c r="EQ150" s="815"/>
      <c r="ER150" s="815"/>
      <c r="ES150" s="214">
        <f>IF(EQ150=0,0,(ER150-EQ150)/EQ150*100)</f>
        <v>0</v>
      </c>
      <c r="ET150" s="815"/>
      <c r="EU150" s="815"/>
      <c r="EV150" s="214">
        <f>IF(ET150=0,0,(EU150-ET150)/ET150*100)</f>
        <v>0</v>
      </c>
      <c r="EW150" s="815"/>
      <c r="EX150" s="815"/>
      <c r="EY150" s="214">
        <f>IF(EW150=0,0,(EX150-EW150)/EW150*100)</f>
        <v>0</v>
      </c>
      <c r="EZ150" s="815"/>
      <c r="FA150" s="815"/>
      <c r="FB150" s="214">
        <f>IF(EZ150=0,0,(FA150-EZ150)/EZ150*100)</f>
        <v>0</v>
      </c>
      <c r="FC150" s="815"/>
      <c r="FD150" s="815"/>
      <c r="FE150" s="214">
        <f>IF(FC150=0,0,(FD150-FC150)/FC150*100)</f>
        <v>0</v>
      </c>
      <c r="FF150" s="815"/>
      <c r="FG150" s="815"/>
      <c r="FH150" s="214">
        <f>IF(FF150=0,0,(FG150-FF150)/FF150*100)</f>
        <v>0</v>
      </c>
      <c r="FI150" s="815"/>
      <c r="FJ150" s="815"/>
      <c r="FK150" s="214">
        <f>IF(FI150=0,0,(FJ150-FI150)/FI150*100)</f>
        <v>0</v>
      </c>
      <c r="FL150" s="815"/>
      <c r="FM150" s="815"/>
      <c r="FN150" s="214">
        <f>IF(FL150=0,0,(FM150-FL150)/FL150*100)</f>
        <v>0</v>
      </c>
      <c r="FO150" s="815"/>
      <c r="FP150" s="815"/>
      <c r="FQ150" s="214">
        <f>IF(FO150=0,0,(FP150-FO150)/FO150*100)</f>
        <v>0</v>
      </c>
      <c r="FR150" s="815"/>
      <c r="FS150" s="815"/>
      <c r="FT150" s="214">
        <f>IF(FR150=0,0,(FS150-FR150)/FR150*100)</f>
        <v>0</v>
      </c>
      <c r="FU150" s="815"/>
      <c r="FV150" s="815"/>
      <c r="FW150" s="214">
        <f>IF(FU150=0,0,(FV150-FU150)/FU150*100)</f>
        <v>0</v>
      </c>
      <c r="FX150" s="210"/>
      <c r="FY150" s="210"/>
      <c r="FZ150" s="964" t="s">
        <v>1603</v>
      </c>
      <c r="GA150" s="964"/>
      <c r="GB150" s="964"/>
      <c r="GC150" s="965"/>
      <c r="GD150" s="965"/>
    </row>
    <row r="151" spans="1:186" s="1458" customFormat="1" ht="23.25" customHeight="1" x14ac:dyDescent="0.15">
      <c r="A151" s="813"/>
      <c r="B151" s="837" t="b" cm="1">
        <f t="array" ref="B151">B150</f>
        <v>1</v>
      </c>
      <c r="C151" s="813"/>
      <c r="D151" s="813"/>
      <c r="E151" s="814">
        <v>24.5</v>
      </c>
      <c r="F151" s="3" t="str" cm="1">
        <f t="array" aca="1" ref="F151" ca="1">OFFSET(E151,-1,1)</f>
        <v>2</v>
      </c>
      <c r="G151" s="26" t="s">
        <v>1604</v>
      </c>
      <c r="H151" s="416" t="s">
        <v>494</v>
      </c>
      <c r="I151" s="416" t="s">
        <v>1605</v>
      </c>
      <c r="J151" s="813"/>
      <c r="K151" s="813"/>
      <c r="L151" s="416"/>
      <c r="M151" s="813"/>
      <c r="N151" s="813"/>
      <c r="O151" s="813"/>
      <c r="P151" s="813"/>
      <c r="Q151" s="813"/>
      <c r="R151" s="416"/>
      <c r="S151" s="416"/>
      <c r="T151" s="388" t="b" cm="1">
        <f t="array" ref="T151">T150</f>
        <v>1</v>
      </c>
      <c r="U151" s="813"/>
      <c r="V151" s="813"/>
      <c r="W151" s="813"/>
      <c r="X151" s="2066"/>
      <c r="Y151" s="813"/>
      <c r="Z151" s="2011"/>
      <c r="AA151" s="813"/>
      <c r="AB151" s="1000" t="s">
        <v>1606</v>
      </c>
      <c r="AC151" s="212" t="s">
        <v>1588</v>
      </c>
      <c r="AD151" s="815">
        <f ca="1">AD147*1.22</f>
        <v>70.828230666664723</v>
      </c>
      <c r="AE151" s="815">
        <f ca="1">AE147*1.22</f>
        <v>51.447400000000002</v>
      </c>
      <c r="AF151" s="214">
        <f ca="1">IF(AD151=0,0,(AE151-AD151)/AD151*100)</f>
        <v>-27.363143882381774</v>
      </c>
      <c r="AG151" s="1441">
        <f ca="1">IF(AND(method_reg="Метод индексации",god&lt;&gt;first_year),SUMIFS(INDEX('Калькуляция (МИ корр)'!$AJ$25:$BC$459,,MATCH(AG$8,'Калькуляция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(МИ)'!$AJ$25:$BC$459,,MATCH(AG$8,'Калькуляция (МИ)'!$AJ$8:$BC$8,0)),'Калькуляция (МИ)'!$F$25:$F$459,$F151,'Калькуляция (МИ)'!$G$25:$G$459,$G151))))</f>
        <v>0</v>
      </c>
      <c r="AH151" s="1441">
        <f ca="1">IF(AND(method_reg="Метод индексации",god&lt;&gt;first_year),SUMIFS(INDEX('Калькуляция (МИ корр)'!$AJ$25:$BC$459,,MATCH(AH$8,'Калькуляция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(МИ)'!$AJ$25:$BC$459,,MATCH(AH$8,'Калькуляция (МИ)'!$AJ$8:$BC$8,0)),'Калькуляция (МИ)'!$F$25:$F$459,$F151,'Калькуляция (МИ)'!$G$25:$G$459,$G151))))</f>
        <v>0</v>
      </c>
      <c r="AI151" s="214">
        <f ca="1">IF(AG151=0,0,(AH151-AG151)/AG151*100)</f>
        <v>0</v>
      </c>
      <c r="AJ151" s="1441">
        <f ca="1">IF(AND(method_reg="Метод индексации",god&lt;&gt;first_year),SUMIFS(INDEX('Калькуляция (МИ корр)'!$AJ$25:$BC$459,,MATCH(AJ$8,'Калькуляция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(МИ)'!$AJ$25:$BC$459,,MATCH(AJ$8,'Калькуляция (МИ)'!$AJ$8:$BC$8,0)),'Калькуляция (МИ)'!$F$25:$F$459,$F151,'Калькуляция (МИ)'!$G$25:$G$459,$G151))))</f>
        <v>0</v>
      </c>
      <c r="AK151" s="1441">
        <f ca="1">IF(AND(method_reg="Метод индексации",god&lt;&gt;first_year),SUMIFS(INDEX('Калькуляция (МИ корр)'!$AJ$25:$BC$459,,MATCH(AK$8,'Калькуляция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(МИ)'!$AJ$25:$BC$459,,MATCH(AK$8,'Калькуляция (МИ)'!$AJ$8:$BC$8,0)),'Калькуляция (МИ)'!$F$25:$F$459,$F151,'Калькуляция (МИ)'!$G$25:$G$459,$G151))))</f>
        <v>0</v>
      </c>
      <c r="AL151" s="214">
        <f ca="1">IF(AJ151=0,0,(AK151-AJ151)/AJ151*100)</f>
        <v>0</v>
      </c>
      <c r="AM151" s="1441">
        <f ca="1">IF(AND(method_reg="Метод индексации",god&lt;&gt;first_year),SUMIFS(INDEX('Калькуляция (МИ корр)'!$AJ$25:$BC$459,,MATCH(AM$8,'Калькуляция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(МИ)'!$AJ$25:$BC$459,,MATCH(AM$8,'Калькуляция (МИ)'!$AJ$8:$BC$8,0)),'Калькуляция (МИ)'!$F$25:$F$459,$F151,'Калькуляция (МИ)'!$G$25:$G$459,$G151))))</f>
        <v>0</v>
      </c>
      <c r="AN151" s="1441">
        <f ca="1">IF(AND(method_reg="Метод индексации",god&lt;&gt;first_year),SUMIFS(INDEX('Калькуляция (МИ корр)'!$AJ$25:$BC$459,,MATCH(AN$8,'Калькуляция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(МИ)'!$AJ$25:$BC$459,,MATCH(AN$8,'Калькуляция (МИ)'!$AJ$8:$BC$8,0)),'Калькуляция (МИ)'!$F$25:$F$459,$F151,'Калькуляция (МИ)'!$G$25:$G$459,$G151))))</f>
        <v>0</v>
      </c>
      <c r="AO151" s="214">
        <f ca="1">IF(AM151=0,0,(AN151-AM151)/AM151*100)</f>
        <v>0</v>
      </c>
      <c r="AP151" s="1441">
        <f ca="1">IF(AND(method_reg="Метод индексации",god&lt;&gt;first_year),SUMIFS(INDEX('Калькуляция (МИ корр)'!$AJ$25:$BC$459,,MATCH(AP$8,'Калькуляция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(МИ)'!$AJ$25:$BC$459,,MATCH(AP$8,'Калькуляция (МИ)'!$AJ$8:$BC$8,0)),'Калькуляция (МИ)'!$F$25:$F$459,$F151,'Калькуляция (МИ)'!$G$25:$G$459,$G151))))</f>
        <v>0</v>
      </c>
      <c r="AQ151" s="1441">
        <f ca="1">IF(AND(method_reg="Метод индексации",god&lt;&gt;first_year),SUMIFS(INDEX('Калькуляция (МИ корр)'!$AJ$25:$BC$459,,MATCH(AQ$8,'Калькуляция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(МИ)'!$AJ$25:$BC$459,,MATCH(AQ$8,'Калькуляция (МИ)'!$AJ$8:$BC$8,0)),'Калькуляция (МИ)'!$F$25:$F$459,$F151,'Калькуляция (МИ)'!$G$25:$G$459,$G151))))</f>
        <v>0</v>
      </c>
      <c r="AR151" s="214">
        <f ca="1">IF(AP151=0,0,(AQ151-AP151)/AP151*100)</f>
        <v>0</v>
      </c>
      <c r="AS151" s="1441">
        <f ca="1">IF(AND(method_reg="Метод индексации",god&lt;&gt;first_year),SUMIFS(INDEX('Калькуляция (МИ корр)'!$AJ$25:$BC$459,,MATCH(AS$8,'Калькуляция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(МИ)'!$AJ$25:$BC$459,,MATCH(AS$8,'Калькуляция (МИ)'!$AJ$8:$BC$8,0)),'Калькуляция (МИ)'!$F$25:$F$459,$F151,'Калькуляция (МИ)'!$G$25:$G$459,$G151))))</f>
        <v>0</v>
      </c>
      <c r="AT151" s="1441">
        <f ca="1">IF(AND(method_reg="Метод индексации",god&lt;&gt;first_year),SUMIFS(INDEX('Калькуляция (МИ корр)'!$AJ$25:$BC$459,,MATCH(AT$8,'Калькуляция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(МИ)'!$AJ$25:$BC$459,,MATCH(AT$8,'Калькуляция (МИ)'!$AJ$8:$BC$8,0)),'Калькуляция (МИ)'!$F$25:$F$459,$F151,'Калькуляция (МИ)'!$G$25:$G$459,$G151))))</f>
        <v>0</v>
      </c>
      <c r="AU151" s="214">
        <f ca="1">IF(AS151=0,0,(AT151-AS151)/AS151*100)</f>
        <v>0</v>
      </c>
      <c r="AV151" s="1441">
        <f ca="1">IF(AND(method_reg="Метод индексации",god&lt;&gt;first_year),SUMIFS(INDEX('Калькуляция (МИ корр)'!$AJ$25:$BC$459,,MATCH(AV$8,'Калькуляция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(МИ)'!$AJ$25:$BC$459,,MATCH(AV$8,'Калькуляция (МИ)'!$AJ$8:$BC$8,0)),'Калькуляция (МИ)'!$F$25:$F$459,$F151,'Калькуляция (МИ)'!$G$25:$G$459,$G151))))</f>
        <v>0</v>
      </c>
      <c r="AW151" s="1441">
        <f ca="1">IF(AND(method_reg="Метод индексации",god&lt;&gt;first_year),SUMIFS(INDEX('Калькуляция (МИ корр)'!$AJ$25:$BC$459,,MATCH(AW$8,'Калькуляция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(МИ)'!$AJ$25:$BC$459,,MATCH(AW$8,'Калькуляция (МИ)'!$AJ$8:$BC$8,0)),'Калькуляция (МИ)'!$F$25:$F$459,$F151,'Калькуляция (МИ)'!$G$25:$G$459,$G151))))</f>
        <v>0</v>
      </c>
      <c r="AX151" s="214">
        <f ca="1">IF(AV151=0,0,(AW151-AV151)/AV151*100)</f>
        <v>0</v>
      </c>
      <c r="AY151" s="815">
        <f ca="1">IF(AND(method_reg="Метод индексации",god&lt;&gt;first_year),SUMIFS(INDEX('Калькуляция (МИ корр)'!$AJ$25:$BC$459,,MATCH(AY$8,'Калькуляция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(МИ)'!$AJ$25:$BC$459,,MATCH(AY$8,'Калькуляция (МИ)'!$AJ$8:$BC$8,0)),'Калькуляция (МИ)'!$F$25:$F$459,$F151,'Калькуляция (МИ)'!$G$25:$G$459,$G151))))</f>
        <v>0</v>
      </c>
      <c r="AZ151" s="815">
        <f ca="1">IF(AND(method_reg="Метод индексации",god&lt;&gt;first_year),SUMIFS(INDEX('Калькуляция (МИ корр)'!$AJ$25:$BC$459,,MATCH(AZ$8,'Калькуляция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(МИ)'!$AJ$25:$BC$459,,MATCH(AZ$8,'Калькуляция (МИ)'!$AJ$8:$BC$8,0)),'Калькуляция (МИ)'!$F$25:$F$459,$F151,'Калькуляция (МИ)'!$G$25:$G$459,$G151))))</f>
        <v>0</v>
      </c>
      <c r="BA151" s="214">
        <f ca="1">IF(AY151=0,0,(AZ151-AY151)/AY151*100)</f>
        <v>0</v>
      </c>
      <c r="BB151" s="815">
        <f ca="1">IF(AND(method_reg="Метод индексации",god&lt;&gt;first_year),SUMIFS(INDEX('Калькуляция (МИ корр)'!$AJ$25:$BC$459,,MATCH(BB$8,'Калькуляция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(МИ)'!$AJ$25:$BC$459,,MATCH(BB$8,'Калькуляция (МИ)'!$AJ$8:$BC$8,0)),'Калькуляция (МИ)'!$F$25:$F$459,$F151,'Калькуляция (МИ)'!$G$25:$G$459,$G151))))</f>
        <v>0</v>
      </c>
      <c r="BC151" s="815">
        <f ca="1">IF(AND(method_reg="Метод индексации",god&lt;&gt;first_year),SUMIFS(INDEX('Калькуляция (МИ корр)'!$AJ$25:$BC$459,,MATCH(BC$8,'Калькуляция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(МИ)'!$AJ$25:$BC$459,,MATCH(BC$8,'Калькуляция (МИ)'!$AJ$8:$BC$8,0)),'Калькуляция (МИ)'!$F$25:$F$459,$F151,'Калькуляция (МИ)'!$G$25:$G$459,$G151))))</f>
        <v>0</v>
      </c>
      <c r="BD151" s="214">
        <f ca="1">IF(BB151=0,0,(BC151-BB151)/BB151*100)</f>
        <v>0</v>
      </c>
      <c r="BE151" s="815">
        <f ca="1">IF(AND(method_reg="Метод индексации",god&lt;&gt;first_year),SUMIFS(INDEX('Калькуляция (МИ корр)'!$AJ$25:$BC$459,,MATCH(BE$8,'Калькуляция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(МИ)'!$AJ$25:$BC$459,,MATCH(BE$8,'Калькуляция (МИ)'!$AJ$8:$BC$8,0)),'Калькуляция (МИ)'!$F$25:$F$459,$F151,'Калькуляция (МИ)'!$G$25:$G$459,$G151))))</f>
        <v>0</v>
      </c>
      <c r="BF151" s="815">
        <f ca="1">IF(AND(method_reg="Метод индексации",god&lt;&gt;first_year),SUMIFS(INDEX('Калькуляция (МИ корр)'!$AJ$25:$BC$459,,MATCH(BF$8,'Калькуляция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(МИ)'!$AJ$25:$BC$459,,MATCH(BF$8,'Калькуляция (МИ)'!$AJ$8:$BC$8,0)),'Калькуляция (МИ)'!$F$25:$F$459,$F151,'Калькуляция (МИ)'!$G$25:$G$459,$G151))))</f>
        <v>0</v>
      </c>
      <c r="BG151" s="214">
        <f ca="1">IF(BE151=0,0,(BF151-BE151)/BE151*100)</f>
        <v>0</v>
      </c>
      <c r="BH151" s="815"/>
      <c r="BI151" s="815"/>
      <c r="BJ151" s="214">
        <f>IF(BH151=0,0,(BI151-BH151)/BH151*100)</f>
        <v>0</v>
      </c>
      <c r="BK151" s="815"/>
      <c r="BL151" s="815"/>
      <c r="BM151" s="214">
        <f>IF(BK151=0,0,(BL151-BK151)/BK151*100)</f>
        <v>0</v>
      </c>
      <c r="BN151" s="815"/>
      <c r="BO151" s="815"/>
      <c r="BP151" s="214">
        <f>IF(BN151=0,0,(BO151-BN151)/BN151*100)</f>
        <v>0</v>
      </c>
      <c r="BQ151" s="815"/>
      <c r="BR151" s="815"/>
      <c r="BS151" s="214">
        <f>IF(BQ151=0,0,(BR151-BQ151)/BQ151*100)</f>
        <v>0</v>
      </c>
      <c r="BT151" s="815"/>
      <c r="BU151" s="815"/>
      <c r="BV151" s="214">
        <f>IF(BT151=0,0,(BU151-BT151)/BT151*100)</f>
        <v>0</v>
      </c>
      <c r="BW151" s="815"/>
      <c r="BX151" s="815"/>
      <c r="BY151" s="214">
        <f>IF(BW151=0,0,(BX151-BW151)/BW151*100)</f>
        <v>0</v>
      </c>
      <c r="BZ151" s="815"/>
      <c r="CA151" s="815"/>
      <c r="CB151" s="214">
        <f>IF(BZ151=0,0,(CA151-BZ151)/BZ151*100)</f>
        <v>0</v>
      </c>
      <c r="CC151" s="815"/>
      <c r="CD151" s="815"/>
      <c r="CE151" s="214">
        <f>IF(CC151=0,0,(CD151-CC151)/CC151*100)</f>
        <v>0</v>
      </c>
      <c r="CF151" s="815"/>
      <c r="CG151" s="815"/>
      <c r="CH151" s="214">
        <f>IF(CF151=0,0,(CG151-CF151)/CF151*100)</f>
        <v>0</v>
      </c>
      <c r="CI151" s="815"/>
      <c r="CJ151" s="815"/>
      <c r="CK151" s="214">
        <f>IF(CI151=0,0,(CJ151-CI151)/CI151*100)</f>
        <v>0</v>
      </c>
      <c r="CL151" s="815"/>
      <c r="CM151" s="815"/>
      <c r="CN151" s="214">
        <f>IF(CL151=0,0,(CM151-CL151)/CL151*100)</f>
        <v>0</v>
      </c>
      <c r="CO151" s="815"/>
      <c r="CP151" s="815"/>
      <c r="CQ151" s="214">
        <f>IF(CO151=0,0,(CP151-CO151)/CO151*100)</f>
        <v>0</v>
      </c>
      <c r="CR151" s="815"/>
      <c r="CS151" s="815"/>
      <c r="CT151" s="214">
        <f>IF(CR151=0,0,(CS151-CR151)/CR151*100)</f>
        <v>0</v>
      </c>
      <c r="CU151" s="815"/>
      <c r="CV151" s="815"/>
      <c r="CW151" s="214">
        <f>IF(CU151=0,0,(CV151-CU151)/CU151*100)</f>
        <v>0</v>
      </c>
      <c r="CX151" s="815"/>
      <c r="CY151" s="815"/>
      <c r="CZ151" s="214">
        <f>IF(CX151=0,0,(CY151-CX151)/CX151*100)</f>
        <v>0</v>
      </c>
      <c r="DA151" s="815"/>
      <c r="DB151" s="815"/>
      <c r="DC151" s="214">
        <f>IF(DA151=0,0,(DB151-DA151)/DA151*100)</f>
        <v>0</v>
      </c>
      <c r="DD151" s="815"/>
      <c r="DE151" s="815"/>
      <c r="DF151" s="214">
        <f>IF(DD151=0,0,(DE151-DD151)/DD151*100)</f>
        <v>0</v>
      </c>
      <c r="DG151" s="815"/>
      <c r="DH151" s="815"/>
      <c r="DI151" s="214">
        <f>IF(DG151=0,0,(DH151-DG151)/DG151*100)</f>
        <v>0</v>
      </c>
      <c r="DJ151" s="815"/>
      <c r="DK151" s="815"/>
      <c r="DL151" s="214">
        <f>IF(DJ151=0,0,(DK151-DJ151)/DJ151*100)</f>
        <v>0</v>
      </c>
      <c r="DM151" s="815"/>
      <c r="DN151" s="815"/>
      <c r="DO151" s="214">
        <f>IF(DM151=0,0,(DN151-DM151)/DM151*100)</f>
        <v>0</v>
      </c>
      <c r="DP151" s="815"/>
      <c r="DQ151" s="815"/>
      <c r="DR151" s="214">
        <f>IF(DP151=0,0,(DQ151-DP151)/DP151*100)</f>
        <v>0</v>
      </c>
      <c r="DS151" s="815"/>
      <c r="DT151" s="815"/>
      <c r="DU151" s="214">
        <f>IF(DS151=0,0,(DT151-DS151)/DS151*100)</f>
        <v>0</v>
      </c>
      <c r="DV151" s="815"/>
      <c r="DW151" s="815"/>
      <c r="DX151" s="214">
        <f>IF(DV151=0,0,(DW151-DV151)/DV151*100)</f>
        <v>0</v>
      </c>
      <c r="DY151" s="815"/>
      <c r="DZ151" s="815"/>
      <c r="EA151" s="214">
        <f>IF(DY151=0,0,(DZ151-DY151)/DY151*100)</f>
        <v>0</v>
      </c>
      <c r="EB151" s="815"/>
      <c r="EC151" s="815"/>
      <c r="ED151" s="214">
        <f>IF(EB151=0,0,(EC151-EB151)/EB151*100)</f>
        <v>0</v>
      </c>
      <c r="EE151" s="815"/>
      <c r="EF151" s="815"/>
      <c r="EG151" s="214">
        <f>IF(EE151=0,0,(EF151-EE151)/EE151*100)</f>
        <v>0</v>
      </c>
      <c r="EH151" s="815"/>
      <c r="EI151" s="815"/>
      <c r="EJ151" s="214">
        <f>IF(EH151=0,0,(EI151-EH151)/EH151*100)</f>
        <v>0</v>
      </c>
      <c r="EK151" s="815"/>
      <c r="EL151" s="815"/>
      <c r="EM151" s="214">
        <f>IF(EK151=0,0,(EL151-EK151)/EK151*100)</f>
        <v>0</v>
      </c>
      <c r="EN151" s="815"/>
      <c r="EO151" s="815"/>
      <c r="EP151" s="214">
        <f>IF(EN151=0,0,(EO151-EN151)/EN151*100)</f>
        <v>0</v>
      </c>
      <c r="EQ151" s="815"/>
      <c r="ER151" s="815"/>
      <c r="ES151" s="214">
        <f>IF(EQ151=0,0,(ER151-EQ151)/EQ151*100)</f>
        <v>0</v>
      </c>
      <c r="ET151" s="815"/>
      <c r="EU151" s="815"/>
      <c r="EV151" s="214">
        <f>IF(ET151=0,0,(EU151-ET151)/ET151*100)</f>
        <v>0</v>
      </c>
      <c r="EW151" s="815"/>
      <c r="EX151" s="815"/>
      <c r="EY151" s="214">
        <f>IF(EW151=0,0,(EX151-EW151)/EW151*100)</f>
        <v>0</v>
      </c>
      <c r="EZ151" s="815"/>
      <c r="FA151" s="815"/>
      <c r="FB151" s="214">
        <f>IF(EZ151=0,0,(FA151-EZ151)/EZ151*100)</f>
        <v>0</v>
      </c>
      <c r="FC151" s="815"/>
      <c r="FD151" s="815"/>
      <c r="FE151" s="214">
        <f>IF(FC151=0,0,(FD151-FC151)/FC151*100)</f>
        <v>0</v>
      </c>
      <c r="FF151" s="815"/>
      <c r="FG151" s="815"/>
      <c r="FH151" s="214">
        <f>IF(FF151=0,0,(FG151-FF151)/FF151*100)</f>
        <v>0</v>
      </c>
      <c r="FI151" s="815"/>
      <c r="FJ151" s="815"/>
      <c r="FK151" s="214">
        <f>IF(FI151=0,0,(FJ151-FI151)/FI151*100)</f>
        <v>0</v>
      </c>
      <c r="FL151" s="815"/>
      <c r="FM151" s="815"/>
      <c r="FN151" s="214">
        <f>IF(FL151=0,0,(FM151-FL151)/FL151*100)</f>
        <v>0</v>
      </c>
      <c r="FO151" s="815"/>
      <c r="FP151" s="815"/>
      <c r="FQ151" s="214">
        <f>IF(FO151=0,0,(FP151-FO151)/FO151*100)</f>
        <v>0</v>
      </c>
      <c r="FR151" s="815"/>
      <c r="FS151" s="815"/>
      <c r="FT151" s="214">
        <f>IF(FR151=0,0,(FS151-FR151)/FR151*100)</f>
        <v>0</v>
      </c>
      <c r="FU151" s="815"/>
      <c r="FV151" s="815"/>
      <c r="FW151" s="214">
        <f>IF(FU151=0,0,(FV151-FU151)/FU151*100)</f>
        <v>0</v>
      </c>
      <c r="FX151" s="210"/>
      <c r="FY151" s="210"/>
      <c r="FZ151" s="964" t="s">
        <v>1607</v>
      </c>
      <c r="GA151" s="964"/>
      <c r="GB151" s="964"/>
      <c r="GC151" s="965"/>
      <c r="GD151" s="965"/>
    </row>
    <row r="152" spans="1:186" s="1334" customFormat="1" ht="14.25" customHeight="1" x14ac:dyDescent="0.15">
      <c r="A152" s="416"/>
      <c r="B152" s="837" t="b" cm="1">
        <f t="array" ref="B152">B151</f>
        <v>1</v>
      </c>
      <c r="C152" s="416"/>
      <c r="D152" s="416"/>
      <c r="E152" s="759">
        <v>15</v>
      </c>
      <c r="F152" s="3" t="str" cm="1">
        <f t="array" aca="1" ref="F152" ca="1">OFFSET(E152,-1,1)</f>
        <v>2</v>
      </c>
      <c r="G152" s="26"/>
      <c r="H152" s="416" t="s">
        <v>498</v>
      </c>
      <c r="I152" s="416" t="s">
        <v>1608</v>
      </c>
      <c r="J152" s="416"/>
      <c r="K152" s="416"/>
      <c r="L152" s="416"/>
      <c r="M152" s="416"/>
      <c r="N152" s="416"/>
      <c r="O152" s="416"/>
      <c r="P152" s="416"/>
      <c r="Q152" s="813"/>
      <c r="R152" s="416"/>
      <c r="S152" s="416"/>
      <c r="T152" s="388" t="b" cm="1">
        <f t="array" ref="T152">T151</f>
        <v>1</v>
      </c>
      <c r="U152" s="416"/>
      <c r="V152" s="416"/>
      <c r="W152" s="416"/>
      <c r="X152" s="2066"/>
      <c r="Y152" s="416"/>
      <c r="Z152" s="2011"/>
      <c r="AA152" s="416"/>
      <c r="AB152" s="999" t="s">
        <v>1595</v>
      </c>
      <c r="AC152" s="783" t="s">
        <v>490</v>
      </c>
      <c r="AD152" s="1002">
        <f ca="1">IF(AD150=0,0,AD151/AD150)*100</f>
        <v>100.00000000000016</v>
      </c>
      <c r="AE152" s="1002">
        <f ca="1">IF(AE150=0,0,AE151/AE150)*100</f>
        <v>101.25009445874198</v>
      </c>
      <c r="AF152" s="1003"/>
      <c r="AG152" s="1002">
        <f ca="1">IF(AG150=0,0,AG151/AG150)*100</f>
        <v>0</v>
      </c>
      <c r="AH152" s="1002">
        <f ca="1">IF(AH150=0,0,AH151/AH150)*100</f>
        <v>0</v>
      </c>
      <c r="AI152" s="1003"/>
      <c r="AJ152" s="1002">
        <f ca="1">IF(AJ150=0,0,AJ151/AJ150)*100</f>
        <v>0</v>
      </c>
      <c r="AK152" s="1002">
        <f ca="1">IF(AK150=0,0,AK151/AK150)*100</f>
        <v>0</v>
      </c>
      <c r="AL152" s="1003"/>
      <c r="AM152" s="1002">
        <f ca="1">IF(AM150=0,0,AM151/AM150)*100</f>
        <v>0</v>
      </c>
      <c r="AN152" s="1002">
        <f ca="1">IF(AN150=0,0,AN151/AN150)*100</f>
        <v>0</v>
      </c>
      <c r="AO152" s="1003"/>
      <c r="AP152" s="1002">
        <f ca="1">IF(AP150=0,0,AP151/AP150)*100</f>
        <v>0</v>
      </c>
      <c r="AQ152" s="1002">
        <f ca="1">IF(AQ150=0,0,AQ151/AQ150)*100</f>
        <v>0</v>
      </c>
      <c r="AR152" s="1003"/>
      <c r="AS152" s="1002">
        <f ca="1">IF(AS150=0,0,AS151/AS150)*100</f>
        <v>0</v>
      </c>
      <c r="AT152" s="1002">
        <f ca="1">IF(AT150=0,0,AT151/AT150)*100</f>
        <v>0</v>
      </c>
      <c r="AU152" s="1003"/>
      <c r="AV152" s="1002">
        <f ca="1">IF(AV150=0,0,AV151/AV150)*100</f>
        <v>0</v>
      </c>
      <c r="AW152" s="1002">
        <f ca="1">IF(AW150=0,0,AW151/AW150)*100</f>
        <v>0</v>
      </c>
      <c r="AX152" s="1003"/>
      <c r="AY152" s="1002">
        <f ca="1">IF(AY150=0,0,AY151/AY150)*100</f>
        <v>0</v>
      </c>
      <c r="AZ152" s="1002">
        <f ca="1">IF(AZ150=0,0,AZ151/AZ150)*100</f>
        <v>0</v>
      </c>
      <c r="BA152" s="1003"/>
      <c r="BB152" s="1002">
        <f ca="1">IF(BB150=0,0,BB151/BB150)*100</f>
        <v>0</v>
      </c>
      <c r="BC152" s="1002">
        <f ca="1">IF(BC150=0,0,BC151/BC150)*100</f>
        <v>0</v>
      </c>
      <c r="BD152" s="1003"/>
      <c r="BE152" s="1002">
        <f ca="1">IF(BE150=0,0,BE151/BE150)*100</f>
        <v>0</v>
      </c>
      <c r="BF152" s="1002">
        <f ca="1">IF(BF150=0,0,BF151/BF150)*100</f>
        <v>0</v>
      </c>
      <c r="BG152" s="1003"/>
      <c r="BH152" s="1002">
        <f>IF(BH150=0,0,BH151/BH150)*100</f>
        <v>0</v>
      </c>
      <c r="BI152" s="1002">
        <f>IF(BI150=0,0,BI151/BI150)*100</f>
        <v>0</v>
      </c>
      <c r="BJ152" s="1003"/>
      <c r="BK152" s="1002">
        <f>IF(BK150=0,0,BK151/BK150)*100</f>
        <v>0</v>
      </c>
      <c r="BL152" s="1002">
        <f>IF(BL150=0,0,BL151/BL150)*100</f>
        <v>0</v>
      </c>
      <c r="BM152" s="1003"/>
      <c r="BN152" s="1002">
        <f>IF(BN150=0,0,BN151/BN150)*100</f>
        <v>0</v>
      </c>
      <c r="BO152" s="1002">
        <f>IF(BO150=0,0,BO151/BO150)*100</f>
        <v>0</v>
      </c>
      <c r="BP152" s="1003"/>
      <c r="BQ152" s="1002">
        <f>IF(BQ150=0,0,BQ151/BQ150)*100</f>
        <v>0</v>
      </c>
      <c r="BR152" s="1002">
        <f>IF(BR150=0,0,BR151/BR150)*100</f>
        <v>0</v>
      </c>
      <c r="BS152" s="1003"/>
      <c r="BT152" s="1002">
        <f>IF(BT150=0,0,BT151/BT150)*100</f>
        <v>0</v>
      </c>
      <c r="BU152" s="1002">
        <f>IF(BU150=0,0,BU151/BU150)*100</f>
        <v>0</v>
      </c>
      <c r="BV152" s="1003"/>
      <c r="BW152" s="1002">
        <f>IF(BW150=0,0,BW151/BW150)*100</f>
        <v>0</v>
      </c>
      <c r="BX152" s="1002">
        <f>IF(BX150=0,0,BX151/BX150)*100</f>
        <v>0</v>
      </c>
      <c r="BY152" s="1003"/>
      <c r="BZ152" s="1002">
        <f>IF(BZ150=0,0,BZ151/BZ150)*100</f>
        <v>0</v>
      </c>
      <c r="CA152" s="1002">
        <f>IF(CA150=0,0,CA151/CA150)*100</f>
        <v>0</v>
      </c>
      <c r="CB152" s="1003"/>
      <c r="CC152" s="1002">
        <f>IF(CC150=0,0,CC151/CC150)*100</f>
        <v>0</v>
      </c>
      <c r="CD152" s="1002">
        <f>IF(CD150=0,0,CD151/CD150)*100</f>
        <v>0</v>
      </c>
      <c r="CE152" s="1003"/>
      <c r="CF152" s="1002">
        <f>IF(CF150=0,0,CF151/CF150)*100</f>
        <v>0</v>
      </c>
      <c r="CG152" s="1002">
        <f>IF(CG150=0,0,CG151/CG150)*100</f>
        <v>0</v>
      </c>
      <c r="CH152" s="1003"/>
      <c r="CI152" s="1002">
        <f>IF(CI150=0,0,CI151/CI150)*100</f>
        <v>0</v>
      </c>
      <c r="CJ152" s="1002">
        <f>IF(CJ150=0,0,CJ151/CJ150)*100</f>
        <v>0</v>
      </c>
      <c r="CK152" s="1003"/>
      <c r="CL152" s="1002">
        <f>IF(CL150=0,0,CL151/CL150)*100</f>
        <v>0</v>
      </c>
      <c r="CM152" s="1002">
        <f>IF(CM150=0,0,CM151/CM150)*100</f>
        <v>0</v>
      </c>
      <c r="CN152" s="1003"/>
      <c r="CO152" s="1002">
        <f>IF(CO150=0,0,CO151/CO150)*100</f>
        <v>0</v>
      </c>
      <c r="CP152" s="1002">
        <f>IF(CP150=0,0,CP151/CP150)*100</f>
        <v>0</v>
      </c>
      <c r="CQ152" s="1003"/>
      <c r="CR152" s="1002">
        <f>IF(CR150=0,0,CR151/CR150)*100</f>
        <v>0</v>
      </c>
      <c r="CS152" s="1002">
        <f>IF(CS150=0,0,CS151/CS150)*100</f>
        <v>0</v>
      </c>
      <c r="CT152" s="1003"/>
      <c r="CU152" s="1002">
        <f>IF(CU150=0,0,CU151/CU150)*100</f>
        <v>0</v>
      </c>
      <c r="CV152" s="1002">
        <f>IF(CV150=0,0,CV151/CV150)*100</f>
        <v>0</v>
      </c>
      <c r="CW152" s="1003"/>
      <c r="CX152" s="1002">
        <f>IF(CX150=0,0,CX151/CX150)*100</f>
        <v>0</v>
      </c>
      <c r="CY152" s="1002">
        <f>IF(CY150=0,0,CY151/CY150)*100</f>
        <v>0</v>
      </c>
      <c r="CZ152" s="1003"/>
      <c r="DA152" s="1002">
        <f>IF(DA150=0,0,DA151/DA150)*100</f>
        <v>0</v>
      </c>
      <c r="DB152" s="1002">
        <f>IF(DB150=0,0,DB151/DB150)*100</f>
        <v>0</v>
      </c>
      <c r="DC152" s="1003"/>
      <c r="DD152" s="1002">
        <f>IF(DD150=0,0,DD151/DD150)*100</f>
        <v>0</v>
      </c>
      <c r="DE152" s="1002">
        <f>IF(DE150=0,0,DE151/DE150)*100</f>
        <v>0</v>
      </c>
      <c r="DF152" s="1003"/>
      <c r="DG152" s="1002">
        <f>IF(DG150=0,0,DG151/DG150)*100</f>
        <v>0</v>
      </c>
      <c r="DH152" s="1002">
        <f>IF(DH150=0,0,DH151/DH150)*100</f>
        <v>0</v>
      </c>
      <c r="DI152" s="1003"/>
      <c r="DJ152" s="1002">
        <f>IF(DJ150=0,0,DJ151/DJ150)*100</f>
        <v>0</v>
      </c>
      <c r="DK152" s="1002">
        <f>IF(DK150=0,0,DK151/DK150)*100</f>
        <v>0</v>
      </c>
      <c r="DL152" s="1003"/>
      <c r="DM152" s="1002">
        <f>IF(DM150=0,0,DM151/DM150)*100</f>
        <v>0</v>
      </c>
      <c r="DN152" s="1002">
        <f>IF(DN150=0,0,DN151/DN150)*100</f>
        <v>0</v>
      </c>
      <c r="DO152" s="1003"/>
      <c r="DP152" s="1002">
        <f>IF(DP150=0,0,DP151/DP150)*100</f>
        <v>0</v>
      </c>
      <c r="DQ152" s="1002">
        <f>IF(DQ150=0,0,DQ151/DQ150)*100</f>
        <v>0</v>
      </c>
      <c r="DR152" s="1003"/>
      <c r="DS152" s="1002">
        <f>IF(DS150=0,0,DS151/DS150)*100</f>
        <v>0</v>
      </c>
      <c r="DT152" s="1002">
        <f>IF(DT150=0,0,DT151/DT150)*100</f>
        <v>0</v>
      </c>
      <c r="DU152" s="1003"/>
      <c r="DV152" s="1002">
        <f>IF(DV150=0,0,DV151/DV150)*100</f>
        <v>0</v>
      </c>
      <c r="DW152" s="1002">
        <f>IF(DW150=0,0,DW151/DW150)*100</f>
        <v>0</v>
      </c>
      <c r="DX152" s="1003"/>
      <c r="DY152" s="1002">
        <f>IF(DY150=0,0,DY151/DY150)*100</f>
        <v>0</v>
      </c>
      <c r="DZ152" s="1002">
        <f>IF(DZ150=0,0,DZ151/DZ150)*100</f>
        <v>0</v>
      </c>
      <c r="EA152" s="1003"/>
      <c r="EB152" s="1002">
        <f>IF(EB150=0,0,EB151/EB150)*100</f>
        <v>0</v>
      </c>
      <c r="EC152" s="1002">
        <f>IF(EC150=0,0,EC151/EC150)*100</f>
        <v>0</v>
      </c>
      <c r="ED152" s="1003"/>
      <c r="EE152" s="1002">
        <f>IF(EE150=0,0,EE151/EE150)*100</f>
        <v>0</v>
      </c>
      <c r="EF152" s="1002">
        <f>IF(EF150=0,0,EF151/EF150)*100</f>
        <v>0</v>
      </c>
      <c r="EG152" s="1003"/>
      <c r="EH152" s="1002">
        <f>IF(EH150=0,0,EH151/EH150)*100</f>
        <v>0</v>
      </c>
      <c r="EI152" s="1002">
        <f>IF(EI150=0,0,EI151/EI150)*100</f>
        <v>0</v>
      </c>
      <c r="EJ152" s="1003"/>
      <c r="EK152" s="1002">
        <f>IF(EK150=0,0,EK151/EK150)*100</f>
        <v>0</v>
      </c>
      <c r="EL152" s="1002">
        <f>IF(EL150=0,0,EL151/EL150)*100</f>
        <v>0</v>
      </c>
      <c r="EM152" s="1003"/>
      <c r="EN152" s="1002">
        <f>IF(EN150=0,0,EN151/EN150)*100</f>
        <v>0</v>
      </c>
      <c r="EO152" s="1002">
        <f>IF(EO150=0,0,EO151/EO150)*100</f>
        <v>0</v>
      </c>
      <c r="EP152" s="1003"/>
      <c r="EQ152" s="1002">
        <f>IF(EQ150=0,0,EQ151/EQ150)*100</f>
        <v>0</v>
      </c>
      <c r="ER152" s="1002">
        <f>IF(ER150=0,0,ER151/ER150)*100</f>
        <v>0</v>
      </c>
      <c r="ES152" s="1003"/>
      <c r="ET152" s="1002">
        <f>IF(ET150=0,0,ET151/ET150)*100</f>
        <v>0</v>
      </c>
      <c r="EU152" s="1002">
        <f>IF(EU150=0,0,EU151/EU150)*100</f>
        <v>0</v>
      </c>
      <c r="EV152" s="1003"/>
      <c r="EW152" s="1002">
        <f>IF(EW150=0,0,EW151/EW150)*100</f>
        <v>0</v>
      </c>
      <c r="EX152" s="1002">
        <f>IF(EX150=0,0,EX151/EX150)*100</f>
        <v>0</v>
      </c>
      <c r="EY152" s="1003"/>
      <c r="EZ152" s="1002">
        <f>IF(EZ150=0,0,EZ151/EZ150)*100</f>
        <v>0</v>
      </c>
      <c r="FA152" s="1002">
        <f>IF(FA150=0,0,FA151/FA150)*100</f>
        <v>0</v>
      </c>
      <c r="FB152" s="1003"/>
      <c r="FC152" s="1002">
        <f>IF(FC150=0,0,FC151/FC150)*100</f>
        <v>0</v>
      </c>
      <c r="FD152" s="1002">
        <f>IF(FD150=0,0,FD151/FD150)*100</f>
        <v>0</v>
      </c>
      <c r="FE152" s="1003"/>
      <c r="FF152" s="1002">
        <f>IF(FF150=0,0,FF151/FF150)*100</f>
        <v>0</v>
      </c>
      <c r="FG152" s="1002">
        <f>IF(FG150=0,0,FG151/FG150)*100</f>
        <v>0</v>
      </c>
      <c r="FH152" s="1003"/>
      <c r="FI152" s="1002">
        <f>IF(FI150=0,0,FI151/FI150)*100</f>
        <v>0</v>
      </c>
      <c r="FJ152" s="1002">
        <f>IF(FJ150=0,0,FJ151/FJ150)*100</f>
        <v>0</v>
      </c>
      <c r="FK152" s="1003"/>
      <c r="FL152" s="1002">
        <f>IF(FL150=0,0,FL151/FL150)*100</f>
        <v>0</v>
      </c>
      <c r="FM152" s="1002">
        <f>IF(FM150=0,0,FM151/FM150)*100</f>
        <v>0</v>
      </c>
      <c r="FN152" s="1003"/>
      <c r="FO152" s="1002">
        <f>IF(FO150=0,0,FO151/FO150)*100</f>
        <v>0</v>
      </c>
      <c r="FP152" s="1002">
        <f>IF(FP150=0,0,FP151/FP150)*100</f>
        <v>0</v>
      </c>
      <c r="FQ152" s="1003"/>
      <c r="FR152" s="1002">
        <f>IF(FR150=0,0,FR151/FR150)*100</f>
        <v>0</v>
      </c>
      <c r="FS152" s="1002">
        <f>IF(FS150=0,0,FS151/FS150)*100</f>
        <v>0</v>
      </c>
      <c r="FT152" s="1003"/>
      <c r="FU152" s="1002">
        <f>IF(FU150=0,0,FU151/FU150)*100</f>
        <v>0</v>
      </c>
      <c r="FV152" s="1002">
        <f>IF(FV150=0,0,FV151/FV150)*100</f>
        <v>0</v>
      </c>
      <c r="FW152" s="1003"/>
      <c r="FX152" s="210"/>
      <c r="FY152" s="1214"/>
      <c r="FZ152" s="964" t="s">
        <v>1609</v>
      </c>
      <c r="GA152" s="1216"/>
      <c r="GB152" s="1216"/>
      <c r="GC152" s="1215"/>
      <c r="GD152" s="1215"/>
    </row>
    <row r="153" spans="1:186" s="1334" customFormat="1" ht="14.25" customHeight="1" x14ac:dyDescent="0.15">
      <c r="A153" s="416"/>
      <c r="B153" s="837" t="b" cm="1">
        <f t="array" ref="B153">B152</f>
        <v>1</v>
      </c>
      <c r="C153" s="416"/>
      <c r="D153" s="416"/>
      <c r="E153" s="759">
        <v>15</v>
      </c>
      <c r="F153" s="3" t="str" cm="1">
        <f t="array" aca="1" ref="F153" ca="1">OFFSET(E153,-1,1)</f>
        <v>2</v>
      </c>
      <c r="G153" s="26" t="s">
        <v>1610</v>
      </c>
      <c r="H153" s="416" t="s">
        <v>501</v>
      </c>
      <c r="I153" s="416" t="s">
        <v>1608</v>
      </c>
      <c r="J153" s="416"/>
      <c r="K153" s="416"/>
      <c r="L153" s="416"/>
      <c r="M153" s="416"/>
      <c r="N153" s="416"/>
      <c r="O153" s="416"/>
      <c r="P153" s="416"/>
      <c r="Q153" s="813"/>
      <c r="R153" s="416"/>
      <c r="S153" s="416"/>
      <c r="T153" s="388" t="b" cm="1">
        <f t="array" ref="T153">T152</f>
        <v>1</v>
      </c>
      <c r="U153" s="416"/>
      <c r="V153" s="416"/>
      <c r="W153" s="416"/>
      <c r="X153" s="2066"/>
      <c r="Y153" s="416"/>
      <c r="Z153" s="2011"/>
      <c r="AA153" s="416"/>
      <c r="AB153" s="816" t="s">
        <v>1611</v>
      </c>
      <c r="AC153" s="783" t="s">
        <v>563</v>
      </c>
      <c r="AD153" s="1004">
        <f ca="1">IF(AND(method_reg="Метод индексации",god&lt;&gt;first_year),SUMIFS(INDEX('Калькуляция (МИ корр)'!$AJ$25:$BC$459,,MATCH(AD$8,'Калькуляция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(МИ)'!$AJ$25:$BC$459,,MATCH(AD$8,'Калькуляция (МИ)'!$AJ$8:$BC$8,0)),'Калькуляция (МИ)'!$F$25:$F$459,$F153,'Калькуляция (МИ)'!$G$25:$G$459,$G153))))</f>
        <v>1500.87</v>
      </c>
      <c r="AE153" s="1004">
        <f ca="1">IF(AND(method_reg="Метод индексации",god&lt;&gt;first_year),SUMIFS(INDEX('Калькуляция (МИ корр)'!$AJ$25:$BC$459,,MATCH(AE$8,'Калькуляция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(МИ)'!$AJ$25:$BC$459,,MATCH(AE$8,'Калькуляция (МИ)'!$AJ$8:$BC$8,0)),'Калькуляция (МИ)'!$F$25:$F$459,$F153,'Калькуляция (МИ)'!$G$25:$G$459,$G153))))</f>
        <v>1427.1029699999999</v>
      </c>
      <c r="AF153" s="1005">
        <f ca="1">IF(AD153=0,0,(AE153-AD153)/AD153*100)</f>
        <v>-4.9149513282296251</v>
      </c>
      <c r="AG153" s="1443">
        <f ca="1">IF(AND(method_reg="Метод индексации",god&lt;&gt;first_year),SUMIFS(INDEX('Калькуляция (МИ корр)'!$AJ$25:$BC$459,,MATCH(AG$8,'Калькуляция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(МИ)'!$AJ$25:$BC$459,,MATCH(AG$8,'Калькуляция (МИ)'!$AJ$8:$BC$8,0)),'Калькуляция (МИ)'!$F$25:$F$459,$F153,'Калькуляция (МИ)'!$G$25:$G$459,$G153))))</f>
        <v>0</v>
      </c>
      <c r="AH153" s="1443">
        <f ca="1">IF(AND(method_reg="Метод индексации",god&lt;&gt;first_year),SUMIFS(INDEX('Калькуляция (МИ корр)'!$AJ$25:$BC$459,,MATCH(AH$8,'Калькуляция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(МИ)'!$AJ$25:$BC$459,,MATCH(AH$8,'Калькуляция (МИ)'!$AJ$8:$BC$8,0)),'Калькуляция (МИ)'!$F$25:$F$459,$F153,'Калькуляция (МИ)'!$G$25:$G$459,$G153))))</f>
        <v>0</v>
      </c>
      <c r="AI153" s="1005">
        <f ca="1">IF(AG153=0,0,(AH153-AG153)/AG153*100)</f>
        <v>0</v>
      </c>
      <c r="AJ153" s="1443">
        <f ca="1">IF(AND(method_reg="Метод индексации",god&lt;&gt;first_year),SUMIFS(INDEX('Калькуляция (МИ корр)'!$AJ$25:$BC$459,,MATCH(AJ$8,'Калькуляция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(МИ)'!$AJ$25:$BC$459,,MATCH(AJ$8,'Калькуляция (МИ)'!$AJ$8:$BC$8,0)),'Калькуляция (МИ)'!$F$25:$F$459,$F153,'Калькуляция (МИ)'!$G$25:$G$459,$G153))))</f>
        <v>0</v>
      </c>
      <c r="AK153" s="1443">
        <f ca="1">IF(AND(method_reg="Метод индексации",god&lt;&gt;first_year),SUMIFS(INDEX('Калькуляция (МИ корр)'!$AJ$25:$BC$459,,MATCH(AK$8,'Калькуляция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(МИ)'!$AJ$25:$BC$459,,MATCH(AK$8,'Калькуляция (МИ)'!$AJ$8:$BC$8,0)),'Калькуляция (МИ)'!$F$25:$F$459,$F153,'Калькуляция (МИ)'!$G$25:$G$459,$G153))))</f>
        <v>0</v>
      </c>
      <c r="AL153" s="1005">
        <f ca="1">IF(AJ153=0,0,(AK153-AJ153)/AJ153*100)</f>
        <v>0</v>
      </c>
      <c r="AM153" s="1443">
        <f ca="1">IF(AND(method_reg="Метод индексации",god&lt;&gt;first_year),SUMIFS(INDEX('Калькуляция (МИ корр)'!$AJ$25:$BC$459,,MATCH(AM$8,'Калькуляция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(МИ)'!$AJ$25:$BC$459,,MATCH(AM$8,'Калькуляция (МИ)'!$AJ$8:$BC$8,0)),'Калькуляция (МИ)'!$F$25:$F$459,$F153,'Калькуляция (МИ)'!$G$25:$G$459,$G153))))</f>
        <v>0</v>
      </c>
      <c r="AN153" s="1443">
        <f ca="1">IF(AND(method_reg="Метод индексации",god&lt;&gt;first_year),SUMIFS(INDEX('Калькуляция (МИ корр)'!$AJ$25:$BC$459,,MATCH(AN$8,'Калькуляция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(МИ)'!$AJ$25:$BC$459,,MATCH(AN$8,'Калькуляция (МИ)'!$AJ$8:$BC$8,0)),'Калькуляция (МИ)'!$F$25:$F$459,$F153,'Калькуляция (МИ)'!$G$25:$G$459,$G153))))</f>
        <v>0</v>
      </c>
      <c r="AO153" s="1005">
        <f ca="1">IF(AM153=0,0,(AN153-AM153)/AM153*100)</f>
        <v>0</v>
      </c>
      <c r="AP153" s="1443">
        <f ca="1">IF(AND(method_reg="Метод индексации",god&lt;&gt;first_year),SUMIFS(INDEX('Калькуляция (МИ корр)'!$AJ$25:$BC$459,,MATCH(AP$8,'Калькуляция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(МИ)'!$AJ$25:$BC$459,,MATCH(AP$8,'Калькуляция (МИ)'!$AJ$8:$BC$8,0)),'Калькуляция (МИ)'!$F$25:$F$459,$F153,'Калькуляция (МИ)'!$G$25:$G$459,$G153))))</f>
        <v>0</v>
      </c>
      <c r="AQ153" s="1443">
        <f ca="1">IF(AND(method_reg="Метод индексации",god&lt;&gt;first_year),SUMIFS(INDEX('Калькуляция (МИ корр)'!$AJ$25:$BC$459,,MATCH(AQ$8,'Калькуляция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(МИ)'!$AJ$25:$BC$459,,MATCH(AQ$8,'Калькуляция (МИ)'!$AJ$8:$BC$8,0)),'Калькуляция (МИ)'!$F$25:$F$459,$F153,'Калькуляция (МИ)'!$G$25:$G$459,$G153))))</f>
        <v>0</v>
      </c>
      <c r="AR153" s="1005">
        <f ca="1">IF(AP153=0,0,(AQ153-AP153)/AP153*100)</f>
        <v>0</v>
      </c>
      <c r="AS153" s="1443">
        <f ca="1">IF(AND(method_reg="Метод индексации",god&lt;&gt;first_year),SUMIFS(INDEX('Калькуляция (МИ корр)'!$AJ$25:$BC$459,,MATCH(AS$8,'Калькуляция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(МИ)'!$AJ$25:$BC$459,,MATCH(AS$8,'Калькуляция (МИ)'!$AJ$8:$BC$8,0)),'Калькуляция (МИ)'!$F$25:$F$459,$F153,'Калькуляция (МИ)'!$G$25:$G$459,$G153))))</f>
        <v>0</v>
      </c>
      <c r="AT153" s="1443">
        <f ca="1">IF(AND(method_reg="Метод индексации",god&lt;&gt;first_year),SUMIFS(INDEX('Калькуляция (МИ корр)'!$AJ$25:$BC$459,,MATCH(AT$8,'Калькуляция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(МИ)'!$AJ$25:$BC$459,,MATCH(AT$8,'Калькуляция (МИ)'!$AJ$8:$BC$8,0)),'Калькуляция (МИ)'!$F$25:$F$459,$F153,'Калькуляция (МИ)'!$G$25:$G$459,$G153))))</f>
        <v>0</v>
      </c>
      <c r="AU153" s="1005">
        <f ca="1">IF(AS153=0,0,(AT153-AS153)/AS153*100)</f>
        <v>0</v>
      </c>
      <c r="AV153" s="1443">
        <f ca="1">IF(AND(method_reg="Метод индексации",god&lt;&gt;first_year),SUMIFS(INDEX('Калькуляция (МИ корр)'!$AJ$25:$BC$459,,MATCH(AV$8,'Калькуляция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(МИ)'!$AJ$25:$BC$459,,MATCH(AV$8,'Калькуляция (МИ)'!$AJ$8:$BC$8,0)),'Калькуляция (МИ)'!$F$25:$F$459,$F153,'Калькуляция (МИ)'!$G$25:$G$459,$G153))))</f>
        <v>0</v>
      </c>
      <c r="AW153" s="1443">
        <f ca="1">IF(AND(method_reg="Метод индексации",god&lt;&gt;first_year),SUMIFS(INDEX('Калькуляция (МИ корр)'!$AJ$25:$BC$459,,MATCH(AW$8,'Калькуляция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(МИ)'!$AJ$25:$BC$459,,MATCH(AW$8,'Калькуляция (МИ)'!$AJ$8:$BC$8,0)),'Калькуляция (МИ)'!$F$25:$F$459,$F153,'Калькуляция (МИ)'!$G$25:$G$459,$G153))))</f>
        <v>0</v>
      </c>
      <c r="AX153" s="1005">
        <f ca="1">IF(AV153=0,0,(AW153-AV153)/AV153*100)</f>
        <v>0</v>
      </c>
      <c r="AY153" s="1004">
        <f ca="1">IF(AND(method_reg="Метод индексации",god&lt;&gt;first_year),SUMIFS(INDEX('Калькуляция (МИ корр)'!$AJ$25:$BC$459,,MATCH(AY$8,'Калькуляция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(МИ)'!$AJ$25:$BC$459,,MATCH(AY$8,'Калькуляция (МИ)'!$AJ$8:$BC$8,0)),'Калькуляция (МИ)'!$F$25:$F$459,$F153,'Калькуляция (МИ)'!$G$25:$G$459,$G153))))</f>
        <v>0</v>
      </c>
      <c r="AZ153" s="1004">
        <f ca="1">IF(AND(method_reg="Метод индексации",god&lt;&gt;first_year),SUMIFS(INDEX('Калькуляция (МИ корр)'!$AJ$25:$BC$459,,MATCH(AZ$8,'Калькуляция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(МИ)'!$AJ$25:$BC$459,,MATCH(AZ$8,'Калькуляция (МИ)'!$AJ$8:$BC$8,0)),'Калькуляция (МИ)'!$F$25:$F$459,$F153,'Калькуляция (МИ)'!$G$25:$G$459,$G153))))</f>
        <v>0</v>
      </c>
      <c r="BA153" s="1005">
        <f ca="1">IF(AY153=0,0,(AZ153-AY153)/AY153*100)</f>
        <v>0</v>
      </c>
      <c r="BB153" s="1004">
        <f ca="1">IF(AND(method_reg="Метод индексации",god&lt;&gt;first_year),SUMIFS(INDEX('Калькуляция (МИ корр)'!$AJ$25:$BC$459,,MATCH(BB$8,'Калькуляция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(МИ)'!$AJ$25:$BC$459,,MATCH(BB$8,'Калькуляция (МИ)'!$AJ$8:$BC$8,0)),'Калькуляция (МИ)'!$F$25:$F$459,$F153,'Калькуляция (МИ)'!$G$25:$G$459,$G153))))</f>
        <v>0</v>
      </c>
      <c r="BC153" s="1004">
        <f ca="1">IF(AND(method_reg="Метод индексации",god&lt;&gt;first_year),SUMIFS(INDEX('Калькуляция (МИ корр)'!$AJ$25:$BC$459,,MATCH(BC$8,'Калькуляция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(МИ)'!$AJ$25:$BC$459,,MATCH(BC$8,'Калькуляция (МИ)'!$AJ$8:$BC$8,0)),'Калькуляция (МИ)'!$F$25:$F$459,$F153,'Калькуляция (МИ)'!$G$25:$G$459,$G153))))</f>
        <v>0</v>
      </c>
      <c r="BD153" s="1005">
        <f ca="1">IF(BB153=0,0,(BC153-BB153)/BB153*100)</f>
        <v>0</v>
      </c>
      <c r="BE153" s="1004">
        <f ca="1">IF(AND(method_reg="Метод индексации",god&lt;&gt;first_year),SUMIFS(INDEX('Калькуляция (МИ корр)'!$AJ$25:$BC$459,,MATCH(BE$8,'Калькуляция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(МИ)'!$AJ$25:$BC$459,,MATCH(BE$8,'Калькуляция (МИ)'!$AJ$8:$BC$8,0)),'Калькуляция (МИ)'!$F$25:$F$459,$F153,'Калькуляция (МИ)'!$G$25:$G$459,$G153))))</f>
        <v>0</v>
      </c>
      <c r="BF153" s="1004">
        <f ca="1">IF(AND(method_reg="Метод индексации",god&lt;&gt;first_year),SUMIFS(INDEX('Калькуляция (МИ корр)'!$AJ$25:$BC$459,,MATCH(BF$8,'Калькуляция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(МИ)'!$AJ$25:$BC$459,,MATCH(BF$8,'Калькуляция (МИ)'!$AJ$8:$BC$8,0)),'Калькуляция (МИ)'!$F$25:$F$459,$F153,'Калькуляция (МИ)'!$G$25:$G$459,$G153))))</f>
        <v>0</v>
      </c>
      <c r="BG153" s="1005">
        <f ca="1">IF(BE153=0,0,(BF153-BE153)/BE153*100)</f>
        <v>0</v>
      </c>
      <c r="BH153" s="1004"/>
      <c r="BI153" s="1004"/>
      <c r="BJ153" s="1005">
        <f>IF(BH153=0,0,(BI153-BH153)/BH153*100)</f>
        <v>0</v>
      </c>
      <c r="BK153" s="1004"/>
      <c r="BL153" s="1004"/>
      <c r="BM153" s="1005">
        <f>IF(BK153=0,0,(BL153-BK153)/BK153*100)</f>
        <v>0</v>
      </c>
      <c r="BN153" s="1004"/>
      <c r="BO153" s="1004"/>
      <c r="BP153" s="1005">
        <f>IF(BN153=0,0,(BO153-BN153)/BN153*100)</f>
        <v>0</v>
      </c>
      <c r="BQ153" s="1004"/>
      <c r="BR153" s="1004"/>
      <c r="BS153" s="1005">
        <f>IF(BQ153=0,0,(BR153-BQ153)/BQ153*100)</f>
        <v>0</v>
      </c>
      <c r="BT153" s="1004"/>
      <c r="BU153" s="1004"/>
      <c r="BV153" s="1005">
        <f>IF(BT153=0,0,(BU153-BT153)/BT153*100)</f>
        <v>0</v>
      </c>
      <c r="BW153" s="1004"/>
      <c r="BX153" s="1004"/>
      <c r="BY153" s="1005">
        <f>IF(BW153=0,0,(BX153-BW153)/BW153*100)</f>
        <v>0</v>
      </c>
      <c r="BZ153" s="1004"/>
      <c r="CA153" s="1004"/>
      <c r="CB153" s="1005">
        <f>IF(BZ153=0,0,(CA153-BZ153)/BZ153*100)</f>
        <v>0</v>
      </c>
      <c r="CC153" s="1004"/>
      <c r="CD153" s="1004"/>
      <c r="CE153" s="1005">
        <f>IF(CC153=0,0,(CD153-CC153)/CC153*100)</f>
        <v>0</v>
      </c>
      <c r="CF153" s="1004"/>
      <c r="CG153" s="1004"/>
      <c r="CH153" s="1005">
        <f>IF(CF153=0,0,(CG153-CF153)/CF153*100)</f>
        <v>0</v>
      </c>
      <c r="CI153" s="1004"/>
      <c r="CJ153" s="1004"/>
      <c r="CK153" s="1005">
        <f>IF(CI153=0,0,(CJ153-CI153)/CI153*100)</f>
        <v>0</v>
      </c>
      <c r="CL153" s="1004"/>
      <c r="CM153" s="1004"/>
      <c r="CN153" s="1005">
        <f>IF(CL153=0,0,(CM153-CL153)/CL153*100)</f>
        <v>0</v>
      </c>
      <c r="CO153" s="1004"/>
      <c r="CP153" s="1004"/>
      <c r="CQ153" s="1005">
        <f>IF(CO153=0,0,(CP153-CO153)/CO153*100)</f>
        <v>0</v>
      </c>
      <c r="CR153" s="1004"/>
      <c r="CS153" s="1004"/>
      <c r="CT153" s="1005">
        <f>IF(CR153=0,0,(CS153-CR153)/CR153*100)</f>
        <v>0</v>
      </c>
      <c r="CU153" s="1004"/>
      <c r="CV153" s="1004"/>
      <c r="CW153" s="1005">
        <f>IF(CU153=0,0,(CV153-CU153)/CU153*100)</f>
        <v>0</v>
      </c>
      <c r="CX153" s="1004"/>
      <c r="CY153" s="1004"/>
      <c r="CZ153" s="1005">
        <f>IF(CX153=0,0,(CY153-CX153)/CX153*100)</f>
        <v>0</v>
      </c>
      <c r="DA153" s="1004"/>
      <c r="DB153" s="1004"/>
      <c r="DC153" s="1005">
        <f>IF(DA153=0,0,(DB153-DA153)/DA153*100)</f>
        <v>0</v>
      </c>
      <c r="DD153" s="1004"/>
      <c r="DE153" s="1004"/>
      <c r="DF153" s="1005">
        <f>IF(DD153=0,0,(DE153-DD153)/DD153*100)</f>
        <v>0</v>
      </c>
      <c r="DG153" s="1004"/>
      <c r="DH153" s="1004"/>
      <c r="DI153" s="1005">
        <f>IF(DG153=0,0,(DH153-DG153)/DG153*100)</f>
        <v>0</v>
      </c>
      <c r="DJ153" s="1004"/>
      <c r="DK153" s="1004"/>
      <c r="DL153" s="1005">
        <f>IF(DJ153=0,0,(DK153-DJ153)/DJ153*100)</f>
        <v>0</v>
      </c>
      <c r="DM153" s="1004"/>
      <c r="DN153" s="1004"/>
      <c r="DO153" s="1005">
        <f>IF(DM153=0,0,(DN153-DM153)/DM153*100)</f>
        <v>0</v>
      </c>
      <c r="DP153" s="1004"/>
      <c r="DQ153" s="1004"/>
      <c r="DR153" s="1005">
        <f>IF(DP153=0,0,(DQ153-DP153)/DP153*100)</f>
        <v>0</v>
      </c>
      <c r="DS153" s="1004"/>
      <c r="DT153" s="1004"/>
      <c r="DU153" s="1005">
        <f>IF(DS153=0,0,(DT153-DS153)/DS153*100)</f>
        <v>0</v>
      </c>
      <c r="DV153" s="1004"/>
      <c r="DW153" s="1004"/>
      <c r="DX153" s="1005">
        <f>IF(DV153=0,0,(DW153-DV153)/DV153*100)</f>
        <v>0</v>
      </c>
      <c r="DY153" s="1004"/>
      <c r="DZ153" s="1004"/>
      <c r="EA153" s="1005">
        <f>IF(DY153=0,0,(DZ153-DY153)/DY153*100)</f>
        <v>0</v>
      </c>
      <c r="EB153" s="1004"/>
      <c r="EC153" s="1004"/>
      <c r="ED153" s="1005">
        <f>IF(EB153=0,0,(EC153-EB153)/EB153*100)</f>
        <v>0</v>
      </c>
      <c r="EE153" s="1004"/>
      <c r="EF153" s="1004"/>
      <c r="EG153" s="1005">
        <f>IF(EE153=0,0,(EF153-EE153)/EE153*100)</f>
        <v>0</v>
      </c>
      <c r="EH153" s="1004"/>
      <c r="EI153" s="1004"/>
      <c r="EJ153" s="1005">
        <f>IF(EH153=0,0,(EI153-EH153)/EH153*100)</f>
        <v>0</v>
      </c>
      <c r="EK153" s="1004"/>
      <c r="EL153" s="1004"/>
      <c r="EM153" s="1005">
        <f>IF(EK153=0,0,(EL153-EK153)/EK153*100)</f>
        <v>0</v>
      </c>
      <c r="EN153" s="1004"/>
      <c r="EO153" s="1004"/>
      <c r="EP153" s="1005">
        <f>IF(EN153=0,0,(EO153-EN153)/EN153*100)</f>
        <v>0</v>
      </c>
      <c r="EQ153" s="1004"/>
      <c r="ER153" s="1004"/>
      <c r="ES153" s="1005">
        <f>IF(EQ153=0,0,(ER153-EQ153)/EQ153*100)</f>
        <v>0</v>
      </c>
      <c r="ET153" s="1004"/>
      <c r="EU153" s="1004"/>
      <c r="EV153" s="1005">
        <f>IF(ET153=0,0,(EU153-ET153)/ET153*100)</f>
        <v>0</v>
      </c>
      <c r="EW153" s="1004"/>
      <c r="EX153" s="1004"/>
      <c r="EY153" s="1005">
        <f>IF(EW153=0,0,(EX153-EW153)/EW153*100)</f>
        <v>0</v>
      </c>
      <c r="EZ153" s="1004"/>
      <c r="FA153" s="1004"/>
      <c r="FB153" s="1005">
        <f>IF(EZ153=0,0,(FA153-EZ153)/EZ153*100)</f>
        <v>0</v>
      </c>
      <c r="FC153" s="1004"/>
      <c r="FD153" s="1004"/>
      <c r="FE153" s="1005">
        <f>IF(FC153=0,0,(FD153-FC153)/FC153*100)</f>
        <v>0</v>
      </c>
      <c r="FF153" s="1004"/>
      <c r="FG153" s="1004"/>
      <c r="FH153" s="1005">
        <f>IF(FF153=0,0,(FG153-FF153)/FF153*100)</f>
        <v>0</v>
      </c>
      <c r="FI153" s="1004"/>
      <c r="FJ153" s="1004"/>
      <c r="FK153" s="1005">
        <f>IF(FI153=0,0,(FJ153-FI153)/FI153*100)</f>
        <v>0</v>
      </c>
      <c r="FL153" s="1004"/>
      <c r="FM153" s="1004"/>
      <c r="FN153" s="1005">
        <f>IF(FL153=0,0,(FM153-FL153)/FL153*100)</f>
        <v>0</v>
      </c>
      <c r="FO153" s="1004"/>
      <c r="FP153" s="1004"/>
      <c r="FQ153" s="1005">
        <f>IF(FO153=0,0,(FP153-FO153)/FO153*100)</f>
        <v>0</v>
      </c>
      <c r="FR153" s="1004"/>
      <c r="FS153" s="1004"/>
      <c r="FT153" s="1005">
        <f>IF(FR153=0,0,(FS153-FR153)/FR153*100)</f>
        <v>0</v>
      </c>
      <c r="FU153" s="1004"/>
      <c r="FV153" s="1004"/>
      <c r="FW153" s="1005">
        <f>IF(FU153=0,0,(FV153-FU153)/FU153*100)</f>
        <v>0</v>
      </c>
      <c r="FX153" s="210"/>
      <c r="FY153" s="1214"/>
      <c r="FZ153" s="964" t="s">
        <v>1612</v>
      </c>
      <c r="GA153" s="1216"/>
      <c r="GB153" s="1216"/>
      <c r="GC153" s="1215"/>
      <c r="GD153" s="1215"/>
    </row>
    <row r="154" spans="1:186" s="1334" customFormat="1" ht="18" hidden="1" customHeight="1" x14ac:dyDescent="0.15">
      <c r="A154" s="416"/>
      <c r="B154" s="837" t="b" cm="1">
        <f t="array" ref="B154">B153</f>
        <v>1</v>
      </c>
      <c r="C154" s="416"/>
      <c r="D154" s="416"/>
      <c r="E154" s="759">
        <v>18.75</v>
      </c>
      <c r="F154" s="3" t="str" cm="1">
        <f t="array" aca="1" ref="F154" ca="1">OFFSET(E154,-1,1)</f>
        <v>2</v>
      </c>
      <c r="G154" s="416"/>
      <c r="H154" s="416" t="s">
        <v>494</v>
      </c>
      <c r="I154" s="416" cm="1">
        <f t="array" ref="I154">AB154</f>
        <v>0</v>
      </c>
      <c r="J154" s="416"/>
      <c r="K154" s="416"/>
      <c r="L154" s="416"/>
      <c r="M154" s="416"/>
      <c r="N154" s="416"/>
      <c r="O154" s="416"/>
      <c r="P154" s="416"/>
      <c r="Q154" s="813"/>
      <c r="R154" s="416"/>
      <c r="S154" s="416"/>
      <c r="T154" s="388" t="b">
        <f ca="1">AND(F154&gt;0,Y154&gt;0)</f>
        <v>0</v>
      </c>
      <c r="U154" s="416"/>
      <c r="V154" s="416"/>
      <c r="W154" s="416" t="s">
        <v>172</v>
      </c>
      <c r="X154" s="2066"/>
      <c r="Y154" s="2066">
        <v>0</v>
      </c>
      <c r="Z154" s="2011"/>
      <c r="AA154" s="1958" t="s">
        <v>173</v>
      </c>
      <c r="AB154" s="1444"/>
      <c r="AC154" s="783" t="s">
        <v>1588</v>
      </c>
      <c r="AD154" s="1445"/>
      <c r="AE154" s="1446"/>
      <c r="AF154" s="1003">
        <f>IF(AD154=0,0,(AE154-AD154)/AD154*100)</f>
        <v>0</v>
      </c>
      <c r="AG154" s="1445"/>
      <c r="AH154" s="1446"/>
      <c r="AI154" s="1003">
        <f>IF(AG154=0,0,(AH154-AG154)/AG154*100)</f>
        <v>0</v>
      </c>
      <c r="AJ154" s="1445"/>
      <c r="AK154" s="1446"/>
      <c r="AL154" s="1003">
        <f>IF(AJ154=0,0,(AK154-AJ154)/AJ154*100)</f>
        <v>0</v>
      </c>
      <c r="AM154" s="1445"/>
      <c r="AN154" s="1446"/>
      <c r="AO154" s="1003">
        <f>IF(AM154=0,0,(AN154-AM154)/AM154*100)</f>
        <v>0</v>
      </c>
      <c r="AP154" s="1445"/>
      <c r="AQ154" s="1446"/>
      <c r="AR154" s="1003">
        <f>IF(AP154=0,0,(AQ154-AP154)/AP154*100)</f>
        <v>0</v>
      </c>
      <c r="AS154" s="1445"/>
      <c r="AT154" s="1446"/>
      <c r="AU154" s="1003">
        <f>IF(AS154=0,0,(AT154-AS154)/AS154*100)</f>
        <v>0</v>
      </c>
      <c r="AV154" s="1445"/>
      <c r="AW154" s="1446"/>
      <c r="AX154" s="1003">
        <f>IF(AV154=0,0,(AW154-AV154)/AV154*100)</f>
        <v>0</v>
      </c>
      <c r="AY154" s="1445"/>
      <c r="AZ154" s="1446"/>
      <c r="BA154" s="1003">
        <f>IF(AY154=0,0,(AZ154-AY154)/AY154*100)</f>
        <v>0</v>
      </c>
      <c r="BB154" s="1445"/>
      <c r="BC154" s="1446"/>
      <c r="BD154" s="1003">
        <f>IF(BB154=0,0,(BC154-BB154)/BB154*100)</f>
        <v>0</v>
      </c>
      <c r="BE154" s="1445"/>
      <c r="BF154" s="1446"/>
      <c r="BG154" s="1003">
        <f>IF(BE154=0,0,(BF154-BE154)/BE154*100)</f>
        <v>0</v>
      </c>
      <c r="BH154" s="1445"/>
      <c r="BI154" s="1446"/>
      <c r="BJ154" s="1003">
        <f>IF(BH154=0,0,(BI154-BH154)/BH154*100)</f>
        <v>0</v>
      </c>
      <c r="BK154" s="1445"/>
      <c r="BL154" s="1446"/>
      <c r="BM154" s="1003">
        <f>IF(BK154=0,0,(BL154-BK154)/BK154*100)</f>
        <v>0</v>
      </c>
      <c r="BN154" s="1445"/>
      <c r="BO154" s="1446"/>
      <c r="BP154" s="1003">
        <f>IF(BN154=0,0,(BO154-BN154)/BN154*100)</f>
        <v>0</v>
      </c>
      <c r="BQ154" s="1445"/>
      <c r="BR154" s="1446"/>
      <c r="BS154" s="1003">
        <f>IF(BQ154=0,0,(BR154-BQ154)/BQ154*100)</f>
        <v>0</v>
      </c>
      <c r="BT154" s="1445"/>
      <c r="BU154" s="1446"/>
      <c r="BV154" s="1003">
        <f>IF(BT154=0,0,(BU154-BT154)/BT154*100)</f>
        <v>0</v>
      </c>
      <c r="BW154" s="1445"/>
      <c r="BX154" s="1446"/>
      <c r="BY154" s="1003">
        <f>IF(BW154=0,0,(BX154-BW154)/BW154*100)</f>
        <v>0</v>
      </c>
      <c r="BZ154" s="1445"/>
      <c r="CA154" s="1446"/>
      <c r="CB154" s="1003">
        <f>IF(BZ154=0,0,(CA154-BZ154)/BZ154*100)</f>
        <v>0</v>
      </c>
      <c r="CC154" s="1445"/>
      <c r="CD154" s="1446"/>
      <c r="CE154" s="1003">
        <f>IF(CC154=0,0,(CD154-CC154)/CC154*100)</f>
        <v>0</v>
      </c>
      <c r="CF154" s="1445"/>
      <c r="CG154" s="1446"/>
      <c r="CH154" s="1003">
        <f>IF(CF154=0,0,(CG154-CF154)/CF154*100)</f>
        <v>0</v>
      </c>
      <c r="CI154" s="1445"/>
      <c r="CJ154" s="1446"/>
      <c r="CK154" s="1003">
        <f>IF(CI154=0,0,(CJ154-CI154)/CI154*100)</f>
        <v>0</v>
      </c>
      <c r="CL154" s="1445"/>
      <c r="CM154" s="1446"/>
      <c r="CN154" s="1003">
        <f>IF(CL154=0,0,(CM154-CL154)/CL154*100)</f>
        <v>0</v>
      </c>
      <c r="CO154" s="1445"/>
      <c r="CP154" s="1446"/>
      <c r="CQ154" s="1003">
        <f>IF(CO154=0,0,(CP154-CO154)/CO154*100)</f>
        <v>0</v>
      </c>
      <c r="CR154" s="1445"/>
      <c r="CS154" s="1446"/>
      <c r="CT154" s="1003">
        <f>IF(CR154=0,0,(CS154-CR154)/CR154*100)</f>
        <v>0</v>
      </c>
      <c r="CU154" s="1445"/>
      <c r="CV154" s="1446"/>
      <c r="CW154" s="1003">
        <f>IF(CU154=0,0,(CV154-CU154)/CU154*100)</f>
        <v>0</v>
      </c>
      <c r="CX154" s="1445"/>
      <c r="CY154" s="1446"/>
      <c r="CZ154" s="1003">
        <f>IF(CX154=0,0,(CY154-CX154)/CX154*100)</f>
        <v>0</v>
      </c>
      <c r="DA154" s="1445"/>
      <c r="DB154" s="1446"/>
      <c r="DC154" s="1003">
        <f>IF(DA154=0,0,(DB154-DA154)/DA154*100)</f>
        <v>0</v>
      </c>
      <c r="DD154" s="1445"/>
      <c r="DE154" s="1446"/>
      <c r="DF154" s="1003">
        <f>IF(DD154=0,0,(DE154-DD154)/DD154*100)</f>
        <v>0</v>
      </c>
      <c r="DG154" s="1445"/>
      <c r="DH154" s="1446"/>
      <c r="DI154" s="1003">
        <f>IF(DG154=0,0,(DH154-DG154)/DG154*100)</f>
        <v>0</v>
      </c>
      <c r="DJ154" s="1445"/>
      <c r="DK154" s="1446"/>
      <c r="DL154" s="1003">
        <f>IF(DJ154=0,0,(DK154-DJ154)/DJ154*100)</f>
        <v>0</v>
      </c>
      <c r="DM154" s="1445"/>
      <c r="DN154" s="1446"/>
      <c r="DO154" s="1003">
        <f>IF(DM154=0,0,(DN154-DM154)/DM154*100)</f>
        <v>0</v>
      </c>
      <c r="DP154" s="1445"/>
      <c r="DQ154" s="1446"/>
      <c r="DR154" s="1003">
        <f>IF(DP154=0,0,(DQ154-DP154)/DP154*100)</f>
        <v>0</v>
      </c>
      <c r="DS154" s="1445"/>
      <c r="DT154" s="1446"/>
      <c r="DU154" s="1003">
        <f>IF(DS154=0,0,(DT154-DS154)/DS154*100)</f>
        <v>0</v>
      </c>
      <c r="DV154" s="1445"/>
      <c r="DW154" s="1446"/>
      <c r="DX154" s="1003">
        <f>IF(DV154=0,0,(DW154-DV154)/DV154*100)</f>
        <v>0</v>
      </c>
      <c r="DY154" s="1445"/>
      <c r="DZ154" s="1446"/>
      <c r="EA154" s="1003">
        <f>IF(DY154=0,0,(DZ154-DY154)/DY154*100)</f>
        <v>0</v>
      </c>
      <c r="EB154" s="1445"/>
      <c r="EC154" s="1446"/>
      <c r="ED154" s="1003">
        <f>IF(EB154=0,0,(EC154-EB154)/EB154*100)</f>
        <v>0</v>
      </c>
      <c r="EE154" s="1445"/>
      <c r="EF154" s="1446"/>
      <c r="EG154" s="1003">
        <f>IF(EE154=0,0,(EF154-EE154)/EE154*100)</f>
        <v>0</v>
      </c>
      <c r="EH154" s="1445"/>
      <c r="EI154" s="1446"/>
      <c r="EJ154" s="1003">
        <f>IF(EH154=0,0,(EI154-EH154)/EH154*100)</f>
        <v>0</v>
      </c>
      <c r="EK154" s="1445"/>
      <c r="EL154" s="1446"/>
      <c r="EM154" s="1003">
        <f>IF(EK154=0,0,(EL154-EK154)/EK154*100)</f>
        <v>0</v>
      </c>
      <c r="EN154" s="1445"/>
      <c r="EO154" s="1446"/>
      <c r="EP154" s="1003">
        <f>IF(EN154=0,0,(EO154-EN154)/EN154*100)</f>
        <v>0</v>
      </c>
      <c r="EQ154" s="1445"/>
      <c r="ER154" s="1446"/>
      <c r="ES154" s="1003">
        <f>IF(EQ154=0,0,(ER154-EQ154)/EQ154*100)</f>
        <v>0</v>
      </c>
      <c r="ET154" s="1445"/>
      <c r="EU154" s="1446"/>
      <c r="EV154" s="1003">
        <f>IF(ET154=0,0,(EU154-ET154)/ET154*100)</f>
        <v>0</v>
      </c>
      <c r="EW154" s="1445"/>
      <c r="EX154" s="1446"/>
      <c r="EY154" s="1003">
        <f>IF(EW154=0,0,(EX154-EW154)/EW154*100)</f>
        <v>0</v>
      </c>
      <c r="EZ154" s="1445"/>
      <c r="FA154" s="1446"/>
      <c r="FB154" s="1003">
        <f>IF(EZ154=0,0,(FA154-EZ154)/EZ154*100)</f>
        <v>0</v>
      </c>
      <c r="FC154" s="1445"/>
      <c r="FD154" s="1446"/>
      <c r="FE154" s="1003">
        <f>IF(FC154=0,0,(FD154-FC154)/FC154*100)</f>
        <v>0</v>
      </c>
      <c r="FF154" s="1445"/>
      <c r="FG154" s="1446"/>
      <c r="FH154" s="1003">
        <f>IF(FF154=0,0,(FG154-FF154)/FF154*100)</f>
        <v>0</v>
      </c>
      <c r="FI154" s="1445"/>
      <c r="FJ154" s="1446"/>
      <c r="FK154" s="1003">
        <f>IF(FI154=0,0,(FJ154-FI154)/FI154*100)</f>
        <v>0</v>
      </c>
      <c r="FL154" s="1445"/>
      <c r="FM154" s="1446"/>
      <c r="FN154" s="1003">
        <f>IF(FL154=0,0,(FM154-FL154)/FL154*100)</f>
        <v>0</v>
      </c>
      <c r="FO154" s="1445"/>
      <c r="FP154" s="1446"/>
      <c r="FQ154" s="1003">
        <f>IF(FO154=0,0,(FP154-FO154)/FO154*100)</f>
        <v>0</v>
      </c>
      <c r="FR154" s="1445"/>
      <c r="FS154" s="1446"/>
      <c r="FT154" s="1003">
        <f>IF(FR154=0,0,(FS154-FR154)/FR154*100)</f>
        <v>0</v>
      </c>
      <c r="FU154" s="1445"/>
      <c r="FV154" s="1446"/>
      <c r="FW154" s="1003">
        <f>IF(FU154=0,0,(FV154-FU154)/FU154*100)</f>
        <v>0</v>
      </c>
      <c r="FX154" s="210"/>
      <c r="FY154" s="1214"/>
      <c r="FZ154" s="964" t="s">
        <v>1613</v>
      </c>
      <c r="GA154" s="924" t="s">
        <v>1614</v>
      </c>
      <c r="GB154" s="924" cm="1">
        <f t="array" ref="GB154">AB154</f>
        <v>0</v>
      </c>
      <c r="GC154" s="1215"/>
      <c r="GD154" s="556" t="b">
        <v>1</v>
      </c>
    </row>
    <row r="155" spans="1:186" s="1334" customFormat="1" ht="14.25" hidden="1" customHeight="1" x14ac:dyDescent="0.15">
      <c r="A155" s="416"/>
      <c r="B155" s="837" t="b" cm="1">
        <f t="array" ref="B155">B154</f>
        <v>1</v>
      </c>
      <c r="C155" s="416"/>
      <c r="D155" s="416"/>
      <c r="E155" s="759">
        <v>15</v>
      </c>
      <c r="F155" s="3" t="str" cm="1">
        <f t="array" aca="1" ref="F155" ca="1">OFFSET(E155,-1,1)</f>
        <v>2</v>
      </c>
      <c r="G155" s="416"/>
      <c r="H155" s="416" t="s">
        <v>501</v>
      </c>
      <c r="I155" s="416" cm="1">
        <f t="array" ref="I155">I154</f>
        <v>0</v>
      </c>
      <c r="J155" s="416"/>
      <c r="K155" s="416"/>
      <c r="L155" s="416"/>
      <c r="M155" s="416"/>
      <c r="N155" s="416"/>
      <c r="O155" s="416"/>
      <c r="P155" s="416"/>
      <c r="Q155" s="813"/>
      <c r="R155" s="416"/>
      <c r="S155" s="416"/>
      <c r="T155" s="388" t="b" cm="1">
        <f t="array" aca="1" ref="T155" ca="1">T154</f>
        <v>0</v>
      </c>
      <c r="U155" s="416"/>
      <c r="V155" s="416"/>
      <c r="W155" s="416"/>
      <c r="X155" s="2066"/>
      <c r="Y155" s="2066"/>
      <c r="Z155" s="2011"/>
      <c r="AA155" s="1958"/>
      <c r="AB155" s="816" t="s">
        <v>1615</v>
      </c>
      <c r="AC155" s="218" t="s">
        <v>563</v>
      </c>
      <c r="AD155" s="1443"/>
      <c r="AE155" s="1443"/>
      <c r="AF155" s="1005">
        <f>IF(AD155=0,0,(AE155-AD155)/AD155*100)</f>
        <v>0</v>
      </c>
      <c r="AG155" s="1443"/>
      <c r="AH155" s="1443"/>
      <c r="AI155" s="1005">
        <f>IF(AG155=0,0,(AH155-AG155)/AG155*100)</f>
        <v>0</v>
      </c>
      <c r="AJ155" s="1443"/>
      <c r="AK155" s="1443"/>
      <c r="AL155" s="1005">
        <f>IF(AJ155=0,0,(AK155-AJ155)/AJ155*100)</f>
        <v>0</v>
      </c>
      <c r="AM155" s="1443"/>
      <c r="AN155" s="1443"/>
      <c r="AO155" s="1005">
        <f>IF(AM155=0,0,(AN155-AM155)/AM155*100)</f>
        <v>0</v>
      </c>
      <c r="AP155" s="1443"/>
      <c r="AQ155" s="1443"/>
      <c r="AR155" s="1005">
        <f>IF(AP155=0,0,(AQ155-AP155)/AP155*100)</f>
        <v>0</v>
      </c>
      <c r="AS155" s="1443"/>
      <c r="AT155" s="1443"/>
      <c r="AU155" s="1005">
        <f>IF(AS155=0,0,(AT155-AS155)/AS155*100)</f>
        <v>0</v>
      </c>
      <c r="AV155" s="1443"/>
      <c r="AW155" s="1443"/>
      <c r="AX155" s="1005">
        <f>IF(AV155=0,0,(AW155-AV155)/AV155*100)</f>
        <v>0</v>
      </c>
      <c r="AY155" s="1443"/>
      <c r="AZ155" s="1443"/>
      <c r="BA155" s="1005">
        <f>IF(AY155=0,0,(AZ155-AY155)/AY155*100)</f>
        <v>0</v>
      </c>
      <c r="BB155" s="1443"/>
      <c r="BC155" s="1443"/>
      <c r="BD155" s="1005">
        <f>IF(BB155=0,0,(BC155-BB155)/BB155*100)</f>
        <v>0</v>
      </c>
      <c r="BE155" s="1443"/>
      <c r="BF155" s="1443"/>
      <c r="BG155" s="1005">
        <f>IF(BE155=0,0,(BF155-BE155)/BE155*100)</f>
        <v>0</v>
      </c>
      <c r="BH155" s="1443"/>
      <c r="BI155" s="1443"/>
      <c r="BJ155" s="1005">
        <f>IF(BH155=0,0,(BI155-BH155)/BH155*100)</f>
        <v>0</v>
      </c>
      <c r="BK155" s="1443"/>
      <c r="BL155" s="1443"/>
      <c r="BM155" s="1005">
        <f>IF(BK155=0,0,(BL155-BK155)/BK155*100)</f>
        <v>0</v>
      </c>
      <c r="BN155" s="1443"/>
      <c r="BO155" s="1443"/>
      <c r="BP155" s="1005">
        <f>IF(BN155=0,0,(BO155-BN155)/BN155*100)</f>
        <v>0</v>
      </c>
      <c r="BQ155" s="1443"/>
      <c r="BR155" s="1443"/>
      <c r="BS155" s="1005">
        <f>IF(BQ155=0,0,(BR155-BQ155)/BQ155*100)</f>
        <v>0</v>
      </c>
      <c r="BT155" s="1443"/>
      <c r="BU155" s="1443"/>
      <c r="BV155" s="1005">
        <f>IF(BT155=0,0,(BU155-BT155)/BT155*100)</f>
        <v>0</v>
      </c>
      <c r="BW155" s="1443"/>
      <c r="BX155" s="1443"/>
      <c r="BY155" s="1005">
        <f>IF(BW155=0,0,(BX155-BW155)/BW155*100)</f>
        <v>0</v>
      </c>
      <c r="BZ155" s="1443"/>
      <c r="CA155" s="1443"/>
      <c r="CB155" s="1005">
        <f>IF(BZ155=0,0,(CA155-BZ155)/BZ155*100)</f>
        <v>0</v>
      </c>
      <c r="CC155" s="1443"/>
      <c r="CD155" s="1443"/>
      <c r="CE155" s="1005">
        <f>IF(CC155=0,0,(CD155-CC155)/CC155*100)</f>
        <v>0</v>
      </c>
      <c r="CF155" s="1443"/>
      <c r="CG155" s="1443"/>
      <c r="CH155" s="1005">
        <f>IF(CF155=0,0,(CG155-CF155)/CF155*100)</f>
        <v>0</v>
      </c>
      <c r="CI155" s="1443"/>
      <c r="CJ155" s="1443"/>
      <c r="CK155" s="1005">
        <f>IF(CI155=0,0,(CJ155-CI155)/CI155*100)</f>
        <v>0</v>
      </c>
      <c r="CL155" s="1443"/>
      <c r="CM155" s="1443"/>
      <c r="CN155" s="1005">
        <f>IF(CL155=0,0,(CM155-CL155)/CL155*100)</f>
        <v>0</v>
      </c>
      <c r="CO155" s="1443"/>
      <c r="CP155" s="1443"/>
      <c r="CQ155" s="1005">
        <f>IF(CO155=0,0,(CP155-CO155)/CO155*100)</f>
        <v>0</v>
      </c>
      <c r="CR155" s="1443"/>
      <c r="CS155" s="1443"/>
      <c r="CT155" s="1005">
        <f>IF(CR155=0,0,(CS155-CR155)/CR155*100)</f>
        <v>0</v>
      </c>
      <c r="CU155" s="1443"/>
      <c r="CV155" s="1443"/>
      <c r="CW155" s="1005">
        <f>IF(CU155=0,0,(CV155-CU155)/CU155*100)</f>
        <v>0</v>
      </c>
      <c r="CX155" s="1443"/>
      <c r="CY155" s="1443"/>
      <c r="CZ155" s="1005">
        <f>IF(CX155=0,0,(CY155-CX155)/CX155*100)</f>
        <v>0</v>
      </c>
      <c r="DA155" s="1443"/>
      <c r="DB155" s="1443"/>
      <c r="DC155" s="1005">
        <f>IF(DA155=0,0,(DB155-DA155)/DA155*100)</f>
        <v>0</v>
      </c>
      <c r="DD155" s="1443"/>
      <c r="DE155" s="1443"/>
      <c r="DF155" s="1005">
        <f>IF(DD155=0,0,(DE155-DD155)/DD155*100)</f>
        <v>0</v>
      </c>
      <c r="DG155" s="1443"/>
      <c r="DH155" s="1443"/>
      <c r="DI155" s="1005">
        <f>IF(DG155=0,0,(DH155-DG155)/DG155*100)</f>
        <v>0</v>
      </c>
      <c r="DJ155" s="1443"/>
      <c r="DK155" s="1443"/>
      <c r="DL155" s="1005">
        <f>IF(DJ155=0,0,(DK155-DJ155)/DJ155*100)</f>
        <v>0</v>
      </c>
      <c r="DM155" s="1443"/>
      <c r="DN155" s="1443"/>
      <c r="DO155" s="1005">
        <f>IF(DM155=0,0,(DN155-DM155)/DM155*100)</f>
        <v>0</v>
      </c>
      <c r="DP155" s="1443"/>
      <c r="DQ155" s="1443"/>
      <c r="DR155" s="1005">
        <f>IF(DP155=0,0,(DQ155-DP155)/DP155*100)</f>
        <v>0</v>
      </c>
      <c r="DS155" s="1443"/>
      <c r="DT155" s="1443"/>
      <c r="DU155" s="1005">
        <f>IF(DS155=0,0,(DT155-DS155)/DS155*100)</f>
        <v>0</v>
      </c>
      <c r="DV155" s="1443"/>
      <c r="DW155" s="1443"/>
      <c r="DX155" s="1005">
        <f>IF(DV155=0,0,(DW155-DV155)/DV155*100)</f>
        <v>0</v>
      </c>
      <c r="DY155" s="1443"/>
      <c r="DZ155" s="1443"/>
      <c r="EA155" s="1005">
        <f>IF(DY155=0,0,(DZ155-DY155)/DY155*100)</f>
        <v>0</v>
      </c>
      <c r="EB155" s="1443"/>
      <c r="EC155" s="1443"/>
      <c r="ED155" s="1005">
        <f>IF(EB155=0,0,(EC155-EB155)/EB155*100)</f>
        <v>0</v>
      </c>
      <c r="EE155" s="1443"/>
      <c r="EF155" s="1443"/>
      <c r="EG155" s="1005">
        <f>IF(EE155=0,0,(EF155-EE155)/EE155*100)</f>
        <v>0</v>
      </c>
      <c r="EH155" s="1443"/>
      <c r="EI155" s="1443"/>
      <c r="EJ155" s="1005">
        <f>IF(EH155=0,0,(EI155-EH155)/EH155*100)</f>
        <v>0</v>
      </c>
      <c r="EK155" s="1443"/>
      <c r="EL155" s="1443"/>
      <c r="EM155" s="1005">
        <f>IF(EK155=0,0,(EL155-EK155)/EK155*100)</f>
        <v>0</v>
      </c>
      <c r="EN155" s="1443"/>
      <c r="EO155" s="1443"/>
      <c r="EP155" s="1005">
        <f>IF(EN155=0,0,(EO155-EN155)/EN155*100)</f>
        <v>0</v>
      </c>
      <c r="EQ155" s="1443"/>
      <c r="ER155" s="1443"/>
      <c r="ES155" s="1005">
        <f>IF(EQ155=0,0,(ER155-EQ155)/EQ155*100)</f>
        <v>0</v>
      </c>
      <c r="ET155" s="1443"/>
      <c r="EU155" s="1443"/>
      <c r="EV155" s="1005">
        <f>IF(ET155=0,0,(EU155-ET155)/ET155*100)</f>
        <v>0</v>
      </c>
      <c r="EW155" s="1443"/>
      <c r="EX155" s="1443"/>
      <c r="EY155" s="1005">
        <f>IF(EW155=0,0,(EX155-EW155)/EW155*100)</f>
        <v>0</v>
      </c>
      <c r="EZ155" s="1443"/>
      <c r="FA155" s="1443"/>
      <c r="FB155" s="1005">
        <f>IF(EZ155=0,0,(FA155-EZ155)/EZ155*100)</f>
        <v>0</v>
      </c>
      <c r="FC155" s="1443"/>
      <c r="FD155" s="1443"/>
      <c r="FE155" s="1005">
        <f>IF(FC155=0,0,(FD155-FC155)/FC155*100)</f>
        <v>0</v>
      </c>
      <c r="FF155" s="1443"/>
      <c r="FG155" s="1443"/>
      <c r="FH155" s="1005">
        <f>IF(FF155=0,0,(FG155-FF155)/FF155*100)</f>
        <v>0</v>
      </c>
      <c r="FI155" s="1443"/>
      <c r="FJ155" s="1443"/>
      <c r="FK155" s="1005">
        <f>IF(FI155=0,0,(FJ155-FI155)/FI155*100)</f>
        <v>0</v>
      </c>
      <c r="FL155" s="1443"/>
      <c r="FM155" s="1443"/>
      <c r="FN155" s="1005">
        <f>IF(FL155=0,0,(FM155-FL155)/FL155*100)</f>
        <v>0</v>
      </c>
      <c r="FO155" s="1443"/>
      <c r="FP155" s="1443"/>
      <c r="FQ155" s="1005">
        <f>IF(FO155=0,0,(FP155-FO155)/FO155*100)</f>
        <v>0</v>
      </c>
      <c r="FR155" s="1443"/>
      <c r="FS155" s="1443"/>
      <c r="FT155" s="1005">
        <f>IF(FR155=0,0,(FS155-FR155)/FR155*100)</f>
        <v>0</v>
      </c>
      <c r="FU155" s="1443"/>
      <c r="FV155" s="1443"/>
      <c r="FW155" s="1005">
        <f>IF(FU155=0,0,(FV155-FU155)/FU155*100)</f>
        <v>0</v>
      </c>
      <c r="FX155" s="210"/>
      <c r="FY155" s="1214"/>
      <c r="FZ155" s="964" t="s">
        <v>1616</v>
      </c>
      <c r="GA155" s="924" t="s">
        <v>1614</v>
      </c>
      <c r="GB155" s="924" cm="1">
        <f t="array" ref="GB155">GB154</f>
        <v>0</v>
      </c>
      <c r="GC155" s="1215"/>
      <c r="GD155" s="1215"/>
    </row>
    <row r="156" spans="1:186" s="1334" customFormat="1" ht="14.25" customHeight="1" x14ac:dyDescent="0.15">
      <c r="A156" s="416"/>
      <c r="B156" s="837" t="b" cm="1">
        <f t="array" ref="B156">B155</f>
        <v>1</v>
      </c>
      <c r="C156" s="416"/>
      <c r="D156" s="416"/>
      <c r="E156" s="759">
        <v>15</v>
      </c>
      <c r="F156" s="3" t="str" cm="1">
        <f t="array" aca="1" ref="F156" ca="1">OFFSET(E156,-1,1)</f>
        <v>2</v>
      </c>
      <c r="G156" s="416"/>
      <c r="H156" s="416"/>
      <c r="I156" s="17" t="s">
        <v>1617</v>
      </c>
      <c r="J156" s="416"/>
      <c r="K156" s="416"/>
      <c r="L156" s="416"/>
      <c r="M156" s="416"/>
      <c r="N156" s="416"/>
      <c r="O156" s="416"/>
      <c r="P156" s="416"/>
      <c r="Q156" s="416"/>
      <c r="R156" s="4"/>
      <c r="S156" s="416"/>
      <c r="T156" s="388" t="b">
        <f ca="1">F156&gt;0</f>
        <v>1</v>
      </c>
      <c r="U156" s="416"/>
      <c r="V156" s="1214"/>
      <c r="W156" s="677" t="s">
        <v>1618</v>
      </c>
      <c r="X156" s="2066"/>
      <c r="Y156" s="1214"/>
      <c r="Z156" s="2011"/>
      <c r="AA156" s="1214"/>
      <c r="AB156" s="178" t="s">
        <v>176</v>
      </c>
      <c r="AC156" s="182"/>
      <c r="AD156" s="1006"/>
      <c r="AE156" s="1006"/>
      <c r="AF156" s="1006"/>
      <c r="AG156" s="1006"/>
      <c r="AH156" s="1006"/>
      <c r="AI156" s="1006"/>
      <c r="AJ156" s="1006"/>
      <c r="AK156" s="1006"/>
      <c r="AL156" s="1006"/>
      <c r="AM156" s="1006"/>
      <c r="AN156" s="1006"/>
      <c r="AO156" s="1006"/>
      <c r="AP156" s="1006"/>
      <c r="AQ156" s="1006"/>
      <c r="AR156" s="1006"/>
      <c r="AS156" s="1006"/>
      <c r="AT156" s="1006"/>
      <c r="AU156" s="1006"/>
      <c r="AV156" s="1006"/>
      <c r="AW156" s="1006"/>
      <c r="AX156" s="1006"/>
      <c r="AY156" s="1006"/>
      <c r="AZ156" s="1006"/>
      <c r="BA156" s="1006"/>
      <c r="BB156" s="1006"/>
      <c r="BC156" s="1006"/>
      <c r="BD156" s="1006"/>
      <c r="BE156" s="1006"/>
      <c r="BF156" s="1006"/>
      <c r="BG156" s="1006"/>
      <c r="BH156" s="1006"/>
      <c r="BI156" s="1006"/>
      <c r="BJ156" s="1006"/>
      <c r="BK156" s="1006"/>
      <c r="BL156" s="1006"/>
      <c r="BM156" s="1006"/>
      <c r="BN156" s="1006"/>
      <c r="BO156" s="1006"/>
      <c r="BP156" s="1006"/>
      <c r="BQ156" s="1006"/>
      <c r="BR156" s="1006"/>
      <c r="BS156" s="1006"/>
      <c r="BT156" s="1006"/>
      <c r="BU156" s="1006"/>
      <c r="BV156" s="1006"/>
      <c r="BW156" s="1006"/>
      <c r="BX156" s="1006"/>
      <c r="BY156" s="1006"/>
      <c r="BZ156" s="1006"/>
      <c r="CA156" s="1006"/>
      <c r="CB156" s="1006"/>
      <c r="CC156" s="1006"/>
      <c r="CD156" s="1006"/>
      <c r="CE156" s="1006"/>
      <c r="CF156" s="1006"/>
      <c r="CG156" s="1006"/>
      <c r="CH156" s="1006"/>
      <c r="CI156" s="1006"/>
      <c r="CJ156" s="1006"/>
      <c r="CK156" s="1006"/>
      <c r="CL156" s="1006"/>
      <c r="CM156" s="1006"/>
      <c r="CN156" s="1006"/>
      <c r="CO156" s="1006"/>
      <c r="CP156" s="1006"/>
      <c r="CQ156" s="1006"/>
      <c r="CR156" s="1006"/>
      <c r="CS156" s="1006"/>
      <c r="CT156" s="1006"/>
      <c r="CU156" s="1006"/>
      <c r="CV156" s="1006"/>
      <c r="CW156" s="1006"/>
      <c r="CX156" s="1006"/>
      <c r="CY156" s="1006"/>
      <c r="CZ156" s="1006"/>
      <c r="DA156" s="1006"/>
      <c r="DB156" s="1006"/>
      <c r="DC156" s="1006"/>
      <c r="DD156" s="1006"/>
      <c r="DE156" s="1006"/>
      <c r="DF156" s="1006"/>
      <c r="DG156" s="1006"/>
      <c r="DH156" s="1006"/>
      <c r="DI156" s="1006"/>
      <c r="DJ156" s="1006"/>
      <c r="DK156" s="1006"/>
      <c r="DL156" s="1006"/>
      <c r="DM156" s="1006"/>
      <c r="DN156" s="1006"/>
      <c r="DO156" s="1006"/>
      <c r="DP156" s="1006"/>
      <c r="DQ156" s="1006"/>
      <c r="DR156" s="1006"/>
      <c r="DS156" s="1006"/>
      <c r="DT156" s="1006"/>
      <c r="DU156" s="1006"/>
      <c r="DV156" s="1006"/>
      <c r="DW156" s="1006"/>
      <c r="DX156" s="1006"/>
      <c r="DY156" s="1006"/>
      <c r="DZ156" s="1006"/>
      <c r="EA156" s="1006"/>
      <c r="EB156" s="1006"/>
      <c r="EC156" s="1006"/>
      <c r="ED156" s="1006"/>
      <c r="EE156" s="1006"/>
      <c r="EF156" s="1006"/>
      <c r="EG156" s="1006"/>
      <c r="EH156" s="1006"/>
      <c r="EI156" s="1006"/>
      <c r="EJ156" s="1006"/>
      <c r="EK156" s="1006"/>
      <c r="EL156" s="1006"/>
      <c r="EM156" s="1006"/>
      <c r="EN156" s="1006"/>
      <c r="EO156" s="1006"/>
      <c r="EP156" s="1006"/>
      <c r="EQ156" s="1006"/>
      <c r="ER156" s="1006"/>
      <c r="ES156" s="1006"/>
      <c r="ET156" s="1006"/>
      <c r="EU156" s="1006"/>
      <c r="EV156" s="1006"/>
      <c r="EW156" s="1006"/>
      <c r="EX156" s="1006"/>
      <c r="EY156" s="1006"/>
      <c r="EZ156" s="1006"/>
      <c r="FA156" s="1006"/>
      <c r="FB156" s="1006"/>
      <c r="FC156" s="1006"/>
      <c r="FD156" s="1006"/>
      <c r="FE156" s="1006"/>
      <c r="FF156" s="1006"/>
      <c r="FG156" s="1006"/>
      <c r="FH156" s="1006"/>
      <c r="FI156" s="1006"/>
      <c r="FJ156" s="1006"/>
      <c r="FK156" s="1006"/>
      <c r="FL156" s="1006"/>
      <c r="FM156" s="1006"/>
      <c r="FN156" s="1006"/>
      <c r="FO156" s="1006"/>
      <c r="FP156" s="1006"/>
      <c r="FQ156" s="1006"/>
      <c r="FR156" s="1006"/>
      <c r="FS156" s="1006"/>
      <c r="FT156" s="1006"/>
      <c r="FU156" s="1006"/>
      <c r="FV156" s="1006"/>
      <c r="FW156" s="1007"/>
      <c r="FX156" s="1214"/>
      <c r="FY156" s="1214"/>
      <c r="FZ156" s="964" t="s">
        <v>147</v>
      </c>
      <c r="GA156" s="1216"/>
      <c r="GB156" s="1216"/>
      <c r="GC156" s="556" t="s">
        <v>1614</v>
      </c>
      <c r="GD156" s="1215"/>
    </row>
    <row r="157" spans="1:186" s="1334" customFormat="1" ht="14.25" hidden="1" customHeight="1" x14ac:dyDescent="0.15">
      <c r="A157" s="416"/>
      <c r="B157" s="837" t="b">
        <f>AND(R141="двухставочный",NOT(S141))</f>
        <v>0</v>
      </c>
      <c r="C157" s="416"/>
      <c r="D157" s="416"/>
      <c r="E157" s="759">
        <v>15</v>
      </c>
      <c r="F157" s="3" t="str" cm="1">
        <f t="array" aca="1" ref="F157" ca="1">OFFSET(E157,-1,1)</f>
        <v>2</v>
      </c>
      <c r="G157" s="416"/>
      <c r="H157" s="416"/>
      <c r="I157" s="416"/>
      <c r="J157" s="416"/>
      <c r="K157" s="416"/>
      <c r="L157" s="416"/>
      <c r="M157" s="416"/>
      <c r="N157" s="416"/>
      <c r="O157" s="416"/>
      <c r="P157" s="416"/>
      <c r="Q157" s="416"/>
      <c r="R157" s="4"/>
      <c r="S157" s="416"/>
      <c r="T157" s="388" t="b" cm="1">
        <f t="array" aca="1" ref="T157" ca="1">T156</f>
        <v>1</v>
      </c>
      <c r="U157" s="416"/>
      <c r="V157" s="416"/>
      <c r="W157" s="416"/>
      <c r="X157" s="2066"/>
      <c r="Y157" s="416"/>
      <c r="Z157" s="2011"/>
      <c r="AA157" s="416"/>
      <c r="AB157" s="810" t="s">
        <v>1619</v>
      </c>
      <c r="AC157" s="811"/>
      <c r="AD157" s="1008"/>
      <c r="AE157" s="1008"/>
      <c r="AF157" s="1008"/>
      <c r="AG157" s="1008"/>
      <c r="AH157" s="1008"/>
      <c r="AI157" s="1008"/>
      <c r="AJ157" s="1008"/>
      <c r="AK157" s="1008"/>
      <c r="AL157" s="1008"/>
      <c r="AM157" s="1008"/>
      <c r="AN157" s="1008"/>
      <c r="AO157" s="1008"/>
      <c r="AP157" s="1008"/>
      <c r="AQ157" s="1008"/>
      <c r="AR157" s="1008"/>
      <c r="AS157" s="1008"/>
      <c r="AT157" s="1008"/>
      <c r="AU157" s="1008"/>
      <c r="AV157" s="1008"/>
      <c r="AW157" s="1008"/>
      <c r="AX157" s="1008"/>
      <c r="AY157" s="1008"/>
      <c r="AZ157" s="1008"/>
      <c r="BA157" s="1008"/>
      <c r="BB157" s="1008"/>
      <c r="BC157" s="1008"/>
      <c r="BD157" s="1008"/>
      <c r="BE157" s="1008"/>
      <c r="BF157" s="1008"/>
      <c r="BG157" s="1008"/>
      <c r="BH157" s="1008"/>
      <c r="BI157" s="1008"/>
      <c r="BJ157" s="1008"/>
      <c r="BK157" s="1008"/>
      <c r="BL157" s="1008"/>
      <c r="BM157" s="1008"/>
      <c r="BN157" s="1008"/>
      <c r="BO157" s="1008"/>
      <c r="BP157" s="1008"/>
      <c r="BQ157" s="1008"/>
      <c r="BR157" s="1008"/>
      <c r="BS157" s="1008"/>
      <c r="BT157" s="1008"/>
      <c r="BU157" s="1008"/>
      <c r="BV157" s="1008"/>
      <c r="BW157" s="1008"/>
      <c r="BX157" s="1008"/>
      <c r="BY157" s="1008"/>
      <c r="BZ157" s="1008"/>
      <c r="CA157" s="1008"/>
      <c r="CB157" s="1008"/>
      <c r="CC157" s="1008"/>
      <c r="CD157" s="1008"/>
      <c r="CE157" s="1008"/>
      <c r="CF157" s="1008"/>
      <c r="CG157" s="1008"/>
      <c r="CH157" s="1008"/>
      <c r="CI157" s="1008"/>
      <c r="CJ157" s="1008"/>
      <c r="CK157" s="1008"/>
      <c r="CL157" s="1008"/>
      <c r="CM157" s="1008"/>
      <c r="CN157" s="1008"/>
      <c r="CO157" s="1008"/>
      <c r="CP157" s="1008"/>
      <c r="CQ157" s="1008"/>
      <c r="CR157" s="1008"/>
      <c r="CS157" s="1008"/>
      <c r="CT157" s="1008"/>
      <c r="CU157" s="1008"/>
      <c r="CV157" s="1008"/>
      <c r="CW157" s="1008"/>
      <c r="CX157" s="1008"/>
      <c r="CY157" s="1008"/>
      <c r="CZ157" s="1008"/>
      <c r="DA157" s="1008"/>
      <c r="DB157" s="1008"/>
      <c r="DC157" s="1008"/>
      <c r="DD157" s="1008"/>
      <c r="DE157" s="1008"/>
      <c r="DF157" s="1008"/>
      <c r="DG157" s="1008"/>
      <c r="DH157" s="1008"/>
      <c r="DI157" s="1008"/>
      <c r="DJ157" s="1008"/>
      <c r="DK157" s="1008"/>
      <c r="DL157" s="1008"/>
      <c r="DM157" s="1008"/>
      <c r="DN157" s="1008"/>
      <c r="DO157" s="1008"/>
      <c r="DP157" s="1008"/>
      <c r="DQ157" s="1008"/>
      <c r="DR157" s="1008"/>
      <c r="DS157" s="1008"/>
      <c r="DT157" s="1008"/>
      <c r="DU157" s="1008"/>
      <c r="DV157" s="1008"/>
      <c r="DW157" s="1008"/>
      <c r="DX157" s="1008"/>
      <c r="DY157" s="1008"/>
      <c r="DZ157" s="1008"/>
      <c r="EA157" s="1008"/>
      <c r="EB157" s="1008"/>
      <c r="EC157" s="1008"/>
      <c r="ED157" s="1008"/>
      <c r="EE157" s="1008"/>
      <c r="EF157" s="1008"/>
      <c r="EG157" s="1008"/>
      <c r="EH157" s="1008"/>
      <c r="EI157" s="1008"/>
      <c r="EJ157" s="1008"/>
      <c r="EK157" s="1008"/>
      <c r="EL157" s="1008"/>
      <c r="EM157" s="1008"/>
      <c r="EN157" s="1008"/>
      <c r="EO157" s="1008"/>
      <c r="EP157" s="1008"/>
      <c r="EQ157" s="1008"/>
      <c r="ER157" s="1008"/>
      <c r="ES157" s="1008"/>
      <c r="ET157" s="1008"/>
      <c r="EU157" s="1008"/>
      <c r="EV157" s="1008"/>
      <c r="EW157" s="1008"/>
      <c r="EX157" s="1008"/>
      <c r="EY157" s="1008"/>
      <c r="EZ157" s="1008"/>
      <c r="FA157" s="1008"/>
      <c r="FB157" s="1008"/>
      <c r="FC157" s="1008"/>
      <c r="FD157" s="1008"/>
      <c r="FE157" s="1008"/>
      <c r="FF157" s="1008"/>
      <c r="FG157" s="1008"/>
      <c r="FH157" s="1008"/>
      <c r="FI157" s="1008"/>
      <c r="FJ157" s="1008"/>
      <c r="FK157" s="1008"/>
      <c r="FL157" s="1008"/>
      <c r="FM157" s="1008"/>
      <c r="FN157" s="1008"/>
      <c r="FO157" s="1008"/>
      <c r="FP157" s="1008"/>
      <c r="FQ157" s="1008"/>
      <c r="FR157" s="1008"/>
      <c r="FS157" s="1008"/>
      <c r="FT157" s="1008"/>
      <c r="FU157" s="1008"/>
      <c r="FV157" s="1008"/>
      <c r="FW157" s="1009"/>
      <c r="FX157" s="1214"/>
      <c r="FY157" s="1214"/>
      <c r="FZ157" s="964" t="s">
        <v>147</v>
      </c>
      <c r="GA157" s="1216"/>
      <c r="GB157" s="1216"/>
      <c r="GC157" s="1215"/>
      <c r="GD157" s="1215"/>
    </row>
    <row r="158" spans="1:186" s="1334" customFormat="1" ht="23.25" hidden="1" customHeight="1" x14ac:dyDescent="0.15">
      <c r="A158" s="416"/>
      <c r="B158" s="837" t="b" cm="1">
        <f t="array" ref="B158">B157</f>
        <v>0</v>
      </c>
      <c r="C158" s="416"/>
      <c r="D158" s="416"/>
      <c r="E158" s="759">
        <v>24.5</v>
      </c>
      <c r="F158" s="3" t="str" cm="1">
        <f t="array" aca="1" ref="F158" ca="1">OFFSET(E158,-1,1)</f>
        <v>2</v>
      </c>
      <c r="G158" s="416"/>
      <c r="H158" s="416"/>
      <c r="I158" s="416"/>
      <c r="J158" s="416"/>
      <c r="K158" s="416"/>
      <c r="L158" s="416"/>
      <c r="M158" s="416"/>
      <c r="N158" s="416"/>
      <c r="O158" s="416"/>
      <c r="P158" s="416"/>
      <c r="Q158" s="416"/>
      <c r="R158" s="416"/>
      <c r="S158" s="416"/>
      <c r="T158" s="388" t="b" cm="1">
        <f t="array" aca="1" ref="T158" ca="1">T157</f>
        <v>1</v>
      </c>
      <c r="U158" s="416"/>
      <c r="V158" s="416"/>
      <c r="W158" s="416"/>
      <c r="X158" s="2066"/>
      <c r="Y158" s="416"/>
      <c r="Z158" s="2011"/>
      <c r="AA158" s="416"/>
      <c r="AB158" s="211" t="s">
        <v>1620</v>
      </c>
      <c r="AC158" s="817"/>
      <c r="AD158" s="1010"/>
      <c r="AE158" s="1010"/>
      <c r="AF158" s="1010"/>
      <c r="AG158" s="1010"/>
      <c r="AH158" s="1010"/>
      <c r="AI158" s="1010"/>
      <c r="AJ158" s="1010"/>
      <c r="AK158" s="1010"/>
      <c r="AL158" s="1010"/>
      <c r="AM158" s="1010"/>
      <c r="AN158" s="1010"/>
      <c r="AO158" s="1010"/>
      <c r="AP158" s="1010"/>
      <c r="AQ158" s="1010"/>
      <c r="AR158" s="1010"/>
      <c r="AS158" s="1010"/>
      <c r="AT158" s="1010"/>
      <c r="AU158" s="1010"/>
      <c r="AV158" s="1010"/>
      <c r="AW158" s="1010"/>
      <c r="AX158" s="1010"/>
      <c r="AY158" s="1010"/>
      <c r="AZ158" s="1010"/>
      <c r="BA158" s="1010"/>
      <c r="BB158" s="1010"/>
      <c r="BC158" s="1010"/>
      <c r="BD158" s="1010"/>
      <c r="BE158" s="1010"/>
      <c r="BF158" s="1010"/>
      <c r="BG158" s="1010"/>
      <c r="BH158" s="1010"/>
      <c r="BI158" s="1010"/>
      <c r="BJ158" s="1010"/>
      <c r="BK158" s="1010"/>
      <c r="BL158" s="1010"/>
      <c r="BM158" s="1010"/>
      <c r="BN158" s="1010"/>
      <c r="BO158" s="1010"/>
      <c r="BP158" s="1010"/>
      <c r="BQ158" s="1010"/>
      <c r="BR158" s="1010"/>
      <c r="BS158" s="1010"/>
      <c r="BT158" s="1010"/>
      <c r="BU158" s="1010"/>
      <c r="BV158" s="1010"/>
      <c r="BW158" s="1010"/>
      <c r="BX158" s="1010"/>
      <c r="BY158" s="1010"/>
      <c r="BZ158" s="1010"/>
      <c r="CA158" s="1010"/>
      <c r="CB158" s="1010"/>
      <c r="CC158" s="1010"/>
      <c r="CD158" s="1010"/>
      <c r="CE158" s="1010"/>
      <c r="CF158" s="1010"/>
      <c r="CG158" s="1010"/>
      <c r="CH158" s="1010"/>
      <c r="CI158" s="1010"/>
      <c r="CJ158" s="1010"/>
      <c r="CK158" s="1010"/>
      <c r="CL158" s="1010"/>
      <c r="CM158" s="1010"/>
      <c r="CN158" s="1010"/>
      <c r="CO158" s="1010"/>
      <c r="CP158" s="1010"/>
      <c r="CQ158" s="1010"/>
      <c r="CR158" s="1010"/>
      <c r="CS158" s="1010"/>
      <c r="CT158" s="1010"/>
      <c r="CU158" s="1010"/>
      <c r="CV158" s="1010"/>
      <c r="CW158" s="1010"/>
      <c r="CX158" s="1010"/>
      <c r="CY158" s="1010"/>
      <c r="CZ158" s="1010"/>
      <c r="DA158" s="1010"/>
      <c r="DB158" s="1010"/>
      <c r="DC158" s="1010"/>
      <c r="DD158" s="1010"/>
      <c r="DE158" s="1010"/>
      <c r="DF158" s="1010"/>
      <c r="DG158" s="1010"/>
      <c r="DH158" s="1010"/>
      <c r="DI158" s="1010"/>
      <c r="DJ158" s="1010"/>
      <c r="DK158" s="1010"/>
      <c r="DL158" s="1010"/>
      <c r="DM158" s="1010"/>
      <c r="DN158" s="1010"/>
      <c r="DO158" s="1010"/>
      <c r="DP158" s="1010"/>
      <c r="DQ158" s="1010"/>
      <c r="DR158" s="1010"/>
      <c r="DS158" s="1010"/>
      <c r="DT158" s="1010"/>
      <c r="DU158" s="1010"/>
      <c r="DV158" s="1010"/>
      <c r="DW158" s="1010"/>
      <c r="DX158" s="1010"/>
      <c r="DY158" s="1010"/>
      <c r="DZ158" s="1010"/>
      <c r="EA158" s="1010"/>
      <c r="EB158" s="1010"/>
      <c r="EC158" s="1010"/>
      <c r="ED158" s="1010"/>
      <c r="EE158" s="1010"/>
      <c r="EF158" s="1010"/>
      <c r="EG158" s="1010"/>
      <c r="EH158" s="1010"/>
      <c r="EI158" s="1010"/>
      <c r="EJ158" s="1010"/>
      <c r="EK158" s="1010"/>
      <c r="EL158" s="1010"/>
      <c r="EM158" s="1010"/>
      <c r="EN158" s="1010"/>
      <c r="EO158" s="1010"/>
      <c r="EP158" s="1010"/>
      <c r="EQ158" s="1010"/>
      <c r="ER158" s="1010"/>
      <c r="ES158" s="1010"/>
      <c r="ET158" s="1010"/>
      <c r="EU158" s="1010"/>
      <c r="EV158" s="1010"/>
      <c r="EW158" s="1010"/>
      <c r="EX158" s="1010"/>
      <c r="EY158" s="1010"/>
      <c r="EZ158" s="1010"/>
      <c r="FA158" s="1010"/>
      <c r="FB158" s="1010"/>
      <c r="FC158" s="1010"/>
      <c r="FD158" s="1010"/>
      <c r="FE158" s="1010"/>
      <c r="FF158" s="1010"/>
      <c r="FG158" s="1010"/>
      <c r="FH158" s="1010"/>
      <c r="FI158" s="1010"/>
      <c r="FJ158" s="1010"/>
      <c r="FK158" s="1010"/>
      <c r="FL158" s="1010"/>
      <c r="FM158" s="1010"/>
      <c r="FN158" s="1010"/>
      <c r="FO158" s="1010"/>
      <c r="FP158" s="1010"/>
      <c r="FQ158" s="1010"/>
      <c r="FR158" s="1010"/>
      <c r="FS158" s="1010"/>
      <c r="FT158" s="1010"/>
      <c r="FU158" s="1010"/>
      <c r="FV158" s="1010"/>
      <c r="FW158" s="1011"/>
      <c r="FX158" s="1214"/>
      <c r="FY158" s="1214"/>
      <c r="FZ158" s="964" t="s">
        <v>147</v>
      </c>
      <c r="GA158" s="1216"/>
      <c r="GB158" s="1216"/>
      <c r="GC158" s="1215"/>
      <c r="GD158" s="1215"/>
    </row>
    <row r="159" spans="1:186" s="1334" customFormat="1" ht="14.25" hidden="1" customHeight="1" x14ac:dyDescent="0.15">
      <c r="A159" s="416"/>
      <c r="B159" s="837" t="b" cm="1">
        <f t="array" ref="B159">B158</f>
        <v>0</v>
      </c>
      <c r="C159" s="416"/>
      <c r="D159" s="416"/>
      <c r="E159" s="759">
        <v>15</v>
      </c>
      <c r="F159" s="3" t="str" cm="1">
        <f t="array" aca="1" ref="F159" ca="1">OFFSET(E159,-1,1)</f>
        <v>2</v>
      </c>
      <c r="G159" s="416"/>
      <c r="H159" s="416" t="s">
        <v>1529</v>
      </c>
      <c r="I159" s="416" t="s">
        <v>1586</v>
      </c>
      <c r="J159" s="416"/>
      <c r="K159" s="416"/>
      <c r="L159" s="416"/>
      <c r="M159" s="416"/>
      <c r="N159" s="416"/>
      <c r="O159" s="416"/>
      <c r="P159" s="416"/>
      <c r="Q159" s="416"/>
      <c r="R159" s="416"/>
      <c r="S159" s="416"/>
      <c r="T159" s="388" t="b" cm="1">
        <f t="array" aca="1" ref="T159" ca="1">T158</f>
        <v>1</v>
      </c>
      <c r="U159" s="416"/>
      <c r="V159" s="416"/>
      <c r="W159" s="416"/>
      <c r="X159" s="2066"/>
      <c r="Y159" s="416"/>
      <c r="Z159" s="2011"/>
      <c r="AA159" s="416"/>
      <c r="AB159" s="818" t="s">
        <v>1621</v>
      </c>
      <c r="AC159" s="783" t="s">
        <v>1588</v>
      </c>
      <c r="AD159" s="1445">
        <f ca="1">IF(AD161=0,0,(AD160*AD161+AD162*AD163*IF(god=2026,9,6))/AD161)</f>
        <v>0</v>
      </c>
      <c r="AE159" s="1445">
        <f ca="1">IF(AE161=0,0,(AE160*AE161+AE162*AE163*IF(god=2026,9,6))/AE161)</f>
        <v>0</v>
      </c>
      <c r="AF159" s="1003">
        <f ca="1">IF(AD159=0,0,(AE159-AD159)/AD159*100)</f>
        <v>0</v>
      </c>
      <c r="AG159" s="1445">
        <f ca="1">IF(AG161=0,0,(AG160*AG161+AG162*AG163*IF(god=2025,9,6))/AG161)</f>
        <v>0</v>
      </c>
      <c r="AH159" s="1445">
        <f ca="1">IF(AH161=0,0,(AH160*AH161+AH162*AH163*IF(god=2025,9,6))/AH161)</f>
        <v>0</v>
      </c>
      <c r="AI159" s="1003">
        <f ca="1">IF(AG159=0,0,(AH159-AG159)/AG159*100)</f>
        <v>0</v>
      </c>
      <c r="AJ159" s="1445">
        <f ca="1">IF(AJ161=0,0,(AJ160*AJ161+AJ162*AJ163*6)/AJ161)</f>
        <v>0</v>
      </c>
      <c r="AK159" s="1445">
        <f ca="1">IF(AK161=0,0,(AK160*AK161+AK162*AK163*6)/AK161)</f>
        <v>0</v>
      </c>
      <c r="AL159" s="1003">
        <f ca="1">IF(AJ159=0,0,(AK159-AJ159)/AJ159*100)</f>
        <v>0</v>
      </c>
      <c r="AM159" s="1445">
        <f ca="1">IF(AM161=0,0,(AM160*AM161+AM162*AM163*6)/AM161)</f>
        <v>0</v>
      </c>
      <c r="AN159" s="1445">
        <f ca="1">IF(AN161=0,0,(AN160*AN161+AN162*AN163*6)/AN161)</f>
        <v>0</v>
      </c>
      <c r="AO159" s="1003">
        <f ca="1">IF(AM159=0,0,(AN159-AM159)/AM159*100)</f>
        <v>0</v>
      </c>
      <c r="AP159" s="1445">
        <f ca="1">IF(AP161=0,0,(AP160*AP161+AP162*AP163*6)/AP161)</f>
        <v>0</v>
      </c>
      <c r="AQ159" s="1445">
        <f ca="1">IF(AQ161=0,0,(AQ160*AQ161+AQ162*AQ163*6)/AQ161)</f>
        <v>0</v>
      </c>
      <c r="AR159" s="1003">
        <f ca="1">IF(AP159=0,0,(AQ159-AP159)/AP159*100)</f>
        <v>0</v>
      </c>
      <c r="AS159" s="1445">
        <f ca="1">IF(AS161=0,0,(AS160*AS161+AS162*AS163*6)/AS161)</f>
        <v>0</v>
      </c>
      <c r="AT159" s="1445">
        <f ca="1">IF(AT161=0,0,(AT160*AT161+AT162*AT163*6)/AT161)</f>
        <v>0</v>
      </c>
      <c r="AU159" s="1003">
        <f ca="1">IF(AS159=0,0,(AT159-AS159)/AS159*100)</f>
        <v>0</v>
      </c>
      <c r="AV159" s="1445">
        <f ca="1">IF(AV161=0,0,(AV160*AV161+AV162*AV163*6)/AV161)</f>
        <v>0</v>
      </c>
      <c r="AW159" s="1445">
        <f ca="1">IF(AW161=0,0,(AW160*AW161+AW162*AW163*6)/AW161)</f>
        <v>0</v>
      </c>
      <c r="AX159" s="1003">
        <f ca="1">IF(AV159=0,0,(AW159-AV159)/AV159*100)</f>
        <v>0</v>
      </c>
      <c r="AY159" s="1445">
        <f ca="1">IF(AY161=0,0,(AY160*AY161+AY162*AY163*6)/AY161)</f>
        <v>0</v>
      </c>
      <c r="AZ159" s="1445">
        <f ca="1">IF(AZ161=0,0,(AZ160*AZ161+AZ162*AZ163*6)/AZ161)</f>
        <v>0</v>
      </c>
      <c r="BA159" s="1003">
        <f ca="1">IF(AY159=0,0,(AZ159-AY159)/AY159*100)</f>
        <v>0</v>
      </c>
      <c r="BB159" s="1445">
        <f ca="1">IF(BB161=0,0,(BB160*BB161+BB162*BB163*6)/BB161)</f>
        <v>0</v>
      </c>
      <c r="BC159" s="1445">
        <f ca="1">IF(BC161=0,0,(BC160*BC161+BC162*BC163*6)/BC161)</f>
        <v>0</v>
      </c>
      <c r="BD159" s="1003">
        <f ca="1">IF(BB159=0,0,(BC159-BB159)/BB159*100)</f>
        <v>0</v>
      </c>
      <c r="BE159" s="1445">
        <f ca="1">IF(BE161=0,0,(BE160*BE161+BE162*BE163*6)/BE161)</f>
        <v>0</v>
      </c>
      <c r="BF159" s="1445">
        <f ca="1">IF(BF161=0,0,(BF160*BF161+BF162*BF163*6)/BF161)</f>
        <v>0</v>
      </c>
      <c r="BG159" s="1003">
        <f ca="1">IF(BE159=0,0,(BF159-BE159)/BE159*100)</f>
        <v>0</v>
      </c>
      <c r="BH159" s="1445">
        <f>IF(BH161=0,0,(BH160*BH161+BH162*BH163*6)/BH161)</f>
        <v>0</v>
      </c>
      <c r="BI159" s="1445">
        <f>IF(BI161=0,0,(BI160*BI161+BI162*BI163*6)/BI161)</f>
        <v>0</v>
      </c>
      <c r="BJ159" s="1003">
        <f>IF(BH159=0,0,(BI159-BH159)/BH159*100)</f>
        <v>0</v>
      </c>
      <c r="BK159" s="1445">
        <f>IF(BK161=0,0,(BK160*BK161+BK162*BK163*6)/BK161)</f>
        <v>0</v>
      </c>
      <c r="BL159" s="1445">
        <f>IF(BL161=0,0,(BL160*BL161+BL162*BL163*6)/BL161)</f>
        <v>0</v>
      </c>
      <c r="BM159" s="1003">
        <f>IF(BK159=0,0,(BL159-BK159)/BK159*100)</f>
        <v>0</v>
      </c>
      <c r="BN159" s="1445">
        <f>IF(BN161=0,0,(BN160*BN161+BN162*BN163*6)/BN161)</f>
        <v>0</v>
      </c>
      <c r="BO159" s="1445">
        <f>IF(BO161=0,0,(BO160*BO161+BO162*BO163*6)/BO161)</f>
        <v>0</v>
      </c>
      <c r="BP159" s="1003">
        <f>IF(BN159=0,0,(BO159-BN159)/BN159*100)</f>
        <v>0</v>
      </c>
      <c r="BQ159" s="1445">
        <f>IF(BQ161=0,0,(BQ160*BQ161+BQ162*BQ163*6)/BQ161)</f>
        <v>0</v>
      </c>
      <c r="BR159" s="1445">
        <f>IF(BR161=0,0,(BR160*BR161+BR162*BR163*6)/BR161)</f>
        <v>0</v>
      </c>
      <c r="BS159" s="1003">
        <f>IF(BQ159=0,0,(BR159-BQ159)/BQ159*100)</f>
        <v>0</v>
      </c>
      <c r="BT159" s="1445">
        <f>IF(BT161=0,0,(BT160*BT161+BT162*BT163*6)/BT161)</f>
        <v>0</v>
      </c>
      <c r="BU159" s="1445">
        <f>IF(BU161=0,0,(BU160*BU161+BU162*BU163*6)/BU161)</f>
        <v>0</v>
      </c>
      <c r="BV159" s="1003">
        <f>IF(BT159=0,0,(BU159-BT159)/BT159*100)</f>
        <v>0</v>
      </c>
      <c r="BW159" s="1445">
        <f>IF(BW161=0,0,(BW160*BW161+BW162*BW163*6)/BW161)</f>
        <v>0</v>
      </c>
      <c r="BX159" s="1445">
        <f>IF(BX161=0,0,(BX160*BX161+BX162*BX163*6)/BX161)</f>
        <v>0</v>
      </c>
      <c r="BY159" s="1003">
        <f>IF(BW159=0,0,(BX159-BW159)/BW159*100)</f>
        <v>0</v>
      </c>
      <c r="BZ159" s="1445">
        <f>IF(BZ161=0,0,(BZ160*BZ161+BZ162*BZ163*6)/BZ161)</f>
        <v>0</v>
      </c>
      <c r="CA159" s="1445">
        <f>IF(CA161=0,0,(CA160*CA161+CA162*CA163*6)/CA161)</f>
        <v>0</v>
      </c>
      <c r="CB159" s="1003">
        <f>IF(BZ159=0,0,(CA159-BZ159)/BZ159*100)</f>
        <v>0</v>
      </c>
      <c r="CC159" s="1445">
        <f>IF(CC161=0,0,(CC160*CC161+CC162*CC163*6)/CC161)</f>
        <v>0</v>
      </c>
      <c r="CD159" s="1445">
        <f>IF(CD161=0,0,(CD160*CD161+CD162*CD163*6)/CD161)</f>
        <v>0</v>
      </c>
      <c r="CE159" s="1003">
        <f>IF(CC159=0,0,(CD159-CC159)/CC159*100)</f>
        <v>0</v>
      </c>
      <c r="CF159" s="1445">
        <f>IF(CF161=0,0,(CF160*CF161+CF162*CF163*6)/CF161)</f>
        <v>0</v>
      </c>
      <c r="CG159" s="1445">
        <f>IF(CG161=0,0,(CG160*CG161+CG162*CG163*6)/CG161)</f>
        <v>0</v>
      </c>
      <c r="CH159" s="1003">
        <f>IF(CF159=0,0,(CG159-CF159)/CF159*100)</f>
        <v>0</v>
      </c>
      <c r="CI159" s="1445">
        <f>IF(CI161=0,0,(CI160*CI161+CI162*CI163*6)/CI161)</f>
        <v>0</v>
      </c>
      <c r="CJ159" s="1445">
        <f>IF(CJ161=0,0,(CJ160*CJ161+CJ162*CJ163*6)/CJ161)</f>
        <v>0</v>
      </c>
      <c r="CK159" s="1003">
        <f>IF(CI159=0,0,(CJ159-CI159)/CI159*100)</f>
        <v>0</v>
      </c>
      <c r="CL159" s="1445">
        <f>IF(CL161=0,0,(CL160*CL161+CL162*CL163*6)/CL161)</f>
        <v>0</v>
      </c>
      <c r="CM159" s="1445">
        <f>IF(CM161=0,0,(CM160*CM161+CM162*CM163*6)/CM161)</f>
        <v>0</v>
      </c>
      <c r="CN159" s="1003">
        <f>IF(CL159=0,0,(CM159-CL159)/CL159*100)</f>
        <v>0</v>
      </c>
      <c r="CO159" s="1445">
        <f>IF(CO161=0,0,(CO160*CO161+CO162*CO163*6)/CO161)</f>
        <v>0</v>
      </c>
      <c r="CP159" s="1445">
        <f>IF(CP161=0,0,(CP160*CP161+CP162*CP163*6)/CP161)</f>
        <v>0</v>
      </c>
      <c r="CQ159" s="1003">
        <f>IF(CO159=0,0,(CP159-CO159)/CO159*100)</f>
        <v>0</v>
      </c>
      <c r="CR159" s="1445">
        <f>IF(CR161=0,0,(CR160*CR161+CR162*CR163*6)/CR161)</f>
        <v>0</v>
      </c>
      <c r="CS159" s="1445">
        <f>IF(CS161=0,0,(CS160*CS161+CS162*CS163*6)/CS161)</f>
        <v>0</v>
      </c>
      <c r="CT159" s="1003">
        <f>IF(CR159=0,0,(CS159-CR159)/CR159*100)</f>
        <v>0</v>
      </c>
      <c r="CU159" s="1445">
        <f>IF(CU161=0,0,(CU160*CU161+CU162*CU163*6)/CU161)</f>
        <v>0</v>
      </c>
      <c r="CV159" s="1445">
        <f>IF(CV161=0,0,(CV160*CV161+CV162*CV163*6)/CV161)</f>
        <v>0</v>
      </c>
      <c r="CW159" s="1003">
        <f>IF(CU159=0,0,(CV159-CU159)/CU159*100)</f>
        <v>0</v>
      </c>
      <c r="CX159" s="1445">
        <f>IF(CX161=0,0,(CX160*CX161+CX162*CX163*6)/CX161)</f>
        <v>0</v>
      </c>
      <c r="CY159" s="1445">
        <f>IF(CY161=0,0,(CY160*CY161+CY162*CY163*6)/CY161)</f>
        <v>0</v>
      </c>
      <c r="CZ159" s="1003">
        <f>IF(CX159=0,0,(CY159-CX159)/CX159*100)</f>
        <v>0</v>
      </c>
      <c r="DA159" s="1445">
        <f>IF(DA161=0,0,(DA160*DA161+DA162*DA163*6)/DA161)</f>
        <v>0</v>
      </c>
      <c r="DB159" s="1445">
        <f>IF(DB161=0,0,(DB160*DB161+DB162*DB163*6)/DB161)</f>
        <v>0</v>
      </c>
      <c r="DC159" s="1003">
        <f>IF(DA159=0,0,(DB159-DA159)/DA159*100)</f>
        <v>0</v>
      </c>
      <c r="DD159" s="1445">
        <f>IF(DD161=0,0,(DD160*DD161+DD162*DD163*6)/DD161)</f>
        <v>0</v>
      </c>
      <c r="DE159" s="1445">
        <f>IF(DE161=0,0,(DE160*DE161+DE162*DE163*6)/DE161)</f>
        <v>0</v>
      </c>
      <c r="DF159" s="1003">
        <f>IF(DD159=0,0,(DE159-DD159)/DD159*100)</f>
        <v>0</v>
      </c>
      <c r="DG159" s="1445">
        <f>IF(DG161=0,0,(DG160*DG161+DG162*DG163*6)/DG161)</f>
        <v>0</v>
      </c>
      <c r="DH159" s="1445">
        <f>IF(DH161=0,0,(DH160*DH161+DH162*DH163*6)/DH161)</f>
        <v>0</v>
      </c>
      <c r="DI159" s="1003">
        <f>IF(DG159=0,0,(DH159-DG159)/DG159*100)</f>
        <v>0</v>
      </c>
      <c r="DJ159" s="1445">
        <f>IF(DJ161=0,0,(DJ160*DJ161+DJ162*DJ163*6)/DJ161)</f>
        <v>0</v>
      </c>
      <c r="DK159" s="1445">
        <f>IF(DK161=0,0,(DK160*DK161+DK162*DK163*6)/DK161)</f>
        <v>0</v>
      </c>
      <c r="DL159" s="1003">
        <f>IF(DJ159=0,0,(DK159-DJ159)/DJ159*100)</f>
        <v>0</v>
      </c>
      <c r="DM159" s="1445">
        <f>IF(DM161=0,0,(DM160*DM161+DM162*DM163*6)/DM161)</f>
        <v>0</v>
      </c>
      <c r="DN159" s="1445">
        <f>IF(DN161=0,0,(DN160*DN161+DN162*DN163*6)/DN161)</f>
        <v>0</v>
      </c>
      <c r="DO159" s="1003">
        <f>IF(DM159=0,0,(DN159-DM159)/DM159*100)</f>
        <v>0</v>
      </c>
      <c r="DP159" s="1445">
        <f>IF(DP161=0,0,(DP160*DP161+DP162*DP163*6)/DP161)</f>
        <v>0</v>
      </c>
      <c r="DQ159" s="1445">
        <f>IF(DQ161=0,0,(DQ160*DQ161+DQ162*DQ163*6)/DQ161)</f>
        <v>0</v>
      </c>
      <c r="DR159" s="1003">
        <f>IF(DP159=0,0,(DQ159-DP159)/DP159*100)</f>
        <v>0</v>
      </c>
      <c r="DS159" s="1445">
        <f>IF(DS161=0,0,(DS160*DS161+DS162*DS163*6)/DS161)</f>
        <v>0</v>
      </c>
      <c r="DT159" s="1445">
        <f>IF(DT161=0,0,(DT160*DT161+DT162*DT163*6)/DT161)</f>
        <v>0</v>
      </c>
      <c r="DU159" s="1003">
        <f>IF(DS159=0,0,(DT159-DS159)/DS159*100)</f>
        <v>0</v>
      </c>
      <c r="DV159" s="1445">
        <f>IF(DV161=0,0,(DV160*DV161+DV162*DV163*6)/DV161)</f>
        <v>0</v>
      </c>
      <c r="DW159" s="1445">
        <f>IF(DW161=0,0,(DW160*DW161+DW162*DW163*6)/DW161)</f>
        <v>0</v>
      </c>
      <c r="DX159" s="1003">
        <f>IF(DV159=0,0,(DW159-DV159)/DV159*100)</f>
        <v>0</v>
      </c>
      <c r="DY159" s="1445">
        <f>IF(DY161=0,0,(DY160*DY161+DY162*DY163*6)/DY161)</f>
        <v>0</v>
      </c>
      <c r="DZ159" s="1445">
        <f>IF(DZ161=0,0,(DZ160*DZ161+DZ162*DZ163*6)/DZ161)</f>
        <v>0</v>
      </c>
      <c r="EA159" s="1003">
        <f>IF(DY159=0,0,(DZ159-DY159)/DY159*100)</f>
        <v>0</v>
      </c>
      <c r="EB159" s="1445">
        <f>IF(EB161=0,0,(EB160*EB161+EB162*EB163*6)/EB161)</f>
        <v>0</v>
      </c>
      <c r="EC159" s="1445">
        <f>IF(EC161=0,0,(EC160*EC161+EC162*EC163*6)/EC161)</f>
        <v>0</v>
      </c>
      <c r="ED159" s="1003">
        <f>IF(EB159=0,0,(EC159-EB159)/EB159*100)</f>
        <v>0</v>
      </c>
      <c r="EE159" s="1445">
        <f>IF(EE161=0,0,(EE160*EE161+EE162*EE163*6)/EE161)</f>
        <v>0</v>
      </c>
      <c r="EF159" s="1445">
        <f>IF(EF161=0,0,(EF160*EF161+EF162*EF163*6)/EF161)</f>
        <v>0</v>
      </c>
      <c r="EG159" s="1003">
        <f>IF(EE159=0,0,(EF159-EE159)/EE159*100)</f>
        <v>0</v>
      </c>
      <c r="EH159" s="1445">
        <f>IF(EH161=0,0,(EH160*EH161+EH162*EH163*6)/EH161)</f>
        <v>0</v>
      </c>
      <c r="EI159" s="1445">
        <f>IF(EI161=0,0,(EI160*EI161+EI162*EI163*6)/EI161)</f>
        <v>0</v>
      </c>
      <c r="EJ159" s="1003">
        <f>IF(EH159=0,0,(EI159-EH159)/EH159*100)</f>
        <v>0</v>
      </c>
      <c r="EK159" s="1445">
        <f>IF(EK161=0,0,(EK160*EK161+EK162*EK163*6)/EK161)</f>
        <v>0</v>
      </c>
      <c r="EL159" s="1445">
        <f>IF(EL161=0,0,(EL160*EL161+EL162*EL163*6)/EL161)</f>
        <v>0</v>
      </c>
      <c r="EM159" s="1003">
        <f>IF(EK159=0,0,(EL159-EK159)/EK159*100)</f>
        <v>0</v>
      </c>
      <c r="EN159" s="1445">
        <f>IF(EN161=0,0,(EN160*EN161+EN162*EN163*6)/EN161)</f>
        <v>0</v>
      </c>
      <c r="EO159" s="1445">
        <f>IF(EO161=0,0,(EO160*EO161+EO162*EO163*6)/EO161)</f>
        <v>0</v>
      </c>
      <c r="EP159" s="1003">
        <f>IF(EN159=0,0,(EO159-EN159)/EN159*100)</f>
        <v>0</v>
      </c>
      <c r="EQ159" s="1445">
        <f>IF(EQ161=0,0,(EQ160*EQ161+EQ162*EQ163*6)/EQ161)</f>
        <v>0</v>
      </c>
      <c r="ER159" s="1445">
        <f>IF(ER161=0,0,(ER160*ER161+ER162*ER163*6)/ER161)</f>
        <v>0</v>
      </c>
      <c r="ES159" s="1003">
        <f>IF(EQ159=0,0,(ER159-EQ159)/EQ159*100)</f>
        <v>0</v>
      </c>
      <c r="ET159" s="1445">
        <f>IF(ET161=0,0,(ET160*ET161+ET162*ET163*6)/ET161)</f>
        <v>0</v>
      </c>
      <c r="EU159" s="1445">
        <f>IF(EU161=0,0,(EU160*EU161+EU162*EU163*6)/EU161)</f>
        <v>0</v>
      </c>
      <c r="EV159" s="1003">
        <f>IF(ET159=0,0,(EU159-ET159)/ET159*100)</f>
        <v>0</v>
      </c>
      <c r="EW159" s="1445">
        <f>IF(EW161=0,0,(EW160*EW161+EW162*EW163*6)/EW161)</f>
        <v>0</v>
      </c>
      <c r="EX159" s="1445">
        <f>IF(EX161=0,0,(EX160*EX161+EX162*EX163*6)/EX161)</f>
        <v>0</v>
      </c>
      <c r="EY159" s="1003">
        <f>IF(EW159=0,0,(EX159-EW159)/EW159*100)</f>
        <v>0</v>
      </c>
      <c r="EZ159" s="1445">
        <f>IF(EZ161=0,0,(EZ160*EZ161+EZ162*EZ163*6)/EZ161)</f>
        <v>0</v>
      </c>
      <c r="FA159" s="1445">
        <f>IF(FA161=0,0,(FA160*FA161+FA162*FA163*6)/FA161)</f>
        <v>0</v>
      </c>
      <c r="FB159" s="1003">
        <f>IF(EZ159=0,0,(FA159-EZ159)/EZ159*100)</f>
        <v>0</v>
      </c>
      <c r="FC159" s="1445">
        <f>IF(FC161=0,0,(FC160*FC161+FC162*FC163*6)/FC161)</f>
        <v>0</v>
      </c>
      <c r="FD159" s="1445">
        <f>IF(FD161=0,0,(FD160*FD161+FD162*FD163*6)/FD161)</f>
        <v>0</v>
      </c>
      <c r="FE159" s="1003">
        <f>IF(FC159=0,0,(FD159-FC159)/FC159*100)</f>
        <v>0</v>
      </c>
      <c r="FF159" s="1445">
        <f>IF(FF161=0,0,(FF160*FF161+FF162*FF163*6)/FF161)</f>
        <v>0</v>
      </c>
      <c r="FG159" s="1445">
        <f>IF(FG161=0,0,(FG160*FG161+FG162*FG163*6)/FG161)</f>
        <v>0</v>
      </c>
      <c r="FH159" s="1003">
        <f>IF(FF159=0,0,(FG159-FF159)/FF159*100)</f>
        <v>0</v>
      </c>
      <c r="FI159" s="1445">
        <f>IF(FI161=0,0,(FI160*FI161+FI162*FI163*6)/FI161)</f>
        <v>0</v>
      </c>
      <c r="FJ159" s="1445">
        <f>IF(FJ161=0,0,(FJ160*FJ161+FJ162*FJ163*6)/FJ161)</f>
        <v>0</v>
      </c>
      <c r="FK159" s="1003">
        <f>IF(FI159=0,0,(FJ159-FI159)/FI159*100)</f>
        <v>0</v>
      </c>
      <c r="FL159" s="1445">
        <f>IF(FL161=0,0,(FL160*FL161+FL162*FL163*6)/FL161)</f>
        <v>0</v>
      </c>
      <c r="FM159" s="1445">
        <f>IF(FM161=0,0,(FM160*FM161+FM162*FM163*6)/FM161)</f>
        <v>0</v>
      </c>
      <c r="FN159" s="1003">
        <f>IF(FL159=0,0,(FM159-FL159)/FL159*100)</f>
        <v>0</v>
      </c>
      <c r="FO159" s="1445">
        <f>IF(FO161=0,0,(FO160*FO161+FO162*FO163*6)/FO161)</f>
        <v>0</v>
      </c>
      <c r="FP159" s="1445">
        <f>IF(FP161=0,0,(FP160*FP161+FP162*FP163*6)/FP161)</f>
        <v>0</v>
      </c>
      <c r="FQ159" s="1003">
        <f>IF(FO159=0,0,(FP159-FO159)/FO159*100)</f>
        <v>0</v>
      </c>
      <c r="FR159" s="1445">
        <f>IF(FR161=0,0,(FR160*FR161+FR162*FR163*6)/FR161)</f>
        <v>0</v>
      </c>
      <c r="FS159" s="1445">
        <f>IF(FS161=0,0,(FS160*FS161+FS162*FS163*6)/FS161)</f>
        <v>0</v>
      </c>
      <c r="FT159" s="1003">
        <f>IF(FR159=0,0,(FS159-FR159)/FR159*100)</f>
        <v>0</v>
      </c>
      <c r="FU159" s="1445">
        <f>IF(FU161=0,0,(FU160*FU161+FU162*FU163*6)/FU161)</f>
        <v>0</v>
      </c>
      <c r="FV159" s="1445">
        <f>IF(FV161=0,0,(FV160*FV161+FV162*FV163*6)/FV161)</f>
        <v>0</v>
      </c>
      <c r="FW159" s="1003">
        <f>IF(FU159=0,0,(FV159-FU159)/FU159*100)</f>
        <v>0</v>
      </c>
      <c r="FX159" s="1214"/>
      <c r="FY159" s="1214"/>
      <c r="FZ159" s="964" t="s">
        <v>1622</v>
      </c>
      <c r="GA159" s="1216"/>
      <c r="GB159" s="1216"/>
      <c r="GC159" s="1215"/>
      <c r="GD159" s="1215"/>
    </row>
    <row r="160" spans="1:186" s="1334" customFormat="1" ht="14.25" hidden="1" customHeight="1" x14ac:dyDescent="0.15">
      <c r="A160" s="416"/>
      <c r="B160" s="837" t="b" cm="1">
        <f t="array" ref="B160">B159</f>
        <v>0</v>
      </c>
      <c r="C160" s="416"/>
      <c r="D160" s="416"/>
      <c r="E160" s="759">
        <v>15</v>
      </c>
      <c r="F160" s="3" t="str" cm="1">
        <f t="array" aca="1" ref="F160" ca="1">OFFSET(E160,-1,1)</f>
        <v>2</v>
      </c>
      <c r="G160" s="416"/>
      <c r="H160" s="416" t="s">
        <v>1533</v>
      </c>
      <c r="I160" s="416" t="s">
        <v>1586</v>
      </c>
      <c r="J160" s="416"/>
      <c r="K160" s="416"/>
      <c r="L160" s="416"/>
      <c r="M160" s="416"/>
      <c r="N160" s="416"/>
      <c r="O160" s="416"/>
      <c r="P160" s="416"/>
      <c r="Q160" s="416"/>
      <c r="R160" s="416"/>
      <c r="S160" s="416"/>
      <c r="T160" s="388" t="b" cm="1">
        <f t="array" aca="1" ref="T160" ca="1">T159</f>
        <v>1</v>
      </c>
      <c r="U160" s="416"/>
      <c r="V160" s="416"/>
      <c r="W160" s="416"/>
      <c r="X160" s="2066"/>
      <c r="Y160" s="416"/>
      <c r="Z160" s="2011"/>
      <c r="AA160" s="416"/>
      <c r="AB160" s="818" t="str">
        <f>"ставка платы за "&amp;IF(Q141="Водоснабжение","потребление 1 куб.м холодной воды","объем принятых сточных вод")</f>
        <v>ставка платы за объем принятых сточных вод</v>
      </c>
      <c r="AC160" s="783" t="s">
        <v>1588</v>
      </c>
      <c r="AD160" s="1445"/>
      <c r="AE160" s="1445"/>
      <c r="AF160" s="1003">
        <f>IF(AD160=0,0,(AE160-AD160)/AD160*100)</f>
        <v>0</v>
      </c>
      <c r="AG160" s="1445"/>
      <c r="AH160" s="1445"/>
      <c r="AI160" s="1003">
        <f>IF(AG160=0,0,(AH160-AG160)/AG160*100)</f>
        <v>0</v>
      </c>
      <c r="AJ160" s="1445"/>
      <c r="AK160" s="1445"/>
      <c r="AL160" s="1003">
        <f>IF(AJ160=0,0,(AK160-AJ160)/AJ160*100)</f>
        <v>0</v>
      </c>
      <c r="AM160" s="1445"/>
      <c r="AN160" s="1445"/>
      <c r="AO160" s="1003">
        <f>IF(AM160=0,0,(AN160-AM160)/AM160*100)</f>
        <v>0</v>
      </c>
      <c r="AP160" s="1445"/>
      <c r="AQ160" s="1445"/>
      <c r="AR160" s="1003">
        <f>IF(AP160=0,0,(AQ160-AP160)/AP160*100)</f>
        <v>0</v>
      </c>
      <c r="AS160" s="1445"/>
      <c r="AT160" s="1445"/>
      <c r="AU160" s="1003">
        <f>IF(AS160=0,0,(AT160-AS160)/AS160*100)</f>
        <v>0</v>
      </c>
      <c r="AV160" s="1445"/>
      <c r="AW160" s="1445"/>
      <c r="AX160" s="1003">
        <f>IF(AV160=0,0,(AW160-AV160)/AV160*100)</f>
        <v>0</v>
      </c>
      <c r="AY160" s="1445"/>
      <c r="AZ160" s="1445"/>
      <c r="BA160" s="1003">
        <f>IF(AY160=0,0,(AZ160-AY160)/AY160*100)</f>
        <v>0</v>
      </c>
      <c r="BB160" s="1445"/>
      <c r="BC160" s="1445"/>
      <c r="BD160" s="1003">
        <f>IF(BB160=0,0,(BC160-BB160)/BB160*100)</f>
        <v>0</v>
      </c>
      <c r="BE160" s="1445"/>
      <c r="BF160" s="1445"/>
      <c r="BG160" s="1003">
        <f>IF(BE160=0,0,(BF160-BE160)/BE160*100)</f>
        <v>0</v>
      </c>
      <c r="BH160" s="1445"/>
      <c r="BI160" s="1445"/>
      <c r="BJ160" s="1003">
        <f>IF(BH160=0,0,(BI160-BH160)/BH160*100)</f>
        <v>0</v>
      </c>
      <c r="BK160" s="1445"/>
      <c r="BL160" s="1445"/>
      <c r="BM160" s="1003">
        <f>IF(BK160=0,0,(BL160-BK160)/BK160*100)</f>
        <v>0</v>
      </c>
      <c r="BN160" s="1445"/>
      <c r="BO160" s="1445"/>
      <c r="BP160" s="1003">
        <f>IF(BN160=0,0,(BO160-BN160)/BN160*100)</f>
        <v>0</v>
      </c>
      <c r="BQ160" s="1445"/>
      <c r="BR160" s="1445"/>
      <c r="BS160" s="1003">
        <f>IF(BQ160=0,0,(BR160-BQ160)/BQ160*100)</f>
        <v>0</v>
      </c>
      <c r="BT160" s="1445"/>
      <c r="BU160" s="1445"/>
      <c r="BV160" s="1003">
        <f>IF(BT160=0,0,(BU160-BT160)/BT160*100)</f>
        <v>0</v>
      </c>
      <c r="BW160" s="1445"/>
      <c r="BX160" s="1445"/>
      <c r="BY160" s="1003">
        <f>IF(BW160=0,0,(BX160-BW160)/BW160*100)</f>
        <v>0</v>
      </c>
      <c r="BZ160" s="1445"/>
      <c r="CA160" s="1445"/>
      <c r="CB160" s="1003">
        <f>IF(BZ160=0,0,(CA160-BZ160)/BZ160*100)</f>
        <v>0</v>
      </c>
      <c r="CC160" s="1445"/>
      <c r="CD160" s="1445"/>
      <c r="CE160" s="1003">
        <f>IF(CC160=0,0,(CD160-CC160)/CC160*100)</f>
        <v>0</v>
      </c>
      <c r="CF160" s="1445"/>
      <c r="CG160" s="1445"/>
      <c r="CH160" s="1003">
        <f>IF(CF160=0,0,(CG160-CF160)/CF160*100)</f>
        <v>0</v>
      </c>
      <c r="CI160" s="1445"/>
      <c r="CJ160" s="1445"/>
      <c r="CK160" s="1003">
        <f>IF(CI160=0,0,(CJ160-CI160)/CI160*100)</f>
        <v>0</v>
      </c>
      <c r="CL160" s="1445"/>
      <c r="CM160" s="1445"/>
      <c r="CN160" s="1003">
        <f>IF(CL160=0,0,(CM160-CL160)/CL160*100)</f>
        <v>0</v>
      </c>
      <c r="CO160" s="1445"/>
      <c r="CP160" s="1445"/>
      <c r="CQ160" s="1003">
        <f>IF(CO160=0,0,(CP160-CO160)/CO160*100)</f>
        <v>0</v>
      </c>
      <c r="CR160" s="1445"/>
      <c r="CS160" s="1445"/>
      <c r="CT160" s="1003">
        <f>IF(CR160=0,0,(CS160-CR160)/CR160*100)</f>
        <v>0</v>
      </c>
      <c r="CU160" s="1445"/>
      <c r="CV160" s="1445"/>
      <c r="CW160" s="1003">
        <f>IF(CU160=0,0,(CV160-CU160)/CU160*100)</f>
        <v>0</v>
      </c>
      <c r="CX160" s="1445"/>
      <c r="CY160" s="1445"/>
      <c r="CZ160" s="1003">
        <f>IF(CX160=0,0,(CY160-CX160)/CX160*100)</f>
        <v>0</v>
      </c>
      <c r="DA160" s="1445"/>
      <c r="DB160" s="1445"/>
      <c r="DC160" s="1003">
        <f>IF(DA160=0,0,(DB160-DA160)/DA160*100)</f>
        <v>0</v>
      </c>
      <c r="DD160" s="1445"/>
      <c r="DE160" s="1445"/>
      <c r="DF160" s="1003">
        <f>IF(DD160=0,0,(DE160-DD160)/DD160*100)</f>
        <v>0</v>
      </c>
      <c r="DG160" s="1445"/>
      <c r="DH160" s="1445"/>
      <c r="DI160" s="1003">
        <f>IF(DG160=0,0,(DH160-DG160)/DG160*100)</f>
        <v>0</v>
      </c>
      <c r="DJ160" s="1445"/>
      <c r="DK160" s="1445"/>
      <c r="DL160" s="1003">
        <f>IF(DJ160=0,0,(DK160-DJ160)/DJ160*100)</f>
        <v>0</v>
      </c>
      <c r="DM160" s="1445"/>
      <c r="DN160" s="1445"/>
      <c r="DO160" s="1003">
        <f>IF(DM160=0,0,(DN160-DM160)/DM160*100)</f>
        <v>0</v>
      </c>
      <c r="DP160" s="1445"/>
      <c r="DQ160" s="1445"/>
      <c r="DR160" s="1003">
        <f>IF(DP160=0,0,(DQ160-DP160)/DP160*100)</f>
        <v>0</v>
      </c>
      <c r="DS160" s="1445"/>
      <c r="DT160" s="1445"/>
      <c r="DU160" s="1003">
        <f>IF(DS160=0,0,(DT160-DS160)/DS160*100)</f>
        <v>0</v>
      </c>
      <c r="DV160" s="1445"/>
      <c r="DW160" s="1445"/>
      <c r="DX160" s="1003">
        <f>IF(DV160=0,0,(DW160-DV160)/DV160*100)</f>
        <v>0</v>
      </c>
      <c r="DY160" s="1445"/>
      <c r="DZ160" s="1445"/>
      <c r="EA160" s="1003">
        <f>IF(DY160=0,0,(DZ160-DY160)/DY160*100)</f>
        <v>0</v>
      </c>
      <c r="EB160" s="1445"/>
      <c r="EC160" s="1445"/>
      <c r="ED160" s="1003">
        <f>IF(EB160=0,0,(EC160-EB160)/EB160*100)</f>
        <v>0</v>
      </c>
      <c r="EE160" s="1445"/>
      <c r="EF160" s="1445"/>
      <c r="EG160" s="1003">
        <f>IF(EE160=0,0,(EF160-EE160)/EE160*100)</f>
        <v>0</v>
      </c>
      <c r="EH160" s="1445"/>
      <c r="EI160" s="1445"/>
      <c r="EJ160" s="1003">
        <f>IF(EH160=0,0,(EI160-EH160)/EH160*100)</f>
        <v>0</v>
      </c>
      <c r="EK160" s="1445"/>
      <c r="EL160" s="1445"/>
      <c r="EM160" s="1003">
        <f>IF(EK160=0,0,(EL160-EK160)/EK160*100)</f>
        <v>0</v>
      </c>
      <c r="EN160" s="1445"/>
      <c r="EO160" s="1445"/>
      <c r="EP160" s="1003">
        <f>IF(EN160=0,0,(EO160-EN160)/EN160*100)</f>
        <v>0</v>
      </c>
      <c r="EQ160" s="1445"/>
      <c r="ER160" s="1445"/>
      <c r="ES160" s="1003">
        <f>IF(EQ160=0,0,(ER160-EQ160)/EQ160*100)</f>
        <v>0</v>
      </c>
      <c r="ET160" s="1445"/>
      <c r="EU160" s="1445"/>
      <c r="EV160" s="1003">
        <f>IF(ET160=0,0,(EU160-ET160)/ET160*100)</f>
        <v>0</v>
      </c>
      <c r="EW160" s="1445"/>
      <c r="EX160" s="1445"/>
      <c r="EY160" s="1003">
        <f>IF(EW160=0,0,(EX160-EW160)/EW160*100)</f>
        <v>0</v>
      </c>
      <c r="EZ160" s="1445"/>
      <c r="FA160" s="1445"/>
      <c r="FB160" s="1003">
        <f>IF(EZ160=0,0,(FA160-EZ160)/EZ160*100)</f>
        <v>0</v>
      </c>
      <c r="FC160" s="1445"/>
      <c r="FD160" s="1445"/>
      <c r="FE160" s="1003">
        <f>IF(FC160=0,0,(FD160-FC160)/FC160*100)</f>
        <v>0</v>
      </c>
      <c r="FF160" s="1445"/>
      <c r="FG160" s="1445"/>
      <c r="FH160" s="1003">
        <f>IF(FF160=0,0,(FG160-FF160)/FF160*100)</f>
        <v>0</v>
      </c>
      <c r="FI160" s="1445"/>
      <c r="FJ160" s="1445"/>
      <c r="FK160" s="1003">
        <f>IF(FI160=0,0,(FJ160-FI160)/FI160*100)</f>
        <v>0</v>
      </c>
      <c r="FL160" s="1445"/>
      <c r="FM160" s="1445"/>
      <c r="FN160" s="1003">
        <f>IF(FL160=0,0,(FM160-FL160)/FL160*100)</f>
        <v>0</v>
      </c>
      <c r="FO160" s="1445"/>
      <c r="FP160" s="1445"/>
      <c r="FQ160" s="1003">
        <f>IF(FO160=0,0,(FP160-FO160)/FO160*100)</f>
        <v>0</v>
      </c>
      <c r="FR160" s="1445"/>
      <c r="FS160" s="1445"/>
      <c r="FT160" s="1003">
        <f>IF(FR160=0,0,(FS160-FR160)/FR160*100)</f>
        <v>0</v>
      </c>
      <c r="FU160" s="1445"/>
      <c r="FV160" s="1445"/>
      <c r="FW160" s="1003">
        <f>IF(FU160=0,0,(FV160-FU160)/FU160*100)</f>
        <v>0</v>
      </c>
      <c r="FX160" s="1214"/>
      <c r="FY160" s="1214"/>
      <c r="FZ160" s="964" t="s">
        <v>1623</v>
      </c>
      <c r="GA160" s="1216"/>
      <c r="GB160" s="1216"/>
      <c r="GC160" s="1215"/>
      <c r="GD160" s="1215"/>
    </row>
    <row r="161" spans="1:186" s="1334" customFormat="1" ht="14.25" hidden="1" customHeight="1" x14ac:dyDescent="0.15">
      <c r="A161" s="416"/>
      <c r="B161" s="837" t="b" cm="1">
        <f t="array" ref="B161">B160</f>
        <v>0</v>
      </c>
      <c r="C161" s="416"/>
      <c r="D161" s="416"/>
      <c r="E161" s="759">
        <v>15</v>
      </c>
      <c r="F161" s="3" t="str" cm="1">
        <f t="array" aca="1" ref="F161" ca="1">OFFSET(E161,-1,1)</f>
        <v>2</v>
      </c>
      <c r="G161" s="26" t="s">
        <v>1624</v>
      </c>
      <c r="H161" s="416" t="s">
        <v>1625</v>
      </c>
      <c r="I161" s="416" t="s">
        <v>1586</v>
      </c>
      <c r="J161" s="416"/>
      <c r="K161" s="416"/>
      <c r="L161" s="416"/>
      <c r="M161" s="416"/>
      <c r="N161" s="416"/>
      <c r="O161" s="416"/>
      <c r="P161" s="416"/>
      <c r="Q161" s="416"/>
      <c r="R161" s="416"/>
      <c r="S161" s="416"/>
      <c r="T161" s="388" t="b" cm="1">
        <f t="array" aca="1" ref="T161" ca="1">T160</f>
        <v>1</v>
      </c>
      <c r="U161" s="416"/>
      <c r="V161" s="416"/>
      <c r="W161" s="416"/>
      <c r="X161" s="2066"/>
      <c r="Y161" s="416"/>
      <c r="Z161" s="2011"/>
      <c r="AA161" s="416"/>
      <c r="AB161" s="818" t="str">
        <f>"объём "&amp;IF(Q141="Водоснабжение","потребления холодной воды","водоотведения")</f>
        <v>объём водоотведения</v>
      </c>
      <c r="AC161" s="783" t="s">
        <v>563</v>
      </c>
      <c r="AD161" s="1443">
        <f ca="1">IF(AND(method_reg="Метод индексации",god&lt;&gt;first_year),SUMIFS(INDEX('Калькуляция (МИ корр)'!$AJ$25:$BC$459,,MATCH(AD$8,'Калькуляция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(МИ)'!$AJ$25:$BC$459,,MATCH(AD$8,'Калькуляция (МИ)'!$AJ$8:$BC$8,0)),'Калькуляция (МИ)'!$F$25:$F$459,$F161,'Калькуляция (МИ)'!$G$25:$G$459,$G161))))</f>
        <v>1977.711</v>
      </c>
      <c r="AE161" s="1443">
        <f ca="1">IF(AND(method_reg="Метод индексации",god&lt;&gt;first_year),SUMIFS(INDEX('Калькуляция (МИ корр)'!$AJ$25:$BC$459,,MATCH(AE$8,'Калькуляция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(МИ)'!$AJ$25:$BC$459,,MATCH(AE$8,'Калькуляция (МИ)'!$AJ$8:$BC$8,0)),'Калькуляция (МИ)'!$F$25:$F$459,$F161,'Калькуляция (МИ)'!$G$25:$G$459,$G161))))</f>
        <v>1838.5808924999997</v>
      </c>
      <c r="AF161" s="1005">
        <f ca="1">IF(AD161=0,0,(AE161-AD161)/AD161*100)</f>
        <v>-7.0349058836200209</v>
      </c>
      <c r="AG161" s="1443">
        <f ca="1">IF(AND(method_reg="Метод индексации",god&lt;&gt;first_year),SUMIFS(INDEX('Калькуляция (МИ корр)'!$AJ$25:$BC$459,,MATCH(AG$8,'Калькуляция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(МИ)'!$AJ$25:$BC$459,,MATCH(AG$8,'Калькуляция (МИ)'!$AJ$8:$BC$8,0)),'Калькуляция (МИ)'!$F$25:$F$459,$F161,'Калькуляция (МИ)'!$G$25:$G$459,$G161))))</f>
        <v>0</v>
      </c>
      <c r="AH161" s="1443">
        <f ca="1">IF(AND(method_reg="Метод индексации",god&lt;&gt;first_year),SUMIFS(INDEX('Калькуляция (МИ корр)'!$AJ$25:$BC$459,,MATCH(AH$8,'Калькуляция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(МИ)'!$AJ$25:$BC$459,,MATCH(AH$8,'Калькуляция (МИ)'!$AJ$8:$BC$8,0)),'Калькуляция (МИ)'!$F$25:$F$459,$F161,'Калькуляция (МИ)'!$G$25:$G$459,$G161))))</f>
        <v>0</v>
      </c>
      <c r="AI161" s="1005">
        <f ca="1">IF(AG161=0,0,(AH161-AG161)/AG161*100)</f>
        <v>0</v>
      </c>
      <c r="AJ161" s="1443">
        <f ca="1">IF(AND(method_reg="Метод индексации",god&lt;&gt;first_year),SUMIFS(INDEX('Калькуляция (МИ корр)'!$AJ$25:$BC$459,,MATCH(AJ$8,'Калькуляция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(МИ)'!$AJ$25:$BC$459,,MATCH(AJ$8,'Калькуляция (МИ)'!$AJ$8:$BC$8,0)),'Калькуляция (МИ)'!$F$25:$F$459,$F161,'Калькуляция (МИ)'!$G$25:$G$459,$G161))))</f>
        <v>0</v>
      </c>
      <c r="AK161" s="1443">
        <f ca="1">IF(AND(method_reg="Метод индексации",god&lt;&gt;first_year),SUMIFS(INDEX('Калькуляция (МИ корр)'!$AJ$25:$BC$459,,MATCH(AK$8,'Калькуляция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(МИ)'!$AJ$25:$BC$459,,MATCH(AK$8,'Калькуляция (МИ)'!$AJ$8:$BC$8,0)),'Калькуляция (МИ)'!$F$25:$F$459,$F161,'Калькуляция (МИ)'!$G$25:$G$459,$G161))))</f>
        <v>0</v>
      </c>
      <c r="AL161" s="1005">
        <f ca="1">IF(AJ161=0,0,(AK161-AJ161)/AJ161*100)</f>
        <v>0</v>
      </c>
      <c r="AM161" s="1443">
        <f ca="1">IF(AND(method_reg="Метод индексации",god&lt;&gt;first_year),SUMIFS(INDEX('Калькуляция (МИ корр)'!$AJ$25:$BC$459,,MATCH(AM$8,'Калькуляция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(МИ)'!$AJ$25:$BC$459,,MATCH(AM$8,'Калькуляция (МИ)'!$AJ$8:$BC$8,0)),'Калькуляция (МИ)'!$F$25:$F$459,$F161,'Калькуляция (МИ)'!$G$25:$G$459,$G161))))</f>
        <v>0</v>
      </c>
      <c r="AN161" s="1443">
        <f ca="1">IF(AND(method_reg="Метод индексации",god&lt;&gt;first_year),SUMIFS(INDEX('Калькуляция (МИ корр)'!$AJ$25:$BC$459,,MATCH(AN$8,'Калькуляция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(МИ)'!$AJ$25:$BC$459,,MATCH(AN$8,'Калькуляция (МИ)'!$AJ$8:$BC$8,0)),'Калькуляция (МИ)'!$F$25:$F$459,$F161,'Калькуляция (МИ)'!$G$25:$G$459,$G161))))</f>
        <v>0</v>
      </c>
      <c r="AO161" s="1005">
        <f ca="1">IF(AM161=0,0,(AN161-AM161)/AM161*100)</f>
        <v>0</v>
      </c>
      <c r="AP161" s="1443">
        <f ca="1">IF(AND(method_reg="Метод индексации",god&lt;&gt;first_year),SUMIFS(INDEX('Калькуляция (МИ корр)'!$AJ$25:$BC$459,,MATCH(AP$8,'Калькуляция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(МИ)'!$AJ$25:$BC$459,,MATCH(AP$8,'Калькуляция (МИ)'!$AJ$8:$BC$8,0)),'Калькуляция (МИ)'!$F$25:$F$459,$F161,'Калькуляция (МИ)'!$G$25:$G$459,$G161))))</f>
        <v>0</v>
      </c>
      <c r="AQ161" s="1443">
        <f ca="1">IF(AND(method_reg="Метод индексации",god&lt;&gt;first_year),SUMIFS(INDEX('Калькуляция (МИ корр)'!$AJ$25:$BC$459,,MATCH(AQ$8,'Калькуляция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(МИ)'!$AJ$25:$BC$459,,MATCH(AQ$8,'Калькуляция (МИ)'!$AJ$8:$BC$8,0)),'Калькуляция (МИ)'!$F$25:$F$459,$F161,'Калькуляция (МИ)'!$G$25:$G$459,$G161))))</f>
        <v>0</v>
      </c>
      <c r="AR161" s="1005">
        <f ca="1">IF(AP161=0,0,(AQ161-AP161)/AP161*100)</f>
        <v>0</v>
      </c>
      <c r="AS161" s="1443">
        <f ca="1">IF(AND(method_reg="Метод индексации",god&lt;&gt;first_year),SUMIFS(INDEX('Калькуляция (МИ корр)'!$AJ$25:$BC$459,,MATCH(AS$8,'Калькуляция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(МИ)'!$AJ$25:$BC$459,,MATCH(AS$8,'Калькуляция (МИ)'!$AJ$8:$BC$8,0)),'Калькуляция (МИ)'!$F$25:$F$459,$F161,'Калькуляция (МИ)'!$G$25:$G$459,$G161))))</f>
        <v>0</v>
      </c>
      <c r="AT161" s="1443">
        <f ca="1">IF(AND(method_reg="Метод индексации",god&lt;&gt;first_year),SUMIFS(INDEX('Калькуляция (МИ корр)'!$AJ$25:$BC$459,,MATCH(AT$8,'Калькуляция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(МИ)'!$AJ$25:$BC$459,,MATCH(AT$8,'Калькуляция (МИ)'!$AJ$8:$BC$8,0)),'Калькуляция (МИ)'!$F$25:$F$459,$F161,'Калькуляция (МИ)'!$G$25:$G$459,$G161))))</f>
        <v>0</v>
      </c>
      <c r="AU161" s="1005">
        <f ca="1">IF(AS161=0,0,(AT161-AS161)/AS161*100)</f>
        <v>0</v>
      </c>
      <c r="AV161" s="1443">
        <f ca="1">IF(AND(method_reg="Метод индексации",god&lt;&gt;first_year),SUMIFS(INDEX('Калькуляция (МИ корр)'!$AJ$25:$BC$459,,MATCH(AV$8,'Калькуляция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(МИ)'!$AJ$25:$BC$459,,MATCH(AV$8,'Калькуляция (МИ)'!$AJ$8:$BC$8,0)),'Калькуляция (МИ)'!$F$25:$F$459,$F161,'Калькуляция (МИ)'!$G$25:$G$459,$G161))))</f>
        <v>0</v>
      </c>
      <c r="AW161" s="1443">
        <f ca="1">IF(AND(method_reg="Метод индексации",god&lt;&gt;first_year),SUMIFS(INDEX('Калькуляция (МИ корр)'!$AJ$25:$BC$459,,MATCH(AW$8,'Калькуляция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(МИ)'!$AJ$25:$BC$459,,MATCH(AW$8,'Калькуляция (МИ)'!$AJ$8:$BC$8,0)),'Калькуляция (МИ)'!$F$25:$F$459,$F161,'Калькуляция (МИ)'!$G$25:$G$459,$G161))))</f>
        <v>0</v>
      </c>
      <c r="AX161" s="1005">
        <f ca="1">IF(AV161=0,0,(AW161-AV161)/AV161*100)</f>
        <v>0</v>
      </c>
      <c r="AY161" s="1443">
        <f ca="1">IF(AND(method_reg="Метод индексации",god&lt;&gt;first_year),SUMIFS(INDEX('Калькуляция (МИ корр)'!$AJ$25:$BC$459,,MATCH(AY$8,'Калькуляция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(МИ)'!$AJ$25:$BC$459,,MATCH(AY$8,'Калькуляция (МИ)'!$AJ$8:$BC$8,0)),'Калькуляция (МИ)'!$F$25:$F$459,$F161,'Калькуляция (МИ)'!$G$25:$G$459,$G161))))</f>
        <v>0</v>
      </c>
      <c r="AZ161" s="1443">
        <f ca="1">IF(AND(method_reg="Метод индексации",god&lt;&gt;first_year),SUMIFS(INDEX('Калькуляция (МИ корр)'!$AJ$25:$BC$459,,MATCH(AZ$8,'Калькуляция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(МИ)'!$AJ$25:$BC$459,,MATCH(AZ$8,'Калькуляция (МИ)'!$AJ$8:$BC$8,0)),'Калькуляция (МИ)'!$F$25:$F$459,$F161,'Калькуляция (МИ)'!$G$25:$G$459,$G161))))</f>
        <v>0</v>
      </c>
      <c r="BA161" s="1005">
        <f ca="1">IF(AY161=0,0,(AZ161-AY161)/AY161*100)</f>
        <v>0</v>
      </c>
      <c r="BB161" s="1443">
        <f ca="1">IF(AND(method_reg="Метод индексации",god&lt;&gt;first_year),SUMIFS(INDEX('Калькуляция (МИ корр)'!$AJ$25:$BC$459,,MATCH(BB$8,'Калькуляция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(МИ)'!$AJ$25:$BC$459,,MATCH(BB$8,'Калькуляция (МИ)'!$AJ$8:$BC$8,0)),'Калькуляция (МИ)'!$F$25:$F$459,$F161,'Калькуляция (МИ)'!$G$25:$G$459,$G161))))</f>
        <v>0</v>
      </c>
      <c r="BC161" s="1443">
        <f ca="1">IF(AND(method_reg="Метод индексации",god&lt;&gt;first_year),SUMIFS(INDEX('Калькуляция (МИ корр)'!$AJ$25:$BC$459,,MATCH(BC$8,'Калькуляция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(МИ)'!$AJ$25:$BC$459,,MATCH(BC$8,'Калькуляция (МИ)'!$AJ$8:$BC$8,0)),'Калькуляция (МИ)'!$F$25:$F$459,$F161,'Калькуляция (МИ)'!$G$25:$G$459,$G161))))</f>
        <v>0</v>
      </c>
      <c r="BD161" s="1005">
        <f ca="1">IF(BB161=0,0,(BC161-BB161)/BB161*100)</f>
        <v>0</v>
      </c>
      <c r="BE161" s="1443">
        <f ca="1">IF(AND(method_reg="Метод индексации",god&lt;&gt;first_year),SUMIFS(INDEX('Калькуляция (МИ корр)'!$AJ$25:$BC$459,,MATCH(BE$8,'Калькуляция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(МИ)'!$AJ$25:$BC$459,,MATCH(BE$8,'Калькуляция (МИ)'!$AJ$8:$BC$8,0)),'Калькуляция (МИ)'!$F$25:$F$459,$F161,'Калькуляция (МИ)'!$G$25:$G$459,$G161))))</f>
        <v>0</v>
      </c>
      <c r="BF161" s="1443">
        <f ca="1">IF(AND(method_reg="Метод индексации",god&lt;&gt;first_year),SUMIFS(INDEX('Калькуляция (МИ корр)'!$AJ$25:$BC$459,,MATCH(BF$8,'Калькуляция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(МИ)'!$AJ$25:$BC$459,,MATCH(BF$8,'Калькуляция (МИ)'!$AJ$8:$BC$8,0)),'Калькуляция (МИ)'!$F$25:$F$459,$F161,'Калькуляция (МИ)'!$G$25:$G$459,$G161))))</f>
        <v>0</v>
      </c>
      <c r="BG161" s="1005">
        <f ca="1">IF(BE161=0,0,(BF161-BE161)/BE161*100)</f>
        <v>0</v>
      </c>
      <c r="BH161" s="1443"/>
      <c r="BI161" s="1443"/>
      <c r="BJ161" s="1005">
        <f>IF(BH161=0,0,(BI161-BH161)/BH161*100)</f>
        <v>0</v>
      </c>
      <c r="BK161" s="1443"/>
      <c r="BL161" s="1443"/>
      <c r="BM161" s="1005">
        <f>IF(BK161=0,0,(BL161-BK161)/BK161*100)</f>
        <v>0</v>
      </c>
      <c r="BN161" s="1443"/>
      <c r="BO161" s="1443"/>
      <c r="BP161" s="1005">
        <f>IF(BN161=0,0,(BO161-BN161)/BN161*100)</f>
        <v>0</v>
      </c>
      <c r="BQ161" s="1443"/>
      <c r="BR161" s="1443"/>
      <c r="BS161" s="1005">
        <f>IF(BQ161=0,0,(BR161-BQ161)/BQ161*100)</f>
        <v>0</v>
      </c>
      <c r="BT161" s="1443"/>
      <c r="BU161" s="1443"/>
      <c r="BV161" s="1005">
        <f>IF(BT161=0,0,(BU161-BT161)/BT161*100)</f>
        <v>0</v>
      </c>
      <c r="BW161" s="1443"/>
      <c r="BX161" s="1443"/>
      <c r="BY161" s="1005">
        <f>IF(BW161=0,0,(BX161-BW161)/BW161*100)</f>
        <v>0</v>
      </c>
      <c r="BZ161" s="1443"/>
      <c r="CA161" s="1443"/>
      <c r="CB161" s="1005">
        <f>IF(BZ161=0,0,(CA161-BZ161)/BZ161*100)</f>
        <v>0</v>
      </c>
      <c r="CC161" s="1443"/>
      <c r="CD161" s="1443"/>
      <c r="CE161" s="1005">
        <f>IF(CC161=0,0,(CD161-CC161)/CC161*100)</f>
        <v>0</v>
      </c>
      <c r="CF161" s="1443"/>
      <c r="CG161" s="1443"/>
      <c r="CH161" s="1005">
        <f>IF(CF161=0,0,(CG161-CF161)/CF161*100)</f>
        <v>0</v>
      </c>
      <c r="CI161" s="1443"/>
      <c r="CJ161" s="1443"/>
      <c r="CK161" s="1005">
        <f>IF(CI161=0,0,(CJ161-CI161)/CI161*100)</f>
        <v>0</v>
      </c>
      <c r="CL161" s="1443"/>
      <c r="CM161" s="1443"/>
      <c r="CN161" s="1005">
        <f>IF(CL161=0,0,(CM161-CL161)/CL161*100)</f>
        <v>0</v>
      </c>
      <c r="CO161" s="1443"/>
      <c r="CP161" s="1443"/>
      <c r="CQ161" s="1005">
        <f>IF(CO161=0,0,(CP161-CO161)/CO161*100)</f>
        <v>0</v>
      </c>
      <c r="CR161" s="1443"/>
      <c r="CS161" s="1443"/>
      <c r="CT161" s="1005">
        <f>IF(CR161=0,0,(CS161-CR161)/CR161*100)</f>
        <v>0</v>
      </c>
      <c r="CU161" s="1443"/>
      <c r="CV161" s="1443"/>
      <c r="CW161" s="1005">
        <f>IF(CU161=0,0,(CV161-CU161)/CU161*100)</f>
        <v>0</v>
      </c>
      <c r="CX161" s="1443"/>
      <c r="CY161" s="1443"/>
      <c r="CZ161" s="1005">
        <f>IF(CX161=0,0,(CY161-CX161)/CX161*100)</f>
        <v>0</v>
      </c>
      <c r="DA161" s="1443"/>
      <c r="DB161" s="1443"/>
      <c r="DC161" s="1005">
        <f>IF(DA161=0,0,(DB161-DA161)/DA161*100)</f>
        <v>0</v>
      </c>
      <c r="DD161" s="1443"/>
      <c r="DE161" s="1443"/>
      <c r="DF161" s="1005">
        <f>IF(DD161=0,0,(DE161-DD161)/DD161*100)</f>
        <v>0</v>
      </c>
      <c r="DG161" s="1443"/>
      <c r="DH161" s="1443"/>
      <c r="DI161" s="1005">
        <f>IF(DG161=0,0,(DH161-DG161)/DG161*100)</f>
        <v>0</v>
      </c>
      <c r="DJ161" s="1443"/>
      <c r="DK161" s="1443"/>
      <c r="DL161" s="1005">
        <f>IF(DJ161=0,0,(DK161-DJ161)/DJ161*100)</f>
        <v>0</v>
      </c>
      <c r="DM161" s="1443"/>
      <c r="DN161" s="1443"/>
      <c r="DO161" s="1005">
        <f>IF(DM161=0,0,(DN161-DM161)/DM161*100)</f>
        <v>0</v>
      </c>
      <c r="DP161" s="1443"/>
      <c r="DQ161" s="1443"/>
      <c r="DR161" s="1005">
        <f>IF(DP161=0,0,(DQ161-DP161)/DP161*100)</f>
        <v>0</v>
      </c>
      <c r="DS161" s="1443"/>
      <c r="DT161" s="1443"/>
      <c r="DU161" s="1005">
        <f>IF(DS161=0,0,(DT161-DS161)/DS161*100)</f>
        <v>0</v>
      </c>
      <c r="DV161" s="1443"/>
      <c r="DW161" s="1443"/>
      <c r="DX161" s="1005">
        <f>IF(DV161=0,0,(DW161-DV161)/DV161*100)</f>
        <v>0</v>
      </c>
      <c r="DY161" s="1443"/>
      <c r="DZ161" s="1443"/>
      <c r="EA161" s="1005">
        <f>IF(DY161=0,0,(DZ161-DY161)/DY161*100)</f>
        <v>0</v>
      </c>
      <c r="EB161" s="1443"/>
      <c r="EC161" s="1443"/>
      <c r="ED161" s="1005">
        <f>IF(EB161=0,0,(EC161-EB161)/EB161*100)</f>
        <v>0</v>
      </c>
      <c r="EE161" s="1443"/>
      <c r="EF161" s="1443"/>
      <c r="EG161" s="1005">
        <f>IF(EE161=0,0,(EF161-EE161)/EE161*100)</f>
        <v>0</v>
      </c>
      <c r="EH161" s="1443"/>
      <c r="EI161" s="1443"/>
      <c r="EJ161" s="1005">
        <f>IF(EH161=0,0,(EI161-EH161)/EH161*100)</f>
        <v>0</v>
      </c>
      <c r="EK161" s="1443"/>
      <c r="EL161" s="1443"/>
      <c r="EM161" s="1005">
        <f>IF(EK161=0,0,(EL161-EK161)/EK161*100)</f>
        <v>0</v>
      </c>
      <c r="EN161" s="1443"/>
      <c r="EO161" s="1443"/>
      <c r="EP161" s="1005">
        <f>IF(EN161=0,0,(EO161-EN161)/EN161*100)</f>
        <v>0</v>
      </c>
      <c r="EQ161" s="1443"/>
      <c r="ER161" s="1443"/>
      <c r="ES161" s="1005">
        <f>IF(EQ161=0,0,(ER161-EQ161)/EQ161*100)</f>
        <v>0</v>
      </c>
      <c r="ET161" s="1443"/>
      <c r="EU161" s="1443"/>
      <c r="EV161" s="1005">
        <f>IF(ET161=0,0,(EU161-ET161)/ET161*100)</f>
        <v>0</v>
      </c>
      <c r="EW161" s="1443"/>
      <c r="EX161" s="1443"/>
      <c r="EY161" s="1005">
        <f>IF(EW161=0,0,(EX161-EW161)/EW161*100)</f>
        <v>0</v>
      </c>
      <c r="EZ161" s="1443"/>
      <c r="FA161" s="1443"/>
      <c r="FB161" s="1005">
        <f>IF(EZ161=0,0,(FA161-EZ161)/EZ161*100)</f>
        <v>0</v>
      </c>
      <c r="FC161" s="1443"/>
      <c r="FD161" s="1443"/>
      <c r="FE161" s="1005">
        <f>IF(FC161=0,0,(FD161-FC161)/FC161*100)</f>
        <v>0</v>
      </c>
      <c r="FF161" s="1443"/>
      <c r="FG161" s="1443"/>
      <c r="FH161" s="1005">
        <f>IF(FF161=0,0,(FG161-FF161)/FF161*100)</f>
        <v>0</v>
      </c>
      <c r="FI161" s="1443"/>
      <c r="FJ161" s="1443"/>
      <c r="FK161" s="1005">
        <f>IF(FI161=0,0,(FJ161-FI161)/FI161*100)</f>
        <v>0</v>
      </c>
      <c r="FL161" s="1443"/>
      <c r="FM161" s="1443"/>
      <c r="FN161" s="1005">
        <f>IF(FL161=0,0,(FM161-FL161)/FL161*100)</f>
        <v>0</v>
      </c>
      <c r="FO161" s="1443"/>
      <c r="FP161" s="1443"/>
      <c r="FQ161" s="1005">
        <f>IF(FO161=0,0,(FP161-FO161)/FO161*100)</f>
        <v>0</v>
      </c>
      <c r="FR161" s="1443"/>
      <c r="FS161" s="1443"/>
      <c r="FT161" s="1005">
        <f>IF(FR161=0,0,(FS161-FR161)/FR161*100)</f>
        <v>0</v>
      </c>
      <c r="FU161" s="1443"/>
      <c r="FV161" s="1443"/>
      <c r="FW161" s="1005">
        <f>IF(FU161=0,0,(FV161-FU161)/FU161*100)</f>
        <v>0</v>
      </c>
      <c r="FX161" s="1214"/>
      <c r="FY161" s="1214"/>
      <c r="FZ161" s="964" t="s">
        <v>1626</v>
      </c>
      <c r="GA161" s="1216"/>
      <c r="GB161" s="1216"/>
      <c r="GC161" s="1215"/>
      <c r="GD161" s="1215"/>
    </row>
    <row r="162" spans="1:186" s="1334" customFormat="1" ht="24" hidden="1" customHeight="1" x14ac:dyDescent="0.15">
      <c r="A162" s="416"/>
      <c r="B162" s="837" t="b" cm="1">
        <f t="array" ref="B162">B161</f>
        <v>0</v>
      </c>
      <c r="C162" s="416"/>
      <c r="D162" s="416"/>
      <c r="E162" s="759">
        <v>24.75</v>
      </c>
      <c r="F162" s="3" t="str" cm="1">
        <f t="array" aca="1" ref="F162" ca="1">OFFSET(E162,-1,1)</f>
        <v>2</v>
      </c>
      <c r="G162" s="416"/>
      <c r="H162" s="416" t="s">
        <v>1627</v>
      </c>
      <c r="I162" s="416" t="s">
        <v>1586</v>
      </c>
      <c r="J162" s="416"/>
      <c r="K162" s="416"/>
      <c r="L162" s="416"/>
      <c r="M162" s="416"/>
      <c r="N162" s="416"/>
      <c r="O162" s="416"/>
      <c r="P162" s="416"/>
      <c r="Q162" s="416"/>
      <c r="R162" s="416"/>
      <c r="S162" s="416"/>
      <c r="T162" s="388" t="b" cm="1">
        <f t="array" aca="1" ref="T162" ca="1">T161</f>
        <v>1</v>
      </c>
      <c r="U162" s="416"/>
      <c r="V162" s="416"/>
      <c r="W162" s="416"/>
      <c r="X162" s="2066"/>
      <c r="Y162" s="416"/>
      <c r="Z162" s="2011"/>
      <c r="AA162" s="416"/>
      <c r="AB162" s="818"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62" s="783" t="s">
        <v>1628</v>
      </c>
      <c r="AD162" s="1445"/>
      <c r="AE162" s="1445"/>
      <c r="AF162" s="1003">
        <f>IF(AD162=0,0,(AE162-AD162)/AD162*100)</f>
        <v>0</v>
      </c>
      <c r="AG162" s="1445"/>
      <c r="AH162" s="1445"/>
      <c r="AI162" s="1003">
        <f>IF(AG162=0,0,(AH162-AG162)/AG162*100)</f>
        <v>0</v>
      </c>
      <c r="AJ162" s="1445"/>
      <c r="AK162" s="1445"/>
      <c r="AL162" s="1003">
        <f>IF(AJ162=0,0,(AK162-AJ162)/AJ162*100)</f>
        <v>0</v>
      </c>
      <c r="AM162" s="1445"/>
      <c r="AN162" s="1445"/>
      <c r="AO162" s="1003">
        <f>IF(AM162=0,0,(AN162-AM162)/AM162*100)</f>
        <v>0</v>
      </c>
      <c r="AP162" s="1445"/>
      <c r="AQ162" s="1445"/>
      <c r="AR162" s="1003">
        <f>IF(AP162=0,0,(AQ162-AP162)/AP162*100)</f>
        <v>0</v>
      </c>
      <c r="AS162" s="1445"/>
      <c r="AT162" s="1445"/>
      <c r="AU162" s="1003">
        <f>IF(AS162=0,0,(AT162-AS162)/AS162*100)</f>
        <v>0</v>
      </c>
      <c r="AV162" s="1445"/>
      <c r="AW162" s="1445"/>
      <c r="AX162" s="1003">
        <f>IF(AV162=0,0,(AW162-AV162)/AV162*100)</f>
        <v>0</v>
      </c>
      <c r="AY162" s="1445"/>
      <c r="AZ162" s="1445"/>
      <c r="BA162" s="1003">
        <f>IF(AY162=0,0,(AZ162-AY162)/AY162*100)</f>
        <v>0</v>
      </c>
      <c r="BB162" s="1445"/>
      <c r="BC162" s="1445"/>
      <c r="BD162" s="1003">
        <f>IF(BB162=0,0,(BC162-BB162)/BB162*100)</f>
        <v>0</v>
      </c>
      <c r="BE162" s="1445"/>
      <c r="BF162" s="1445"/>
      <c r="BG162" s="1003">
        <f>IF(BE162=0,0,(BF162-BE162)/BE162*100)</f>
        <v>0</v>
      </c>
      <c r="BH162" s="1445"/>
      <c r="BI162" s="1445"/>
      <c r="BJ162" s="1003">
        <f>IF(BH162=0,0,(BI162-BH162)/BH162*100)</f>
        <v>0</v>
      </c>
      <c r="BK162" s="1445"/>
      <c r="BL162" s="1445"/>
      <c r="BM162" s="1003">
        <f>IF(BK162=0,0,(BL162-BK162)/BK162*100)</f>
        <v>0</v>
      </c>
      <c r="BN162" s="1445"/>
      <c r="BO162" s="1445"/>
      <c r="BP162" s="1003">
        <f>IF(BN162=0,0,(BO162-BN162)/BN162*100)</f>
        <v>0</v>
      </c>
      <c r="BQ162" s="1445"/>
      <c r="BR162" s="1445"/>
      <c r="BS162" s="1003">
        <f>IF(BQ162=0,0,(BR162-BQ162)/BQ162*100)</f>
        <v>0</v>
      </c>
      <c r="BT162" s="1445"/>
      <c r="BU162" s="1445"/>
      <c r="BV162" s="1003">
        <f>IF(BT162=0,0,(BU162-BT162)/BT162*100)</f>
        <v>0</v>
      </c>
      <c r="BW162" s="1445"/>
      <c r="BX162" s="1445"/>
      <c r="BY162" s="1003">
        <f>IF(BW162=0,0,(BX162-BW162)/BW162*100)</f>
        <v>0</v>
      </c>
      <c r="BZ162" s="1445"/>
      <c r="CA162" s="1445"/>
      <c r="CB162" s="1003">
        <f>IF(BZ162=0,0,(CA162-BZ162)/BZ162*100)</f>
        <v>0</v>
      </c>
      <c r="CC162" s="1445"/>
      <c r="CD162" s="1445"/>
      <c r="CE162" s="1003">
        <f>IF(CC162=0,0,(CD162-CC162)/CC162*100)</f>
        <v>0</v>
      </c>
      <c r="CF162" s="1445"/>
      <c r="CG162" s="1445"/>
      <c r="CH162" s="1003">
        <f>IF(CF162=0,0,(CG162-CF162)/CF162*100)</f>
        <v>0</v>
      </c>
      <c r="CI162" s="1445"/>
      <c r="CJ162" s="1445"/>
      <c r="CK162" s="1003">
        <f>IF(CI162=0,0,(CJ162-CI162)/CI162*100)</f>
        <v>0</v>
      </c>
      <c r="CL162" s="1445"/>
      <c r="CM162" s="1445"/>
      <c r="CN162" s="1003">
        <f>IF(CL162=0,0,(CM162-CL162)/CL162*100)</f>
        <v>0</v>
      </c>
      <c r="CO162" s="1445"/>
      <c r="CP162" s="1445"/>
      <c r="CQ162" s="1003">
        <f>IF(CO162=0,0,(CP162-CO162)/CO162*100)</f>
        <v>0</v>
      </c>
      <c r="CR162" s="1445"/>
      <c r="CS162" s="1445"/>
      <c r="CT162" s="1003">
        <f>IF(CR162=0,0,(CS162-CR162)/CR162*100)</f>
        <v>0</v>
      </c>
      <c r="CU162" s="1445"/>
      <c r="CV162" s="1445"/>
      <c r="CW162" s="1003">
        <f>IF(CU162=0,0,(CV162-CU162)/CU162*100)</f>
        <v>0</v>
      </c>
      <c r="CX162" s="1445"/>
      <c r="CY162" s="1445"/>
      <c r="CZ162" s="1003">
        <f>IF(CX162=0,0,(CY162-CX162)/CX162*100)</f>
        <v>0</v>
      </c>
      <c r="DA162" s="1445"/>
      <c r="DB162" s="1445"/>
      <c r="DC162" s="1003">
        <f>IF(DA162=0,0,(DB162-DA162)/DA162*100)</f>
        <v>0</v>
      </c>
      <c r="DD162" s="1445"/>
      <c r="DE162" s="1445"/>
      <c r="DF162" s="1003">
        <f>IF(DD162=0,0,(DE162-DD162)/DD162*100)</f>
        <v>0</v>
      </c>
      <c r="DG162" s="1445"/>
      <c r="DH162" s="1445"/>
      <c r="DI162" s="1003">
        <f>IF(DG162=0,0,(DH162-DG162)/DG162*100)</f>
        <v>0</v>
      </c>
      <c r="DJ162" s="1445"/>
      <c r="DK162" s="1445"/>
      <c r="DL162" s="1003">
        <f>IF(DJ162=0,0,(DK162-DJ162)/DJ162*100)</f>
        <v>0</v>
      </c>
      <c r="DM162" s="1445"/>
      <c r="DN162" s="1445"/>
      <c r="DO162" s="1003">
        <f>IF(DM162=0,0,(DN162-DM162)/DM162*100)</f>
        <v>0</v>
      </c>
      <c r="DP162" s="1445"/>
      <c r="DQ162" s="1445"/>
      <c r="DR162" s="1003">
        <f>IF(DP162=0,0,(DQ162-DP162)/DP162*100)</f>
        <v>0</v>
      </c>
      <c r="DS162" s="1445"/>
      <c r="DT162" s="1445"/>
      <c r="DU162" s="1003">
        <f>IF(DS162=0,0,(DT162-DS162)/DS162*100)</f>
        <v>0</v>
      </c>
      <c r="DV162" s="1445"/>
      <c r="DW162" s="1445"/>
      <c r="DX162" s="1003">
        <f>IF(DV162=0,0,(DW162-DV162)/DV162*100)</f>
        <v>0</v>
      </c>
      <c r="DY162" s="1445"/>
      <c r="DZ162" s="1445"/>
      <c r="EA162" s="1003">
        <f>IF(DY162=0,0,(DZ162-DY162)/DY162*100)</f>
        <v>0</v>
      </c>
      <c r="EB162" s="1445"/>
      <c r="EC162" s="1445"/>
      <c r="ED162" s="1003">
        <f>IF(EB162=0,0,(EC162-EB162)/EB162*100)</f>
        <v>0</v>
      </c>
      <c r="EE162" s="1445"/>
      <c r="EF162" s="1445"/>
      <c r="EG162" s="1003">
        <f>IF(EE162=0,0,(EF162-EE162)/EE162*100)</f>
        <v>0</v>
      </c>
      <c r="EH162" s="1445"/>
      <c r="EI162" s="1445"/>
      <c r="EJ162" s="1003">
        <f>IF(EH162=0,0,(EI162-EH162)/EH162*100)</f>
        <v>0</v>
      </c>
      <c r="EK162" s="1445"/>
      <c r="EL162" s="1445"/>
      <c r="EM162" s="1003">
        <f>IF(EK162=0,0,(EL162-EK162)/EK162*100)</f>
        <v>0</v>
      </c>
      <c r="EN162" s="1445"/>
      <c r="EO162" s="1445"/>
      <c r="EP162" s="1003">
        <f>IF(EN162=0,0,(EO162-EN162)/EN162*100)</f>
        <v>0</v>
      </c>
      <c r="EQ162" s="1445"/>
      <c r="ER162" s="1445"/>
      <c r="ES162" s="1003">
        <f>IF(EQ162=0,0,(ER162-EQ162)/EQ162*100)</f>
        <v>0</v>
      </c>
      <c r="ET162" s="1445"/>
      <c r="EU162" s="1445"/>
      <c r="EV162" s="1003">
        <f>IF(ET162=0,0,(EU162-ET162)/ET162*100)</f>
        <v>0</v>
      </c>
      <c r="EW162" s="1445"/>
      <c r="EX162" s="1445"/>
      <c r="EY162" s="1003">
        <f>IF(EW162=0,0,(EX162-EW162)/EW162*100)</f>
        <v>0</v>
      </c>
      <c r="EZ162" s="1445"/>
      <c r="FA162" s="1445"/>
      <c r="FB162" s="1003">
        <f>IF(EZ162=0,0,(FA162-EZ162)/EZ162*100)</f>
        <v>0</v>
      </c>
      <c r="FC162" s="1445"/>
      <c r="FD162" s="1445"/>
      <c r="FE162" s="1003">
        <f>IF(FC162=0,0,(FD162-FC162)/FC162*100)</f>
        <v>0</v>
      </c>
      <c r="FF162" s="1445"/>
      <c r="FG162" s="1445"/>
      <c r="FH162" s="1003">
        <f>IF(FF162=0,0,(FG162-FF162)/FF162*100)</f>
        <v>0</v>
      </c>
      <c r="FI162" s="1445"/>
      <c r="FJ162" s="1445"/>
      <c r="FK162" s="1003">
        <f>IF(FI162=0,0,(FJ162-FI162)/FI162*100)</f>
        <v>0</v>
      </c>
      <c r="FL162" s="1445"/>
      <c r="FM162" s="1445"/>
      <c r="FN162" s="1003">
        <f>IF(FL162=0,0,(FM162-FL162)/FL162*100)</f>
        <v>0</v>
      </c>
      <c r="FO162" s="1445"/>
      <c r="FP162" s="1445"/>
      <c r="FQ162" s="1003">
        <f>IF(FO162=0,0,(FP162-FO162)/FO162*100)</f>
        <v>0</v>
      </c>
      <c r="FR162" s="1445"/>
      <c r="FS162" s="1445"/>
      <c r="FT162" s="1003">
        <f>IF(FR162=0,0,(FS162-FR162)/FR162*100)</f>
        <v>0</v>
      </c>
      <c r="FU162" s="1445"/>
      <c r="FV162" s="1445"/>
      <c r="FW162" s="1003">
        <f>IF(FU162=0,0,(FV162-FU162)/FU162*100)</f>
        <v>0</v>
      </c>
      <c r="FX162" s="1214"/>
      <c r="FY162" s="1214"/>
      <c r="FZ162" s="964" t="s">
        <v>1629</v>
      </c>
      <c r="GA162" s="1216"/>
      <c r="GB162" s="1216"/>
      <c r="GC162" s="1215"/>
      <c r="GD162" s="1215"/>
    </row>
    <row r="163" spans="1:186" s="1334" customFormat="1" ht="14.25" hidden="1" customHeight="1" x14ac:dyDescent="0.15">
      <c r="A163" s="416"/>
      <c r="B163" s="837" t="b" cm="1">
        <f t="array" ref="B163">B162</f>
        <v>0</v>
      </c>
      <c r="C163" s="416"/>
      <c r="D163" s="416"/>
      <c r="E163" s="759">
        <v>15</v>
      </c>
      <c r="F163" s="3" t="str" cm="1">
        <f t="array" aca="1" ref="F163" ca="1">OFFSET(E163,-1,1)</f>
        <v>2</v>
      </c>
      <c r="G163" s="416"/>
      <c r="H163" s="416" t="s">
        <v>1630</v>
      </c>
      <c r="I163" s="416" t="s">
        <v>1586</v>
      </c>
      <c r="J163" s="416"/>
      <c r="K163" s="416"/>
      <c r="L163" s="416"/>
      <c r="M163" s="416"/>
      <c r="N163" s="416"/>
      <c r="O163" s="416"/>
      <c r="P163" s="416"/>
      <c r="Q163" s="416"/>
      <c r="R163" s="416"/>
      <c r="S163" s="416"/>
      <c r="T163" s="388" t="b" cm="1">
        <f t="array" aca="1" ref="T163" ca="1">T162</f>
        <v>1</v>
      </c>
      <c r="U163" s="416"/>
      <c r="V163" s="416"/>
      <c r="W163" s="416"/>
      <c r="X163" s="2066"/>
      <c r="Y163" s="416"/>
      <c r="Z163" s="2011"/>
      <c r="AA163" s="416"/>
      <c r="AB163" s="818" t="s">
        <v>1631</v>
      </c>
      <c r="AC163" s="783" t="s">
        <v>1632</v>
      </c>
      <c r="AD163" s="1445"/>
      <c r="AE163" s="1445"/>
      <c r="AF163" s="1003">
        <f>IF(AD163=0,0,(AE163-AD163)/AD163*100)</f>
        <v>0</v>
      </c>
      <c r="AG163" s="1445"/>
      <c r="AH163" s="1445"/>
      <c r="AI163" s="1003">
        <f>IF(AG163=0,0,(AH163-AG163)/AG163*100)</f>
        <v>0</v>
      </c>
      <c r="AJ163" s="1445"/>
      <c r="AK163" s="1445"/>
      <c r="AL163" s="1003">
        <f>IF(AJ163=0,0,(AK163-AJ163)/AJ163*100)</f>
        <v>0</v>
      </c>
      <c r="AM163" s="1445"/>
      <c r="AN163" s="1445"/>
      <c r="AO163" s="1003">
        <f>IF(AM163=0,0,(AN163-AM163)/AM163*100)</f>
        <v>0</v>
      </c>
      <c r="AP163" s="1445"/>
      <c r="AQ163" s="1445"/>
      <c r="AR163" s="1003">
        <f>IF(AP163=0,0,(AQ163-AP163)/AP163*100)</f>
        <v>0</v>
      </c>
      <c r="AS163" s="1445"/>
      <c r="AT163" s="1445"/>
      <c r="AU163" s="1003">
        <f>IF(AS163=0,0,(AT163-AS163)/AS163*100)</f>
        <v>0</v>
      </c>
      <c r="AV163" s="1445"/>
      <c r="AW163" s="1445"/>
      <c r="AX163" s="1003">
        <f>IF(AV163=0,0,(AW163-AV163)/AV163*100)</f>
        <v>0</v>
      </c>
      <c r="AY163" s="1445"/>
      <c r="AZ163" s="1445"/>
      <c r="BA163" s="1003">
        <f>IF(AY163=0,0,(AZ163-AY163)/AY163*100)</f>
        <v>0</v>
      </c>
      <c r="BB163" s="1445"/>
      <c r="BC163" s="1445"/>
      <c r="BD163" s="1003">
        <f>IF(BB163=0,0,(BC163-BB163)/BB163*100)</f>
        <v>0</v>
      </c>
      <c r="BE163" s="1445"/>
      <c r="BF163" s="1445"/>
      <c r="BG163" s="1003">
        <f>IF(BE163=0,0,(BF163-BE163)/BE163*100)</f>
        <v>0</v>
      </c>
      <c r="BH163" s="1445"/>
      <c r="BI163" s="1445"/>
      <c r="BJ163" s="1003">
        <f>IF(BH163=0,0,(BI163-BH163)/BH163*100)</f>
        <v>0</v>
      </c>
      <c r="BK163" s="1445"/>
      <c r="BL163" s="1445"/>
      <c r="BM163" s="1003">
        <f>IF(BK163=0,0,(BL163-BK163)/BK163*100)</f>
        <v>0</v>
      </c>
      <c r="BN163" s="1445"/>
      <c r="BO163" s="1445"/>
      <c r="BP163" s="1003">
        <f>IF(BN163=0,0,(BO163-BN163)/BN163*100)</f>
        <v>0</v>
      </c>
      <c r="BQ163" s="1445"/>
      <c r="BR163" s="1445"/>
      <c r="BS163" s="1003">
        <f>IF(BQ163=0,0,(BR163-BQ163)/BQ163*100)</f>
        <v>0</v>
      </c>
      <c r="BT163" s="1445"/>
      <c r="BU163" s="1445"/>
      <c r="BV163" s="1003">
        <f>IF(BT163=0,0,(BU163-BT163)/BT163*100)</f>
        <v>0</v>
      </c>
      <c r="BW163" s="1445"/>
      <c r="BX163" s="1445"/>
      <c r="BY163" s="1003">
        <f>IF(BW163=0,0,(BX163-BW163)/BW163*100)</f>
        <v>0</v>
      </c>
      <c r="BZ163" s="1445"/>
      <c r="CA163" s="1445"/>
      <c r="CB163" s="1003">
        <f>IF(BZ163=0,0,(CA163-BZ163)/BZ163*100)</f>
        <v>0</v>
      </c>
      <c r="CC163" s="1445"/>
      <c r="CD163" s="1445"/>
      <c r="CE163" s="1003">
        <f>IF(CC163=0,0,(CD163-CC163)/CC163*100)</f>
        <v>0</v>
      </c>
      <c r="CF163" s="1445"/>
      <c r="CG163" s="1445"/>
      <c r="CH163" s="1003">
        <f>IF(CF163=0,0,(CG163-CF163)/CF163*100)</f>
        <v>0</v>
      </c>
      <c r="CI163" s="1445"/>
      <c r="CJ163" s="1445"/>
      <c r="CK163" s="1003">
        <f>IF(CI163=0,0,(CJ163-CI163)/CI163*100)</f>
        <v>0</v>
      </c>
      <c r="CL163" s="1445"/>
      <c r="CM163" s="1445"/>
      <c r="CN163" s="1003">
        <f>IF(CL163=0,0,(CM163-CL163)/CL163*100)</f>
        <v>0</v>
      </c>
      <c r="CO163" s="1445"/>
      <c r="CP163" s="1445"/>
      <c r="CQ163" s="1003">
        <f>IF(CO163=0,0,(CP163-CO163)/CO163*100)</f>
        <v>0</v>
      </c>
      <c r="CR163" s="1445"/>
      <c r="CS163" s="1445"/>
      <c r="CT163" s="1003">
        <f>IF(CR163=0,0,(CS163-CR163)/CR163*100)</f>
        <v>0</v>
      </c>
      <c r="CU163" s="1445"/>
      <c r="CV163" s="1445"/>
      <c r="CW163" s="1003">
        <f>IF(CU163=0,0,(CV163-CU163)/CU163*100)</f>
        <v>0</v>
      </c>
      <c r="CX163" s="1445"/>
      <c r="CY163" s="1445"/>
      <c r="CZ163" s="1003">
        <f>IF(CX163=0,0,(CY163-CX163)/CX163*100)</f>
        <v>0</v>
      </c>
      <c r="DA163" s="1445"/>
      <c r="DB163" s="1445"/>
      <c r="DC163" s="1003">
        <f>IF(DA163=0,0,(DB163-DA163)/DA163*100)</f>
        <v>0</v>
      </c>
      <c r="DD163" s="1445"/>
      <c r="DE163" s="1445"/>
      <c r="DF163" s="1003">
        <f>IF(DD163=0,0,(DE163-DD163)/DD163*100)</f>
        <v>0</v>
      </c>
      <c r="DG163" s="1445"/>
      <c r="DH163" s="1445"/>
      <c r="DI163" s="1003">
        <f>IF(DG163=0,0,(DH163-DG163)/DG163*100)</f>
        <v>0</v>
      </c>
      <c r="DJ163" s="1445"/>
      <c r="DK163" s="1445"/>
      <c r="DL163" s="1003">
        <f>IF(DJ163=0,0,(DK163-DJ163)/DJ163*100)</f>
        <v>0</v>
      </c>
      <c r="DM163" s="1445"/>
      <c r="DN163" s="1445"/>
      <c r="DO163" s="1003">
        <f>IF(DM163=0,0,(DN163-DM163)/DM163*100)</f>
        <v>0</v>
      </c>
      <c r="DP163" s="1445"/>
      <c r="DQ163" s="1445"/>
      <c r="DR163" s="1003">
        <f>IF(DP163=0,0,(DQ163-DP163)/DP163*100)</f>
        <v>0</v>
      </c>
      <c r="DS163" s="1445"/>
      <c r="DT163" s="1445"/>
      <c r="DU163" s="1003">
        <f>IF(DS163=0,0,(DT163-DS163)/DS163*100)</f>
        <v>0</v>
      </c>
      <c r="DV163" s="1445"/>
      <c r="DW163" s="1445"/>
      <c r="DX163" s="1003">
        <f>IF(DV163=0,0,(DW163-DV163)/DV163*100)</f>
        <v>0</v>
      </c>
      <c r="DY163" s="1445"/>
      <c r="DZ163" s="1445"/>
      <c r="EA163" s="1003">
        <f>IF(DY163=0,0,(DZ163-DY163)/DY163*100)</f>
        <v>0</v>
      </c>
      <c r="EB163" s="1445"/>
      <c r="EC163" s="1445"/>
      <c r="ED163" s="1003">
        <f>IF(EB163=0,0,(EC163-EB163)/EB163*100)</f>
        <v>0</v>
      </c>
      <c r="EE163" s="1445"/>
      <c r="EF163" s="1445"/>
      <c r="EG163" s="1003">
        <f>IF(EE163=0,0,(EF163-EE163)/EE163*100)</f>
        <v>0</v>
      </c>
      <c r="EH163" s="1445"/>
      <c r="EI163" s="1445"/>
      <c r="EJ163" s="1003">
        <f>IF(EH163=0,0,(EI163-EH163)/EH163*100)</f>
        <v>0</v>
      </c>
      <c r="EK163" s="1445"/>
      <c r="EL163" s="1445"/>
      <c r="EM163" s="1003">
        <f>IF(EK163=0,0,(EL163-EK163)/EK163*100)</f>
        <v>0</v>
      </c>
      <c r="EN163" s="1445"/>
      <c r="EO163" s="1445"/>
      <c r="EP163" s="1003">
        <f>IF(EN163=0,0,(EO163-EN163)/EN163*100)</f>
        <v>0</v>
      </c>
      <c r="EQ163" s="1445"/>
      <c r="ER163" s="1445"/>
      <c r="ES163" s="1003">
        <f>IF(EQ163=0,0,(ER163-EQ163)/EQ163*100)</f>
        <v>0</v>
      </c>
      <c r="ET163" s="1445"/>
      <c r="EU163" s="1445"/>
      <c r="EV163" s="1003">
        <f>IF(ET163=0,0,(EU163-ET163)/ET163*100)</f>
        <v>0</v>
      </c>
      <c r="EW163" s="1445"/>
      <c r="EX163" s="1445"/>
      <c r="EY163" s="1003">
        <f>IF(EW163=0,0,(EX163-EW163)/EW163*100)</f>
        <v>0</v>
      </c>
      <c r="EZ163" s="1445"/>
      <c r="FA163" s="1445"/>
      <c r="FB163" s="1003">
        <f>IF(EZ163=0,0,(FA163-EZ163)/EZ163*100)</f>
        <v>0</v>
      </c>
      <c r="FC163" s="1445"/>
      <c r="FD163" s="1445"/>
      <c r="FE163" s="1003">
        <f>IF(FC163=0,0,(FD163-FC163)/FC163*100)</f>
        <v>0</v>
      </c>
      <c r="FF163" s="1445"/>
      <c r="FG163" s="1445"/>
      <c r="FH163" s="1003">
        <f>IF(FF163=0,0,(FG163-FF163)/FF163*100)</f>
        <v>0</v>
      </c>
      <c r="FI163" s="1445"/>
      <c r="FJ163" s="1445"/>
      <c r="FK163" s="1003">
        <f>IF(FI163=0,0,(FJ163-FI163)/FI163*100)</f>
        <v>0</v>
      </c>
      <c r="FL163" s="1445"/>
      <c r="FM163" s="1445"/>
      <c r="FN163" s="1003">
        <f>IF(FL163=0,0,(FM163-FL163)/FL163*100)</f>
        <v>0</v>
      </c>
      <c r="FO163" s="1445"/>
      <c r="FP163" s="1445"/>
      <c r="FQ163" s="1003">
        <f>IF(FO163=0,0,(FP163-FO163)/FO163*100)</f>
        <v>0</v>
      </c>
      <c r="FR163" s="1445"/>
      <c r="FS163" s="1445"/>
      <c r="FT163" s="1003">
        <f>IF(FR163=0,0,(FS163-FR163)/FR163*100)</f>
        <v>0</v>
      </c>
      <c r="FU163" s="1445"/>
      <c r="FV163" s="1445"/>
      <c r="FW163" s="1003">
        <f>IF(FU163=0,0,(FV163-FU163)/FU163*100)</f>
        <v>0</v>
      </c>
      <c r="FX163" s="1214"/>
      <c r="FY163" s="1214"/>
      <c r="FZ163" s="964" t="s">
        <v>1633</v>
      </c>
      <c r="GA163" s="1216"/>
      <c r="GB163" s="1216"/>
      <c r="GC163" s="1215"/>
      <c r="GD163" s="1215"/>
    </row>
    <row r="164" spans="1:186" s="1334" customFormat="1" ht="23.25" hidden="1" customHeight="1" x14ac:dyDescent="0.15">
      <c r="A164" s="416"/>
      <c r="B164" s="837" t="b" cm="1">
        <f t="array" ref="B164">B163</f>
        <v>0</v>
      </c>
      <c r="C164" s="416"/>
      <c r="D164" s="416"/>
      <c r="E164" s="759">
        <v>24.5</v>
      </c>
      <c r="F164" s="3" t="str" cm="1">
        <f t="array" aca="1" ref="F164" ca="1">OFFSET(E164,-1,1)</f>
        <v>2</v>
      </c>
      <c r="G164" s="416"/>
      <c r="H164" s="416"/>
      <c r="I164" s="416"/>
      <c r="J164" s="416"/>
      <c r="K164" s="416"/>
      <c r="L164" s="416"/>
      <c r="M164" s="416"/>
      <c r="N164" s="416"/>
      <c r="O164" s="416"/>
      <c r="P164" s="416"/>
      <c r="Q164" s="416"/>
      <c r="R164" s="416"/>
      <c r="S164" s="416"/>
      <c r="T164" s="388" t="b" cm="1">
        <f t="array" aca="1" ref="T164" ca="1">T163</f>
        <v>1</v>
      </c>
      <c r="U164" s="416"/>
      <c r="V164" s="416"/>
      <c r="W164" s="416"/>
      <c r="X164" s="2066"/>
      <c r="Y164" s="416"/>
      <c r="Z164" s="2011"/>
      <c r="AA164" s="416"/>
      <c r="AB164" s="211" t="s">
        <v>1634</v>
      </c>
      <c r="AC164" s="817"/>
      <c r="AD164" s="1010"/>
      <c r="AE164" s="1010"/>
      <c r="AF164" s="1010"/>
      <c r="AG164" s="1010"/>
      <c r="AH164" s="1010"/>
      <c r="AI164" s="1010"/>
      <c r="AJ164" s="1010"/>
      <c r="AK164" s="1010"/>
      <c r="AL164" s="1010"/>
      <c r="AM164" s="1010"/>
      <c r="AN164" s="1010"/>
      <c r="AO164" s="1010"/>
      <c r="AP164" s="1010"/>
      <c r="AQ164" s="1010"/>
      <c r="AR164" s="1010"/>
      <c r="AS164" s="1010"/>
      <c r="AT164" s="1010"/>
      <c r="AU164" s="1010"/>
      <c r="AV164" s="1010"/>
      <c r="AW164" s="1010"/>
      <c r="AX164" s="1010"/>
      <c r="AY164" s="1010"/>
      <c r="AZ164" s="1010"/>
      <c r="BA164" s="1010"/>
      <c r="BB164" s="1010"/>
      <c r="BC164" s="1010"/>
      <c r="BD164" s="1010"/>
      <c r="BE164" s="1010"/>
      <c r="BF164" s="1010"/>
      <c r="BG164" s="1010"/>
      <c r="BH164" s="1010"/>
      <c r="BI164" s="1010"/>
      <c r="BJ164" s="1010"/>
      <c r="BK164" s="1010"/>
      <c r="BL164" s="1010"/>
      <c r="BM164" s="1010"/>
      <c r="BN164" s="1010"/>
      <c r="BO164" s="1010"/>
      <c r="BP164" s="1010"/>
      <c r="BQ164" s="1010"/>
      <c r="BR164" s="1010"/>
      <c r="BS164" s="1010"/>
      <c r="BT164" s="1010"/>
      <c r="BU164" s="1010"/>
      <c r="BV164" s="1010"/>
      <c r="BW164" s="1010"/>
      <c r="BX164" s="1010"/>
      <c r="BY164" s="1010"/>
      <c r="BZ164" s="1010"/>
      <c r="CA164" s="1010"/>
      <c r="CB164" s="1010"/>
      <c r="CC164" s="1010"/>
      <c r="CD164" s="1010"/>
      <c r="CE164" s="1010"/>
      <c r="CF164" s="1010"/>
      <c r="CG164" s="1010"/>
      <c r="CH164" s="1010"/>
      <c r="CI164" s="1010"/>
      <c r="CJ164" s="1010"/>
      <c r="CK164" s="1010"/>
      <c r="CL164" s="1010"/>
      <c r="CM164" s="1010"/>
      <c r="CN164" s="1010"/>
      <c r="CO164" s="1010"/>
      <c r="CP164" s="1010"/>
      <c r="CQ164" s="1010"/>
      <c r="CR164" s="1010"/>
      <c r="CS164" s="1010"/>
      <c r="CT164" s="1010"/>
      <c r="CU164" s="1010"/>
      <c r="CV164" s="1010"/>
      <c r="CW164" s="1010"/>
      <c r="CX164" s="1010"/>
      <c r="CY164" s="1010"/>
      <c r="CZ164" s="1010"/>
      <c r="DA164" s="1010"/>
      <c r="DB164" s="1010"/>
      <c r="DC164" s="1010"/>
      <c r="DD164" s="1010"/>
      <c r="DE164" s="1010"/>
      <c r="DF164" s="1010"/>
      <c r="DG164" s="1010"/>
      <c r="DH164" s="1010"/>
      <c r="DI164" s="1010"/>
      <c r="DJ164" s="1010"/>
      <c r="DK164" s="1010"/>
      <c r="DL164" s="1010"/>
      <c r="DM164" s="1010"/>
      <c r="DN164" s="1010"/>
      <c r="DO164" s="1010"/>
      <c r="DP164" s="1010"/>
      <c r="DQ164" s="1010"/>
      <c r="DR164" s="1010"/>
      <c r="DS164" s="1010"/>
      <c r="DT164" s="1010"/>
      <c r="DU164" s="1010"/>
      <c r="DV164" s="1010"/>
      <c r="DW164" s="1010"/>
      <c r="DX164" s="1010"/>
      <c r="DY164" s="1010"/>
      <c r="DZ164" s="1010"/>
      <c r="EA164" s="1010"/>
      <c r="EB164" s="1010"/>
      <c r="EC164" s="1010"/>
      <c r="ED164" s="1010"/>
      <c r="EE164" s="1010"/>
      <c r="EF164" s="1010"/>
      <c r="EG164" s="1010"/>
      <c r="EH164" s="1010"/>
      <c r="EI164" s="1010"/>
      <c r="EJ164" s="1010"/>
      <c r="EK164" s="1010"/>
      <c r="EL164" s="1010"/>
      <c r="EM164" s="1010"/>
      <c r="EN164" s="1010"/>
      <c r="EO164" s="1010"/>
      <c r="EP164" s="1010"/>
      <c r="EQ164" s="1010"/>
      <c r="ER164" s="1010"/>
      <c r="ES164" s="1010"/>
      <c r="ET164" s="1010"/>
      <c r="EU164" s="1010"/>
      <c r="EV164" s="1010"/>
      <c r="EW164" s="1010"/>
      <c r="EX164" s="1010"/>
      <c r="EY164" s="1010"/>
      <c r="EZ164" s="1010"/>
      <c r="FA164" s="1010"/>
      <c r="FB164" s="1010"/>
      <c r="FC164" s="1010"/>
      <c r="FD164" s="1010"/>
      <c r="FE164" s="1010"/>
      <c r="FF164" s="1010"/>
      <c r="FG164" s="1010"/>
      <c r="FH164" s="1010"/>
      <c r="FI164" s="1010"/>
      <c r="FJ164" s="1010"/>
      <c r="FK164" s="1010"/>
      <c r="FL164" s="1010"/>
      <c r="FM164" s="1010"/>
      <c r="FN164" s="1010"/>
      <c r="FO164" s="1010"/>
      <c r="FP164" s="1010"/>
      <c r="FQ164" s="1010"/>
      <c r="FR164" s="1010"/>
      <c r="FS164" s="1010"/>
      <c r="FT164" s="1010"/>
      <c r="FU164" s="1010"/>
      <c r="FV164" s="1010"/>
      <c r="FW164" s="1011"/>
      <c r="FX164" s="1214"/>
      <c r="FY164" s="1214"/>
      <c r="FZ164" s="964"/>
      <c r="GA164" s="1216"/>
      <c r="GB164" s="1216"/>
      <c r="GC164" s="1215"/>
      <c r="GD164" s="1215"/>
    </row>
    <row r="165" spans="1:186" s="1334" customFormat="1" ht="14.25" hidden="1" customHeight="1" x14ac:dyDescent="0.15">
      <c r="A165" s="416"/>
      <c r="B165" s="837" t="b" cm="1">
        <f t="array" ref="B165">B164</f>
        <v>0</v>
      </c>
      <c r="C165" s="416"/>
      <c r="D165" s="416"/>
      <c r="E165" s="759">
        <v>15</v>
      </c>
      <c r="F165" s="3" t="str" cm="1">
        <f t="array" aca="1" ref="F165" ca="1">OFFSET(E165,-1,1)</f>
        <v>2</v>
      </c>
      <c r="G165" s="416"/>
      <c r="H165" s="416" t="s">
        <v>1529</v>
      </c>
      <c r="I165" s="416" t="s">
        <v>1591</v>
      </c>
      <c r="J165" s="416"/>
      <c r="K165" s="416"/>
      <c r="L165" s="416"/>
      <c r="M165" s="416"/>
      <c r="N165" s="416"/>
      <c r="O165" s="416"/>
      <c r="P165" s="416"/>
      <c r="Q165" s="416"/>
      <c r="R165" s="416"/>
      <c r="S165" s="416"/>
      <c r="T165" s="388" t="b" cm="1">
        <f t="array" aca="1" ref="T165" ca="1">T164</f>
        <v>1</v>
      </c>
      <c r="U165" s="416"/>
      <c r="V165" s="416"/>
      <c r="W165" s="416"/>
      <c r="X165" s="2066"/>
      <c r="Y165" s="416"/>
      <c r="Z165" s="2011"/>
      <c r="AA165" s="416"/>
      <c r="AB165" s="1001" t="s">
        <v>1621</v>
      </c>
      <c r="AC165" s="783" t="s">
        <v>1588</v>
      </c>
      <c r="AD165" s="1445">
        <f ca="1">IF(AD167=0,0,(AD166*AD167+AD168*AD169*IF(god=2026,3,6))/AD167)</f>
        <v>0</v>
      </c>
      <c r="AE165" s="1445">
        <f ca="1">IF(AE167=0,0,(AE166*AE167+AE168*AE169*IF(god=2026,3,6))/AE167)</f>
        <v>0</v>
      </c>
      <c r="AF165" s="1003">
        <f ca="1">IF(AD165=0,0,(AE165-AD165)/AD165*100)</f>
        <v>0</v>
      </c>
      <c r="AG165" s="1445">
        <f ca="1">IF(AG167=0,0,(AG166*AG167+AG168*AG169*IF(god=2025,3,6))/AG167)</f>
        <v>0</v>
      </c>
      <c r="AH165" s="1445">
        <f ca="1">IF(AH167=0,0,(AH166*AH167+AH168*AH169*IF(god=2025,3,6))/AH167)</f>
        <v>0</v>
      </c>
      <c r="AI165" s="1003">
        <f ca="1">IF(AG165=0,0,(AH165-AG165)/AG165*100)</f>
        <v>0</v>
      </c>
      <c r="AJ165" s="1445">
        <f ca="1">IF(AJ167=0,0,(AJ166*AJ167+AJ168*AJ169*6)/AJ167)</f>
        <v>0</v>
      </c>
      <c r="AK165" s="1445">
        <f ca="1">IF(AK167=0,0,(AK166*AK167+AK168*AK169*6)/AK167)</f>
        <v>0</v>
      </c>
      <c r="AL165" s="1003">
        <f ca="1">IF(AJ165=0,0,(AK165-AJ165)/AJ165*100)</f>
        <v>0</v>
      </c>
      <c r="AM165" s="1445">
        <f ca="1">IF(AM167=0,0,(AM166*AM167+AM168*AM169*6)/AM167)</f>
        <v>0</v>
      </c>
      <c r="AN165" s="1445">
        <f ca="1">IF(AN167=0,0,(AN166*AN167+AN168*AN169*6)/AN167)</f>
        <v>0</v>
      </c>
      <c r="AO165" s="1003">
        <f ca="1">IF(AM165=0,0,(AN165-AM165)/AM165*100)</f>
        <v>0</v>
      </c>
      <c r="AP165" s="1445">
        <f ca="1">IF(AP167=0,0,(AP166*AP167+AP168*AP169*6)/AP167)</f>
        <v>0</v>
      </c>
      <c r="AQ165" s="1445">
        <f ca="1">IF(AQ167=0,0,(AQ166*AQ167+AQ168*AQ169*6)/AQ167)</f>
        <v>0</v>
      </c>
      <c r="AR165" s="1003">
        <f ca="1">IF(AP165=0,0,(AQ165-AP165)/AP165*100)</f>
        <v>0</v>
      </c>
      <c r="AS165" s="1445">
        <f ca="1">IF(AS167=0,0,(AS166*AS167+AS168*AS169*6)/AS167)</f>
        <v>0</v>
      </c>
      <c r="AT165" s="1445">
        <f ca="1">IF(AT167=0,0,(AT166*AT167+AT168*AT169*6)/AT167)</f>
        <v>0</v>
      </c>
      <c r="AU165" s="1003">
        <f ca="1">IF(AS165=0,0,(AT165-AS165)/AS165*100)</f>
        <v>0</v>
      </c>
      <c r="AV165" s="1445">
        <f ca="1">IF(AV167=0,0,(AV166*AV167+AV168*AV169*6)/AV167)</f>
        <v>0</v>
      </c>
      <c r="AW165" s="1445">
        <f ca="1">IF(AW167=0,0,(AW166*AW167+AW168*AW169*6)/AW167)</f>
        <v>0</v>
      </c>
      <c r="AX165" s="1003">
        <f ca="1">IF(AV165=0,0,(AW165-AV165)/AV165*100)</f>
        <v>0</v>
      </c>
      <c r="AY165" s="1445">
        <f ca="1">IF(AY167=0,0,(AY166*AY167+AY168*AY169*6)/AY167)</f>
        <v>0</v>
      </c>
      <c r="AZ165" s="1445">
        <f ca="1">IF(AZ167=0,0,(AZ166*AZ167+AZ168*AZ169*6)/AZ167)</f>
        <v>0</v>
      </c>
      <c r="BA165" s="1003">
        <f ca="1">IF(AY165=0,0,(AZ165-AY165)/AY165*100)</f>
        <v>0</v>
      </c>
      <c r="BB165" s="1445">
        <f ca="1">IF(BB167=0,0,(BB166*BB167+BB168*BB169*6)/BB167)</f>
        <v>0</v>
      </c>
      <c r="BC165" s="1445">
        <f ca="1">IF(BC167=0,0,(BC166*BC167+BC168*BC169*6)/BC167)</f>
        <v>0</v>
      </c>
      <c r="BD165" s="1003">
        <f ca="1">IF(BB165=0,0,(BC165-BB165)/BB165*100)</f>
        <v>0</v>
      </c>
      <c r="BE165" s="1445">
        <f ca="1">IF(BE167=0,0,(BE166*BE167+BE168*BE169*6)/BE167)</f>
        <v>0</v>
      </c>
      <c r="BF165" s="1445">
        <f ca="1">IF(BF167=0,0,(BF166*BF167+BF168*BF169*6)/BF167)</f>
        <v>0</v>
      </c>
      <c r="BG165" s="1003">
        <f ca="1">IF(BE165=0,0,(BF165-BE165)/BE165*100)</f>
        <v>0</v>
      </c>
      <c r="BH165" s="1445">
        <f>IF(BH167=0,0,(BH166*BH167+BH168*BH169*6)/BH167)</f>
        <v>0</v>
      </c>
      <c r="BI165" s="1445">
        <f>IF(BI167=0,0,(BI166*BI167+BI168*BI169*6)/BI167)</f>
        <v>0</v>
      </c>
      <c r="BJ165" s="1003">
        <f>IF(BH165=0,0,(BI165-BH165)/BH165*100)</f>
        <v>0</v>
      </c>
      <c r="BK165" s="1445">
        <f>IF(BK167=0,0,(BK166*BK167+BK168*BK169*6)/BK167)</f>
        <v>0</v>
      </c>
      <c r="BL165" s="1445">
        <f>IF(BL167=0,0,(BL166*BL167+BL168*BL169*6)/BL167)</f>
        <v>0</v>
      </c>
      <c r="BM165" s="1003">
        <f>IF(BK165=0,0,(BL165-BK165)/BK165*100)</f>
        <v>0</v>
      </c>
      <c r="BN165" s="1445">
        <f>IF(BN167=0,0,(BN166*BN167+BN168*BN169*6)/BN167)</f>
        <v>0</v>
      </c>
      <c r="BO165" s="1445">
        <f>IF(BO167=0,0,(BO166*BO167+BO168*BO169*6)/BO167)</f>
        <v>0</v>
      </c>
      <c r="BP165" s="1003">
        <f>IF(BN165=0,0,(BO165-BN165)/BN165*100)</f>
        <v>0</v>
      </c>
      <c r="BQ165" s="1445">
        <f>IF(BQ167=0,0,(BQ166*BQ167+BQ168*BQ169*6)/BQ167)</f>
        <v>0</v>
      </c>
      <c r="BR165" s="1445">
        <f>IF(BR167=0,0,(BR166*BR167+BR168*BR169*6)/BR167)</f>
        <v>0</v>
      </c>
      <c r="BS165" s="1003">
        <f>IF(BQ165=0,0,(BR165-BQ165)/BQ165*100)</f>
        <v>0</v>
      </c>
      <c r="BT165" s="1445">
        <f>IF(BT167=0,0,(BT166*BT167+BT168*BT169*6)/BT167)</f>
        <v>0</v>
      </c>
      <c r="BU165" s="1445">
        <f>IF(BU167=0,0,(BU166*BU167+BU168*BU169*6)/BU167)</f>
        <v>0</v>
      </c>
      <c r="BV165" s="1003">
        <f>IF(BT165=0,0,(BU165-BT165)/BT165*100)</f>
        <v>0</v>
      </c>
      <c r="BW165" s="1445">
        <f>IF(BW167=0,0,(BW166*BW167+BW168*BW169*6)/BW167)</f>
        <v>0</v>
      </c>
      <c r="BX165" s="1445">
        <f>IF(BX167=0,0,(BX166*BX167+BX168*BX169*6)/BX167)</f>
        <v>0</v>
      </c>
      <c r="BY165" s="1003">
        <f>IF(BW165=0,0,(BX165-BW165)/BW165*100)</f>
        <v>0</v>
      </c>
      <c r="BZ165" s="1445">
        <f>IF(BZ167=0,0,(BZ166*BZ167+BZ168*BZ169*6)/BZ167)</f>
        <v>0</v>
      </c>
      <c r="CA165" s="1445">
        <f>IF(CA167=0,0,(CA166*CA167+CA168*CA169*6)/CA167)</f>
        <v>0</v>
      </c>
      <c r="CB165" s="1003">
        <f>IF(BZ165=0,0,(CA165-BZ165)/BZ165*100)</f>
        <v>0</v>
      </c>
      <c r="CC165" s="1445">
        <f>IF(CC167=0,0,(CC166*CC167+CC168*CC169*6)/CC167)</f>
        <v>0</v>
      </c>
      <c r="CD165" s="1445">
        <f>IF(CD167=0,0,(CD166*CD167+CD168*CD169*6)/CD167)</f>
        <v>0</v>
      </c>
      <c r="CE165" s="1003">
        <f>IF(CC165=0,0,(CD165-CC165)/CC165*100)</f>
        <v>0</v>
      </c>
      <c r="CF165" s="1445">
        <f>IF(CF167=0,0,(CF166*CF167+CF168*CF169*6)/CF167)</f>
        <v>0</v>
      </c>
      <c r="CG165" s="1445">
        <f>IF(CG167=0,0,(CG166*CG167+CG168*CG169*6)/CG167)</f>
        <v>0</v>
      </c>
      <c r="CH165" s="1003">
        <f>IF(CF165=0,0,(CG165-CF165)/CF165*100)</f>
        <v>0</v>
      </c>
      <c r="CI165" s="1445">
        <f>IF(CI167=0,0,(CI166*CI167+CI168*CI169*6)/CI167)</f>
        <v>0</v>
      </c>
      <c r="CJ165" s="1445">
        <f>IF(CJ167=0,0,(CJ166*CJ167+CJ168*CJ169*6)/CJ167)</f>
        <v>0</v>
      </c>
      <c r="CK165" s="1003">
        <f>IF(CI165=0,0,(CJ165-CI165)/CI165*100)</f>
        <v>0</v>
      </c>
      <c r="CL165" s="1445">
        <f>IF(CL167=0,0,(CL166*CL167+CL168*CL169*6)/CL167)</f>
        <v>0</v>
      </c>
      <c r="CM165" s="1445">
        <f>IF(CM167=0,0,(CM166*CM167+CM168*CM169*6)/CM167)</f>
        <v>0</v>
      </c>
      <c r="CN165" s="1003">
        <f>IF(CL165=0,0,(CM165-CL165)/CL165*100)</f>
        <v>0</v>
      </c>
      <c r="CO165" s="1445">
        <f>IF(CO167=0,0,(CO166*CO167+CO168*CO169*6)/CO167)</f>
        <v>0</v>
      </c>
      <c r="CP165" s="1445">
        <f>IF(CP167=0,0,(CP166*CP167+CP168*CP169*6)/CP167)</f>
        <v>0</v>
      </c>
      <c r="CQ165" s="1003">
        <f>IF(CO165=0,0,(CP165-CO165)/CO165*100)</f>
        <v>0</v>
      </c>
      <c r="CR165" s="1445">
        <f>IF(CR167=0,0,(CR166*CR167+CR168*CR169*6)/CR167)</f>
        <v>0</v>
      </c>
      <c r="CS165" s="1445">
        <f>IF(CS167=0,0,(CS166*CS167+CS168*CS169*6)/CS167)</f>
        <v>0</v>
      </c>
      <c r="CT165" s="1003">
        <f>IF(CR165=0,0,(CS165-CR165)/CR165*100)</f>
        <v>0</v>
      </c>
      <c r="CU165" s="1445">
        <f>IF(CU167=0,0,(CU166*CU167+CU168*CU169*6)/CU167)</f>
        <v>0</v>
      </c>
      <c r="CV165" s="1445">
        <f>IF(CV167=0,0,(CV166*CV167+CV168*CV169*6)/CV167)</f>
        <v>0</v>
      </c>
      <c r="CW165" s="1003">
        <f>IF(CU165=0,0,(CV165-CU165)/CU165*100)</f>
        <v>0</v>
      </c>
      <c r="CX165" s="1445">
        <f>IF(CX167=0,0,(CX166*CX167+CX168*CX169*6)/CX167)</f>
        <v>0</v>
      </c>
      <c r="CY165" s="1445">
        <f>IF(CY167=0,0,(CY166*CY167+CY168*CY169*6)/CY167)</f>
        <v>0</v>
      </c>
      <c r="CZ165" s="1003">
        <f>IF(CX165=0,0,(CY165-CX165)/CX165*100)</f>
        <v>0</v>
      </c>
      <c r="DA165" s="1445">
        <f>IF(DA167=0,0,(DA166*DA167+DA168*DA169*6)/DA167)</f>
        <v>0</v>
      </c>
      <c r="DB165" s="1445">
        <f>IF(DB167=0,0,(DB166*DB167+DB168*DB169*6)/DB167)</f>
        <v>0</v>
      </c>
      <c r="DC165" s="1003">
        <f>IF(DA165=0,0,(DB165-DA165)/DA165*100)</f>
        <v>0</v>
      </c>
      <c r="DD165" s="1445">
        <f>IF(DD167=0,0,(DD166*DD167+DD168*DD169*6)/DD167)</f>
        <v>0</v>
      </c>
      <c r="DE165" s="1445">
        <f>IF(DE167=0,0,(DE166*DE167+DE168*DE169*6)/DE167)</f>
        <v>0</v>
      </c>
      <c r="DF165" s="1003">
        <f>IF(DD165=0,0,(DE165-DD165)/DD165*100)</f>
        <v>0</v>
      </c>
      <c r="DG165" s="1445">
        <f>IF(DG167=0,0,(DG166*DG167+DG168*DG169*6)/DG167)</f>
        <v>0</v>
      </c>
      <c r="DH165" s="1445">
        <f>IF(DH167=0,0,(DH166*DH167+DH168*DH169*6)/DH167)</f>
        <v>0</v>
      </c>
      <c r="DI165" s="1003">
        <f>IF(DG165=0,0,(DH165-DG165)/DG165*100)</f>
        <v>0</v>
      </c>
      <c r="DJ165" s="1445">
        <f>IF(DJ167=0,0,(DJ166*DJ167+DJ168*DJ169*6)/DJ167)</f>
        <v>0</v>
      </c>
      <c r="DK165" s="1445">
        <f>IF(DK167=0,0,(DK166*DK167+DK168*DK169*6)/DK167)</f>
        <v>0</v>
      </c>
      <c r="DL165" s="1003">
        <f>IF(DJ165=0,0,(DK165-DJ165)/DJ165*100)</f>
        <v>0</v>
      </c>
      <c r="DM165" s="1445">
        <f>IF(DM167=0,0,(DM166*DM167+DM168*DM169*6)/DM167)</f>
        <v>0</v>
      </c>
      <c r="DN165" s="1445">
        <f>IF(DN167=0,0,(DN166*DN167+DN168*DN169*6)/DN167)</f>
        <v>0</v>
      </c>
      <c r="DO165" s="1003">
        <f>IF(DM165=0,0,(DN165-DM165)/DM165*100)</f>
        <v>0</v>
      </c>
      <c r="DP165" s="1445">
        <f>IF(DP167=0,0,(DP166*DP167+DP168*DP169*6)/DP167)</f>
        <v>0</v>
      </c>
      <c r="DQ165" s="1445">
        <f>IF(DQ167=0,0,(DQ166*DQ167+DQ168*DQ169*6)/DQ167)</f>
        <v>0</v>
      </c>
      <c r="DR165" s="1003">
        <f>IF(DP165=0,0,(DQ165-DP165)/DP165*100)</f>
        <v>0</v>
      </c>
      <c r="DS165" s="1445">
        <f>IF(DS167=0,0,(DS166*DS167+DS168*DS169*6)/DS167)</f>
        <v>0</v>
      </c>
      <c r="DT165" s="1445">
        <f>IF(DT167=0,0,(DT166*DT167+DT168*DT169*6)/DT167)</f>
        <v>0</v>
      </c>
      <c r="DU165" s="1003">
        <f>IF(DS165=0,0,(DT165-DS165)/DS165*100)</f>
        <v>0</v>
      </c>
      <c r="DV165" s="1445">
        <f>IF(DV167=0,0,(DV166*DV167+DV168*DV169*6)/DV167)</f>
        <v>0</v>
      </c>
      <c r="DW165" s="1445">
        <f>IF(DW167=0,0,(DW166*DW167+DW168*DW169*6)/DW167)</f>
        <v>0</v>
      </c>
      <c r="DX165" s="1003">
        <f>IF(DV165=0,0,(DW165-DV165)/DV165*100)</f>
        <v>0</v>
      </c>
      <c r="DY165" s="1445">
        <f>IF(DY167=0,0,(DY166*DY167+DY168*DY169*6)/DY167)</f>
        <v>0</v>
      </c>
      <c r="DZ165" s="1445">
        <f>IF(DZ167=0,0,(DZ166*DZ167+DZ168*DZ169*6)/DZ167)</f>
        <v>0</v>
      </c>
      <c r="EA165" s="1003">
        <f>IF(DY165=0,0,(DZ165-DY165)/DY165*100)</f>
        <v>0</v>
      </c>
      <c r="EB165" s="1445">
        <f>IF(EB167=0,0,(EB166*EB167+EB168*EB169*6)/EB167)</f>
        <v>0</v>
      </c>
      <c r="EC165" s="1445">
        <f>IF(EC167=0,0,(EC166*EC167+EC168*EC169*6)/EC167)</f>
        <v>0</v>
      </c>
      <c r="ED165" s="1003">
        <f>IF(EB165=0,0,(EC165-EB165)/EB165*100)</f>
        <v>0</v>
      </c>
      <c r="EE165" s="1445">
        <f>IF(EE167=0,0,(EE166*EE167+EE168*EE169*6)/EE167)</f>
        <v>0</v>
      </c>
      <c r="EF165" s="1445">
        <f>IF(EF167=0,0,(EF166*EF167+EF168*EF169*6)/EF167)</f>
        <v>0</v>
      </c>
      <c r="EG165" s="1003">
        <f>IF(EE165=0,0,(EF165-EE165)/EE165*100)</f>
        <v>0</v>
      </c>
      <c r="EH165" s="1445">
        <f>IF(EH167=0,0,(EH166*EH167+EH168*EH169*6)/EH167)</f>
        <v>0</v>
      </c>
      <c r="EI165" s="1445">
        <f>IF(EI167=0,0,(EI166*EI167+EI168*EI169*6)/EI167)</f>
        <v>0</v>
      </c>
      <c r="EJ165" s="1003">
        <f>IF(EH165=0,0,(EI165-EH165)/EH165*100)</f>
        <v>0</v>
      </c>
      <c r="EK165" s="1445">
        <f>IF(EK167=0,0,(EK166*EK167+EK168*EK169*6)/EK167)</f>
        <v>0</v>
      </c>
      <c r="EL165" s="1445">
        <f>IF(EL167=0,0,(EL166*EL167+EL168*EL169*6)/EL167)</f>
        <v>0</v>
      </c>
      <c r="EM165" s="1003">
        <f>IF(EK165=0,0,(EL165-EK165)/EK165*100)</f>
        <v>0</v>
      </c>
      <c r="EN165" s="1445">
        <f>IF(EN167=0,0,(EN166*EN167+EN168*EN169*6)/EN167)</f>
        <v>0</v>
      </c>
      <c r="EO165" s="1445">
        <f>IF(EO167=0,0,(EO166*EO167+EO168*EO169*6)/EO167)</f>
        <v>0</v>
      </c>
      <c r="EP165" s="1003">
        <f>IF(EN165=0,0,(EO165-EN165)/EN165*100)</f>
        <v>0</v>
      </c>
      <c r="EQ165" s="1445">
        <f>IF(EQ167=0,0,(EQ166*EQ167+EQ168*EQ169*6)/EQ167)</f>
        <v>0</v>
      </c>
      <c r="ER165" s="1445">
        <f>IF(ER167=0,0,(ER166*ER167+ER168*ER169*6)/ER167)</f>
        <v>0</v>
      </c>
      <c r="ES165" s="1003">
        <f>IF(EQ165=0,0,(ER165-EQ165)/EQ165*100)</f>
        <v>0</v>
      </c>
      <c r="ET165" s="1445">
        <f>IF(ET167=0,0,(ET166*ET167+ET168*ET169*6)/ET167)</f>
        <v>0</v>
      </c>
      <c r="EU165" s="1445">
        <f>IF(EU167=0,0,(EU166*EU167+EU168*EU169*6)/EU167)</f>
        <v>0</v>
      </c>
      <c r="EV165" s="1003">
        <f>IF(ET165=0,0,(EU165-ET165)/ET165*100)</f>
        <v>0</v>
      </c>
      <c r="EW165" s="1445">
        <f>IF(EW167=0,0,(EW166*EW167+EW168*EW169*6)/EW167)</f>
        <v>0</v>
      </c>
      <c r="EX165" s="1445">
        <f>IF(EX167=0,0,(EX166*EX167+EX168*EX169*6)/EX167)</f>
        <v>0</v>
      </c>
      <c r="EY165" s="1003">
        <f>IF(EW165=0,0,(EX165-EW165)/EW165*100)</f>
        <v>0</v>
      </c>
      <c r="EZ165" s="1445">
        <f>IF(EZ167=0,0,(EZ166*EZ167+EZ168*EZ169*6)/EZ167)</f>
        <v>0</v>
      </c>
      <c r="FA165" s="1445">
        <f>IF(FA167=0,0,(FA166*FA167+FA168*FA169*6)/FA167)</f>
        <v>0</v>
      </c>
      <c r="FB165" s="1003">
        <f>IF(EZ165=0,0,(FA165-EZ165)/EZ165*100)</f>
        <v>0</v>
      </c>
      <c r="FC165" s="1445">
        <f>IF(FC167=0,0,(FC166*FC167+FC168*FC169*6)/FC167)</f>
        <v>0</v>
      </c>
      <c r="FD165" s="1445">
        <f>IF(FD167=0,0,(FD166*FD167+FD168*FD169*6)/FD167)</f>
        <v>0</v>
      </c>
      <c r="FE165" s="1003">
        <f>IF(FC165=0,0,(FD165-FC165)/FC165*100)</f>
        <v>0</v>
      </c>
      <c r="FF165" s="1445">
        <f>IF(FF167=0,0,(FF166*FF167+FF168*FF169*6)/FF167)</f>
        <v>0</v>
      </c>
      <c r="FG165" s="1445">
        <f>IF(FG167=0,0,(FG166*FG167+FG168*FG169*6)/FG167)</f>
        <v>0</v>
      </c>
      <c r="FH165" s="1003">
        <f>IF(FF165=0,0,(FG165-FF165)/FF165*100)</f>
        <v>0</v>
      </c>
      <c r="FI165" s="1445">
        <f>IF(FI167=0,0,(FI166*FI167+FI168*FI169*6)/FI167)</f>
        <v>0</v>
      </c>
      <c r="FJ165" s="1445">
        <f>IF(FJ167=0,0,(FJ166*FJ167+FJ168*FJ169*6)/FJ167)</f>
        <v>0</v>
      </c>
      <c r="FK165" s="1003">
        <f>IF(FI165=0,0,(FJ165-FI165)/FI165*100)</f>
        <v>0</v>
      </c>
      <c r="FL165" s="1445">
        <f>IF(FL167=0,0,(FL166*FL167+FL168*FL169*6)/FL167)</f>
        <v>0</v>
      </c>
      <c r="FM165" s="1445">
        <f>IF(FM167=0,0,(FM166*FM167+FM168*FM169*6)/FM167)</f>
        <v>0</v>
      </c>
      <c r="FN165" s="1003">
        <f>IF(FL165=0,0,(FM165-FL165)/FL165*100)</f>
        <v>0</v>
      </c>
      <c r="FO165" s="1445">
        <f>IF(FO167=0,0,(FO166*FO167+FO168*FO169*6)/FO167)</f>
        <v>0</v>
      </c>
      <c r="FP165" s="1445">
        <f>IF(FP167=0,0,(FP166*FP167+FP168*FP169*6)/FP167)</f>
        <v>0</v>
      </c>
      <c r="FQ165" s="1003">
        <f>IF(FO165=0,0,(FP165-FO165)/FO165*100)</f>
        <v>0</v>
      </c>
      <c r="FR165" s="1445">
        <f>IF(FR167=0,0,(FR166*FR167+FR168*FR169*6)/FR167)</f>
        <v>0</v>
      </c>
      <c r="FS165" s="1445">
        <f>IF(FS167=0,0,(FS166*FS167+FS168*FS169*6)/FS167)</f>
        <v>0</v>
      </c>
      <c r="FT165" s="1003">
        <f>IF(FR165=0,0,(FS165-FR165)/FR165*100)</f>
        <v>0</v>
      </c>
      <c r="FU165" s="1445">
        <f>IF(FU167=0,0,(FU166*FU167+FU168*FU169*6)/FU167)</f>
        <v>0</v>
      </c>
      <c r="FV165" s="1445">
        <f>IF(FV167=0,0,(FV166*FV167+FV168*FV169*6)/FV167)</f>
        <v>0</v>
      </c>
      <c r="FW165" s="1003">
        <f>IF(FU165=0,0,(FV165-FU165)/FU165*100)</f>
        <v>0</v>
      </c>
      <c r="FX165" s="1214"/>
      <c r="FY165" s="1214"/>
      <c r="FZ165" s="964" t="s">
        <v>1635</v>
      </c>
      <c r="GA165" s="1216"/>
      <c r="GB165" s="1216"/>
      <c r="GC165" s="1215"/>
      <c r="GD165" s="1215"/>
    </row>
    <row r="166" spans="1:186" s="1334" customFormat="1" ht="14.25" hidden="1" customHeight="1" x14ac:dyDescent="0.15">
      <c r="A166" s="416"/>
      <c r="B166" s="837" t="b" cm="1">
        <f t="array" ref="B166">B165</f>
        <v>0</v>
      </c>
      <c r="C166" s="416"/>
      <c r="D166" s="416"/>
      <c r="E166" s="759">
        <v>15</v>
      </c>
      <c r="F166" s="3" t="str" cm="1">
        <f t="array" aca="1" ref="F166" ca="1">OFFSET(E166,-1,1)</f>
        <v>2</v>
      </c>
      <c r="G166" s="416"/>
      <c r="H166" s="416" t="s">
        <v>1533</v>
      </c>
      <c r="I166" s="416" t="s">
        <v>1591</v>
      </c>
      <c r="J166" s="416"/>
      <c r="K166" s="416"/>
      <c r="L166" s="416"/>
      <c r="M166" s="416"/>
      <c r="N166" s="416"/>
      <c r="O166" s="416"/>
      <c r="P166" s="416"/>
      <c r="Q166" s="416"/>
      <c r="R166" s="416"/>
      <c r="S166" s="416"/>
      <c r="T166" s="388" t="b" cm="1">
        <f t="array" aca="1" ref="T166" ca="1">T165</f>
        <v>1</v>
      </c>
      <c r="U166" s="416"/>
      <c r="V166" s="416"/>
      <c r="W166" s="416"/>
      <c r="X166" s="2066"/>
      <c r="Y166" s="416"/>
      <c r="Z166" s="2011"/>
      <c r="AA166" s="416"/>
      <c r="AB166" s="1001" t="str">
        <f>"ставка платы за "&amp;IF(Q141="Водоснабжение","потребление 1 куб.м холодной воды","объем принятых сточных вод")</f>
        <v>ставка платы за объем принятых сточных вод</v>
      </c>
      <c r="AC166" s="783" t="s">
        <v>1588</v>
      </c>
      <c r="AD166" s="1445"/>
      <c r="AE166" s="1445"/>
      <c r="AF166" s="1003">
        <f>IF(AD166=0,0,(AE166-AD166)/AD166*100)</f>
        <v>0</v>
      </c>
      <c r="AG166" s="1445"/>
      <c r="AH166" s="1445"/>
      <c r="AI166" s="1003">
        <f>IF(AG166=0,0,(AH166-AG166)/AG166*100)</f>
        <v>0</v>
      </c>
      <c r="AJ166" s="1445"/>
      <c r="AK166" s="1445"/>
      <c r="AL166" s="1003">
        <f>IF(AJ166=0,0,(AK166-AJ166)/AJ166*100)</f>
        <v>0</v>
      </c>
      <c r="AM166" s="1445"/>
      <c r="AN166" s="1445"/>
      <c r="AO166" s="1003">
        <f>IF(AM166=0,0,(AN166-AM166)/AM166*100)</f>
        <v>0</v>
      </c>
      <c r="AP166" s="1445"/>
      <c r="AQ166" s="1445"/>
      <c r="AR166" s="1003">
        <f>IF(AP166=0,0,(AQ166-AP166)/AP166*100)</f>
        <v>0</v>
      </c>
      <c r="AS166" s="1445"/>
      <c r="AT166" s="1445"/>
      <c r="AU166" s="1003">
        <f>IF(AS166=0,0,(AT166-AS166)/AS166*100)</f>
        <v>0</v>
      </c>
      <c r="AV166" s="1445"/>
      <c r="AW166" s="1445"/>
      <c r="AX166" s="1003">
        <f>IF(AV166=0,0,(AW166-AV166)/AV166*100)</f>
        <v>0</v>
      </c>
      <c r="AY166" s="1445"/>
      <c r="AZ166" s="1445"/>
      <c r="BA166" s="1003">
        <f>IF(AY166=0,0,(AZ166-AY166)/AY166*100)</f>
        <v>0</v>
      </c>
      <c r="BB166" s="1445"/>
      <c r="BC166" s="1445"/>
      <c r="BD166" s="1003">
        <f>IF(BB166=0,0,(BC166-BB166)/BB166*100)</f>
        <v>0</v>
      </c>
      <c r="BE166" s="1445"/>
      <c r="BF166" s="1445"/>
      <c r="BG166" s="1003">
        <f>IF(BE166=0,0,(BF166-BE166)/BE166*100)</f>
        <v>0</v>
      </c>
      <c r="BH166" s="1445"/>
      <c r="BI166" s="1445"/>
      <c r="BJ166" s="1003">
        <f>IF(BH166=0,0,(BI166-BH166)/BH166*100)</f>
        <v>0</v>
      </c>
      <c r="BK166" s="1445"/>
      <c r="BL166" s="1445"/>
      <c r="BM166" s="1003">
        <f>IF(BK166=0,0,(BL166-BK166)/BK166*100)</f>
        <v>0</v>
      </c>
      <c r="BN166" s="1445"/>
      <c r="BO166" s="1445"/>
      <c r="BP166" s="1003">
        <f>IF(BN166=0,0,(BO166-BN166)/BN166*100)</f>
        <v>0</v>
      </c>
      <c r="BQ166" s="1445"/>
      <c r="BR166" s="1445"/>
      <c r="BS166" s="1003">
        <f>IF(BQ166=0,0,(BR166-BQ166)/BQ166*100)</f>
        <v>0</v>
      </c>
      <c r="BT166" s="1445"/>
      <c r="BU166" s="1445"/>
      <c r="BV166" s="1003">
        <f>IF(BT166=0,0,(BU166-BT166)/BT166*100)</f>
        <v>0</v>
      </c>
      <c r="BW166" s="1445"/>
      <c r="BX166" s="1445"/>
      <c r="BY166" s="1003">
        <f>IF(BW166=0,0,(BX166-BW166)/BW166*100)</f>
        <v>0</v>
      </c>
      <c r="BZ166" s="1445"/>
      <c r="CA166" s="1445"/>
      <c r="CB166" s="1003">
        <f>IF(BZ166=0,0,(CA166-BZ166)/BZ166*100)</f>
        <v>0</v>
      </c>
      <c r="CC166" s="1445"/>
      <c r="CD166" s="1445"/>
      <c r="CE166" s="1003">
        <f>IF(CC166=0,0,(CD166-CC166)/CC166*100)</f>
        <v>0</v>
      </c>
      <c r="CF166" s="1445"/>
      <c r="CG166" s="1445"/>
      <c r="CH166" s="1003">
        <f>IF(CF166=0,0,(CG166-CF166)/CF166*100)</f>
        <v>0</v>
      </c>
      <c r="CI166" s="1445"/>
      <c r="CJ166" s="1445"/>
      <c r="CK166" s="1003">
        <f>IF(CI166=0,0,(CJ166-CI166)/CI166*100)</f>
        <v>0</v>
      </c>
      <c r="CL166" s="1445"/>
      <c r="CM166" s="1445"/>
      <c r="CN166" s="1003">
        <f>IF(CL166=0,0,(CM166-CL166)/CL166*100)</f>
        <v>0</v>
      </c>
      <c r="CO166" s="1445"/>
      <c r="CP166" s="1445"/>
      <c r="CQ166" s="1003">
        <f>IF(CO166=0,0,(CP166-CO166)/CO166*100)</f>
        <v>0</v>
      </c>
      <c r="CR166" s="1445"/>
      <c r="CS166" s="1445"/>
      <c r="CT166" s="1003">
        <f>IF(CR166=0,0,(CS166-CR166)/CR166*100)</f>
        <v>0</v>
      </c>
      <c r="CU166" s="1445"/>
      <c r="CV166" s="1445"/>
      <c r="CW166" s="1003">
        <f>IF(CU166=0,0,(CV166-CU166)/CU166*100)</f>
        <v>0</v>
      </c>
      <c r="CX166" s="1445"/>
      <c r="CY166" s="1445"/>
      <c r="CZ166" s="1003">
        <f>IF(CX166=0,0,(CY166-CX166)/CX166*100)</f>
        <v>0</v>
      </c>
      <c r="DA166" s="1445"/>
      <c r="DB166" s="1445"/>
      <c r="DC166" s="1003">
        <f>IF(DA166=0,0,(DB166-DA166)/DA166*100)</f>
        <v>0</v>
      </c>
      <c r="DD166" s="1445"/>
      <c r="DE166" s="1445"/>
      <c r="DF166" s="1003">
        <f>IF(DD166=0,0,(DE166-DD166)/DD166*100)</f>
        <v>0</v>
      </c>
      <c r="DG166" s="1445"/>
      <c r="DH166" s="1445"/>
      <c r="DI166" s="1003">
        <f>IF(DG166=0,0,(DH166-DG166)/DG166*100)</f>
        <v>0</v>
      </c>
      <c r="DJ166" s="1445"/>
      <c r="DK166" s="1445"/>
      <c r="DL166" s="1003">
        <f>IF(DJ166=0,0,(DK166-DJ166)/DJ166*100)</f>
        <v>0</v>
      </c>
      <c r="DM166" s="1445"/>
      <c r="DN166" s="1445"/>
      <c r="DO166" s="1003">
        <f>IF(DM166=0,0,(DN166-DM166)/DM166*100)</f>
        <v>0</v>
      </c>
      <c r="DP166" s="1445"/>
      <c r="DQ166" s="1445"/>
      <c r="DR166" s="1003">
        <f>IF(DP166=0,0,(DQ166-DP166)/DP166*100)</f>
        <v>0</v>
      </c>
      <c r="DS166" s="1445"/>
      <c r="DT166" s="1445"/>
      <c r="DU166" s="1003">
        <f>IF(DS166=0,0,(DT166-DS166)/DS166*100)</f>
        <v>0</v>
      </c>
      <c r="DV166" s="1445"/>
      <c r="DW166" s="1445"/>
      <c r="DX166" s="1003">
        <f>IF(DV166=0,0,(DW166-DV166)/DV166*100)</f>
        <v>0</v>
      </c>
      <c r="DY166" s="1445"/>
      <c r="DZ166" s="1445"/>
      <c r="EA166" s="1003">
        <f>IF(DY166=0,0,(DZ166-DY166)/DY166*100)</f>
        <v>0</v>
      </c>
      <c r="EB166" s="1445"/>
      <c r="EC166" s="1445"/>
      <c r="ED166" s="1003">
        <f>IF(EB166=0,0,(EC166-EB166)/EB166*100)</f>
        <v>0</v>
      </c>
      <c r="EE166" s="1445"/>
      <c r="EF166" s="1445"/>
      <c r="EG166" s="1003">
        <f>IF(EE166=0,0,(EF166-EE166)/EE166*100)</f>
        <v>0</v>
      </c>
      <c r="EH166" s="1445"/>
      <c r="EI166" s="1445"/>
      <c r="EJ166" s="1003">
        <f>IF(EH166=0,0,(EI166-EH166)/EH166*100)</f>
        <v>0</v>
      </c>
      <c r="EK166" s="1445"/>
      <c r="EL166" s="1445"/>
      <c r="EM166" s="1003">
        <f>IF(EK166=0,0,(EL166-EK166)/EK166*100)</f>
        <v>0</v>
      </c>
      <c r="EN166" s="1445"/>
      <c r="EO166" s="1445"/>
      <c r="EP166" s="1003">
        <f>IF(EN166=0,0,(EO166-EN166)/EN166*100)</f>
        <v>0</v>
      </c>
      <c r="EQ166" s="1445"/>
      <c r="ER166" s="1445"/>
      <c r="ES166" s="1003">
        <f>IF(EQ166=0,0,(ER166-EQ166)/EQ166*100)</f>
        <v>0</v>
      </c>
      <c r="ET166" s="1445"/>
      <c r="EU166" s="1445"/>
      <c r="EV166" s="1003">
        <f>IF(ET166=0,0,(EU166-ET166)/ET166*100)</f>
        <v>0</v>
      </c>
      <c r="EW166" s="1445"/>
      <c r="EX166" s="1445"/>
      <c r="EY166" s="1003">
        <f>IF(EW166=0,0,(EX166-EW166)/EW166*100)</f>
        <v>0</v>
      </c>
      <c r="EZ166" s="1445"/>
      <c r="FA166" s="1445"/>
      <c r="FB166" s="1003">
        <f>IF(EZ166=0,0,(FA166-EZ166)/EZ166*100)</f>
        <v>0</v>
      </c>
      <c r="FC166" s="1445"/>
      <c r="FD166" s="1445"/>
      <c r="FE166" s="1003">
        <f>IF(FC166=0,0,(FD166-FC166)/FC166*100)</f>
        <v>0</v>
      </c>
      <c r="FF166" s="1445"/>
      <c r="FG166" s="1445"/>
      <c r="FH166" s="1003">
        <f>IF(FF166=0,0,(FG166-FF166)/FF166*100)</f>
        <v>0</v>
      </c>
      <c r="FI166" s="1445"/>
      <c r="FJ166" s="1445"/>
      <c r="FK166" s="1003">
        <f>IF(FI166=0,0,(FJ166-FI166)/FI166*100)</f>
        <v>0</v>
      </c>
      <c r="FL166" s="1445"/>
      <c r="FM166" s="1445"/>
      <c r="FN166" s="1003">
        <f>IF(FL166=0,0,(FM166-FL166)/FL166*100)</f>
        <v>0</v>
      </c>
      <c r="FO166" s="1445"/>
      <c r="FP166" s="1445"/>
      <c r="FQ166" s="1003">
        <f>IF(FO166=0,0,(FP166-FO166)/FO166*100)</f>
        <v>0</v>
      </c>
      <c r="FR166" s="1445"/>
      <c r="FS166" s="1445"/>
      <c r="FT166" s="1003">
        <f>IF(FR166=0,0,(FS166-FR166)/FR166*100)</f>
        <v>0</v>
      </c>
      <c r="FU166" s="1445"/>
      <c r="FV166" s="1445"/>
      <c r="FW166" s="1003">
        <f>IF(FU166=0,0,(FV166-FU166)/FU166*100)</f>
        <v>0</v>
      </c>
      <c r="FX166" s="1214"/>
      <c r="FY166" s="1214"/>
      <c r="FZ166" s="964" t="s">
        <v>1636</v>
      </c>
      <c r="GA166" s="1216"/>
      <c r="GB166" s="1216"/>
      <c r="GC166" s="1215"/>
      <c r="GD166" s="1215"/>
    </row>
    <row r="167" spans="1:186" s="1334" customFormat="1" ht="14.25" hidden="1" customHeight="1" x14ac:dyDescent="0.15">
      <c r="A167" s="416"/>
      <c r="B167" s="837" t="b" cm="1">
        <f t="array" ref="B167">B166</f>
        <v>0</v>
      </c>
      <c r="C167" s="416"/>
      <c r="D167" s="416"/>
      <c r="E167" s="759">
        <v>15</v>
      </c>
      <c r="F167" s="3" t="str" cm="1">
        <f t="array" aca="1" ref="F167" ca="1">OFFSET(E167,-1,1)</f>
        <v>2</v>
      </c>
      <c r="G167" s="26" t="s">
        <v>1637</v>
      </c>
      <c r="H167" s="416" t="s">
        <v>1625</v>
      </c>
      <c r="I167" s="416" t="s">
        <v>1591</v>
      </c>
      <c r="J167" s="416"/>
      <c r="K167" s="416"/>
      <c r="L167" s="416"/>
      <c r="M167" s="416"/>
      <c r="N167" s="416"/>
      <c r="O167" s="416"/>
      <c r="P167" s="416"/>
      <c r="Q167" s="416"/>
      <c r="R167" s="416"/>
      <c r="S167" s="416"/>
      <c r="T167" s="388" t="b" cm="1">
        <f t="array" aca="1" ref="T167" ca="1">T166</f>
        <v>1</v>
      </c>
      <c r="U167" s="416"/>
      <c r="V167" s="416"/>
      <c r="W167" s="416"/>
      <c r="X167" s="2066"/>
      <c r="Y167" s="416"/>
      <c r="Z167" s="2011"/>
      <c r="AA167" s="416"/>
      <c r="AB167" s="1001" t="str">
        <f>"объём "&amp;IF(Q141="Водоснабжение","потребления холодной воды","водоотведения")</f>
        <v>объём водоотведения</v>
      </c>
      <c r="AC167" s="783" t="s">
        <v>563</v>
      </c>
      <c r="AD167" s="1443">
        <f ca="1">IF(AND(method_reg="Метод индексации",god&lt;&gt;first_year),SUMIFS(INDEX('Калькуляция (МИ корр)'!$AJ$25:$BC$459,,MATCH(AD$8,'Калькуляция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(МИ)'!$AJ$25:$BC$459,,MATCH(AD$8,'Калькуляция (МИ)'!$AJ$8:$BC$8,0)),'Калькуляция (МИ)'!$F$25:$F$459,$F167,'Калькуляция (МИ)'!$G$25:$G$459,$G167))))</f>
        <v>659.23699999999985</v>
      </c>
      <c r="AE167" s="1443">
        <f ca="1">IF(AND(method_reg="Метод индексации",god&lt;&gt;first_year),SUMIFS(INDEX('Калькуляция (МИ корр)'!$AJ$25:$BC$459,,MATCH(AE$8,'Калькуляция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(МИ)'!$AJ$25:$BC$459,,MATCH(AE$8,'Калькуляция (МИ)'!$AJ$8:$BC$8,0)),'Калькуляция (МИ)'!$F$25:$F$459,$F167,'Калькуляция (МИ)'!$G$25:$G$459,$G167))))</f>
        <v>612.86029749999989</v>
      </c>
      <c r="AF167" s="1005">
        <f ca="1">IF(AD167=0,0,(AE167-AD167)/AD167*100)</f>
        <v>-7.0349058836199987</v>
      </c>
      <c r="AG167" s="1443">
        <f ca="1">IF(AND(method_reg="Метод индексации",god&lt;&gt;first_year),SUMIFS(INDEX('Калькуляция (МИ корр)'!$AJ$25:$BC$459,,MATCH(AG$8,'Калькуляция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(МИ)'!$AJ$25:$BC$459,,MATCH(AG$8,'Калькуляция (МИ)'!$AJ$8:$BC$8,0)),'Калькуляция (МИ)'!$F$25:$F$459,$F167,'Калькуляция (МИ)'!$G$25:$G$459,$G167))))</f>
        <v>0</v>
      </c>
      <c r="AH167" s="1443">
        <f ca="1">IF(AND(method_reg="Метод индексации",god&lt;&gt;first_year),SUMIFS(INDEX('Калькуляция (МИ корр)'!$AJ$25:$BC$459,,MATCH(AH$8,'Калькуляция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(МИ)'!$AJ$25:$BC$459,,MATCH(AH$8,'Калькуляция (МИ)'!$AJ$8:$BC$8,0)),'Калькуляция (МИ)'!$F$25:$F$459,$F167,'Калькуляция (МИ)'!$G$25:$G$459,$G167))))</f>
        <v>0</v>
      </c>
      <c r="AI167" s="1005">
        <f ca="1">IF(AG167=0,0,(AH167-AG167)/AG167*100)</f>
        <v>0</v>
      </c>
      <c r="AJ167" s="1443">
        <f ca="1">IF(AND(method_reg="Метод индексации",god&lt;&gt;first_year),SUMIFS(INDEX('Калькуляция (МИ корр)'!$AJ$25:$BC$459,,MATCH(AJ$8,'Калькуляция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(МИ)'!$AJ$25:$BC$459,,MATCH(AJ$8,'Калькуляция (МИ)'!$AJ$8:$BC$8,0)),'Калькуляция (МИ)'!$F$25:$F$459,$F167,'Калькуляция (МИ)'!$G$25:$G$459,$G167))))</f>
        <v>0</v>
      </c>
      <c r="AK167" s="1443">
        <f ca="1">IF(AND(method_reg="Метод индексации",god&lt;&gt;first_year),SUMIFS(INDEX('Калькуляция (МИ корр)'!$AJ$25:$BC$459,,MATCH(AK$8,'Калькуляция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(МИ)'!$AJ$25:$BC$459,,MATCH(AK$8,'Калькуляция (МИ)'!$AJ$8:$BC$8,0)),'Калькуляция (МИ)'!$F$25:$F$459,$F167,'Калькуляция (МИ)'!$G$25:$G$459,$G167))))</f>
        <v>0</v>
      </c>
      <c r="AL167" s="1005">
        <f ca="1">IF(AJ167=0,0,(AK167-AJ167)/AJ167*100)</f>
        <v>0</v>
      </c>
      <c r="AM167" s="1443">
        <f ca="1">IF(AND(method_reg="Метод индексации",god&lt;&gt;first_year),SUMIFS(INDEX('Калькуляция (МИ корр)'!$AJ$25:$BC$459,,MATCH(AM$8,'Калькуляция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(МИ)'!$AJ$25:$BC$459,,MATCH(AM$8,'Калькуляция (МИ)'!$AJ$8:$BC$8,0)),'Калькуляция (МИ)'!$F$25:$F$459,$F167,'Калькуляция (МИ)'!$G$25:$G$459,$G167))))</f>
        <v>0</v>
      </c>
      <c r="AN167" s="1443">
        <f ca="1">IF(AND(method_reg="Метод индексации",god&lt;&gt;first_year),SUMIFS(INDEX('Калькуляция (МИ корр)'!$AJ$25:$BC$459,,MATCH(AN$8,'Калькуляция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(МИ)'!$AJ$25:$BC$459,,MATCH(AN$8,'Калькуляция (МИ)'!$AJ$8:$BC$8,0)),'Калькуляция (МИ)'!$F$25:$F$459,$F167,'Калькуляция (МИ)'!$G$25:$G$459,$G167))))</f>
        <v>0</v>
      </c>
      <c r="AO167" s="1005">
        <f ca="1">IF(AM167=0,0,(AN167-AM167)/AM167*100)</f>
        <v>0</v>
      </c>
      <c r="AP167" s="1443">
        <f ca="1">IF(AND(method_reg="Метод индексации",god&lt;&gt;first_year),SUMIFS(INDEX('Калькуляция (МИ корр)'!$AJ$25:$BC$459,,MATCH(AP$8,'Калькуляция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(МИ)'!$AJ$25:$BC$459,,MATCH(AP$8,'Калькуляция (МИ)'!$AJ$8:$BC$8,0)),'Калькуляция (МИ)'!$F$25:$F$459,$F167,'Калькуляция (МИ)'!$G$25:$G$459,$G167))))</f>
        <v>0</v>
      </c>
      <c r="AQ167" s="1443">
        <f ca="1">IF(AND(method_reg="Метод индексации",god&lt;&gt;first_year),SUMIFS(INDEX('Калькуляция (МИ корр)'!$AJ$25:$BC$459,,MATCH(AQ$8,'Калькуляция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(МИ)'!$AJ$25:$BC$459,,MATCH(AQ$8,'Калькуляция (МИ)'!$AJ$8:$BC$8,0)),'Калькуляция (МИ)'!$F$25:$F$459,$F167,'Калькуляция (МИ)'!$G$25:$G$459,$G167))))</f>
        <v>0</v>
      </c>
      <c r="AR167" s="1005">
        <f ca="1">IF(AP167=0,0,(AQ167-AP167)/AP167*100)</f>
        <v>0</v>
      </c>
      <c r="AS167" s="1443">
        <f ca="1">IF(AND(method_reg="Метод индексации",god&lt;&gt;first_year),SUMIFS(INDEX('Калькуляция (МИ корр)'!$AJ$25:$BC$459,,MATCH(AS$8,'Калькуляция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(МИ)'!$AJ$25:$BC$459,,MATCH(AS$8,'Калькуляция (МИ)'!$AJ$8:$BC$8,0)),'Калькуляция (МИ)'!$F$25:$F$459,$F167,'Калькуляция (МИ)'!$G$25:$G$459,$G167))))</f>
        <v>0</v>
      </c>
      <c r="AT167" s="1443">
        <f ca="1">IF(AND(method_reg="Метод индексации",god&lt;&gt;first_year),SUMIFS(INDEX('Калькуляция (МИ корр)'!$AJ$25:$BC$459,,MATCH(AT$8,'Калькуляция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(МИ)'!$AJ$25:$BC$459,,MATCH(AT$8,'Калькуляция (МИ)'!$AJ$8:$BC$8,0)),'Калькуляция (МИ)'!$F$25:$F$459,$F167,'Калькуляция (МИ)'!$G$25:$G$459,$G167))))</f>
        <v>0</v>
      </c>
      <c r="AU167" s="1005">
        <f ca="1">IF(AS167=0,0,(AT167-AS167)/AS167*100)</f>
        <v>0</v>
      </c>
      <c r="AV167" s="1443">
        <f ca="1">IF(AND(method_reg="Метод индексации",god&lt;&gt;first_year),SUMIFS(INDEX('Калькуляция (МИ корр)'!$AJ$25:$BC$459,,MATCH(AV$8,'Калькуляция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(МИ)'!$AJ$25:$BC$459,,MATCH(AV$8,'Калькуляция (МИ)'!$AJ$8:$BC$8,0)),'Калькуляция (МИ)'!$F$25:$F$459,$F167,'Калькуляция (МИ)'!$G$25:$G$459,$G167))))</f>
        <v>0</v>
      </c>
      <c r="AW167" s="1443">
        <f ca="1">IF(AND(method_reg="Метод индексации",god&lt;&gt;first_year),SUMIFS(INDEX('Калькуляция (МИ корр)'!$AJ$25:$BC$459,,MATCH(AW$8,'Калькуляция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(МИ)'!$AJ$25:$BC$459,,MATCH(AW$8,'Калькуляция (МИ)'!$AJ$8:$BC$8,0)),'Калькуляция (МИ)'!$F$25:$F$459,$F167,'Калькуляция (МИ)'!$G$25:$G$459,$G167))))</f>
        <v>0</v>
      </c>
      <c r="AX167" s="1005">
        <f ca="1">IF(AV167=0,0,(AW167-AV167)/AV167*100)</f>
        <v>0</v>
      </c>
      <c r="AY167" s="1443">
        <f ca="1">IF(AND(method_reg="Метод индексации",god&lt;&gt;first_year),SUMIFS(INDEX('Калькуляция (МИ корр)'!$AJ$25:$BC$459,,MATCH(AY$8,'Калькуляция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(МИ)'!$AJ$25:$BC$459,,MATCH(AY$8,'Калькуляция (МИ)'!$AJ$8:$BC$8,0)),'Калькуляция (МИ)'!$F$25:$F$459,$F167,'Калькуляция (МИ)'!$G$25:$G$459,$G167))))</f>
        <v>0</v>
      </c>
      <c r="AZ167" s="1443">
        <f ca="1">IF(AND(method_reg="Метод индексации",god&lt;&gt;first_year),SUMIFS(INDEX('Калькуляция (МИ корр)'!$AJ$25:$BC$459,,MATCH(AZ$8,'Калькуляция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(МИ)'!$AJ$25:$BC$459,,MATCH(AZ$8,'Калькуляция (МИ)'!$AJ$8:$BC$8,0)),'Калькуляция (МИ)'!$F$25:$F$459,$F167,'Калькуляция (МИ)'!$G$25:$G$459,$G167))))</f>
        <v>0</v>
      </c>
      <c r="BA167" s="1005">
        <f ca="1">IF(AY167=0,0,(AZ167-AY167)/AY167*100)</f>
        <v>0</v>
      </c>
      <c r="BB167" s="1443">
        <f ca="1">IF(AND(method_reg="Метод индексации",god&lt;&gt;first_year),SUMIFS(INDEX('Калькуляция (МИ корр)'!$AJ$25:$BC$459,,MATCH(BB$8,'Калькуляция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(МИ)'!$AJ$25:$BC$459,,MATCH(BB$8,'Калькуляция (МИ)'!$AJ$8:$BC$8,0)),'Калькуляция (МИ)'!$F$25:$F$459,$F167,'Калькуляция (МИ)'!$G$25:$G$459,$G167))))</f>
        <v>0</v>
      </c>
      <c r="BC167" s="1443">
        <f ca="1">IF(AND(method_reg="Метод индексации",god&lt;&gt;first_year),SUMIFS(INDEX('Калькуляция (МИ корр)'!$AJ$25:$BC$459,,MATCH(BC$8,'Калькуляция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(МИ)'!$AJ$25:$BC$459,,MATCH(BC$8,'Калькуляция (МИ)'!$AJ$8:$BC$8,0)),'Калькуляция (МИ)'!$F$25:$F$459,$F167,'Калькуляция (МИ)'!$G$25:$G$459,$G167))))</f>
        <v>0</v>
      </c>
      <c r="BD167" s="1005">
        <f ca="1">IF(BB167=0,0,(BC167-BB167)/BB167*100)</f>
        <v>0</v>
      </c>
      <c r="BE167" s="1443">
        <f ca="1">IF(AND(method_reg="Метод индексации",god&lt;&gt;first_year),SUMIFS(INDEX('Калькуляция (МИ корр)'!$AJ$25:$BC$459,,MATCH(BE$8,'Калькуляция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(МИ)'!$AJ$25:$BC$459,,MATCH(BE$8,'Калькуляция (МИ)'!$AJ$8:$BC$8,0)),'Калькуляция (МИ)'!$F$25:$F$459,$F167,'Калькуляция (МИ)'!$G$25:$G$459,$G167))))</f>
        <v>0</v>
      </c>
      <c r="BF167" s="1443">
        <f ca="1">IF(AND(method_reg="Метод индексации",god&lt;&gt;first_year),SUMIFS(INDEX('Калькуляция (МИ корр)'!$AJ$25:$BC$459,,MATCH(BF$8,'Калькуляция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(МИ)'!$AJ$25:$BC$459,,MATCH(BF$8,'Калькуляция (МИ)'!$AJ$8:$BC$8,0)),'Калькуляция (МИ)'!$F$25:$F$459,$F167,'Калькуляция (МИ)'!$G$25:$G$459,$G167))))</f>
        <v>0</v>
      </c>
      <c r="BG167" s="1012">
        <f ca="1">IF(BE167=0,0,(BF167-BE167)/BE167*100)</f>
        <v>0</v>
      </c>
      <c r="BH167" s="1443"/>
      <c r="BI167" s="1443"/>
      <c r="BJ167" s="1012">
        <f>IF(BH167=0,0,(BI167-BH167)/BH167*100)</f>
        <v>0</v>
      </c>
      <c r="BK167" s="1443"/>
      <c r="BL167" s="1443"/>
      <c r="BM167" s="1012">
        <f>IF(BK167=0,0,(BL167-BK167)/BK167*100)</f>
        <v>0</v>
      </c>
      <c r="BN167" s="1443"/>
      <c r="BO167" s="1443"/>
      <c r="BP167" s="1012">
        <f>IF(BN167=0,0,(BO167-BN167)/BN167*100)</f>
        <v>0</v>
      </c>
      <c r="BQ167" s="1443"/>
      <c r="BR167" s="1443"/>
      <c r="BS167" s="1012">
        <f>IF(BQ167=0,0,(BR167-BQ167)/BQ167*100)</f>
        <v>0</v>
      </c>
      <c r="BT167" s="1443"/>
      <c r="BU167" s="1443"/>
      <c r="BV167" s="1012">
        <f>IF(BT167=0,0,(BU167-BT167)/BT167*100)</f>
        <v>0</v>
      </c>
      <c r="BW167" s="1443"/>
      <c r="BX167" s="1443"/>
      <c r="BY167" s="1012">
        <f>IF(BW167=0,0,(BX167-BW167)/BW167*100)</f>
        <v>0</v>
      </c>
      <c r="BZ167" s="1443"/>
      <c r="CA167" s="1443"/>
      <c r="CB167" s="1012">
        <f>IF(BZ167=0,0,(CA167-BZ167)/BZ167*100)</f>
        <v>0</v>
      </c>
      <c r="CC167" s="1443"/>
      <c r="CD167" s="1443"/>
      <c r="CE167" s="1012">
        <f>IF(CC167=0,0,(CD167-CC167)/CC167*100)</f>
        <v>0</v>
      </c>
      <c r="CF167" s="1443"/>
      <c r="CG167" s="1443"/>
      <c r="CH167" s="1012">
        <f>IF(CF167=0,0,(CG167-CF167)/CF167*100)</f>
        <v>0</v>
      </c>
      <c r="CI167" s="1443"/>
      <c r="CJ167" s="1443"/>
      <c r="CK167" s="1012">
        <f>IF(CI167=0,0,(CJ167-CI167)/CI167*100)</f>
        <v>0</v>
      </c>
      <c r="CL167" s="1443"/>
      <c r="CM167" s="1443"/>
      <c r="CN167" s="1012">
        <f>IF(CL167=0,0,(CM167-CL167)/CL167*100)</f>
        <v>0</v>
      </c>
      <c r="CO167" s="1443"/>
      <c r="CP167" s="1443"/>
      <c r="CQ167" s="1012">
        <f>IF(CO167=0,0,(CP167-CO167)/CO167*100)</f>
        <v>0</v>
      </c>
      <c r="CR167" s="1443"/>
      <c r="CS167" s="1443"/>
      <c r="CT167" s="1012">
        <f>IF(CR167=0,0,(CS167-CR167)/CR167*100)</f>
        <v>0</v>
      </c>
      <c r="CU167" s="1443"/>
      <c r="CV167" s="1443"/>
      <c r="CW167" s="1012">
        <f>IF(CU167=0,0,(CV167-CU167)/CU167*100)</f>
        <v>0</v>
      </c>
      <c r="CX167" s="1443"/>
      <c r="CY167" s="1443"/>
      <c r="CZ167" s="1012">
        <f>IF(CX167=0,0,(CY167-CX167)/CX167*100)</f>
        <v>0</v>
      </c>
      <c r="DA167" s="1443"/>
      <c r="DB167" s="1443"/>
      <c r="DC167" s="1012">
        <f>IF(DA167=0,0,(DB167-DA167)/DA167*100)</f>
        <v>0</v>
      </c>
      <c r="DD167" s="1443"/>
      <c r="DE167" s="1443"/>
      <c r="DF167" s="1012">
        <f>IF(DD167=0,0,(DE167-DD167)/DD167*100)</f>
        <v>0</v>
      </c>
      <c r="DG167" s="1443"/>
      <c r="DH167" s="1443"/>
      <c r="DI167" s="1012">
        <f>IF(DG167=0,0,(DH167-DG167)/DG167*100)</f>
        <v>0</v>
      </c>
      <c r="DJ167" s="1443"/>
      <c r="DK167" s="1443"/>
      <c r="DL167" s="1012">
        <f>IF(DJ167=0,0,(DK167-DJ167)/DJ167*100)</f>
        <v>0</v>
      </c>
      <c r="DM167" s="1443"/>
      <c r="DN167" s="1443"/>
      <c r="DO167" s="1012">
        <f>IF(DM167=0,0,(DN167-DM167)/DM167*100)</f>
        <v>0</v>
      </c>
      <c r="DP167" s="1443"/>
      <c r="DQ167" s="1443"/>
      <c r="DR167" s="1012">
        <f>IF(DP167=0,0,(DQ167-DP167)/DP167*100)</f>
        <v>0</v>
      </c>
      <c r="DS167" s="1443"/>
      <c r="DT167" s="1443"/>
      <c r="DU167" s="1012">
        <f>IF(DS167=0,0,(DT167-DS167)/DS167*100)</f>
        <v>0</v>
      </c>
      <c r="DV167" s="1443"/>
      <c r="DW167" s="1443"/>
      <c r="DX167" s="1012">
        <f>IF(DV167=0,0,(DW167-DV167)/DV167*100)</f>
        <v>0</v>
      </c>
      <c r="DY167" s="1443"/>
      <c r="DZ167" s="1443"/>
      <c r="EA167" s="1012">
        <f>IF(DY167=0,0,(DZ167-DY167)/DY167*100)</f>
        <v>0</v>
      </c>
      <c r="EB167" s="1443"/>
      <c r="EC167" s="1443"/>
      <c r="ED167" s="1012">
        <f>IF(EB167=0,0,(EC167-EB167)/EB167*100)</f>
        <v>0</v>
      </c>
      <c r="EE167" s="1443"/>
      <c r="EF167" s="1443"/>
      <c r="EG167" s="1012">
        <f>IF(EE167=0,0,(EF167-EE167)/EE167*100)</f>
        <v>0</v>
      </c>
      <c r="EH167" s="1443"/>
      <c r="EI167" s="1443"/>
      <c r="EJ167" s="1012">
        <f>IF(EH167=0,0,(EI167-EH167)/EH167*100)</f>
        <v>0</v>
      </c>
      <c r="EK167" s="1443"/>
      <c r="EL167" s="1443"/>
      <c r="EM167" s="1012">
        <f>IF(EK167=0,0,(EL167-EK167)/EK167*100)</f>
        <v>0</v>
      </c>
      <c r="EN167" s="1443"/>
      <c r="EO167" s="1443"/>
      <c r="EP167" s="1012">
        <f>IF(EN167=0,0,(EO167-EN167)/EN167*100)</f>
        <v>0</v>
      </c>
      <c r="EQ167" s="1443"/>
      <c r="ER167" s="1443"/>
      <c r="ES167" s="1012">
        <f>IF(EQ167=0,0,(ER167-EQ167)/EQ167*100)</f>
        <v>0</v>
      </c>
      <c r="ET167" s="1443"/>
      <c r="EU167" s="1443"/>
      <c r="EV167" s="1012">
        <f>IF(ET167=0,0,(EU167-ET167)/ET167*100)</f>
        <v>0</v>
      </c>
      <c r="EW167" s="1443"/>
      <c r="EX167" s="1443"/>
      <c r="EY167" s="1012">
        <f>IF(EW167=0,0,(EX167-EW167)/EW167*100)</f>
        <v>0</v>
      </c>
      <c r="EZ167" s="1443"/>
      <c r="FA167" s="1443"/>
      <c r="FB167" s="1012">
        <f>IF(EZ167=0,0,(FA167-EZ167)/EZ167*100)</f>
        <v>0</v>
      </c>
      <c r="FC167" s="1443"/>
      <c r="FD167" s="1443"/>
      <c r="FE167" s="1012">
        <f>IF(FC167=0,0,(FD167-FC167)/FC167*100)</f>
        <v>0</v>
      </c>
      <c r="FF167" s="1443"/>
      <c r="FG167" s="1443"/>
      <c r="FH167" s="1012">
        <f>IF(FF167=0,0,(FG167-FF167)/FF167*100)</f>
        <v>0</v>
      </c>
      <c r="FI167" s="1443"/>
      <c r="FJ167" s="1443"/>
      <c r="FK167" s="1012">
        <f>IF(FI167=0,0,(FJ167-FI167)/FI167*100)</f>
        <v>0</v>
      </c>
      <c r="FL167" s="1443"/>
      <c r="FM167" s="1443"/>
      <c r="FN167" s="1012">
        <f>IF(FL167=0,0,(FM167-FL167)/FL167*100)</f>
        <v>0</v>
      </c>
      <c r="FO167" s="1443"/>
      <c r="FP167" s="1443"/>
      <c r="FQ167" s="1012">
        <f>IF(FO167=0,0,(FP167-FO167)/FO167*100)</f>
        <v>0</v>
      </c>
      <c r="FR167" s="1443"/>
      <c r="FS167" s="1443"/>
      <c r="FT167" s="1012">
        <f>IF(FR167=0,0,(FS167-FR167)/FR167*100)</f>
        <v>0</v>
      </c>
      <c r="FU167" s="1443"/>
      <c r="FV167" s="1443"/>
      <c r="FW167" s="1012">
        <f>IF(FU167=0,0,(FV167-FU167)/FU167*100)</f>
        <v>0</v>
      </c>
      <c r="FX167" s="1214"/>
      <c r="FY167" s="1214"/>
      <c r="FZ167" s="964" t="s">
        <v>1638</v>
      </c>
      <c r="GA167" s="1216"/>
      <c r="GB167" s="1216"/>
      <c r="GC167" s="1215"/>
      <c r="GD167" s="1215"/>
    </row>
    <row r="168" spans="1:186" s="1334" customFormat="1" ht="21.75" hidden="1" customHeight="1" x14ac:dyDescent="0.15">
      <c r="A168" s="416"/>
      <c r="B168" s="837" t="b" cm="1">
        <f t="array" ref="B168">B167</f>
        <v>0</v>
      </c>
      <c r="C168" s="416"/>
      <c r="D168" s="416"/>
      <c r="E168" s="759">
        <v>22.5</v>
      </c>
      <c r="F168" s="3" t="str" cm="1">
        <f t="array" aca="1" ref="F168" ca="1">OFFSET(E168,-1,1)</f>
        <v>2</v>
      </c>
      <c r="G168" s="416"/>
      <c r="H168" s="416" t="s">
        <v>1627</v>
      </c>
      <c r="I168" s="416" t="s">
        <v>1591</v>
      </c>
      <c r="J168" s="416"/>
      <c r="K168" s="416"/>
      <c r="L168" s="416"/>
      <c r="M168" s="416"/>
      <c r="N168" s="416"/>
      <c r="O168" s="416"/>
      <c r="P168" s="416"/>
      <c r="Q168" s="416"/>
      <c r="R168" s="416"/>
      <c r="S168" s="416"/>
      <c r="T168" s="388" t="b" cm="1">
        <f t="array" aca="1" ref="T168" ca="1">T167</f>
        <v>1</v>
      </c>
      <c r="U168" s="416"/>
      <c r="V168" s="416"/>
      <c r="W168" s="416"/>
      <c r="X168" s="2066"/>
      <c r="Y168" s="416"/>
      <c r="Z168" s="2011"/>
      <c r="AA168" s="416"/>
      <c r="AB168" s="1001"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68" s="783" t="s">
        <v>1628</v>
      </c>
      <c r="AD168" s="1445"/>
      <c r="AE168" s="1445"/>
      <c r="AF168" s="1003">
        <f>IF(AD168=0,0,(AE168-AD168)/AD168*100)</f>
        <v>0</v>
      </c>
      <c r="AG168" s="1445"/>
      <c r="AH168" s="1445"/>
      <c r="AI168" s="1003">
        <f>IF(AG168=0,0,(AH168-AG168)/AG168*100)</f>
        <v>0</v>
      </c>
      <c r="AJ168" s="1445"/>
      <c r="AK168" s="1445"/>
      <c r="AL168" s="1003">
        <f>IF(AJ168=0,0,(AK168-AJ168)/AJ168*100)</f>
        <v>0</v>
      </c>
      <c r="AM168" s="1445"/>
      <c r="AN168" s="1445"/>
      <c r="AO168" s="1003">
        <f>IF(AM168=0,0,(AN168-AM168)/AM168*100)</f>
        <v>0</v>
      </c>
      <c r="AP168" s="1445"/>
      <c r="AQ168" s="1445"/>
      <c r="AR168" s="1003">
        <f>IF(AP168=0,0,(AQ168-AP168)/AP168*100)</f>
        <v>0</v>
      </c>
      <c r="AS168" s="1445"/>
      <c r="AT168" s="1445"/>
      <c r="AU168" s="1003">
        <f>IF(AS168=0,0,(AT168-AS168)/AS168*100)</f>
        <v>0</v>
      </c>
      <c r="AV168" s="1445"/>
      <c r="AW168" s="1445"/>
      <c r="AX168" s="1003">
        <f>IF(AV168=0,0,(AW168-AV168)/AV168*100)</f>
        <v>0</v>
      </c>
      <c r="AY168" s="1445"/>
      <c r="AZ168" s="1445"/>
      <c r="BA168" s="1003">
        <f>IF(AY168=0,0,(AZ168-AY168)/AY168*100)</f>
        <v>0</v>
      </c>
      <c r="BB168" s="1445"/>
      <c r="BC168" s="1445"/>
      <c r="BD168" s="1003">
        <f>IF(BB168=0,0,(BC168-BB168)/BB168*100)</f>
        <v>0</v>
      </c>
      <c r="BE168" s="1445"/>
      <c r="BF168" s="1445"/>
      <c r="BG168" s="1003">
        <f>IF(BE168=0,0,(BF168-BE168)/BE168*100)</f>
        <v>0</v>
      </c>
      <c r="BH168" s="1445"/>
      <c r="BI168" s="1445"/>
      <c r="BJ168" s="1003">
        <f>IF(BH168=0,0,(BI168-BH168)/BH168*100)</f>
        <v>0</v>
      </c>
      <c r="BK168" s="1445"/>
      <c r="BL168" s="1445"/>
      <c r="BM168" s="1003">
        <f>IF(BK168=0,0,(BL168-BK168)/BK168*100)</f>
        <v>0</v>
      </c>
      <c r="BN168" s="1445"/>
      <c r="BO168" s="1445"/>
      <c r="BP168" s="1003">
        <f>IF(BN168=0,0,(BO168-BN168)/BN168*100)</f>
        <v>0</v>
      </c>
      <c r="BQ168" s="1445"/>
      <c r="BR168" s="1445"/>
      <c r="BS168" s="1003">
        <f>IF(BQ168=0,0,(BR168-BQ168)/BQ168*100)</f>
        <v>0</v>
      </c>
      <c r="BT168" s="1445"/>
      <c r="BU168" s="1445"/>
      <c r="BV168" s="1003">
        <f>IF(BT168=0,0,(BU168-BT168)/BT168*100)</f>
        <v>0</v>
      </c>
      <c r="BW168" s="1445"/>
      <c r="BX168" s="1445"/>
      <c r="BY168" s="1003">
        <f>IF(BW168=0,0,(BX168-BW168)/BW168*100)</f>
        <v>0</v>
      </c>
      <c r="BZ168" s="1445"/>
      <c r="CA168" s="1445"/>
      <c r="CB168" s="1003">
        <f>IF(BZ168=0,0,(CA168-BZ168)/BZ168*100)</f>
        <v>0</v>
      </c>
      <c r="CC168" s="1445"/>
      <c r="CD168" s="1445"/>
      <c r="CE168" s="1003">
        <f>IF(CC168=0,0,(CD168-CC168)/CC168*100)</f>
        <v>0</v>
      </c>
      <c r="CF168" s="1445"/>
      <c r="CG168" s="1445"/>
      <c r="CH168" s="1003">
        <f>IF(CF168=0,0,(CG168-CF168)/CF168*100)</f>
        <v>0</v>
      </c>
      <c r="CI168" s="1445"/>
      <c r="CJ168" s="1445"/>
      <c r="CK168" s="1003">
        <f>IF(CI168=0,0,(CJ168-CI168)/CI168*100)</f>
        <v>0</v>
      </c>
      <c r="CL168" s="1445"/>
      <c r="CM168" s="1445"/>
      <c r="CN168" s="1003">
        <f>IF(CL168=0,0,(CM168-CL168)/CL168*100)</f>
        <v>0</v>
      </c>
      <c r="CO168" s="1445"/>
      <c r="CP168" s="1445"/>
      <c r="CQ168" s="1003">
        <f>IF(CO168=0,0,(CP168-CO168)/CO168*100)</f>
        <v>0</v>
      </c>
      <c r="CR168" s="1445"/>
      <c r="CS168" s="1445"/>
      <c r="CT168" s="1003">
        <f>IF(CR168=0,0,(CS168-CR168)/CR168*100)</f>
        <v>0</v>
      </c>
      <c r="CU168" s="1445"/>
      <c r="CV168" s="1445"/>
      <c r="CW168" s="1003">
        <f>IF(CU168=0,0,(CV168-CU168)/CU168*100)</f>
        <v>0</v>
      </c>
      <c r="CX168" s="1445"/>
      <c r="CY168" s="1445"/>
      <c r="CZ168" s="1003">
        <f>IF(CX168=0,0,(CY168-CX168)/CX168*100)</f>
        <v>0</v>
      </c>
      <c r="DA168" s="1445"/>
      <c r="DB168" s="1445"/>
      <c r="DC168" s="1003">
        <f>IF(DA168=0,0,(DB168-DA168)/DA168*100)</f>
        <v>0</v>
      </c>
      <c r="DD168" s="1445"/>
      <c r="DE168" s="1445"/>
      <c r="DF168" s="1003">
        <f>IF(DD168=0,0,(DE168-DD168)/DD168*100)</f>
        <v>0</v>
      </c>
      <c r="DG168" s="1445"/>
      <c r="DH168" s="1445"/>
      <c r="DI168" s="1003">
        <f>IF(DG168=0,0,(DH168-DG168)/DG168*100)</f>
        <v>0</v>
      </c>
      <c r="DJ168" s="1445"/>
      <c r="DK168" s="1445"/>
      <c r="DL168" s="1003">
        <f>IF(DJ168=0,0,(DK168-DJ168)/DJ168*100)</f>
        <v>0</v>
      </c>
      <c r="DM168" s="1445"/>
      <c r="DN168" s="1445"/>
      <c r="DO168" s="1003">
        <f>IF(DM168=0,0,(DN168-DM168)/DM168*100)</f>
        <v>0</v>
      </c>
      <c r="DP168" s="1445"/>
      <c r="DQ168" s="1445"/>
      <c r="DR168" s="1003">
        <f>IF(DP168=0,0,(DQ168-DP168)/DP168*100)</f>
        <v>0</v>
      </c>
      <c r="DS168" s="1445"/>
      <c r="DT168" s="1445"/>
      <c r="DU168" s="1003">
        <f>IF(DS168=0,0,(DT168-DS168)/DS168*100)</f>
        <v>0</v>
      </c>
      <c r="DV168" s="1445"/>
      <c r="DW168" s="1445"/>
      <c r="DX168" s="1003">
        <f>IF(DV168=0,0,(DW168-DV168)/DV168*100)</f>
        <v>0</v>
      </c>
      <c r="DY168" s="1445"/>
      <c r="DZ168" s="1445"/>
      <c r="EA168" s="1003">
        <f>IF(DY168=0,0,(DZ168-DY168)/DY168*100)</f>
        <v>0</v>
      </c>
      <c r="EB168" s="1445"/>
      <c r="EC168" s="1445"/>
      <c r="ED168" s="1003">
        <f>IF(EB168=0,0,(EC168-EB168)/EB168*100)</f>
        <v>0</v>
      </c>
      <c r="EE168" s="1445"/>
      <c r="EF168" s="1445"/>
      <c r="EG168" s="1003">
        <f>IF(EE168=0,0,(EF168-EE168)/EE168*100)</f>
        <v>0</v>
      </c>
      <c r="EH168" s="1445"/>
      <c r="EI168" s="1445"/>
      <c r="EJ168" s="1003">
        <f>IF(EH168=0,0,(EI168-EH168)/EH168*100)</f>
        <v>0</v>
      </c>
      <c r="EK168" s="1445"/>
      <c r="EL168" s="1445"/>
      <c r="EM168" s="1003">
        <f>IF(EK168=0,0,(EL168-EK168)/EK168*100)</f>
        <v>0</v>
      </c>
      <c r="EN168" s="1445"/>
      <c r="EO168" s="1445"/>
      <c r="EP168" s="1003">
        <f>IF(EN168=0,0,(EO168-EN168)/EN168*100)</f>
        <v>0</v>
      </c>
      <c r="EQ168" s="1445"/>
      <c r="ER168" s="1445"/>
      <c r="ES168" s="1003">
        <f>IF(EQ168=0,0,(ER168-EQ168)/EQ168*100)</f>
        <v>0</v>
      </c>
      <c r="ET168" s="1445"/>
      <c r="EU168" s="1445"/>
      <c r="EV168" s="1003">
        <f>IF(ET168=0,0,(EU168-ET168)/ET168*100)</f>
        <v>0</v>
      </c>
      <c r="EW168" s="1445"/>
      <c r="EX168" s="1445"/>
      <c r="EY168" s="1003">
        <f>IF(EW168=0,0,(EX168-EW168)/EW168*100)</f>
        <v>0</v>
      </c>
      <c r="EZ168" s="1445"/>
      <c r="FA168" s="1445"/>
      <c r="FB168" s="1003">
        <f>IF(EZ168=0,0,(FA168-EZ168)/EZ168*100)</f>
        <v>0</v>
      </c>
      <c r="FC168" s="1445"/>
      <c r="FD168" s="1445"/>
      <c r="FE168" s="1003">
        <f>IF(FC168=0,0,(FD168-FC168)/FC168*100)</f>
        <v>0</v>
      </c>
      <c r="FF168" s="1445"/>
      <c r="FG168" s="1445"/>
      <c r="FH168" s="1003">
        <f>IF(FF168=0,0,(FG168-FF168)/FF168*100)</f>
        <v>0</v>
      </c>
      <c r="FI168" s="1445"/>
      <c r="FJ168" s="1445"/>
      <c r="FK168" s="1003">
        <f>IF(FI168=0,0,(FJ168-FI168)/FI168*100)</f>
        <v>0</v>
      </c>
      <c r="FL168" s="1445"/>
      <c r="FM168" s="1445"/>
      <c r="FN168" s="1003">
        <f>IF(FL168=0,0,(FM168-FL168)/FL168*100)</f>
        <v>0</v>
      </c>
      <c r="FO168" s="1445"/>
      <c r="FP168" s="1445"/>
      <c r="FQ168" s="1003">
        <f>IF(FO168=0,0,(FP168-FO168)/FO168*100)</f>
        <v>0</v>
      </c>
      <c r="FR168" s="1445"/>
      <c r="FS168" s="1445"/>
      <c r="FT168" s="1003">
        <f>IF(FR168=0,0,(FS168-FR168)/FR168*100)</f>
        <v>0</v>
      </c>
      <c r="FU168" s="1445"/>
      <c r="FV168" s="1445"/>
      <c r="FW168" s="1003">
        <f>IF(FU168=0,0,(FV168-FU168)/FU168*100)</f>
        <v>0</v>
      </c>
      <c r="FX168" s="1214"/>
      <c r="FY168" s="1214"/>
      <c r="FZ168" s="964" t="s">
        <v>1639</v>
      </c>
      <c r="GA168" s="1216"/>
      <c r="GB168" s="1216"/>
      <c r="GC168" s="1215"/>
      <c r="GD168" s="1215"/>
    </row>
    <row r="169" spans="1:186" s="1334" customFormat="1" ht="14.25" hidden="1" customHeight="1" x14ac:dyDescent="0.15">
      <c r="A169" s="416"/>
      <c r="B169" s="837" t="b" cm="1">
        <f t="array" ref="B169">B168</f>
        <v>0</v>
      </c>
      <c r="C169" s="416"/>
      <c r="D169" s="416"/>
      <c r="E169" s="759">
        <v>15</v>
      </c>
      <c r="F169" s="3" t="str" cm="1">
        <f t="array" aca="1" ref="F169" ca="1">OFFSET(E169,-1,1)</f>
        <v>2</v>
      </c>
      <c r="G169" s="416"/>
      <c r="H169" s="416" t="s">
        <v>1630</v>
      </c>
      <c r="I169" s="416" t="s">
        <v>1591</v>
      </c>
      <c r="J169" s="416"/>
      <c r="K169" s="416"/>
      <c r="L169" s="416"/>
      <c r="M169" s="416"/>
      <c r="N169" s="416"/>
      <c r="O169" s="416"/>
      <c r="P169" s="416"/>
      <c r="Q169" s="416"/>
      <c r="R169" s="416"/>
      <c r="S169" s="416"/>
      <c r="T169" s="388" t="b" cm="1">
        <f t="array" aca="1" ref="T169" ca="1">T168</f>
        <v>1</v>
      </c>
      <c r="U169" s="416"/>
      <c r="V169" s="416"/>
      <c r="W169" s="416"/>
      <c r="X169" s="2066"/>
      <c r="Y169" s="416"/>
      <c r="Z169" s="2011"/>
      <c r="AA169" s="416"/>
      <c r="AB169" s="1001" t="s">
        <v>1631</v>
      </c>
      <c r="AC169" s="783" t="s">
        <v>1632</v>
      </c>
      <c r="AD169" s="1445"/>
      <c r="AE169" s="1445"/>
      <c r="AF169" s="1003">
        <f>IF(AD169=0,0,(AE169-AD169)/AD169*100)</f>
        <v>0</v>
      </c>
      <c r="AG169" s="1445"/>
      <c r="AH169" s="1445"/>
      <c r="AI169" s="1003">
        <f>IF(AG169=0,0,(AH169-AG169)/AG169*100)</f>
        <v>0</v>
      </c>
      <c r="AJ169" s="1445"/>
      <c r="AK169" s="1445"/>
      <c r="AL169" s="1003">
        <f>IF(AJ169=0,0,(AK169-AJ169)/AJ169*100)</f>
        <v>0</v>
      </c>
      <c r="AM169" s="1445"/>
      <c r="AN169" s="1445"/>
      <c r="AO169" s="1003">
        <f>IF(AM169=0,0,(AN169-AM169)/AM169*100)</f>
        <v>0</v>
      </c>
      <c r="AP169" s="1445"/>
      <c r="AQ169" s="1445"/>
      <c r="AR169" s="1003">
        <f>IF(AP169=0,0,(AQ169-AP169)/AP169*100)</f>
        <v>0</v>
      </c>
      <c r="AS169" s="1445"/>
      <c r="AT169" s="1445"/>
      <c r="AU169" s="1003">
        <f>IF(AS169=0,0,(AT169-AS169)/AS169*100)</f>
        <v>0</v>
      </c>
      <c r="AV169" s="1445"/>
      <c r="AW169" s="1445"/>
      <c r="AX169" s="1003">
        <f>IF(AV169=0,0,(AW169-AV169)/AV169*100)</f>
        <v>0</v>
      </c>
      <c r="AY169" s="1445"/>
      <c r="AZ169" s="1445"/>
      <c r="BA169" s="1003">
        <f>IF(AY169=0,0,(AZ169-AY169)/AY169*100)</f>
        <v>0</v>
      </c>
      <c r="BB169" s="1445"/>
      <c r="BC169" s="1445"/>
      <c r="BD169" s="1003">
        <f>IF(BB169=0,0,(BC169-BB169)/BB169*100)</f>
        <v>0</v>
      </c>
      <c r="BE169" s="1445"/>
      <c r="BF169" s="1445"/>
      <c r="BG169" s="1003">
        <f>IF(BE169=0,0,(BF169-BE169)/BE169*100)</f>
        <v>0</v>
      </c>
      <c r="BH169" s="1445"/>
      <c r="BI169" s="1445"/>
      <c r="BJ169" s="1003">
        <f>IF(BH169=0,0,(BI169-BH169)/BH169*100)</f>
        <v>0</v>
      </c>
      <c r="BK169" s="1445"/>
      <c r="BL169" s="1445"/>
      <c r="BM169" s="1003">
        <f>IF(BK169=0,0,(BL169-BK169)/BK169*100)</f>
        <v>0</v>
      </c>
      <c r="BN169" s="1445"/>
      <c r="BO169" s="1445"/>
      <c r="BP169" s="1003">
        <f>IF(BN169=0,0,(BO169-BN169)/BN169*100)</f>
        <v>0</v>
      </c>
      <c r="BQ169" s="1445"/>
      <c r="BR169" s="1445"/>
      <c r="BS169" s="1003">
        <f>IF(BQ169=0,0,(BR169-BQ169)/BQ169*100)</f>
        <v>0</v>
      </c>
      <c r="BT169" s="1445"/>
      <c r="BU169" s="1445"/>
      <c r="BV169" s="1003">
        <f>IF(BT169=0,0,(BU169-BT169)/BT169*100)</f>
        <v>0</v>
      </c>
      <c r="BW169" s="1445"/>
      <c r="BX169" s="1445"/>
      <c r="BY169" s="1003">
        <f>IF(BW169=0,0,(BX169-BW169)/BW169*100)</f>
        <v>0</v>
      </c>
      <c r="BZ169" s="1445"/>
      <c r="CA169" s="1445"/>
      <c r="CB169" s="1003">
        <f>IF(BZ169=0,0,(CA169-BZ169)/BZ169*100)</f>
        <v>0</v>
      </c>
      <c r="CC169" s="1445"/>
      <c r="CD169" s="1445"/>
      <c r="CE169" s="1003">
        <f>IF(CC169=0,0,(CD169-CC169)/CC169*100)</f>
        <v>0</v>
      </c>
      <c r="CF169" s="1445"/>
      <c r="CG169" s="1445"/>
      <c r="CH169" s="1003">
        <f>IF(CF169=0,0,(CG169-CF169)/CF169*100)</f>
        <v>0</v>
      </c>
      <c r="CI169" s="1445"/>
      <c r="CJ169" s="1445"/>
      <c r="CK169" s="1003">
        <f>IF(CI169=0,0,(CJ169-CI169)/CI169*100)</f>
        <v>0</v>
      </c>
      <c r="CL169" s="1445"/>
      <c r="CM169" s="1445"/>
      <c r="CN169" s="1003">
        <f>IF(CL169=0,0,(CM169-CL169)/CL169*100)</f>
        <v>0</v>
      </c>
      <c r="CO169" s="1445"/>
      <c r="CP169" s="1445"/>
      <c r="CQ169" s="1003">
        <f>IF(CO169=0,0,(CP169-CO169)/CO169*100)</f>
        <v>0</v>
      </c>
      <c r="CR169" s="1445"/>
      <c r="CS169" s="1445"/>
      <c r="CT169" s="1003">
        <f>IF(CR169=0,0,(CS169-CR169)/CR169*100)</f>
        <v>0</v>
      </c>
      <c r="CU169" s="1445"/>
      <c r="CV169" s="1445"/>
      <c r="CW169" s="1003">
        <f>IF(CU169=0,0,(CV169-CU169)/CU169*100)</f>
        <v>0</v>
      </c>
      <c r="CX169" s="1445"/>
      <c r="CY169" s="1445"/>
      <c r="CZ169" s="1003">
        <f>IF(CX169=0,0,(CY169-CX169)/CX169*100)</f>
        <v>0</v>
      </c>
      <c r="DA169" s="1445"/>
      <c r="DB169" s="1445"/>
      <c r="DC169" s="1003">
        <f>IF(DA169=0,0,(DB169-DA169)/DA169*100)</f>
        <v>0</v>
      </c>
      <c r="DD169" s="1445"/>
      <c r="DE169" s="1445"/>
      <c r="DF169" s="1003">
        <f>IF(DD169=0,0,(DE169-DD169)/DD169*100)</f>
        <v>0</v>
      </c>
      <c r="DG169" s="1445"/>
      <c r="DH169" s="1445"/>
      <c r="DI169" s="1003">
        <f>IF(DG169=0,0,(DH169-DG169)/DG169*100)</f>
        <v>0</v>
      </c>
      <c r="DJ169" s="1445"/>
      <c r="DK169" s="1445"/>
      <c r="DL169" s="1003">
        <f>IF(DJ169=0,0,(DK169-DJ169)/DJ169*100)</f>
        <v>0</v>
      </c>
      <c r="DM169" s="1445"/>
      <c r="DN169" s="1445"/>
      <c r="DO169" s="1003">
        <f>IF(DM169=0,0,(DN169-DM169)/DM169*100)</f>
        <v>0</v>
      </c>
      <c r="DP169" s="1445"/>
      <c r="DQ169" s="1445"/>
      <c r="DR169" s="1003">
        <f>IF(DP169=0,0,(DQ169-DP169)/DP169*100)</f>
        <v>0</v>
      </c>
      <c r="DS169" s="1445"/>
      <c r="DT169" s="1445"/>
      <c r="DU169" s="1003">
        <f>IF(DS169=0,0,(DT169-DS169)/DS169*100)</f>
        <v>0</v>
      </c>
      <c r="DV169" s="1445"/>
      <c r="DW169" s="1445"/>
      <c r="DX169" s="1003">
        <f>IF(DV169=0,0,(DW169-DV169)/DV169*100)</f>
        <v>0</v>
      </c>
      <c r="DY169" s="1445"/>
      <c r="DZ169" s="1445"/>
      <c r="EA169" s="1003">
        <f>IF(DY169=0,0,(DZ169-DY169)/DY169*100)</f>
        <v>0</v>
      </c>
      <c r="EB169" s="1445"/>
      <c r="EC169" s="1445"/>
      <c r="ED169" s="1003">
        <f>IF(EB169=0,0,(EC169-EB169)/EB169*100)</f>
        <v>0</v>
      </c>
      <c r="EE169" s="1445"/>
      <c r="EF169" s="1445"/>
      <c r="EG169" s="1003">
        <f>IF(EE169=0,0,(EF169-EE169)/EE169*100)</f>
        <v>0</v>
      </c>
      <c r="EH169" s="1445"/>
      <c r="EI169" s="1445"/>
      <c r="EJ169" s="1003">
        <f>IF(EH169=0,0,(EI169-EH169)/EH169*100)</f>
        <v>0</v>
      </c>
      <c r="EK169" s="1445"/>
      <c r="EL169" s="1445"/>
      <c r="EM169" s="1003">
        <f>IF(EK169=0,0,(EL169-EK169)/EK169*100)</f>
        <v>0</v>
      </c>
      <c r="EN169" s="1445"/>
      <c r="EO169" s="1445"/>
      <c r="EP169" s="1003">
        <f>IF(EN169=0,0,(EO169-EN169)/EN169*100)</f>
        <v>0</v>
      </c>
      <c r="EQ169" s="1445"/>
      <c r="ER169" s="1445"/>
      <c r="ES169" s="1003">
        <f>IF(EQ169=0,0,(ER169-EQ169)/EQ169*100)</f>
        <v>0</v>
      </c>
      <c r="ET169" s="1445"/>
      <c r="EU169" s="1445"/>
      <c r="EV169" s="1003">
        <f>IF(ET169=0,0,(EU169-ET169)/ET169*100)</f>
        <v>0</v>
      </c>
      <c r="EW169" s="1445"/>
      <c r="EX169" s="1445"/>
      <c r="EY169" s="1003">
        <f>IF(EW169=0,0,(EX169-EW169)/EW169*100)</f>
        <v>0</v>
      </c>
      <c r="EZ169" s="1445"/>
      <c r="FA169" s="1445"/>
      <c r="FB169" s="1003">
        <f>IF(EZ169=0,0,(FA169-EZ169)/EZ169*100)</f>
        <v>0</v>
      </c>
      <c r="FC169" s="1445"/>
      <c r="FD169" s="1445"/>
      <c r="FE169" s="1003">
        <f>IF(FC169=0,0,(FD169-FC169)/FC169*100)</f>
        <v>0</v>
      </c>
      <c r="FF169" s="1445"/>
      <c r="FG169" s="1445"/>
      <c r="FH169" s="1003">
        <f>IF(FF169=0,0,(FG169-FF169)/FF169*100)</f>
        <v>0</v>
      </c>
      <c r="FI169" s="1445"/>
      <c r="FJ169" s="1445"/>
      <c r="FK169" s="1003">
        <f>IF(FI169=0,0,(FJ169-FI169)/FI169*100)</f>
        <v>0</v>
      </c>
      <c r="FL169" s="1445"/>
      <c r="FM169" s="1445"/>
      <c r="FN169" s="1003">
        <f>IF(FL169=0,0,(FM169-FL169)/FL169*100)</f>
        <v>0</v>
      </c>
      <c r="FO169" s="1445"/>
      <c r="FP169" s="1445"/>
      <c r="FQ169" s="1003">
        <f>IF(FO169=0,0,(FP169-FO169)/FO169*100)</f>
        <v>0</v>
      </c>
      <c r="FR169" s="1445"/>
      <c r="FS169" s="1445"/>
      <c r="FT169" s="1003">
        <f>IF(FR169=0,0,(FS169-FR169)/FR169*100)</f>
        <v>0</v>
      </c>
      <c r="FU169" s="1445"/>
      <c r="FV169" s="1445"/>
      <c r="FW169" s="1003">
        <f>IF(FU169=0,0,(FV169-FU169)/FU169*100)</f>
        <v>0</v>
      </c>
      <c r="FX169" s="1214"/>
      <c r="FY169" s="1214"/>
      <c r="FZ169" s="964" t="s">
        <v>1640</v>
      </c>
      <c r="GA169" s="1216"/>
      <c r="GB169" s="1216"/>
      <c r="GC169" s="1215"/>
      <c r="GD169" s="1215"/>
    </row>
    <row r="170" spans="1:186" s="1334" customFormat="1" ht="23.25" hidden="1" customHeight="1" x14ac:dyDescent="0.15">
      <c r="A170" s="416"/>
      <c r="B170" s="837" t="b" cm="1">
        <f t="array" ref="B170">B169</f>
        <v>0</v>
      </c>
      <c r="C170" s="416"/>
      <c r="D170" s="416"/>
      <c r="E170" s="759">
        <v>24.5</v>
      </c>
      <c r="F170" s="3" t="str" cm="1">
        <f t="array" aca="1" ref="F170" ca="1">OFFSET(E170,-1,1)</f>
        <v>2</v>
      </c>
      <c r="G170" s="416"/>
      <c r="H170" s="416"/>
      <c r="I170" s="416"/>
      <c r="J170" s="416"/>
      <c r="K170" s="416"/>
      <c r="L170" s="416"/>
      <c r="M170" s="416"/>
      <c r="N170" s="416"/>
      <c r="O170" s="416"/>
      <c r="P170" s="416"/>
      <c r="Q170" s="416"/>
      <c r="R170" s="416"/>
      <c r="S170" s="416"/>
      <c r="T170" s="388" t="b" cm="1">
        <f t="array" aca="1" ref="T170" ca="1">T169</f>
        <v>1</v>
      </c>
      <c r="U170" s="416"/>
      <c r="V170" s="416"/>
      <c r="W170" s="416"/>
      <c r="X170" s="2066"/>
      <c r="Y170" s="416"/>
      <c r="Z170" s="2011"/>
      <c r="AA170" s="416"/>
      <c r="AB170" s="211" t="s">
        <v>1641</v>
      </c>
      <c r="AC170" s="817"/>
      <c r="AD170" s="1010"/>
      <c r="AE170" s="1010"/>
      <c r="AF170" s="1010"/>
      <c r="AG170" s="1010"/>
      <c r="AH170" s="1010"/>
      <c r="AI170" s="1010"/>
      <c r="AJ170" s="1010"/>
      <c r="AK170" s="1010"/>
      <c r="AL170" s="1010"/>
      <c r="AM170" s="1010"/>
      <c r="AN170" s="1010"/>
      <c r="AO170" s="1010"/>
      <c r="AP170" s="1010"/>
      <c r="AQ170" s="1010"/>
      <c r="AR170" s="1010"/>
      <c r="AS170" s="1010"/>
      <c r="AT170" s="1010"/>
      <c r="AU170" s="1010"/>
      <c r="AV170" s="1010"/>
      <c r="AW170" s="1010"/>
      <c r="AX170" s="1010"/>
      <c r="AY170" s="1010"/>
      <c r="AZ170" s="1010"/>
      <c r="BA170" s="1010"/>
      <c r="BB170" s="1010"/>
      <c r="BC170" s="1010"/>
      <c r="BD170" s="1010"/>
      <c r="BE170" s="1010"/>
      <c r="BF170" s="1010"/>
      <c r="BG170" s="1010"/>
      <c r="BH170" s="1010"/>
      <c r="BI170" s="1010"/>
      <c r="BJ170" s="1010"/>
      <c r="BK170" s="1010"/>
      <c r="BL170" s="1010"/>
      <c r="BM170" s="1010"/>
      <c r="BN170" s="1010"/>
      <c r="BO170" s="1010"/>
      <c r="BP170" s="1010"/>
      <c r="BQ170" s="1010"/>
      <c r="BR170" s="1010"/>
      <c r="BS170" s="1010"/>
      <c r="BT170" s="1010"/>
      <c r="BU170" s="1010"/>
      <c r="BV170" s="1010"/>
      <c r="BW170" s="1010"/>
      <c r="BX170" s="1010"/>
      <c r="BY170" s="1010"/>
      <c r="BZ170" s="1010"/>
      <c r="CA170" s="1010"/>
      <c r="CB170" s="1010"/>
      <c r="CC170" s="1010"/>
      <c r="CD170" s="1010"/>
      <c r="CE170" s="1010"/>
      <c r="CF170" s="1010"/>
      <c r="CG170" s="1010"/>
      <c r="CH170" s="1010"/>
      <c r="CI170" s="1010"/>
      <c r="CJ170" s="1010"/>
      <c r="CK170" s="1010"/>
      <c r="CL170" s="1010"/>
      <c r="CM170" s="1010"/>
      <c r="CN170" s="1010"/>
      <c r="CO170" s="1010"/>
      <c r="CP170" s="1010"/>
      <c r="CQ170" s="1010"/>
      <c r="CR170" s="1010"/>
      <c r="CS170" s="1010"/>
      <c r="CT170" s="1010"/>
      <c r="CU170" s="1010"/>
      <c r="CV170" s="1010"/>
      <c r="CW170" s="1010"/>
      <c r="CX170" s="1010"/>
      <c r="CY170" s="1010"/>
      <c r="CZ170" s="1010"/>
      <c r="DA170" s="1010"/>
      <c r="DB170" s="1010"/>
      <c r="DC170" s="1010"/>
      <c r="DD170" s="1010"/>
      <c r="DE170" s="1010"/>
      <c r="DF170" s="1010"/>
      <c r="DG170" s="1010"/>
      <c r="DH170" s="1010"/>
      <c r="DI170" s="1010"/>
      <c r="DJ170" s="1010"/>
      <c r="DK170" s="1010"/>
      <c r="DL170" s="1010"/>
      <c r="DM170" s="1010"/>
      <c r="DN170" s="1010"/>
      <c r="DO170" s="1010"/>
      <c r="DP170" s="1010"/>
      <c r="DQ170" s="1010"/>
      <c r="DR170" s="1010"/>
      <c r="DS170" s="1010"/>
      <c r="DT170" s="1010"/>
      <c r="DU170" s="1010"/>
      <c r="DV170" s="1010"/>
      <c r="DW170" s="1010"/>
      <c r="DX170" s="1010"/>
      <c r="DY170" s="1010"/>
      <c r="DZ170" s="1010"/>
      <c r="EA170" s="1010"/>
      <c r="EB170" s="1010"/>
      <c r="EC170" s="1010"/>
      <c r="ED170" s="1010"/>
      <c r="EE170" s="1010"/>
      <c r="EF170" s="1010"/>
      <c r="EG170" s="1010"/>
      <c r="EH170" s="1010"/>
      <c r="EI170" s="1010"/>
      <c r="EJ170" s="1010"/>
      <c r="EK170" s="1010"/>
      <c r="EL170" s="1010"/>
      <c r="EM170" s="1010"/>
      <c r="EN170" s="1010"/>
      <c r="EO170" s="1010"/>
      <c r="EP170" s="1010"/>
      <c r="EQ170" s="1010"/>
      <c r="ER170" s="1010"/>
      <c r="ES170" s="1010"/>
      <c r="ET170" s="1010"/>
      <c r="EU170" s="1010"/>
      <c r="EV170" s="1010"/>
      <c r="EW170" s="1010"/>
      <c r="EX170" s="1010"/>
      <c r="EY170" s="1010"/>
      <c r="EZ170" s="1010"/>
      <c r="FA170" s="1010"/>
      <c r="FB170" s="1010"/>
      <c r="FC170" s="1010"/>
      <c r="FD170" s="1010"/>
      <c r="FE170" s="1010"/>
      <c r="FF170" s="1010"/>
      <c r="FG170" s="1010"/>
      <c r="FH170" s="1010"/>
      <c r="FI170" s="1010"/>
      <c r="FJ170" s="1010"/>
      <c r="FK170" s="1010"/>
      <c r="FL170" s="1010"/>
      <c r="FM170" s="1010"/>
      <c r="FN170" s="1010"/>
      <c r="FO170" s="1010"/>
      <c r="FP170" s="1010"/>
      <c r="FQ170" s="1010"/>
      <c r="FR170" s="1010"/>
      <c r="FS170" s="1010"/>
      <c r="FT170" s="1010"/>
      <c r="FU170" s="1010"/>
      <c r="FV170" s="1010"/>
      <c r="FW170" s="1011"/>
      <c r="FX170" s="1214"/>
      <c r="FY170" s="1214"/>
      <c r="FZ170" s="964"/>
      <c r="GA170" s="1216"/>
      <c r="GB170" s="1216"/>
      <c r="GC170" s="1215"/>
      <c r="GD170" s="1215"/>
    </row>
    <row r="171" spans="1:186" s="1334" customFormat="1" ht="14.25" hidden="1" customHeight="1" x14ac:dyDescent="0.15">
      <c r="A171" s="416"/>
      <c r="B171" s="837" t="b" cm="1">
        <f t="array" ref="B171">B170</f>
        <v>0</v>
      </c>
      <c r="C171" s="416"/>
      <c r="D171" s="416"/>
      <c r="E171" s="759">
        <v>15</v>
      </c>
      <c r="F171" s="3" t="str" cm="1">
        <f t="array" aca="1" ref="F171" ca="1">OFFSET(E171,-1,1)</f>
        <v>2</v>
      </c>
      <c r="G171" s="416"/>
      <c r="H171" s="416" t="s">
        <v>1529</v>
      </c>
      <c r="I171" s="416" t="s">
        <v>1601</v>
      </c>
      <c r="J171" s="416"/>
      <c r="K171" s="416"/>
      <c r="L171" s="416"/>
      <c r="M171" s="416"/>
      <c r="N171" s="416"/>
      <c r="O171" s="416"/>
      <c r="P171" s="416"/>
      <c r="Q171" s="416"/>
      <c r="R171" s="416"/>
      <c r="S171" s="416"/>
      <c r="T171" s="388" t="b" cm="1">
        <f t="array" aca="1" ref="T171" ca="1">T170</f>
        <v>1</v>
      </c>
      <c r="U171" s="416"/>
      <c r="V171" s="416"/>
      <c r="W171" s="416"/>
      <c r="X171" s="2066"/>
      <c r="Y171" s="416"/>
      <c r="Z171" s="2011"/>
      <c r="AA171" s="416"/>
      <c r="AB171" s="1001" t="s">
        <v>1621</v>
      </c>
      <c r="AC171" s="783" t="s">
        <v>1588</v>
      </c>
      <c r="AD171" s="1445">
        <f ca="1">IF(AD173=0,0,(AD172*AD173+AD174*AD175*IF(god=2026,9,6))/AD173)</f>
        <v>0</v>
      </c>
      <c r="AE171" s="1445">
        <f ca="1">IF(AE173=0,0,(AE172*AE173+AE174*AE175*IF(god=2026,9,6))/AE173)</f>
        <v>0</v>
      </c>
      <c r="AF171" s="1003">
        <f ca="1">IF(AD171=0,0,(AE171-AD171)/AD171*100)</f>
        <v>0</v>
      </c>
      <c r="AG171" s="1445">
        <f ca="1">IF(AG173=0,0,(AG172*AG173+AG174*AG175*IF(god=2025,9,6))/AG173)</f>
        <v>0</v>
      </c>
      <c r="AH171" s="1445">
        <f ca="1">IF(AH173=0,0,(AH172*AH173+AH174*AH175*IF(god=2025,9,6))/AH173)</f>
        <v>0</v>
      </c>
      <c r="AI171" s="1003">
        <f ca="1">IF(AG171=0,0,(AH171-AG171)/AG171*100)</f>
        <v>0</v>
      </c>
      <c r="AJ171" s="1445">
        <f ca="1">IF(AJ173=0,0,(AJ172*AJ173+AJ174*AJ175*6)/AJ173)</f>
        <v>0</v>
      </c>
      <c r="AK171" s="1445">
        <f ca="1">IF(AK173=0,0,(AK172*AK173+AK174*AK175*6)/AK173)</f>
        <v>0</v>
      </c>
      <c r="AL171" s="1003">
        <f ca="1">IF(AJ171=0,0,(AK171-AJ171)/AJ171*100)</f>
        <v>0</v>
      </c>
      <c r="AM171" s="1445">
        <f ca="1">IF(AM173=0,0,(AM172*AM173+AM174*AM175*6)/AM173)</f>
        <v>0</v>
      </c>
      <c r="AN171" s="1445">
        <f ca="1">IF(AN173=0,0,(AN172*AN173+AN174*AN175*6)/AN173)</f>
        <v>0</v>
      </c>
      <c r="AO171" s="1003">
        <f ca="1">IF(AM171=0,0,(AN171-AM171)/AM171*100)</f>
        <v>0</v>
      </c>
      <c r="AP171" s="1445">
        <f ca="1">IF(AP173=0,0,(AP172*AP173+AP174*AP175*6)/AP173)</f>
        <v>0</v>
      </c>
      <c r="AQ171" s="1445">
        <f ca="1">IF(AQ173=0,0,(AQ172*AQ173+AQ174*AQ175*6)/AQ173)</f>
        <v>0</v>
      </c>
      <c r="AR171" s="1003">
        <f ca="1">IF(AP171=0,0,(AQ171-AP171)/AP171*100)</f>
        <v>0</v>
      </c>
      <c r="AS171" s="1445">
        <f ca="1">IF(AS173=0,0,(AS172*AS173+AS174*AS175*6)/AS173)</f>
        <v>0</v>
      </c>
      <c r="AT171" s="1445">
        <f ca="1">IF(AT173=0,0,(AT172*AT173+AT174*AT175*6)/AT173)</f>
        <v>0</v>
      </c>
      <c r="AU171" s="1003">
        <f ca="1">IF(AS171=0,0,(AT171-AS171)/AS171*100)</f>
        <v>0</v>
      </c>
      <c r="AV171" s="1445">
        <f ca="1">IF(AV173=0,0,(AV172*AV173+AV174*AV175*6)/AV173)</f>
        <v>0</v>
      </c>
      <c r="AW171" s="1445">
        <f ca="1">IF(AW173=0,0,(AW172*AW173+AW174*AW175*6)/AW173)</f>
        <v>0</v>
      </c>
      <c r="AX171" s="1003">
        <f ca="1">IF(AV171=0,0,(AW171-AV171)/AV171*100)</f>
        <v>0</v>
      </c>
      <c r="AY171" s="1445">
        <f ca="1">IF(AY173=0,0,(AY172*AY173+AY174*AY175*6)/AY173)</f>
        <v>0</v>
      </c>
      <c r="AZ171" s="1445">
        <f ca="1">IF(AZ173=0,0,(AZ172*AZ173+AZ174*AZ175*6)/AZ173)</f>
        <v>0</v>
      </c>
      <c r="BA171" s="1003">
        <f ca="1">IF(AY171=0,0,(AZ171-AY171)/AY171*100)</f>
        <v>0</v>
      </c>
      <c r="BB171" s="1445">
        <f ca="1">IF(BB173=0,0,(BB172*BB173+BB174*BB175*6)/BB173)</f>
        <v>0</v>
      </c>
      <c r="BC171" s="1445">
        <f ca="1">IF(BC173=0,0,(BC172*BC173+BC174*BC175*6)/BC173)</f>
        <v>0</v>
      </c>
      <c r="BD171" s="1003">
        <f ca="1">IF(BB171=0,0,(BC171-BB171)/BB171*100)</f>
        <v>0</v>
      </c>
      <c r="BE171" s="1445">
        <f ca="1">IF(BE173=0,0,(BE172*BE173+BE174*BE175*6)/BE173)</f>
        <v>0</v>
      </c>
      <c r="BF171" s="1445">
        <f ca="1">IF(BF173=0,0,(BF172*BF173+BF174*BF175*6)/BF173)</f>
        <v>0</v>
      </c>
      <c r="BG171" s="1003">
        <f ca="1">IF(BE171=0,0,(BF171-BE171)/BE171*100)</f>
        <v>0</v>
      </c>
      <c r="BH171" s="1445">
        <f>IF(BH173=0,0,(BH172*BH173+BH174*BH175*6)/BH173)</f>
        <v>0</v>
      </c>
      <c r="BI171" s="1445">
        <f>IF(BI173=0,0,(BI172*BI173+BI174*BI175*6)/BI173)</f>
        <v>0</v>
      </c>
      <c r="BJ171" s="1003">
        <f>IF(BH171=0,0,(BI171-BH171)/BH171*100)</f>
        <v>0</v>
      </c>
      <c r="BK171" s="1445">
        <f>IF(BK173=0,0,(BK172*BK173+BK174*BK175*6)/BK173)</f>
        <v>0</v>
      </c>
      <c r="BL171" s="1445">
        <f>IF(BL173=0,0,(BL172*BL173+BL174*BL175*6)/BL173)</f>
        <v>0</v>
      </c>
      <c r="BM171" s="1003">
        <f>IF(BK171=0,0,(BL171-BK171)/BK171*100)</f>
        <v>0</v>
      </c>
      <c r="BN171" s="1445">
        <f>IF(BN173=0,0,(BN172*BN173+BN174*BN175*6)/BN173)</f>
        <v>0</v>
      </c>
      <c r="BO171" s="1445">
        <f>IF(BO173=0,0,(BO172*BO173+BO174*BO175*6)/BO173)</f>
        <v>0</v>
      </c>
      <c r="BP171" s="1003">
        <f>IF(BN171=0,0,(BO171-BN171)/BN171*100)</f>
        <v>0</v>
      </c>
      <c r="BQ171" s="1445">
        <f>IF(BQ173=0,0,(BQ172*BQ173+BQ174*BQ175*6)/BQ173)</f>
        <v>0</v>
      </c>
      <c r="BR171" s="1445">
        <f>IF(BR173=0,0,(BR172*BR173+BR174*BR175*6)/BR173)</f>
        <v>0</v>
      </c>
      <c r="BS171" s="1003">
        <f>IF(BQ171=0,0,(BR171-BQ171)/BQ171*100)</f>
        <v>0</v>
      </c>
      <c r="BT171" s="1445">
        <f>IF(BT173=0,0,(BT172*BT173+BT174*BT175*6)/BT173)</f>
        <v>0</v>
      </c>
      <c r="BU171" s="1445">
        <f>IF(BU173=0,0,(BU172*BU173+BU174*BU175*6)/BU173)</f>
        <v>0</v>
      </c>
      <c r="BV171" s="1003">
        <f>IF(BT171=0,0,(BU171-BT171)/BT171*100)</f>
        <v>0</v>
      </c>
      <c r="BW171" s="1445">
        <f>IF(BW173=0,0,(BW172*BW173+BW174*BW175*6)/BW173)</f>
        <v>0</v>
      </c>
      <c r="BX171" s="1445">
        <f>IF(BX173=0,0,(BX172*BX173+BX174*BX175*6)/BX173)</f>
        <v>0</v>
      </c>
      <c r="BY171" s="1003">
        <f>IF(BW171=0,0,(BX171-BW171)/BW171*100)</f>
        <v>0</v>
      </c>
      <c r="BZ171" s="1445">
        <f>IF(BZ173=0,0,(BZ172*BZ173+BZ174*BZ175*6)/BZ173)</f>
        <v>0</v>
      </c>
      <c r="CA171" s="1445">
        <f>IF(CA173=0,0,(CA172*CA173+CA174*CA175*6)/CA173)</f>
        <v>0</v>
      </c>
      <c r="CB171" s="1003">
        <f>IF(BZ171=0,0,(CA171-BZ171)/BZ171*100)</f>
        <v>0</v>
      </c>
      <c r="CC171" s="1445">
        <f>IF(CC173=0,0,(CC172*CC173+CC174*CC175*6)/CC173)</f>
        <v>0</v>
      </c>
      <c r="CD171" s="1445">
        <f>IF(CD173=0,0,(CD172*CD173+CD174*CD175*6)/CD173)</f>
        <v>0</v>
      </c>
      <c r="CE171" s="1003">
        <f>IF(CC171=0,0,(CD171-CC171)/CC171*100)</f>
        <v>0</v>
      </c>
      <c r="CF171" s="1445">
        <f>IF(CF173=0,0,(CF172*CF173+CF174*CF175*6)/CF173)</f>
        <v>0</v>
      </c>
      <c r="CG171" s="1445">
        <f>IF(CG173=0,0,(CG172*CG173+CG174*CG175*6)/CG173)</f>
        <v>0</v>
      </c>
      <c r="CH171" s="1003">
        <f>IF(CF171=0,0,(CG171-CF171)/CF171*100)</f>
        <v>0</v>
      </c>
      <c r="CI171" s="1445">
        <f>IF(CI173=0,0,(CI172*CI173+CI174*CI175*6)/CI173)</f>
        <v>0</v>
      </c>
      <c r="CJ171" s="1445">
        <f>IF(CJ173=0,0,(CJ172*CJ173+CJ174*CJ175*6)/CJ173)</f>
        <v>0</v>
      </c>
      <c r="CK171" s="1003">
        <f>IF(CI171=0,0,(CJ171-CI171)/CI171*100)</f>
        <v>0</v>
      </c>
      <c r="CL171" s="1445">
        <f>IF(CL173=0,0,(CL172*CL173+CL174*CL175*6)/CL173)</f>
        <v>0</v>
      </c>
      <c r="CM171" s="1445">
        <f>IF(CM173=0,0,(CM172*CM173+CM174*CM175*6)/CM173)</f>
        <v>0</v>
      </c>
      <c r="CN171" s="1003">
        <f>IF(CL171=0,0,(CM171-CL171)/CL171*100)</f>
        <v>0</v>
      </c>
      <c r="CO171" s="1445">
        <f>IF(CO173=0,0,(CO172*CO173+CO174*CO175*6)/CO173)</f>
        <v>0</v>
      </c>
      <c r="CP171" s="1445">
        <f>IF(CP173=0,0,(CP172*CP173+CP174*CP175*6)/CP173)</f>
        <v>0</v>
      </c>
      <c r="CQ171" s="1003">
        <f>IF(CO171=0,0,(CP171-CO171)/CO171*100)</f>
        <v>0</v>
      </c>
      <c r="CR171" s="1445">
        <f>IF(CR173=0,0,(CR172*CR173+CR174*CR175*6)/CR173)</f>
        <v>0</v>
      </c>
      <c r="CS171" s="1445">
        <f>IF(CS173=0,0,(CS172*CS173+CS174*CS175*6)/CS173)</f>
        <v>0</v>
      </c>
      <c r="CT171" s="1003">
        <f>IF(CR171=0,0,(CS171-CR171)/CR171*100)</f>
        <v>0</v>
      </c>
      <c r="CU171" s="1445">
        <f>IF(CU173=0,0,(CU172*CU173+CU174*CU175*6)/CU173)</f>
        <v>0</v>
      </c>
      <c r="CV171" s="1445">
        <f>IF(CV173=0,0,(CV172*CV173+CV174*CV175*6)/CV173)</f>
        <v>0</v>
      </c>
      <c r="CW171" s="1003">
        <f>IF(CU171=0,0,(CV171-CU171)/CU171*100)</f>
        <v>0</v>
      </c>
      <c r="CX171" s="1445">
        <f>IF(CX173=0,0,(CX172*CX173+CX174*CX175*6)/CX173)</f>
        <v>0</v>
      </c>
      <c r="CY171" s="1445">
        <f>IF(CY173=0,0,(CY172*CY173+CY174*CY175*6)/CY173)</f>
        <v>0</v>
      </c>
      <c r="CZ171" s="1003">
        <f>IF(CX171=0,0,(CY171-CX171)/CX171*100)</f>
        <v>0</v>
      </c>
      <c r="DA171" s="1445">
        <f>IF(DA173=0,0,(DA172*DA173+DA174*DA175*6)/DA173)</f>
        <v>0</v>
      </c>
      <c r="DB171" s="1445">
        <f>IF(DB173=0,0,(DB172*DB173+DB174*DB175*6)/DB173)</f>
        <v>0</v>
      </c>
      <c r="DC171" s="1003">
        <f>IF(DA171=0,0,(DB171-DA171)/DA171*100)</f>
        <v>0</v>
      </c>
      <c r="DD171" s="1445">
        <f>IF(DD173=0,0,(DD172*DD173+DD174*DD175*6)/DD173)</f>
        <v>0</v>
      </c>
      <c r="DE171" s="1445">
        <f>IF(DE173=0,0,(DE172*DE173+DE174*DE175*6)/DE173)</f>
        <v>0</v>
      </c>
      <c r="DF171" s="1003">
        <f>IF(DD171=0,0,(DE171-DD171)/DD171*100)</f>
        <v>0</v>
      </c>
      <c r="DG171" s="1445">
        <f>IF(DG173=0,0,(DG172*DG173+DG174*DG175*6)/DG173)</f>
        <v>0</v>
      </c>
      <c r="DH171" s="1445">
        <f>IF(DH173=0,0,(DH172*DH173+DH174*DH175*6)/DH173)</f>
        <v>0</v>
      </c>
      <c r="DI171" s="1003">
        <f>IF(DG171=0,0,(DH171-DG171)/DG171*100)</f>
        <v>0</v>
      </c>
      <c r="DJ171" s="1445">
        <f>IF(DJ173=0,0,(DJ172*DJ173+DJ174*DJ175*6)/DJ173)</f>
        <v>0</v>
      </c>
      <c r="DK171" s="1445">
        <f>IF(DK173=0,0,(DK172*DK173+DK174*DK175*6)/DK173)</f>
        <v>0</v>
      </c>
      <c r="DL171" s="1003">
        <f>IF(DJ171=0,0,(DK171-DJ171)/DJ171*100)</f>
        <v>0</v>
      </c>
      <c r="DM171" s="1445">
        <f>IF(DM173=0,0,(DM172*DM173+DM174*DM175*6)/DM173)</f>
        <v>0</v>
      </c>
      <c r="DN171" s="1445">
        <f>IF(DN173=0,0,(DN172*DN173+DN174*DN175*6)/DN173)</f>
        <v>0</v>
      </c>
      <c r="DO171" s="1003">
        <f>IF(DM171=0,0,(DN171-DM171)/DM171*100)</f>
        <v>0</v>
      </c>
      <c r="DP171" s="1445">
        <f>IF(DP173=0,0,(DP172*DP173+DP174*DP175*6)/DP173)</f>
        <v>0</v>
      </c>
      <c r="DQ171" s="1445">
        <f>IF(DQ173=0,0,(DQ172*DQ173+DQ174*DQ175*6)/DQ173)</f>
        <v>0</v>
      </c>
      <c r="DR171" s="1003">
        <f>IF(DP171=0,0,(DQ171-DP171)/DP171*100)</f>
        <v>0</v>
      </c>
      <c r="DS171" s="1445">
        <f>IF(DS173=0,0,(DS172*DS173+DS174*DS175*6)/DS173)</f>
        <v>0</v>
      </c>
      <c r="DT171" s="1445">
        <f>IF(DT173=0,0,(DT172*DT173+DT174*DT175*6)/DT173)</f>
        <v>0</v>
      </c>
      <c r="DU171" s="1003">
        <f>IF(DS171=0,0,(DT171-DS171)/DS171*100)</f>
        <v>0</v>
      </c>
      <c r="DV171" s="1445">
        <f>IF(DV173=0,0,(DV172*DV173+DV174*DV175*6)/DV173)</f>
        <v>0</v>
      </c>
      <c r="DW171" s="1445">
        <f>IF(DW173=0,0,(DW172*DW173+DW174*DW175*6)/DW173)</f>
        <v>0</v>
      </c>
      <c r="DX171" s="1003">
        <f>IF(DV171=0,0,(DW171-DV171)/DV171*100)</f>
        <v>0</v>
      </c>
      <c r="DY171" s="1445">
        <f>IF(DY173=0,0,(DY172*DY173+DY174*DY175*6)/DY173)</f>
        <v>0</v>
      </c>
      <c r="DZ171" s="1445">
        <f>IF(DZ173=0,0,(DZ172*DZ173+DZ174*DZ175*6)/DZ173)</f>
        <v>0</v>
      </c>
      <c r="EA171" s="1003">
        <f>IF(DY171=0,0,(DZ171-DY171)/DY171*100)</f>
        <v>0</v>
      </c>
      <c r="EB171" s="1445">
        <f>IF(EB173=0,0,(EB172*EB173+EB174*EB175*6)/EB173)</f>
        <v>0</v>
      </c>
      <c r="EC171" s="1445">
        <f>IF(EC173=0,0,(EC172*EC173+EC174*EC175*6)/EC173)</f>
        <v>0</v>
      </c>
      <c r="ED171" s="1003">
        <f>IF(EB171=0,0,(EC171-EB171)/EB171*100)</f>
        <v>0</v>
      </c>
      <c r="EE171" s="1445">
        <f>IF(EE173=0,0,(EE172*EE173+EE174*EE175*6)/EE173)</f>
        <v>0</v>
      </c>
      <c r="EF171" s="1445">
        <f>IF(EF173=0,0,(EF172*EF173+EF174*EF175*6)/EF173)</f>
        <v>0</v>
      </c>
      <c r="EG171" s="1003">
        <f>IF(EE171=0,0,(EF171-EE171)/EE171*100)</f>
        <v>0</v>
      </c>
      <c r="EH171" s="1445">
        <f>IF(EH173=0,0,(EH172*EH173+EH174*EH175*6)/EH173)</f>
        <v>0</v>
      </c>
      <c r="EI171" s="1445">
        <f>IF(EI173=0,0,(EI172*EI173+EI174*EI175*6)/EI173)</f>
        <v>0</v>
      </c>
      <c r="EJ171" s="1003">
        <f>IF(EH171=0,0,(EI171-EH171)/EH171*100)</f>
        <v>0</v>
      </c>
      <c r="EK171" s="1445">
        <f>IF(EK173=0,0,(EK172*EK173+EK174*EK175*6)/EK173)</f>
        <v>0</v>
      </c>
      <c r="EL171" s="1445">
        <f>IF(EL173=0,0,(EL172*EL173+EL174*EL175*6)/EL173)</f>
        <v>0</v>
      </c>
      <c r="EM171" s="1003">
        <f>IF(EK171=0,0,(EL171-EK171)/EK171*100)</f>
        <v>0</v>
      </c>
      <c r="EN171" s="1445">
        <f>IF(EN173=0,0,(EN172*EN173+EN174*EN175*6)/EN173)</f>
        <v>0</v>
      </c>
      <c r="EO171" s="1445">
        <f>IF(EO173=0,0,(EO172*EO173+EO174*EO175*6)/EO173)</f>
        <v>0</v>
      </c>
      <c r="EP171" s="1003">
        <f>IF(EN171=0,0,(EO171-EN171)/EN171*100)</f>
        <v>0</v>
      </c>
      <c r="EQ171" s="1445">
        <f>IF(EQ173=0,0,(EQ172*EQ173+EQ174*EQ175*6)/EQ173)</f>
        <v>0</v>
      </c>
      <c r="ER171" s="1445">
        <f>IF(ER173=0,0,(ER172*ER173+ER174*ER175*6)/ER173)</f>
        <v>0</v>
      </c>
      <c r="ES171" s="1003">
        <f>IF(EQ171=0,0,(ER171-EQ171)/EQ171*100)</f>
        <v>0</v>
      </c>
      <c r="ET171" s="1445">
        <f>IF(ET173=0,0,(ET172*ET173+ET174*ET175*6)/ET173)</f>
        <v>0</v>
      </c>
      <c r="EU171" s="1445">
        <f>IF(EU173=0,0,(EU172*EU173+EU174*EU175*6)/EU173)</f>
        <v>0</v>
      </c>
      <c r="EV171" s="1003">
        <f>IF(ET171=0,0,(EU171-ET171)/ET171*100)</f>
        <v>0</v>
      </c>
      <c r="EW171" s="1445">
        <f>IF(EW173=0,0,(EW172*EW173+EW174*EW175*6)/EW173)</f>
        <v>0</v>
      </c>
      <c r="EX171" s="1445">
        <f>IF(EX173=0,0,(EX172*EX173+EX174*EX175*6)/EX173)</f>
        <v>0</v>
      </c>
      <c r="EY171" s="1003">
        <f>IF(EW171=0,0,(EX171-EW171)/EW171*100)</f>
        <v>0</v>
      </c>
      <c r="EZ171" s="1445">
        <f>IF(EZ173=0,0,(EZ172*EZ173+EZ174*EZ175*6)/EZ173)</f>
        <v>0</v>
      </c>
      <c r="FA171" s="1445">
        <f>IF(FA173=0,0,(FA172*FA173+FA174*FA175*6)/FA173)</f>
        <v>0</v>
      </c>
      <c r="FB171" s="1003">
        <f>IF(EZ171=0,0,(FA171-EZ171)/EZ171*100)</f>
        <v>0</v>
      </c>
      <c r="FC171" s="1445">
        <f>IF(FC173=0,0,(FC172*FC173+FC174*FC175*6)/FC173)</f>
        <v>0</v>
      </c>
      <c r="FD171" s="1445">
        <f>IF(FD173=0,0,(FD172*FD173+FD174*FD175*6)/FD173)</f>
        <v>0</v>
      </c>
      <c r="FE171" s="1003">
        <f>IF(FC171=0,0,(FD171-FC171)/FC171*100)</f>
        <v>0</v>
      </c>
      <c r="FF171" s="1445">
        <f>IF(FF173=0,0,(FF172*FF173+FF174*FF175*6)/FF173)</f>
        <v>0</v>
      </c>
      <c r="FG171" s="1445">
        <f>IF(FG173=0,0,(FG172*FG173+FG174*FG175*6)/FG173)</f>
        <v>0</v>
      </c>
      <c r="FH171" s="1003">
        <f>IF(FF171=0,0,(FG171-FF171)/FF171*100)</f>
        <v>0</v>
      </c>
      <c r="FI171" s="1445">
        <f>IF(FI173=0,0,(FI172*FI173+FI174*FI175*6)/FI173)</f>
        <v>0</v>
      </c>
      <c r="FJ171" s="1445">
        <f>IF(FJ173=0,0,(FJ172*FJ173+FJ174*FJ175*6)/FJ173)</f>
        <v>0</v>
      </c>
      <c r="FK171" s="1003">
        <f>IF(FI171=0,0,(FJ171-FI171)/FI171*100)</f>
        <v>0</v>
      </c>
      <c r="FL171" s="1445">
        <f>IF(FL173=0,0,(FL172*FL173+FL174*FL175*6)/FL173)</f>
        <v>0</v>
      </c>
      <c r="FM171" s="1445">
        <f>IF(FM173=0,0,(FM172*FM173+FM174*FM175*6)/FM173)</f>
        <v>0</v>
      </c>
      <c r="FN171" s="1003">
        <f>IF(FL171=0,0,(FM171-FL171)/FL171*100)</f>
        <v>0</v>
      </c>
      <c r="FO171" s="1445">
        <f>IF(FO173=0,0,(FO172*FO173+FO174*FO175*6)/FO173)</f>
        <v>0</v>
      </c>
      <c r="FP171" s="1445">
        <f>IF(FP173=0,0,(FP172*FP173+FP174*FP175*6)/FP173)</f>
        <v>0</v>
      </c>
      <c r="FQ171" s="1003">
        <f>IF(FO171=0,0,(FP171-FO171)/FO171*100)</f>
        <v>0</v>
      </c>
      <c r="FR171" s="1445">
        <f>IF(FR173=0,0,(FR172*FR173+FR174*FR175*6)/FR173)</f>
        <v>0</v>
      </c>
      <c r="FS171" s="1445">
        <f>IF(FS173=0,0,(FS172*FS173+FS174*FS175*6)/FS173)</f>
        <v>0</v>
      </c>
      <c r="FT171" s="1003">
        <f>IF(FR171=0,0,(FS171-FR171)/FR171*100)</f>
        <v>0</v>
      </c>
      <c r="FU171" s="1445">
        <f>IF(FU173=0,0,(FU172*FU173+FU174*FU175*6)/FU173)</f>
        <v>0</v>
      </c>
      <c r="FV171" s="1445">
        <f>IF(FV173=0,0,(FV172*FV173+FV174*FV175*6)/FV173)</f>
        <v>0</v>
      </c>
      <c r="FW171" s="1003">
        <f>IF(FU171=0,0,(FV171-FU171)/FU171*100)</f>
        <v>0</v>
      </c>
      <c r="FX171" s="1214"/>
      <c r="FY171" s="1214"/>
      <c r="FZ171" s="964" t="s">
        <v>1642</v>
      </c>
      <c r="GA171" s="1216"/>
      <c r="GB171" s="1216"/>
      <c r="GC171" s="1215"/>
      <c r="GD171" s="1215"/>
    </row>
    <row r="172" spans="1:186" s="1334" customFormat="1" ht="14.25" hidden="1" customHeight="1" x14ac:dyDescent="0.15">
      <c r="A172" s="416"/>
      <c r="B172" s="837" t="b" cm="1">
        <f t="array" ref="B172">B171</f>
        <v>0</v>
      </c>
      <c r="C172" s="416"/>
      <c r="D172" s="416"/>
      <c r="E172" s="759">
        <v>15</v>
      </c>
      <c r="F172" s="3" t="str" cm="1">
        <f t="array" aca="1" ref="F172" ca="1">OFFSET(E172,-1,1)</f>
        <v>2</v>
      </c>
      <c r="G172" s="416"/>
      <c r="H172" s="416" t="s">
        <v>1533</v>
      </c>
      <c r="I172" s="416" t="s">
        <v>1601</v>
      </c>
      <c r="J172" s="416"/>
      <c r="K172" s="416"/>
      <c r="L172" s="416"/>
      <c r="M172" s="416"/>
      <c r="N172" s="416"/>
      <c r="O172" s="416"/>
      <c r="P172" s="416"/>
      <c r="Q172" s="416"/>
      <c r="R172" s="416"/>
      <c r="S172" s="416"/>
      <c r="T172" s="388" t="b" cm="1">
        <f t="array" aca="1" ref="T172" ca="1">T171</f>
        <v>1</v>
      </c>
      <c r="U172" s="416"/>
      <c r="V172" s="416"/>
      <c r="W172" s="416"/>
      <c r="X172" s="2066"/>
      <c r="Y172" s="416"/>
      <c r="Z172" s="2011"/>
      <c r="AA172" s="416"/>
      <c r="AB172" s="1001" t="str">
        <f>"ставка платы за "&amp;IF(Q141="Водоснабжение","потребление 1 куб.м холодной воды","объем принятых сточных вод")</f>
        <v>ставка платы за объем принятых сточных вод</v>
      </c>
      <c r="AC172" s="783" t="s">
        <v>1588</v>
      </c>
      <c r="AD172" s="1445"/>
      <c r="AE172" s="1445"/>
      <c r="AF172" s="1003">
        <f>IF(AD172=0,0,(AE172-AD172)/AD172*100)</f>
        <v>0</v>
      </c>
      <c r="AG172" s="1445"/>
      <c r="AH172" s="1445"/>
      <c r="AI172" s="1003">
        <f>IF(AG172=0,0,(AH172-AG172)/AG172*100)</f>
        <v>0</v>
      </c>
      <c r="AJ172" s="1445"/>
      <c r="AK172" s="1445"/>
      <c r="AL172" s="1003">
        <f>IF(AJ172=0,0,(AK172-AJ172)/AJ172*100)</f>
        <v>0</v>
      </c>
      <c r="AM172" s="1445"/>
      <c r="AN172" s="1445"/>
      <c r="AO172" s="1003">
        <f>IF(AM172=0,0,(AN172-AM172)/AM172*100)</f>
        <v>0</v>
      </c>
      <c r="AP172" s="1445"/>
      <c r="AQ172" s="1445"/>
      <c r="AR172" s="1003">
        <f>IF(AP172=0,0,(AQ172-AP172)/AP172*100)</f>
        <v>0</v>
      </c>
      <c r="AS172" s="1445"/>
      <c r="AT172" s="1445"/>
      <c r="AU172" s="1003">
        <f>IF(AS172=0,0,(AT172-AS172)/AS172*100)</f>
        <v>0</v>
      </c>
      <c r="AV172" s="1445"/>
      <c r="AW172" s="1445"/>
      <c r="AX172" s="1003">
        <f>IF(AV172=0,0,(AW172-AV172)/AV172*100)</f>
        <v>0</v>
      </c>
      <c r="AY172" s="1445"/>
      <c r="AZ172" s="1445"/>
      <c r="BA172" s="1003">
        <f>IF(AY172=0,0,(AZ172-AY172)/AY172*100)</f>
        <v>0</v>
      </c>
      <c r="BB172" s="1445"/>
      <c r="BC172" s="1445"/>
      <c r="BD172" s="1003">
        <f>IF(BB172=0,0,(BC172-BB172)/BB172*100)</f>
        <v>0</v>
      </c>
      <c r="BE172" s="1445"/>
      <c r="BF172" s="1445"/>
      <c r="BG172" s="1003">
        <f>IF(BE172=0,0,(BF172-BE172)/BE172*100)</f>
        <v>0</v>
      </c>
      <c r="BH172" s="1445"/>
      <c r="BI172" s="1445"/>
      <c r="BJ172" s="1003">
        <f>IF(BH172=0,0,(BI172-BH172)/BH172*100)</f>
        <v>0</v>
      </c>
      <c r="BK172" s="1445"/>
      <c r="BL172" s="1445"/>
      <c r="BM172" s="1003">
        <f>IF(BK172=0,0,(BL172-BK172)/BK172*100)</f>
        <v>0</v>
      </c>
      <c r="BN172" s="1445"/>
      <c r="BO172" s="1445"/>
      <c r="BP172" s="1003">
        <f>IF(BN172=0,0,(BO172-BN172)/BN172*100)</f>
        <v>0</v>
      </c>
      <c r="BQ172" s="1445"/>
      <c r="BR172" s="1445"/>
      <c r="BS172" s="1003">
        <f>IF(BQ172=0,0,(BR172-BQ172)/BQ172*100)</f>
        <v>0</v>
      </c>
      <c r="BT172" s="1445"/>
      <c r="BU172" s="1445"/>
      <c r="BV172" s="1003">
        <f>IF(BT172=0,0,(BU172-BT172)/BT172*100)</f>
        <v>0</v>
      </c>
      <c r="BW172" s="1445"/>
      <c r="BX172" s="1445"/>
      <c r="BY172" s="1003">
        <f>IF(BW172=0,0,(BX172-BW172)/BW172*100)</f>
        <v>0</v>
      </c>
      <c r="BZ172" s="1445"/>
      <c r="CA172" s="1445"/>
      <c r="CB172" s="1003">
        <f>IF(BZ172=0,0,(CA172-BZ172)/BZ172*100)</f>
        <v>0</v>
      </c>
      <c r="CC172" s="1445"/>
      <c r="CD172" s="1445"/>
      <c r="CE172" s="1003">
        <f>IF(CC172=0,0,(CD172-CC172)/CC172*100)</f>
        <v>0</v>
      </c>
      <c r="CF172" s="1445"/>
      <c r="CG172" s="1445"/>
      <c r="CH172" s="1003">
        <f>IF(CF172=0,0,(CG172-CF172)/CF172*100)</f>
        <v>0</v>
      </c>
      <c r="CI172" s="1445"/>
      <c r="CJ172" s="1445"/>
      <c r="CK172" s="1003">
        <f>IF(CI172=0,0,(CJ172-CI172)/CI172*100)</f>
        <v>0</v>
      </c>
      <c r="CL172" s="1445"/>
      <c r="CM172" s="1445"/>
      <c r="CN172" s="1003">
        <f>IF(CL172=0,0,(CM172-CL172)/CL172*100)</f>
        <v>0</v>
      </c>
      <c r="CO172" s="1445"/>
      <c r="CP172" s="1445"/>
      <c r="CQ172" s="1003">
        <f>IF(CO172=0,0,(CP172-CO172)/CO172*100)</f>
        <v>0</v>
      </c>
      <c r="CR172" s="1445"/>
      <c r="CS172" s="1445"/>
      <c r="CT172" s="1003">
        <f>IF(CR172=0,0,(CS172-CR172)/CR172*100)</f>
        <v>0</v>
      </c>
      <c r="CU172" s="1445"/>
      <c r="CV172" s="1445"/>
      <c r="CW172" s="1003">
        <f>IF(CU172=0,0,(CV172-CU172)/CU172*100)</f>
        <v>0</v>
      </c>
      <c r="CX172" s="1445"/>
      <c r="CY172" s="1445"/>
      <c r="CZ172" s="1003">
        <f>IF(CX172=0,0,(CY172-CX172)/CX172*100)</f>
        <v>0</v>
      </c>
      <c r="DA172" s="1445"/>
      <c r="DB172" s="1445"/>
      <c r="DC172" s="1003">
        <f>IF(DA172=0,0,(DB172-DA172)/DA172*100)</f>
        <v>0</v>
      </c>
      <c r="DD172" s="1445"/>
      <c r="DE172" s="1445"/>
      <c r="DF172" s="1003">
        <f>IF(DD172=0,0,(DE172-DD172)/DD172*100)</f>
        <v>0</v>
      </c>
      <c r="DG172" s="1445"/>
      <c r="DH172" s="1445"/>
      <c r="DI172" s="1003">
        <f>IF(DG172=0,0,(DH172-DG172)/DG172*100)</f>
        <v>0</v>
      </c>
      <c r="DJ172" s="1445"/>
      <c r="DK172" s="1445"/>
      <c r="DL172" s="1003">
        <f>IF(DJ172=0,0,(DK172-DJ172)/DJ172*100)</f>
        <v>0</v>
      </c>
      <c r="DM172" s="1445"/>
      <c r="DN172" s="1445"/>
      <c r="DO172" s="1003">
        <f>IF(DM172=0,0,(DN172-DM172)/DM172*100)</f>
        <v>0</v>
      </c>
      <c r="DP172" s="1445"/>
      <c r="DQ172" s="1445"/>
      <c r="DR172" s="1003">
        <f>IF(DP172=0,0,(DQ172-DP172)/DP172*100)</f>
        <v>0</v>
      </c>
      <c r="DS172" s="1445"/>
      <c r="DT172" s="1445"/>
      <c r="DU172" s="1003">
        <f>IF(DS172=0,0,(DT172-DS172)/DS172*100)</f>
        <v>0</v>
      </c>
      <c r="DV172" s="1445"/>
      <c r="DW172" s="1445"/>
      <c r="DX172" s="1003">
        <f>IF(DV172=0,0,(DW172-DV172)/DV172*100)</f>
        <v>0</v>
      </c>
      <c r="DY172" s="1445"/>
      <c r="DZ172" s="1445"/>
      <c r="EA172" s="1003">
        <f>IF(DY172=0,0,(DZ172-DY172)/DY172*100)</f>
        <v>0</v>
      </c>
      <c r="EB172" s="1445"/>
      <c r="EC172" s="1445"/>
      <c r="ED172" s="1003">
        <f>IF(EB172=0,0,(EC172-EB172)/EB172*100)</f>
        <v>0</v>
      </c>
      <c r="EE172" s="1445"/>
      <c r="EF172" s="1445"/>
      <c r="EG172" s="1003">
        <f>IF(EE172=0,0,(EF172-EE172)/EE172*100)</f>
        <v>0</v>
      </c>
      <c r="EH172" s="1445"/>
      <c r="EI172" s="1445"/>
      <c r="EJ172" s="1003">
        <f>IF(EH172=0,0,(EI172-EH172)/EH172*100)</f>
        <v>0</v>
      </c>
      <c r="EK172" s="1445"/>
      <c r="EL172" s="1445"/>
      <c r="EM172" s="1003">
        <f>IF(EK172=0,0,(EL172-EK172)/EK172*100)</f>
        <v>0</v>
      </c>
      <c r="EN172" s="1445"/>
      <c r="EO172" s="1445"/>
      <c r="EP172" s="1003">
        <f>IF(EN172=0,0,(EO172-EN172)/EN172*100)</f>
        <v>0</v>
      </c>
      <c r="EQ172" s="1445"/>
      <c r="ER172" s="1445"/>
      <c r="ES172" s="1003">
        <f>IF(EQ172=0,0,(ER172-EQ172)/EQ172*100)</f>
        <v>0</v>
      </c>
      <c r="ET172" s="1445"/>
      <c r="EU172" s="1445"/>
      <c r="EV172" s="1003">
        <f>IF(ET172=0,0,(EU172-ET172)/ET172*100)</f>
        <v>0</v>
      </c>
      <c r="EW172" s="1445"/>
      <c r="EX172" s="1445"/>
      <c r="EY172" s="1003">
        <f>IF(EW172=0,0,(EX172-EW172)/EW172*100)</f>
        <v>0</v>
      </c>
      <c r="EZ172" s="1445"/>
      <c r="FA172" s="1445"/>
      <c r="FB172" s="1003">
        <f>IF(EZ172=0,0,(FA172-EZ172)/EZ172*100)</f>
        <v>0</v>
      </c>
      <c r="FC172" s="1445"/>
      <c r="FD172" s="1445"/>
      <c r="FE172" s="1003">
        <f>IF(FC172=0,0,(FD172-FC172)/FC172*100)</f>
        <v>0</v>
      </c>
      <c r="FF172" s="1445"/>
      <c r="FG172" s="1445"/>
      <c r="FH172" s="1003">
        <f>IF(FF172=0,0,(FG172-FF172)/FF172*100)</f>
        <v>0</v>
      </c>
      <c r="FI172" s="1445"/>
      <c r="FJ172" s="1445"/>
      <c r="FK172" s="1003">
        <f>IF(FI172=0,0,(FJ172-FI172)/FI172*100)</f>
        <v>0</v>
      </c>
      <c r="FL172" s="1445"/>
      <c r="FM172" s="1445"/>
      <c r="FN172" s="1003">
        <f>IF(FL172=0,0,(FM172-FL172)/FL172*100)</f>
        <v>0</v>
      </c>
      <c r="FO172" s="1445"/>
      <c r="FP172" s="1445"/>
      <c r="FQ172" s="1003">
        <f>IF(FO172=0,0,(FP172-FO172)/FO172*100)</f>
        <v>0</v>
      </c>
      <c r="FR172" s="1445"/>
      <c r="FS172" s="1445"/>
      <c r="FT172" s="1003">
        <f>IF(FR172=0,0,(FS172-FR172)/FR172*100)</f>
        <v>0</v>
      </c>
      <c r="FU172" s="1445"/>
      <c r="FV172" s="1445"/>
      <c r="FW172" s="1003">
        <f>IF(FU172=0,0,(FV172-FU172)/FU172*100)</f>
        <v>0</v>
      </c>
      <c r="FX172" s="1214"/>
      <c r="FY172" s="1214"/>
      <c r="FZ172" s="964" t="s">
        <v>1643</v>
      </c>
      <c r="GA172" s="1216"/>
      <c r="GB172" s="1216"/>
      <c r="GC172" s="1215"/>
      <c r="GD172" s="1215"/>
    </row>
    <row r="173" spans="1:186" s="1334" customFormat="1" ht="14.25" hidden="1" customHeight="1" x14ac:dyDescent="0.15">
      <c r="A173" s="416"/>
      <c r="B173" s="837" t="b" cm="1">
        <f t="array" ref="B173">B172</f>
        <v>0</v>
      </c>
      <c r="C173" s="416"/>
      <c r="D173" s="416"/>
      <c r="E173" s="759">
        <v>15</v>
      </c>
      <c r="F173" s="3" t="str" cm="1">
        <f t="array" aca="1" ref="F173" ca="1">OFFSET(E173,-1,1)</f>
        <v>2</v>
      </c>
      <c r="G173" s="26" t="s">
        <v>1644</v>
      </c>
      <c r="H173" s="416" t="s">
        <v>1625</v>
      </c>
      <c r="I173" s="416" t="s">
        <v>1601</v>
      </c>
      <c r="J173" s="416"/>
      <c r="K173" s="416"/>
      <c r="L173" s="416"/>
      <c r="M173" s="416"/>
      <c r="N173" s="416"/>
      <c r="O173" s="416"/>
      <c r="P173" s="416"/>
      <c r="Q173" s="416"/>
      <c r="R173" s="416"/>
      <c r="S173" s="416"/>
      <c r="T173" s="388" t="b" cm="1">
        <f t="array" aca="1" ref="T173" ca="1">T172</f>
        <v>1</v>
      </c>
      <c r="U173" s="416"/>
      <c r="V173" s="416"/>
      <c r="W173" s="416"/>
      <c r="X173" s="2066"/>
      <c r="Y173" s="416"/>
      <c r="Z173" s="2011"/>
      <c r="AA173" s="416"/>
      <c r="AB173" s="1001" t="str">
        <f>"объём "&amp;IF(Q141="Водоснабжение","потребления холодной воды","водоотведения")</f>
        <v>объём водоотведения</v>
      </c>
      <c r="AC173" s="783" t="s">
        <v>563</v>
      </c>
      <c r="AD173" s="1443">
        <f ca="1">IF(AND(method_reg="Метод индексации",god&lt;&gt;first_year),SUMIFS(INDEX('Калькуляция (МИ корр)'!$AJ$25:$BC$459,,MATCH(AD$8,'Калькуляция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(МИ)'!$AJ$25:$BC$459,,MATCH(AD$8,'Калькуляция (МИ)'!$AJ$8:$BC$8,0)),'Калькуляция (МИ)'!$F$25:$F$459,$F173,'Калькуляция (МИ)'!$G$25:$G$459,$G173))))</f>
        <v>1125.6524999999999</v>
      </c>
      <c r="AE173" s="1443">
        <f ca="1">IF(AND(method_reg="Метод индексации",god&lt;&gt;first_year),SUMIFS(INDEX('Калькуляция (МИ корр)'!$AJ$25:$BC$459,,MATCH(AE$8,'Калькуляция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(МИ)'!$AJ$25:$BC$459,,MATCH(AE$8,'Калькуляция (МИ)'!$AJ$8:$BC$8,0)),'Калькуляция (МИ)'!$F$25:$F$459,$F173,'Калькуляция (МИ)'!$G$25:$G$459,$G173))))</f>
        <v>1070.3272274999999</v>
      </c>
      <c r="AF173" s="1005">
        <f ca="1">IF(AD173=0,0,(AE173-AD173)/AD173*100)</f>
        <v>-4.9149513282296251</v>
      </c>
      <c r="AG173" s="1443">
        <f ca="1">IF(AND(method_reg="Метод индексации",god&lt;&gt;first_year),SUMIFS(INDEX('Калькуляция (МИ корр)'!$AJ$25:$BC$459,,MATCH(AG$8,'Калькуляция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(МИ)'!$AJ$25:$BC$459,,MATCH(AG$8,'Калькуляция (МИ)'!$AJ$8:$BC$8,0)),'Калькуляция (МИ)'!$F$25:$F$459,$F173,'Калькуляция (МИ)'!$G$25:$G$459,$G173))))</f>
        <v>0</v>
      </c>
      <c r="AH173" s="1443">
        <f ca="1">IF(AND(method_reg="Метод индексации",god&lt;&gt;first_year),SUMIFS(INDEX('Калькуляция (МИ корр)'!$AJ$25:$BC$459,,MATCH(AH$8,'Калькуляция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(МИ)'!$AJ$25:$BC$459,,MATCH(AH$8,'Калькуляция (МИ)'!$AJ$8:$BC$8,0)),'Калькуляция (МИ)'!$F$25:$F$459,$F173,'Калькуляция (МИ)'!$G$25:$G$459,$G173))))</f>
        <v>0</v>
      </c>
      <c r="AI173" s="1005">
        <f ca="1">IF(AG173=0,0,(AH173-AG173)/AG173*100)</f>
        <v>0</v>
      </c>
      <c r="AJ173" s="1443">
        <f ca="1">IF(AND(method_reg="Метод индексации",god&lt;&gt;first_year),SUMIFS(INDEX('Калькуляция (МИ корр)'!$AJ$25:$BC$459,,MATCH(AJ$8,'Калькуляция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(МИ)'!$AJ$25:$BC$459,,MATCH(AJ$8,'Калькуляция (МИ)'!$AJ$8:$BC$8,0)),'Калькуляция (МИ)'!$F$25:$F$459,$F173,'Калькуляция (МИ)'!$G$25:$G$459,$G173))))</f>
        <v>0</v>
      </c>
      <c r="AK173" s="1443">
        <f ca="1">IF(AND(method_reg="Метод индексации",god&lt;&gt;first_year),SUMIFS(INDEX('Калькуляция (МИ корр)'!$AJ$25:$BC$459,,MATCH(AK$8,'Калькуляция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(МИ)'!$AJ$25:$BC$459,,MATCH(AK$8,'Калькуляция (МИ)'!$AJ$8:$BC$8,0)),'Калькуляция (МИ)'!$F$25:$F$459,$F173,'Калькуляция (МИ)'!$G$25:$G$459,$G173))))</f>
        <v>0</v>
      </c>
      <c r="AL173" s="1005">
        <f ca="1">IF(AJ173=0,0,(AK173-AJ173)/AJ173*100)</f>
        <v>0</v>
      </c>
      <c r="AM173" s="1443">
        <f ca="1">IF(AND(method_reg="Метод индексации",god&lt;&gt;first_year),SUMIFS(INDEX('Калькуляция (МИ корр)'!$AJ$25:$BC$459,,MATCH(AM$8,'Калькуляция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(МИ)'!$AJ$25:$BC$459,,MATCH(AM$8,'Калькуляция (МИ)'!$AJ$8:$BC$8,0)),'Калькуляция (МИ)'!$F$25:$F$459,$F173,'Калькуляция (МИ)'!$G$25:$G$459,$G173))))</f>
        <v>0</v>
      </c>
      <c r="AN173" s="1443">
        <f ca="1">IF(AND(method_reg="Метод индексации",god&lt;&gt;first_year),SUMIFS(INDEX('Калькуляция (МИ корр)'!$AJ$25:$BC$459,,MATCH(AN$8,'Калькуляция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(МИ)'!$AJ$25:$BC$459,,MATCH(AN$8,'Калькуляция (МИ)'!$AJ$8:$BC$8,0)),'Калькуляция (МИ)'!$F$25:$F$459,$F173,'Калькуляция (МИ)'!$G$25:$G$459,$G173))))</f>
        <v>0</v>
      </c>
      <c r="AO173" s="1005">
        <f ca="1">IF(AM173=0,0,(AN173-AM173)/AM173*100)</f>
        <v>0</v>
      </c>
      <c r="AP173" s="1443">
        <f ca="1">IF(AND(method_reg="Метод индексации",god&lt;&gt;first_year),SUMIFS(INDEX('Калькуляция (МИ корр)'!$AJ$25:$BC$459,,MATCH(AP$8,'Калькуляция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(МИ)'!$AJ$25:$BC$459,,MATCH(AP$8,'Калькуляция (МИ)'!$AJ$8:$BC$8,0)),'Калькуляция (МИ)'!$F$25:$F$459,$F173,'Калькуляция (МИ)'!$G$25:$G$459,$G173))))</f>
        <v>0</v>
      </c>
      <c r="AQ173" s="1443">
        <f ca="1">IF(AND(method_reg="Метод индексации",god&lt;&gt;first_year),SUMIFS(INDEX('Калькуляция (МИ корр)'!$AJ$25:$BC$459,,MATCH(AQ$8,'Калькуляция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(МИ)'!$AJ$25:$BC$459,,MATCH(AQ$8,'Калькуляция (МИ)'!$AJ$8:$BC$8,0)),'Калькуляция (МИ)'!$F$25:$F$459,$F173,'Калькуляция (МИ)'!$G$25:$G$459,$G173))))</f>
        <v>0</v>
      </c>
      <c r="AR173" s="1005">
        <f ca="1">IF(AP173=0,0,(AQ173-AP173)/AP173*100)</f>
        <v>0</v>
      </c>
      <c r="AS173" s="1443">
        <f ca="1">IF(AND(method_reg="Метод индексации",god&lt;&gt;first_year),SUMIFS(INDEX('Калькуляция (МИ корр)'!$AJ$25:$BC$459,,MATCH(AS$8,'Калькуляция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(МИ)'!$AJ$25:$BC$459,,MATCH(AS$8,'Калькуляция (МИ)'!$AJ$8:$BC$8,0)),'Калькуляция (МИ)'!$F$25:$F$459,$F173,'Калькуляция (МИ)'!$G$25:$G$459,$G173))))</f>
        <v>0</v>
      </c>
      <c r="AT173" s="1443">
        <f ca="1">IF(AND(method_reg="Метод индексации",god&lt;&gt;first_year),SUMIFS(INDEX('Калькуляция (МИ корр)'!$AJ$25:$BC$459,,MATCH(AT$8,'Калькуляция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(МИ)'!$AJ$25:$BC$459,,MATCH(AT$8,'Калькуляция (МИ)'!$AJ$8:$BC$8,0)),'Калькуляция (МИ)'!$F$25:$F$459,$F173,'Калькуляция (МИ)'!$G$25:$G$459,$G173))))</f>
        <v>0</v>
      </c>
      <c r="AU173" s="1005">
        <f ca="1">IF(AS173=0,0,(AT173-AS173)/AS173*100)</f>
        <v>0</v>
      </c>
      <c r="AV173" s="1443">
        <f ca="1">IF(AND(method_reg="Метод индексации",god&lt;&gt;first_year),SUMIFS(INDEX('Калькуляция (МИ корр)'!$AJ$25:$BC$459,,MATCH(AV$8,'Калькуляция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(МИ)'!$AJ$25:$BC$459,,MATCH(AV$8,'Калькуляция (МИ)'!$AJ$8:$BC$8,0)),'Калькуляция (МИ)'!$F$25:$F$459,$F173,'Калькуляция (МИ)'!$G$25:$G$459,$G173))))</f>
        <v>0</v>
      </c>
      <c r="AW173" s="1443">
        <f ca="1">IF(AND(method_reg="Метод индексации",god&lt;&gt;first_year),SUMIFS(INDEX('Калькуляция (МИ корр)'!$AJ$25:$BC$459,,MATCH(AW$8,'Калькуляция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(МИ)'!$AJ$25:$BC$459,,MATCH(AW$8,'Калькуляция (МИ)'!$AJ$8:$BC$8,0)),'Калькуляция (МИ)'!$F$25:$F$459,$F173,'Калькуляция (МИ)'!$G$25:$G$459,$G173))))</f>
        <v>0</v>
      </c>
      <c r="AX173" s="1005">
        <f ca="1">IF(AV173=0,0,(AW173-AV173)/AV173*100)</f>
        <v>0</v>
      </c>
      <c r="AY173" s="1443">
        <f ca="1">IF(AND(method_reg="Метод индексации",god&lt;&gt;first_year),SUMIFS(INDEX('Калькуляция (МИ корр)'!$AJ$25:$BC$459,,MATCH(AY$8,'Калькуляция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(МИ)'!$AJ$25:$BC$459,,MATCH(AY$8,'Калькуляция (МИ)'!$AJ$8:$BC$8,0)),'Калькуляция (МИ)'!$F$25:$F$459,$F173,'Калькуляция (МИ)'!$G$25:$G$459,$G173))))</f>
        <v>0</v>
      </c>
      <c r="AZ173" s="1443">
        <f ca="1">IF(AND(method_reg="Метод индексации",god&lt;&gt;first_year),SUMIFS(INDEX('Калькуляция (МИ корр)'!$AJ$25:$BC$459,,MATCH(AZ$8,'Калькуляция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(МИ)'!$AJ$25:$BC$459,,MATCH(AZ$8,'Калькуляция (МИ)'!$AJ$8:$BC$8,0)),'Калькуляция (МИ)'!$F$25:$F$459,$F173,'Калькуляция (МИ)'!$G$25:$G$459,$G173))))</f>
        <v>0</v>
      </c>
      <c r="BA173" s="1005">
        <f ca="1">IF(AY173=0,0,(AZ173-AY173)/AY173*100)</f>
        <v>0</v>
      </c>
      <c r="BB173" s="1443">
        <f ca="1">IF(AND(method_reg="Метод индексации",god&lt;&gt;first_year),SUMIFS(INDEX('Калькуляция (МИ корр)'!$AJ$25:$BC$459,,MATCH(BB$8,'Калькуляция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(МИ)'!$AJ$25:$BC$459,,MATCH(BB$8,'Калькуляция (МИ)'!$AJ$8:$BC$8,0)),'Калькуляция (МИ)'!$F$25:$F$459,$F173,'Калькуляция (МИ)'!$G$25:$G$459,$G173))))</f>
        <v>0</v>
      </c>
      <c r="BC173" s="1443">
        <f ca="1">IF(AND(method_reg="Метод индексации",god&lt;&gt;first_year),SUMIFS(INDEX('Калькуляция (МИ корр)'!$AJ$25:$BC$459,,MATCH(BC$8,'Калькуляция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(МИ)'!$AJ$25:$BC$459,,MATCH(BC$8,'Калькуляция (МИ)'!$AJ$8:$BC$8,0)),'Калькуляция (МИ)'!$F$25:$F$459,$F173,'Калькуляция (МИ)'!$G$25:$G$459,$G173))))</f>
        <v>0</v>
      </c>
      <c r="BD173" s="1005">
        <f ca="1">IF(BB173=0,0,(BC173-BB173)/BB173*100)</f>
        <v>0</v>
      </c>
      <c r="BE173" s="1443">
        <f ca="1">IF(AND(method_reg="Метод индексации",god&lt;&gt;first_year),SUMIFS(INDEX('Калькуляция (МИ корр)'!$AJ$25:$BC$459,,MATCH(BE$8,'Калькуляция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(МИ)'!$AJ$25:$BC$459,,MATCH(BE$8,'Калькуляция (МИ)'!$AJ$8:$BC$8,0)),'Калькуляция (МИ)'!$F$25:$F$459,$F173,'Калькуляция (МИ)'!$G$25:$G$459,$G173))))</f>
        <v>0</v>
      </c>
      <c r="BF173" s="1443">
        <f ca="1">IF(AND(method_reg="Метод индексации",god&lt;&gt;first_year),SUMIFS(INDEX('Калькуляция (МИ корр)'!$AJ$25:$BC$459,,MATCH(BF$8,'Калькуляция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(МИ)'!$AJ$25:$BC$459,,MATCH(BF$8,'Калькуляция (МИ)'!$AJ$8:$BC$8,0)),'Калькуляция (МИ)'!$F$25:$F$459,$F173,'Калькуляция (МИ)'!$G$25:$G$459,$G173))))</f>
        <v>0</v>
      </c>
      <c r="BG173" s="1005">
        <f ca="1">IF(BE173=0,0,(BF173-BE173)/BE173*100)</f>
        <v>0</v>
      </c>
      <c r="BH173" s="1443"/>
      <c r="BI173" s="1443"/>
      <c r="BJ173" s="1005">
        <f>IF(BH173=0,0,(BI173-BH173)/BH173*100)</f>
        <v>0</v>
      </c>
      <c r="BK173" s="1443"/>
      <c r="BL173" s="1443"/>
      <c r="BM173" s="1005">
        <f>IF(BK173=0,0,(BL173-BK173)/BK173*100)</f>
        <v>0</v>
      </c>
      <c r="BN173" s="1443"/>
      <c r="BO173" s="1443"/>
      <c r="BP173" s="1005">
        <f>IF(BN173=0,0,(BO173-BN173)/BN173*100)</f>
        <v>0</v>
      </c>
      <c r="BQ173" s="1443"/>
      <c r="BR173" s="1443"/>
      <c r="BS173" s="1005">
        <f>IF(BQ173=0,0,(BR173-BQ173)/BQ173*100)</f>
        <v>0</v>
      </c>
      <c r="BT173" s="1443"/>
      <c r="BU173" s="1443"/>
      <c r="BV173" s="1005">
        <f>IF(BT173=0,0,(BU173-BT173)/BT173*100)</f>
        <v>0</v>
      </c>
      <c r="BW173" s="1443"/>
      <c r="BX173" s="1443"/>
      <c r="BY173" s="1005">
        <f>IF(BW173=0,0,(BX173-BW173)/BW173*100)</f>
        <v>0</v>
      </c>
      <c r="BZ173" s="1443"/>
      <c r="CA173" s="1443"/>
      <c r="CB173" s="1005">
        <f>IF(BZ173=0,0,(CA173-BZ173)/BZ173*100)</f>
        <v>0</v>
      </c>
      <c r="CC173" s="1443"/>
      <c r="CD173" s="1443"/>
      <c r="CE173" s="1005">
        <f>IF(CC173=0,0,(CD173-CC173)/CC173*100)</f>
        <v>0</v>
      </c>
      <c r="CF173" s="1443"/>
      <c r="CG173" s="1443"/>
      <c r="CH173" s="1005">
        <f>IF(CF173=0,0,(CG173-CF173)/CF173*100)</f>
        <v>0</v>
      </c>
      <c r="CI173" s="1443"/>
      <c r="CJ173" s="1443"/>
      <c r="CK173" s="1005">
        <f>IF(CI173=0,0,(CJ173-CI173)/CI173*100)</f>
        <v>0</v>
      </c>
      <c r="CL173" s="1443"/>
      <c r="CM173" s="1443"/>
      <c r="CN173" s="1005">
        <f>IF(CL173=0,0,(CM173-CL173)/CL173*100)</f>
        <v>0</v>
      </c>
      <c r="CO173" s="1443"/>
      <c r="CP173" s="1443"/>
      <c r="CQ173" s="1005">
        <f>IF(CO173=0,0,(CP173-CO173)/CO173*100)</f>
        <v>0</v>
      </c>
      <c r="CR173" s="1443"/>
      <c r="CS173" s="1443"/>
      <c r="CT173" s="1005">
        <f>IF(CR173=0,0,(CS173-CR173)/CR173*100)</f>
        <v>0</v>
      </c>
      <c r="CU173" s="1443"/>
      <c r="CV173" s="1443"/>
      <c r="CW173" s="1005">
        <f>IF(CU173=0,0,(CV173-CU173)/CU173*100)</f>
        <v>0</v>
      </c>
      <c r="CX173" s="1443"/>
      <c r="CY173" s="1443"/>
      <c r="CZ173" s="1005">
        <f>IF(CX173=0,0,(CY173-CX173)/CX173*100)</f>
        <v>0</v>
      </c>
      <c r="DA173" s="1443"/>
      <c r="DB173" s="1443"/>
      <c r="DC173" s="1005">
        <f>IF(DA173=0,0,(DB173-DA173)/DA173*100)</f>
        <v>0</v>
      </c>
      <c r="DD173" s="1443"/>
      <c r="DE173" s="1443"/>
      <c r="DF173" s="1005">
        <f>IF(DD173=0,0,(DE173-DD173)/DD173*100)</f>
        <v>0</v>
      </c>
      <c r="DG173" s="1443"/>
      <c r="DH173" s="1443"/>
      <c r="DI173" s="1005">
        <f>IF(DG173=0,0,(DH173-DG173)/DG173*100)</f>
        <v>0</v>
      </c>
      <c r="DJ173" s="1443"/>
      <c r="DK173" s="1443"/>
      <c r="DL173" s="1005">
        <f>IF(DJ173=0,0,(DK173-DJ173)/DJ173*100)</f>
        <v>0</v>
      </c>
      <c r="DM173" s="1443"/>
      <c r="DN173" s="1443"/>
      <c r="DO173" s="1005">
        <f>IF(DM173=0,0,(DN173-DM173)/DM173*100)</f>
        <v>0</v>
      </c>
      <c r="DP173" s="1443"/>
      <c r="DQ173" s="1443"/>
      <c r="DR173" s="1005">
        <f>IF(DP173=0,0,(DQ173-DP173)/DP173*100)</f>
        <v>0</v>
      </c>
      <c r="DS173" s="1443"/>
      <c r="DT173" s="1443"/>
      <c r="DU173" s="1005">
        <f>IF(DS173=0,0,(DT173-DS173)/DS173*100)</f>
        <v>0</v>
      </c>
      <c r="DV173" s="1443"/>
      <c r="DW173" s="1443"/>
      <c r="DX173" s="1005">
        <f>IF(DV173=0,0,(DW173-DV173)/DV173*100)</f>
        <v>0</v>
      </c>
      <c r="DY173" s="1443"/>
      <c r="DZ173" s="1443"/>
      <c r="EA173" s="1005">
        <f>IF(DY173=0,0,(DZ173-DY173)/DY173*100)</f>
        <v>0</v>
      </c>
      <c r="EB173" s="1443"/>
      <c r="EC173" s="1443"/>
      <c r="ED173" s="1005">
        <f>IF(EB173=0,0,(EC173-EB173)/EB173*100)</f>
        <v>0</v>
      </c>
      <c r="EE173" s="1443"/>
      <c r="EF173" s="1443"/>
      <c r="EG173" s="1005">
        <f>IF(EE173=0,0,(EF173-EE173)/EE173*100)</f>
        <v>0</v>
      </c>
      <c r="EH173" s="1443"/>
      <c r="EI173" s="1443"/>
      <c r="EJ173" s="1005">
        <f>IF(EH173=0,0,(EI173-EH173)/EH173*100)</f>
        <v>0</v>
      </c>
      <c r="EK173" s="1443"/>
      <c r="EL173" s="1443"/>
      <c r="EM173" s="1005">
        <f>IF(EK173=0,0,(EL173-EK173)/EK173*100)</f>
        <v>0</v>
      </c>
      <c r="EN173" s="1443"/>
      <c r="EO173" s="1443"/>
      <c r="EP173" s="1005">
        <f>IF(EN173=0,0,(EO173-EN173)/EN173*100)</f>
        <v>0</v>
      </c>
      <c r="EQ173" s="1443"/>
      <c r="ER173" s="1443"/>
      <c r="ES173" s="1005">
        <f>IF(EQ173=0,0,(ER173-EQ173)/EQ173*100)</f>
        <v>0</v>
      </c>
      <c r="ET173" s="1443"/>
      <c r="EU173" s="1443"/>
      <c r="EV173" s="1005">
        <f>IF(ET173=0,0,(EU173-ET173)/ET173*100)</f>
        <v>0</v>
      </c>
      <c r="EW173" s="1443"/>
      <c r="EX173" s="1443"/>
      <c r="EY173" s="1005">
        <f>IF(EW173=0,0,(EX173-EW173)/EW173*100)</f>
        <v>0</v>
      </c>
      <c r="EZ173" s="1443"/>
      <c r="FA173" s="1443"/>
      <c r="FB173" s="1005">
        <f>IF(EZ173=0,0,(FA173-EZ173)/EZ173*100)</f>
        <v>0</v>
      </c>
      <c r="FC173" s="1443"/>
      <c r="FD173" s="1443"/>
      <c r="FE173" s="1005">
        <f>IF(FC173=0,0,(FD173-FC173)/FC173*100)</f>
        <v>0</v>
      </c>
      <c r="FF173" s="1443"/>
      <c r="FG173" s="1443"/>
      <c r="FH173" s="1005">
        <f>IF(FF173=0,0,(FG173-FF173)/FF173*100)</f>
        <v>0</v>
      </c>
      <c r="FI173" s="1443"/>
      <c r="FJ173" s="1443"/>
      <c r="FK173" s="1005">
        <f>IF(FI173=0,0,(FJ173-FI173)/FI173*100)</f>
        <v>0</v>
      </c>
      <c r="FL173" s="1443"/>
      <c r="FM173" s="1443"/>
      <c r="FN173" s="1005">
        <f>IF(FL173=0,0,(FM173-FL173)/FL173*100)</f>
        <v>0</v>
      </c>
      <c r="FO173" s="1443"/>
      <c r="FP173" s="1443"/>
      <c r="FQ173" s="1005">
        <f>IF(FO173=0,0,(FP173-FO173)/FO173*100)</f>
        <v>0</v>
      </c>
      <c r="FR173" s="1443"/>
      <c r="FS173" s="1443"/>
      <c r="FT173" s="1005">
        <f>IF(FR173=0,0,(FS173-FR173)/FR173*100)</f>
        <v>0</v>
      </c>
      <c r="FU173" s="1443"/>
      <c r="FV173" s="1443"/>
      <c r="FW173" s="1005">
        <f>IF(FU173=0,0,(FV173-FU173)/FU173*100)</f>
        <v>0</v>
      </c>
      <c r="FX173" s="1214"/>
      <c r="FY173" s="1214"/>
      <c r="FZ173" s="964" t="s">
        <v>1645</v>
      </c>
      <c r="GA173" s="1216"/>
      <c r="GB173" s="1216"/>
      <c r="GC173" s="1215"/>
      <c r="GD173" s="1215"/>
    </row>
    <row r="174" spans="1:186" s="1334" customFormat="1" ht="21.75" hidden="1" customHeight="1" x14ac:dyDescent="0.15">
      <c r="A174" s="416"/>
      <c r="B174" s="837" t="b" cm="1">
        <f t="array" ref="B174">B173</f>
        <v>0</v>
      </c>
      <c r="C174" s="416"/>
      <c r="D174" s="416"/>
      <c r="E174" s="759">
        <v>22.5</v>
      </c>
      <c r="F174" s="3" t="str" cm="1">
        <f t="array" aca="1" ref="F174" ca="1">OFFSET(E174,-1,1)</f>
        <v>2</v>
      </c>
      <c r="G174" s="416"/>
      <c r="H174" s="416" t="s">
        <v>1627</v>
      </c>
      <c r="I174" s="416" t="s">
        <v>1601</v>
      </c>
      <c r="J174" s="416"/>
      <c r="K174" s="416"/>
      <c r="L174" s="416"/>
      <c r="M174" s="416"/>
      <c r="N174" s="416"/>
      <c r="O174" s="416"/>
      <c r="P174" s="416"/>
      <c r="Q174" s="416"/>
      <c r="R174" s="416"/>
      <c r="S174" s="416"/>
      <c r="T174" s="388" t="b" cm="1">
        <f t="array" aca="1" ref="T174" ca="1">T173</f>
        <v>1</v>
      </c>
      <c r="U174" s="416"/>
      <c r="V174" s="416"/>
      <c r="W174" s="416"/>
      <c r="X174" s="2066"/>
      <c r="Y174" s="416"/>
      <c r="Z174" s="2011"/>
      <c r="AA174" s="416"/>
      <c r="AB174" s="1001"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74" s="783" t="s">
        <v>1628</v>
      </c>
      <c r="AD174" s="1445"/>
      <c r="AE174" s="1445"/>
      <c r="AF174" s="1003">
        <f>IF(AD174=0,0,(AE174-AD174)/AD174*100)</f>
        <v>0</v>
      </c>
      <c r="AG174" s="1445"/>
      <c r="AH174" s="1445"/>
      <c r="AI174" s="1003">
        <f>IF(AG174=0,0,(AH174-AG174)/AG174*100)</f>
        <v>0</v>
      </c>
      <c r="AJ174" s="1445"/>
      <c r="AK174" s="1445"/>
      <c r="AL174" s="1003">
        <f>IF(AJ174=0,0,(AK174-AJ174)/AJ174*100)</f>
        <v>0</v>
      </c>
      <c r="AM174" s="1445"/>
      <c r="AN174" s="1445"/>
      <c r="AO174" s="1003">
        <f>IF(AM174=0,0,(AN174-AM174)/AM174*100)</f>
        <v>0</v>
      </c>
      <c r="AP174" s="1445"/>
      <c r="AQ174" s="1445"/>
      <c r="AR174" s="1003">
        <f>IF(AP174=0,0,(AQ174-AP174)/AP174*100)</f>
        <v>0</v>
      </c>
      <c r="AS174" s="1445"/>
      <c r="AT174" s="1445"/>
      <c r="AU174" s="1003">
        <f>IF(AS174=0,0,(AT174-AS174)/AS174*100)</f>
        <v>0</v>
      </c>
      <c r="AV174" s="1445"/>
      <c r="AW174" s="1445"/>
      <c r="AX174" s="1003">
        <f>IF(AV174=0,0,(AW174-AV174)/AV174*100)</f>
        <v>0</v>
      </c>
      <c r="AY174" s="1445"/>
      <c r="AZ174" s="1445"/>
      <c r="BA174" s="1003">
        <f>IF(AY174=0,0,(AZ174-AY174)/AY174*100)</f>
        <v>0</v>
      </c>
      <c r="BB174" s="1445"/>
      <c r="BC174" s="1445"/>
      <c r="BD174" s="1003">
        <f>IF(BB174=0,0,(BC174-BB174)/BB174*100)</f>
        <v>0</v>
      </c>
      <c r="BE174" s="1445"/>
      <c r="BF174" s="1445"/>
      <c r="BG174" s="1003">
        <f>IF(BE174=0,0,(BF174-BE174)/BE174*100)</f>
        <v>0</v>
      </c>
      <c r="BH174" s="1445"/>
      <c r="BI174" s="1445"/>
      <c r="BJ174" s="1003">
        <f>IF(BH174=0,0,(BI174-BH174)/BH174*100)</f>
        <v>0</v>
      </c>
      <c r="BK174" s="1445"/>
      <c r="BL174" s="1445"/>
      <c r="BM174" s="1003">
        <f>IF(BK174=0,0,(BL174-BK174)/BK174*100)</f>
        <v>0</v>
      </c>
      <c r="BN174" s="1445"/>
      <c r="BO174" s="1445"/>
      <c r="BP174" s="1003">
        <f>IF(BN174=0,0,(BO174-BN174)/BN174*100)</f>
        <v>0</v>
      </c>
      <c r="BQ174" s="1445"/>
      <c r="BR174" s="1445"/>
      <c r="BS174" s="1003">
        <f>IF(BQ174=0,0,(BR174-BQ174)/BQ174*100)</f>
        <v>0</v>
      </c>
      <c r="BT174" s="1445"/>
      <c r="BU174" s="1445"/>
      <c r="BV174" s="1003">
        <f>IF(BT174=0,0,(BU174-BT174)/BT174*100)</f>
        <v>0</v>
      </c>
      <c r="BW174" s="1445"/>
      <c r="BX174" s="1445"/>
      <c r="BY174" s="1003">
        <f>IF(BW174=0,0,(BX174-BW174)/BW174*100)</f>
        <v>0</v>
      </c>
      <c r="BZ174" s="1445"/>
      <c r="CA174" s="1445"/>
      <c r="CB174" s="1003">
        <f>IF(BZ174=0,0,(CA174-BZ174)/BZ174*100)</f>
        <v>0</v>
      </c>
      <c r="CC174" s="1445"/>
      <c r="CD174" s="1445"/>
      <c r="CE174" s="1003">
        <f>IF(CC174=0,0,(CD174-CC174)/CC174*100)</f>
        <v>0</v>
      </c>
      <c r="CF174" s="1445"/>
      <c r="CG174" s="1445"/>
      <c r="CH174" s="1003">
        <f>IF(CF174=0,0,(CG174-CF174)/CF174*100)</f>
        <v>0</v>
      </c>
      <c r="CI174" s="1445"/>
      <c r="CJ174" s="1445"/>
      <c r="CK174" s="1003">
        <f>IF(CI174=0,0,(CJ174-CI174)/CI174*100)</f>
        <v>0</v>
      </c>
      <c r="CL174" s="1445"/>
      <c r="CM174" s="1445"/>
      <c r="CN174" s="1003">
        <f>IF(CL174=0,0,(CM174-CL174)/CL174*100)</f>
        <v>0</v>
      </c>
      <c r="CO174" s="1445"/>
      <c r="CP174" s="1445"/>
      <c r="CQ174" s="1003">
        <f>IF(CO174=0,0,(CP174-CO174)/CO174*100)</f>
        <v>0</v>
      </c>
      <c r="CR174" s="1445"/>
      <c r="CS174" s="1445"/>
      <c r="CT174" s="1003">
        <f>IF(CR174=0,0,(CS174-CR174)/CR174*100)</f>
        <v>0</v>
      </c>
      <c r="CU174" s="1445"/>
      <c r="CV174" s="1445"/>
      <c r="CW174" s="1003">
        <f>IF(CU174=0,0,(CV174-CU174)/CU174*100)</f>
        <v>0</v>
      </c>
      <c r="CX174" s="1445"/>
      <c r="CY174" s="1445"/>
      <c r="CZ174" s="1003">
        <f>IF(CX174=0,0,(CY174-CX174)/CX174*100)</f>
        <v>0</v>
      </c>
      <c r="DA174" s="1445"/>
      <c r="DB174" s="1445"/>
      <c r="DC174" s="1003">
        <f>IF(DA174=0,0,(DB174-DA174)/DA174*100)</f>
        <v>0</v>
      </c>
      <c r="DD174" s="1445"/>
      <c r="DE174" s="1445"/>
      <c r="DF174" s="1003">
        <f>IF(DD174=0,0,(DE174-DD174)/DD174*100)</f>
        <v>0</v>
      </c>
      <c r="DG174" s="1445"/>
      <c r="DH174" s="1445"/>
      <c r="DI174" s="1003">
        <f>IF(DG174=0,0,(DH174-DG174)/DG174*100)</f>
        <v>0</v>
      </c>
      <c r="DJ174" s="1445"/>
      <c r="DK174" s="1445"/>
      <c r="DL174" s="1003">
        <f>IF(DJ174=0,0,(DK174-DJ174)/DJ174*100)</f>
        <v>0</v>
      </c>
      <c r="DM174" s="1445"/>
      <c r="DN174" s="1445"/>
      <c r="DO174" s="1003">
        <f>IF(DM174=0,0,(DN174-DM174)/DM174*100)</f>
        <v>0</v>
      </c>
      <c r="DP174" s="1445"/>
      <c r="DQ174" s="1445"/>
      <c r="DR174" s="1003">
        <f>IF(DP174=0,0,(DQ174-DP174)/DP174*100)</f>
        <v>0</v>
      </c>
      <c r="DS174" s="1445"/>
      <c r="DT174" s="1445"/>
      <c r="DU174" s="1003">
        <f>IF(DS174=0,0,(DT174-DS174)/DS174*100)</f>
        <v>0</v>
      </c>
      <c r="DV174" s="1445"/>
      <c r="DW174" s="1445"/>
      <c r="DX174" s="1003">
        <f>IF(DV174=0,0,(DW174-DV174)/DV174*100)</f>
        <v>0</v>
      </c>
      <c r="DY174" s="1445"/>
      <c r="DZ174" s="1445"/>
      <c r="EA174" s="1003">
        <f>IF(DY174=0,0,(DZ174-DY174)/DY174*100)</f>
        <v>0</v>
      </c>
      <c r="EB174" s="1445"/>
      <c r="EC174" s="1445"/>
      <c r="ED174" s="1003">
        <f>IF(EB174=0,0,(EC174-EB174)/EB174*100)</f>
        <v>0</v>
      </c>
      <c r="EE174" s="1445"/>
      <c r="EF174" s="1445"/>
      <c r="EG174" s="1003">
        <f>IF(EE174=0,0,(EF174-EE174)/EE174*100)</f>
        <v>0</v>
      </c>
      <c r="EH174" s="1445"/>
      <c r="EI174" s="1445"/>
      <c r="EJ174" s="1003">
        <f>IF(EH174=0,0,(EI174-EH174)/EH174*100)</f>
        <v>0</v>
      </c>
      <c r="EK174" s="1445"/>
      <c r="EL174" s="1445"/>
      <c r="EM174" s="1003">
        <f>IF(EK174=0,0,(EL174-EK174)/EK174*100)</f>
        <v>0</v>
      </c>
      <c r="EN174" s="1445"/>
      <c r="EO174" s="1445"/>
      <c r="EP174" s="1003">
        <f>IF(EN174=0,0,(EO174-EN174)/EN174*100)</f>
        <v>0</v>
      </c>
      <c r="EQ174" s="1445"/>
      <c r="ER174" s="1445"/>
      <c r="ES174" s="1003">
        <f>IF(EQ174=0,0,(ER174-EQ174)/EQ174*100)</f>
        <v>0</v>
      </c>
      <c r="ET174" s="1445"/>
      <c r="EU174" s="1445"/>
      <c r="EV174" s="1003">
        <f>IF(ET174=0,0,(EU174-ET174)/ET174*100)</f>
        <v>0</v>
      </c>
      <c r="EW174" s="1445"/>
      <c r="EX174" s="1445"/>
      <c r="EY174" s="1003">
        <f>IF(EW174=0,0,(EX174-EW174)/EW174*100)</f>
        <v>0</v>
      </c>
      <c r="EZ174" s="1445"/>
      <c r="FA174" s="1445"/>
      <c r="FB174" s="1003">
        <f>IF(EZ174=0,0,(FA174-EZ174)/EZ174*100)</f>
        <v>0</v>
      </c>
      <c r="FC174" s="1445"/>
      <c r="FD174" s="1445"/>
      <c r="FE174" s="1003">
        <f>IF(FC174=0,0,(FD174-FC174)/FC174*100)</f>
        <v>0</v>
      </c>
      <c r="FF174" s="1445"/>
      <c r="FG174" s="1445"/>
      <c r="FH174" s="1003">
        <f>IF(FF174=0,0,(FG174-FF174)/FF174*100)</f>
        <v>0</v>
      </c>
      <c r="FI174" s="1445"/>
      <c r="FJ174" s="1445"/>
      <c r="FK174" s="1003">
        <f>IF(FI174=0,0,(FJ174-FI174)/FI174*100)</f>
        <v>0</v>
      </c>
      <c r="FL174" s="1445"/>
      <c r="FM174" s="1445"/>
      <c r="FN174" s="1003">
        <f>IF(FL174=0,0,(FM174-FL174)/FL174*100)</f>
        <v>0</v>
      </c>
      <c r="FO174" s="1445"/>
      <c r="FP174" s="1445"/>
      <c r="FQ174" s="1003">
        <f>IF(FO174=0,0,(FP174-FO174)/FO174*100)</f>
        <v>0</v>
      </c>
      <c r="FR174" s="1445"/>
      <c r="FS174" s="1445"/>
      <c r="FT174" s="1003">
        <f>IF(FR174=0,0,(FS174-FR174)/FR174*100)</f>
        <v>0</v>
      </c>
      <c r="FU174" s="1445"/>
      <c r="FV174" s="1445"/>
      <c r="FW174" s="1003">
        <f>IF(FU174=0,0,(FV174-FU174)/FU174*100)</f>
        <v>0</v>
      </c>
      <c r="FX174" s="1214"/>
      <c r="FY174" s="1214"/>
      <c r="FZ174" s="964" t="s">
        <v>1646</v>
      </c>
      <c r="GA174" s="1216"/>
      <c r="GB174" s="1216"/>
      <c r="GC174" s="1215"/>
      <c r="GD174" s="1215"/>
    </row>
    <row r="175" spans="1:186" s="1334" customFormat="1" ht="14.25" hidden="1" customHeight="1" x14ac:dyDescent="0.15">
      <c r="A175" s="416"/>
      <c r="B175" s="837" t="b" cm="1">
        <f t="array" ref="B175">B174</f>
        <v>0</v>
      </c>
      <c r="C175" s="416"/>
      <c r="D175" s="416"/>
      <c r="E175" s="759">
        <v>15</v>
      </c>
      <c r="F175" s="3" t="str" cm="1">
        <f t="array" aca="1" ref="F175" ca="1">OFFSET(E175,-1,1)</f>
        <v>2</v>
      </c>
      <c r="G175" s="416"/>
      <c r="H175" s="416" t="s">
        <v>1630</v>
      </c>
      <c r="I175" s="416" t="s">
        <v>1601</v>
      </c>
      <c r="J175" s="416"/>
      <c r="K175" s="416"/>
      <c r="L175" s="416"/>
      <c r="M175" s="416"/>
      <c r="N175" s="416"/>
      <c r="O175" s="416"/>
      <c r="P175" s="416"/>
      <c r="Q175" s="416"/>
      <c r="R175" s="416"/>
      <c r="S175" s="416"/>
      <c r="T175" s="388" t="b" cm="1">
        <f t="array" aca="1" ref="T175" ca="1">T174</f>
        <v>1</v>
      </c>
      <c r="U175" s="416"/>
      <c r="V175" s="416"/>
      <c r="W175" s="416"/>
      <c r="X175" s="2066"/>
      <c r="Y175" s="416"/>
      <c r="Z175" s="2011"/>
      <c r="AA175" s="416"/>
      <c r="AB175" s="1001" t="s">
        <v>1631</v>
      </c>
      <c r="AC175" s="783" t="s">
        <v>1632</v>
      </c>
      <c r="AD175" s="1445"/>
      <c r="AE175" s="1445"/>
      <c r="AF175" s="1003">
        <f>IF(AD175=0,0,(AE175-AD175)/AD175*100)</f>
        <v>0</v>
      </c>
      <c r="AG175" s="1445"/>
      <c r="AH175" s="1445"/>
      <c r="AI175" s="1003">
        <f>IF(AG175=0,0,(AH175-AG175)/AG175*100)</f>
        <v>0</v>
      </c>
      <c r="AJ175" s="1445"/>
      <c r="AK175" s="1445"/>
      <c r="AL175" s="1003">
        <f>IF(AJ175=0,0,(AK175-AJ175)/AJ175*100)</f>
        <v>0</v>
      </c>
      <c r="AM175" s="1445"/>
      <c r="AN175" s="1445"/>
      <c r="AO175" s="1003">
        <f>IF(AM175=0,0,(AN175-AM175)/AM175*100)</f>
        <v>0</v>
      </c>
      <c r="AP175" s="1445"/>
      <c r="AQ175" s="1445"/>
      <c r="AR175" s="1003">
        <f>IF(AP175=0,0,(AQ175-AP175)/AP175*100)</f>
        <v>0</v>
      </c>
      <c r="AS175" s="1445"/>
      <c r="AT175" s="1445"/>
      <c r="AU175" s="1003">
        <f>IF(AS175=0,0,(AT175-AS175)/AS175*100)</f>
        <v>0</v>
      </c>
      <c r="AV175" s="1445"/>
      <c r="AW175" s="1445"/>
      <c r="AX175" s="1003">
        <f>IF(AV175=0,0,(AW175-AV175)/AV175*100)</f>
        <v>0</v>
      </c>
      <c r="AY175" s="1445"/>
      <c r="AZ175" s="1445"/>
      <c r="BA175" s="1003">
        <f>IF(AY175=0,0,(AZ175-AY175)/AY175*100)</f>
        <v>0</v>
      </c>
      <c r="BB175" s="1445"/>
      <c r="BC175" s="1445"/>
      <c r="BD175" s="1003">
        <f>IF(BB175=0,0,(BC175-BB175)/BB175*100)</f>
        <v>0</v>
      </c>
      <c r="BE175" s="1445"/>
      <c r="BF175" s="1445"/>
      <c r="BG175" s="1003">
        <f>IF(BE175=0,0,(BF175-BE175)/BE175*100)</f>
        <v>0</v>
      </c>
      <c r="BH175" s="1445"/>
      <c r="BI175" s="1445"/>
      <c r="BJ175" s="1003">
        <f>IF(BH175=0,0,(BI175-BH175)/BH175*100)</f>
        <v>0</v>
      </c>
      <c r="BK175" s="1445"/>
      <c r="BL175" s="1445"/>
      <c r="BM175" s="1003">
        <f>IF(BK175=0,0,(BL175-BK175)/BK175*100)</f>
        <v>0</v>
      </c>
      <c r="BN175" s="1445"/>
      <c r="BO175" s="1445"/>
      <c r="BP175" s="1003">
        <f>IF(BN175=0,0,(BO175-BN175)/BN175*100)</f>
        <v>0</v>
      </c>
      <c r="BQ175" s="1445"/>
      <c r="BR175" s="1445"/>
      <c r="BS175" s="1003">
        <f>IF(BQ175=0,0,(BR175-BQ175)/BQ175*100)</f>
        <v>0</v>
      </c>
      <c r="BT175" s="1445"/>
      <c r="BU175" s="1445"/>
      <c r="BV175" s="1003">
        <f>IF(BT175=0,0,(BU175-BT175)/BT175*100)</f>
        <v>0</v>
      </c>
      <c r="BW175" s="1445"/>
      <c r="BX175" s="1445"/>
      <c r="BY175" s="1003">
        <f>IF(BW175=0,0,(BX175-BW175)/BW175*100)</f>
        <v>0</v>
      </c>
      <c r="BZ175" s="1445"/>
      <c r="CA175" s="1445"/>
      <c r="CB175" s="1003">
        <f>IF(BZ175=0,0,(CA175-BZ175)/BZ175*100)</f>
        <v>0</v>
      </c>
      <c r="CC175" s="1445"/>
      <c r="CD175" s="1445"/>
      <c r="CE175" s="1003">
        <f>IF(CC175=0,0,(CD175-CC175)/CC175*100)</f>
        <v>0</v>
      </c>
      <c r="CF175" s="1445"/>
      <c r="CG175" s="1445"/>
      <c r="CH175" s="1003">
        <f>IF(CF175=0,0,(CG175-CF175)/CF175*100)</f>
        <v>0</v>
      </c>
      <c r="CI175" s="1445"/>
      <c r="CJ175" s="1445"/>
      <c r="CK175" s="1003">
        <f>IF(CI175=0,0,(CJ175-CI175)/CI175*100)</f>
        <v>0</v>
      </c>
      <c r="CL175" s="1445"/>
      <c r="CM175" s="1445"/>
      <c r="CN175" s="1003">
        <f>IF(CL175=0,0,(CM175-CL175)/CL175*100)</f>
        <v>0</v>
      </c>
      <c r="CO175" s="1445"/>
      <c r="CP175" s="1445"/>
      <c r="CQ175" s="1003">
        <f>IF(CO175=0,0,(CP175-CO175)/CO175*100)</f>
        <v>0</v>
      </c>
      <c r="CR175" s="1445"/>
      <c r="CS175" s="1445"/>
      <c r="CT175" s="1003">
        <f>IF(CR175=0,0,(CS175-CR175)/CR175*100)</f>
        <v>0</v>
      </c>
      <c r="CU175" s="1445"/>
      <c r="CV175" s="1445"/>
      <c r="CW175" s="1003">
        <f>IF(CU175=0,0,(CV175-CU175)/CU175*100)</f>
        <v>0</v>
      </c>
      <c r="CX175" s="1445"/>
      <c r="CY175" s="1445"/>
      <c r="CZ175" s="1003">
        <f>IF(CX175=0,0,(CY175-CX175)/CX175*100)</f>
        <v>0</v>
      </c>
      <c r="DA175" s="1445"/>
      <c r="DB175" s="1445"/>
      <c r="DC175" s="1003">
        <f>IF(DA175=0,0,(DB175-DA175)/DA175*100)</f>
        <v>0</v>
      </c>
      <c r="DD175" s="1445"/>
      <c r="DE175" s="1445"/>
      <c r="DF175" s="1003">
        <f>IF(DD175=0,0,(DE175-DD175)/DD175*100)</f>
        <v>0</v>
      </c>
      <c r="DG175" s="1445"/>
      <c r="DH175" s="1445"/>
      <c r="DI175" s="1003">
        <f>IF(DG175=0,0,(DH175-DG175)/DG175*100)</f>
        <v>0</v>
      </c>
      <c r="DJ175" s="1445"/>
      <c r="DK175" s="1445"/>
      <c r="DL175" s="1003">
        <f>IF(DJ175=0,0,(DK175-DJ175)/DJ175*100)</f>
        <v>0</v>
      </c>
      <c r="DM175" s="1445"/>
      <c r="DN175" s="1445"/>
      <c r="DO175" s="1003">
        <f>IF(DM175=0,0,(DN175-DM175)/DM175*100)</f>
        <v>0</v>
      </c>
      <c r="DP175" s="1445"/>
      <c r="DQ175" s="1445"/>
      <c r="DR175" s="1003">
        <f>IF(DP175=0,0,(DQ175-DP175)/DP175*100)</f>
        <v>0</v>
      </c>
      <c r="DS175" s="1445"/>
      <c r="DT175" s="1445"/>
      <c r="DU175" s="1003">
        <f>IF(DS175=0,0,(DT175-DS175)/DS175*100)</f>
        <v>0</v>
      </c>
      <c r="DV175" s="1445"/>
      <c r="DW175" s="1445"/>
      <c r="DX175" s="1003">
        <f>IF(DV175=0,0,(DW175-DV175)/DV175*100)</f>
        <v>0</v>
      </c>
      <c r="DY175" s="1445"/>
      <c r="DZ175" s="1445"/>
      <c r="EA175" s="1003">
        <f>IF(DY175=0,0,(DZ175-DY175)/DY175*100)</f>
        <v>0</v>
      </c>
      <c r="EB175" s="1445"/>
      <c r="EC175" s="1445"/>
      <c r="ED175" s="1003">
        <f>IF(EB175=0,0,(EC175-EB175)/EB175*100)</f>
        <v>0</v>
      </c>
      <c r="EE175" s="1445"/>
      <c r="EF175" s="1445"/>
      <c r="EG175" s="1003">
        <f>IF(EE175=0,0,(EF175-EE175)/EE175*100)</f>
        <v>0</v>
      </c>
      <c r="EH175" s="1445"/>
      <c r="EI175" s="1445"/>
      <c r="EJ175" s="1003">
        <f>IF(EH175=0,0,(EI175-EH175)/EH175*100)</f>
        <v>0</v>
      </c>
      <c r="EK175" s="1445"/>
      <c r="EL175" s="1445"/>
      <c r="EM175" s="1003">
        <f>IF(EK175=0,0,(EL175-EK175)/EK175*100)</f>
        <v>0</v>
      </c>
      <c r="EN175" s="1445"/>
      <c r="EO175" s="1445"/>
      <c r="EP175" s="1003">
        <f>IF(EN175=0,0,(EO175-EN175)/EN175*100)</f>
        <v>0</v>
      </c>
      <c r="EQ175" s="1445"/>
      <c r="ER175" s="1445"/>
      <c r="ES175" s="1003">
        <f>IF(EQ175=0,0,(ER175-EQ175)/EQ175*100)</f>
        <v>0</v>
      </c>
      <c r="ET175" s="1445"/>
      <c r="EU175" s="1445"/>
      <c r="EV175" s="1003">
        <f>IF(ET175=0,0,(EU175-ET175)/ET175*100)</f>
        <v>0</v>
      </c>
      <c r="EW175" s="1445"/>
      <c r="EX175" s="1445"/>
      <c r="EY175" s="1003">
        <f>IF(EW175=0,0,(EX175-EW175)/EW175*100)</f>
        <v>0</v>
      </c>
      <c r="EZ175" s="1445"/>
      <c r="FA175" s="1445"/>
      <c r="FB175" s="1003">
        <f>IF(EZ175=0,0,(FA175-EZ175)/EZ175*100)</f>
        <v>0</v>
      </c>
      <c r="FC175" s="1445"/>
      <c r="FD175" s="1445"/>
      <c r="FE175" s="1003">
        <f>IF(FC175=0,0,(FD175-FC175)/FC175*100)</f>
        <v>0</v>
      </c>
      <c r="FF175" s="1445"/>
      <c r="FG175" s="1445"/>
      <c r="FH175" s="1003">
        <f>IF(FF175=0,0,(FG175-FF175)/FF175*100)</f>
        <v>0</v>
      </c>
      <c r="FI175" s="1445"/>
      <c r="FJ175" s="1445"/>
      <c r="FK175" s="1003">
        <f>IF(FI175=0,0,(FJ175-FI175)/FI175*100)</f>
        <v>0</v>
      </c>
      <c r="FL175" s="1445"/>
      <c r="FM175" s="1445"/>
      <c r="FN175" s="1003">
        <f>IF(FL175=0,0,(FM175-FL175)/FL175*100)</f>
        <v>0</v>
      </c>
      <c r="FO175" s="1445"/>
      <c r="FP175" s="1445"/>
      <c r="FQ175" s="1003">
        <f>IF(FO175=0,0,(FP175-FO175)/FO175*100)</f>
        <v>0</v>
      </c>
      <c r="FR175" s="1445"/>
      <c r="FS175" s="1445"/>
      <c r="FT175" s="1003">
        <f>IF(FR175=0,0,(FS175-FR175)/FR175*100)</f>
        <v>0</v>
      </c>
      <c r="FU175" s="1445"/>
      <c r="FV175" s="1445"/>
      <c r="FW175" s="1003">
        <f>IF(FU175=0,0,(FV175-FU175)/FU175*100)</f>
        <v>0</v>
      </c>
      <c r="FX175" s="1214"/>
      <c r="FY175" s="1214"/>
      <c r="FZ175" s="964" t="s">
        <v>1647</v>
      </c>
      <c r="GA175" s="1216"/>
      <c r="GB175" s="1216"/>
      <c r="GC175" s="1215"/>
      <c r="GD175" s="1215"/>
    </row>
    <row r="176" spans="1:186" s="1334" customFormat="1" ht="23.25" hidden="1" customHeight="1" x14ac:dyDescent="0.15">
      <c r="A176" s="416"/>
      <c r="B176" s="837" t="b" cm="1">
        <f t="array" ref="B176">B175</f>
        <v>0</v>
      </c>
      <c r="C176" s="416"/>
      <c r="D176" s="416"/>
      <c r="E176" s="759">
        <v>24.5</v>
      </c>
      <c r="F176" s="3" t="str" cm="1">
        <f t="array" aca="1" ref="F176" ca="1">OFFSET(E176,-1,1)</f>
        <v>2</v>
      </c>
      <c r="G176" s="416"/>
      <c r="H176" s="416"/>
      <c r="I176" s="416"/>
      <c r="J176" s="416"/>
      <c r="K176" s="416"/>
      <c r="L176" s="416"/>
      <c r="M176" s="416"/>
      <c r="N176" s="416"/>
      <c r="O176" s="416"/>
      <c r="P176" s="416"/>
      <c r="Q176" s="416"/>
      <c r="R176" s="416"/>
      <c r="S176" s="416"/>
      <c r="T176" s="388" t="b" cm="1">
        <f t="array" aca="1" ref="T176" ca="1">T175</f>
        <v>1</v>
      </c>
      <c r="U176" s="416"/>
      <c r="V176" s="416"/>
      <c r="W176" s="416"/>
      <c r="X176" s="2066"/>
      <c r="Y176" s="416"/>
      <c r="Z176" s="2011"/>
      <c r="AA176" s="416"/>
      <c r="AB176" s="211" t="s">
        <v>1648</v>
      </c>
      <c r="AC176" s="817"/>
      <c r="AD176" s="1010"/>
      <c r="AE176" s="1010"/>
      <c r="AF176" s="1010"/>
      <c r="AG176" s="1010"/>
      <c r="AH176" s="1010"/>
      <c r="AI176" s="1010"/>
      <c r="AJ176" s="1010"/>
      <c r="AK176" s="1010"/>
      <c r="AL176" s="1010"/>
      <c r="AM176" s="1010"/>
      <c r="AN176" s="1010"/>
      <c r="AO176" s="1010"/>
      <c r="AP176" s="1010"/>
      <c r="AQ176" s="1010"/>
      <c r="AR176" s="1010"/>
      <c r="AS176" s="1010"/>
      <c r="AT176" s="1010"/>
      <c r="AU176" s="1010"/>
      <c r="AV176" s="1010"/>
      <c r="AW176" s="1010"/>
      <c r="AX176" s="1010"/>
      <c r="AY176" s="1010"/>
      <c r="AZ176" s="1010"/>
      <c r="BA176" s="1010"/>
      <c r="BB176" s="1010"/>
      <c r="BC176" s="1010"/>
      <c r="BD176" s="1010"/>
      <c r="BE176" s="1010"/>
      <c r="BF176" s="1010"/>
      <c r="BG176" s="1010"/>
      <c r="BH176" s="1010"/>
      <c r="BI176" s="1010"/>
      <c r="BJ176" s="1010"/>
      <c r="BK176" s="1010"/>
      <c r="BL176" s="1010"/>
      <c r="BM176" s="1010"/>
      <c r="BN176" s="1010"/>
      <c r="BO176" s="1010"/>
      <c r="BP176" s="1010"/>
      <c r="BQ176" s="1010"/>
      <c r="BR176" s="1010"/>
      <c r="BS176" s="1010"/>
      <c r="BT176" s="1010"/>
      <c r="BU176" s="1010"/>
      <c r="BV176" s="1010"/>
      <c r="BW176" s="1010"/>
      <c r="BX176" s="1010"/>
      <c r="BY176" s="1010"/>
      <c r="BZ176" s="1010"/>
      <c r="CA176" s="1010"/>
      <c r="CB176" s="1010"/>
      <c r="CC176" s="1010"/>
      <c r="CD176" s="1010"/>
      <c r="CE176" s="1010"/>
      <c r="CF176" s="1010"/>
      <c r="CG176" s="1010"/>
      <c r="CH176" s="1010"/>
      <c r="CI176" s="1010"/>
      <c r="CJ176" s="1010"/>
      <c r="CK176" s="1010"/>
      <c r="CL176" s="1010"/>
      <c r="CM176" s="1010"/>
      <c r="CN176" s="1010"/>
      <c r="CO176" s="1010"/>
      <c r="CP176" s="1010"/>
      <c r="CQ176" s="1010"/>
      <c r="CR176" s="1010"/>
      <c r="CS176" s="1010"/>
      <c r="CT176" s="1010"/>
      <c r="CU176" s="1010"/>
      <c r="CV176" s="1010"/>
      <c r="CW176" s="1010"/>
      <c r="CX176" s="1010"/>
      <c r="CY176" s="1010"/>
      <c r="CZ176" s="1010"/>
      <c r="DA176" s="1010"/>
      <c r="DB176" s="1010"/>
      <c r="DC176" s="1010"/>
      <c r="DD176" s="1010"/>
      <c r="DE176" s="1010"/>
      <c r="DF176" s="1010"/>
      <c r="DG176" s="1010"/>
      <c r="DH176" s="1010"/>
      <c r="DI176" s="1010"/>
      <c r="DJ176" s="1010"/>
      <c r="DK176" s="1010"/>
      <c r="DL176" s="1010"/>
      <c r="DM176" s="1010"/>
      <c r="DN176" s="1010"/>
      <c r="DO176" s="1010"/>
      <c r="DP176" s="1010"/>
      <c r="DQ176" s="1010"/>
      <c r="DR176" s="1010"/>
      <c r="DS176" s="1010"/>
      <c r="DT176" s="1010"/>
      <c r="DU176" s="1010"/>
      <c r="DV176" s="1010"/>
      <c r="DW176" s="1010"/>
      <c r="DX176" s="1010"/>
      <c r="DY176" s="1010"/>
      <c r="DZ176" s="1010"/>
      <c r="EA176" s="1010"/>
      <c r="EB176" s="1010"/>
      <c r="EC176" s="1010"/>
      <c r="ED176" s="1010"/>
      <c r="EE176" s="1010"/>
      <c r="EF176" s="1010"/>
      <c r="EG176" s="1010"/>
      <c r="EH176" s="1010"/>
      <c r="EI176" s="1010"/>
      <c r="EJ176" s="1010"/>
      <c r="EK176" s="1010"/>
      <c r="EL176" s="1010"/>
      <c r="EM176" s="1010"/>
      <c r="EN176" s="1010"/>
      <c r="EO176" s="1010"/>
      <c r="EP176" s="1010"/>
      <c r="EQ176" s="1010"/>
      <c r="ER176" s="1010"/>
      <c r="ES176" s="1010"/>
      <c r="ET176" s="1010"/>
      <c r="EU176" s="1010"/>
      <c r="EV176" s="1010"/>
      <c r="EW176" s="1010"/>
      <c r="EX176" s="1010"/>
      <c r="EY176" s="1010"/>
      <c r="EZ176" s="1010"/>
      <c r="FA176" s="1010"/>
      <c r="FB176" s="1010"/>
      <c r="FC176" s="1010"/>
      <c r="FD176" s="1010"/>
      <c r="FE176" s="1010"/>
      <c r="FF176" s="1010"/>
      <c r="FG176" s="1010"/>
      <c r="FH176" s="1010"/>
      <c r="FI176" s="1010"/>
      <c r="FJ176" s="1010"/>
      <c r="FK176" s="1010"/>
      <c r="FL176" s="1010"/>
      <c r="FM176" s="1010"/>
      <c r="FN176" s="1010"/>
      <c r="FO176" s="1010"/>
      <c r="FP176" s="1010"/>
      <c r="FQ176" s="1010"/>
      <c r="FR176" s="1010"/>
      <c r="FS176" s="1010"/>
      <c r="FT176" s="1010"/>
      <c r="FU176" s="1010"/>
      <c r="FV176" s="1010"/>
      <c r="FW176" s="1011"/>
      <c r="FX176" s="1214"/>
      <c r="FY176" s="1214"/>
      <c r="FZ176" s="964"/>
      <c r="GA176" s="1216"/>
      <c r="GB176" s="1216"/>
      <c r="GC176" s="1215"/>
      <c r="GD176" s="1215"/>
    </row>
    <row r="177" spans="1:186" s="1334" customFormat="1" ht="14.25" hidden="1" customHeight="1" x14ac:dyDescent="0.15">
      <c r="A177" s="416"/>
      <c r="B177" s="837" t="b" cm="1">
        <f t="array" ref="B177">B176</f>
        <v>0</v>
      </c>
      <c r="C177" s="416"/>
      <c r="D177" s="416"/>
      <c r="E177" s="759">
        <v>15</v>
      </c>
      <c r="F177" s="3" t="str" cm="1">
        <f t="array" aca="1" ref="F177" ca="1">OFFSET(E177,-1,1)</f>
        <v>2</v>
      </c>
      <c r="G177" s="416"/>
      <c r="H177" s="416" t="s">
        <v>1529</v>
      </c>
      <c r="I177" s="416" t="s">
        <v>1605</v>
      </c>
      <c r="J177" s="416"/>
      <c r="K177" s="416"/>
      <c r="L177" s="416"/>
      <c r="M177" s="416"/>
      <c r="N177" s="416"/>
      <c r="O177" s="416"/>
      <c r="P177" s="416"/>
      <c r="Q177" s="416"/>
      <c r="R177" s="416"/>
      <c r="S177" s="416"/>
      <c r="T177" s="388" t="b" cm="1">
        <f t="array" aca="1" ref="T177" ca="1">T176</f>
        <v>1</v>
      </c>
      <c r="U177" s="416"/>
      <c r="V177" s="416"/>
      <c r="W177" s="416"/>
      <c r="X177" s="2066"/>
      <c r="Y177" s="416"/>
      <c r="Z177" s="2011"/>
      <c r="AA177" s="416"/>
      <c r="AB177" s="1001" t="s">
        <v>1621</v>
      </c>
      <c r="AC177" s="783" t="s">
        <v>1588</v>
      </c>
      <c r="AD177" s="1445">
        <f ca="1">IF(AD179=0,0,(AD178*AD179+AD180*AD181*IF(god=2026,3,6))/AD179)</f>
        <v>0</v>
      </c>
      <c r="AE177" s="1445">
        <f ca="1">IF(AE179=0,0,(AE178*AE179+AE180*AE181*IF(god=2026,3,6))/AE179)</f>
        <v>0</v>
      </c>
      <c r="AF177" s="1003">
        <f ca="1">IF(AD177=0,0,(AE177-AD177)/AD177*100)</f>
        <v>0</v>
      </c>
      <c r="AG177" s="1445">
        <f ca="1">IF(AG179=0,0,(AG178*AG179+AG180*AG181*IF(god=2025,3,6))/AG179)</f>
        <v>0</v>
      </c>
      <c r="AH177" s="1445">
        <f ca="1">IF(AH179=0,0,(AH178*AH179+AH180*AH181*IF(god=2025,3,6))/AH179)</f>
        <v>0</v>
      </c>
      <c r="AI177" s="1003">
        <f ca="1">IF(AG177=0,0,(AH177-AG177)/AG177*100)</f>
        <v>0</v>
      </c>
      <c r="AJ177" s="1445">
        <f ca="1">IF(AJ179=0,0,(AJ178*AJ179+AJ180*AJ181*6)/AJ179)</f>
        <v>0</v>
      </c>
      <c r="AK177" s="1445">
        <f ca="1">IF(AK179=0,0,(AK178*AK179+AK180*AK181*6)/AK179)</f>
        <v>0</v>
      </c>
      <c r="AL177" s="1003">
        <f ca="1">IF(AJ177=0,0,(AK177-AJ177)/AJ177*100)</f>
        <v>0</v>
      </c>
      <c r="AM177" s="1445">
        <f ca="1">IF(AM179=0,0,(AM178*AM179+AM180*AM181*6)/AM179)</f>
        <v>0</v>
      </c>
      <c r="AN177" s="1445">
        <f ca="1">IF(AN179=0,0,(AN178*AN179+AN180*AN181*6)/AN179)</f>
        <v>0</v>
      </c>
      <c r="AO177" s="1003">
        <f ca="1">IF(AM177=0,0,(AN177-AM177)/AM177*100)</f>
        <v>0</v>
      </c>
      <c r="AP177" s="1445">
        <f ca="1">IF(AP179=0,0,(AP178*AP179+AP180*AP181*6)/AP179)</f>
        <v>0</v>
      </c>
      <c r="AQ177" s="1445">
        <f ca="1">IF(AQ179=0,0,(AQ178*AQ179+AQ180*AQ181*6)/AQ179)</f>
        <v>0</v>
      </c>
      <c r="AR177" s="1003">
        <f ca="1">IF(AP177=0,0,(AQ177-AP177)/AP177*100)</f>
        <v>0</v>
      </c>
      <c r="AS177" s="1445">
        <f ca="1">IF(AS179=0,0,(AS178*AS179+AS180*AS181*6)/AS179)</f>
        <v>0</v>
      </c>
      <c r="AT177" s="1445">
        <f ca="1">IF(AT179=0,0,(AT178*AT179+AT180*AT181*6)/AT179)</f>
        <v>0</v>
      </c>
      <c r="AU177" s="1003">
        <f ca="1">IF(AS177=0,0,(AT177-AS177)/AS177*100)</f>
        <v>0</v>
      </c>
      <c r="AV177" s="1445">
        <f ca="1">IF(AV179=0,0,(AV178*AV179+AV180*AV181*6)/AV179)</f>
        <v>0</v>
      </c>
      <c r="AW177" s="1445">
        <f ca="1">IF(AW179=0,0,(AW178*AW179+AW180*AW181*6)/AW179)</f>
        <v>0</v>
      </c>
      <c r="AX177" s="1003">
        <f ca="1">IF(AV177=0,0,(AW177-AV177)/AV177*100)</f>
        <v>0</v>
      </c>
      <c r="AY177" s="1445">
        <f ca="1">IF(AY179=0,0,(AY178*AY179+AY180*AY181*6)/AY179)</f>
        <v>0</v>
      </c>
      <c r="AZ177" s="1445">
        <f ca="1">IF(AZ179=0,0,(AZ178*AZ179+AZ180*AZ181*6)/AZ179)</f>
        <v>0</v>
      </c>
      <c r="BA177" s="1003">
        <f ca="1">IF(AY177=0,0,(AZ177-AY177)/AY177*100)</f>
        <v>0</v>
      </c>
      <c r="BB177" s="1445">
        <f ca="1">IF(BB179=0,0,(BB178*BB179+BB180*BB181*6)/BB179)</f>
        <v>0</v>
      </c>
      <c r="BC177" s="1445">
        <f ca="1">IF(BC179=0,0,(BC178*BC179+BC180*BC181*6)/BC179)</f>
        <v>0</v>
      </c>
      <c r="BD177" s="1003">
        <f ca="1">IF(BB177=0,0,(BC177-BB177)/BB177*100)</f>
        <v>0</v>
      </c>
      <c r="BE177" s="1445">
        <f ca="1">IF(BE179=0,0,(BE178*BE179+BE180*BE181*6)/BE179)</f>
        <v>0</v>
      </c>
      <c r="BF177" s="1445">
        <f ca="1">IF(BF179=0,0,(BF178*BF179+BF180*BF181*6)/BF179)</f>
        <v>0</v>
      </c>
      <c r="BG177" s="1003">
        <f ca="1">IF(BE177=0,0,(BF177-BE177)/BE177*100)</f>
        <v>0</v>
      </c>
      <c r="BH177" s="1445">
        <f>IF(BH179=0,0,(BH178*BH179+BH180*BH181*6)/BH179)</f>
        <v>0</v>
      </c>
      <c r="BI177" s="1445">
        <f>IF(BI179=0,0,(BI178*BI179+BI180*BI181*6)/BI179)</f>
        <v>0</v>
      </c>
      <c r="BJ177" s="1003">
        <f>IF(BH177=0,0,(BI177-BH177)/BH177*100)</f>
        <v>0</v>
      </c>
      <c r="BK177" s="1445">
        <f>IF(BK179=0,0,(BK178*BK179+BK180*BK181*6)/BK179)</f>
        <v>0</v>
      </c>
      <c r="BL177" s="1445">
        <f>IF(BL179=0,0,(BL178*BL179+BL180*BL181*6)/BL179)</f>
        <v>0</v>
      </c>
      <c r="BM177" s="1003">
        <f>IF(BK177=0,0,(BL177-BK177)/BK177*100)</f>
        <v>0</v>
      </c>
      <c r="BN177" s="1445">
        <f>IF(BN179=0,0,(BN178*BN179+BN180*BN181*6)/BN179)</f>
        <v>0</v>
      </c>
      <c r="BO177" s="1445">
        <f>IF(BO179=0,0,(BO178*BO179+BO180*BO181*6)/BO179)</f>
        <v>0</v>
      </c>
      <c r="BP177" s="1003">
        <f>IF(BN177=0,0,(BO177-BN177)/BN177*100)</f>
        <v>0</v>
      </c>
      <c r="BQ177" s="1445">
        <f>IF(BQ179=0,0,(BQ178*BQ179+BQ180*BQ181*6)/BQ179)</f>
        <v>0</v>
      </c>
      <c r="BR177" s="1445">
        <f>IF(BR179=0,0,(BR178*BR179+BR180*BR181*6)/BR179)</f>
        <v>0</v>
      </c>
      <c r="BS177" s="1003">
        <f>IF(BQ177=0,0,(BR177-BQ177)/BQ177*100)</f>
        <v>0</v>
      </c>
      <c r="BT177" s="1445">
        <f>IF(BT179=0,0,(BT178*BT179+BT180*BT181*6)/BT179)</f>
        <v>0</v>
      </c>
      <c r="BU177" s="1445">
        <f>IF(BU179=0,0,(BU178*BU179+BU180*BU181*6)/BU179)</f>
        <v>0</v>
      </c>
      <c r="BV177" s="1003">
        <f>IF(BT177=0,0,(BU177-BT177)/BT177*100)</f>
        <v>0</v>
      </c>
      <c r="BW177" s="1445">
        <f>IF(BW179=0,0,(BW178*BW179+BW180*BW181*6)/BW179)</f>
        <v>0</v>
      </c>
      <c r="BX177" s="1445">
        <f>IF(BX179=0,0,(BX178*BX179+BX180*BX181*6)/BX179)</f>
        <v>0</v>
      </c>
      <c r="BY177" s="1003">
        <f>IF(BW177=0,0,(BX177-BW177)/BW177*100)</f>
        <v>0</v>
      </c>
      <c r="BZ177" s="1445">
        <f>IF(BZ179=0,0,(BZ178*BZ179+BZ180*BZ181*6)/BZ179)</f>
        <v>0</v>
      </c>
      <c r="CA177" s="1445">
        <f>IF(CA179=0,0,(CA178*CA179+CA180*CA181*6)/CA179)</f>
        <v>0</v>
      </c>
      <c r="CB177" s="1003">
        <f>IF(BZ177=0,0,(CA177-BZ177)/BZ177*100)</f>
        <v>0</v>
      </c>
      <c r="CC177" s="1445">
        <f>IF(CC179=0,0,(CC178*CC179+CC180*CC181*6)/CC179)</f>
        <v>0</v>
      </c>
      <c r="CD177" s="1445">
        <f>IF(CD179=0,0,(CD178*CD179+CD180*CD181*6)/CD179)</f>
        <v>0</v>
      </c>
      <c r="CE177" s="1003">
        <f>IF(CC177=0,0,(CD177-CC177)/CC177*100)</f>
        <v>0</v>
      </c>
      <c r="CF177" s="1445">
        <f>IF(CF179=0,0,(CF178*CF179+CF180*CF181*6)/CF179)</f>
        <v>0</v>
      </c>
      <c r="CG177" s="1445">
        <f>IF(CG179=0,0,(CG178*CG179+CG180*CG181*6)/CG179)</f>
        <v>0</v>
      </c>
      <c r="CH177" s="1003">
        <f>IF(CF177=0,0,(CG177-CF177)/CF177*100)</f>
        <v>0</v>
      </c>
      <c r="CI177" s="1445">
        <f>IF(CI179=0,0,(CI178*CI179+CI180*CI181*6)/CI179)</f>
        <v>0</v>
      </c>
      <c r="CJ177" s="1445">
        <f>IF(CJ179=0,0,(CJ178*CJ179+CJ180*CJ181*6)/CJ179)</f>
        <v>0</v>
      </c>
      <c r="CK177" s="1003">
        <f>IF(CI177=0,0,(CJ177-CI177)/CI177*100)</f>
        <v>0</v>
      </c>
      <c r="CL177" s="1445">
        <f>IF(CL179=0,0,(CL178*CL179+CL180*CL181*6)/CL179)</f>
        <v>0</v>
      </c>
      <c r="CM177" s="1445">
        <f>IF(CM179=0,0,(CM178*CM179+CM180*CM181*6)/CM179)</f>
        <v>0</v>
      </c>
      <c r="CN177" s="1003">
        <f>IF(CL177=0,0,(CM177-CL177)/CL177*100)</f>
        <v>0</v>
      </c>
      <c r="CO177" s="1445">
        <f>IF(CO179=0,0,(CO178*CO179+CO180*CO181*6)/CO179)</f>
        <v>0</v>
      </c>
      <c r="CP177" s="1445">
        <f>IF(CP179=0,0,(CP178*CP179+CP180*CP181*6)/CP179)</f>
        <v>0</v>
      </c>
      <c r="CQ177" s="1003">
        <f>IF(CO177=0,0,(CP177-CO177)/CO177*100)</f>
        <v>0</v>
      </c>
      <c r="CR177" s="1445">
        <f>IF(CR179=0,0,(CR178*CR179+CR180*CR181*6)/CR179)</f>
        <v>0</v>
      </c>
      <c r="CS177" s="1445">
        <f>IF(CS179=0,0,(CS178*CS179+CS180*CS181*6)/CS179)</f>
        <v>0</v>
      </c>
      <c r="CT177" s="1003">
        <f>IF(CR177=0,0,(CS177-CR177)/CR177*100)</f>
        <v>0</v>
      </c>
      <c r="CU177" s="1445">
        <f>IF(CU179=0,0,(CU178*CU179+CU180*CU181*6)/CU179)</f>
        <v>0</v>
      </c>
      <c r="CV177" s="1445">
        <f>IF(CV179=0,0,(CV178*CV179+CV180*CV181*6)/CV179)</f>
        <v>0</v>
      </c>
      <c r="CW177" s="1003">
        <f>IF(CU177=0,0,(CV177-CU177)/CU177*100)</f>
        <v>0</v>
      </c>
      <c r="CX177" s="1445">
        <f>IF(CX179=0,0,(CX178*CX179+CX180*CX181*6)/CX179)</f>
        <v>0</v>
      </c>
      <c r="CY177" s="1445">
        <f>IF(CY179=0,0,(CY178*CY179+CY180*CY181*6)/CY179)</f>
        <v>0</v>
      </c>
      <c r="CZ177" s="1003">
        <f>IF(CX177=0,0,(CY177-CX177)/CX177*100)</f>
        <v>0</v>
      </c>
      <c r="DA177" s="1445">
        <f>IF(DA179=0,0,(DA178*DA179+DA180*DA181*6)/DA179)</f>
        <v>0</v>
      </c>
      <c r="DB177" s="1445">
        <f>IF(DB179=0,0,(DB178*DB179+DB180*DB181*6)/DB179)</f>
        <v>0</v>
      </c>
      <c r="DC177" s="1003">
        <f>IF(DA177=0,0,(DB177-DA177)/DA177*100)</f>
        <v>0</v>
      </c>
      <c r="DD177" s="1445">
        <f>IF(DD179=0,0,(DD178*DD179+DD180*DD181*6)/DD179)</f>
        <v>0</v>
      </c>
      <c r="DE177" s="1445">
        <f>IF(DE179=0,0,(DE178*DE179+DE180*DE181*6)/DE179)</f>
        <v>0</v>
      </c>
      <c r="DF177" s="1003">
        <f>IF(DD177=0,0,(DE177-DD177)/DD177*100)</f>
        <v>0</v>
      </c>
      <c r="DG177" s="1445">
        <f>IF(DG179=0,0,(DG178*DG179+DG180*DG181*6)/DG179)</f>
        <v>0</v>
      </c>
      <c r="DH177" s="1445">
        <f>IF(DH179=0,0,(DH178*DH179+DH180*DH181*6)/DH179)</f>
        <v>0</v>
      </c>
      <c r="DI177" s="1003">
        <f>IF(DG177=0,0,(DH177-DG177)/DG177*100)</f>
        <v>0</v>
      </c>
      <c r="DJ177" s="1445">
        <f>IF(DJ179=0,0,(DJ178*DJ179+DJ180*DJ181*6)/DJ179)</f>
        <v>0</v>
      </c>
      <c r="DK177" s="1445">
        <f>IF(DK179=0,0,(DK178*DK179+DK180*DK181*6)/DK179)</f>
        <v>0</v>
      </c>
      <c r="DL177" s="1003">
        <f>IF(DJ177=0,0,(DK177-DJ177)/DJ177*100)</f>
        <v>0</v>
      </c>
      <c r="DM177" s="1445">
        <f>IF(DM179=0,0,(DM178*DM179+DM180*DM181*6)/DM179)</f>
        <v>0</v>
      </c>
      <c r="DN177" s="1445">
        <f>IF(DN179=0,0,(DN178*DN179+DN180*DN181*6)/DN179)</f>
        <v>0</v>
      </c>
      <c r="DO177" s="1003">
        <f>IF(DM177=0,0,(DN177-DM177)/DM177*100)</f>
        <v>0</v>
      </c>
      <c r="DP177" s="1445">
        <f>IF(DP179=0,0,(DP178*DP179+DP180*DP181*6)/DP179)</f>
        <v>0</v>
      </c>
      <c r="DQ177" s="1445">
        <f>IF(DQ179=0,0,(DQ178*DQ179+DQ180*DQ181*6)/DQ179)</f>
        <v>0</v>
      </c>
      <c r="DR177" s="1003">
        <f>IF(DP177=0,0,(DQ177-DP177)/DP177*100)</f>
        <v>0</v>
      </c>
      <c r="DS177" s="1445">
        <f>IF(DS179=0,0,(DS178*DS179+DS180*DS181*6)/DS179)</f>
        <v>0</v>
      </c>
      <c r="DT177" s="1445">
        <f>IF(DT179=0,0,(DT178*DT179+DT180*DT181*6)/DT179)</f>
        <v>0</v>
      </c>
      <c r="DU177" s="1003">
        <f>IF(DS177=0,0,(DT177-DS177)/DS177*100)</f>
        <v>0</v>
      </c>
      <c r="DV177" s="1445">
        <f>IF(DV179=0,0,(DV178*DV179+DV180*DV181*6)/DV179)</f>
        <v>0</v>
      </c>
      <c r="DW177" s="1445">
        <f>IF(DW179=0,0,(DW178*DW179+DW180*DW181*6)/DW179)</f>
        <v>0</v>
      </c>
      <c r="DX177" s="1003">
        <f>IF(DV177=0,0,(DW177-DV177)/DV177*100)</f>
        <v>0</v>
      </c>
      <c r="DY177" s="1445">
        <f>IF(DY179=0,0,(DY178*DY179+DY180*DY181*6)/DY179)</f>
        <v>0</v>
      </c>
      <c r="DZ177" s="1445">
        <f>IF(DZ179=0,0,(DZ178*DZ179+DZ180*DZ181*6)/DZ179)</f>
        <v>0</v>
      </c>
      <c r="EA177" s="1003">
        <f>IF(DY177=0,0,(DZ177-DY177)/DY177*100)</f>
        <v>0</v>
      </c>
      <c r="EB177" s="1445">
        <f>IF(EB179=0,0,(EB178*EB179+EB180*EB181*6)/EB179)</f>
        <v>0</v>
      </c>
      <c r="EC177" s="1445">
        <f>IF(EC179=0,0,(EC178*EC179+EC180*EC181*6)/EC179)</f>
        <v>0</v>
      </c>
      <c r="ED177" s="1003">
        <f>IF(EB177=0,0,(EC177-EB177)/EB177*100)</f>
        <v>0</v>
      </c>
      <c r="EE177" s="1445">
        <f>IF(EE179=0,0,(EE178*EE179+EE180*EE181*6)/EE179)</f>
        <v>0</v>
      </c>
      <c r="EF177" s="1445">
        <f>IF(EF179=0,0,(EF178*EF179+EF180*EF181*6)/EF179)</f>
        <v>0</v>
      </c>
      <c r="EG177" s="1003">
        <f>IF(EE177=0,0,(EF177-EE177)/EE177*100)</f>
        <v>0</v>
      </c>
      <c r="EH177" s="1445">
        <f>IF(EH179=0,0,(EH178*EH179+EH180*EH181*6)/EH179)</f>
        <v>0</v>
      </c>
      <c r="EI177" s="1445">
        <f>IF(EI179=0,0,(EI178*EI179+EI180*EI181*6)/EI179)</f>
        <v>0</v>
      </c>
      <c r="EJ177" s="1003">
        <f>IF(EH177=0,0,(EI177-EH177)/EH177*100)</f>
        <v>0</v>
      </c>
      <c r="EK177" s="1445">
        <f>IF(EK179=0,0,(EK178*EK179+EK180*EK181*6)/EK179)</f>
        <v>0</v>
      </c>
      <c r="EL177" s="1445">
        <f>IF(EL179=0,0,(EL178*EL179+EL180*EL181*6)/EL179)</f>
        <v>0</v>
      </c>
      <c r="EM177" s="1003">
        <f>IF(EK177=0,0,(EL177-EK177)/EK177*100)</f>
        <v>0</v>
      </c>
      <c r="EN177" s="1445">
        <f>IF(EN179=0,0,(EN178*EN179+EN180*EN181*6)/EN179)</f>
        <v>0</v>
      </c>
      <c r="EO177" s="1445">
        <f>IF(EO179=0,0,(EO178*EO179+EO180*EO181*6)/EO179)</f>
        <v>0</v>
      </c>
      <c r="EP177" s="1003">
        <f>IF(EN177=0,0,(EO177-EN177)/EN177*100)</f>
        <v>0</v>
      </c>
      <c r="EQ177" s="1445">
        <f>IF(EQ179=0,0,(EQ178*EQ179+EQ180*EQ181*6)/EQ179)</f>
        <v>0</v>
      </c>
      <c r="ER177" s="1445">
        <f>IF(ER179=0,0,(ER178*ER179+ER180*ER181*6)/ER179)</f>
        <v>0</v>
      </c>
      <c r="ES177" s="1003">
        <f>IF(EQ177=0,0,(ER177-EQ177)/EQ177*100)</f>
        <v>0</v>
      </c>
      <c r="ET177" s="1445">
        <f>IF(ET179=0,0,(ET178*ET179+ET180*ET181*6)/ET179)</f>
        <v>0</v>
      </c>
      <c r="EU177" s="1445">
        <f>IF(EU179=0,0,(EU178*EU179+EU180*EU181*6)/EU179)</f>
        <v>0</v>
      </c>
      <c r="EV177" s="1003">
        <f>IF(ET177=0,0,(EU177-ET177)/ET177*100)</f>
        <v>0</v>
      </c>
      <c r="EW177" s="1445">
        <f>IF(EW179=0,0,(EW178*EW179+EW180*EW181*6)/EW179)</f>
        <v>0</v>
      </c>
      <c r="EX177" s="1445">
        <f>IF(EX179=0,0,(EX178*EX179+EX180*EX181*6)/EX179)</f>
        <v>0</v>
      </c>
      <c r="EY177" s="1003">
        <f>IF(EW177=0,0,(EX177-EW177)/EW177*100)</f>
        <v>0</v>
      </c>
      <c r="EZ177" s="1445">
        <f>IF(EZ179=0,0,(EZ178*EZ179+EZ180*EZ181*6)/EZ179)</f>
        <v>0</v>
      </c>
      <c r="FA177" s="1445">
        <f>IF(FA179=0,0,(FA178*FA179+FA180*FA181*6)/FA179)</f>
        <v>0</v>
      </c>
      <c r="FB177" s="1003">
        <f>IF(EZ177=0,0,(FA177-EZ177)/EZ177*100)</f>
        <v>0</v>
      </c>
      <c r="FC177" s="1445">
        <f>IF(FC179=0,0,(FC178*FC179+FC180*FC181*6)/FC179)</f>
        <v>0</v>
      </c>
      <c r="FD177" s="1445">
        <f>IF(FD179=0,0,(FD178*FD179+FD180*FD181*6)/FD179)</f>
        <v>0</v>
      </c>
      <c r="FE177" s="1003">
        <f>IF(FC177=0,0,(FD177-FC177)/FC177*100)</f>
        <v>0</v>
      </c>
      <c r="FF177" s="1445">
        <f>IF(FF179=0,0,(FF178*FF179+FF180*FF181*6)/FF179)</f>
        <v>0</v>
      </c>
      <c r="FG177" s="1445">
        <f>IF(FG179=0,0,(FG178*FG179+FG180*FG181*6)/FG179)</f>
        <v>0</v>
      </c>
      <c r="FH177" s="1003">
        <f>IF(FF177=0,0,(FG177-FF177)/FF177*100)</f>
        <v>0</v>
      </c>
      <c r="FI177" s="1445">
        <f>IF(FI179=0,0,(FI178*FI179+FI180*FI181*6)/FI179)</f>
        <v>0</v>
      </c>
      <c r="FJ177" s="1445">
        <f>IF(FJ179=0,0,(FJ178*FJ179+FJ180*FJ181*6)/FJ179)</f>
        <v>0</v>
      </c>
      <c r="FK177" s="1003">
        <f>IF(FI177=0,0,(FJ177-FI177)/FI177*100)</f>
        <v>0</v>
      </c>
      <c r="FL177" s="1445">
        <f>IF(FL179=0,0,(FL178*FL179+FL180*FL181*6)/FL179)</f>
        <v>0</v>
      </c>
      <c r="FM177" s="1445">
        <f>IF(FM179=0,0,(FM178*FM179+FM180*FM181*6)/FM179)</f>
        <v>0</v>
      </c>
      <c r="FN177" s="1003">
        <f>IF(FL177=0,0,(FM177-FL177)/FL177*100)</f>
        <v>0</v>
      </c>
      <c r="FO177" s="1445">
        <f>IF(FO179=0,0,(FO178*FO179+FO180*FO181*6)/FO179)</f>
        <v>0</v>
      </c>
      <c r="FP177" s="1445">
        <f>IF(FP179=0,0,(FP178*FP179+FP180*FP181*6)/FP179)</f>
        <v>0</v>
      </c>
      <c r="FQ177" s="1003">
        <f>IF(FO177=0,0,(FP177-FO177)/FO177*100)</f>
        <v>0</v>
      </c>
      <c r="FR177" s="1445">
        <f>IF(FR179=0,0,(FR178*FR179+FR180*FR181*6)/FR179)</f>
        <v>0</v>
      </c>
      <c r="FS177" s="1445">
        <f>IF(FS179=0,0,(FS178*FS179+FS180*FS181*6)/FS179)</f>
        <v>0</v>
      </c>
      <c r="FT177" s="1003">
        <f>IF(FR177=0,0,(FS177-FR177)/FR177*100)</f>
        <v>0</v>
      </c>
      <c r="FU177" s="1445">
        <f>IF(FU179=0,0,(FU178*FU179+FU180*FU181*6)/FU179)</f>
        <v>0</v>
      </c>
      <c r="FV177" s="1445">
        <f>IF(FV179=0,0,(FV178*FV179+FV180*FV181*6)/FV179)</f>
        <v>0</v>
      </c>
      <c r="FW177" s="1003">
        <f>IF(FU177=0,0,(FV177-FU177)/FU177*100)</f>
        <v>0</v>
      </c>
      <c r="FX177" s="1214"/>
      <c r="FY177" s="1214"/>
      <c r="FZ177" s="964" t="s">
        <v>1649</v>
      </c>
      <c r="GA177" s="1216"/>
      <c r="GB177" s="1216"/>
      <c r="GC177" s="1215"/>
      <c r="GD177" s="1215"/>
    </row>
    <row r="178" spans="1:186" s="1334" customFormat="1" ht="14.25" hidden="1" customHeight="1" x14ac:dyDescent="0.15">
      <c r="A178" s="416"/>
      <c r="B178" s="837" t="b" cm="1">
        <f t="array" ref="B178">B177</f>
        <v>0</v>
      </c>
      <c r="C178" s="416"/>
      <c r="D178" s="416"/>
      <c r="E178" s="759">
        <v>15</v>
      </c>
      <c r="F178" s="3" t="str" cm="1">
        <f t="array" aca="1" ref="F178" ca="1">OFFSET(E178,-1,1)</f>
        <v>2</v>
      </c>
      <c r="G178" s="416"/>
      <c r="H178" s="416" t="s">
        <v>1533</v>
      </c>
      <c r="I178" s="416" t="s">
        <v>1605</v>
      </c>
      <c r="J178" s="416"/>
      <c r="K178" s="416"/>
      <c r="L178" s="416"/>
      <c r="M178" s="416"/>
      <c r="N178" s="416"/>
      <c r="O178" s="416"/>
      <c r="P178" s="416"/>
      <c r="Q178" s="416"/>
      <c r="R178" s="416"/>
      <c r="S178" s="416"/>
      <c r="T178" s="388" t="b" cm="1">
        <f t="array" aca="1" ref="T178" ca="1">T177</f>
        <v>1</v>
      </c>
      <c r="U178" s="416"/>
      <c r="V178" s="416"/>
      <c r="W178" s="416"/>
      <c r="X178" s="2066"/>
      <c r="Y178" s="416"/>
      <c r="Z178" s="2011"/>
      <c r="AA178" s="416"/>
      <c r="AB178" s="818" t="str">
        <f>"ставка платы за "&amp;IF(Q141="Водоснабжение","потребление 1 куб.м холодной воды","объем принятых сточных вод")</f>
        <v>ставка платы за объем принятых сточных вод</v>
      </c>
      <c r="AC178" s="783" t="s">
        <v>1588</v>
      </c>
      <c r="AD178" s="1445"/>
      <c r="AE178" s="1445"/>
      <c r="AF178" s="1003">
        <f>IF(AD178=0,0,(AE178-AD178)/AD178*100)</f>
        <v>0</v>
      </c>
      <c r="AG178" s="1445"/>
      <c r="AH178" s="1445"/>
      <c r="AI178" s="1003">
        <f>IF(AG178=0,0,(AH178-AG178)/AG178*100)</f>
        <v>0</v>
      </c>
      <c r="AJ178" s="1445"/>
      <c r="AK178" s="1445"/>
      <c r="AL178" s="1003">
        <f>IF(AJ178=0,0,(AK178-AJ178)/AJ178*100)</f>
        <v>0</v>
      </c>
      <c r="AM178" s="1445"/>
      <c r="AN178" s="1445"/>
      <c r="AO178" s="1003">
        <f>IF(AM178=0,0,(AN178-AM178)/AM178*100)</f>
        <v>0</v>
      </c>
      <c r="AP178" s="1445"/>
      <c r="AQ178" s="1445"/>
      <c r="AR178" s="1003">
        <f>IF(AP178=0,0,(AQ178-AP178)/AP178*100)</f>
        <v>0</v>
      </c>
      <c r="AS178" s="1445"/>
      <c r="AT178" s="1445"/>
      <c r="AU178" s="1003">
        <f>IF(AS178=0,0,(AT178-AS178)/AS178*100)</f>
        <v>0</v>
      </c>
      <c r="AV178" s="1445"/>
      <c r="AW178" s="1445"/>
      <c r="AX178" s="1003">
        <f>IF(AV178=0,0,(AW178-AV178)/AV178*100)</f>
        <v>0</v>
      </c>
      <c r="AY178" s="1445"/>
      <c r="AZ178" s="1445"/>
      <c r="BA178" s="1003">
        <f>IF(AY178=0,0,(AZ178-AY178)/AY178*100)</f>
        <v>0</v>
      </c>
      <c r="BB178" s="1445"/>
      <c r="BC178" s="1445"/>
      <c r="BD178" s="1003">
        <f>IF(BB178=0,0,(BC178-BB178)/BB178*100)</f>
        <v>0</v>
      </c>
      <c r="BE178" s="1445"/>
      <c r="BF178" s="1445"/>
      <c r="BG178" s="1003">
        <f>IF(BE178=0,0,(BF178-BE178)/BE178*100)</f>
        <v>0</v>
      </c>
      <c r="BH178" s="1445"/>
      <c r="BI178" s="1445"/>
      <c r="BJ178" s="1003">
        <f>IF(BH178=0,0,(BI178-BH178)/BH178*100)</f>
        <v>0</v>
      </c>
      <c r="BK178" s="1445"/>
      <c r="BL178" s="1445"/>
      <c r="BM178" s="1003">
        <f>IF(BK178=0,0,(BL178-BK178)/BK178*100)</f>
        <v>0</v>
      </c>
      <c r="BN178" s="1445"/>
      <c r="BO178" s="1445"/>
      <c r="BP178" s="1003">
        <f>IF(BN178=0,0,(BO178-BN178)/BN178*100)</f>
        <v>0</v>
      </c>
      <c r="BQ178" s="1445"/>
      <c r="BR178" s="1445"/>
      <c r="BS178" s="1003">
        <f>IF(BQ178=0,0,(BR178-BQ178)/BQ178*100)</f>
        <v>0</v>
      </c>
      <c r="BT178" s="1445"/>
      <c r="BU178" s="1445"/>
      <c r="BV178" s="1003">
        <f>IF(BT178=0,0,(BU178-BT178)/BT178*100)</f>
        <v>0</v>
      </c>
      <c r="BW178" s="1445"/>
      <c r="BX178" s="1445"/>
      <c r="BY178" s="1003">
        <f>IF(BW178=0,0,(BX178-BW178)/BW178*100)</f>
        <v>0</v>
      </c>
      <c r="BZ178" s="1445"/>
      <c r="CA178" s="1445"/>
      <c r="CB178" s="1003">
        <f>IF(BZ178=0,0,(CA178-BZ178)/BZ178*100)</f>
        <v>0</v>
      </c>
      <c r="CC178" s="1445"/>
      <c r="CD178" s="1445"/>
      <c r="CE178" s="1003">
        <f>IF(CC178=0,0,(CD178-CC178)/CC178*100)</f>
        <v>0</v>
      </c>
      <c r="CF178" s="1445"/>
      <c r="CG178" s="1445"/>
      <c r="CH178" s="1003">
        <f>IF(CF178=0,0,(CG178-CF178)/CF178*100)</f>
        <v>0</v>
      </c>
      <c r="CI178" s="1445"/>
      <c r="CJ178" s="1445"/>
      <c r="CK178" s="1003">
        <f>IF(CI178=0,0,(CJ178-CI178)/CI178*100)</f>
        <v>0</v>
      </c>
      <c r="CL178" s="1445"/>
      <c r="CM178" s="1445"/>
      <c r="CN178" s="1003">
        <f>IF(CL178=0,0,(CM178-CL178)/CL178*100)</f>
        <v>0</v>
      </c>
      <c r="CO178" s="1445"/>
      <c r="CP178" s="1445"/>
      <c r="CQ178" s="1003">
        <f>IF(CO178=0,0,(CP178-CO178)/CO178*100)</f>
        <v>0</v>
      </c>
      <c r="CR178" s="1445"/>
      <c r="CS178" s="1445"/>
      <c r="CT178" s="1003">
        <f>IF(CR178=0,0,(CS178-CR178)/CR178*100)</f>
        <v>0</v>
      </c>
      <c r="CU178" s="1445"/>
      <c r="CV178" s="1445"/>
      <c r="CW178" s="1003">
        <f>IF(CU178=0,0,(CV178-CU178)/CU178*100)</f>
        <v>0</v>
      </c>
      <c r="CX178" s="1445"/>
      <c r="CY178" s="1445"/>
      <c r="CZ178" s="1003">
        <f>IF(CX178=0,0,(CY178-CX178)/CX178*100)</f>
        <v>0</v>
      </c>
      <c r="DA178" s="1445"/>
      <c r="DB178" s="1445"/>
      <c r="DC178" s="1003">
        <f>IF(DA178=0,0,(DB178-DA178)/DA178*100)</f>
        <v>0</v>
      </c>
      <c r="DD178" s="1445"/>
      <c r="DE178" s="1445"/>
      <c r="DF178" s="1003">
        <f>IF(DD178=0,0,(DE178-DD178)/DD178*100)</f>
        <v>0</v>
      </c>
      <c r="DG178" s="1445"/>
      <c r="DH178" s="1445"/>
      <c r="DI178" s="1003">
        <f>IF(DG178=0,0,(DH178-DG178)/DG178*100)</f>
        <v>0</v>
      </c>
      <c r="DJ178" s="1445"/>
      <c r="DK178" s="1445"/>
      <c r="DL178" s="1003">
        <f>IF(DJ178=0,0,(DK178-DJ178)/DJ178*100)</f>
        <v>0</v>
      </c>
      <c r="DM178" s="1445"/>
      <c r="DN178" s="1445"/>
      <c r="DO178" s="1003">
        <f>IF(DM178=0,0,(DN178-DM178)/DM178*100)</f>
        <v>0</v>
      </c>
      <c r="DP178" s="1445"/>
      <c r="DQ178" s="1445"/>
      <c r="DR178" s="1003">
        <f>IF(DP178=0,0,(DQ178-DP178)/DP178*100)</f>
        <v>0</v>
      </c>
      <c r="DS178" s="1445"/>
      <c r="DT178" s="1445"/>
      <c r="DU178" s="1003">
        <f>IF(DS178=0,0,(DT178-DS178)/DS178*100)</f>
        <v>0</v>
      </c>
      <c r="DV178" s="1445"/>
      <c r="DW178" s="1445"/>
      <c r="DX178" s="1003">
        <f>IF(DV178=0,0,(DW178-DV178)/DV178*100)</f>
        <v>0</v>
      </c>
      <c r="DY178" s="1445"/>
      <c r="DZ178" s="1445"/>
      <c r="EA178" s="1003">
        <f>IF(DY178=0,0,(DZ178-DY178)/DY178*100)</f>
        <v>0</v>
      </c>
      <c r="EB178" s="1445"/>
      <c r="EC178" s="1445"/>
      <c r="ED178" s="1003">
        <f>IF(EB178=0,0,(EC178-EB178)/EB178*100)</f>
        <v>0</v>
      </c>
      <c r="EE178" s="1445"/>
      <c r="EF178" s="1445"/>
      <c r="EG178" s="1003">
        <f>IF(EE178=0,0,(EF178-EE178)/EE178*100)</f>
        <v>0</v>
      </c>
      <c r="EH178" s="1445"/>
      <c r="EI178" s="1445"/>
      <c r="EJ178" s="1003">
        <f>IF(EH178=0,0,(EI178-EH178)/EH178*100)</f>
        <v>0</v>
      </c>
      <c r="EK178" s="1445"/>
      <c r="EL178" s="1445"/>
      <c r="EM178" s="1003">
        <f>IF(EK178=0,0,(EL178-EK178)/EK178*100)</f>
        <v>0</v>
      </c>
      <c r="EN178" s="1445"/>
      <c r="EO178" s="1445"/>
      <c r="EP178" s="1003">
        <f>IF(EN178=0,0,(EO178-EN178)/EN178*100)</f>
        <v>0</v>
      </c>
      <c r="EQ178" s="1445"/>
      <c r="ER178" s="1445"/>
      <c r="ES178" s="1003">
        <f>IF(EQ178=0,0,(ER178-EQ178)/EQ178*100)</f>
        <v>0</v>
      </c>
      <c r="ET178" s="1445"/>
      <c r="EU178" s="1445"/>
      <c r="EV178" s="1003">
        <f>IF(ET178=0,0,(EU178-ET178)/ET178*100)</f>
        <v>0</v>
      </c>
      <c r="EW178" s="1445"/>
      <c r="EX178" s="1445"/>
      <c r="EY178" s="1003">
        <f>IF(EW178=0,0,(EX178-EW178)/EW178*100)</f>
        <v>0</v>
      </c>
      <c r="EZ178" s="1445"/>
      <c r="FA178" s="1445"/>
      <c r="FB178" s="1003">
        <f>IF(EZ178=0,0,(FA178-EZ178)/EZ178*100)</f>
        <v>0</v>
      </c>
      <c r="FC178" s="1445"/>
      <c r="FD178" s="1445"/>
      <c r="FE178" s="1003">
        <f>IF(FC178=0,0,(FD178-FC178)/FC178*100)</f>
        <v>0</v>
      </c>
      <c r="FF178" s="1445"/>
      <c r="FG178" s="1445"/>
      <c r="FH178" s="1003">
        <f>IF(FF178=0,0,(FG178-FF178)/FF178*100)</f>
        <v>0</v>
      </c>
      <c r="FI178" s="1445"/>
      <c r="FJ178" s="1445"/>
      <c r="FK178" s="1003">
        <f>IF(FI178=0,0,(FJ178-FI178)/FI178*100)</f>
        <v>0</v>
      </c>
      <c r="FL178" s="1445"/>
      <c r="FM178" s="1445"/>
      <c r="FN178" s="1003">
        <f>IF(FL178=0,0,(FM178-FL178)/FL178*100)</f>
        <v>0</v>
      </c>
      <c r="FO178" s="1445"/>
      <c r="FP178" s="1445"/>
      <c r="FQ178" s="1003">
        <f>IF(FO178=0,0,(FP178-FO178)/FO178*100)</f>
        <v>0</v>
      </c>
      <c r="FR178" s="1445"/>
      <c r="FS178" s="1445"/>
      <c r="FT178" s="1003">
        <f>IF(FR178=0,0,(FS178-FR178)/FR178*100)</f>
        <v>0</v>
      </c>
      <c r="FU178" s="1445"/>
      <c r="FV178" s="1445"/>
      <c r="FW178" s="1003">
        <f>IF(FU178=0,0,(FV178-FU178)/FU178*100)</f>
        <v>0</v>
      </c>
      <c r="FX178" s="1214"/>
      <c r="FY178" s="1214"/>
      <c r="FZ178" s="964" t="s">
        <v>1650</v>
      </c>
      <c r="GA178" s="1216"/>
      <c r="GB178" s="1216"/>
      <c r="GC178" s="1215"/>
      <c r="GD178" s="1215"/>
    </row>
    <row r="179" spans="1:186" s="1334" customFormat="1" ht="14.25" hidden="1" customHeight="1" x14ac:dyDescent="0.15">
      <c r="A179" s="416"/>
      <c r="B179" s="837" t="b" cm="1">
        <f t="array" ref="B179">B178</f>
        <v>0</v>
      </c>
      <c r="C179" s="416"/>
      <c r="D179" s="416"/>
      <c r="E179" s="759">
        <v>15</v>
      </c>
      <c r="F179" s="3" t="str" cm="1">
        <f t="array" aca="1" ref="F179" ca="1">OFFSET(E179,-1,1)</f>
        <v>2</v>
      </c>
      <c r="G179" s="26" t="s">
        <v>1651</v>
      </c>
      <c r="H179" s="416" t="s">
        <v>1625</v>
      </c>
      <c r="I179" s="416" t="s">
        <v>1605</v>
      </c>
      <c r="J179" s="416"/>
      <c r="K179" s="416"/>
      <c r="L179" s="416"/>
      <c r="M179" s="416"/>
      <c r="N179" s="416"/>
      <c r="O179" s="416"/>
      <c r="P179" s="416"/>
      <c r="Q179" s="416"/>
      <c r="R179" s="416"/>
      <c r="S179" s="416"/>
      <c r="T179" s="388" t="b" cm="1">
        <f t="array" aca="1" ref="T179" ca="1">T178</f>
        <v>1</v>
      </c>
      <c r="U179" s="416"/>
      <c r="V179" s="416"/>
      <c r="W179" s="416"/>
      <c r="X179" s="2066"/>
      <c r="Y179" s="416"/>
      <c r="Z179" s="2011"/>
      <c r="AA179" s="416"/>
      <c r="AB179" s="818" t="str">
        <f>"объём "&amp;IF(Q141="Водоснабжение","потребления холодной воды","водоотведения")</f>
        <v>объём водоотведения</v>
      </c>
      <c r="AC179" s="783" t="s">
        <v>563</v>
      </c>
      <c r="AD179" s="1443">
        <f ca="1">IF(AND(method_reg="Метод индексации",god&lt;&gt;first_year),SUMIFS(INDEX('Калькуляция (МИ корр)'!$AJ$25:$BC$459,,MATCH(AD$8,'Калькуляция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(МИ)'!$AJ$25:$BC$459,,MATCH(AD$8,'Калькуляция (МИ)'!$AJ$8:$BC$8,0)),'Калькуляция (МИ)'!$F$25:$F$459,$F179,'Калькуляция (МИ)'!$G$25:$G$459,$G179))))</f>
        <v>375.21749999999997</v>
      </c>
      <c r="AE179" s="1443">
        <f ca="1">IF(AND(method_reg="Метод индексации",god&lt;&gt;first_year),SUMIFS(INDEX('Калькуляция (МИ корр)'!$AJ$25:$BC$459,,MATCH(AE$8,'Калькуляция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(МИ)'!$AJ$25:$BC$459,,MATCH(AE$8,'Калькуляция (МИ)'!$AJ$8:$BC$8,0)),'Калькуляция (МИ)'!$F$25:$F$459,$F179,'Калькуляция (МИ)'!$G$25:$G$459,$G179))))</f>
        <v>356.77574249999998</v>
      </c>
      <c r="AF179" s="1005">
        <f ca="1">IF(AD179=0,0,(AE179-AD179)/AD179*100)</f>
        <v>-4.9149513282296251</v>
      </c>
      <c r="AG179" s="1443">
        <f ca="1">IF(AND(method_reg="Метод индексации",god&lt;&gt;first_year),SUMIFS(INDEX('Калькуляция (МИ корр)'!$AJ$25:$BC$459,,MATCH(AG$8,'Калькуляция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(МИ)'!$AJ$25:$BC$459,,MATCH(AG$8,'Калькуляция (МИ)'!$AJ$8:$BC$8,0)),'Калькуляция (МИ)'!$F$25:$F$459,$F179,'Калькуляция (МИ)'!$G$25:$G$459,$G179))))</f>
        <v>0</v>
      </c>
      <c r="AH179" s="1443">
        <f ca="1">IF(AND(method_reg="Метод индексации",god&lt;&gt;first_year),SUMIFS(INDEX('Калькуляция (МИ корр)'!$AJ$25:$BC$459,,MATCH(AH$8,'Калькуляция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(МИ)'!$AJ$25:$BC$459,,MATCH(AH$8,'Калькуляция (МИ)'!$AJ$8:$BC$8,0)),'Калькуляция (МИ)'!$F$25:$F$459,$F179,'Калькуляция (МИ)'!$G$25:$G$459,$G179))))</f>
        <v>0</v>
      </c>
      <c r="AI179" s="1005">
        <f ca="1">IF(AG179=0,0,(AH179-AG179)/AG179*100)</f>
        <v>0</v>
      </c>
      <c r="AJ179" s="1443">
        <f ca="1">IF(AND(method_reg="Метод индексации",god&lt;&gt;first_year),SUMIFS(INDEX('Калькуляция (МИ корр)'!$AJ$25:$BC$459,,MATCH(AJ$8,'Калькуляция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(МИ)'!$AJ$25:$BC$459,,MATCH(AJ$8,'Калькуляция (МИ)'!$AJ$8:$BC$8,0)),'Калькуляция (МИ)'!$F$25:$F$459,$F179,'Калькуляция (МИ)'!$G$25:$G$459,$G179))))</f>
        <v>0</v>
      </c>
      <c r="AK179" s="1443">
        <f ca="1">IF(AND(method_reg="Метод индексации",god&lt;&gt;first_year),SUMIFS(INDEX('Калькуляция (МИ корр)'!$AJ$25:$BC$459,,MATCH(AK$8,'Калькуляция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(МИ)'!$AJ$25:$BC$459,,MATCH(AK$8,'Калькуляция (МИ)'!$AJ$8:$BC$8,0)),'Калькуляция (МИ)'!$F$25:$F$459,$F179,'Калькуляция (МИ)'!$G$25:$G$459,$G179))))</f>
        <v>0</v>
      </c>
      <c r="AL179" s="1005">
        <f ca="1">IF(AJ179=0,0,(AK179-AJ179)/AJ179*100)</f>
        <v>0</v>
      </c>
      <c r="AM179" s="1443">
        <f ca="1">IF(AND(method_reg="Метод индексации",god&lt;&gt;first_year),SUMIFS(INDEX('Калькуляция (МИ корр)'!$AJ$25:$BC$459,,MATCH(AM$8,'Калькуляция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(МИ)'!$AJ$25:$BC$459,,MATCH(AM$8,'Калькуляция (МИ)'!$AJ$8:$BC$8,0)),'Калькуляция (МИ)'!$F$25:$F$459,$F179,'Калькуляция (МИ)'!$G$25:$G$459,$G179))))</f>
        <v>0</v>
      </c>
      <c r="AN179" s="1443">
        <f ca="1">IF(AND(method_reg="Метод индексации",god&lt;&gt;first_year),SUMIFS(INDEX('Калькуляция (МИ корр)'!$AJ$25:$BC$459,,MATCH(AN$8,'Калькуляция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(МИ)'!$AJ$25:$BC$459,,MATCH(AN$8,'Калькуляция (МИ)'!$AJ$8:$BC$8,0)),'Калькуляция (МИ)'!$F$25:$F$459,$F179,'Калькуляция (МИ)'!$G$25:$G$459,$G179))))</f>
        <v>0</v>
      </c>
      <c r="AO179" s="1005">
        <f ca="1">IF(AM179=0,0,(AN179-AM179)/AM179*100)</f>
        <v>0</v>
      </c>
      <c r="AP179" s="1443">
        <f ca="1">IF(AND(method_reg="Метод индексации",god&lt;&gt;first_year),SUMIFS(INDEX('Калькуляция (МИ корр)'!$AJ$25:$BC$459,,MATCH(AP$8,'Калькуляция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(МИ)'!$AJ$25:$BC$459,,MATCH(AP$8,'Калькуляция (МИ)'!$AJ$8:$BC$8,0)),'Калькуляция (МИ)'!$F$25:$F$459,$F179,'Калькуляция (МИ)'!$G$25:$G$459,$G179))))</f>
        <v>0</v>
      </c>
      <c r="AQ179" s="1443">
        <f ca="1">IF(AND(method_reg="Метод индексации",god&lt;&gt;first_year),SUMIFS(INDEX('Калькуляция (МИ корр)'!$AJ$25:$BC$459,,MATCH(AQ$8,'Калькуляция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(МИ)'!$AJ$25:$BC$459,,MATCH(AQ$8,'Калькуляция (МИ)'!$AJ$8:$BC$8,0)),'Калькуляция (МИ)'!$F$25:$F$459,$F179,'Калькуляция (МИ)'!$G$25:$G$459,$G179))))</f>
        <v>0</v>
      </c>
      <c r="AR179" s="1005">
        <f ca="1">IF(AP179=0,0,(AQ179-AP179)/AP179*100)</f>
        <v>0</v>
      </c>
      <c r="AS179" s="1443">
        <f ca="1">IF(AND(method_reg="Метод индексации",god&lt;&gt;first_year),SUMIFS(INDEX('Калькуляция (МИ корр)'!$AJ$25:$BC$459,,MATCH(AS$8,'Калькуляция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(МИ)'!$AJ$25:$BC$459,,MATCH(AS$8,'Калькуляция (МИ)'!$AJ$8:$BC$8,0)),'Калькуляция (МИ)'!$F$25:$F$459,$F179,'Калькуляция (МИ)'!$G$25:$G$459,$G179))))</f>
        <v>0</v>
      </c>
      <c r="AT179" s="1443">
        <f ca="1">IF(AND(method_reg="Метод индексации",god&lt;&gt;first_year),SUMIFS(INDEX('Калькуляция (МИ корр)'!$AJ$25:$BC$459,,MATCH(AT$8,'Калькуляция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(МИ)'!$AJ$25:$BC$459,,MATCH(AT$8,'Калькуляция (МИ)'!$AJ$8:$BC$8,0)),'Калькуляция (МИ)'!$F$25:$F$459,$F179,'Калькуляция (МИ)'!$G$25:$G$459,$G179))))</f>
        <v>0</v>
      </c>
      <c r="AU179" s="1005">
        <f ca="1">IF(AS179=0,0,(AT179-AS179)/AS179*100)</f>
        <v>0</v>
      </c>
      <c r="AV179" s="1443">
        <f ca="1">IF(AND(method_reg="Метод индексации",god&lt;&gt;first_year),SUMIFS(INDEX('Калькуляция (МИ корр)'!$AJ$25:$BC$459,,MATCH(AV$8,'Калькуляция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(МИ)'!$AJ$25:$BC$459,,MATCH(AV$8,'Калькуляция (МИ)'!$AJ$8:$BC$8,0)),'Калькуляция (МИ)'!$F$25:$F$459,$F179,'Калькуляция (МИ)'!$G$25:$G$459,$G179))))</f>
        <v>0</v>
      </c>
      <c r="AW179" s="1443">
        <f ca="1">IF(AND(method_reg="Метод индексации",god&lt;&gt;first_year),SUMIFS(INDEX('Калькуляция (МИ корр)'!$AJ$25:$BC$459,,MATCH(AW$8,'Калькуляция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(МИ)'!$AJ$25:$BC$459,,MATCH(AW$8,'Калькуляция (МИ)'!$AJ$8:$BC$8,0)),'Калькуляция (МИ)'!$F$25:$F$459,$F179,'Калькуляция (МИ)'!$G$25:$G$459,$G179))))</f>
        <v>0</v>
      </c>
      <c r="AX179" s="1005">
        <f ca="1">IF(AV179=0,0,(AW179-AV179)/AV179*100)</f>
        <v>0</v>
      </c>
      <c r="AY179" s="1443">
        <f ca="1">IF(AND(method_reg="Метод индексации",god&lt;&gt;first_year),SUMIFS(INDEX('Калькуляция (МИ корр)'!$AJ$25:$BC$459,,MATCH(AY$8,'Калькуляция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(МИ)'!$AJ$25:$BC$459,,MATCH(AY$8,'Калькуляция (МИ)'!$AJ$8:$BC$8,0)),'Калькуляция (МИ)'!$F$25:$F$459,$F179,'Калькуляция (МИ)'!$G$25:$G$459,$G179))))</f>
        <v>0</v>
      </c>
      <c r="AZ179" s="1443">
        <f ca="1">IF(AND(method_reg="Метод индексации",god&lt;&gt;first_year),SUMIFS(INDEX('Калькуляция (МИ корр)'!$AJ$25:$BC$459,,MATCH(AZ$8,'Калькуляция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(МИ)'!$AJ$25:$BC$459,,MATCH(AZ$8,'Калькуляция (МИ)'!$AJ$8:$BC$8,0)),'Калькуляция (МИ)'!$F$25:$F$459,$F179,'Калькуляция (МИ)'!$G$25:$G$459,$G179))))</f>
        <v>0</v>
      </c>
      <c r="BA179" s="1005">
        <f ca="1">IF(AY179=0,0,(AZ179-AY179)/AY179*100)</f>
        <v>0</v>
      </c>
      <c r="BB179" s="1443">
        <f ca="1">IF(AND(method_reg="Метод индексации",god&lt;&gt;first_year),SUMIFS(INDEX('Калькуляция (МИ корр)'!$AJ$25:$BC$459,,MATCH(BB$8,'Калькуляция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(МИ)'!$AJ$25:$BC$459,,MATCH(BB$8,'Калькуляция (МИ)'!$AJ$8:$BC$8,0)),'Калькуляция (МИ)'!$F$25:$F$459,$F179,'Калькуляция (МИ)'!$G$25:$G$459,$G179))))</f>
        <v>0</v>
      </c>
      <c r="BC179" s="1443">
        <f ca="1">IF(AND(method_reg="Метод индексации",god&lt;&gt;first_year),SUMIFS(INDEX('Калькуляция (МИ корр)'!$AJ$25:$BC$459,,MATCH(BC$8,'Калькуляция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(МИ)'!$AJ$25:$BC$459,,MATCH(BC$8,'Калькуляция (МИ)'!$AJ$8:$BC$8,0)),'Калькуляция (МИ)'!$F$25:$F$459,$F179,'Калькуляция (МИ)'!$G$25:$G$459,$G179))))</f>
        <v>0</v>
      </c>
      <c r="BD179" s="1005">
        <f ca="1">IF(BB179=0,0,(BC179-BB179)/BB179*100)</f>
        <v>0</v>
      </c>
      <c r="BE179" s="1443">
        <f ca="1">IF(AND(method_reg="Метод индексации",god&lt;&gt;first_year),SUMIFS(INDEX('Калькуляция (МИ корр)'!$AJ$25:$BC$459,,MATCH(BE$8,'Калькуляция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(МИ)'!$AJ$25:$BC$459,,MATCH(BE$8,'Калькуляция (МИ)'!$AJ$8:$BC$8,0)),'Калькуляция (МИ)'!$F$25:$F$459,$F179,'Калькуляция (МИ)'!$G$25:$G$459,$G179))))</f>
        <v>0</v>
      </c>
      <c r="BF179" s="1443">
        <f ca="1">IF(AND(method_reg="Метод индексации",god&lt;&gt;first_year),SUMIFS(INDEX('Калькуляция (МИ корр)'!$AJ$25:$BC$459,,MATCH(BF$8,'Калькуляция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(МИ)'!$AJ$25:$BC$459,,MATCH(BF$8,'Калькуляция (МИ)'!$AJ$8:$BC$8,0)),'Калькуляция (МИ)'!$F$25:$F$459,$F179,'Калькуляция (МИ)'!$G$25:$G$459,$G179))))</f>
        <v>0</v>
      </c>
      <c r="BG179" s="1005">
        <f ca="1">IF(BE179=0,0,(BF179-BE179)/BE179*100)</f>
        <v>0</v>
      </c>
      <c r="BH179" s="1443"/>
      <c r="BI179" s="1443"/>
      <c r="BJ179" s="1005">
        <f>IF(BH179=0,0,(BI179-BH179)/BH179*100)</f>
        <v>0</v>
      </c>
      <c r="BK179" s="1443"/>
      <c r="BL179" s="1443"/>
      <c r="BM179" s="1005">
        <f>IF(BK179=0,0,(BL179-BK179)/BK179*100)</f>
        <v>0</v>
      </c>
      <c r="BN179" s="1443"/>
      <c r="BO179" s="1443"/>
      <c r="BP179" s="1005">
        <f>IF(BN179=0,0,(BO179-BN179)/BN179*100)</f>
        <v>0</v>
      </c>
      <c r="BQ179" s="1443"/>
      <c r="BR179" s="1443"/>
      <c r="BS179" s="1005">
        <f>IF(BQ179=0,0,(BR179-BQ179)/BQ179*100)</f>
        <v>0</v>
      </c>
      <c r="BT179" s="1443"/>
      <c r="BU179" s="1443"/>
      <c r="BV179" s="1005">
        <f>IF(BT179=0,0,(BU179-BT179)/BT179*100)</f>
        <v>0</v>
      </c>
      <c r="BW179" s="1443"/>
      <c r="BX179" s="1443"/>
      <c r="BY179" s="1005">
        <f>IF(BW179=0,0,(BX179-BW179)/BW179*100)</f>
        <v>0</v>
      </c>
      <c r="BZ179" s="1443"/>
      <c r="CA179" s="1443"/>
      <c r="CB179" s="1005">
        <f>IF(BZ179=0,0,(CA179-BZ179)/BZ179*100)</f>
        <v>0</v>
      </c>
      <c r="CC179" s="1443"/>
      <c r="CD179" s="1443"/>
      <c r="CE179" s="1005">
        <f>IF(CC179=0,0,(CD179-CC179)/CC179*100)</f>
        <v>0</v>
      </c>
      <c r="CF179" s="1443"/>
      <c r="CG179" s="1443"/>
      <c r="CH179" s="1005">
        <f>IF(CF179=0,0,(CG179-CF179)/CF179*100)</f>
        <v>0</v>
      </c>
      <c r="CI179" s="1443"/>
      <c r="CJ179" s="1443"/>
      <c r="CK179" s="1005">
        <f>IF(CI179=0,0,(CJ179-CI179)/CI179*100)</f>
        <v>0</v>
      </c>
      <c r="CL179" s="1443"/>
      <c r="CM179" s="1443"/>
      <c r="CN179" s="1005">
        <f>IF(CL179=0,0,(CM179-CL179)/CL179*100)</f>
        <v>0</v>
      </c>
      <c r="CO179" s="1443"/>
      <c r="CP179" s="1443"/>
      <c r="CQ179" s="1005">
        <f>IF(CO179=0,0,(CP179-CO179)/CO179*100)</f>
        <v>0</v>
      </c>
      <c r="CR179" s="1443"/>
      <c r="CS179" s="1443"/>
      <c r="CT179" s="1005">
        <f>IF(CR179=0,0,(CS179-CR179)/CR179*100)</f>
        <v>0</v>
      </c>
      <c r="CU179" s="1443"/>
      <c r="CV179" s="1443"/>
      <c r="CW179" s="1005">
        <f>IF(CU179=0,0,(CV179-CU179)/CU179*100)</f>
        <v>0</v>
      </c>
      <c r="CX179" s="1443"/>
      <c r="CY179" s="1443"/>
      <c r="CZ179" s="1005">
        <f>IF(CX179=0,0,(CY179-CX179)/CX179*100)</f>
        <v>0</v>
      </c>
      <c r="DA179" s="1443"/>
      <c r="DB179" s="1443"/>
      <c r="DC179" s="1005">
        <f>IF(DA179=0,0,(DB179-DA179)/DA179*100)</f>
        <v>0</v>
      </c>
      <c r="DD179" s="1443"/>
      <c r="DE179" s="1443"/>
      <c r="DF179" s="1005">
        <f>IF(DD179=0,0,(DE179-DD179)/DD179*100)</f>
        <v>0</v>
      </c>
      <c r="DG179" s="1443"/>
      <c r="DH179" s="1443"/>
      <c r="DI179" s="1005">
        <f>IF(DG179=0,0,(DH179-DG179)/DG179*100)</f>
        <v>0</v>
      </c>
      <c r="DJ179" s="1443"/>
      <c r="DK179" s="1443"/>
      <c r="DL179" s="1005">
        <f>IF(DJ179=0,0,(DK179-DJ179)/DJ179*100)</f>
        <v>0</v>
      </c>
      <c r="DM179" s="1443"/>
      <c r="DN179" s="1443"/>
      <c r="DO179" s="1005">
        <f>IF(DM179=0,0,(DN179-DM179)/DM179*100)</f>
        <v>0</v>
      </c>
      <c r="DP179" s="1443"/>
      <c r="DQ179" s="1443"/>
      <c r="DR179" s="1005">
        <f>IF(DP179=0,0,(DQ179-DP179)/DP179*100)</f>
        <v>0</v>
      </c>
      <c r="DS179" s="1443"/>
      <c r="DT179" s="1443"/>
      <c r="DU179" s="1005">
        <f>IF(DS179=0,0,(DT179-DS179)/DS179*100)</f>
        <v>0</v>
      </c>
      <c r="DV179" s="1443"/>
      <c r="DW179" s="1443"/>
      <c r="DX179" s="1005">
        <f>IF(DV179=0,0,(DW179-DV179)/DV179*100)</f>
        <v>0</v>
      </c>
      <c r="DY179" s="1443"/>
      <c r="DZ179" s="1443"/>
      <c r="EA179" s="1005">
        <f>IF(DY179=0,0,(DZ179-DY179)/DY179*100)</f>
        <v>0</v>
      </c>
      <c r="EB179" s="1443"/>
      <c r="EC179" s="1443"/>
      <c r="ED179" s="1005">
        <f>IF(EB179=0,0,(EC179-EB179)/EB179*100)</f>
        <v>0</v>
      </c>
      <c r="EE179" s="1443"/>
      <c r="EF179" s="1443"/>
      <c r="EG179" s="1005">
        <f>IF(EE179=0,0,(EF179-EE179)/EE179*100)</f>
        <v>0</v>
      </c>
      <c r="EH179" s="1443"/>
      <c r="EI179" s="1443"/>
      <c r="EJ179" s="1005">
        <f>IF(EH179=0,0,(EI179-EH179)/EH179*100)</f>
        <v>0</v>
      </c>
      <c r="EK179" s="1443"/>
      <c r="EL179" s="1443"/>
      <c r="EM179" s="1005">
        <f>IF(EK179=0,0,(EL179-EK179)/EK179*100)</f>
        <v>0</v>
      </c>
      <c r="EN179" s="1443"/>
      <c r="EO179" s="1443"/>
      <c r="EP179" s="1005">
        <f>IF(EN179=0,0,(EO179-EN179)/EN179*100)</f>
        <v>0</v>
      </c>
      <c r="EQ179" s="1443"/>
      <c r="ER179" s="1443"/>
      <c r="ES179" s="1005">
        <f>IF(EQ179=0,0,(ER179-EQ179)/EQ179*100)</f>
        <v>0</v>
      </c>
      <c r="ET179" s="1443"/>
      <c r="EU179" s="1443"/>
      <c r="EV179" s="1005">
        <f>IF(ET179=0,0,(EU179-ET179)/ET179*100)</f>
        <v>0</v>
      </c>
      <c r="EW179" s="1443"/>
      <c r="EX179" s="1443"/>
      <c r="EY179" s="1005">
        <f>IF(EW179=0,0,(EX179-EW179)/EW179*100)</f>
        <v>0</v>
      </c>
      <c r="EZ179" s="1443"/>
      <c r="FA179" s="1443"/>
      <c r="FB179" s="1005">
        <f>IF(EZ179=0,0,(FA179-EZ179)/EZ179*100)</f>
        <v>0</v>
      </c>
      <c r="FC179" s="1443"/>
      <c r="FD179" s="1443"/>
      <c r="FE179" s="1005">
        <f>IF(FC179=0,0,(FD179-FC179)/FC179*100)</f>
        <v>0</v>
      </c>
      <c r="FF179" s="1443"/>
      <c r="FG179" s="1443"/>
      <c r="FH179" s="1005">
        <f>IF(FF179=0,0,(FG179-FF179)/FF179*100)</f>
        <v>0</v>
      </c>
      <c r="FI179" s="1443"/>
      <c r="FJ179" s="1443"/>
      <c r="FK179" s="1005">
        <f>IF(FI179=0,0,(FJ179-FI179)/FI179*100)</f>
        <v>0</v>
      </c>
      <c r="FL179" s="1443"/>
      <c r="FM179" s="1443"/>
      <c r="FN179" s="1005">
        <f>IF(FL179=0,0,(FM179-FL179)/FL179*100)</f>
        <v>0</v>
      </c>
      <c r="FO179" s="1443"/>
      <c r="FP179" s="1443"/>
      <c r="FQ179" s="1005">
        <f>IF(FO179=0,0,(FP179-FO179)/FO179*100)</f>
        <v>0</v>
      </c>
      <c r="FR179" s="1443"/>
      <c r="FS179" s="1443"/>
      <c r="FT179" s="1005">
        <f>IF(FR179=0,0,(FS179-FR179)/FR179*100)</f>
        <v>0</v>
      </c>
      <c r="FU179" s="1443"/>
      <c r="FV179" s="1443"/>
      <c r="FW179" s="1005">
        <f>IF(FU179=0,0,(FV179-FU179)/FU179*100)</f>
        <v>0</v>
      </c>
      <c r="FX179" s="1214"/>
      <c r="FY179" s="1214"/>
      <c r="FZ179" s="964" t="s">
        <v>1652</v>
      </c>
      <c r="GA179" s="1216"/>
      <c r="GB179" s="1216"/>
      <c r="GC179" s="1215"/>
      <c r="GD179" s="1215"/>
    </row>
    <row r="180" spans="1:186" s="1334" customFormat="1" ht="21.75" hidden="1" customHeight="1" x14ac:dyDescent="0.15">
      <c r="A180" s="416"/>
      <c r="B180" s="837" t="b" cm="1">
        <f t="array" ref="B180">B179</f>
        <v>0</v>
      </c>
      <c r="C180" s="416"/>
      <c r="D180" s="416"/>
      <c r="E180" s="759">
        <v>22.5</v>
      </c>
      <c r="F180" s="3" t="str" cm="1">
        <f t="array" aca="1" ref="F180" ca="1">OFFSET(E180,-1,1)</f>
        <v>2</v>
      </c>
      <c r="G180" s="416"/>
      <c r="H180" s="416" t="s">
        <v>1627</v>
      </c>
      <c r="I180" s="416" t="s">
        <v>1605</v>
      </c>
      <c r="J180" s="416"/>
      <c r="K180" s="416"/>
      <c r="L180" s="416"/>
      <c r="M180" s="416"/>
      <c r="N180" s="416"/>
      <c r="O180" s="416"/>
      <c r="P180" s="416"/>
      <c r="Q180" s="416"/>
      <c r="R180" s="416"/>
      <c r="S180" s="416"/>
      <c r="T180" s="388" t="b" cm="1">
        <f t="array" aca="1" ref="T180" ca="1">T179</f>
        <v>1</v>
      </c>
      <c r="U180" s="416"/>
      <c r="V180" s="416"/>
      <c r="W180" s="416"/>
      <c r="X180" s="2066"/>
      <c r="Y180" s="416"/>
      <c r="Z180" s="2011"/>
      <c r="AA180" s="416"/>
      <c r="AB180" s="818"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80" s="783" t="s">
        <v>1628</v>
      </c>
      <c r="AD180" s="1445"/>
      <c r="AE180" s="1445"/>
      <c r="AF180" s="1003">
        <f>IF(AD180=0,0,(AE180-AD180)/AD180*100)</f>
        <v>0</v>
      </c>
      <c r="AG180" s="1445"/>
      <c r="AH180" s="1445"/>
      <c r="AI180" s="1003">
        <f>IF(AG180=0,0,(AH180-AG180)/AG180*100)</f>
        <v>0</v>
      </c>
      <c r="AJ180" s="1445"/>
      <c r="AK180" s="1445"/>
      <c r="AL180" s="1003">
        <f>IF(AJ180=0,0,(AK180-AJ180)/AJ180*100)</f>
        <v>0</v>
      </c>
      <c r="AM180" s="1445"/>
      <c r="AN180" s="1445"/>
      <c r="AO180" s="1003">
        <f>IF(AM180=0,0,(AN180-AM180)/AM180*100)</f>
        <v>0</v>
      </c>
      <c r="AP180" s="1445"/>
      <c r="AQ180" s="1445"/>
      <c r="AR180" s="1003">
        <f>IF(AP180=0,0,(AQ180-AP180)/AP180*100)</f>
        <v>0</v>
      </c>
      <c r="AS180" s="1445"/>
      <c r="AT180" s="1445"/>
      <c r="AU180" s="1003">
        <f>IF(AS180=0,0,(AT180-AS180)/AS180*100)</f>
        <v>0</v>
      </c>
      <c r="AV180" s="1445"/>
      <c r="AW180" s="1445"/>
      <c r="AX180" s="1003">
        <f>IF(AV180=0,0,(AW180-AV180)/AV180*100)</f>
        <v>0</v>
      </c>
      <c r="AY180" s="1445"/>
      <c r="AZ180" s="1445"/>
      <c r="BA180" s="1003">
        <f>IF(AY180=0,0,(AZ180-AY180)/AY180*100)</f>
        <v>0</v>
      </c>
      <c r="BB180" s="1445"/>
      <c r="BC180" s="1445"/>
      <c r="BD180" s="1003">
        <f>IF(BB180=0,0,(BC180-BB180)/BB180*100)</f>
        <v>0</v>
      </c>
      <c r="BE180" s="1445"/>
      <c r="BF180" s="1445"/>
      <c r="BG180" s="1003">
        <f>IF(BE180=0,0,(BF180-BE180)/BE180*100)</f>
        <v>0</v>
      </c>
      <c r="BH180" s="1445"/>
      <c r="BI180" s="1445"/>
      <c r="BJ180" s="1003">
        <f>IF(BH180=0,0,(BI180-BH180)/BH180*100)</f>
        <v>0</v>
      </c>
      <c r="BK180" s="1445"/>
      <c r="BL180" s="1445"/>
      <c r="BM180" s="1003">
        <f>IF(BK180=0,0,(BL180-BK180)/BK180*100)</f>
        <v>0</v>
      </c>
      <c r="BN180" s="1445"/>
      <c r="BO180" s="1445"/>
      <c r="BP180" s="1003">
        <f>IF(BN180=0,0,(BO180-BN180)/BN180*100)</f>
        <v>0</v>
      </c>
      <c r="BQ180" s="1445"/>
      <c r="BR180" s="1445"/>
      <c r="BS180" s="1003">
        <f>IF(BQ180=0,0,(BR180-BQ180)/BQ180*100)</f>
        <v>0</v>
      </c>
      <c r="BT180" s="1445"/>
      <c r="BU180" s="1445"/>
      <c r="BV180" s="1003">
        <f>IF(BT180=0,0,(BU180-BT180)/BT180*100)</f>
        <v>0</v>
      </c>
      <c r="BW180" s="1445"/>
      <c r="BX180" s="1445"/>
      <c r="BY180" s="1003">
        <f>IF(BW180=0,0,(BX180-BW180)/BW180*100)</f>
        <v>0</v>
      </c>
      <c r="BZ180" s="1445"/>
      <c r="CA180" s="1445"/>
      <c r="CB180" s="1003">
        <f>IF(BZ180=0,0,(CA180-BZ180)/BZ180*100)</f>
        <v>0</v>
      </c>
      <c r="CC180" s="1445"/>
      <c r="CD180" s="1445"/>
      <c r="CE180" s="1003">
        <f>IF(CC180=0,0,(CD180-CC180)/CC180*100)</f>
        <v>0</v>
      </c>
      <c r="CF180" s="1445"/>
      <c r="CG180" s="1445"/>
      <c r="CH180" s="1003">
        <f>IF(CF180=0,0,(CG180-CF180)/CF180*100)</f>
        <v>0</v>
      </c>
      <c r="CI180" s="1445"/>
      <c r="CJ180" s="1445"/>
      <c r="CK180" s="1003">
        <f>IF(CI180=0,0,(CJ180-CI180)/CI180*100)</f>
        <v>0</v>
      </c>
      <c r="CL180" s="1445"/>
      <c r="CM180" s="1445"/>
      <c r="CN180" s="1003">
        <f>IF(CL180=0,0,(CM180-CL180)/CL180*100)</f>
        <v>0</v>
      </c>
      <c r="CO180" s="1445"/>
      <c r="CP180" s="1445"/>
      <c r="CQ180" s="1003">
        <f>IF(CO180=0,0,(CP180-CO180)/CO180*100)</f>
        <v>0</v>
      </c>
      <c r="CR180" s="1445"/>
      <c r="CS180" s="1445"/>
      <c r="CT180" s="1003">
        <f>IF(CR180=0,0,(CS180-CR180)/CR180*100)</f>
        <v>0</v>
      </c>
      <c r="CU180" s="1445"/>
      <c r="CV180" s="1445"/>
      <c r="CW180" s="1003">
        <f>IF(CU180=0,0,(CV180-CU180)/CU180*100)</f>
        <v>0</v>
      </c>
      <c r="CX180" s="1445"/>
      <c r="CY180" s="1445"/>
      <c r="CZ180" s="1003">
        <f>IF(CX180=0,0,(CY180-CX180)/CX180*100)</f>
        <v>0</v>
      </c>
      <c r="DA180" s="1445"/>
      <c r="DB180" s="1445"/>
      <c r="DC180" s="1003">
        <f>IF(DA180=0,0,(DB180-DA180)/DA180*100)</f>
        <v>0</v>
      </c>
      <c r="DD180" s="1445"/>
      <c r="DE180" s="1445"/>
      <c r="DF180" s="1003">
        <f>IF(DD180=0,0,(DE180-DD180)/DD180*100)</f>
        <v>0</v>
      </c>
      <c r="DG180" s="1445"/>
      <c r="DH180" s="1445"/>
      <c r="DI180" s="1003">
        <f>IF(DG180=0,0,(DH180-DG180)/DG180*100)</f>
        <v>0</v>
      </c>
      <c r="DJ180" s="1445"/>
      <c r="DK180" s="1445"/>
      <c r="DL180" s="1003">
        <f>IF(DJ180=0,0,(DK180-DJ180)/DJ180*100)</f>
        <v>0</v>
      </c>
      <c r="DM180" s="1445"/>
      <c r="DN180" s="1445"/>
      <c r="DO180" s="1003">
        <f>IF(DM180=0,0,(DN180-DM180)/DM180*100)</f>
        <v>0</v>
      </c>
      <c r="DP180" s="1445"/>
      <c r="DQ180" s="1445"/>
      <c r="DR180" s="1003">
        <f>IF(DP180=0,0,(DQ180-DP180)/DP180*100)</f>
        <v>0</v>
      </c>
      <c r="DS180" s="1445"/>
      <c r="DT180" s="1445"/>
      <c r="DU180" s="1003">
        <f>IF(DS180=0,0,(DT180-DS180)/DS180*100)</f>
        <v>0</v>
      </c>
      <c r="DV180" s="1445"/>
      <c r="DW180" s="1445"/>
      <c r="DX180" s="1003">
        <f>IF(DV180=0,0,(DW180-DV180)/DV180*100)</f>
        <v>0</v>
      </c>
      <c r="DY180" s="1445"/>
      <c r="DZ180" s="1445"/>
      <c r="EA180" s="1003">
        <f>IF(DY180=0,0,(DZ180-DY180)/DY180*100)</f>
        <v>0</v>
      </c>
      <c r="EB180" s="1445"/>
      <c r="EC180" s="1445"/>
      <c r="ED180" s="1003">
        <f>IF(EB180=0,0,(EC180-EB180)/EB180*100)</f>
        <v>0</v>
      </c>
      <c r="EE180" s="1445"/>
      <c r="EF180" s="1445"/>
      <c r="EG180" s="1003">
        <f>IF(EE180=0,0,(EF180-EE180)/EE180*100)</f>
        <v>0</v>
      </c>
      <c r="EH180" s="1445"/>
      <c r="EI180" s="1445"/>
      <c r="EJ180" s="1003">
        <f>IF(EH180=0,0,(EI180-EH180)/EH180*100)</f>
        <v>0</v>
      </c>
      <c r="EK180" s="1445"/>
      <c r="EL180" s="1445"/>
      <c r="EM180" s="1003">
        <f>IF(EK180=0,0,(EL180-EK180)/EK180*100)</f>
        <v>0</v>
      </c>
      <c r="EN180" s="1445"/>
      <c r="EO180" s="1445"/>
      <c r="EP180" s="1003">
        <f>IF(EN180=0,0,(EO180-EN180)/EN180*100)</f>
        <v>0</v>
      </c>
      <c r="EQ180" s="1445"/>
      <c r="ER180" s="1445"/>
      <c r="ES180" s="1003">
        <f>IF(EQ180=0,0,(ER180-EQ180)/EQ180*100)</f>
        <v>0</v>
      </c>
      <c r="ET180" s="1445"/>
      <c r="EU180" s="1445"/>
      <c r="EV180" s="1003">
        <f>IF(ET180=0,0,(EU180-ET180)/ET180*100)</f>
        <v>0</v>
      </c>
      <c r="EW180" s="1445"/>
      <c r="EX180" s="1445"/>
      <c r="EY180" s="1003">
        <f>IF(EW180=0,0,(EX180-EW180)/EW180*100)</f>
        <v>0</v>
      </c>
      <c r="EZ180" s="1445"/>
      <c r="FA180" s="1445"/>
      <c r="FB180" s="1003">
        <f>IF(EZ180=0,0,(FA180-EZ180)/EZ180*100)</f>
        <v>0</v>
      </c>
      <c r="FC180" s="1445"/>
      <c r="FD180" s="1445"/>
      <c r="FE180" s="1003">
        <f>IF(FC180=0,0,(FD180-FC180)/FC180*100)</f>
        <v>0</v>
      </c>
      <c r="FF180" s="1445"/>
      <c r="FG180" s="1445"/>
      <c r="FH180" s="1003">
        <f>IF(FF180=0,0,(FG180-FF180)/FF180*100)</f>
        <v>0</v>
      </c>
      <c r="FI180" s="1445"/>
      <c r="FJ180" s="1445"/>
      <c r="FK180" s="1003">
        <f>IF(FI180=0,0,(FJ180-FI180)/FI180*100)</f>
        <v>0</v>
      </c>
      <c r="FL180" s="1445"/>
      <c r="FM180" s="1445"/>
      <c r="FN180" s="1003">
        <f>IF(FL180=0,0,(FM180-FL180)/FL180*100)</f>
        <v>0</v>
      </c>
      <c r="FO180" s="1445"/>
      <c r="FP180" s="1445"/>
      <c r="FQ180" s="1003">
        <f>IF(FO180=0,0,(FP180-FO180)/FO180*100)</f>
        <v>0</v>
      </c>
      <c r="FR180" s="1445"/>
      <c r="FS180" s="1445"/>
      <c r="FT180" s="1003">
        <f>IF(FR180=0,0,(FS180-FR180)/FR180*100)</f>
        <v>0</v>
      </c>
      <c r="FU180" s="1445"/>
      <c r="FV180" s="1445"/>
      <c r="FW180" s="1003">
        <f>IF(FU180=0,0,(FV180-FU180)/FU180*100)</f>
        <v>0</v>
      </c>
      <c r="FX180" s="1214"/>
      <c r="FY180" s="1214"/>
      <c r="FZ180" s="964" t="s">
        <v>1653</v>
      </c>
      <c r="GA180" s="1216"/>
      <c r="GB180" s="1216"/>
      <c r="GC180" s="1215"/>
      <c r="GD180" s="1215"/>
    </row>
    <row r="181" spans="1:186" s="1334" customFormat="1" ht="14.25" hidden="1" customHeight="1" x14ac:dyDescent="0.15">
      <c r="A181" s="416"/>
      <c r="B181" s="837" t="b" cm="1">
        <f t="array" ref="B181">B180</f>
        <v>0</v>
      </c>
      <c r="C181" s="416"/>
      <c r="D181" s="416"/>
      <c r="E181" s="759">
        <v>15</v>
      </c>
      <c r="F181" s="3" t="str" cm="1">
        <f t="array" aca="1" ref="F181" ca="1">OFFSET(E181,-1,1)</f>
        <v>2</v>
      </c>
      <c r="G181" s="416"/>
      <c r="H181" s="416" t="s">
        <v>1630</v>
      </c>
      <c r="I181" s="416" t="s">
        <v>1605</v>
      </c>
      <c r="J181" s="416"/>
      <c r="K181" s="416"/>
      <c r="L181" s="416"/>
      <c r="M181" s="416"/>
      <c r="N181" s="416"/>
      <c r="O181" s="416"/>
      <c r="P181" s="416"/>
      <c r="Q181" s="416"/>
      <c r="R181" s="416"/>
      <c r="S181" s="416"/>
      <c r="T181" s="388" t="b" cm="1">
        <f t="array" aca="1" ref="T181" ca="1">T180</f>
        <v>1</v>
      </c>
      <c r="U181" s="416"/>
      <c r="V181" s="416"/>
      <c r="W181" s="416"/>
      <c r="X181" s="2066"/>
      <c r="Y181" s="416"/>
      <c r="Z181" s="2011"/>
      <c r="AA181" s="416"/>
      <c r="AB181" s="818" t="s">
        <v>1631</v>
      </c>
      <c r="AC181" s="783" t="s">
        <v>1632</v>
      </c>
      <c r="AD181" s="1445"/>
      <c r="AE181" s="1445"/>
      <c r="AF181" s="1003">
        <f>IF(AD181=0,0,(AE181-AD181)/AD181*100)</f>
        <v>0</v>
      </c>
      <c r="AG181" s="1445"/>
      <c r="AH181" s="1445"/>
      <c r="AI181" s="1003">
        <f>IF(AG181=0,0,(AH181-AG181)/AG181*100)</f>
        <v>0</v>
      </c>
      <c r="AJ181" s="1445"/>
      <c r="AK181" s="1445"/>
      <c r="AL181" s="1003">
        <f>IF(AJ181=0,0,(AK181-AJ181)/AJ181*100)</f>
        <v>0</v>
      </c>
      <c r="AM181" s="1445"/>
      <c r="AN181" s="1445"/>
      <c r="AO181" s="1003">
        <f>IF(AM181=0,0,(AN181-AM181)/AM181*100)</f>
        <v>0</v>
      </c>
      <c r="AP181" s="1445"/>
      <c r="AQ181" s="1445"/>
      <c r="AR181" s="1003">
        <f>IF(AP181=0,0,(AQ181-AP181)/AP181*100)</f>
        <v>0</v>
      </c>
      <c r="AS181" s="1445"/>
      <c r="AT181" s="1445"/>
      <c r="AU181" s="1003">
        <f>IF(AS181=0,0,(AT181-AS181)/AS181*100)</f>
        <v>0</v>
      </c>
      <c r="AV181" s="1445"/>
      <c r="AW181" s="1445"/>
      <c r="AX181" s="1003">
        <f>IF(AV181=0,0,(AW181-AV181)/AV181*100)</f>
        <v>0</v>
      </c>
      <c r="AY181" s="1445"/>
      <c r="AZ181" s="1445"/>
      <c r="BA181" s="1003">
        <f>IF(AY181=0,0,(AZ181-AY181)/AY181*100)</f>
        <v>0</v>
      </c>
      <c r="BB181" s="1445"/>
      <c r="BC181" s="1445"/>
      <c r="BD181" s="1003">
        <f>IF(BB181=0,0,(BC181-BB181)/BB181*100)</f>
        <v>0</v>
      </c>
      <c r="BE181" s="1445"/>
      <c r="BF181" s="1445"/>
      <c r="BG181" s="1003">
        <f>IF(BE181=0,0,(BF181-BE181)/BE181*100)</f>
        <v>0</v>
      </c>
      <c r="BH181" s="1445"/>
      <c r="BI181" s="1445"/>
      <c r="BJ181" s="1003">
        <f>IF(BH181=0,0,(BI181-BH181)/BH181*100)</f>
        <v>0</v>
      </c>
      <c r="BK181" s="1445"/>
      <c r="BL181" s="1445"/>
      <c r="BM181" s="1003">
        <f>IF(BK181=0,0,(BL181-BK181)/BK181*100)</f>
        <v>0</v>
      </c>
      <c r="BN181" s="1445"/>
      <c r="BO181" s="1445"/>
      <c r="BP181" s="1003">
        <f>IF(BN181=0,0,(BO181-BN181)/BN181*100)</f>
        <v>0</v>
      </c>
      <c r="BQ181" s="1445"/>
      <c r="BR181" s="1445"/>
      <c r="BS181" s="1003">
        <f>IF(BQ181=0,0,(BR181-BQ181)/BQ181*100)</f>
        <v>0</v>
      </c>
      <c r="BT181" s="1445"/>
      <c r="BU181" s="1445"/>
      <c r="BV181" s="1003">
        <f>IF(BT181=0,0,(BU181-BT181)/BT181*100)</f>
        <v>0</v>
      </c>
      <c r="BW181" s="1445"/>
      <c r="BX181" s="1445"/>
      <c r="BY181" s="1003">
        <f>IF(BW181=0,0,(BX181-BW181)/BW181*100)</f>
        <v>0</v>
      </c>
      <c r="BZ181" s="1445"/>
      <c r="CA181" s="1445"/>
      <c r="CB181" s="1003">
        <f>IF(BZ181=0,0,(CA181-BZ181)/BZ181*100)</f>
        <v>0</v>
      </c>
      <c r="CC181" s="1445"/>
      <c r="CD181" s="1445"/>
      <c r="CE181" s="1003">
        <f>IF(CC181=0,0,(CD181-CC181)/CC181*100)</f>
        <v>0</v>
      </c>
      <c r="CF181" s="1445"/>
      <c r="CG181" s="1445"/>
      <c r="CH181" s="1003">
        <f>IF(CF181=0,0,(CG181-CF181)/CF181*100)</f>
        <v>0</v>
      </c>
      <c r="CI181" s="1445"/>
      <c r="CJ181" s="1445"/>
      <c r="CK181" s="1003">
        <f>IF(CI181=0,0,(CJ181-CI181)/CI181*100)</f>
        <v>0</v>
      </c>
      <c r="CL181" s="1445"/>
      <c r="CM181" s="1445"/>
      <c r="CN181" s="1003">
        <f>IF(CL181=0,0,(CM181-CL181)/CL181*100)</f>
        <v>0</v>
      </c>
      <c r="CO181" s="1445"/>
      <c r="CP181" s="1445"/>
      <c r="CQ181" s="1003">
        <f>IF(CO181=0,0,(CP181-CO181)/CO181*100)</f>
        <v>0</v>
      </c>
      <c r="CR181" s="1445"/>
      <c r="CS181" s="1445"/>
      <c r="CT181" s="1003">
        <f>IF(CR181=0,0,(CS181-CR181)/CR181*100)</f>
        <v>0</v>
      </c>
      <c r="CU181" s="1445"/>
      <c r="CV181" s="1445"/>
      <c r="CW181" s="1003">
        <f>IF(CU181=0,0,(CV181-CU181)/CU181*100)</f>
        <v>0</v>
      </c>
      <c r="CX181" s="1445"/>
      <c r="CY181" s="1445"/>
      <c r="CZ181" s="1003">
        <f>IF(CX181=0,0,(CY181-CX181)/CX181*100)</f>
        <v>0</v>
      </c>
      <c r="DA181" s="1445"/>
      <c r="DB181" s="1445"/>
      <c r="DC181" s="1003">
        <f>IF(DA181=0,0,(DB181-DA181)/DA181*100)</f>
        <v>0</v>
      </c>
      <c r="DD181" s="1445"/>
      <c r="DE181" s="1445"/>
      <c r="DF181" s="1003">
        <f>IF(DD181=0,0,(DE181-DD181)/DD181*100)</f>
        <v>0</v>
      </c>
      <c r="DG181" s="1445"/>
      <c r="DH181" s="1445"/>
      <c r="DI181" s="1003">
        <f>IF(DG181=0,0,(DH181-DG181)/DG181*100)</f>
        <v>0</v>
      </c>
      <c r="DJ181" s="1445"/>
      <c r="DK181" s="1445"/>
      <c r="DL181" s="1003">
        <f>IF(DJ181=0,0,(DK181-DJ181)/DJ181*100)</f>
        <v>0</v>
      </c>
      <c r="DM181" s="1445"/>
      <c r="DN181" s="1445"/>
      <c r="DO181" s="1003">
        <f>IF(DM181=0,0,(DN181-DM181)/DM181*100)</f>
        <v>0</v>
      </c>
      <c r="DP181" s="1445"/>
      <c r="DQ181" s="1445"/>
      <c r="DR181" s="1003">
        <f>IF(DP181=0,0,(DQ181-DP181)/DP181*100)</f>
        <v>0</v>
      </c>
      <c r="DS181" s="1445"/>
      <c r="DT181" s="1445"/>
      <c r="DU181" s="1003">
        <f>IF(DS181=0,0,(DT181-DS181)/DS181*100)</f>
        <v>0</v>
      </c>
      <c r="DV181" s="1445"/>
      <c r="DW181" s="1445"/>
      <c r="DX181" s="1003">
        <f>IF(DV181=0,0,(DW181-DV181)/DV181*100)</f>
        <v>0</v>
      </c>
      <c r="DY181" s="1445"/>
      <c r="DZ181" s="1445"/>
      <c r="EA181" s="1003">
        <f>IF(DY181=0,0,(DZ181-DY181)/DY181*100)</f>
        <v>0</v>
      </c>
      <c r="EB181" s="1445"/>
      <c r="EC181" s="1445"/>
      <c r="ED181" s="1003">
        <f>IF(EB181=0,0,(EC181-EB181)/EB181*100)</f>
        <v>0</v>
      </c>
      <c r="EE181" s="1445"/>
      <c r="EF181" s="1445"/>
      <c r="EG181" s="1003">
        <f>IF(EE181=0,0,(EF181-EE181)/EE181*100)</f>
        <v>0</v>
      </c>
      <c r="EH181" s="1445"/>
      <c r="EI181" s="1445"/>
      <c r="EJ181" s="1003">
        <f>IF(EH181=0,0,(EI181-EH181)/EH181*100)</f>
        <v>0</v>
      </c>
      <c r="EK181" s="1445"/>
      <c r="EL181" s="1445"/>
      <c r="EM181" s="1003">
        <f>IF(EK181=0,0,(EL181-EK181)/EK181*100)</f>
        <v>0</v>
      </c>
      <c r="EN181" s="1445"/>
      <c r="EO181" s="1445"/>
      <c r="EP181" s="1003">
        <f>IF(EN181=0,0,(EO181-EN181)/EN181*100)</f>
        <v>0</v>
      </c>
      <c r="EQ181" s="1445"/>
      <c r="ER181" s="1445"/>
      <c r="ES181" s="1003">
        <f>IF(EQ181=0,0,(ER181-EQ181)/EQ181*100)</f>
        <v>0</v>
      </c>
      <c r="ET181" s="1445"/>
      <c r="EU181" s="1445"/>
      <c r="EV181" s="1003">
        <f>IF(ET181=0,0,(EU181-ET181)/ET181*100)</f>
        <v>0</v>
      </c>
      <c r="EW181" s="1445"/>
      <c r="EX181" s="1445"/>
      <c r="EY181" s="1003">
        <f>IF(EW181=0,0,(EX181-EW181)/EW181*100)</f>
        <v>0</v>
      </c>
      <c r="EZ181" s="1445"/>
      <c r="FA181" s="1445"/>
      <c r="FB181" s="1003">
        <f>IF(EZ181=0,0,(FA181-EZ181)/EZ181*100)</f>
        <v>0</v>
      </c>
      <c r="FC181" s="1445"/>
      <c r="FD181" s="1445"/>
      <c r="FE181" s="1003">
        <f>IF(FC181=0,0,(FD181-FC181)/FC181*100)</f>
        <v>0</v>
      </c>
      <c r="FF181" s="1445"/>
      <c r="FG181" s="1445"/>
      <c r="FH181" s="1003">
        <f>IF(FF181=0,0,(FG181-FF181)/FF181*100)</f>
        <v>0</v>
      </c>
      <c r="FI181" s="1445"/>
      <c r="FJ181" s="1445"/>
      <c r="FK181" s="1003">
        <f>IF(FI181=0,0,(FJ181-FI181)/FI181*100)</f>
        <v>0</v>
      </c>
      <c r="FL181" s="1445"/>
      <c r="FM181" s="1445"/>
      <c r="FN181" s="1003">
        <f>IF(FL181=0,0,(FM181-FL181)/FL181*100)</f>
        <v>0</v>
      </c>
      <c r="FO181" s="1445"/>
      <c r="FP181" s="1445"/>
      <c r="FQ181" s="1003">
        <f>IF(FO181=0,0,(FP181-FO181)/FO181*100)</f>
        <v>0</v>
      </c>
      <c r="FR181" s="1445"/>
      <c r="FS181" s="1445"/>
      <c r="FT181" s="1003">
        <f>IF(FR181=0,0,(FS181-FR181)/FR181*100)</f>
        <v>0</v>
      </c>
      <c r="FU181" s="1445"/>
      <c r="FV181" s="1445"/>
      <c r="FW181" s="1003">
        <f>IF(FU181=0,0,(FV181-FU181)/FU181*100)</f>
        <v>0</v>
      </c>
      <c r="FX181" s="1214"/>
      <c r="FY181" s="1214"/>
      <c r="FZ181" s="964" t="s">
        <v>1654</v>
      </c>
      <c r="GA181" s="1216"/>
      <c r="GB181" s="1216"/>
      <c r="GC181" s="1215"/>
      <c r="GD181" s="1215"/>
    </row>
    <row r="182" spans="1:186" s="1334" customFormat="1" ht="18" hidden="1" customHeight="1" x14ac:dyDescent="0.15">
      <c r="A182" s="416"/>
      <c r="B182" s="837" t="b" cm="1">
        <f t="array" ref="B182">B181</f>
        <v>0</v>
      </c>
      <c r="C182" s="416"/>
      <c r="D182" s="416"/>
      <c r="E182" s="759">
        <v>18.75</v>
      </c>
      <c r="F182" s="3" t="str" cm="1">
        <f t="array" aca="1" ref="F182" ca="1">OFFSET(E182,-1,1)</f>
        <v>2</v>
      </c>
      <c r="G182" s="416"/>
      <c r="H182" s="416"/>
      <c r="I182" s="416"/>
      <c r="J182" s="416"/>
      <c r="K182" s="416"/>
      <c r="L182" s="416"/>
      <c r="M182" s="416"/>
      <c r="N182" s="416"/>
      <c r="O182" s="416"/>
      <c r="P182" s="416"/>
      <c r="Q182" s="416"/>
      <c r="R182" s="416"/>
      <c r="S182" s="416"/>
      <c r="T182" s="388" t="b">
        <f ca="1">AND(F182&gt;0,Y182&gt;0)</f>
        <v>0</v>
      </c>
      <c r="U182" s="416"/>
      <c r="V182" s="416"/>
      <c r="W182" s="416" t="s">
        <v>172</v>
      </c>
      <c r="X182" s="2066"/>
      <c r="Y182" s="2066">
        <v>0</v>
      </c>
      <c r="Z182" s="2011"/>
      <c r="AA182" s="1958" t="s">
        <v>173</v>
      </c>
      <c r="AB182" s="1444"/>
      <c r="AC182" s="784"/>
      <c r="AD182" s="1013"/>
      <c r="AE182" s="1014"/>
      <c r="AF182" s="1014"/>
      <c r="AG182" s="1013"/>
      <c r="AH182" s="1014"/>
      <c r="AI182" s="1014"/>
      <c r="AJ182" s="1013"/>
      <c r="AK182" s="1014"/>
      <c r="AL182" s="1014"/>
      <c r="AM182" s="1013"/>
      <c r="AN182" s="1014"/>
      <c r="AO182" s="1014"/>
      <c r="AP182" s="1013"/>
      <c r="AQ182" s="1014"/>
      <c r="AR182" s="1014"/>
      <c r="AS182" s="1013"/>
      <c r="AT182" s="1014"/>
      <c r="AU182" s="1014"/>
      <c r="AV182" s="1013"/>
      <c r="AW182" s="1014"/>
      <c r="AX182" s="1014"/>
      <c r="AY182" s="1013"/>
      <c r="AZ182" s="1014"/>
      <c r="BA182" s="1014"/>
      <c r="BB182" s="1013"/>
      <c r="BC182" s="1014"/>
      <c r="BD182" s="1014"/>
      <c r="BE182" s="1013"/>
      <c r="BF182" s="1014"/>
      <c r="BG182" s="1014"/>
      <c r="BH182" s="1013"/>
      <c r="BI182" s="1014"/>
      <c r="BJ182" s="1014"/>
      <c r="BK182" s="1013"/>
      <c r="BL182" s="1014"/>
      <c r="BM182" s="1014"/>
      <c r="BN182" s="1013"/>
      <c r="BO182" s="1014"/>
      <c r="BP182" s="1014"/>
      <c r="BQ182" s="1013"/>
      <c r="BR182" s="1014"/>
      <c r="BS182" s="1014"/>
      <c r="BT182" s="1013"/>
      <c r="BU182" s="1014"/>
      <c r="BV182" s="1014"/>
      <c r="BW182" s="1013"/>
      <c r="BX182" s="1014"/>
      <c r="BY182" s="1014"/>
      <c r="BZ182" s="1013"/>
      <c r="CA182" s="1014"/>
      <c r="CB182" s="1014"/>
      <c r="CC182" s="1013"/>
      <c r="CD182" s="1014"/>
      <c r="CE182" s="1014"/>
      <c r="CF182" s="1013"/>
      <c r="CG182" s="1014"/>
      <c r="CH182" s="1014"/>
      <c r="CI182" s="1013"/>
      <c r="CJ182" s="1014"/>
      <c r="CK182" s="1014"/>
      <c r="CL182" s="1013"/>
      <c r="CM182" s="1014"/>
      <c r="CN182" s="1014"/>
      <c r="CO182" s="1013"/>
      <c r="CP182" s="1014"/>
      <c r="CQ182" s="1014"/>
      <c r="CR182" s="1013"/>
      <c r="CS182" s="1014"/>
      <c r="CT182" s="1014"/>
      <c r="CU182" s="1013"/>
      <c r="CV182" s="1014"/>
      <c r="CW182" s="1014"/>
      <c r="CX182" s="1013"/>
      <c r="CY182" s="1014"/>
      <c r="CZ182" s="1014"/>
      <c r="DA182" s="1013"/>
      <c r="DB182" s="1014"/>
      <c r="DC182" s="1014"/>
      <c r="DD182" s="1013"/>
      <c r="DE182" s="1014"/>
      <c r="DF182" s="1014"/>
      <c r="DG182" s="1013"/>
      <c r="DH182" s="1014"/>
      <c r="DI182" s="1014"/>
      <c r="DJ182" s="1013"/>
      <c r="DK182" s="1014"/>
      <c r="DL182" s="1014"/>
      <c r="DM182" s="1013"/>
      <c r="DN182" s="1014"/>
      <c r="DO182" s="1014"/>
      <c r="DP182" s="1013"/>
      <c r="DQ182" s="1014"/>
      <c r="DR182" s="1014"/>
      <c r="DS182" s="1013"/>
      <c r="DT182" s="1014"/>
      <c r="DU182" s="1014"/>
      <c r="DV182" s="1013"/>
      <c r="DW182" s="1014"/>
      <c r="DX182" s="1014"/>
      <c r="DY182" s="1013"/>
      <c r="DZ182" s="1014"/>
      <c r="EA182" s="1014"/>
      <c r="EB182" s="1013"/>
      <c r="EC182" s="1014"/>
      <c r="ED182" s="1014"/>
      <c r="EE182" s="1013"/>
      <c r="EF182" s="1014"/>
      <c r="EG182" s="1014"/>
      <c r="EH182" s="1013"/>
      <c r="EI182" s="1014"/>
      <c r="EJ182" s="1014"/>
      <c r="EK182" s="1013"/>
      <c r="EL182" s="1014"/>
      <c r="EM182" s="1014"/>
      <c r="EN182" s="1013"/>
      <c r="EO182" s="1014"/>
      <c r="EP182" s="1014"/>
      <c r="EQ182" s="1013"/>
      <c r="ER182" s="1014"/>
      <c r="ES182" s="1014"/>
      <c r="ET182" s="1013"/>
      <c r="EU182" s="1014"/>
      <c r="EV182" s="1014"/>
      <c r="EW182" s="1013"/>
      <c r="EX182" s="1014"/>
      <c r="EY182" s="1014"/>
      <c r="EZ182" s="1013"/>
      <c r="FA182" s="1014"/>
      <c r="FB182" s="1014"/>
      <c r="FC182" s="1013"/>
      <c r="FD182" s="1014"/>
      <c r="FE182" s="1014"/>
      <c r="FF182" s="1013"/>
      <c r="FG182" s="1014"/>
      <c r="FH182" s="1014"/>
      <c r="FI182" s="1013"/>
      <c r="FJ182" s="1014"/>
      <c r="FK182" s="1014"/>
      <c r="FL182" s="1013"/>
      <c r="FM182" s="1014"/>
      <c r="FN182" s="1014"/>
      <c r="FO182" s="1013"/>
      <c r="FP182" s="1014"/>
      <c r="FQ182" s="1014"/>
      <c r="FR182" s="1013"/>
      <c r="FS182" s="1014"/>
      <c r="FT182" s="1014"/>
      <c r="FU182" s="1013"/>
      <c r="FV182" s="1014"/>
      <c r="FW182" s="1015"/>
      <c r="FX182" s="1214"/>
      <c r="FY182" s="1214"/>
      <c r="FZ182" s="964"/>
      <c r="GA182" s="1216"/>
      <c r="GB182" s="1216"/>
      <c r="GC182" s="1215"/>
      <c r="GD182" s="556" t="b">
        <v>1</v>
      </c>
    </row>
    <row r="183" spans="1:186" s="1334" customFormat="1" ht="14.25" hidden="1" customHeight="1" x14ac:dyDescent="0.15">
      <c r="A183" s="416"/>
      <c r="B183" s="837" t="b" cm="1">
        <f t="array" ref="B183">B182</f>
        <v>0</v>
      </c>
      <c r="C183" s="416"/>
      <c r="D183" s="416"/>
      <c r="E183" s="759">
        <v>15</v>
      </c>
      <c r="F183" s="3" t="str" cm="1">
        <f t="array" aca="1" ref="F183" ca="1">OFFSET(E183,-1,1)</f>
        <v>2</v>
      </c>
      <c r="G183" s="416"/>
      <c r="H183" s="416" t="s">
        <v>1529</v>
      </c>
      <c r="I183" s="416" cm="1">
        <f t="array" ref="I183">AB182</f>
        <v>0</v>
      </c>
      <c r="J183" s="416"/>
      <c r="K183" s="416"/>
      <c r="L183" s="416"/>
      <c r="M183" s="416"/>
      <c r="N183" s="416"/>
      <c r="O183" s="416"/>
      <c r="P183" s="416"/>
      <c r="Q183" s="416"/>
      <c r="R183" s="416"/>
      <c r="S183" s="416"/>
      <c r="T183" s="388" t="b" cm="1">
        <f t="array" aca="1" ref="T183" ca="1">T182</f>
        <v>0</v>
      </c>
      <c r="U183" s="416"/>
      <c r="V183" s="416"/>
      <c r="W183" s="416"/>
      <c r="X183" s="2066"/>
      <c r="Y183" s="2066"/>
      <c r="Z183" s="2011"/>
      <c r="AA183" s="1958"/>
      <c r="AB183" s="818" t="s">
        <v>1621</v>
      </c>
      <c r="AC183" s="783" t="s">
        <v>1588</v>
      </c>
      <c r="AD183" s="1445">
        <f>IF(AD185=0,0,(AD184*AD185+AD186*AD187*IF(god=2026,3,6))/AD185)</f>
        <v>0</v>
      </c>
      <c r="AE183" s="1445">
        <f>IF(AE185=0,0,(AE184*AE185+AE186*AE187*IF(god=2026,3,6))/AE185)</f>
        <v>0</v>
      </c>
      <c r="AF183" s="1003">
        <f>IF(AD183=0,0,(AE183-AD183)/AD183*100)</f>
        <v>0</v>
      </c>
      <c r="AG183" s="1445">
        <f>IF(AG185=0,0,(AG184*AG185+AG186*AG187*IF(god=2025,3,6))/AG185)</f>
        <v>0</v>
      </c>
      <c r="AH183" s="1445">
        <f>IF(AH185=0,0,(AH184*AH185+AH186*AH187*IF(god=2025,3,6))/AH185)</f>
        <v>0</v>
      </c>
      <c r="AI183" s="1003">
        <f>IF(AG183=0,0,(AH183-AG183)/AG183*100)</f>
        <v>0</v>
      </c>
      <c r="AJ183" s="1445">
        <f>IF(AJ185=0,0,(AJ184*AJ185+AJ186*AJ187*6)/AJ185)</f>
        <v>0</v>
      </c>
      <c r="AK183" s="1445">
        <f>IF(AK185=0,0,(AK184*AK185+AK186*AK187*6)/AK185)</f>
        <v>0</v>
      </c>
      <c r="AL183" s="1003">
        <f>IF(AJ183=0,0,(AK183-AJ183)/AJ183*100)</f>
        <v>0</v>
      </c>
      <c r="AM183" s="1445">
        <f>IF(AM185=0,0,(AM184*AM185+AM186*AM187*6)/AM185)</f>
        <v>0</v>
      </c>
      <c r="AN183" s="1445">
        <f>IF(AN185=0,0,(AN184*AN185+AN186*AN187*6)/AN185)</f>
        <v>0</v>
      </c>
      <c r="AO183" s="1003">
        <f>IF(AM183=0,0,(AN183-AM183)/AM183*100)</f>
        <v>0</v>
      </c>
      <c r="AP183" s="1445">
        <f>IF(AP185=0,0,(AP184*AP185+AP186*AP187*6)/AP185)</f>
        <v>0</v>
      </c>
      <c r="AQ183" s="1445">
        <f>IF(AQ185=0,0,(AQ184*AQ185+AQ186*AQ187*6)/AQ185)</f>
        <v>0</v>
      </c>
      <c r="AR183" s="1003">
        <f>IF(AP183=0,0,(AQ183-AP183)/AP183*100)</f>
        <v>0</v>
      </c>
      <c r="AS183" s="1445">
        <f>IF(AS185=0,0,(AS184*AS185+AS186*AS187*6)/AS185)</f>
        <v>0</v>
      </c>
      <c r="AT183" s="1445">
        <f>IF(AT185=0,0,(AT184*AT185+AT186*AT187*6)/AT185)</f>
        <v>0</v>
      </c>
      <c r="AU183" s="1003">
        <f>IF(AS183=0,0,(AT183-AS183)/AS183*100)</f>
        <v>0</v>
      </c>
      <c r="AV183" s="1445">
        <f>IF(AV185=0,0,(AV184*AV185+AV186*AV187*6)/AV185)</f>
        <v>0</v>
      </c>
      <c r="AW183" s="1445">
        <f>IF(AW185=0,0,(AW184*AW185+AW186*AW187*6)/AW185)</f>
        <v>0</v>
      </c>
      <c r="AX183" s="1003">
        <f>IF(AV183=0,0,(AW183-AV183)/AV183*100)</f>
        <v>0</v>
      </c>
      <c r="AY183" s="1445">
        <f>IF(AY185=0,0,(AY184*AY185+AY186*AY187*6)/AY185)</f>
        <v>0</v>
      </c>
      <c r="AZ183" s="1445">
        <f>IF(AZ185=0,0,(AZ184*AZ185+AZ186*AZ187*6)/AZ185)</f>
        <v>0</v>
      </c>
      <c r="BA183" s="1003">
        <f>IF(AY183=0,0,(AZ183-AY183)/AY183*100)</f>
        <v>0</v>
      </c>
      <c r="BB183" s="1445">
        <f>IF(BB185=0,0,(BB184*BB185+BB186*BB187*6)/BB185)</f>
        <v>0</v>
      </c>
      <c r="BC183" s="1445">
        <f>IF(BC185=0,0,(BC184*BC185+BC186*BC187*6)/BC185)</f>
        <v>0</v>
      </c>
      <c r="BD183" s="1003">
        <f>IF(BB183=0,0,(BC183-BB183)/BB183*100)</f>
        <v>0</v>
      </c>
      <c r="BE183" s="1445">
        <f>IF(BE185=0,0,(BE184*BE185+BE186*BE187*6)/BE185)</f>
        <v>0</v>
      </c>
      <c r="BF183" s="1445">
        <f>IF(BF185=0,0,(BF184*BF185+BF186*BF187*6)/BF185)</f>
        <v>0</v>
      </c>
      <c r="BG183" s="1003">
        <f>IF(BE183=0,0,(BF183-BE183)/BE183*100)</f>
        <v>0</v>
      </c>
      <c r="BH183" s="1445">
        <f>IF(BH185=0,0,(BH184*BH185+BH186*BH187*6)/BH185)</f>
        <v>0</v>
      </c>
      <c r="BI183" s="1445">
        <f>IF(BI185=0,0,(BI184*BI185+BI186*BI187*6)/BI185)</f>
        <v>0</v>
      </c>
      <c r="BJ183" s="1003">
        <f>IF(BH183=0,0,(BI183-BH183)/BH183*100)</f>
        <v>0</v>
      </c>
      <c r="BK183" s="1445">
        <f>IF(BK185=0,0,(BK184*BK185+BK186*BK187*6)/BK185)</f>
        <v>0</v>
      </c>
      <c r="BL183" s="1445">
        <f>IF(BL185=0,0,(BL184*BL185+BL186*BL187*6)/BL185)</f>
        <v>0</v>
      </c>
      <c r="BM183" s="1003">
        <f>IF(BK183=0,0,(BL183-BK183)/BK183*100)</f>
        <v>0</v>
      </c>
      <c r="BN183" s="1445">
        <f>IF(BN185=0,0,(BN184*BN185+BN186*BN187*6)/BN185)</f>
        <v>0</v>
      </c>
      <c r="BO183" s="1445">
        <f>IF(BO185=0,0,(BO184*BO185+BO186*BO187*6)/BO185)</f>
        <v>0</v>
      </c>
      <c r="BP183" s="1003">
        <f>IF(BN183=0,0,(BO183-BN183)/BN183*100)</f>
        <v>0</v>
      </c>
      <c r="BQ183" s="1445">
        <f>IF(BQ185=0,0,(BQ184*BQ185+BQ186*BQ187*6)/BQ185)</f>
        <v>0</v>
      </c>
      <c r="BR183" s="1445">
        <f>IF(BR185=0,0,(BR184*BR185+BR186*BR187*6)/BR185)</f>
        <v>0</v>
      </c>
      <c r="BS183" s="1003">
        <f>IF(BQ183=0,0,(BR183-BQ183)/BQ183*100)</f>
        <v>0</v>
      </c>
      <c r="BT183" s="1445">
        <f>IF(BT185=0,0,(BT184*BT185+BT186*BT187*6)/BT185)</f>
        <v>0</v>
      </c>
      <c r="BU183" s="1445">
        <f>IF(BU185=0,0,(BU184*BU185+BU186*BU187*6)/BU185)</f>
        <v>0</v>
      </c>
      <c r="BV183" s="1003">
        <f>IF(BT183=0,0,(BU183-BT183)/BT183*100)</f>
        <v>0</v>
      </c>
      <c r="BW183" s="1445">
        <f>IF(BW185=0,0,(BW184*BW185+BW186*BW187*6)/BW185)</f>
        <v>0</v>
      </c>
      <c r="BX183" s="1445">
        <f>IF(BX185=0,0,(BX184*BX185+BX186*BX187*6)/BX185)</f>
        <v>0</v>
      </c>
      <c r="BY183" s="1003">
        <f>IF(BW183=0,0,(BX183-BW183)/BW183*100)</f>
        <v>0</v>
      </c>
      <c r="BZ183" s="1445">
        <f>IF(BZ185=0,0,(BZ184*BZ185+BZ186*BZ187*6)/BZ185)</f>
        <v>0</v>
      </c>
      <c r="CA183" s="1445">
        <f>IF(CA185=0,0,(CA184*CA185+CA186*CA187*6)/CA185)</f>
        <v>0</v>
      </c>
      <c r="CB183" s="1003">
        <f>IF(BZ183=0,0,(CA183-BZ183)/BZ183*100)</f>
        <v>0</v>
      </c>
      <c r="CC183" s="1445">
        <f>IF(CC185=0,0,(CC184*CC185+CC186*CC187*6)/CC185)</f>
        <v>0</v>
      </c>
      <c r="CD183" s="1445">
        <f>IF(CD185=0,0,(CD184*CD185+CD186*CD187*6)/CD185)</f>
        <v>0</v>
      </c>
      <c r="CE183" s="1003">
        <f>IF(CC183=0,0,(CD183-CC183)/CC183*100)</f>
        <v>0</v>
      </c>
      <c r="CF183" s="1445">
        <f>IF(CF185=0,0,(CF184*CF185+CF186*CF187*6)/CF185)</f>
        <v>0</v>
      </c>
      <c r="CG183" s="1445">
        <f>IF(CG185=0,0,(CG184*CG185+CG186*CG187*6)/CG185)</f>
        <v>0</v>
      </c>
      <c r="CH183" s="1003">
        <f>IF(CF183=0,0,(CG183-CF183)/CF183*100)</f>
        <v>0</v>
      </c>
      <c r="CI183" s="1445">
        <f>IF(CI185=0,0,(CI184*CI185+CI186*CI187*6)/CI185)</f>
        <v>0</v>
      </c>
      <c r="CJ183" s="1445">
        <f>IF(CJ185=0,0,(CJ184*CJ185+CJ186*CJ187*6)/CJ185)</f>
        <v>0</v>
      </c>
      <c r="CK183" s="1003">
        <f>IF(CI183=0,0,(CJ183-CI183)/CI183*100)</f>
        <v>0</v>
      </c>
      <c r="CL183" s="1445">
        <f>IF(CL185=0,0,(CL184*CL185+CL186*CL187*6)/CL185)</f>
        <v>0</v>
      </c>
      <c r="CM183" s="1445">
        <f>IF(CM185=0,0,(CM184*CM185+CM186*CM187*6)/CM185)</f>
        <v>0</v>
      </c>
      <c r="CN183" s="1003">
        <f>IF(CL183=0,0,(CM183-CL183)/CL183*100)</f>
        <v>0</v>
      </c>
      <c r="CO183" s="1445">
        <f>IF(CO185=0,0,(CO184*CO185+CO186*CO187*6)/CO185)</f>
        <v>0</v>
      </c>
      <c r="CP183" s="1445">
        <f>IF(CP185=0,0,(CP184*CP185+CP186*CP187*6)/CP185)</f>
        <v>0</v>
      </c>
      <c r="CQ183" s="1003">
        <f>IF(CO183=0,0,(CP183-CO183)/CO183*100)</f>
        <v>0</v>
      </c>
      <c r="CR183" s="1445">
        <f>IF(CR185=0,0,(CR184*CR185+CR186*CR187*6)/CR185)</f>
        <v>0</v>
      </c>
      <c r="CS183" s="1445">
        <f>IF(CS185=0,0,(CS184*CS185+CS186*CS187*6)/CS185)</f>
        <v>0</v>
      </c>
      <c r="CT183" s="1003">
        <f>IF(CR183=0,0,(CS183-CR183)/CR183*100)</f>
        <v>0</v>
      </c>
      <c r="CU183" s="1445">
        <f>IF(CU185=0,0,(CU184*CU185+CU186*CU187*6)/CU185)</f>
        <v>0</v>
      </c>
      <c r="CV183" s="1445">
        <f>IF(CV185=0,0,(CV184*CV185+CV186*CV187*6)/CV185)</f>
        <v>0</v>
      </c>
      <c r="CW183" s="1003">
        <f>IF(CU183=0,0,(CV183-CU183)/CU183*100)</f>
        <v>0</v>
      </c>
      <c r="CX183" s="1445">
        <f>IF(CX185=0,0,(CX184*CX185+CX186*CX187*6)/CX185)</f>
        <v>0</v>
      </c>
      <c r="CY183" s="1445">
        <f>IF(CY185=0,0,(CY184*CY185+CY186*CY187*6)/CY185)</f>
        <v>0</v>
      </c>
      <c r="CZ183" s="1003">
        <f>IF(CX183=0,0,(CY183-CX183)/CX183*100)</f>
        <v>0</v>
      </c>
      <c r="DA183" s="1445">
        <f>IF(DA185=0,0,(DA184*DA185+DA186*DA187*6)/DA185)</f>
        <v>0</v>
      </c>
      <c r="DB183" s="1445">
        <f>IF(DB185=0,0,(DB184*DB185+DB186*DB187*6)/DB185)</f>
        <v>0</v>
      </c>
      <c r="DC183" s="1003">
        <f>IF(DA183=0,0,(DB183-DA183)/DA183*100)</f>
        <v>0</v>
      </c>
      <c r="DD183" s="1445">
        <f>IF(DD185=0,0,(DD184*DD185+DD186*DD187*6)/DD185)</f>
        <v>0</v>
      </c>
      <c r="DE183" s="1445">
        <f>IF(DE185=0,0,(DE184*DE185+DE186*DE187*6)/DE185)</f>
        <v>0</v>
      </c>
      <c r="DF183" s="1003">
        <f>IF(DD183=0,0,(DE183-DD183)/DD183*100)</f>
        <v>0</v>
      </c>
      <c r="DG183" s="1445">
        <f>IF(DG185=0,0,(DG184*DG185+DG186*DG187*6)/DG185)</f>
        <v>0</v>
      </c>
      <c r="DH183" s="1445">
        <f>IF(DH185=0,0,(DH184*DH185+DH186*DH187*6)/DH185)</f>
        <v>0</v>
      </c>
      <c r="DI183" s="1003">
        <f>IF(DG183=0,0,(DH183-DG183)/DG183*100)</f>
        <v>0</v>
      </c>
      <c r="DJ183" s="1445">
        <f>IF(DJ185=0,0,(DJ184*DJ185+DJ186*DJ187*6)/DJ185)</f>
        <v>0</v>
      </c>
      <c r="DK183" s="1445">
        <f>IF(DK185=0,0,(DK184*DK185+DK186*DK187*6)/DK185)</f>
        <v>0</v>
      </c>
      <c r="DL183" s="1003">
        <f>IF(DJ183=0,0,(DK183-DJ183)/DJ183*100)</f>
        <v>0</v>
      </c>
      <c r="DM183" s="1445">
        <f>IF(DM185=0,0,(DM184*DM185+DM186*DM187*6)/DM185)</f>
        <v>0</v>
      </c>
      <c r="DN183" s="1445">
        <f>IF(DN185=0,0,(DN184*DN185+DN186*DN187*6)/DN185)</f>
        <v>0</v>
      </c>
      <c r="DO183" s="1003">
        <f>IF(DM183=0,0,(DN183-DM183)/DM183*100)</f>
        <v>0</v>
      </c>
      <c r="DP183" s="1445">
        <f>IF(DP185=0,0,(DP184*DP185+DP186*DP187*6)/DP185)</f>
        <v>0</v>
      </c>
      <c r="DQ183" s="1445">
        <f>IF(DQ185=0,0,(DQ184*DQ185+DQ186*DQ187*6)/DQ185)</f>
        <v>0</v>
      </c>
      <c r="DR183" s="1003">
        <f>IF(DP183=0,0,(DQ183-DP183)/DP183*100)</f>
        <v>0</v>
      </c>
      <c r="DS183" s="1445">
        <f>IF(DS185=0,0,(DS184*DS185+DS186*DS187*6)/DS185)</f>
        <v>0</v>
      </c>
      <c r="DT183" s="1445">
        <f>IF(DT185=0,0,(DT184*DT185+DT186*DT187*6)/DT185)</f>
        <v>0</v>
      </c>
      <c r="DU183" s="1003">
        <f>IF(DS183=0,0,(DT183-DS183)/DS183*100)</f>
        <v>0</v>
      </c>
      <c r="DV183" s="1445">
        <f>IF(DV185=0,0,(DV184*DV185+DV186*DV187*6)/DV185)</f>
        <v>0</v>
      </c>
      <c r="DW183" s="1445">
        <f>IF(DW185=0,0,(DW184*DW185+DW186*DW187*6)/DW185)</f>
        <v>0</v>
      </c>
      <c r="DX183" s="1003">
        <f>IF(DV183=0,0,(DW183-DV183)/DV183*100)</f>
        <v>0</v>
      </c>
      <c r="DY183" s="1445">
        <f>IF(DY185=0,0,(DY184*DY185+DY186*DY187*6)/DY185)</f>
        <v>0</v>
      </c>
      <c r="DZ183" s="1445">
        <f>IF(DZ185=0,0,(DZ184*DZ185+DZ186*DZ187*6)/DZ185)</f>
        <v>0</v>
      </c>
      <c r="EA183" s="1003">
        <f>IF(DY183=0,0,(DZ183-DY183)/DY183*100)</f>
        <v>0</v>
      </c>
      <c r="EB183" s="1445">
        <f>IF(EB185=0,0,(EB184*EB185+EB186*EB187*6)/EB185)</f>
        <v>0</v>
      </c>
      <c r="EC183" s="1445">
        <f>IF(EC185=0,0,(EC184*EC185+EC186*EC187*6)/EC185)</f>
        <v>0</v>
      </c>
      <c r="ED183" s="1003">
        <f>IF(EB183=0,0,(EC183-EB183)/EB183*100)</f>
        <v>0</v>
      </c>
      <c r="EE183" s="1445">
        <f>IF(EE185=0,0,(EE184*EE185+EE186*EE187*6)/EE185)</f>
        <v>0</v>
      </c>
      <c r="EF183" s="1445">
        <f>IF(EF185=0,0,(EF184*EF185+EF186*EF187*6)/EF185)</f>
        <v>0</v>
      </c>
      <c r="EG183" s="1003">
        <f>IF(EE183=0,0,(EF183-EE183)/EE183*100)</f>
        <v>0</v>
      </c>
      <c r="EH183" s="1445">
        <f>IF(EH185=0,0,(EH184*EH185+EH186*EH187*6)/EH185)</f>
        <v>0</v>
      </c>
      <c r="EI183" s="1445">
        <f>IF(EI185=0,0,(EI184*EI185+EI186*EI187*6)/EI185)</f>
        <v>0</v>
      </c>
      <c r="EJ183" s="1003">
        <f>IF(EH183=0,0,(EI183-EH183)/EH183*100)</f>
        <v>0</v>
      </c>
      <c r="EK183" s="1445">
        <f>IF(EK185=0,0,(EK184*EK185+EK186*EK187*6)/EK185)</f>
        <v>0</v>
      </c>
      <c r="EL183" s="1445">
        <f>IF(EL185=0,0,(EL184*EL185+EL186*EL187*6)/EL185)</f>
        <v>0</v>
      </c>
      <c r="EM183" s="1003">
        <f>IF(EK183=0,0,(EL183-EK183)/EK183*100)</f>
        <v>0</v>
      </c>
      <c r="EN183" s="1445">
        <f>IF(EN185=0,0,(EN184*EN185+EN186*EN187*6)/EN185)</f>
        <v>0</v>
      </c>
      <c r="EO183" s="1445">
        <f>IF(EO185=0,0,(EO184*EO185+EO186*EO187*6)/EO185)</f>
        <v>0</v>
      </c>
      <c r="EP183" s="1003">
        <f>IF(EN183=0,0,(EO183-EN183)/EN183*100)</f>
        <v>0</v>
      </c>
      <c r="EQ183" s="1445">
        <f>IF(EQ185=0,0,(EQ184*EQ185+EQ186*EQ187*6)/EQ185)</f>
        <v>0</v>
      </c>
      <c r="ER183" s="1445">
        <f>IF(ER185=0,0,(ER184*ER185+ER186*ER187*6)/ER185)</f>
        <v>0</v>
      </c>
      <c r="ES183" s="1003">
        <f>IF(EQ183=0,0,(ER183-EQ183)/EQ183*100)</f>
        <v>0</v>
      </c>
      <c r="ET183" s="1445">
        <f>IF(ET185=0,0,(ET184*ET185+ET186*ET187*6)/ET185)</f>
        <v>0</v>
      </c>
      <c r="EU183" s="1445">
        <f>IF(EU185=0,0,(EU184*EU185+EU186*EU187*6)/EU185)</f>
        <v>0</v>
      </c>
      <c r="EV183" s="1003">
        <f>IF(ET183=0,0,(EU183-ET183)/ET183*100)</f>
        <v>0</v>
      </c>
      <c r="EW183" s="1445">
        <f>IF(EW185=0,0,(EW184*EW185+EW186*EW187*6)/EW185)</f>
        <v>0</v>
      </c>
      <c r="EX183" s="1445">
        <f>IF(EX185=0,0,(EX184*EX185+EX186*EX187*6)/EX185)</f>
        <v>0</v>
      </c>
      <c r="EY183" s="1003">
        <f>IF(EW183=0,0,(EX183-EW183)/EW183*100)</f>
        <v>0</v>
      </c>
      <c r="EZ183" s="1445">
        <f>IF(EZ185=0,0,(EZ184*EZ185+EZ186*EZ187*6)/EZ185)</f>
        <v>0</v>
      </c>
      <c r="FA183" s="1445">
        <f>IF(FA185=0,0,(FA184*FA185+FA186*FA187*6)/FA185)</f>
        <v>0</v>
      </c>
      <c r="FB183" s="1003">
        <f>IF(EZ183=0,0,(FA183-EZ183)/EZ183*100)</f>
        <v>0</v>
      </c>
      <c r="FC183" s="1445">
        <f>IF(FC185=0,0,(FC184*FC185+FC186*FC187*6)/FC185)</f>
        <v>0</v>
      </c>
      <c r="FD183" s="1445">
        <f>IF(FD185=0,0,(FD184*FD185+FD186*FD187*6)/FD185)</f>
        <v>0</v>
      </c>
      <c r="FE183" s="1003">
        <f>IF(FC183=0,0,(FD183-FC183)/FC183*100)</f>
        <v>0</v>
      </c>
      <c r="FF183" s="1445">
        <f>IF(FF185=0,0,(FF184*FF185+FF186*FF187*6)/FF185)</f>
        <v>0</v>
      </c>
      <c r="FG183" s="1445">
        <f>IF(FG185=0,0,(FG184*FG185+FG186*FG187*6)/FG185)</f>
        <v>0</v>
      </c>
      <c r="FH183" s="1003">
        <f>IF(FF183=0,0,(FG183-FF183)/FF183*100)</f>
        <v>0</v>
      </c>
      <c r="FI183" s="1445">
        <f>IF(FI185=0,0,(FI184*FI185+FI186*FI187*6)/FI185)</f>
        <v>0</v>
      </c>
      <c r="FJ183" s="1445">
        <f>IF(FJ185=0,0,(FJ184*FJ185+FJ186*FJ187*6)/FJ185)</f>
        <v>0</v>
      </c>
      <c r="FK183" s="1003">
        <f>IF(FI183=0,0,(FJ183-FI183)/FI183*100)</f>
        <v>0</v>
      </c>
      <c r="FL183" s="1445">
        <f>IF(FL185=0,0,(FL184*FL185+FL186*FL187*6)/FL185)</f>
        <v>0</v>
      </c>
      <c r="FM183" s="1445">
        <f>IF(FM185=0,0,(FM184*FM185+FM186*FM187*6)/FM185)</f>
        <v>0</v>
      </c>
      <c r="FN183" s="1003">
        <f>IF(FL183=0,0,(FM183-FL183)/FL183*100)</f>
        <v>0</v>
      </c>
      <c r="FO183" s="1445">
        <f>IF(FO185=0,0,(FO184*FO185+FO186*FO187*6)/FO185)</f>
        <v>0</v>
      </c>
      <c r="FP183" s="1445">
        <f>IF(FP185=0,0,(FP184*FP185+FP186*FP187*6)/FP185)</f>
        <v>0</v>
      </c>
      <c r="FQ183" s="1003">
        <f>IF(FO183=0,0,(FP183-FO183)/FO183*100)</f>
        <v>0</v>
      </c>
      <c r="FR183" s="1445">
        <f>IF(FR185=0,0,(FR184*FR185+FR186*FR187*6)/FR185)</f>
        <v>0</v>
      </c>
      <c r="FS183" s="1445">
        <f>IF(FS185=0,0,(FS184*FS185+FS186*FS187*6)/FS185)</f>
        <v>0</v>
      </c>
      <c r="FT183" s="1003">
        <f>IF(FR183=0,0,(FS183-FR183)/FR183*100)</f>
        <v>0</v>
      </c>
      <c r="FU183" s="1445">
        <f>IF(FU185=0,0,(FU184*FU185+FU186*FU187*6)/FU185)</f>
        <v>0</v>
      </c>
      <c r="FV183" s="1445">
        <f>IF(FV185=0,0,(FV184*FV185+FV186*FV187*6)/FV185)</f>
        <v>0</v>
      </c>
      <c r="FW183" s="1003">
        <f>IF(FU183=0,0,(FV183-FU183)/FU183*100)</f>
        <v>0</v>
      </c>
      <c r="FX183" s="1214"/>
      <c r="FY183" s="1214"/>
      <c r="FZ183" s="964" t="s">
        <v>1655</v>
      </c>
      <c r="GA183" s="924" t="s">
        <v>875</v>
      </c>
      <c r="GB183" s="966" cm="1">
        <f t="array" ref="GB183">AB182</f>
        <v>0</v>
      </c>
      <c r="GC183" s="1215"/>
      <c r="GD183" s="1215"/>
    </row>
    <row r="184" spans="1:186" s="1334" customFormat="1" ht="14.25" hidden="1" customHeight="1" x14ac:dyDescent="0.15">
      <c r="A184" s="416"/>
      <c r="B184" s="837" t="b" cm="1">
        <f t="array" ref="B184">B183</f>
        <v>0</v>
      </c>
      <c r="C184" s="416"/>
      <c r="D184" s="416"/>
      <c r="E184" s="759">
        <v>15</v>
      </c>
      <c r="F184" s="3" t="str" cm="1">
        <f t="array" aca="1" ref="F184" ca="1">OFFSET(E184,-1,1)</f>
        <v>2</v>
      </c>
      <c r="G184" s="416"/>
      <c r="H184" s="416" t="s">
        <v>1533</v>
      </c>
      <c r="I184" s="416" cm="1">
        <f t="array" ref="I184">I183</f>
        <v>0</v>
      </c>
      <c r="J184" s="416"/>
      <c r="K184" s="416"/>
      <c r="L184" s="416"/>
      <c r="M184" s="416"/>
      <c r="N184" s="416"/>
      <c r="O184" s="416"/>
      <c r="P184" s="416"/>
      <c r="Q184" s="416"/>
      <c r="R184" s="416"/>
      <c r="S184" s="416"/>
      <c r="T184" s="388" t="b" cm="1">
        <f t="array" aca="1" ref="T184" ca="1">T183</f>
        <v>0</v>
      </c>
      <c r="U184" s="416"/>
      <c r="V184" s="416"/>
      <c r="W184" s="416"/>
      <c r="X184" s="2066"/>
      <c r="Y184" s="2066"/>
      <c r="Z184" s="2011"/>
      <c r="AA184" s="1958"/>
      <c r="AB184" s="818" t="str">
        <f>"ставка платы за "&amp;IF(Q141="Водоснабжение","потребление 1 куб.м холодной воды","объем принятых сточных вод")</f>
        <v>ставка платы за объем принятых сточных вод</v>
      </c>
      <c r="AC184" s="783" t="s">
        <v>1588</v>
      </c>
      <c r="AD184" s="1445"/>
      <c r="AE184" s="1445"/>
      <c r="AF184" s="1003">
        <f>IF(AD184=0,0,(AE184-AD184)/AD184*100)</f>
        <v>0</v>
      </c>
      <c r="AG184" s="1445"/>
      <c r="AH184" s="1445"/>
      <c r="AI184" s="1003">
        <f>IF(AG184=0,0,(AH184-AG184)/AG184*100)</f>
        <v>0</v>
      </c>
      <c r="AJ184" s="1445"/>
      <c r="AK184" s="1445"/>
      <c r="AL184" s="1003">
        <f>IF(AJ184=0,0,(AK184-AJ184)/AJ184*100)</f>
        <v>0</v>
      </c>
      <c r="AM184" s="1445"/>
      <c r="AN184" s="1445"/>
      <c r="AO184" s="1003">
        <f>IF(AM184=0,0,(AN184-AM184)/AM184*100)</f>
        <v>0</v>
      </c>
      <c r="AP184" s="1445"/>
      <c r="AQ184" s="1445"/>
      <c r="AR184" s="1003">
        <f>IF(AP184=0,0,(AQ184-AP184)/AP184*100)</f>
        <v>0</v>
      </c>
      <c r="AS184" s="1445"/>
      <c r="AT184" s="1445"/>
      <c r="AU184" s="1003">
        <f>IF(AS184=0,0,(AT184-AS184)/AS184*100)</f>
        <v>0</v>
      </c>
      <c r="AV184" s="1445"/>
      <c r="AW184" s="1445"/>
      <c r="AX184" s="1003">
        <f>IF(AV184=0,0,(AW184-AV184)/AV184*100)</f>
        <v>0</v>
      </c>
      <c r="AY184" s="1445"/>
      <c r="AZ184" s="1445"/>
      <c r="BA184" s="1003">
        <f>IF(AY184=0,0,(AZ184-AY184)/AY184*100)</f>
        <v>0</v>
      </c>
      <c r="BB184" s="1445"/>
      <c r="BC184" s="1445"/>
      <c r="BD184" s="1003">
        <f>IF(BB184=0,0,(BC184-BB184)/BB184*100)</f>
        <v>0</v>
      </c>
      <c r="BE184" s="1445"/>
      <c r="BF184" s="1445"/>
      <c r="BG184" s="1003">
        <f>IF(BE184=0,0,(BF184-BE184)/BE184*100)</f>
        <v>0</v>
      </c>
      <c r="BH184" s="1445"/>
      <c r="BI184" s="1445"/>
      <c r="BJ184" s="1003">
        <f>IF(BH184=0,0,(BI184-BH184)/BH184*100)</f>
        <v>0</v>
      </c>
      <c r="BK184" s="1445"/>
      <c r="BL184" s="1445"/>
      <c r="BM184" s="1003">
        <f>IF(BK184=0,0,(BL184-BK184)/BK184*100)</f>
        <v>0</v>
      </c>
      <c r="BN184" s="1445"/>
      <c r="BO184" s="1445"/>
      <c r="BP184" s="1003">
        <f>IF(BN184=0,0,(BO184-BN184)/BN184*100)</f>
        <v>0</v>
      </c>
      <c r="BQ184" s="1445"/>
      <c r="BR184" s="1445"/>
      <c r="BS184" s="1003">
        <f>IF(BQ184=0,0,(BR184-BQ184)/BQ184*100)</f>
        <v>0</v>
      </c>
      <c r="BT184" s="1445"/>
      <c r="BU184" s="1445"/>
      <c r="BV184" s="1003">
        <f>IF(BT184=0,0,(BU184-BT184)/BT184*100)</f>
        <v>0</v>
      </c>
      <c r="BW184" s="1445"/>
      <c r="BX184" s="1445"/>
      <c r="BY184" s="1003">
        <f>IF(BW184=0,0,(BX184-BW184)/BW184*100)</f>
        <v>0</v>
      </c>
      <c r="BZ184" s="1445"/>
      <c r="CA184" s="1445"/>
      <c r="CB184" s="1003">
        <f>IF(BZ184=0,0,(CA184-BZ184)/BZ184*100)</f>
        <v>0</v>
      </c>
      <c r="CC184" s="1445"/>
      <c r="CD184" s="1445"/>
      <c r="CE184" s="1003">
        <f>IF(CC184=0,0,(CD184-CC184)/CC184*100)</f>
        <v>0</v>
      </c>
      <c r="CF184" s="1445"/>
      <c r="CG184" s="1445"/>
      <c r="CH184" s="1003">
        <f>IF(CF184=0,0,(CG184-CF184)/CF184*100)</f>
        <v>0</v>
      </c>
      <c r="CI184" s="1445"/>
      <c r="CJ184" s="1445"/>
      <c r="CK184" s="1003">
        <f>IF(CI184=0,0,(CJ184-CI184)/CI184*100)</f>
        <v>0</v>
      </c>
      <c r="CL184" s="1445"/>
      <c r="CM184" s="1445"/>
      <c r="CN184" s="1003">
        <f>IF(CL184=0,0,(CM184-CL184)/CL184*100)</f>
        <v>0</v>
      </c>
      <c r="CO184" s="1445"/>
      <c r="CP184" s="1445"/>
      <c r="CQ184" s="1003">
        <f>IF(CO184=0,0,(CP184-CO184)/CO184*100)</f>
        <v>0</v>
      </c>
      <c r="CR184" s="1445"/>
      <c r="CS184" s="1445"/>
      <c r="CT184" s="1003">
        <f>IF(CR184=0,0,(CS184-CR184)/CR184*100)</f>
        <v>0</v>
      </c>
      <c r="CU184" s="1445"/>
      <c r="CV184" s="1445"/>
      <c r="CW184" s="1003">
        <f>IF(CU184=0,0,(CV184-CU184)/CU184*100)</f>
        <v>0</v>
      </c>
      <c r="CX184" s="1445"/>
      <c r="CY184" s="1445"/>
      <c r="CZ184" s="1003">
        <f>IF(CX184=0,0,(CY184-CX184)/CX184*100)</f>
        <v>0</v>
      </c>
      <c r="DA184" s="1445"/>
      <c r="DB184" s="1445"/>
      <c r="DC184" s="1003">
        <f>IF(DA184=0,0,(DB184-DA184)/DA184*100)</f>
        <v>0</v>
      </c>
      <c r="DD184" s="1445"/>
      <c r="DE184" s="1445"/>
      <c r="DF184" s="1003">
        <f>IF(DD184=0,0,(DE184-DD184)/DD184*100)</f>
        <v>0</v>
      </c>
      <c r="DG184" s="1445"/>
      <c r="DH184" s="1445"/>
      <c r="DI184" s="1003">
        <f>IF(DG184=0,0,(DH184-DG184)/DG184*100)</f>
        <v>0</v>
      </c>
      <c r="DJ184" s="1445"/>
      <c r="DK184" s="1445"/>
      <c r="DL184" s="1003">
        <f>IF(DJ184=0,0,(DK184-DJ184)/DJ184*100)</f>
        <v>0</v>
      </c>
      <c r="DM184" s="1445"/>
      <c r="DN184" s="1445"/>
      <c r="DO184" s="1003">
        <f>IF(DM184=0,0,(DN184-DM184)/DM184*100)</f>
        <v>0</v>
      </c>
      <c r="DP184" s="1445"/>
      <c r="DQ184" s="1445"/>
      <c r="DR184" s="1003">
        <f>IF(DP184=0,0,(DQ184-DP184)/DP184*100)</f>
        <v>0</v>
      </c>
      <c r="DS184" s="1445"/>
      <c r="DT184" s="1445"/>
      <c r="DU184" s="1003">
        <f>IF(DS184=0,0,(DT184-DS184)/DS184*100)</f>
        <v>0</v>
      </c>
      <c r="DV184" s="1445"/>
      <c r="DW184" s="1445"/>
      <c r="DX184" s="1003">
        <f>IF(DV184=0,0,(DW184-DV184)/DV184*100)</f>
        <v>0</v>
      </c>
      <c r="DY184" s="1445"/>
      <c r="DZ184" s="1445"/>
      <c r="EA184" s="1003">
        <f>IF(DY184=0,0,(DZ184-DY184)/DY184*100)</f>
        <v>0</v>
      </c>
      <c r="EB184" s="1445"/>
      <c r="EC184" s="1445"/>
      <c r="ED184" s="1003">
        <f>IF(EB184=0,0,(EC184-EB184)/EB184*100)</f>
        <v>0</v>
      </c>
      <c r="EE184" s="1445"/>
      <c r="EF184" s="1445"/>
      <c r="EG184" s="1003">
        <f>IF(EE184=0,0,(EF184-EE184)/EE184*100)</f>
        <v>0</v>
      </c>
      <c r="EH184" s="1445"/>
      <c r="EI184" s="1445"/>
      <c r="EJ184" s="1003">
        <f>IF(EH184=0,0,(EI184-EH184)/EH184*100)</f>
        <v>0</v>
      </c>
      <c r="EK184" s="1445"/>
      <c r="EL184" s="1445"/>
      <c r="EM184" s="1003">
        <f>IF(EK184=0,0,(EL184-EK184)/EK184*100)</f>
        <v>0</v>
      </c>
      <c r="EN184" s="1445"/>
      <c r="EO184" s="1445"/>
      <c r="EP184" s="1003">
        <f>IF(EN184=0,0,(EO184-EN184)/EN184*100)</f>
        <v>0</v>
      </c>
      <c r="EQ184" s="1445"/>
      <c r="ER184" s="1445"/>
      <c r="ES184" s="1003">
        <f>IF(EQ184=0,0,(ER184-EQ184)/EQ184*100)</f>
        <v>0</v>
      </c>
      <c r="ET184" s="1445"/>
      <c r="EU184" s="1445"/>
      <c r="EV184" s="1003">
        <f>IF(ET184=0,0,(EU184-ET184)/ET184*100)</f>
        <v>0</v>
      </c>
      <c r="EW184" s="1445"/>
      <c r="EX184" s="1445"/>
      <c r="EY184" s="1003">
        <f>IF(EW184=0,0,(EX184-EW184)/EW184*100)</f>
        <v>0</v>
      </c>
      <c r="EZ184" s="1445"/>
      <c r="FA184" s="1445"/>
      <c r="FB184" s="1003">
        <f>IF(EZ184=0,0,(FA184-EZ184)/EZ184*100)</f>
        <v>0</v>
      </c>
      <c r="FC184" s="1445"/>
      <c r="FD184" s="1445"/>
      <c r="FE184" s="1003">
        <f>IF(FC184=0,0,(FD184-FC184)/FC184*100)</f>
        <v>0</v>
      </c>
      <c r="FF184" s="1445"/>
      <c r="FG184" s="1445"/>
      <c r="FH184" s="1003">
        <f>IF(FF184=0,0,(FG184-FF184)/FF184*100)</f>
        <v>0</v>
      </c>
      <c r="FI184" s="1445"/>
      <c r="FJ184" s="1445"/>
      <c r="FK184" s="1003">
        <f>IF(FI184=0,0,(FJ184-FI184)/FI184*100)</f>
        <v>0</v>
      </c>
      <c r="FL184" s="1445"/>
      <c r="FM184" s="1445"/>
      <c r="FN184" s="1003">
        <f>IF(FL184=0,0,(FM184-FL184)/FL184*100)</f>
        <v>0</v>
      </c>
      <c r="FO184" s="1445"/>
      <c r="FP184" s="1445"/>
      <c r="FQ184" s="1003">
        <f>IF(FO184=0,0,(FP184-FO184)/FO184*100)</f>
        <v>0</v>
      </c>
      <c r="FR184" s="1445"/>
      <c r="FS184" s="1445"/>
      <c r="FT184" s="1003">
        <f>IF(FR184=0,0,(FS184-FR184)/FR184*100)</f>
        <v>0</v>
      </c>
      <c r="FU184" s="1445"/>
      <c r="FV184" s="1445"/>
      <c r="FW184" s="1003">
        <f>IF(FU184=0,0,(FV184-FU184)/FU184*100)</f>
        <v>0</v>
      </c>
      <c r="FX184" s="1214"/>
      <c r="FY184" s="1214"/>
      <c r="FZ184" s="964" t="s">
        <v>1656</v>
      </c>
      <c r="GA184" s="924" t="s">
        <v>875</v>
      </c>
      <c r="GB184" s="924" cm="1">
        <f t="array" ref="GB184">GB183</f>
        <v>0</v>
      </c>
      <c r="GC184" s="1215"/>
      <c r="GD184" s="1215"/>
    </row>
    <row r="185" spans="1:186" s="1334" customFormat="1" ht="14.25" hidden="1" customHeight="1" x14ac:dyDescent="0.15">
      <c r="A185" s="416"/>
      <c r="B185" s="837" t="b" cm="1">
        <f t="array" ref="B185">B184</f>
        <v>0</v>
      </c>
      <c r="C185" s="416"/>
      <c r="D185" s="416"/>
      <c r="E185" s="759">
        <v>15</v>
      </c>
      <c r="F185" s="3" t="str" cm="1">
        <f t="array" aca="1" ref="F185" ca="1">OFFSET(E185,-1,1)</f>
        <v>2</v>
      </c>
      <c r="G185" s="416"/>
      <c r="H185" s="416" t="s">
        <v>1625</v>
      </c>
      <c r="I185" s="416" cm="1">
        <f t="array" ref="I185">I184</f>
        <v>0</v>
      </c>
      <c r="J185" s="416"/>
      <c r="K185" s="416"/>
      <c r="L185" s="416"/>
      <c r="M185" s="416"/>
      <c r="N185" s="416"/>
      <c r="O185" s="416"/>
      <c r="P185" s="416"/>
      <c r="Q185" s="416"/>
      <c r="R185" s="416"/>
      <c r="S185" s="416"/>
      <c r="T185" s="388" t="b" cm="1">
        <f t="array" aca="1" ref="T185" ca="1">T184</f>
        <v>0</v>
      </c>
      <c r="U185" s="416"/>
      <c r="V185" s="416"/>
      <c r="W185" s="416"/>
      <c r="X185" s="2066"/>
      <c r="Y185" s="2066"/>
      <c r="Z185" s="2011"/>
      <c r="AA185" s="1958"/>
      <c r="AB185" s="818" t="str">
        <f>"объём "&amp;IF(Q141="Водоснабжение","потребления холодной воды","водоотведения")</f>
        <v>объём водоотведения</v>
      </c>
      <c r="AC185" s="783" t="s">
        <v>563</v>
      </c>
      <c r="AD185" s="1443"/>
      <c r="AE185" s="1443"/>
      <c r="AF185" s="1005">
        <f>IF(AD185=0,0,(AE185-AD185)/AD185*100)</f>
        <v>0</v>
      </c>
      <c r="AG185" s="1443"/>
      <c r="AH185" s="1443"/>
      <c r="AI185" s="1005">
        <f>IF(AG185=0,0,(AH185-AG185)/AG185*100)</f>
        <v>0</v>
      </c>
      <c r="AJ185" s="1443"/>
      <c r="AK185" s="1443"/>
      <c r="AL185" s="1005">
        <f>IF(AJ185=0,0,(AK185-AJ185)/AJ185*100)</f>
        <v>0</v>
      </c>
      <c r="AM185" s="1443"/>
      <c r="AN185" s="1443"/>
      <c r="AO185" s="1005">
        <f>IF(AM185=0,0,(AN185-AM185)/AM185*100)</f>
        <v>0</v>
      </c>
      <c r="AP185" s="1443"/>
      <c r="AQ185" s="1443"/>
      <c r="AR185" s="1005">
        <f>IF(AP185=0,0,(AQ185-AP185)/AP185*100)</f>
        <v>0</v>
      </c>
      <c r="AS185" s="1443"/>
      <c r="AT185" s="1443"/>
      <c r="AU185" s="1005">
        <f>IF(AS185=0,0,(AT185-AS185)/AS185*100)</f>
        <v>0</v>
      </c>
      <c r="AV185" s="1443"/>
      <c r="AW185" s="1443"/>
      <c r="AX185" s="1005">
        <f>IF(AV185=0,0,(AW185-AV185)/AV185*100)</f>
        <v>0</v>
      </c>
      <c r="AY185" s="1443"/>
      <c r="AZ185" s="1443"/>
      <c r="BA185" s="1005">
        <f>IF(AY185=0,0,(AZ185-AY185)/AY185*100)</f>
        <v>0</v>
      </c>
      <c r="BB185" s="1443"/>
      <c r="BC185" s="1443"/>
      <c r="BD185" s="1005">
        <f>IF(BB185=0,0,(BC185-BB185)/BB185*100)</f>
        <v>0</v>
      </c>
      <c r="BE185" s="1443"/>
      <c r="BF185" s="1443"/>
      <c r="BG185" s="1005">
        <f>IF(BE185=0,0,(BF185-BE185)/BE185*100)</f>
        <v>0</v>
      </c>
      <c r="BH185" s="1443"/>
      <c r="BI185" s="1443"/>
      <c r="BJ185" s="1005">
        <f>IF(BH185=0,0,(BI185-BH185)/BH185*100)</f>
        <v>0</v>
      </c>
      <c r="BK185" s="1443"/>
      <c r="BL185" s="1443"/>
      <c r="BM185" s="1005">
        <f>IF(BK185=0,0,(BL185-BK185)/BK185*100)</f>
        <v>0</v>
      </c>
      <c r="BN185" s="1443"/>
      <c r="BO185" s="1443"/>
      <c r="BP185" s="1005">
        <f>IF(BN185=0,0,(BO185-BN185)/BN185*100)</f>
        <v>0</v>
      </c>
      <c r="BQ185" s="1443"/>
      <c r="BR185" s="1443"/>
      <c r="BS185" s="1005">
        <f>IF(BQ185=0,0,(BR185-BQ185)/BQ185*100)</f>
        <v>0</v>
      </c>
      <c r="BT185" s="1443"/>
      <c r="BU185" s="1443"/>
      <c r="BV185" s="1005">
        <f>IF(BT185=0,0,(BU185-BT185)/BT185*100)</f>
        <v>0</v>
      </c>
      <c r="BW185" s="1443"/>
      <c r="BX185" s="1443"/>
      <c r="BY185" s="1005">
        <f>IF(BW185=0,0,(BX185-BW185)/BW185*100)</f>
        <v>0</v>
      </c>
      <c r="BZ185" s="1443"/>
      <c r="CA185" s="1443"/>
      <c r="CB185" s="1005">
        <f>IF(BZ185=0,0,(CA185-BZ185)/BZ185*100)</f>
        <v>0</v>
      </c>
      <c r="CC185" s="1443"/>
      <c r="CD185" s="1443"/>
      <c r="CE185" s="1005">
        <f>IF(CC185=0,0,(CD185-CC185)/CC185*100)</f>
        <v>0</v>
      </c>
      <c r="CF185" s="1443"/>
      <c r="CG185" s="1443"/>
      <c r="CH185" s="1005">
        <f>IF(CF185=0,0,(CG185-CF185)/CF185*100)</f>
        <v>0</v>
      </c>
      <c r="CI185" s="1443"/>
      <c r="CJ185" s="1443"/>
      <c r="CK185" s="1005">
        <f>IF(CI185=0,0,(CJ185-CI185)/CI185*100)</f>
        <v>0</v>
      </c>
      <c r="CL185" s="1443"/>
      <c r="CM185" s="1443"/>
      <c r="CN185" s="1005">
        <f>IF(CL185=0,0,(CM185-CL185)/CL185*100)</f>
        <v>0</v>
      </c>
      <c r="CO185" s="1443"/>
      <c r="CP185" s="1443"/>
      <c r="CQ185" s="1005">
        <f>IF(CO185=0,0,(CP185-CO185)/CO185*100)</f>
        <v>0</v>
      </c>
      <c r="CR185" s="1443"/>
      <c r="CS185" s="1443"/>
      <c r="CT185" s="1005">
        <f>IF(CR185=0,0,(CS185-CR185)/CR185*100)</f>
        <v>0</v>
      </c>
      <c r="CU185" s="1443"/>
      <c r="CV185" s="1443"/>
      <c r="CW185" s="1005">
        <f>IF(CU185=0,0,(CV185-CU185)/CU185*100)</f>
        <v>0</v>
      </c>
      <c r="CX185" s="1443"/>
      <c r="CY185" s="1443"/>
      <c r="CZ185" s="1005">
        <f>IF(CX185=0,0,(CY185-CX185)/CX185*100)</f>
        <v>0</v>
      </c>
      <c r="DA185" s="1443"/>
      <c r="DB185" s="1443"/>
      <c r="DC185" s="1005">
        <f>IF(DA185=0,0,(DB185-DA185)/DA185*100)</f>
        <v>0</v>
      </c>
      <c r="DD185" s="1443"/>
      <c r="DE185" s="1443"/>
      <c r="DF185" s="1005">
        <f>IF(DD185=0,0,(DE185-DD185)/DD185*100)</f>
        <v>0</v>
      </c>
      <c r="DG185" s="1443"/>
      <c r="DH185" s="1443"/>
      <c r="DI185" s="1005">
        <f>IF(DG185=0,0,(DH185-DG185)/DG185*100)</f>
        <v>0</v>
      </c>
      <c r="DJ185" s="1443"/>
      <c r="DK185" s="1443"/>
      <c r="DL185" s="1005">
        <f>IF(DJ185=0,0,(DK185-DJ185)/DJ185*100)</f>
        <v>0</v>
      </c>
      <c r="DM185" s="1443"/>
      <c r="DN185" s="1443"/>
      <c r="DO185" s="1005">
        <f>IF(DM185=0,0,(DN185-DM185)/DM185*100)</f>
        <v>0</v>
      </c>
      <c r="DP185" s="1443"/>
      <c r="DQ185" s="1443"/>
      <c r="DR185" s="1005">
        <f>IF(DP185=0,0,(DQ185-DP185)/DP185*100)</f>
        <v>0</v>
      </c>
      <c r="DS185" s="1443"/>
      <c r="DT185" s="1443"/>
      <c r="DU185" s="1005">
        <f>IF(DS185=0,0,(DT185-DS185)/DS185*100)</f>
        <v>0</v>
      </c>
      <c r="DV185" s="1443"/>
      <c r="DW185" s="1443"/>
      <c r="DX185" s="1005">
        <f>IF(DV185=0,0,(DW185-DV185)/DV185*100)</f>
        <v>0</v>
      </c>
      <c r="DY185" s="1443"/>
      <c r="DZ185" s="1443"/>
      <c r="EA185" s="1005">
        <f>IF(DY185=0,0,(DZ185-DY185)/DY185*100)</f>
        <v>0</v>
      </c>
      <c r="EB185" s="1443"/>
      <c r="EC185" s="1443"/>
      <c r="ED185" s="1005">
        <f>IF(EB185=0,0,(EC185-EB185)/EB185*100)</f>
        <v>0</v>
      </c>
      <c r="EE185" s="1443"/>
      <c r="EF185" s="1443"/>
      <c r="EG185" s="1005">
        <f>IF(EE185=0,0,(EF185-EE185)/EE185*100)</f>
        <v>0</v>
      </c>
      <c r="EH185" s="1443"/>
      <c r="EI185" s="1443"/>
      <c r="EJ185" s="1005">
        <f>IF(EH185=0,0,(EI185-EH185)/EH185*100)</f>
        <v>0</v>
      </c>
      <c r="EK185" s="1443"/>
      <c r="EL185" s="1443"/>
      <c r="EM185" s="1005">
        <f>IF(EK185=0,0,(EL185-EK185)/EK185*100)</f>
        <v>0</v>
      </c>
      <c r="EN185" s="1443"/>
      <c r="EO185" s="1443"/>
      <c r="EP185" s="1005">
        <f>IF(EN185=0,0,(EO185-EN185)/EN185*100)</f>
        <v>0</v>
      </c>
      <c r="EQ185" s="1443"/>
      <c r="ER185" s="1443"/>
      <c r="ES185" s="1005">
        <f>IF(EQ185=0,0,(ER185-EQ185)/EQ185*100)</f>
        <v>0</v>
      </c>
      <c r="ET185" s="1443"/>
      <c r="EU185" s="1443"/>
      <c r="EV185" s="1005">
        <f>IF(ET185=0,0,(EU185-ET185)/ET185*100)</f>
        <v>0</v>
      </c>
      <c r="EW185" s="1443"/>
      <c r="EX185" s="1443"/>
      <c r="EY185" s="1005">
        <f>IF(EW185=0,0,(EX185-EW185)/EW185*100)</f>
        <v>0</v>
      </c>
      <c r="EZ185" s="1443"/>
      <c r="FA185" s="1443"/>
      <c r="FB185" s="1005">
        <f>IF(EZ185=0,0,(FA185-EZ185)/EZ185*100)</f>
        <v>0</v>
      </c>
      <c r="FC185" s="1443"/>
      <c r="FD185" s="1443"/>
      <c r="FE185" s="1005">
        <f>IF(FC185=0,0,(FD185-FC185)/FC185*100)</f>
        <v>0</v>
      </c>
      <c r="FF185" s="1443"/>
      <c r="FG185" s="1443"/>
      <c r="FH185" s="1005">
        <f>IF(FF185=0,0,(FG185-FF185)/FF185*100)</f>
        <v>0</v>
      </c>
      <c r="FI185" s="1443"/>
      <c r="FJ185" s="1443"/>
      <c r="FK185" s="1005">
        <f>IF(FI185=0,0,(FJ185-FI185)/FI185*100)</f>
        <v>0</v>
      </c>
      <c r="FL185" s="1443"/>
      <c r="FM185" s="1443"/>
      <c r="FN185" s="1005">
        <f>IF(FL185=0,0,(FM185-FL185)/FL185*100)</f>
        <v>0</v>
      </c>
      <c r="FO185" s="1443"/>
      <c r="FP185" s="1443"/>
      <c r="FQ185" s="1005">
        <f>IF(FO185=0,0,(FP185-FO185)/FO185*100)</f>
        <v>0</v>
      </c>
      <c r="FR185" s="1443"/>
      <c r="FS185" s="1443"/>
      <c r="FT185" s="1005">
        <f>IF(FR185=0,0,(FS185-FR185)/FR185*100)</f>
        <v>0</v>
      </c>
      <c r="FU185" s="1443"/>
      <c r="FV185" s="1443"/>
      <c r="FW185" s="1005">
        <f>IF(FU185=0,0,(FV185-FU185)/FU185*100)</f>
        <v>0</v>
      </c>
      <c r="FX185" s="1214"/>
      <c r="FY185" s="1214"/>
      <c r="FZ185" s="964" t="s">
        <v>1657</v>
      </c>
      <c r="GA185" s="924" t="s">
        <v>875</v>
      </c>
      <c r="GB185" s="924" cm="1">
        <f t="array" ref="GB185">GB184</f>
        <v>0</v>
      </c>
      <c r="GC185" s="1215"/>
      <c r="GD185" s="1215"/>
    </row>
    <row r="186" spans="1:186" s="1334" customFormat="1" ht="21.75" hidden="1" customHeight="1" x14ac:dyDescent="0.15">
      <c r="A186" s="416"/>
      <c r="B186" s="837" t="b" cm="1">
        <f t="array" ref="B186">B185</f>
        <v>0</v>
      </c>
      <c r="C186" s="416"/>
      <c r="D186" s="416"/>
      <c r="E186" s="759">
        <v>22.5</v>
      </c>
      <c r="F186" s="3" t="str" cm="1">
        <f t="array" aca="1" ref="F186" ca="1">OFFSET(E186,-1,1)</f>
        <v>2</v>
      </c>
      <c r="G186" s="416"/>
      <c r="H186" s="416" t="s">
        <v>1627</v>
      </c>
      <c r="I186" s="416" cm="1">
        <f t="array" ref="I186">I185</f>
        <v>0</v>
      </c>
      <c r="J186" s="416"/>
      <c r="K186" s="416"/>
      <c r="L186" s="416"/>
      <c r="M186" s="416"/>
      <c r="N186" s="416"/>
      <c r="O186" s="416"/>
      <c r="P186" s="416"/>
      <c r="Q186" s="416"/>
      <c r="R186" s="416"/>
      <c r="S186" s="416"/>
      <c r="T186" s="388" t="b" cm="1">
        <f t="array" aca="1" ref="T186" ca="1">T185</f>
        <v>0</v>
      </c>
      <c r="U186" s="416"/>
      <c r="V186" s="416"/>
      <c r="W186" s="416"/>
      <c r="X186" s="2066"/>
      <c r="Y186" s="2066"/>
      <c r="Z186" s="2011"/>
      <c r="AA186" s="1958"/>
      <c r="AB186" s="818"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86" s="783" t="s">
        <v>1628</v>
      </c>
      <c r="AD186" s="1445"/>
      <c r="AE186" s="1445"/>
      <c r="AF186" s="1003">
        <f>IF(AD186=0,0,(AE186-AD186)/AD186*100)</f>
        <v>0</v>
      </c>
      <c r="AG186" s="1445"/>
      <c r="AH186" s="1445"/>
      <c r="AI186" s="1003">
        <f>IF(AG186=0,0,(AH186-AG186)/AG186*100)</f>
        <v>0</v>
      </c>
      <c r="AJ186" s="1445"/>
      <c r="AK186" s="1445"/>
      <c r="AL186" s="1003">
        <f>IF(AJ186=0,0,(AK186-AJ186)/AJ186*100)</f>
        <v>0</v>
      </c>
      <c r="AM186" s="1445"/>
      <c r="AN186" s="1445"/>
      <c r="AO186" s="1003">
        <f>IF(AM186=0,0,(AN186-AM186)/AM186*100)</f>
        <v>0</v>
      </c>
      <c r="AP186" s="1445"/>
      <c r="AQ186" s="1445"/>
      <c r="AR186" s="1003">
        <f>IF(AP186=0,0,(AQ186-AP186)/AP186*100)</f>
        <v>0</v>
      </c>
      <c r="AS186" s="1445"/>
      <c r="AT186" s="1445"/>
      <c r="AU186" s="1003">
        <f>IF(AS186=0,0,(AT186-AS186)/AS186*100)</f>
        <v>0</v>
      </c>
      <c r="AV186" s="1445"/>
      <c r="AW186" s="1445"/>
      <c r="AX186" s="1003">
        <f>IF(AV186=0,0,(AW186-AV186)/AV186*100)</f>
        <v>0</v>
      </c>
      <c r="AY186" s="1445"/>
      <c r="AZ186" s="1445"/>
      <c r="BA186" s="1003">
        <f>IF(AY186=0,0,(AZ186-AY186)/AY186*100)</f>
        <v>0</v>
      </c>
      <c r="BB186" s="1445"/>
      <c r="BC186" s="1445"/>
      <c r="BD186" s="1003">
        <f>IF(BB186=0,0,(BC186-BB186)/BB186*100)</f>
        <v>0</v>
      </c>
      <c r="BE186" s="1445"/>
      <c r="BF186" s="1445"/>
      <c r="BG186" s="1003">
        <f>IF(BE186=0,0,(BF186-BE186)/BE186*100)</f>
        <v>0</v>
      </c>
      <c r="BH186" s="1445"/>
      <c r="BI186" s="1445"/>
      <c r="BJ186" s="1003">
        <f>IF(BH186=0,0,(BI186-BH186)/BH186*100)</f>
        <v>0</v>
      </c>
      <c r="BK186" s="1445"/>
      <c r="BL186" s="1445"/>
      <c r="BM186" s="1003">
        <f>IF(BK186=0,0,(BL186-BK186)/BK186*100)</f>
        <v>0</v>
      </c>
      <c r="BN186" s="1445"/>
      <c r="BO186" s="1445"/>
      <c r="BP186" s="1003">
        <f>IF(BN186=0,0,(BO186-BN186)/BN186*100)</f>
        <v>0</v>
      </c>
      <c r="BQ186" s="1445"/>
      <c r="BR186" s="1445"/>
      <c r="BS186" s="1003">
        <f>IF(BQ186=0,0,(BR186-BQ186)/BQ186*100)</f>
        <v>0</v>
      </c>
      <c r="BT186" s="1445"/>
      <c r="BU186" s="1445"/>
      <c r="BV186" s="1003">
        <f>IF(BT186=0,0,(BU186-BT186)/BT186*100)</f>
        <v>0</v>
      </c>
      <c r="BW186" s="1445"/>
      <c r="BX186" s="1445"/>
      <c r="BY186" s="1003">
        <f>IF(BW186=0,0,(BX186-BW186)/BW186*100)</f>
        <v>0</v>
      </c>
      <c r="BZ186" s="1445"/>
      <c r="CA186" s="1445"/>
      <c r="CB186" s="1003">
        <f>IF(BZ186=0,0,(CA186-BZ186)/BZ186*100)</f>
        <v>0</v>
      </c>
      <c r="CC186" s="1445"/>
      <c r="CD186" s="1445"/>
      <c r="CE186" s="1003">
        <f>IF(CC186=0,0,(CD186-CC186)/CC186*100)</f>
        <v>0</v>
      </c>
      <c r="CF186" s="1445"/>
      <c r="CG186" s="1445"/>
      <c r="CH186" s="1003">
        <f>IF(CF186=0,0,(CG186-CF186)/CF186*100)</f>
        <v>0</v>
      </c>
      <c r="CI186" s="1445"/>
      <c r="CJ186" s="1445"/>
      <c r="CK186" s="1003">
        <f>IF(CI186=0,0,(CJ186-CI186)/CI186*100)</f>
        <v>0</v>
      </c>
      <c r="CL186" s="1445"/>
      <c r="CM186" s="1445"/>
      <c r="CN186" s="1003">
        <f>IF(CL186=0,0,(CM186-CL186)/CL186*100)</f>
        <v>0</v>
      </c>
      <c r="CO186" s="1445"/>
      <c r="CP186" s="1445"/>
      <c r="CQ186" s="1003">
        <f>IF(CO186=0,0,(CP186-CO186)/CO186*100)</f>
        <v>0</v>
      </c>
      <c r="CR186" s="1445"/>
      <c r="CS186" s="1445"/>
      <c r="CT186" s="1003">
        <f>IF(CR186=0,0,(CS186-CR186)/CR186*100)</f>
        <v>0</v>
      </c>
      <c r="CU186" s="1445"/>
      <c r="CV186" s="1445"/>
      <c r="CW186" s="1003">
        <f>IF(CU186=0,0,(CV186-CU186)/CU186*100)</f>
        <v>0</v>
      </c>
      <c r="CX186" s="1445"/>
      <c r="CY186" s="1445"/>
      <c r="CZ186" s="1003">
        <f>IF(CX186=0,0,(CY186-CX186)/CX186*100)</f>
        <v>0</v>
      </c>
      <c r="DA186" s="1445"/>
      <c r="DB186" s="1445"/>
      <c r="DC186" s="1003">
        <f>IF(DA186=0,0,(DB186-DA186)/DA186*100)</f>
        <v>0</v>
      </c>
      <c r="DD186" s="1445"/>
      <c r="DE186" s="1445"/>
      <c r="DF186" s="1003">
        <f>IF(DD186=0,0,(DE186-DD186)/DD186*100)</f>
        <v>0</v>
      </c>
      <c r="DG186" s="1445"/>
      <c r="DH186" s="1445"/>
      <c r="DI186" s="1003">
        <f>IF(DG186=0,0,(DH186-DG186)/DG186*100)</f>
        <v>0</v>
      </c>
      <c r="DJ186" s="1445"/>
      <c r="DK186" s="1445"/>
      <c r="DL186" s="1003">
        <f>IF(DJ186=0,0,(DK186-DJ186)/DJ186*100)</f>
        <v>0</v>
      </c>
      <c r="DM186" s="1445"/>
      <c r="DN186" s="1445"/>
      <c r="DO186" s="1003">
        <f>IF(DM186=0,0,(DN186-DM186)/DM186*100)</f>
        <v>0</v>
      </c>
      <c r="DP186" s="1445"/>
      <c r="DQ186" s="1445"/>
      <c r="DR186" s="1003">
        <f>IF(DP186=0,0,(DQ186-DP186)/DP186*100)</f>
        <v>0</v>
      </c>
      <c r="DS186" s="1445"/>
      <c r="DT186" s="1445"/>
      <c r="DU186" s="1003">
        <f>IF(DS186=0,0,(DT186-DS186)/DS186*100)</f>
        <v>0</v>
      </c>
      <c r="DV186" s="1445"/>
      <c r="DW186" s="1445"/>
      <c r="DX186" s="1003">
        <f>IF(DV186=0,0,(DW186-DV186)/DV186*100)</f>
        <v>0</v>
      </c>
      <c r="DY186" s="1445"/>
      <c r="DZ186" s="1445"/>
      <c r="EA186" s="1003">
        <f>IF(DY186=0,0,(DZ186-DY186)/DY186*100)</f>
        <v>0</v>
      </c>
      <c r="EB186" s="1445"/>
      <c r="EC186" s="1445"/>
      <c r="ED186" s="1003">
        <f>IF(EB186=0,0,(EC186-EB186)/EB186*100)</f>
        <v>0</v>
      </c>
      <c r="EE186" s="1445"/>
      <c r="EF186" s="1445"/>
      <c r="EG186" s="1003">
        <f>IF(EE186=0,0,(EF186-EE186)/EE186*100)</f>
        <v>0</v>
      </c>
      <c r="EH186" s="1445"/>
      <c r="EI186" s="1445"/>
      <c r="EJ186" s="1003">
        <f>IF(EH186=0,0,(EI186-EH186)/EH186*100)</f>
        <v>0</v>
      </c>
      <c r="EK186" s="1445"/>
      <c r="EL186" s="1445"/>
      <c r="EM186" s="1003">
        <f>IF(EK186=0,0,(EL186-EK186)/EK186*100)</f>
        <v>0</v>
      </c>
      <c r="EN186" s="1445"/>
      <c r="EO186" s="1445"/>
      <c r="EP186" s="1003">
        <f>IF(EN186=0,0,(EO186-EN186)/EN186*100)</f>
        <v>0</v>
      </c>
      <c r="EQ186" s="1445"/>
      <c r="ER186" s="1445"/>
      <c r="ES186" s="1003">
        <f>IF(EQ186=0,0,(ER186-EQ186)/EQ186*100)</f>
        <v>0</v>
      </c>
      <c r="ET186" s="1445"/>
      <c r="EU186" s="1445"/>
      <c r="EV186" s="1003">
        <f>IF(ET186=0,0,(EU186-ET186)/ET186*100)</f>
        <v>0</v>
      </c>
      <c r="EW186" s="1445"/>
      <c r="EX186" s="1445"/>
      <c r="EY186" s="1003">
        <f>IF(EW186=0,0,(EX186-EW186)/EW186*100)</f>
        <v>0</v>
      </c>
      <c r="EZ186" s="1445"/>
      <c r="FA186" s="1445"/>
      <c r="FB186" s="1003">
        <f>IF(EZ186=0,0,(FA186-EZ186)/EZ186*100)</f>
        <v>0</v>
      </c>
      <c r="FC186" s="1445"/>
      <c r="FD186" s="1445"/>
      <c r="FE186" s="1003">
        <f>IF(FC186=0,0,(FD186-FC186)/FC186*100)</f>
        <v>0</v>
      </c>
      <c r="FF186" s="1445"/>
      <c r="FG186" s="1445"/>
      <c r="FH186" s="1003">
        <f>IF(FF186=0,0,(FG186-FF186)/FF186*100)</f>
        <v>0</v>
      </c>
      <c r="FI186" s="1445"/>
      <c r="FJ186" s="1445"/>
      <c r="FK186" s="1003">
        <f>IF(FI186=0,0,(FJ186-FI186)/FI186*100)</f>
        <v>0</v>
      </c>
      <c r="FL186" s="1445"/>
      <c r="FM186" s="1445"/>
      <c r="FN186" s="1003">
        <f>IF(FL186=0,0,(FM186-FL186)/FL186*100)</f>
        <v>0</v>
      </c>
      <c r="FO186" s="1445"/>
      <c r="FP186" s="1445"/>
      <c r="FQ186" s="1003">
        <f>IF(FO186=0,0,(FP186-FO186)/FO186*100)</f>
        <v>0</v>
      </c>
      <c r="FR186" s="1445"/>
      <c r="FS186" s="1445"/>
      <c r="FT186" s="1003">
        <f>IF(FR186=0,0,(FS186-FR186)/FR186*100)</f>
        <v>0</v>
      </c>
      <c r="FU186" s="1445"/>
      <c r="FV186" s="1445"/>
      <c r="FW186" s="1003">
        <f>IF(FU186=0,0,(FV186-FU186)/FU186*100)</f>
        <v>0</v>
      </c>
      <c r="FX186" s="1214"/>
      <c r="FY186" s="1214"/>
      <c r="FZ186" s="964" t="s">
        <v>1658</v>
      </c>
      <c r="GA186" s="924" t="s">
        <v>875</v>
      </c>
      <c r="GB186" s="924" cm="1">
        <f t="array" ref="GB186">GB185</f>
        <v>0</v>
      </c>
      <c r="GC186" s="1215"/>
      <c r="GD186" s="1215"/>
    </row>
    <row r="187" spans="1:186" s="1334" customFormat="1" ht="14.25" hidden="1" customHeight="1" x14ac:dyDescent="0.15">
      <c r="A187" s="416"/>
      <c r="B187" s="837" t="b" cm="1">
        <f t="array" ref="B187">B186</f>
        <v>0</v>
      </c>
      <c r="C187" s="416"/>
      <c r="D187" s="416"/>
      <c r="E187" s="759">
        <v>15</v>
      </c>
      <c r="F187" s="3" t="str" cm="1">
        <f t="array" aca="1" ref="F187" ca="1">OFFSET(E187,-1,1)</f>
        <v>2</v>
      </c>
      <c r="G187" s="416"/>
      <c r="H187" s="416" t="s">
        <v>1630</v>
      </c>
      <c r="I187" s="416" cm="1">
        <f t="array" ref="I187">I186</f>
        <v>0</v>
      </c>
      <c r="J187" s="416"/>
      <c r="K187" s="416"/>
      <c r="L187" s="416"/>
      <c r="M187" s="416"/>
      <c r="N187" s="416"/>
      <c r="O187" s="416"/>
      <c r="P187" s="416"/>
      <c r="Q187" s="416"/>
      <c r="R187" s="416"/>
      <c r="S187" s="416"/>
      <c r="T187" s="388" t="b" cm="1">
        <f t="array" aca="1" ref="T187" ca="1">T186</f>
        <v>0</v>
      </c>
      <c r="U187" s="416"/>
      <c r="V187" s="416"/>
      <c r="W187" s="416"/>
      <c r="X187" s="2066"/>
      <c r="Y187" s="2066"/>
      <c r="Z187" s="2011"/>
      <c r="AA187" s="1958"/>
      <c r="AB187" s="818" t="s">
        <v>1631</v>
      </c>
      <c r="AC187" s="783" t="s">
        <v>1632</v>
      </c>
      <c r="AD187" s="1445"/>
      <c r="AE187" s="1445"/>
      <c r="AF187" s="1003">
        <f>IF(AD187=0,0,(AE187-AD187)/AD187*100)</f>
        <v>0</v>
      </c>
      <c r="AG187" s="1445"/>
      <c r="AH187" s="1445"/>
      <c r="AI187" s="1003">
        <f>IF(AG187=0,0,(AH187-AG187)/AG187*100)</f>
        <v>0</v>
      </c>
      <c r="AJ187" s="1445"/>
      <c r="AK187" s="1445"/>
      <c r="AL187" s="1003">
        <f>IF(AJ187=0,0,(AK187-AJ187)/AJ187*100)</f>
        <v>0</v>
      </c>
      <c r="AM187" s="1445"/>
      <c r="AN187" s="1445"/>
      <c r="AO187" s="1003">
        <f>IF(AM187=0,0,(AN187-AM187)/AM187*100)</f>
        <v>0</v>
      </c>
      <c r="AP187" s="1445"/>
      <c r="AQ187" s="1445"/>
      <c r="AR187" s="1003">
        <f>IF(AP187=0,0,(AQ187-AP187)/AP187*100)</f>
        <v>0</v>
      </c>
      <c r="AS187" s="1445"/>
      <c r="AT187" s="1445"/>
      <c r="AU187" s="1003">
        <f>IF(AS187=0,0,(AT187-AS187)/AS187*100)</f>
        <v>0</v>
      </c>
      <c r="AV187" s="1445"/>
      <c r="AW187" s="1445"/>
      <c r="AX187" s="1003">
        <f>IF(AV187=0,0,(AW187-AV187)/AV187*100)</f>
        <v>0</v>
      </c>
      <c r="AY187" s="1445"/>
      <c r="AZ187" s="1445"/>
      <c r="BA187" s="1003">
        <f>IF(AY187=0,0,(AZ187-AY187)/AY187*100)</f>
        <v>0</v>
      </c>
      <c r="BB187" s="1445"/>
      <c r="BC187" s="1445"/>
      <c r="BD187" s="1003">
        <f>IF(BB187=0,0,(BC187-BB187)/BB187*100)</f>
        <v>0</v>
      </c>
      <c r="BE187" s="1445"/>
      <c r="BF187" s="1445"/>
      <c r="BG187" s="1003">
        <f>IF(BE187=0,0,(BF187-BE187)/BE187*100)</f>
        <v>0</v>
      </c>
      <c r="BH187" s="1445"/>
      <c r="BI187" s="1445"/>
      <c r="BJ187" s="1003">
        <f>IF(BH187=0,0,(BI187-BH187)/BH187*100)</f>
        <v>0</v>
      </c>
      <c r="BK187" s="1445"/>
      <c r="BL187" s="1445"/>
      <c r="BM187" s="1003">
        <f>IF(BK187=0,0,(BL187-BK187)/BK187*100)</f>
        <v>0</v>
      </c>
      <c r="BN187" s="1445"/>
      <c r="BO187" s="1445"/>
      <c r="BP187" s="1003">
        <f>IF(BN187=0,0,(BO187-BN187)/BN187*100)</f>
        <v>0</v>
      </c>
      <c r="BQ187" s="1445"/>
      <c r="BR187" s="1445"/>
      <c r="BS187" s="1003">
        <f>IF(BQ187=0,0,(BR187-BQ187)/BQ187*100)</f>
        <v>0</v>
      </c>
      <c r="BT187" s="1445"/>
      <c r="BU187" s="1445"/>
      <c r="BV187" s="1003">
        <f>IF(BT187=0,0,(BU187-BT187)/BT187*100)</f>
        <v>0</v>
      </c>
      <c r="BW187" s="1445"/>
      <c r="BX187" s="1445"/>
      <c r="BY187" s="1003">
        <f>IF(BW187=0,0,(BX187-BW187)/BW187*100)</f>
        <v>0</v>
      </c>
      <c r="BZ187" s="1445"/>
      <c r="CA187" s="1445"/>
      <c r="CB187" s="1003">
        <f>IF(BZ187=0,0,(CA187-BZ187)/BZ187*100)</f>
        <v>0</v>
      </c>
      <c r="CC187" s="1445"/>
      <c r="CD187" s="1445"/>
      <c r="CE187" s="1003">
        <f>IF(CC187=0,0,(CD187-CC187)/CC187*100)</f>
        <v>0</v>
      </c>
      <c r="CF187" s="1445"/>
      <c r="CG187" s="1445"/>
      <c r="CH187" s="1003">
        <f>IF(CF187=0,0,(CG187-CF187)/CF187*100)</f>
        <v>0</v>
      </c>
      <c r="CI187" s="1445"/>
      <c r="CJ187" s="1445"/>
      <c r="CK187" s="1003">
        <f>IF(CI187=0,0,(CJ187-CI187)/CI187*100)</f>
        <v>0</v>
      </c>
      <c r="CL187" s="1445"/>
      <c r="CM187" s="1445"/>
      <c r="CN187" s="1003">
        <f>IF(CL187=0,0,(CM187-CL187)/CL187*100)</f>
        <v>0</v>
      </c>
      <c r="CO187" s="1445"/>
      <c r="CP187" s="1445"/>
      <c r="CQ187" s="1003">
        <f>IF(CO187=0,0,(CP187-CO187)/CO187*100)</f>
        <v>0</v>
      </c>
      <c r="CR187" s="1445"/>
      <c r="CS187" s="1445"/>
      <c r="CT187" s="1003">
        <f>IF(CR187=0,0,(CS187-CR187)/CR187*100)</f>
        <v>0</v>
      </c>
      <c r="CU187" s="1445"/>
      <c r="CV187" s="1445"/>
      <c r="CW187" s="1003">
        <f>IF(CU187=0,0,(CV187-CU187)/CU187*100)</f>
        <v>0</v>
      </c>
      <c r="CX187" s="1445"/>
      <c r="CY187" s="1445"/>
      <c r="CZ187" s="1003">
        <f>IF(CX187=0,0,(CY187-CX187)/CX187*100)</f>
        <v>0</v>
      </c>
      <c r="DA187" s="1445"/>
      <c r="DB187" s="1445"/>
      <c r="DC187" s="1003">
        <f>IF(DA187=0,0,(DB187-DA187)/DA187*100)</f>
        <v>0</v>
      </c>
      <c r="DD187" s="1445"/>
      <c r="DE187" s="1445"/>
      <c r="DF187" s="1003">
        <f>IF(DD187=0,0,(DE187-DD187)/DD187*100)</f>
        <v>0</v>
      </c>
      <c r="DG187" s="1445"/>
      <c r="DH187" s="1445"/>
      <c r="DI187" s="1003">
        <f>IF(DG187=0,0,(DH187-DG187)/DG187*100)</f>
        <v>0</v>
      </c>
      <c r="DJ187" s="1445"/>
      <c r="DK187" s="1445"/>
      <c r="DL187" s="1003">
        <f>IF(DJ187=0,0,(DK187-DJ187)/DJ187*100)</f>
        <v>0</v>
      </c>
      <c r="DM187" s="1445"/>
      <c r="DN187" s="1445"/>
      <c r="DO187" s="1003">
        <f>IF(DM187=0,0,(DN187-DM187)/DM187*100)</f>
        <v>0</v>
      </c>
      <c r="DP187" s="1445"/>
      <c r="DQ187" s="1445"/>
      <c r="DR187" s="1003">
        <f>IF(DP187=0,0,(DQ187-DP187)/DP187*100)</f>
        <v>0</v>
      </c>
      <c r="DS187" s="1445"/>
      <c r="DT187" s="1445"/>
      <c r="DU187" s="1003">
        <f>IF(DS187=0,0,(DT187-DS187)/DS187*100)</f>
        <v>0</v>
      </c>
      <c r="DV187" s="1445"/>
      <c r="DW187" s="1445"/>
      <c r="DX187" s="1003">
        <f>IF(DV187=0,0,(DW187-DV187)/DV187*100)</f>
        <v>0</v>
      </c>
      <c r="DY187" s="1445"/>
      <c r="DZ187" s="1445"/>
      <c r="EA187" s="1003">
        <f>IF(DY187=0,0,(DZ187-DY187)/DY187*100)</f>
        <v>0</v>
      </c>
      <c r="EB187" s="1445"/>
      <c r="EC187" s="1445"/>
      <c r="ED187" s="1003">
        <f>IF(EB187=0,0,(EC187-EB187)/EB187*100)</f>
        <v>0</v>
      </c>
      <c r="EE187" s="1445"/>
      <c r="EF187" s="1445"/>
      <c r="EG187" s="1003">
        <f>IF(EE187=0,0,(EF187-EE187)/EE187*100)</f>
        <v>0</v>
      </c>
      <c r="EH187" s="1445"/>
      <c r="EI187" s="1445"/>
      <c r="EJ187" s="1003">
        <f>IF(EH187=0,0,(EI187-EH187)/EH187*100)</f>
        <v>0</v>
      </c>
      <c r="EK187" s="1445"/>
      <c r="EL187" s="1445"/>
      <c r="EM187" s="1003">
        <f>IF(EK187=0,0,(EL187-EK187)/EK187*100)</f>
        <v>0</v>
      </c>
      <c r="EN187" s="1445"/>
      <c r="EO187" s="1445"/>
      <c r="EP187" s="1003">
        <f>IF(EN187=0,0,(EO187-EN187)/EN187*100)</f>
        <v>0</v>
      </c>
      <c r="EQ187" s="1445"/>
      <c r="ER187" s="1445"/>
      <c r="ES187" s="1003">
        <f>IF(EQ187=0,0,(ER187-EQ187)/EQ187*100)</f>
        <v>0</v>
      </c>
      <c r="ET187" s="1445"/>
      <c r="EU187" s="1445"/>
      <c r="EV187" s="1003">
        <f>IF(ET187=0,0,(EU187-ET187)/ET187*100)</f>
        <v>0</v>
      </c>
      <c r="EW187" s="1445"/>
      <c r="EX187" s="1445"/>
      <c r="EY187" s="1003">
        <f>IF(EW187=0,0,(EX187-EW187)/EW187*100)</f>
        <v>0</v>
      </c>
      <c r="EZ187" s="1445"/>
      <c r="FA187" s="1445"/>
      <c r="FB187" s="1003">
        <f>IF(EZ187=0,0,(FA187-EZ187)/EZ187*100)</f>
        <v>0</v>
      </c>
      <c r="FC187" s="1445"/>
      <c r="FD187" s="1445"/>
      <c r="FE187" s="1003">
        <f>IF(FC187=0,0,(FD187-FC187)/FC187*100)</f>
        <v>0</v>
      </c>
      <c r="FF187" s="1445"/>
      <c r="FG187" s="1445"/>
      <c r="FH187" s="1003">
        <f>IF(FF187=0,0,(FG187-FF187)/FF187*100)</f>
        <v>0</v>
      </c>
      <c r="FI187" s="1445"/>
      <c r="FJ187" s="1445"/>
      <c r="FK187" s="1003">
        <f>IF(FI187=0,0,(FJ187-FI187)/FI187*100)</f>
        <v>0</v>
      </c>
      <c r="FL187" s="1445"/>
      <c r="FM187" s="1445"/>
      <c r="FN187" s="1003">
        <f>IF(FL187=0,0,(FM187-FL187)/FL187*100)</f>
        <v>0</v>
      </c>
      <c r="FO187" s="1445"/>
      <c r="FP187" s="1445"/>
      <c r="FQ187" s="1003">
        <f>IF(FO187=0,0,(FP187-FO187)/FO187*100)</f>
        <v>0</v>
      </c>
      <c r="FR187" s="1445"/>
      <c r="FS187" s="1445"/>
      <c r="FT187" s="1003">
        <f>IF(FR187=0,0,(FS187-FR187)/FR187*100)</f>
        <v>0</v>
      </c>
      <c r="FU187" s="1445"/>
      <c r="FV187" s="1445"/>
      <c r="FW187" s="1003">
        <f>IF(FU187=0,0,(FV187-FU187)/FU187*100)</f>
        <v>0</v>
      </c>
      <c r="FX187" s="1214"/>
      <c r="FY187" s="1214"/>
      <c r="FZ187" s="964" t="s">
        <v>1659</v>
      </c>
      <c r="GA187" s="924" t="s">
        <v>875</v>
      </c>
      <c r="GB187" s="924" cm="1">
        <f t="array" ref="GB187">GB186</f>
        <v>0</v>
      </c>
      <c r="GC187" s="1215"/>
      <c r="GD187" s="1215"/>
    </row>
    <row r="188" spans="1:186" s="1334" customFormat="1" ht="14.25" hidden="1" customHeight="1" x14ac:dyDescent="0.15">
      <c r="A188" s="416"/>
      <c r="B188" s="837" t="b" cm="1">
        <f t="array" ref="B188">B187</f>
        <v>0</v>
      </c>
      <c r="C188" s="416"/>
      <c r="D188" s="416"/>
      <c r="E188" s="759">
        <v>15</v>
      </c>
      <c r="F188" s="3" t="str" cm="1">
        <f t="array" aca="1" ref="F188" ca="1">OFFSET(E188,-1,1)</f>
        <v>2</v>
      </c>
      <c r="G188" s="416"/>
      <c r="H188" s="416"/>
      <c r="I188" s="17" t="s">
        <v>1660</v>
      </c>
      <c r="J188" s="416"/>
      <c r="K188" s="416"/>
      <c r="L188" s="416"/>
      <c r="M188" s="416"/>
      <c r="N188" s="416"/>
      <c r="O188" s="416"/>
      <c r="P188" s="416"/>
      <c r="Q188" s="416"/>
      <c r="R188" s="416"/>
      <c r="S188" s="416"/>
      <c r="T188" s="388" t="b">
        <f ca="1">F188&gt;0</f>
        <v>1</v>
      </c>
      <c r="U188" s="416"/>
      <c r="V188" s="1214"/>
      <c r="W188" s="677" t="s">
        <v>1618</v>
      </c>
      <c r="X188" s="2066"/>
      <c r="Y188" s="1214"/>
      <c r="Z188" s="2011"/>
      <c r="AA188" s="1214"/>
      <c r="AB188" s="178" t="s">
        <v>176</v>
      </c>
      <c r="AC188" s="182"/>
      <c r="AD188" s="1006"/>
      <c r="AE188" s="1006"/>
      <c r="AF188" s="1006"/>
      <c r="AG188" s="1006"/>
      <c r="AH188" s="1006"/>
      <c r="AI188" s="1006"/>
      <c r="AJ188" s="1006"/>
      <c r="AK188" s="1006"/>
      <c r="AL188" s="1006"/>
      <c r="AM188" s="1006"/>
      <c r="AN188" s="1006"/>
      <c r="AO188" s="1006"/>
      <c r="AP188" s="1006"/>
      <c r="AQ188" s="1006"/>
      <c r="AR188" s="1006"/>
      <c r="AS188" s="1006"/>
      <c r="AT188" s="1006"/>
      <c r="AU188" s="1006"/>
      <c r="AV188" s="1006"/>
      <c r="AW188" s="1006"/>
      <c r="AX188" s="1006"/>
      <c r="AY188" s="1006"/>
      <c r="AZ188" s="1006"/>
      <c r="BA188" s="1006"/>
      <c r="BB188" s="1006"/>
      <c r="BC188" s="1006"/>
      <c r="BD188" s="1006"/>
      <c r="BE188" s="1006"/>
      <c r="BF188" s="1006"/>
      <c r="BG188" s="1006"/>
      <c r="BH188" s="1006"/>
      <c r="BI188" s="1006"/>
      <c r="BJ188" s="1006"/>
      <c r="BK188" s="1006"/>
      <c r="BL188" s="1006"/>
      <c r="BM188" s="1006"/>
      <c r="BN188" s="1006"/>
      <c r="BO188" s="1006"/>
      <c r="BP188" s="1006"/>
      <c r="BQ188" s="1006"/>
      <c r="BR188" s="1006"/>
      <c r="BS188" s="1006"/>
      <c r="BT188" s="1006"/>
      <c r="BU188" s="1006"/>
      <c r="BV188" s="1006"/>
      <c r="BW188" s="1006"/>
      <c r="BX188" s="1006"/>
      <c r="BY188" s="1006"/>
      <c r="BZ188" s="1006"/>
      <c r="CA188" s="1006"/>
      <c r="CB188" s="1006"/>
      <c r="CC188" s="1006"/>
      <c r="CD188" s="1006"/>
      <c r="CE188" s="1006"/>
      <c r="CF188" s="1006"/>
      <c r="CG188" s="1006"/>
      <c r="CH188" s="1006"/>
      <c r="CI188" s="1006"/>
      <c r="CJ188" s="1006"/>
      <c r="CK188" s="1006"/>
      <c r="CL188" s="1006"/>
      <c r="CM188" s="1006"/>
      <c r="CN188" s="1006"/>
      <c r="CO188" s="1006"/>
      <c r="CP188" s="1006"/>
      <c r="CQ188" s="1006"/>
      <c r="CR188" s="1006"/>
      <c r="CS188" s="1006"/>
      <c r="CT188" s="1006"/>
      <c r="CU188" s="1006"/>
      <c r="CV188" s="1006"/>
      <c r="CW188" s="1006"/>
      <c r="CX188" s="1006"/>
      <c r="CY188" s="1006"/>
      <c r="CZ188" s="1006"/>
      <c r="DA188" s="1006"/>
      <c r="DB188" s="1006"/>
      <c r="DC188" s="1006"/>
      <c r="DD188" s="1006"/>
      <c r="DE188" s="1006"/>
      <c r="DF188" s="1006"/>
      <c r="DG188" s="1006"/>
      <c r="DH188" s="1006"/>
      <c r="DI188" s="1006"/>
      <c r="DJ188" s="1006"/>
      <c r="DK188" s="1006"/>
      <c r="DL188" s="1006"/>
      <c r="DM188" s="1006"/>
      <c r="DN188" s="1006"/>
      <c r="DO188" s="1006"/>
      <c r="DP188" s="1006"/>
      <c r="DQ188" s="1006"/>
      <c r="DR188" s="1006"/>
      <c r="DS188" s="1006"/>
      <c r="DT188" s="1006"/>
      <c r="DU188" s="1006"/>
      <c r="DV188" s="1006"/>
      <c r="DW188" s="1006"/>
      <c r="DX188" s="1006"/>
      <c r="DY188" s="1006"/>
      <c r="DZ188" s="1006"/>
      <c r="EA188" s="1006"/>
      <c r="EB188" s="1006"/>
      <c r="EC188" s="1006"/>
      <c r="ED188" s="1006"/>
      <c r="EE188" s="1006"/>
      <c r="EF188" s="1006"/>
      <c r="EG188" s="1006"/>
      <c r="EH188" s="1006"/>
      <c r="EI188" s="1006"/>
      <c r="EJ188" s="1006"/>
      <c r="EK188" s="1006"/>
      <c r="EL188" s="1006"/>
      <c r="EM188" s="1006"/>
      <c r="EN188" s="1006"/>
      <c r="EO188" s="1006"/>
      <c r="EP188" s="1006"/>
      <c r="EQ188" s="1006"/>
      <c r="ER188" s="1006"/>
      <c r="ES188" s="1006"/>
      <c r="ET188" s="1006"/>
      <c r="EU188" s="1006"/>
      <c r="EV188" s="1006"/>
      <c r="EW188" s="1006"/>
      <c r="EX188" s="1006"/>
      <c r="EY188" s="1006"/>
      <c r="EZ188" s="1006"/>
      <c r="FA188" s="1006"/>
      <c r="FB188" s="1006"/>
      <c r="FC188" s="1006"/>
      <c r="FD188" s="1006"/>
      <c r="FE188" s="1006"/>
      <c r="FF188" s="1006"/>
      <c r="FG188" s="1006"/>
      <c r="FH188" s="1006"/>
      <c r="FI188" s="1006"/>
      <c r="FJ188" s="1006"/>
      <c r="FK188" s="1006"/>
      <c r="FL188" s="1006"/>
      <c r="FM188" s="1006"/>
      <c r="FN188" s="1006"/>
      <c r="FO188" s="1006"/>
      <c r="FP188" s="1006"/>
      <c r="FQ188" s="1006"/>
      <c r="FR188" s="1006"/>
      <c r="FS188" s="1006"/>
      <c r="FT188" s="1006"/>
      <c r="FU188" s="1006"/>
      <c r="FV188" s="1006"/>
      <c r="FW188" s="1007"/>
      <c r="FX188" s="1214"/>
      <c r="FY188" s="1214"/>
      <c r="FZ188" s="964" t="s">
        <v>147</v>
      </c>
      <c r="GA188" s="1216"/>
      <c r="GB188" s="1216"/>
      <c r="GC188" s="556" t="s">
        <v>875</v>
      </c>
      <c r="GD188" s="1215"/>
    </row>
    <row r="189" spans="1:186" s="1334" customFormat="1" ht="11.25" hidden="1" customHeight="1" x14ac:dyDescent="0.15">
      <c r="A189" s="405"/>
      <c r="B189" s="837"/>
      <c r="C189" s="405"/>
      <c r="D189" s="405"/>
      <c r="E189" s="785">
        <v>0</v>
      </c>
      <c r="F189" s="1090" t="str" cm="1">
        <f t="array" aca="1" ref="F189" ca="1">OFFSET(E189,-1,1)</f>
        <v>2</v>
      </c>
      <c r="G189" s="405"/>
      <c r="H189" s="405"/>
      <c r="I189" s="405"/>
      <c r="J189" s="405"/>
      <c r="K189" s="405"/>
      <c r="L189" s="405"/>
      <c r="M189" s="405"/>
      <c r="N189" s="405"/>
      <c r="O189" s="405"/>
      <c r="P189" s="405"/>
      <c r="Q189" s="405"/>
      <c r="R189" s="405"/>
      <c r="S189" s="405"/>
      <c r="T189" s="388" t="b">
        <v>0</v>
      </c>
      <c r="U189" s="405"/>
      <c r="V189" s="405"/>
      <c r="W189" s="405"/>
      <c r="X189" s="2066"/>
      <c r="Y189" s="405"/>
      <c r="Z189" s="2011"/>
      <c r="AA189" s="405"/>
      <c r="AB189"/>
      <c r="AC189" s="405"/>
      <c r="AD189" s="1016"/>
      <c r="AE189" s="1016"/>
      <c r="AF189" s="1016"/>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Z189" s="964" t="s">
        <v>147</v>
      </c>
      <c r="GA189" s="928"/>
      <c r="GB189" s="967"/>
      <c r="GC189" s="610"/>
      <c r="GD189" s="610"/>
    </row>
    <row r="190" spans="1:186" s="1459" customFormat="1" ht="23.25" hidden="1" customHeight="1" x14ac:dyDescent="0.15">
      <c r="A190" s="813"/>
      <c r="B190" s="837" t="b" cm="1">
        <f t="array" ref="B190">S141</f>
        <v>0</v>
      </c>
      <c r="C190" s="813"/>
      <c r="D190" s="813"/>
      <c r="E190" s="759">
        <v>24.5</v>
      </c>
      <c r="F190" s="3" t="str" cm="1">
        <f t="array" aca="1" ref="F190" ca="1">OFFSET(E190,-1,1)</f>
        <v>2</v>
      </c>
      <c r="G190" s="26" t="s">
        <v>1585</v>
      </c>
      <c r="H190" s="416" t="s">
        <v>494</v>
      </c>
      <c r="I190" s="416" t="s">
        <v>1661</v>
      </c>
      <c r="J190" s="813"/>
      <c r="K190" s="813"/>
      <c r="L190" s="813"/>
      <c r="M190" s="813"/>
      <c r="N190" s="813"/>
      <c r="O190" s="813"/>
      <c r="P190" s="813"/>
      <c r="Q190" s="813"/>
      <c r="R190" s="813"/>
      <c r="S190" s="416"/>
      <c r="T190" s="388" t="b" cm="1">
        <f t="array" aca="1" ref="T190" ca="1">T188</f>
        <v>1</v>
      </c>
      <c r="U190" s="813"/>
      <c r="V190" s="813"/>
      <c r="W190" s="813"/>
      <c r="X190" s="2066"/>
      <c r="Y190" s="813"/>
      <c r="Z190" s="2011"/>
      <c r="AA190" s="813"/>
      <c r="AB190" s="138" t="s">
        <v>1662</v>
      </c>
      <c r="AC190" s="153" t="s">
        <v>1588</v>
      </c>
      <c r="AD190" s="1447">
        <f ca="1">IF(AND(method_reg="Метод индексации",god&lt;&gt;first_year),SUMIFS(INDEX('Калькуляция (МИ корр)'!$AJ$25:$BC$459,,MATCH(AD$8,'Калькуляция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(МИ)'!$AJ$25:$BC$459,,MATCH(AD$8,'Калькуляция (МИ)'!$AJ$8:$BC$8,0)),'Калькуляция (МИ)'!$F$25:$F$459,$F190,'Калькуляция (МИ)'!$G$25:$G$459,$G190))))</f>
        <v>58.055926775954603</v>
      </c>
      <c r="AE190" s="1447">
        <f ca="1">IF(AND(method_reg="Метод индексации",god&lt;&gt;first_year),SUMIFS(INDEX('Калькуляция (МИ корр)'!$AJ$25:$BC$459,,MATCH(AE$8,'Калькуляция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(МИ)'!$AJ$25:$BC$459,,MATCH(AE$8,'Калькуляция (МИ)'!$AJ$8:$BC$8,0)),'Калькуляция (МИ)'!$F$25:$F$459,$F190,'Калькуляция (МИ)'!$G$25:$G$459,$G190))))</f>
        <v>41.6493438603</v>
      </c>
      <c r="AF190" s="214">
        <f ca="1">IF(AD190=0,0,(AE190-AD190)/AD190*100)</f>
        <v>-28.259962120611299</v>
      </c>
      <c r="AG190" s="1447">
        <f ca="1">IF(AND(method_reg="Метод индексации",god&lt;&gt;first_year),SUMIFS(INDEX('Калькуляция (МИ корр)'!$AJ$25:$BC$459,,MATCH(AG$8,'Калькуляция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(МИ)'!$AJ$25:$BC$459,,MATCH(AG$8,'Калькуляция (МИ)'!$AJ$8:$BC$8,0)),'Калькуляция (МИ)'!$F$25:$F$459,$F190,'Калькуляция (МИ)'!$G$25:$G$459,$G190))))</f>
        <v>0</v>
      </c>
      <c r="AH190" s="1447">
        <f ca="1">IF(AND(method_reg="Метод индексации",god&lt;&gt;first_year),SUMIFS(INDEX('Калькуляция (МИ корр)'!$AJ$25:$BC$459,,MATCH(AH$8,'Калькуляция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(МИ)'!$AJ$25:$BC$459,,MATCH(AH$8,'Калькуляция (МИ)'!$AJ$8:$BC$8,0)),'Калькуляция (МИ)'!$F$25:$F$459,$F190,'Калькуляция (МИ)'!$G$25:$G$459,$G190))))</f>
        <v>42.17</v>
      </c>
      <c r="AI190" s="214">
        <f ca="1">IF(AG190=0,0,(AH190-AG190)/AG190*100)</f>
        <v>0</v>
      </c>
      <c r="AJ190" s="1447">
        <f ca="1">IF(AND(method_reg="Метод индексации",god&lt;&gt;first_year),SUMIFS(INDEX('Калькуляция (МИ корр)'!$AJ$25:$BC$459,,MATCH(AJ$8,'Калькуляция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(МИ)'!$AJ$25:$BC$459,,MATCH(AJ$8,'Калькуляция (МИ)'!$AJ$8:$BC$8,0)),'Калькуляция (МИ)'!$F$25:$F$459,$F190,'Калькуляция (МИ)'!$G$25:$G$459,$G190))))</f>
        <v>0</v>
      </c>
      <c r="AK190" s="1447">
        <f ca="1">IF(AND(method_reg="Метод индексации",god&lt;&gt;first_year),SUMIFS(INDEX('Калькуляция (МИ корр)'!$AJ$25:$BC$459,,MATCH(AK$8,'Калькуляция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(МИ)'!$AJ$25:$BC$459,,MATCH(AK$8,'Калькуляция (МИ)'!$AJ$8:$BC$8,0)),'Калькуляция (МИ)'!$F$25:$F$459,$F190,'Калькуляция (МИ)'!$G$25:$G$459,$G190))))</f>
        <v>0</v>
      </c>
      <c r="AL190" s="214">
        <f ca="1">IF(AJ190=0,0,(AK190-AJ190)/AJ190*100)</f>
        <v>0</v>
      </c>
      <c r="AM190" s="1447">
        <f ca="1">IF(AND(method_reg="Метод индексации",god&lt;&gt;first_year),SUMIFS(INDEX('Калькуляция (МИ корр)'!$AJ$25:$BC$459,,MATCH(AM$8,'Калькуляция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(МИ)'!$AJ$25:$BC$459,,MATCH(AM$8,'Калькуляция (МИ)'!$AJ$8:$BC$8,0)),'Калькуляция (МИ)'!$F$25:$F$459,$F190,'Калькуляция (МИ)'!$G$25:$G$459,$G190))))</f>
        <v>0</v>
      </c>
      <c r="AN190" s="1447">
        <f ca="1">IF(AND(method_reg="Метод индексации",god&lt;&gt;first_year),SUMIFS(INDEX('Калькуляция (МИ корр)'!$AJ$25:$BC$459,,MATCH(AN$8,'Калькуляция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(МИ)'!$AJ$25:$BC$459,,MATCH(AN$8,'Калькуляция (МИ)'!$AJ$8:$BC$8,0)),'Калькуляция (МИ)'!$F$25:$F$459,$F190,'Калькуляция (МИ)'!$G$25:$G$459,$G190))))</f>
        <v>0</v>
      </c>
      <c r="AO190" s="214">
        <f ca="1">IF(AM190=0,0,(AN190-AM190)/AM190*100)</f>
        <v>0</v>
      </c>
      <c r="AP190" s="1447">
        <f ca="1">IF(AND(method_reg="Метод индексации",god&lt;&gt;first_year),SUMIFS(INDEX('Калькуляция (МИ корр)'!$AJ$25:$BC$459,,MATCH(AP$8,'Калькуляция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(МИ)'!$AJ$25:$BC$459,,MATCH(AP$8,'Калькуляция (МИ)'!$AJ$8:$BC$8,0)),'Калькуляция (МИ)'!$F$25:$F$459,$F190,'Калькуляция (МИ)'!$G$25:$G$459,$G190))))</f>
        <v>0</v>
      </c>
      <c r="AQ190" s="1447">
        <f ca="1">IF(AND(method_reg="Метод индексации",god&lt;&gt;first_year),SUMIFS(INDEX('Калькуляция (МИ корр)'!$AJ$25:$BC$459,,MATCH(AQ$8,'Калькуляция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(МИ)'!$AJ$25:$BC$459,,MATCH(AQ$8,'Калькуляция (МИ)'!$AJ$8:$BC$8,0)),'Калькуляция (МИ)'!$F$25:$F$459,$F190,'Калькуляция (МИ)'!$G$25:$G$459,$G190))))</f>
        <v>0</v>
      </c>
      <c r="AR190" s="214">
        <f ca="1">IF(AP190=0,0,(AQ190-AP190)/AP190*100)</f>
        <v>0</v>
      </c>
      <c r="AS190" s="1447">
        <f ca="1">IF(AND(method_reg="Метод индексации",god&lt;&gt;first_year),SUMIFS(INDEX('Калькуляция (МИ корр)'!$AJ$25:$BC$459,,MATCH(AS$8,'Калькуляция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(МИ)'!$AJ$25:$BC$459,,MATCH(AS$8,'Калькуляция (МИ)'!$AJ$8:$BC$8,0)),'Калькуляция (МИ)'!$F$25:$F$459,$F190,'Калькуляция (МИ)'!$G$25:$G$459,$G190))))</f>
        <v>0</v>
      </c>
      <c r="AT190" s="1447">
        <f ca="1">IF(AND(method_reg="Метод индексации",god&lt;&gt;first_year),SUMIFS(INDEX('Калькуляция (МИ корр)'!$AJ$25:$BC$459,,MATCH(AT$8,'Калькуляция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(МИ)'!$AJ$25:$BC$459,,MATCH(AT$8,'Калькуляция (МИ)'!$AJ$8:$BC$8,0)),'Калькуляция (МИ)'!$F$25:$F$459,$F190,'Калькуляция (МИ)'!$G$25:$G$459,$G190))))</f>
        <v>0</v>
      </c>
      <c r="AU190" s="214">
        <f ca="1">IF(AS190=0,0,(AT190-AS190)/AS190*100)</f>
        <v>0</v>
      </c>
      <c r="AV190" s="1447">
        <f ca="1">IF(AND(method_reg="Метод индексации",god&lt;&gt;first_year),SUMIFS(INDEX('Калькуляция (МИ корр)'!$AJ$25:$BC$459,,MATCH(AV$8,'Калькуляция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(МИ)'!$AJ$25:$BC$459,,MATCH(AV$8,'Калькуляция (МИ)'!$AJ$8:$BC$8,0)),'Калькуляция (МИ)'!$F$25:$F$459,$F190,'Калькуляция (МИ)'!$G$25:$G$459,$G190))))</f>
        <v>0</v>
      </c>
      <c r="AW190" s="1447">
        <f ca="1">IF(AND(method_reg="Метод индексации",god&lt;&gt;first_year),SUMIFS(INDEX('Калькуляция (МИ корр)'!$AJ$25:$BC$459,,MATCH(AW$8,'Калькуляция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(МИ)'!$AJ$25:$BC$459,,MATCH(AW$8,'Калькуляция (МИ)'!$AJ$8:$BC$8,0)),'Калькуляция (МИ)'!$F$25:$F$459,$F190,'Калькуляция (МИ)'!$G$25:$G$459,$G190))))</f>
        <v>0</v>
      </c>
      <c r="AX190" s="214">
        <f ca="1">IF(AV190=0,0,(AW190-AV190)/AV190*100)</f>
        <v>0</v>
      </c>
      <c r="AY190" s="1447">
        <f ca="1">IF(AND(method_reg="Метод индексации",god&lt;&gt;first_year),SUMIFS(INDEX('Калькуляция (МИ корр)'!$AJ$25:$BC$459,,MATCH(AY$8,'Калькуляция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(МИ)'!$AJ$25:$BC$459,,MATCH(AY$8,'Калькуляция (МИ)'!$AJ$8:$BC$8,0)),'Калькуляция (МИ)'!$F$25:$F$459,$F190,'Калькуляция (МИ)'!$G$25:$G$459,$G190))))</f>
        <v>0</v>
      </c>
      <c r="AZ190" s="1447">
        <f ca="1">IF(AND(method_reg="Метод индексации",god&lt;&gt;first_year),SUMIFS(INDEX('Калькуляция (МИ корр)'!$AJ$25:$BC$459,,MATCH(AZ$8,'Калькуляция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(МИ)'!$AJ$25:$BC$459,,MATCH(AZ$8,'Калькуляция (МИ)'!$AJ$8:$BC$8,0)),'Калькуляция (МИ)'!$F$25:$F$459,$F190,'Калькуляция (МИ)'!$G$25:$G$459,$G190))))</f>
        <v>0</v>
      </c>
      <c r="BA190" s="214">
        <f ca="1">IF(AY190=0,0,(AZ190-AY190)/AY190*100)</f>
        <v>0</v>
      </c>
      <c r="BB190" s="1447">
        <f ca="1">IF(AND(method_reg="Метод индексации",god&lt;&gt;first_year),SUMIFS(INDEX('Калькуляция (МИ корр)'!$AJ$25:$BC$459,,MATCH(BB$8,'Калькуляция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(МИ)'!$AJ$25:$BC$459,,MATCH(BB$8,'Калькуляция (МИ)'!$AJ$8:$BC$8,0)),'Калькуляция (МИ)'!$F$25:$F$459,$F190,'Калькуляция (МИ)'!$G$25:$G$459,$G190))))</f>
        <v>0</v>
      </c>
      <c r="BC190" s="1447">
        <f ca="1">IF(AND(method_reg="Метод индексации",god&lt;&gt;first_year),SUMIFS(INDEX('Калькуляция (МИ корр)'!$AJ$25:$BC$459,,MATCH(BC$8,'Калькуляция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(МИ)'!$AJ$25:$BC$459,,MATCH(BC$8,'Калькуляция (МИ)'!$AJ$8:$BC$8,0)),'Калькуляция (МИ)'!$F$25:$F$459,$F190,'Калькуляция (МИ)'!$G$25:$G$459,$G190))))</f>
        <v>0</v>
      </c>
      <c r="BD190" s="214">
        <f ca="1">IF(BB190=0,0,(BC190-BB190)/BB190*100)</f>
        <v>0</v>
      </c>
      <c r="BE190" s="1447">
        <f ca="1">IF(AND(method_reg="Метод индексации",god&lt;&gt;first_year),SUMIFS(INDEX('Калькуляция (МИ корр)'!$AJ$25:$BC$459,,MATCH(BE$8,'Калькуляция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(МИ)'!$AJ$25:$BC$459,,MATCH(BE$8,'Калькуляция (МИ)'!$AJ$8:$BC$8,0)),'Калькуляция (МИ)'!$F$25:$F$459,$F190,'Калькуляция (МИ)'!$G$25:$G$459,$G190))))</f>
        <v>0</v>
      </c>
      <c r="BF190" s="1447">
        <f ca="1">IF(AND(method_reg="Метод индексации",god&lt;&gt;first_year),SUMIFS(INDEX('Калькуляция (МИ корр)'!$AJ$25:$BC$459,,MATCH(BF$8,'Калькуляция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(МИ)'!$AJ$25:$BC$459,,MATCH(BF$8,'Калькуляция (МИ)'!$AJ$8:$BC$8,0)),'Калькуляция (МИ)'!$F$25:$F$459,$F190,'Калькуляция (МИ)'!$G$25:$G$459,$G190))))</f>
        <v>0</v>
      </c>
      <c r="BG190" s="214">
        <f ca="1">IF(BE190=0,0,(BF190-BE190)/BE190*100)</f>
        <v>0</v>
      </c>
      <c r="BH190" s="1447"/>
      <c r="BI190" s="1447"/>
      <c r="BJ190" s="214">
        <f>IF(BH190=0,0,(BI190-BH190)/BH190*100)</f>
        <v>0</v>
      </c>
      <c r="BK190" s="1447"/>
      <c r="BL190" s="1447"/>
      <c r="BM190" s="214">
        <f>IF(BK190=0,0,(BL190-BK190)/BK190*100)</f>
        <v>0</v>
      </c>
      <c r="BN190" s="1447"/>
      <c r="BO190" s="1447"/>
      <c r="BP190" s="214">
        <f>IF(BN190=0,0,(BO190-BN190)/BN190*100)</f>
        <v>0</v>
      </c>
      <c r="BQ190" s="1447"/>
      <c r="BR190" s="1447"/>
      <c r="BS190" s="214">
        <f>IF(BQ190=0,0,(BR190-BQ190)/BQ190*100)</f>
        <v>0</v>
      </c>
      <c r="BT190" s="1447"/>
      <c r="BU190" s="1447"/>
      <c r="BV190" s="214">
        <f>IF(BT190=0,0,(BU190-BT190)/BT190*100)</f>
        <v>0</v>
      </c>
      <c r="BW190" s="1447"/>
      <c r="BX190" s="1447"/>
      <c r="BY190" s="214">
        <f>IF(BW190=0,0,(BX190-BW190)/BW190*100)</f>
        <v>0</v>
      </c>
      <c r="BZ190" s="1447"/>
      <c r="CA190" s="1447"/>
      <c r="CB190" s="214">
        <f>IF(BZ190=0,0,(CA190-BZ190)/BZ190*100)</f>
        <v>0</v>
      </c>
      <c r="CC190" s="1447"/>
      <c r="CD190" s="1447"/>
      <c r="CE190" s="214">
        <f>IF(CC190=0,0,(CD190-CC190)/CC190*100)</f>
        <v>0</v>
      </c>
      <c r="CF190" s="1447"/>
      <c r="CG190" s="1447"/>
      <c r="CH190" s="214">
        <f>IF(CF190=0,0,(CG190-CF190)/CF190*100)</f>
        <v>0</v>
      </c>
      <c r="CI190" s="1447"/>
      <c r="CJ190" s="1447"/>
      <c r="CK190" s="214">
        <f>IF(CI190=0,0,(CJ190-CI190)/CI190*100)</f>
        <v>0</v>
      </c>
      <c r="CL190" s="1447"/>
      <c r="CM190" s="1447"/>
      <c r="CN190" s="214">
        <f>IF(CL190=0,0,(CM190-CL190)/CL190*100)</f>
        <v>0</v>
      </c>
      <c r="CO190" s="1447"/>
      <c r="CP190" s="1447"/>
      <c r="CQ190" s="214">
        <f>IF(CO190=0,0,(CP190-CO190)/CO190*100)</f>
        <v>0</v>
      </c>
      <c r="CR190" s="1447"/>
      <c r="CS190" s="1447"/>
      <c r="CT190" s="214">
        <f>IF(CR190=0,0,(CS190-CR190)/CR190*100)</f>
        <v>0</v>
      </c>
      <c r="CU190" s="1447"/>
      <c r="CV190" s="1447"/>
      <c r="CW190" s="214">
        <f>IF(CU190=0,0,(CV190-CU190)/CU190*100)</f>
        <v>0</v>
      </c>
      <c r="CX190" s="1447"/>
      <c r="CY190" s="1447"/>
      <c r="CZ190" s="214">
        <f>IF(CX190=0,0,(CY190-CX190)/CX190*100)</f>
        <v>0</v>
      </c>
      <c r="DA190" s="1447"/>
      <c r="DB190" s="1447"/>
      <c r="DC190" s="214">
        <f>IF(DA190=0,0,(DB190-DA190)/DA190*100)</f>
        <v>0</v>
      </c>
      <c r="DD190" s="1447"/>
      <c r="DE190" s="1447"/>
      <c r="DF190" s="214">
        <f>IF(DD190=0,0,(DE190-DD190)/DD190*100)</f>
        <v>0</v>
      </c>
      <c r="DG190" s="1447"/>
      <c r="DH190" s="1447"/>
      <c r="DI190" s="214">
        <f>IF(DG190=0,0,(DH190-DG190)/DG190*100)</f>
        <v>0</v>
      </c>
      <c r="DJ190" s="1447"/>
      <c r="DK190" s="1447"/>
      <c r="DL190" s="214">
        <f>IF(DJ190=0,0,(DK190-DJ190)/DJ190*100)</f>
        <v>0</v>
      </c>
      <c r="DM190" s="1447"/>
      <c r="DN190" s="1447"/>
      <c r="DO190" s="214">
        <f>IF(DM190=0,0,(DN190-DM190)/DM190*100)</f>
        <v>0</v>
      </c>
      <c r="DP190" s="1447"/>
      <c r="DQ190" s="1447"/>
      <c r="DR190" s="214">
        <f>IF(DP190=0,0,(DQ190-DP190)/DP190*100)</f>
        <v>0</v>
      </c>
      <c r="DS190" s="1447"/>
      <c r="DT190" s="1447"/>
      <c r="DU190" s="214">
        <f>IF(DS190=0,0,(DT190-DS190)/DS190*100)</f>
        <v>0</v>
      </c>
      <c r="DV190" s="1447"/>
      <c r="DW190" s="1447"/>
      <c r="DX190" s="214">
        <f>IF(DV190=0,0,(DW190-DV190)/DV190*100)</f>
        <v>0</v>
      </c>
      <c r="DY190" s="1447"/>
      <c r="DZ190" s="1447"/>
      <c r="EA190" s="214">
        <f>IF(DY190=0,0,(DZ190-DY190)/DY190*100)</f>
        <v>0</v>
      </c>
      <c r="EB190" s="1447"/>
      <c r="EC190" s="1447"/>
      <c r="ED190" s="214">
        <f>IF(EB190=0,0,(EC190-EB190)/EB190*100)</f>
        <v>0</v>
      </c>
      <c r="EE190" s="1447"/>
      <c r="EF190" s="1447"/>
      <c r="EG190" s="214">
        <f>IF(EE190=0,0,(EF190-EE190)/EE190*100)</f>
        <v>0</v>
      </c>
      <c r="EH190" s="1447"/>
      <c r="EI190" s="1447"/>
      <c r="EJ190" s="214">
        <f>IF(EH190=0,0,(EI190-EH190)/EH190*100)</f>
        <v>0</v>
      </c>
      <c r="EK190" s="1447"/>
      <c r="EL190" s="1447"/>
      <c r="EM190" s="214">
        <f>IF(EK190=0,0,(EL190-EK190)/EK190*100)</f>
        <v>0</v>
      </c>
      <c r="EN190" s="1447"/>
      <c r="EO190" s="1447"/>
      <c r="EP190" s="214">
        <f>IF(EN190=0,0,(EO190-EN190)/EN190*100)</f>
        <v>0</v>
      </c>
      <c r="EQ190" s="1447"/>
      <c r="ER190" s="1447"/>
      <c r="ES190" s="214">
        <f>IF(EQ190=0,0,(ER190-EQ190)/EQ190*100)</f>
        <v>0</v>
      </c>
      <c r="ET190" s="1447"/>
      <c r="EU190" s="1447"/>
      <c r="EV190" s="214">
        <f>IF(ET190=0,0,(EU190-ET190)/ET190*100)</f>
        <v>0</v>
      </c>
      <c r="EW190" s="1447"/>
      <c r="EX190" s="1447"/>
      <c r="EY190" s="214">
        <f>IF(EW190=0,0,(EX190-EW190)/EW190*100)</f>
        <v>0</v>
      </c>
      <c r="EZ190" s="1447"/>
      <c r="FA190" s="1447"/>
      <c r="FB190" s="214">
        <f>IF(EZ190=0,0,(FA190-EZ190)/EZ190*100)</f>
        <v>0</v>
      </c>
      <c r="FC190" s="1447"/>
      <c r="FD190" s="1447"/>
      <c r="FE190" s="214">
        <f>IF(FC190=0,0,(FD190-FC190)/FC190*100)</f>
        <v>0</v>
      </c>
      <c r="FF190" s="1447"/>
      <c r="FG190" s="1447"/>
      <c r="FH190" s="214">
        <f>IF(FF190=0,0,(FG190-FF190)/FF190*100)</f>
        <v>0</v>
      </c>
      <c r="FI190" s="1447"/>
      <c r="FJ190" s="1447"/>
      <c r="FK190" s="214">
        <f>IF(FI190=0,0,(FJ190-FI190)/FI190*100)</f>
        <v>0</v>
      </c>
      <c r="FL190" s="1447"/>
      <c r="FM190" s="1447"/>
      <c r="FN190" s="214">
        <f>IF(FL190=0,0,(FM190-FL190)/FL190*100)</f>
        <v>0</v>
      </c>
      <c r="FO190" s="1447"/>
      <c r="FP190" s="1447"/>
      <c r="FQ190" s="214">
        <f>IF(FO190=0,0,(FP190-FO190)/FO190*100)</f>
        <v>0</v>
      </c>
      <c r="FR190" s="1447"/>
      <c r="FS190" s="1447"/>
      <c r="FT190" s="214">
        <f>IF(FR190=0,0,(FS190-FR190)/FR190*100)</f>
        <v>0</v>
      </c>
      <c r="FU190" s="1447"/>
      <c r="FV190" s="1447"/>
      <c r="FW190" s="214">
        <f>IF(FU190=0,0,(FV190-FU190)/FU190*100)</f>
        <v>0</v>
      </c>
      <c r="FX190" s="210"/>
      <c r="FY190" s="210"/>
      <c r="FZ190" s="964" t="s">
        <v>1663</v>
      </c>
      <c r="GA190" s="964"/>
      <c r="GB190" s="964"/>
      <c r="GC190" s="965"/>
      <c r="GD190" s="965"/>
    </row>
    <row r="191" spans="1:186" s="1460" customFormat="1" ht="23.25" hidden="1" customHeight="1" x14ac:dyDescent="0.15">
      <c r="A191" s="813"/>
      <c r="B191" s="837" t="b" cm="1">
        <f t="array" ref="B191">B190</f>
        <v>0</v>
      </c>
      <c r="C191" s="813"/>
      <c r="D191" s="813"/>
      <c r="E191" s="759">
        <v>24.5</v>
      </c>
      <c r="F191" s="3" t="str" cm="1">
        <f t="array" aca="1" ref="F191" ca="1">OFFSET(E191,-1,1)</f>
        <v>2</v>
      </c>
      <c r="G191" s="26" t="s">
        <v>1590</v>
      </c>
      <c r="H191" s="416" t="s">
        <v>494</v>
      </c>
      <c r="I191" s="416" t="s">
        <v>1664</v>
      </c>
      <c r="J191" s="813"/>
      <c r="K191" s="813"/>
      <c r="L191" s="813"/>
      <c r="M191" s="813"/>
      <c r="N191" s="813"/>
      <c r="O191" s="813"/>
      <c r="P191" s="813"/>
      <c r="Q191" s="813"/>
      <c r="R191" s="813"/>
      <c r="S191" s="416"/>
      <c r="T191" s="388" t="b" cm="1">
        <f t="array" aca="1" ref="T191" ca="1">T190</f>
        <v>1</v>
      </c>
      <c r="U191" s="813"/>
      <c r="V191" s="813"/>
      <c r="W191" s="813"/>
      <c r="X191" s="2066"/>
      <c r="Y191" s="813"/>
      <c r="Z191" s="2011"/>
      <c r="AA191" s="813"/>
      <c r="AB191" s="138" t="s">
        <v>1665</v>
      </c>
      <c r="AC191" s="153" t="s">
        <v>1588</v>
      </c>
      <c r="AD191" s="1447">
        <f ca="1">IF(AND(method_reg="Метод индексации",god&lt;&gt;first_year),SUMIFS(INDEX('Калькуляция (МИ корр)'!$AJ$25:$BC$459,,MATCH(AD$8,'Калькуляция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(МИ)'!$AJ$25:$BC$459,,MATCH(AD$8,'Калькуляция (МИ)'!$AJ$8:$BC$8,0)),'Калькуляция (МИ)'!$F$25:$F$459,$F191,'Калькуляция (МИ)'!$G$25:$G$459,$G191))))</f>
        <v>58.055926775954688</v>
      </c>
      <c r="AE191" s="1447">
        <f ca="1">IF(AND(method_reg="Метод индексации",god&lt;&gt;first_year),SUMIFS(INDEX('Калькуляция (МИ корр)'!$AJ$25:$BC$459,,MATCH(AE$8,'Калькуляция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(МИ)'!$AJ$25:$BC$459,,MATCH(AE$8,'Калькуляция (МИ)'!$AJ$8:$BC$8,0)),'Калькуляция (МИ)'!$F$25:$F$459,$F191,'Калькуляция (МИ)'!$G$25:$G$459,$G191))))</f>
        <v>42.17</v>
      </c>
      <c r="AF191" s="214">
        <f ca="1">IF(AD191=0,0,(AE191-AD191)/AD191*100)</f>
        <v>-27.363143882381774</v>
      </c>
      <c r="AG191" s="1447">
        <f ca="1">IF(AND(method_reg="Метод индексации",god&lt;&gt;first_year),SUMIFS(INDEX('Калькуляция (МИ корр)'!$AJ$25:$BC$459,,MATCH(AG$8,'Калькуляция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(МИ)'!$AJ$25:$BC$459,,MATCH(AG$8,'Калькуляция (МИ)'!$AJ$8:$BC$8,0)),'Калькуляция (МИ)'!$F$25:$F$459,$F191,'Калькуляция (МИ)'!$G$25:$G$459,$G191))))</f>
        <v>0</v>
      </c>
      <c r="AH191" s="1447">
        <f ca="1">IF(AND(method_reg="Метод индексации",god&lt;&gt;first_year),SUMIFS(INDEX('Калькуляция (МИ корр)'!$AJ$25:$BC$459,,MATCH(AH$8,'Калькуляция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(МИ)'!$AJ$25:$BC$459,,MATCH(AH$8,'Калькуляция (МИ)'!$AJ$8:$BC$8,0)),'Калькуляция (МИ)'!$F$25:$F$459,$F191,'Калькуляция (МИ)'!$G$25:$G$459,$G191))))</f>
        <v>0</v>
      </c>
      <c r="AI191" s="214">
        <f ca="1">IF(AG191=0,0,(AH191-AG191)/AG191*100)</f>
        <v>0</v>
      </c>
      <c r="AJ191" s="1447">
        <f ca="1">IF(AND(method_reg="Метод индексации",god&lt;&gt;first_year),SUMIFS(INDEX('Калькуляция (МИ корр)'!$AJ$25:$BC$459,,MATCH(AJ$8,'Калькуляция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(МИ)'!$AJ$25:$BC$459,,MATCH(AJ$8,'Калькуляция (МИ)'!$AJ$8:$BC$8,0)),'Калькуляция (МИ)'!$F$25:$F$459,$F191,'Калькуляция (МИ)'!$G$25:$G$459,$G191))))</f>
        <v>0</v>
      </c>
      <c r="AK191" s="1447">
        <f ca="1">IF(AND(method_reg="Метод индексации",god&lt;&gt;first_year),SUMIFS(INDEX('Калькуляция (МИ корр)'!$AJ$25:$BC$459,,MATCH(AK$8,'Калькуляция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(МИ)'!$AJ$25:$BC$459,,MATCH(AK$8,'Калькуляция (МИ)'!$AJ$8:$BC$8,0)),'Калькуляция (МИ)'!$F$25:$F$459,$F191,'Калькуляция (МИ)'!$G$25:$G$459,$G191))))</f>
        <v>0</v>
      </c>
      <c r="AL191" s="214">
        <f ca="1">IF(AJ191=0,0,(AK191-AJ191)/AJ191*100)</f>
        <v>0</v>
      </c>
      <c r="AM191" s="1447">
        <f ca="1">IF(AND(method_reg="Метод индексации",god&lt;&gt;first_year),SUMIFS(INDEX('Калькуляция (МИ корр)'!$AJ$25:$BC$459,,MATCH(AM$8,'Калькуляция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(МИ)'!$AJ$25:$BC$459,,MATCH(AM$8,'Калькуляция (МИ)'!$AJ$8:$BC$8,0)),'Калькуляция (МИ)'!$F$25:$F$459,$F191,'Калькуляция (МИ)'!$G$25:$G$459,$G191))))</f>
        <v>0</v>
      </c>
      <c r="AN191" s="1447">
        <f ca="1">IF(AND(method_reg="Метод индексации",god&lt;&gt;first_year),SUMIFS(INDEX('Калькуляция (МИ корр)'!$AJ$25:$BC$459,,MATCH(AN$8,'Калькуляция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(МИ)'!$AJ$25:$BC$459,,MATCH(AN$8,'Калькуляция (МИ)'!$AJ$8:$BC$8,0)),'Калькуляция (МИ)'!$F$25:$F$459,$F191,'Калькуляция (МИ)'!$G$25:$G$459,$G191))))</f>
        <v>0</v>
      </c>
      <c r="AO191" s="214">
        <f ca="1">IF(AM191=0,0,(AN191-AM191)/AM191*100)</f>
        <v>0</v>
      </c>
      <c r="AP191" s="1447">
        <f ca="1">IF(AND(method_reg="Метод индексации",god&lt;&gt;first_year),SUMIFS(INDEX('Калькуляция (МИ корр)'!$AJ$25:$BC$459,,MATCH(AP$8,'Калькуляция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(МИ)'!$AJ$25:$BC$459,,MATCH(AP$8,'Калькуляция (МИ)'!$AJ$8:$BC$8,0)),'Калькуляция (МИ)'!$F$25:$F$459,$F191,'Калькуляция (МИ)'!$G$25:$G$459,$G191))))</f>
        <v>0</v>
      </c>
      <c r="AQ191" s="1447">
        <f ca="1">IF(AND(method_reg="Метод индексации",god&lt;&gt;first_year),SUMIFS(INDEX('Калькуляция (МИ корр)'!$AJ$25:$BC$459,,MATCH(AQ$8,'Калькуляция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(МИ)'!$AJ$25:$BC$459,,MATCH(AQ$8,'Калькуляция (МИ)'!$AJ$8:$BC$8,0)),'Калькуляция (МИ)'!$F$25:$F$459,$F191,'Калькуляция (МИ)'!$G$25:$G$459,$G191))))</f>
        <v>0</v>
      </c>
      <c r="AR191" s="214">
        <f ca="1">IF(AP191=0,0,(AQ191-AP191)/AP191*100)</f>
        <v>0</v>
      </c>
      <c r="AS191" s="1447">
        <f ca="1">IF(AND(method_reg="Метод индексации",god&lt;&gt;first_year),SUMIFS(INDEX('Калькуляция (МИ корр)'!$AJ$25:$BC$459,,MATCH(AS$8,'Калькуляция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(МИ)'!$AJ$25:$BC$459,,MATCH(AS$8,'Калькуляция (МИ)'!$AJ$8:$BC$8,0)),'Калькуляция (МИ)'!$F$25:$F$459,$F191,'Калькуляция (МИ)'!$G$25:$G$459,$G191))))</f>
        <v>0</v>
      </c>
      <c r="AT191" s="1447">
        <f ca="1">IF(AND(method_reg="Метод индексации",god&lt;&gt;first_year),SUMIFS(INDEX('Калькуляция (МИ корр)'!$AJ$25:$BC$459,,MATCH(AT$8,'Калькуляция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(МИ)'!$AJ$25:$BC$459,,MATCH(AT$8,'Калькуляция (МИ)'!$AJ$8:$BC$8,0)),'Калькуляция (МИ)'!$F$25:$F$459,$F191,'Калькуляция (МИ)'!$G$25:$G$459,$G191))))</f>
        <v>0</v>
      </c>
      <c r="AU191" s="214">
        <f ca="1">IF(AS191=0,0,(AT191-AS191)/AS191*100)</f>
        <v>0</v>
      </c>
      <c r="AV191" s="1447">
        <f ca="1">IF(AND(method_reg="Метод индексации",god&lt;&gt;first_year),SUMIFS(INDEX('Калькуляция (МИ корр)'!$AJ$25:$BC$459,,MATCH(AV$8,'Калькуляция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(МИ)'!$AJ$25:$BC$459,,MATCH(AV$8,'Калькуляция (МИ)'!$AJ$8:$BC$8,0)),'Калькуляция (МИ)'!$F$25:$F$459,$F191,'Калькуляция (МИ)'!$G$25:$G$459,$G191))))</f>
        <v>0</v>
      </c>
      <c r="AW191" s="1447">
        <f ca="1">IF(AND(method_reg="Метод индексации",god&lt;&gt;first_year),SUMIFS(INDEX('Калькуляция (МИ корр)'!$AJ$25:$BC$459,,MATCH(AW$8,'Калькуляция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(МИ)'!$AJ$25:$BC$459,,MATCH(AW$8,'Калькуляция (МИ)'!$AJ$8:$BC$8,0)),'Калькуляция (МИ)'!$F$25:$F$459,$F191,'Калькуляция (МИ)'!$G$25:$G$459,$G191))))</f>
        <v>0</v>
      </c>
      <c r="AX191" s="214">
        <f ca="1">IF(AV191=0,0,(AW191-AV191)/AV191*100)</f>
        <v>0</v>
      </c>
      <c r="AY191" s="1447">
        <f ca="1">IF(AND(method_reg="Метод индексации",god&lt;&gt;first_year),SUMIFS(INDEX('Калькуляция (МИ корр)'!$AJ$25:$BC$459,,MATCH(AY$8,'Калькуляция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(МИ)'!$AJ$25:$BC$459,,MATCH(AY$8,'Калькуляция (МИ)'!$AJ$8:$BC$8,0)),'Калькуляция (МИ)'!$F$25:$F$459,$F191,'Калькуляция (МИ)'!$G$25:$G$459,$G191))))</f>
        <v>0</v>
      </c>
      <c r="AZ191" s="1447">
        <f ca="1">IF(AND(method_reg="Метод индексации",god&lt;&gt;first_year),SUMIFS(INDEX('Калькуляция (МИ корр)'!$AJ$25:$BC$459,,MATCH(AZ$8,'Калькуляция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(МИ)'!$AJ$25:$BC$459,,MATCH(AZ$8,'Калькуляция (МИ)'!$AJ$8:$BC$8,0)),'Калькуляция (МИ)'!$F$25:$F$459,$F191,'Калькуляция (МИ)'!$G$25:$G$459,$G191))))</f>
        <v>0</v>
      </c>
      <c r="BA191" s="214">
        <f ca="1">IF(AY191=0,0,(AZ191-AY191)/AY191*100)</f>
        <v>0</v>
      </c>
      <c r="BB191" s="1447">
        <f ca="1">IF(AND(method_reg="Метод индексации",god&lt;&gt;first_year),SUMIFS(INDEX('Калькуляция (МИ корр)'!$AJ$25:$BC$459,,MATCH(BB$8,'Калькуляция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(МИ)'!$AJ$25:$BC$459,,MATCH(BB$8,'Калькуляция (МИ)'!$AJ$8:$BC$8,0)),'Калькуляция (МИ)'!$F$25:$F$459,$F191,'Калькуляция (МИ)'!$G$25:$G$459,$G191))))</f>
        <v>0</v>
      </c>
      <c r="BC191" s="1447">
        <f ca="1">IF(AND(method_reg="Метод индексации",god&lt;&gt;first_year),SUMIFS(INDEX('Калькуляция (МИ корр)'!$AJ$25:$BC$459,,MATCH(BC$8,'Калькуляция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(МИ)'!$AJ$25:$BC$459,,MATCH(BC$8,'Калькуляция (МИ)'!$AJ$8:$BC$8,0)),'Калькуляция (МИ)'!$F$25:$F$459,$F191,'Калькуляция (МИ)'!$G$25:$G$459,$G191))))</f>
        <v>0</v>
      </c>
      <c r="BD191" s="214">
        <f ca="1">IF(BB191=0,0,(BC191-BB191)/BB191*100)</f>
        <v>0</v>
      </c>
      <c r="BE191" s="1447">
        <f ca="1">IF(AND(method_reg="Метод индексации",god&lt;&gt;first_year),SUMIFS(INDEX('Калькуляция (МИ корр)'!$AJ$25:$BC$459,,MATCH(BE$8,'Калькуляция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(МИ)'!$AJ$25:$BC$459,,MATCH(BE$8,'Калькуляция (МИ)'!$AJ$8:$BC$8,0)),'Калькуляция (МИ)'!$F$25:$F$459,$F191,'Калькуляция (МИ)'!$G$25:$G$459,$G191))))</f>
        <v>0</v>
      </c>
      <c r="BF191" s="1447">
        <f ca="1">IF(AND(method_reg="Метод индексации",god&lt;&gt;first_year),SUMIFS(INDEX('Калькуляция (МИ корр)'!$AJ$25:$BC$459,,MATCH(BF$8,'Калькуляция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(МИ)'!$AJ$25:$BC$459,,MATCH(BF$8,'Калькуляция (МИ)'!$AJ$8:$BC$8,0)),'Калькуляция (МИ)'!$F$25:$F$459,$F191,'Калькуляция (МИ)'!$G$25:$G$459,$G191))))</f>
        <v>0</v>
      </c>
      <c r="BG191" s="214">
        <f ca="1">IF(BE191=0,0,(BF191-BE191)/BE191*100)</f>
        <v>0</v>
      </c>
      <c r="BH191" s="1447"/>
      <c r="BI191" s="1447"/>
      <c r="BJ191" s="214">
        <f>IF(BH191=0,0,(BI191-BH191)/BH191*100)</f>
        <v>0</v>
      </c>
      <c r="BK191" s="1447"/>
      <c r="BL191" s="1447"/>
      <c r="BM191" s="214">
        <f>IF(BK191=0,0,(BL191-BK191)/BK191*100)</f>
        <v>0</v>
      </c>
      <c r="BN191" s="1447"/>
      <c r="BO191" s="1447"/>
      <c r="BP191" s="214">
        <f>IF(BN191=0,0,(BO191-BN191)/BN191*100)</f>
        <v>0</v>
      </c>
      <c r="BQ191" s="1447"/>
      <c r="BR191" s="1447"/>
      <c r="BS191" s="214">
        <f>IF(BQ191=0,0,(BR191-BQ191)/BQ191*100)</f>
        <v>0</v>
      </c>
      <c r="BT191" s="1447"/>
      <c r="BU191" s="1447"/>
      <c r="BV191" s="214">
        <f>IF(BT191=0,0,(BU191-BT191)/BT191*100)</f>
        <v>0</v>
      </c>
      <c r="BW191" s="1447"/>
      <c r="BX191" s="1447"/>
      <c r="BY191" s="214">
        <f>IF(BW191=0,0,(BX191-BW191)/BW191*100)</f>
        <v>0</v>
      </c>
      <c r="BZ191" s="1447"/>
      <c r="CA191" s="1447"/>
      <c r="CB191" s="214">
        <f>IF(BZ191=0,0,(CA191-BZ191)/BZ191*100)</f>
        <v>0</v>
      </c>
      <c r="CC191" s="1447"/>
      <c r="CD191" s="1447"/>
      <c r="CE191" s="214">
        <f>IF(CC191=0,0,(CD191-CC191)/CC191*100)</f>
        <v>0</v>
      </c>
      <c r="CF191" s="1447"/>
      <c r="CG191" s="1447"/>
      <c r="CH191" s="214">
        <f>IF(CF191=0,0,(CG191-CF191)/CF191*100)</f>
        <v>0</v>
      </c>
      <c r="CI191" s="1447"/>
      <c r="CJ191" s="1447"/>
      <c r="CK191" s="214">
        <f>IF(CI191=0,0,(CJ191-CI191)/CI191*100)</f>
        <v>0</v>
      </c>
      <c r="CL191" s="1447"/>
      <c r="CM191" s="1447"/>
      <c r="CN191" s="214">
        <f>IF(CL191=0,0,(CM191-CL191)/CL191*100)</f>
        <v>0</v>
      </c>
      <c r="CO191" s="1447"/>
      <c r="CP191" s="1447"/>
      <c r="CQ191" s="214">
        <f>IF(CO191=0,0,(CP191-CO191)/CO191*100)</f>
        <v>0</v>
      </c>
      <c r="CR191" s="1447"/>
      <c r="CS191" s="1447"/>
      <c r="CT191" s="214">
        <f>IF(CR191=0,0,(CS191-CR191)/CR191*100)</f>
        <v>0</v>
      </c>
      <c r="CU191" s="1447"/>
      <c r="CV191" s="1447"/>
      <c r="CW191" s="214">
        <f>IF(CU191=0,0,(CV191-CU191)/CU191*100)</f>
        <v>0</v>
      </c>
      <c r="CX191" s="1447"/>
      <c r="CY191" s="1447"/>
      <c r="CZ191" s="214">
        <f>IF(CX191=0,0,(CY191-CX191)/CX191*100)</f>
        <v>0</v>
      </c>
      <c r="DA191" s="1447"/>
      <c r="DB191" s="1447"/>
      <c r="DC191" s="214">
        <f>IF(DA191=0,0,(DB191-DA191)/DA191*100)</f>
        <v>0</v>
      </c>
      <c r="DD191" s="1447"/>
      <c r="DE191" s="1447"/>
      <c r="DF191" s="214">
        <f>IF(DD191=0,0,(DE191-DD191)/DD191*100)</f>
        <v>0</v>
      </c>
      <c r="DG191" s="1447"/>
      <c r="DH191" s="1447"/>
      <c r="DI191" s="214">
        <f>IF(DG191=0,0,(DH191-DG191)/DG191*100)</f>
        <v>0</v>
      </c>
      <c r="DJ191" s="1447"/>
      <c r="DK191" s="1447"/>
      <c r="DL191" s="214">
        <f>IF(DJ191=0,0,(DK191-DJ191)/DJ191*100)</f>
        <v>0</v>
      </c>
      <c r="DM191" s="1447"/>
      <c r="DN191" s="1447"/>
      <c r="DO191" s="214">
        <f>IF(DM191=0,0,(DN191-DM191)/DM191*100)</f>
        <v>0</v>
      </c>
      <c r="DP191" s="1447"/>
      <c r="DQ191" s="1447"/>
      <c r="DR191" s="214">
        <f>IF(DP191=0,0,(DQ191-DP191)/DP191*100)</f>
        <v>0</v>
      </c>
      <c r="DS191" s="1447"/>
      <c r="DT191" s="1447"/>
      <c r="DU191" s="214">
        <f>IF(DS191=0,0,(DT191-DS191)/DS191*100)</f>
        <v>0</v>
      </c>
      <c r="DV191" s="1447"/>
      <c r="DW191" s="1447"/>
      <c r="DX191" s="214">
        <f>IF(DV191=0,0,(DW191-DV191)/DV191*100)</f>
        <v>0</v>
      </c>
      <c r="DY191" s="1447"/>
      <c r="DZ191" s="1447"/>
      <c r="EA191" s="214">
        <f>IF(DY191=0,0,(DZ191-DY191)/DY191*100)</f>
        <v>0</v>
      </c>
      <c r="EB191" s="1447"/>
      <c r="EC191" s="1447"/>
      <c r="ED191" s="214">
        <f>IF(EB191=0,0,(EC191-EB191)/EB191*100)</f>
        <v>0</v>
      </c>
      <c r="EE191" s="1447"/>
      <c r="EF191" s="1447"/>
      <c r="EG191" s="214">
        <f>IF(EE191=0,0,(EF191-EE191)/EE191*100)</f>
        <v>0</v>
      </c>
      <c r="EH191" s="1447"/>
      <c r="EI191" s="1447"/>
      <c r="EJ191" s="214">
        <f>IF(EH191=0,0,(EI191-EH191)/EH191*100)</f>
        <v>0</v>
      </c>
      <c r="EK191" s="1447"/>
      <c r="EL191" s="1447"/>
      <c r="EM191" s="214">
        <f>IF(EK191=0,0,(EL191-EK191)/EK191*100)</f>
        <v>0</v>
      </c>
      <c r="EN191" s="1447"/>
      <c r="EO191" s="1447"/>
      <c r="EP191" s="214">
        <f>IF(EN191=0,0,(EO191-EN191)/EN191*100)</f>
        <v>0</v>
      </c>
      <c r="EQ191" s="1447"/>
      <c r="ER191" s="1447"/>
      <c r="ES191" s="214">
        <f>IF(EQ191=0,0,(ER191-EQ191)/EQ191*100)</f>
        <v>0</v>
      </c>
      <c r="ET191" s="1447"/>
      <c r="EU191" s="1447"/>
      <c r="EV191" s="214">
        <f>IF(ET191=0,0,(EU191-ET191)/ET191*100)</f>
        <v>0</v>
      </c>
      <c r="EW191" s="1447"/>
      <c r="EX191" s="1447"/>
      <c r="EY191" s="214">
        <f>IF(EW191=0,0,(EX191-EW191)/EW191*100)</f>
        <v>0</v>
      </c>
      <c r="EZ191" s="1447"/>
      <c r="FA191" s="1447"/>
      <c r="FB191" s="214">
        <f>IF(EZ191=0,0,(FA191-EZ191)/EZ191*100)</f>
        <v>0</v>
      </c>
      <c r="FC191" s="1447"/>
      <c r="FD191" s="1447"/>
      <c r="FE191" s="214">
        <f>IF(FC191=0,0,(FD191-FC191)/FC191*100)</f>
        <v>0</v>
      </c>
      <c r="FF191" s="1447"/>
      <c r="FG191" s="1447"/>
      <c r="FH191" s="214">
        <f>IF(FF191=0,0,(FG191-FF191)/FF191*100)</f>
        <v>0</v>
      </c>
      <c r="FI191" s="1447"/>
      <c r="FJ191" s="1447"/>
      <c r="FK191" s="214">
        <f>IF(FI191=0,0,(FJ191-FI191)/FI191*100)</f>
        <v>0</v>
      </c>
      <c r="FL191" s="1447"/>
      <c r="FM191" s="1447"/>
      <c r="FN191" s="214">
        <f>IF(FL191=0,0,(FM191-FL191)/FL191*100)</f>
        <v>0</v>
      </c>
      <c r="FO191" s="1447"/>
      <c r="FP191" s="1447"/>
      <c r="FQ191" s="214">
        <f>IF(FO191=0,0,(FP191-FO191)/FO191*100)</f>
        <v>0</v>
      </c>
      <c r="FR191" s="1447"/>
      <c r="FS191" s="1447"/>
      <c r="FT191" s="214">
        <f>IF(FR191=0,0,(FS191-FR191)/FR191*100)</f>
        <v>0</v>
      </c>
      <c r="FU191" s="1447"/>
      <c r="FV191" s="1447"/>
      <c r="FW191" s="214">
        <f>IF(FU191=0,0,(FV191-FU191)/FU191*100)</f>
        <v>0</v>
      </c>
      <c r="FX191" s="210"/>
      <c r="FY191" s="210"/>
      <c r="FZ191" s="964" t="s">
        <v>1666</v>
      </c>
      <c r="GA191" s="964"/>
      <c r="GB191" s="964"/>
      <c r="GC191" s="965"/>
      <c r="GD191" s="965"/>
    </row>
    <row r="192" spans="1:186" s="1334" customFormat="1" ht="14.25" hidden="1" customHeight="1" x14ac:dyDescent="0.15">
      <c r="A192" s="416"/>
      <c r="B192" s="837" t="b" cm="1">
        <f t="array" ref="B192">B191</f>
        <v>0</v>
      </c>
      <c r="C192" s="416"/>
      <c r="D192" s="416"/>
      <c r="E192" s="759">
        <v>15</v>
      </c>
      <c r="F192" s="3" t="str" cm="1">
        <f t="array" aca="1" ref="F192" ca="1">OFFSET(E192,-1,1)</f>
        <v>2</v>
      </c>
      <c r="G192" s="416"/>
      <c r="H192" s="416" t="s">
        <v>498</v>
      </c>
      <c r="I192" s="416"/>
      <c r="J192" s="416"/>
      <c r="K192" s="416"/>
      <c r="L192" s="416"/>
      <c r="M192" s="416"/>
      <c r="N192" s="416"/>
      <c r="O192" s="416"/>
      <c r="P192" s="416"/>
      <c r="Q192" s="416"/>
      <c r="R192" s="416"/>
      <c r="S192" s="416"/>
      <c r="T192" s="388" t="b" cm="1">
        <f t="array" aca="1" ref="T192" ca="1">T191</f>
        <v>1</v>
      </c>
      <c r="U192" s="416"/>
      <c r="V192" s="416"/>
      <c r="W192" s="416"/>
      <c r="X192" s="2066"/>
      <c r="Y192" s="416"/>
      <c r="Z192" s="2011"/>
      <c r="AA192" s="416"/>
      <c r="AB192" s="998" t="s">
        <v>1667</v>
      </c>
      <c r="AC192" s="686" t="s">
        <v>490</v>
      </c>
      <c r="AD192" s="1002">
        <f ca="1">IF(AD190=0,0,AD191/AD190)*100</f>
        <v>100.00000000000016</v>
      </c>
      <c r="AE192" s="1002">
        <f ca="1">IF(AE190=0,0,AE191/AE190)*100</f>
        <v>101.25009445874198</v>
      </c>
      <c r="AF192" s="1017"/>
      <c r="AG192" s="1002">
        <f ca="1">IF(AG190=0,0,AG191/AG190)*100</f>
        <v>0</v>
      </c>
      <c r="AH192" s="1002">
        <f ca="1">IF(AH190=0,0,AH191/AH190)*100</f>
        <v>0</v>
      </c>
      <c r="AI192" s="1017"/>
      <c r="AJ192" s="1002">
        <f ca="1">IF(AJ190=0,0,AJ191/AJ190)*100</f>
        <v>0</v>
      </c>
      <c r="AK192" s="1002">
        <f ca="1">IF(AK190=0,0,AK191/AK190)*100</f>
        <v>0</v>
      </c>
      <c r="AL192" s="1017"/>
      <c r="AM192" s="1002">
        <f ca="1">IF(AM190=0,0,AM191/AM190)*100</f>
        <v>0</v>
      </c>
      <c r="AN192" s="1002">
        <f ca="1">IF(AN190=0,0,AN191/AN190)*100</f>
        <v>0</v>
      </c>
      <c r="AO192" s="1017"/>
      <c r="AP192" s="1002">
        <f ca="1">IF(AP190=0,0,AP191/AP190)*100</f>
        <v>0</v>
      </c>
      <c r="AQ192" s="1002">
        <f ca="1">IF(AQ190=0,0,AQ191/AQ190)*100</f>
        <v>0</v>
      </c>
      <c r="AR192" s="1017"/>
      <c r="AS192" s="1002">
        <f ca="1">IF(AS190=0,0,AS191/AS190)*100</f>
        <v>0</v>
      </c>
      <c r="AT192" s="1002">
        <f ca="1">IF(AT190=0,0,AT191/AT190)*100</f>
        <v>0</v>
      </c>
      <c r="AU192" s="1017"/>
      <c r="AV192" s="1002">
        <f ca="1">IF(AV190=0,0,AV191/AV190)*100</f>
        <v>0</v>
      </c>
      <c r="AW192" s="1002">
        <f ca="1">IF(AW190=0,0,AW191/AW190)*100</f>
        <v>0</v>
      </c>
      <c r="AX192" s="1017"/>
      <c r="AY192" s="1002">
        <f ca="1">IF(AY190=0,0,AY191/AY190)*100</f>
        <v>0</v>
      </c>
      <c r="AZ192" s="1002">
        <f ca="1">IF(AZ190=0,0,AZ191/AZ190)*100</f>
        <v>0</v>
      </c>
      <c r="BA192" s="1017"/>
      <c r="BB192" s="1002">
        <f ca="1">IF(BB190=0,0,BB191/BB190)*100</f>
        <v>0</v>
      </c>
      <c r="BC192" s="1002">
        <f ca="1">IF(BC190=0,0,BC191/BC190)*100</f>
        <v>0</v>
      </c>
      <c r="BD192" s="1017"/>
      <c r="BE192" s="1002">
        <f ca="1">IF(BE190=0,0,BE191/BE190)*100</f>
        <v>0</v>
      </c>
      <c r="BF192" s="1002">
        <f ca="1">IF(BF190=0,0,BF191/BF190)*100</f>
        <v>0</v>
      </c>
      <c r="BG192" s="1017"/>
      <c r="BH192" s="1002">
        <f>IF(BH190=0,0,BH191/BH190)*100</f>
        <v>0</v>
      </c>
      <c r="BI192" s="1002">
        <f>IF(BI190=0,0,BI191/BI190)*100</f>
        <v>0</v>
      </c>
      <c r="BJ192" s="1017"/>
      <c r="BK192" s="1002">
        <f>IF(BK190=0,0,BK191/BK190)*100</f>
        <v>0</v>
      </c>
      <c r="BL192" s="1002">
        <f>IF(BL190=0,0,BL191/BL190)*100</f>
        <v>0</v>
      </c>
      <c r="BM192" s="1017"/>
      <c r="BN192" s="1002">
        <f>IF(BN190=0,0,BN191/BN190)*100</f>
        <v>0</v>
      </c>
      <c r="BO192" s="1002">
        <f>IF(BO190=0,0,BO191/BO190)*100</f>
        <v>0</v>
      </c>
      <c r="BP192" s="1017"/>
      <c r="BQ192" s="1002">
        <f>IF(BQ190=0,0,BQ191/BQ190)*100</f>
        <v>0</v>
      </c>
      <c r="BR192" s="1002">
        <f>IF(BR190=0,0,BR191/BR190)*100</f>
        <v>0</v>
      </c>
      <c r="BS192" s="1017"/>
      <c r="BT192" s="1002">
        <f>IF(BT190=0,0,BT191/BT190)*100</f>
        <v>0</v>
      </c>
      <c r="BU192" s="1002">
        <f>IF(BU190=0,0,BU191/BU190)*100</f>
        <v>0</v>
      </c>
      <c r="BV192" s="1017"/>
      <c r="BW192" s="1002">
        <f>IF(BW190=0,0,BW191/BW190)*100</f>
        <v>0</v>
      </c>
      <c r="BX192" s="1002">
        <f>IF(BX190=0,0,BX191/BX190)*100</f>
        <v>0</v>
      </c>
      <c r="BY192" s="1017"/>
      <c r="BZ192" s="1002">
        <f>IF(BZ190=0,0,BZ191/BZ190)*100</f>
        <v>0</v>
      </c>
      <c r="CA192" s="1002">
        <f>IF(CA190=0,0,CA191/CA190)*100</f>
        <v>0</v>
      </c>
      <c r="CB192" s="1017"/>
      <c r="CC192" s="1002">
        <f>IF(CC190=0,0,CC191/CC190)*100</f>
        <v>0</v>
      </c>
      <c r="CD192" s="1002">
        <f>IF(CD190=0,0,CD191/CD190)*100</f>
        <v>0</v>
      </c>
      <c r="CE192" s="1017"/>
      <c r="CF192" s="1002">
        <f>IF(CF190=0,0,CF191/CF190)*100</f>
        <v>0</v>
      </c>
      <c r="CG192" s="1002">
        <f>IF(CG190=0,0,CG191/CG190)*100</f>
        <v>0</v>
      </c>
      <c r="CH192" s="1017"/>
      <c r="CI192" s="1002">
        <f>IF(CI190=0,0,CI191/CI190)*100</f>
        <v>0</v>
      </c>
      <c r="CJ192" s="1002">
        <f>IF(CJ190=0,0,CJ191/CJ190)*100</f>
        <v>0</v>
      </c>
      <c r="CK192" s="1017"/>
      <c r="CL192" s="1002">
        <f>IF(CL190=0,0,CL191/CL190)*100</f>
        <v>0</v>
      </c>
      <c r="CM192" s="1002">
        <f>IF(CM190=0,0,CM191/CM190)*100</f>
        <v>0</v>
      </c>
      <c r="CN192" s="1017"/>
      <c r="CO192" s="1002">
        <f>IF(CO190=0,0,CO191/CO190)*100</f>
        <v>0</v>
      </c>
      <c r="CP192" s="1002">
        <f>IF(CP190=0,0,CP191/CP190)*100</f>
        <v>0</v>
      </c>
      <c r="CQ192" s="1017"/>
      <c r="CR192" s="1002">
        <f>IF(CR190=0,0,CR191/CR190)*100</f>
        <v>0</v>
      </c>
      <c r="CS192" s="1002">
        <f>IF(CS190=0,0,CS191/CS190)*100</f>
        <v>0</v>
      </c>
      <c r="CT192" s="1017"/>
      <c r="CU192" s="1002">
        <f>IF(CU190=0,0,CU191/CU190)*100</f>
        <v>0</v>
      </c>
      <c r="CV192" s="1002">
        <f>IF(CV190=0,0,CV191/CV190)*100</f>
        <v>0</v>
      </c>
      <c r="CW192" s="1017"/>
      <c r="CX192" s="1002">
        <f>IF(CX190=0,0,CX191/CX190)*100</f>
        <v>0</v>
      </c>
      <c r="CY192" s="1002">
        <f>IF(CY190=0,0,CY191/CY190)*100</f>
        <v>0</v>
      </c>
      <c r="CZ192" s="1017"/>
      <c r="DA192" s="1002">
        <f>IF(DA190=0,0,DA191/DA190)*100</f>
        <v>0</v>
      </c>
      <c r="DB192" s="1002">
        <f>IF(DB190=0,0,DB191/DB190)*100</f>
        <v>0</v>
      </c>
      <c r="DC192" s="1017"/>
      <c r="DD192" s="1002">
        <f>IF(DD190=0,0,DD191/DD190)*100</f>
        <v>0</v>
      </c>
      <c r="DE192" s="1002">
        <f>IF(DE190=0,0,DE191/DE190)*100</f>
        <v>0</v>
      </c>
      <c r="DF192" s="1017"/>
      <c r="DG192" s="1002">
        <f>IF(DG190=0,0,DG191/DG190)*100</f>
        <v>0</v>
      </c>
      <c r="DH192" s="1002">
        <f>IF(DH190=0,0,DH191/DH190)*100</f>
        <v>0</v>
      </c>
      <c r="DI192" s="1017"/>
      <c r="DJ192" s="1002">
        <f>IF(DJ190=0,0,DJ191/DJ190)*100</f>
        <v>0</v>
      </c>
      <c r="DK192" s="1002">
        <f>IF(DK190=0,0,DK191/DK190)*100</f>
        <v>0</v>
      </c>
      <c r="DL192" s="1017"/>
      <c r="DM192" s="1002">
        <f>IF(DM190=0,0,DM191/DM190)*100</f>
        <v>0</v>
      </c>
      <c r="DN192" s="1002">
        <f>IF(DN190=0,0,DN191/DN190)*100</f>
        <v>0</v>
      </c>
      <c r="DO192" s="1017"/>
      <c r="DP192" s="1002">
        <f>IF(DP190=0,0,DP191/DP190)*100</f>
        <v>0</v>
      </c>
      <c r="DQ192" s="1002">
        <f>IF(DQ190=0,0,DQ191/DQ190)*100</f>
        <v>0</v>
      </c>
      <c r="DR192" s="1017"/>
      <c r="DS192" s="1002">
        <f>IF(DS190=0,0,DS191/DS190)*100</f>
        <v>0</v>
      </c>
      <c r="DT192" s="1002">
        <f>IF(DT190=0,0,DT191/DT190)*100</f>
        <v>0</v>
      </c>
      <c r="DU192" s="1017"/>
      <c r="DV192" s="1002">
        <f>IF(DV190=0,0,DV191/DV190)*100</f>
        <v>0</v>
      </c>
      <c r="DW192" s="1002">
        <f>IF(DW190=0,0,DW191/DW190)*100</f>
        <v>0</v>
      </c>
      <c r="DX192" s="1017"/>
      <c r="DY192" s="1002">
        <f>IF(DY190=0,0,DY191/DY190)*100</f>
        <v>0</v>
      </c>
      <c r="DZ192" s="1002">
        <f>IF(DZ190=0,0,DZ191/DZ190)*100</f>
        <v>0</v>
      </c>
      <c r="EA192" s="1017"/>
      <c r="EB192" s="1002">
        <f>IF(EB190=0,0,EB191/EB190)*100</f>
        <v>0</v>
      </c>
      <c r="EC192" s="1002">
        <f>IF(EC190=0,0,EC191/EC190)*100</f>
        <v>0</v>
      </c>
      <c r="ED192" s="1017"/>
      <c r="EE192" s="1002">
        <f>IF(EE190=0,0,EE191/EE190)*100</f>
        <v>0</v>
      </c>
      <c r="EF192" s="1002">
        <f>IF(EF190=0,0,EF191/EF190)*100</f>
        <v>0</v>
      </c>
      <c r="EG192" s="1017"/>
      <c r="EH192" s="1002">
        <f>IF(EH190=0,0,EH191/EH190)*100</f>
        <v>0</v>
      </c>
      <c r="EI192" s="1002">
        <f>IF(EI190=0,0,EI191/EI190)*100</f>
        <v>0</v>
      </c>
      <c r="EJ192" s="1017"/>
      <c r="EK192" s="1002">
        <f>IF(EK190=0,0,EK191/EK190)*100</f>
        <v>0</v>
      </c>
      <c r="EL192" s="1002">
        <f>IF(EL190=0,0,EL191/EL190)*100</f>
        <v>0</v>
      </c>
      <c r="EM192" s="1017"/>
      <c r="EN192" s="1002">
        <f>IF(EN190=0,0,EN191/EN190)*100</f>
        <v>0</v>
      </c>
      <c r="EO192" s="1002">
        <f>IF(EO190=0,0,EO191/EO190)*100</f>
        <v>0</v>
      </c>
      <c r="EP192" s="1017"/>
      <c r="EQ192" s="1002">
        <f>IF(EQ190=0,0,EQ191/EQ190)*100</f>
        <v>0</v>
      </c>
      <c r="ER192" s="1002">
        <f>IF(ER190=0,0,ER191/ER190)*100</f>
        <v>0</v>
      </c>
      <c r="ES192" s="1017"/>
      <c r="ET192" s="1002">
        <f>IF(ET190=0,0,ET191/ET190)*100</f>
        <v>0</v>
      </c>
      <c r="EU192" s="1002">
        <f>IF(EU190=0,0,EU191/EU190)*100</f>
        <v>0</v>
      </c>
      <c r="EV192" s="1017"/>
      <c r="EW192" s="1002">
        <f>IF(EW190=0,0,EW191/EW190)*100</f>
        <v>0</v>
      </c>
      <c r="EX192" s="1002">
        <f>IF(EX190=0,0,EX191/EX190)*100</f>
        <v>0</v>
      </c>
      <c r="EY192" s="1017"/>
      <c r="EZ192" s="1002">
        <f>IF(EZ190=0,0,EZ191/EZ190)*100</f>
        <v>0</v>
      </c>
      <c r="FA192" s="1002">
        <f>IF(FA190=0,0,FA191/FA190)*100</f>
        <v>0</v>
      </c>
      <c r="FB192" s="1017"/>
      <c r="FC192" s="1002">
        <f>IF(FC190=0,0,FC191/FC190)*100</f>
        <v>0</v>
      </c>
      <c r="FD192" s="1002">
        <f>IF(FD190=0,0,FD191/FD190)*100</f>
        <v>0</v>
      </c>
      <c r="FE192" s="1017"/>
      <c r="FF192" s="1002">
        <f>IF(FF190=0,0,FF191/FF190)*100</f>
        <v>0</v>
      </c>
      <c r="FG192" s="1002">
        <f>IF(FG190=0,0,FG191/FG190)*100</f>
        <v>0</v>
      </c>
      <c r="FH192" s="1017"/>
      <c r="FI192" s="1002">
        <f>IF(FI190=0,0,FI191/FI190)*100</f>
        <v>0</v>
      </c>
      <c r="FJ192" s="1002">
        <f>IF(FJ190=0,0,FJ191/FJ190)*100</f>
        <v>0</v>
      </c>
      <c r="FK192" s="1017"/>
      <c r="FL192" s="1002">
        <f>IF(FL190=0,0,FL191/FL190)*100</f>
        <v>0</v>
      </c>
      <c r="FM192" s="1002">
        <f>IF(FM190=0,0,FM191/FM190)*100</f>
        <v>0</v>
      </c>
      <c r="FN192" s="1017"/>
      <c r="FO192" s="1002">
        <f>IF(FO190=0,0,FO191/FO190)*100</f>
        <v>0</v>
      </c>
      <c r="FP192" s="1002">
        <f>IF(FP190=0,0,FP191/FP190)*100</f>
        <v>0</v>
      </c>
      <c r="FQ192" s="1017"/>
      <c r="FR192" s="1002">
        <f>IF(FR190=0,0,FR191/FR190)*100</f>
        <v>0</v>
      </c>
      <c r="FS192" s="1002">
        <f>IF(FS190=0,0,FS191/FS190)*100</f>
        <v>0</v>
      </c>
      <c r="FT192" s="1017"/>
      <c r="FU192" s="1002">
        <f>IF(FU190=0,0,FU191/FU190)*100</f>
        <v>0</v>
      </c>
      <c r="FV192" s="1002">
        <f>IF(FV190=0,0,FV191/FV190)*100</f>
        <v>0</v>
      </c>
      <c r="FW192" s="1018"/>
      <c r="FX192" s="210"/>
      <c r="FY192" s="1214"/>
      <c r="FZ192" s="964" t="s">
        <v>1668</v>
      </c>
      <c r="GA192" s="1216"/>
      <c r="GB192" s="1216"/>
      <c r="GC192" s="1215"/>
      <c r="GD192" s="1215"/>
    </row>
    <row r="193" spans="1:186" s="1334" customFormat="1" ht="14.25" hidden="1" customHeight="1" x14ac:dyDescent="0.15">
      <c r="A193" s="416"/>
      <c r="B193" s="837" t="b" cm="1">
        <f t="array" ref="B193">B192</f>
        <v>0</v>
      </c>
      <c r="C193" s="416"/>
      <c r="D193" s="416"/>
      <c r="E193" s="759">
        <v>15</v>
      </c>
      <c r="F193" s="3" t="str" cm="1">
        <f t="array" aca="1" ref="F193" ca="1">OFFSET(E193,-1,1)</f>
        <v>2</v>
      </c>
      <c r="G193" s="26" t="s">
        <v>1597</v>
      </c>
      <c r="H193" s="416"/>
      <c r="I193" s="416"/>
      <c r="J193" s="416"/>
      <c r="K193" s="416"/>
      <c r="L193" s="416"/>
      <c r="M193" s="416"/>
      <c r="N193" s="416"/>
      <c r="O193" s="416"/>
      <c r="P193" s="416"/>
      <c r="Q193" s="416"/>
      <c r="R193" s="416"/>
      <c r="S193" s="416"/>
      <c r="T193" s="388" t="b" cm="1">
        <f t="array" aca="1" ref="T193" ca="1">T192</f>
        <v>1</v>
      </c>
      <c r="U193" s="416"/>
      <c r="V193" s="416"/>
      <c r="W193" s="416"/>
      <c r="X193" s="2066"/>
      <c r="Y193" s="416"/>
      <c r="Z193" s="2011"/>
      <c r="AA193" s="416"/>
      <c r="AB193" s="816" t="s">
        <v>1598</v>
      </c>
      <c r="AC193" s="783" t="s">
        <v>563</v>
      </c>
      <c r="AD193" s="1443">
        <f ca="1">IF(AND(method_reg="Метод индексации",god&lt;&gt;first_year),SUMIFS(INDEX('Калькуляция (МИ корр)'!$AJ$25:$BC$459,,MATCH(AD$8,'Калькуляция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(МИ)'!$AJ$25:$BC$459,,MATCH(AD$8,'Калькуляция (МИ)'!$AJ$8:$BC$8,0)),'Калькуляция (МИ)'!$F$25:$F$459,$F193,'Калькуляция (МИ)'!$G$25:$G$459,$G193))))</f>
        <v>2636.9479999999999</v>
      </c>
      <c r="AE193" s="1443">
        <f ca="1">IF(AND(method_reg="Метод индексации",god&lt;&gt;first_year),SUMIFS(INDEX('Калькуляция (МИ корр)'!$AJ$25:$BC$459,,MATCH(AE$8,'Калькуляция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(МИ)'!$AJ$25:$BC$459,,MATCH(AE$8,'Калькуляция (МИ)'!$AJ$8:$BC$8,0)),'Калькуляция (МИ)'!$F$25:$F$459,$F193,'Калькуляция (МИ)'!$G$25:$G$459,$G193))))</f>
        <v>2451.4411899999996</v>
      </c>
      <c r="AF193" s="1005">
        <f ca="1">IF(AD193=0,0,(AE193-AD193)/AD193*100)</f>
        <v>-7.0349058836200156</v>
      </c>
      <c r="AG193" s="1443">
        <f ca="1">IF(AND(method_reg="Метод индексации",god&lt;&gt;first_year),SUMIFS(INDEX('Калькуляция (МИ корр)'!$AJ$25:$BC$459,,MATCH(AG$8,'Калькуляция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(МИ)'!$AJ$25:$BC$459,,MATCH(AG$8,'Калькуляция (МИ)'!$AJ$8:$BC$8,0)),'Калькуляция (МИ)'!$F$25:$F$459,$F193,'Калькуляция (МИ)'!$G$25:$G$459,$G193))))</f>
        <v>0</v>
      </c>
      <c r="AH193" s="1443">
        <f ca="1">IF(AND(method_reg="Метод индексации",god&lt;&gt;first_year),SUMIFS(INDEX('Калькуляция (МИ корр)'!$AJ$25:$BC$459,,MATCH(AH$8,'Калькуляция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(МИ)'!$AJ$25:$BC$459,,MATCH(AH$8,'Калькуляция (МИ)'!$AJ$8:$BC$8,0)),'Калькуляция (МИ)'!$F$25:$F$459,$F193,'Калькуляция (МИ)'!$G$25:$G$459,$G193))))</f>
        <v>0</v>
      </c>
      <c r="AI193" s="1005">
        <f ca="1">IF(AG193=0,0,(AH193-AG193)/AG193*100)</f>
        <v>0</v>
      </c>
      <c r="AJ193" s="1443">
        <f ca="1">IF(AND(method_reg="Метод индексации",god&lt;&gt;first_year),SUMIFS(INDEX('Калькуляция (МИ корр)'!$AJ$25:$BC$459,,MATCH(AJ$8,'Калькуляция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(МИ)'!$AJ$25:$BC$459,,MATCH(AJ$8,'Калькуляция (МИ)'!$AJ$8:$BC$8,0)),'Калькуляция (МИ)'!$F$25:$F$459,$F193,'Калькуляция (МИ)'!$G$25:$G$459,$G193))))</f>
        <v>0</v>
      </c>
      <c r="AK193" s="1443">
        <f ca="1">IF(AND(method_reg="Метод индексации",god&lt;&gt;first_year),SUMIFS(INDEX('Калькуляция (МИ корр)'!$AJ$25:$BC$459,,MATCH(AK$8,'Калькуляция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(МИ)'!$AJ$25:$BC$459,,MATCH(AK$8,'Калькуляция (МИ)'!$AJ$8:$BC$8,0)),'Калькуляция (МИ)'!$F$25:$F$459,$F193,'Калькуляция (МИ)'!$G$25:$G$459,$G193))))</f>
        <v>0</v>
      </c>
      <c r="AL193" s="1005">
        <f ca="1">IF(AJ193=0,0,(AK193-AJ193)/AJ193*100)</f>
        <v>0</v>
      </c>
      <c r="AM193" s="1443">
        <f ca="1">IF(AND(method_reg="Метод индексации",god&lt;&gt;first_year),SUMIFS(INDEX('Калькуляция (МИ корр)'!$AJ$25:$BC$459,,MATCH(AM$8,'Калькуляция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(МИ)'!$AJ$25:$BC$459,,MATCH(AM$8,'Калькуляция (МИ)'!$AJ$8:$BC$8,0)),'Калькуляция (МИ)'!$F$25:$F$459,$F193,'Калькуляция (МИ)'!$G$25:$G$459,$G193))))</f>
        <v>0</v>
      </c>
      <c r="AN193" s="1443">
        <f ca="1">IF(AND(method_reg="Метод индексации",god&lt;&gt;first_year),SUMIFS(INDEX('Калькуляция (МИ корр)'!$AJ$25:$BC$459,,MATCH(AN$8,'Калькуляция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(МИ)'!$AJ$25:$BC$459,,MATCH(AN$8,'Калькуляция (МИ)'!$AJ$8:$BC$8,0)),'Калькуляция (МИ)'!$F$25:$F$459,$F193,'Калькуляция (МИ)'!$G$25:$G$459,$G193))))</f>
        <v>0</v>
      </c>
      <c r="AO193" s="1005">
        <f ca="1">IF(AM193=0,0,(AN193-AM193)/AM193*100)</f>
        <v>0</v>
      </c>
      <c r="AP193" s="1443">
        <f ca="1">IF(AND(method_reg="Метод индексации",god&lt;&gt;first_year),SUMIFS(INDEX('Калькуляция (МИ корр)'!$AJ$25:$BC$459,,MATCH(AP$8,'Калькуляция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(МИ)'!$AJ$25:$BC$459,,MATCH(AP$8,'Калькуляция (МИ)'!$AJ$8:$BC$8,0)),'Калькуляция (МИ)'!$F$25:$F$459,$F193,'Калькуляция (МИ)'!$G$25:$G$459,$G193))))</f>
        <v>0</v>
      </c>
      <c r="AQ193" s="1443">
        <f ca="1">IF(AND(method_reg="Метод индексации",god&lt;&gt;first_year),SUMIFS(INDEX('Калькуляция (МИ корр)'!$AJ$25:$BC$459,,MATCH(AQ$8,'Калькуляция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(МИ)'!$AJ$25:$BC$459,,MATCH(AQ$8,'Калькуляция (МИ)'!$AJ$8:$BC$8,0)),'Калькуляция (МИ)'!$F$25:$F$459,$F193,'Калькуляция (МИ)'!$G$25:$G$459,$G193))))</f>
        <v>0</v>
      </c>
      <c r="AR193" s="1005">
        <f ca="1">IF(AP193=0,0,(AQ193-AP193)/AP193*100)</f>
        <v>0</v>
      </c>
      <c r="AS193" s="1443">
        <f ca="1">IF(AND(method_reg="Метод индексации",god&lt;&gt;first_year),SUMIFS(INDEX('Калькуляция (МИ корр)'!$AJ$25:$BC$459,,MATCH(AS$8,'Калькуляция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(МИ)'!$AJ$25:$BC$459,,MATCH(AS$8,'Калькуляция (МИ)'!$AJ$8:$BC$8,0)),'Калькуляция (МИ)'!$F$25:$F$459,$F193,'Калькуляция (МИ)'!$G$25:$G$459,$G193))))</f>
        <v>0</v>
      </c>
      <c r="AT193" s="1443">
        <f ca="1">IF(AND(method_reg="Метод индексации",god&lt;&gt;first_year),SUMIFS(INDEX('Калькуляция (МИ корр)'!$AJ$25:$BC$459,,MATCH(AT$8,'Калькуляция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(МИ)'!$AJ$25:$BC$459,,MATCH(AT$8,'Калькуляция (МИ)'!$AJ$8:$BC$8,0)),'Калькуляция (МИ)'!$F$25:$F$459,$F193,'Калькуляция (МИ)'!$G$25:$G$459,$G193))))</f>
        <v>0</v>
      </c>
      <c r="AU193" s="1005">
        <f ca="1">IF(AS193=0,0,(AT193-AS193)/AS193*100)</f>
        <v>0</v>
      </c>
      <c r="AV193" s="1443">
        <f ca="1">IF(AND(method_reg="Метод индексации",god&lt;&gt;first_year),SUMIFS(INDEX('Калькуляция (МИ корр)'!$AJ$25:$BC$459,,MATCH(AV$8,'Калькуляция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(МИ)'!$AJ$25:$BC$459,,MATCH(AV$8,'Калькуляция (МИ)'!$AJ$8:$BC$8,0)),'Калькуляция (МИ)'!$F$25:$F$459,$F193,'Калькуляция (МИ)'!$G$25:$G$459,$G193))))</f>
        <v>0</v>
      </c>
      <c r="AW193" s="1443">
        <f ca="1">IF(AND(method_reg="Метод индексации",god&lt;&gt;first_year),SUMIFS(INDEX('Калькуляция (МИ корр)'!$AJ$25:$BC$459,,MATCH(AW$8,'Калькуляция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(МИ)'!$AJ$25:$BC$459,,MATCH(AW$8,'Калькуляция (МИ)'!$AJ$8:$BC$8,0)),'Калькуляция (МИ)'!$F$25:$F$459,$F193,'Калькуляция (МИ)'!$G$25:$G$459,$G193))))</f>
        <v>0</v>
      </c>
      <c r="AX193" s="1005">
        <f ca="1">IF(AV193=0,0,(AW193-AV193)/AV193*100)</f>
        <v>0</v>
      </c>
      <c r="AY193" s="1443">
        <f ca="1">IF(AND(method_reg="Метод индексации",god&lt;&gt;first_year),SUMIFS(INDEX('Калькуляция (МИ корр)'!$AJ$25:$BC$459,,MATCH(AY$8,'Калькуляция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(МИ)'!$AJ$25:$BC$459,,MATCH(AY$8,'Калькуляция (МИ)'!$AJ$8:$BC$8,0)),'Калькуляция (МИ)'!$F$25:$F$459,$F193,'Калькуляция (МИ)'!$G$25:$G$459,$G193))))</f>
        <v>0</v>
      </c>
      <c r="AZ193" s="1443">
        <f ca="1">IF(AND(method_reg="Метод индексации",god&lt;&gt;first_year),SUMIFS(INDEX('Калькуляция (МИ корр)'!$AJ$25:$BC$459,,MATCH(AZ$8,'Калькуляция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(МИ)'!$AJ$25:$BC$459,,MATCH(AZ$8,'Калькуляция (МИ)'!$AJ$8:$BC$8,0)),'Калькуляция (МИ)'!$F$25:$F$459,$F193,'Калькуляция (МИ)'!$G$25:$G$459,$G193))))</f>
        <v>0</v>
      </c>
      <c r="BA193" s="1005">
        <f ca="1">IF(AY193=0,0,(AZ193-AY193)/AY193*100)</f>
        <v>0</v>
      </c>
      <c r="BB193" s="1443">
        <f ca="1">IF(AND(method_reg="Метод индексации",god&lt;&gt;first_year),SUMIFS(INDEX('Калькуляция (МИ корр)'!$AJ$25:$BC$459,,MATCH(BB$8,'Калькуляция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(МИ)'!$AJ$25:$BC$459,,MATCH(BB$8,'Калькуляция (МИ)'!$AJ$8:$BC$8,0)),'Калькуляция (МИ)'!$F$25:$F$459,$F193,'Калькуляция (МИ)'!$G$25:$G$459,$G193))))</f>
        <v>0</v>
      </c>
      <c r="BC193" s="1443">
        <f ca="1">IF(AND(method_reg="Метод индексации",god&lt;&gt;first_year),SUMIFS(INDEX('Калькуляция (МИ корр)'!$AJ$25:$BC$459,,MATCH(BC$8,'Калькуляция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(МИ)'!$AJ$25:$BC$459,,MATCH(BC$8,'Калькуляция (МИ)'!$AJ$8:$BC$8,0)),'Калькуляция (МИ)'!$F$25:$F$459,$F193,'Калькуляция (МИ)'!$G$25:$G$459,$G193))))</f>
        <v>0</v>
      </c>
      <c r="BD193" s="1005">
        <f ca="1">IF(BB193=0,0,(BC193-BB193)/BB193*100)</f>
        <v>0</v>
      </c>
      <c r="BE193" s="1443">
        <f ca="1">IF(AND(method_reg="Метод индексации",god&lt;&gt;first_year),SUMIFS(INDEX('Калькуляция (МИ корр)'!$AJ$25:$BC$459,,MATCH(BE$8,'Калькуляция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(МИ)'!$AJ$25:$BC$459,,MATCH(BE$8,'Калькуляция (МИ)'!$AJ$8:$BC$8,0)),'Калькуляция (МИ)'!$F$25:$F$459,$F193,'Калькуляция (МИ)'!$G$25:$G$459,$G193))))</f>
        <v>0</v>
      </c>
      <c r="BF193" s="1443">
        <f ca="1">IF(AND(method_reg="Метод индексации",god&lt;&gt;first_year),SUMIFS(INDEX('Калькуляция (МИ корр)'!$AJ$25:$BC$459,,MATCH(BF$8,'Калькуляция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(МИ)'!$AJ$25:$BC$459,,MATCH(BF$8,'Калькуляция (МИ)'!$AJ$8:$BC$8,0)),'Калькуляция (МИ)'!$F$25:$F$459,$F193,'Калькуляция (МИ)'!$G$25:$G$459,$G193))))</f>
        <v>0</v>
      </c>
      <c r="BG193" s="1005">
        <f ca="1">IF(BE193=0,0,(BF193-BE193)/BE193*100)</f>
        <v>0</v>
      </c>
      <c r="BH193" s="1443"/>
      <c r="BI193" s="1443"/>
      <c r="BJ193" s="1005">
        <f>IF(BH193=0,0,(BI193-BH193)/BH193*100)</f>
        <v>0</v>
      </c>
      <c r="BK193" s="1443"/>
      <c r="BL193" s="1443"/>
      <c r="BM193" s="1005">
        <f>IF(BK193=0,0,(BL193-BK193)/BK193*100)</f>
        <v>0</v>
      </c>
      <c r="BN193" s="1443"/>
      <c r="BO193" s="1443"/>
      <c r="BP193" s="1005">
        <f>IF(BN193=0,0,(BO193-BN193)/BN193*100)</f>
        <v>0</v>
      </c>
      <c r="BQ193" s="1443"/>
      <c r="BR193" s="1443"/>
      <c r="BS193" s="1005">
        <f>IF(BQ193=0,0,(BR193-BQ193)/BQ193*100)</f>
        <v>0</v>
      </c>
      <c r="BT193" s="1443"/>
      <c r="BU193" s="1443"/>
      <c r="BV193" s="1005">
        <f>IF(BT193=0,0,(BU193-BT193)/BT193*100)</f>
        <v>0</v>
      </c>
      <c r="BW193" s="1443"/>
      <c r="BX193" s="1443"/>
      <c r="BY193" s="1005">
        <f>IF(BW193=0,0,(BX193-BW193)/BW193*100)</f>
        <v>0</v>
      </c>
      <c r="BZ193" s="1443"/>
      <c r="CA193" s="1443"/>
      <c r="CB193" s="1005">
        <f>IF(BZ193=0,0,(CA193-BZ193)/BZ193*100)</f>
        <v>0</v>
      </c>
      <c r="CC193" s="1443"/>
      <c r="CD193" s="1443"/>
      <c r="CE193" s="1005">
        <f>IF(CC193=0,0,(CD193-CC193)/CC193*100)</f>
        <v>0</v>
      </c>
      <c r="CF193" s="1443"/>
      <c r="CG193" s="1443"/>
      <c r="CH193" s="1005">
        <f>IF(CF193=0,0,(CG193-CF193)/CF193*100)</f>
        <v>0</v>
      </c>
      <c r="CI193" s="1443"/>
      <c r="CJ193" s="1443"/>
      <c r="CK193" s="1005">
        <f>IF(CI193=0,0,(CJ193-CI193)/CI193*100)</f>
        <v>0</v>
      </c>
      <c r="CL193" s="1443"/>
      <c r="CM193" s="1443"/>
      <c r="CN193" s="1005">
        <f>IF(CL193=0,0,(CM193-CL193)/CL193*100)</f>
        <v>0</v>
      </c>
      <c r="CO193" s="1443"/>
      <c r="CP193" s="1443"/>
      <c r="CQ193" s="1005">
        <f>IF(CO193=0,0,(CP193-CO193)/CO193*100)</f>
        <v>0</v>
      </c>
      <c r="CR193" s="1443"/>
      <c r="CS193" s="1443"/>
      <c r="CT193" s="1005">
        <f>IF(CR193=0,0,(CS193-CR193)/CR193*100)</f>
        <v>0</v>
      </c>
      <c r="CU193" s="1443"/>
      <c r="CV193" s="1443"/>
      <c r="CW193" s="1005">
        <f>IF(CU193=0,0,(CV193-CU193)/CU193*100)</f>
        <v>0</v>
      </c>
      <c r="CX193" s="1443"/>
      <c r="CY193" s="1443"/>
      <c r="CZ193" s="1005">
        <f>IF(CX193=0,0,(CY193-CX193)/CX193*100)</f>
        <v>0</v>
      </c>
      <c r="DA193" s="1443"/>
      <c r="DB193" s="1443"/>
      <c r="DC193" s="1005">
        <f>IF(DA193=0,0,(DB193-DA193)/DA193*100)</f>
        <v>0</v>
      </c>
      <c r="DD193" s="1443"/>
      <c r="DE193" s="1443"/>
      <c r="DF193" s="1005">
        <f>IF(DD193=0,0,(DE193-DD193)/DD193*100)</f>
        <v>0</v>
      </c>
      <c r="DG193" s="1443"/>
      <c r="DH193" s="1443"/>
      <c r="DI193" s="1005">
        <f>IF(DG193=0,0,(DH193-DG193)/DG193*100)</f>
        <v>0</v>
      </c>
      <c r="DJ193" s="1443"/>
      <c r="DK193" s="1443"/>
      <c r="DL193" s="1005">
        <f>IF(DJ193=0,0,(DK193-DJ193)/DJ193*100)</f>
        <v>0</v>
      </c>
      <c r="DM193" s="1443"/>
      <c r="DN193" s="1443"/>
      <c r="DO193" s="1005">
        <f>IF(DM193=0,0,(DN193-DM193)/DM193*100)</f>
        <v>0</v>
      </c>
      <c r="DP193" s="1443"/>
      <c r="DQ193" s="1443"/>
      <c r="DR193" s="1005">
        <f>IF(DP193=0,0,(DQ193-DP193)/DP193*100)</f>
        <v>0</v>
      </c>
      <c r="DS193" s="1443"/>
      <c r="DT193" s="1443"/>
      <c r="DU193" s="1005">
        <f>IF(DS193=0,0,(DT193-DS193)/DS193*100)</f>
        <v>0</v>
      </c>
      <c r="DV193" s="1443"/>
      <c r="DW193" s="1443"/>
      <c r="DX193" s="1005">
        <f>IF(DV193=0,0,(DW193-DV193)/DV193*100)</f>
        <v>0</v>
      </c>
      <c r="DY193" s="1443"/>
      <c r="DZ193" s="1443"/>
      <c r="EA193" s="1005">
        <f>IF(DY193=0,0,(DZ193-DY193)/DY193*100)</f>
        <v>0</v>
      </c>
      <c r="EB193" s="1443"/>
      <c r="EC193" s="1443"/>
      <c r="ED193" s="1005">
        <f>IF(EB193=0,0,(EC193-EB193)/EB193*100)</f>
        <v>0</v>
      </c>
      <c r="EE193" s="1443"/>
      <c r="EF193" s="1443"/>
      <c r="EG193" s="1005">
        <f>IF(EE193=0,0,(EF193-EE193)/EE193*100)</f>
        <v>0</v>
      </c>
      <c r="EH193" s="1443"/>
      <c r="EI193" s="1443"/>
      <c r="EJ193" s="1005">
        <f>IF(EH193=0,0,(EI193-EH193)/EH193*100)</f>
        <v>0</v>
      </c>
      <c r="EK193" s="1443"/>
      <c r="EL193" s="1443"/>
      <c r="EM193" s="1005">
        <f>IF(EK193=0,0,(EL193-EK193)/EK193*100)</f>
        <v>0</v>
      </c>
      <c r="EN193" s="1443"/>
      <c r="EO193" s="1443"/>
      <c r="EP193" s="1005">
        <f>IF(EN193=0,0,(EO193-EN193)/EN193*100)</f>
        <v>0</v>
      </c>
      <c r="EQ193" s="1443"/>
      <c r="ER193" s="1443"/>
      <c r="ES193" s="1005">
        <f>IF(EQ193=0,0,(ER193-EQ193)/EQ193*100)</f>
        <v>0</v>
      </c>
      <c r="ET193" s="1443"/>
      <c r="EU193" s="1443"/>
      <c r="EV193" s="1005">
        <f>IF(ET193=0,0,(EU193-ET193)/ET193*100)</f>
        <v>0</v>
      </c>
      <c r="EW193" s="1443"/>
      <c r="EX193" s="1443"/>
      <c r="EY193" s="1005">
        <f>IF(EW193=0,0,(EX193-EW193)/EW193*100)</f>
        <v>0</v>
      </c>
      <c r="EZ193" s="1443"/>
      <c r="FA193" s="1443"/>
      <c r="FB193" s="1005">
        <f>IF(EZ193=0,0,(FA193-EZ193)/EZ193*100)</f>
        <v>0</v>
      </c>
      <c r="FC193" s="1443"/>
      <c r="FD193" s="1443"/>
      <c r="FE193" s="1005">
        <f>IF(FC193=0,0,(FD193-FC193)/FC193*100)</f>
        <v>0</v>
      </c>
      <c r="FF193" s="1443"/>
      <c r="FG193" s="1443"/>
      <c r="FH193" s="1005">
        <f>IF(FF193=0,0,(FG193-FF193)/FF193*100)</f>
        <v>0</v>
      </c>
      <c r="FI193" s="1443"/>
      <c r="FJ193" s="1443"/>
      <c r="FK193" s="1005">
        <f>IF(FI193=0,0,(FJ193-FI193)/FI193*100)</f>
        <v>0</v>
      </c>
      <c r="FL193" s="1443"/>
      <c r="FM193" s="1443"/>
      <c r="FN193" s="1005">
        <f>IF(FL193=0,0,(FM193-FL193)/FL193*100)</f>
        <v>0</v>
      </c>
      <c r="FO193" s="1443"/>
      <c r="FP193" s="1443"/>
      <c r="FQ193" s="1005">
        <f>IF(FO193=0,0,(FP193-FO193)/FO193*100)</f>
        <v>0</v>
      </c>
      <c r="FR193" s="1443"/>
      <c r="FS193" s="1443"/>
      <c r="FT193" s="1005">
        <f>IF(FR193=0,0,(FS193-FR193)/FR193*100)</f>
        <v>0</v>
      </c>
      <c r="FU193" s="1443"/>
      <c r="FV193" s="1443"/>
      <c r="FW193" s="1005">
        <f>IF(FU193=0,0,(FV193-FU193)/FU193*100)</f>
        <v>0</v>
      </c>
      <c r="FX193" s="210"/>
      <c r="FY193" s="1214"/>
      <c r="FZ193" s="964" t="s">
        <v>1669</v>
      </c>
      <c r="GA193" s="1216"/>
      <c r="GB193" s="1216"/>
      <c r="GC193" s="1215"/>
      <c r="GD193" s="1215"/>
    </row>
    <row r="194" spans="1:186" s="1334" customFormat="1" ht="18" hidden="1" customHeight="1" x14ac:dyDescent="0.15">
      <c r="A194" s="416"/>
      <c r="B194" s="837" t="b" cm="1">
        <f t="array" ref="B194">B193</f>
        <v>0</v>
      </c>
      <c r="C194" s="416"/>
      <c r="D194" s="416"/>
      <c r="E194" s="759">
        <v>18.75</v>
      </c>
      <c r="F194" s="3" t="str" cm="1">
        <f t="array" aca="1" ref="F194" ca="1">OFFSET(E194,-1,1)</f>
        <v>2</v>
      </c>
      <c r="G194" s="416"/>
      <c r="H194" s="416" t="s">
        <v>494</v>
      </c>
      <c r="I194" s="416" cm="1">
        <f t="array" ref="I194">AB194</f>
        <v>0</v>
      </c>
      <c r="J194" s="416"/>
      <c r="K194" s="416"/>
      <c r="L194" s="416"/>
      <c r="M194" s="416"/>
      <c r="N194" s="416"/>
      <c r="O194" s="416"/>
      <c r="P194" s="416"/>
      <c r="Q194" s="416"/>
      <c r="R194" s="416"/>
      <c r="S194" s="416"/>
      <c r="T194" s="388" t="b">
        <f ca="1">AND(F194&gt;0,Y194&gt;0)</f>
        <v>0</v>
      </c>
      <c r="U194" s="416"/>
      <c r="V194" s="416"/>
      <c r="W194" s="416" t="s">
        <v>172</v>
      </c>
      <c r="X194" s="2066"/>
      <c r="Y194" s="416">
        <v>0</v>
      </c>
      <c r="Z194" s="2011"/>
      <c r="AA194" s="586" t="s">
        <v>173</v>
      </c>
      <c r="AB194" s="1448"/>
      <c r="AC194" s="783" t="s">
        <v>1588</v>
      </c>
      <c r="AD194" s="1445"/>
      <c r="AE194" s="1446"/>
      <c r="AF194" s="1003">
        <f>IF(AD194=0,0,(AE194-AD194)/AD194*100)</f>
        <v>0</v>
      </c>
      <c r="AG194" s="1446"/>
      <c r="AH194" s="1446"/>
      <c r="AI194" s="1003">
        <f>IF(AG194=0,0,(AH194-AG194)/AG194*100)</f>
        <v>0</v>
      </c>
      <c r="AJ194" s="1446"/>
      <c r="AK194" s="1446"/>
      <c r="AL194" s="1003">
        <f>IF(AJ194=0,0,(AK194-AJ194)/AJ194*100)</f>
        <v>0</v>
      </c>
      <c r="AM194" s="1446"/>
      <c r="AN194" s="1446"/>
      <c r="AO194" s="1003">
        <f>IF(AM194=0,0,(AN194-AM194)/AM194*100)</f>
        <v>0</v>
      </c>
      <c r="AP194" s="1446"/>
      <c r="AQ194" s="1446"/>
      <c r="AR194" s="1003">
        <f>IF(AP194=0,0,(AQ194-AP194)/AP194*100)</f>
        <v>0</v>
      </c>
      <c r="AS194" s="1446"/>
      <c r="AT194" s="1446"/>
      <c r="AU194" s="1003">
        <f>IF(AS194=0,0,(AT194-AS194)/AS194*100)</f>
        <v>0</v>
      </c>
      <c r="AV194" s="1446"/>
      <c r="AW194" s="1446"/>
      <c r="AX194" s="1003">
        <f>IF(AV194=0,0,(AW194-AV194)/AV194*100)</f>
        <v>0</v>
      </c>
      <c r="AY194" s="1446"/>
      <c r="AZ194" s="1446"/>
      <c r="BA194" s="1003">
        <f>IF(AY194=0,0,(AZ194-AY194)/AY194*100)</f>
        <v>0</v>
      </c>
      <c r="BB194" s="1446"/>
      <c r="BC194" s="1446"/>
      <c r="BD194" s="1003">
        <f>IF(BB194=0,0,(BC194-BB194)/BB194*100)</f>
        <v>0</v>
      </c>
      <c r="BE194" s="1446"/>
      <c r="BF194" s="1446"/>
      <c r="BG194" s="1003">
        <f>IF(BE194=0,0,(BF194-BE194)/BE194*100)</f>
        <v>0</v>
      </c>
      <c r="BH194" s="1446"/>
      <c r="BI194" s="1446"/>
      <c r="BJ194" s="1003">
        <f>IF(BH194=0,0,(BI194-BH194)/BH194*100)</f>
        <v>0</v>
      </c>
      <c r="BK194" s="1446"/>
      <c r="BL194" s="1446"/>
      <c r="BM194" s="1003">
        <f>IF(BK194=0,0,(BL194-BK194)/BK194*100)</f>
        <v>0</v>
      </c>
      <c r="BN194" s="1446"/>
      <c r="BO194" s="1446"/>
      <c r="BP194" s="1003">
        <f>IF(BN194=0,0,(BO194-BN194)/BN194*100)</f>
        <v>0</v>
      </c>
      <c r="BQ194" s="1446"/>
      <c r="BR194" s="1446"/>
      <c r="BS194" s="1003">
        <f>IF(BQ194=0,0,(BR194-BQ194)/BQ194*100)</f>
        <v>0</v>
      </c>
      <c r="BT194" s="1446"/>
      <c r="BU194" s="1446"/>
      <c r="BV194" s="1003">
        <f>IF(BT194=0,0,(BU194-BT194)/BT194*100)</f>
        <v>0</v>
      </c>
      <c r="BW194" s="1446"/>
      <c r="BX194" s="1446"/>
      <c r="BY194" s="1003">
        <f>IF(BW194=0,0,(BX194-BW194)/BW194*100)</f>
        <v>0</v>
      </c>
      <c r="BZ194" s="1446"/>
      <c r="CA194" s="1446"/>
      <c r="CB194" s="1003">
        <f>IF(BZ194=0,0,(CA194-BZ194)/BZ194*100)</f>
        <v>0</v>
      </c>
      <c r="CC194" s="1446"/>
      <c r="CD194" s="1446"/>
      <c r="CE194" s="1003">
        <f>IF(CC194=0,0,(CD194-CC194)/CC194*100)</f>
        <v>0</v>
      </c>
      <c r="CF194" s="1446"/>
      <c r="CG194" s="1446"/>
      <c r="CH194" s="1003">
        <f>IF(CF194=0,0,(CG194-CF194)/CF194*100)</f>
        <v>0</v>
      </c>
      <c r="CI194" s="1446"/>
      <c r="CJ194" s="1446"/>
      <c r="CK194" s="1003">
        <f>IF(CI194=0,0,(CJ194-CI194)/CI194*100)</f>
        <v>0</v>
      </c>
      <c r="CL194" s="1446"/>
      <c r="CM194" s="1446"/>
      <c r="CN194" s="1003">
        <f>IF(CL194=0,0,(CM194-CL194)/CL194*100)</f>
        <v>0</v>
      </c>
      <c r="CO194" s="1446"/>
      <c r="CP194" s="1446"/>
      <c r="CQ194" s="1003">
        <f>IF(CO194=0,0,(CP194-CO194)/CO194*100)</f>
        <v>0</v>
      </c>
      <c r="CR194" s="1446"/>
      <c r="CS194" s="1446"/>
      <c r="CT194" s="1003">
        <f>IF(CR194=0,0,(CS194-CR194)/CR194*100)</f>
        <v>0</v>
      </c>
      <c r="CU194" s="1446"/>
      <c r="CV194" s="1446"/>
      <c r="CW194" s="1003">
        <f>IF(CU194=0,0,(CV194-CU194)/CU194*100)</f>
        <v>0</v>
      </c>
      <c r="CX194" s="1446"/>
      <c r="CY194" s="1446"/>
      <c r="CZ194" s="1003">
        <f>IF(CX194=0,0,(CY194-CX194)/CX194*100)</f>
        <v>0</v>
      </c>
      <c r="DA194" s="1446"/>
      <c r="DB194" s="1446"/>
      <c r="DC194" s="1003">
        <f>IF(DA194=0,0,(DB194-DA194)/DA194*100)</f>
        <v>0</v>
      </c>
      <c r="DD194" s="1446"/>
      <c r="DE194" s="1446"/>
      <c r="DF194" s="1003">
        <f>IF(DD194=0,0,(DE194-DD194)/DD194*100)</f>
        <v>0</v>
      </c>
      <c r="DG194" s="1446"/>
      <c r="DH194" s="1446"/>
      <c r="DI194" s="1003">
        <f>IF(DG194=0,0,(DH194-DG194)/DG194*100)</f>
        <v>0</v>
      </c>
      <c r="DJ194" s="1446"/>
      <c r="DK194" s="1446"/>
      <c r="DL194" s="1003">
        <f>IF(DJ194=0,0,(DK194-DJ194)/DJ194*100)</f>
        <v>0</v>
      </c>
      <c r="DM194" s="1446"/>
      <c r="DN194" s="1446"/>
      <c r="DO194" s="1003">
        <f>IF(DM194=0,0,(DN194-DM194)/DM194*100)</f>
        <v>0</v>
      </c>
      <c r="DP194" s="1446"/>
      <c r="DQ194" s="1446"/>
      <c r="DR194" s="1003">
        <f>IF(DP194=0,0,(DQ194-DP194)/DP194*100)</f>
        <v>0</v>
      </c>
      <c r="DS194" s="1446"/>
      <c r="DT194" s="1446"/>
      <c r="DU194" s="1003">
        <f>IF(DS194=0,0,(DT194-DS194)/DS194*100)</f>
        <v>0</v>
      </c>
      <c r="DV194" s="1446"/>
      <c r="DW194" s="1446"/>
      <c r="DX194" s="1003">
        <f>IF(DV194=0,0,(DW194-DV194)/DV194*100)</f>
        <v>0</v>
      </c>
      <c r="DY194" s="1446"/>
      <c r="DZ194" s="1446"/>
      <c r="EA194" s="1003">
        <f>IF(DY194=0,0,(DZ194-DY194)/DY194*100)</f>
        <v>0</v>
      </c>
      <c r="EB194" s="1446"/>
      <c r="EC194" s="1446"/>
      <c r="ED194" s="1003">
        <f>IF(EB194=0,0,(EC194-EB194)/EB194*100)</f>
        <v>0</v>
      </c>
      <c r="EE194" s="1446"/>
      <c r="EF194" s="1446"/>
      <c r="EG194" s="1003">
        <f>IF(EE194=0,0,(EF194-EE194)/EE194*100)</f>
        <v>0</v>
      </c>
      <c r="EH194" s="1446"/>
      <c r="EI194" s="1446"/>
      <c r="EJ194" s="1003">
        <f>IF(EH194=0,0,(EI194-EH194)/EH194*100)</f>
        <v>0</v>
      </c>
      <c r="EK194" s="1446"/>
      <c r="EL194" s="1446"/>
      <c r="EM194" s="1003">
        <f>IF(EK194=0,0,(EL194-EK194)/EK194*100)</f>
        <v>0</v>
      </c>
      <c r="EN194" s="1446"/>
      <c r="EO194" s="1446"/>
      <c r="EP194" s="1003">
        <f>IF(EN194=0,0,(EO194-EN194)/EN194*100)</f>
        <v>0</v>
      </c>
      <c r="EQ194" s="1446"/>
      <c r="ER194" s="1446"/>
      <c r="ES194" s="1003">
        <f>IF(EQ194=0,0,(ER194-EQ194)/EQ194*100)</f>
        <v>0</v>
      </c>
      <c r="ET194" s="1446"/>
      <c r="EU194" s="1446"/>
      <c r="EV194" s="1003">
        <f>IF(ET194=0,0,(EU194-ET194)/ET194*100)</f>
        <v>0</v>
      </c>
      <c r="EW194" s="1446"/>
      <c r="EX194" s="1446"/>
      <c r="EY194" s="1003">
        <f>IF(EW194=0,0,(EX194-EW194)/EW194*100)</f>
        <v>0</v>
      </c>
      <c r="EZ194" s="1446"/>
      <c r="FA194" s="1446"/>
      <c r="FB194" s="1003">
        <f>IF(EZ194=0,0,(FA194-EZ194)/EZ194*100)</f>
        <v>0</v>
      </c>
      <c r="FC194" s="1446"/>
      <c r="FD194" s="1446"/>
      <c r="FE194" s="1003">
        <f>IF(FC194=0,0,(FD194-FC194)/FC194*100)</f>
        <v>0</v>
      </c>
      <c r="FF194" s="1446"/>
      <c r="FG194" s="1446"/>
      <c r="FH194" s="1003">
        <f>IF(FF194=0,0,(FG194-FF194)/FF194*100)</f>
        <v>0</v>
      </c>
      <c r="FI194" s="1446"/>
      <c r="FJ194" s="1446"/>
      <c r="FK194" s="1003">
        <f>IF(FI194=0,0,(FJ194-FI194)/FI194*100)</f>
        <v>0</v>
      </c>
      <c r="FL194" s="1446"/>
      <c r="FM194" s="1446"/>
      <c r="FN194" s="1003">
        <f>IF(FL194=0,0,(FM194-FL194)/FL194*100)</f>
        <v>0</v>
      </c>
      <c r="FO194" s="1446"/>
      <c r="FP194" s="1446"/>
      <c r="FQ194" s="1003">
        <f>IF(FO194=0,0,(FP194-FO194)/FO194*100)</f>
        <v>0</v>
      </c>
      <c r="FR194" s="1446"/>
      <c r="FS194" s="1446"/>
      <c r="FT194" s="1003">
        <f>IF(FR194=0,0,(FS194-FR194)/FR194*100)</f>
        <v>0</v>
      </c>
      <c r="FU194" s="1446"/>
      <c r="FV194" s="1446"/>
      <c r="FW194" s="1003">
        <f>IF(FU194=0,0,(FV194-FU194)/FU194*100)</f>
        <v>0</v>
      </c>
      <c r="FX194" s="210"/>
      <c r="FY194" s="1214"/>
      <c r="FZ194" s="964" t="s">
        <v>1670</v>
      </c>
      <c r="GA194" s="924" t="s">
        <v>1671</v>
      </c>
      <c r="GB194" s="924" cm="1">
        <f t="array" ref="GB194">AB194</f>
        <v>0</v>
      </c>
      <c r="GC194" s="1215"/>
      <c r="GD194" s="556" t="b">
        <v>1</v>
      </c>
    </row>
    <row r="195" spans="1:186" s="1334" customFormat="1" ht="14.25" hidden="1" customHeight="1" x14ac:dyDescent="0.15">
      <c r="A195" s="1214"/>
      <c r="B195" s="837" t="b" cm="1">
        <f t="array" ref="B195">B194</f>
        <v>0</v>
      </c>
      <c r="C195" s="1214"/>
      <c r="D195" s="416"/>
      <c r="E195" s="759">
        <v>15</v>
      </c>
      <c r="F195" s="3" t="str" cm="1">
        <f t="array" aca="1" ref="F195" ca="1">OFFSET(E195,-1,1)</f>
        <v>2</v>
      </c>
      <c r="G195" s="416"/>
      <c r="H195" s="1214"/>
      <c r="I195" s="17" t="s">
        <v>1672</v>
      </c>
      <c r="J195" s="1214"/>
      <c r="K195" s="1214"/>
      <c r="L195" s="1214"/>
      <c r="M195" s="1214"/>
      <c r="N195" s="1214"/>
      <c r="O195" s="1214"/>
      <c r="P195" s="1214"/>
      <c r="Q195" s="1214"/>
      <c r="R195" s="1214"/>
      <c r="S195" s="1214"/>
      <c r="T195" s="388" t="b">
        <f ca="1">F195&gt;0</f>
        <v>1</v>
      </c>
      <c r="U195" s="1214"/>
      <c r="V195" s="1214"/>
      <c r="W195" s="677" t="s">
        <v>1618</v>
      </c>
      <c r="X195" s="2066"/>
      <c r="Y195" s="1214"/>
      <c r="Z195" s="2011"/>
      <c r="AA195" s="1214"/>
      <c r="AB195" s="178" t="s">
        <v>176</v>
      </c>
      <c r="AC195" s="182"/>
      <c r="AD195" s="180"/>
      <c r="AE195" s="180"/>
      <c r="AF195" s="180"/>
      <c r="AG195" s="180"/>
      <c r="AH195" s="180"/>
      <c r="AI195" s="180"/>
      <c r="AJ195" s="180"/>
      <c r="AK195" s="180"/>
      <c r="AL195" s="180"/>
      <c r="AM195" s="180"/>
      <c r="AN195" s="180"/>
      <c r="AO195" s="180"/>
      <c r="AP195" s="180"/>
      <c r="AQ195" s="180"/>
      <c r="AR195" s="180"/>
      <c r="AS195" s="180"/>
      <c r="AT195" s="180"/>
      <c r="AU195" s="180"/>
      <c r="AV195" s="180"/>
      <c r="AW195" s="180"/>
      <c r="AX195" s="180"/>
      <c r="AY195" s="180"/>
      <c r="AZ195" s="180"/>
      <c r="BA195" s="180"/>
      <c r="BB195" s="180"/>
      <c r="BC195" s="180"/>
      <c r="BD195" s="180"/>
      <c r="BE195" s="180"/>
      <c r="BF195" s="180"/>
      <c r="BG195" s="180"/>
      <c r="BH195" s="180"/>
      <c r="BI195" s="180"/>
      <c r="BJ195" s="180"/>
      <c r="BK195" s="180"/>
      <c r="BL195" s="180"/>
      <c r="BM195" s="180"/>
      <c r="BN195" s="180"/>
      <c r="BO195" s="180"/>
      <c r="BP195" s="180"/>
      <c r="BQ195" s="180"/>
      <c r="BR195" s="180"/>
      <c r="BS195" s="180"/>
      <c r="BT195" s="180"/>
      <c r="BU195" s="180"/>
      <c r="BV195" s="180"/>
      <c r="BW195" s="180"/>
      <c r="BX195" s="180"/>
      <c r="BY195" s="180"/>
      <c r="BZ195" s="180"/>
      <c r="CA195" s="180"/>
      <c r="CB195" s="180"/>
      <c r="CC195" s="180"/>
      <c r="CD195" s="180"/>
      <c r="CE195" s="180"/>
      <c r="CF195" s="180"/>
      <c r="CG195" s="180"/>
      <c r="CH195" s="180"/>
      <c r="CI195" s="180"/>
      <c r="CJ195" s="180"/>
      <c r="CK195" s="180"/>
      <c r="CL195" s="180"/>
      <c r="CM195" s="180"/>
      <c r="CN195" s="180"/>
      <c r="CO195" s="180"/>
      <c r="CP195" s="180"/>
      <c r="CQ195" s="180"/>
      <c r="CR195" s="180"/>
      <c r="CS195" s="180"/>
      <c r="CT195" s="180"/>
      <c r="CU195" s="180"/>
      <c r="CV195" s="180"/>
      <c r="CW195" s="180"/>
      <c r="CX195" s="180"/>
      <c r="CY195" s="180"/>
      <c r="CZ195" s="180"/>
      <c r="DA195" s="180"/>
      <c r="DB195" s="180"/>
      <c r="DC195" s="180"/>
      <c r="DD195" s="180"/>
      <c r="DE195" s="180"/>
      <c r="DF195" s="180"/>
      <c r="DG195" s="180"/>
      <c r="DH195" s="180"/>
      <c r="DI195" s="180"/>
      <c r="DJ195" s="180"/>
      <c r="DK195" s="180"/>
      <c r="DL195" s="180"/>
      <c r="DM195" s="180"/>
      <c r="DN195" s="180"/>
      <c r="DO195" s="180"/>
      <c r="DP195" s="180"/>
      <c r="DQ195" s="180"/>
      <c r="DR195" s="180"/>
      <c r="DS195" s="180"/>
      <c r="DT195" s="180"/>
      <c r="DU195" s="180"/>
      <c r="DV195" s="180"/>
      <c r="DW195" s="180"/>
      <c r="DX195" s="180"/>
      <c r="DY195" s="180"/>
      <c r="DZ195" s="180"/>
      <c r="EA195" s="180"/>
      <c r="EB195" s="180"/>
      <c r="EC195" s="180"/>
      <c r="ED195" s="180"/>
      <c r="EE195" s="180"/>
      <c r="EF195" s="180"/>
      <c r="EG195" s="180"/>
      <c r="EH195" s="180"/>
      <c r="EI195" s="180"/>
      <c r="EJ195" s="180"/>
      <c r="EK195" s="180"/>
      <c r="EL195" s="180"/>
      <c r="EM195" s="180"/>
      <c r="EN195" s="180"/>
      <c r="EO195" s="180"/>
      <c r="EP195" s="180"/>
      <c r="EQ195" s="180"/>
      <c r="ER195" s="180"/>
      <c r="ES195" s="180"/>
      <c r="ET195" s="180"/>
      <c r="EU195" s="180"/>
      <c r="EV195" s="180"/>
      <c r="EW195" s="180"/>
      <c r="EX195" s="180"/>
      <c r="EY195" s="180"/>
      <c r="EZ195" s="180"/>
      <c r="FA195" s="180"/>
      <c r="FB195" s="180"/>
      <c r="FC195" s="180"/>
      <c r="FD195" s="180"/>
      <c r="FE195" s="180"/>
      <c r="FF195" s="180"/>
      <c r="FG195" s="180"/>
      <c r="FH195" s="180"/>
      <c r="FI195" s="180"/>
      <c r="FJ195" s="180"/>
      <c r="FK195" s="180"/>
      <c r="FL195" s="180"/>
      <c r="FM195" s="180"/>
      <c r="FN195" s="180"/>
      <c r="FO195" s="180"/>
      <c r="FP195" s="180"/>
      <c r="FQ195" s="180"/>
      <c r="FR195" s="180"/>
      <c r="FS195" s="180"/>
      <c r="FT195" s="180"/>
      <c r="FU195" s="180"/>
      <c r="FV195" s="180"/>
      <c r="FW195" s="181"/>
      <c r="FX195" s="1214"/>
      <c r="FY195" s="1214"/>
      <c r="FZ195" s="1216"/>
      <c r="GA195" s="1216"/>
      <c r="GB195" s="1216"/>
      <c r="GC195" s="556" t="s">
        <v>1671</v>
      </c>
      <c r="GD195" s="1215"/>
    </row>
    <row r="196" spans="1:186" s="1334" customFormat="1" ht="10.5" customHeight="1" x14ac:dyDescent="0.15">
      <c r="A196" s="17"/>
      <c r="B196" s="819"/>
      <c r="C196" s="17"/>
      <c r="D196" s="416"/>
      <c r="E196" s="759">
        <v>11.5</v>
      </c>
      <c r="F196" s="1247"/>
      <c r="G196" s="416"/>
      <c r="H196" s="17"/>
      <c r="I196" s="17"/>
      <c r="J196" s="17"/>
      <c r="K196" s="17"/>
      <c r="L196" s="17"/>
      <c r="M196" s="17"/>
      <c r="N196" s="17"/>
      <c r="O196" s="17"/>
      <c r="P196" s="17"/>
      <c r="Q196" s="17"/>
      <c r="R196" s="17"/>
      <c r="S196" s="17"/>
      <c r="T196" s="388" t="b" cm="1">
        <f t="array" aca="1" ref="T196" ca="1">T195</f>
        <v>1</v>
      </c>
      <c r="U196" s="17"/>
      <c r="V196" s="17"/>
      <c r="W196" s="677"/>
      <c r="X196" s="2066"/>
      <c r="Y196" s="17"/>
      <c r="Z196" s="2011"/>
      <c r="AA196" s="17"/>
      <c r="AB196" s="126"/>
      <c r="AC196" s="1086"/>
      <c r="AD196" s="1214"/>
      <c r="AE196" s="1214"/>
      <c r="AF196" s="1214"/>
      <c r="AG196" s="1214"/>
      <c r="AH196" s="1214"/>
      <c r="AI196" s="1214"/>
      <c r="AJ196" s="1214"/>
      <c r="AK196" s="1214"/>
      <c r="AL196" s="1214"/>
      <c r="AM196" s="1214"/>
      <c r="AN196" s="1214"/>
      <c r="AO196" s="1214"/>
      <c r="AP196" s="1214"/>
      <c r="AQ196" s="1214"/>
      <c r="AR196" s="1214"/>
      <c r="AS196" s="1214"/>
      <c r="AT196" s="1214"/>
      <c r="AU196" s="1214"/>
      <c r="AV196" s="1214"/>
      <c r="AW196" s="1214"/>
      <c r="AX196" s="1214"/>
      <c r="AY196" s="1214"/>
      <c r="AZ196" s="1214"/>
      <c r="BA196" s="1214"/>
      <c r="BB196" s="1214"/>
      <c r="BC196" s="1214"/>
      <c r="BD196" s="1214"/>
      <c r="BE196" s="1214"/>
      <c r="BF196" s="1214"/>
      <c r="BG196" s="1214"/>
      <c r="BH196" s="1214"/>
      <c r="BI196" s="1214"/>
      <c r="BJ196" s="1214"/>
      <c r="BK196" s="1214"/>
      <c r="BL196" s="1214"/>
      <c r="BM196" s="1214"/>
      <c r="BN196" s="1214"/>
      <c r="BO196" s="1214"/>
      <c r="BP196" s="1214"/>
      <c r="BQ196" s="1214"/>
      <c r="BR196" s="1214"/>
      <c r="BS196" s="1214"/>
      <c r="BT196" s="1214"/>
      <c r="BU196" s="1214"/>
      <c r="BV196" s="1214"/>
      <c r="BW196" s="1214"/>
      <c r="BX196" s="1214"/>
      <c r="BY196" s="1214"/>
      <c r="BZ196" s="1214"/>
      <c r="CA196" s="1214"/>
      <c r="CB196" s="1214"/>
      <c r="CC196" s="1214"/>
      <c r="CD196" s="1214"/>
      <c r="CE196" s="1214"/>
      <c r="CF196" s="1214"/>
      <c r="CG196" s="1214"/>
      <c r="CH196" s="1214"/>
      <c r="CI196" s="1214"/>
      <c r="CJ196" s="1214"/>
      <c r="CK196" s="1214"/>
      <c r="CL196" s="1214"/>
      <c r="CM196" s="1214"/>
      <c r="CN196" s="1214"/>
      <c r="CO196" s="1214"/>
      <c r="CP196" s="1214"/>
      <c r="CQ196" s="1214"/>
      <c r="CR196" s="1214"/>
      <c r="CS196" s="1214"/>
      <c r="CT196" s="1214"/>
      <c r="CU196" s="1214"/>
      <c r="CV196" s="1214"/>
      <c r="CW196" s="1214"/>
      <c r="CX196" s="1214"/>
      <c r="CY196" s="1214"/>
      <c r="CZ196" s="1214"/>
      <c r="DA196" s="1214"/>
      <c r="DB196" s="1214"/>
      <c r="DC196" s="1214"/>
      <c r="DD196" s="1214"/>
      <c r="DE196" s="1214"/>
      <c r="DF196" s="1214"/>
      <c r="DG196" s="1214"/>
      <c r="DH196" s="1214"/>
      <c r="DI196" s="1214"/>
      <c r="DJ196" s="1214"/>
      <c r="DK196" s="1214"/>
      <c r="DL196" s="1214"/>
      <c r="DM196" s="1214"/>
      <c r="DN196" s="1214"/>
      <c r="DO196" s="1214"/>
      <c r="DP196" s="1214"/>
      <c r="DQ196" s="1214"/>
      <c r="DR196" s="1214"/>
      <c r="DS196" s="1214"/>
      <c r="DT196" s="1214"/>
      <c r="DU196" s="1214"/>
      <c r="DV196" s="1214"/>
      <c r="DW196" s="1214"/>
      <c r="DX196" s="1214"/>
      <c r="DY196" s="1214"/>
      <c r="DZ196" s="1214"/>
      <c r="EA196" s="1214"/>
      <c r="EB196" s="1214"/>
      <c r="EC196" s="1214"/>
      <c r="ED196" s="1214"/>
      <c r="EE196" s="1214"/>
      <c r="EF196" s="1214"/>
      <c r="EG196" s="1214"/>
      <c r="EH196" s="1214"/>
      <c r="EI196" s="1214"/>
      <c r="EJ196" s="1214"/>
      <c r="EK196" s="1214"/>
      <c r="EL196" s="1214"/>
      <c r="EM196" s="1214"/>
      <c r="EN196" s="1214"/>
      <c r="EO196" s="1214"/>
      <c r="EP196" s="1214"/>
      <c r="EQ196" s="1214"/>
      <c r="ER196" s="1214"/>
      <c r="ES196" s="1214"/>
      <c r="ET196" s="1214"/>
      <c r="EU196" s="1214"/>
      <c r="EV196" s="1214"/>
      <c r="EW196" s="1214"/>
      <c r="EX196" s="1214"/>
      <c r="EY196" s="1214"/>
      <c r="EZ196" s="1214"/>
      <c r="FA196" s="1214"/>
      <c r="FB196" s="1214"/>
      <c r="FC196" s="1214"/>
      <c r="FD196" s="1214"/>
      <c r="FE196" s="1214"/>
      <c r="FF196" s="1214"/>
      <c r="FG196" s="1214"/>
      <c r="FH196" s="1214"/>
      <c r="FI196" s="1214"/>
      <c r="FJ196" s="1214"/>
      <c r="FK196" s="1214"/>
      <c r="FL196" s="1214"/>
      <c r="FM196" s="1214"/>
      <c r="FN196" s="1214"/>
      <c r="FO196" s="1214"/>
      <c r="FP196" s="1214"/>
      <c r="FQ196" s="1214"/>
      <c r="FR196" s="1214"/>
      <c r="FS196" s="1214"/>
      <c r="FT196" s="1214"/>
      <c r="FU196" s="1214"/>
      <c r="FV196" s="1214"/>
      <c r="FW196" s="1214"/>
      <c r="FX196" s="1214"/>
      <c r="FY196" s="1214"/>
      <c r="FZ196" s="915"/>
      <c r="GA196" s="915"/>
      <c r="GB196" s="910"/>
      <c r="GC196" s="599"/>
      <c r="GD196" s="599"/>
    </row>
    <row r="197" spans="1:186" s="1334" customFormat="1" ht="10.9" customHeight="1" x14ac:dyDescent="0.15">
      <c r="A197" s="392"/>
      <c r="B197" s="838"/>
      <c r="C197" s="392"/>
      <c r="D197" s="405"/>
      <c r="E197" s="785">
        <v>11.25</v>
      </c>
      <c r="F197" s="841"/>
      <c r="G197" s="405"/>
      <c r="H197" s="392"/>
      <c r="I197" s="392"/>
      <c r="J197" s="392"/>
      <c r="K197" s="392"/>
      <c r="L197" s="392"/>
      <c r="M197" s="392"/>
      <c r="N197" s="392"/>
      <c r="O197" s="392"/>
      <c r="P197" s="392"/>
      <c r="Q197" s="392"/>
      <c r="R197" s="392"/>
      <c r="S197" s="405"/>
      <c r="T197" s="392"/>
      <c r="U197" s="392" t="s">
        <v>176</v>
      </c>
      <c r="V197" s="59" t="s">
        <v>1673</v>
      </c>
      <c r="W197" s="392"/>
      <c r="X197" s="392"/>
      <c r="Y197" s="392"/>
      <c r="Z197" s="392"/>
      <c r="AA197" s="392"/>
      <c r="AC197" s="19"/>
      <c r="AD197" s="19"/>
      <c r="AE197" s="19"/>
      <c r="AF197" s="19"/>
      <c r="AQ197" s="20"/>
      <c r="FZ197" s="928"/>
      <c r="GA197" s="928"/>
      <c r="GB197" s="967"/>
      <c r="GC197" s="610"/>
      <c r="GD197" s="610"/>
    </row>
    <row r="198" spans="1:186" ht="14.65" customHeight="1" x14ac:dyDescent="0.15">
      <c r="E198" s="556">
        <v>15</v>
      </c>
      <c r="AB198" s="2035" t="s">
        <v>402</v>
      </c>
      <c r="AC198" s="2035"/>
      <c r="AD198" s="2035"/>
      <c r="AE198" s="2035"/>
      <c r="AF198" s="2035"/>
      <c r="AG198" s="2035"/>
      <c r="AH198" s="2035"/>
      <c r="AI198" s="2035"/>
      <c r="AJ198" s="2035"/>
      <c r="AK198" s="2035"/>
      <c r="AL198" s="2035"/>
      <c r="AM198" s="2035"/>
      <c r="AN198" s="2035"/>
      <c r="AO198" s="2035"/>
      <c r="AP198" s="2035"/>
      <c r="AQ198" s="2035"/>
      <c r="AR198" s="2035"/>
      <c r="AS198" s="2035"/>
      <c r="AT198" s="2035"/>
      <c r="AU198" s="2035"/>
      <c r="AV198" s="2035"/>
      <c r="AW198" s="2035"/>
      <c r="AX198" s="2035"/>
      <c r="AY198" s="2035"/>
      <c r="AZ198" s="2035"/>
      <c r="BA198" s="2035"/>
      <c r="BB198" s="2035"/>
      <c r="BC198" s="2035"/>
      <c r="BD198" s="2035"/>
      <c r="BE198" s="2035"/>
      <c r="BF198" s="2035"/>
      <c r="BG198" s="2035"/>
    </row>
    <row r="199" spans="1:186" ht="14.65" customHeight="1" x14ac:dyDescent="0.15">
      <c r="E199" s="556">
        <v>15</v>
      </c>
      <c r="AA199" s="585"/>
      <c r="AB199" s="2118"/>
      <c r="AC199" s="2118"/>
      <c r="AD199" s="2118"/>
      <c r="AE199" s="2118"/>
      <c r="AF199" s="2118"/>
      <c r="AG199" s="2119"/>
      <c r="AH199" s="2119"/>
      <c r="AI199" s="2119"/>
      <c r="AJ199" s="2119"/>
      <c r="AK199" s="2119"/>
      <c r="AL199" s="2119"/>
      <c r="AM199" s="2119"/>
      <c r="AN199" s="2119"/>
      <c r="AO199" s="2119"/>
      <c r="AP199" s="2119"/>
      <c r="AQ199" s="2119"/>
      <c r="AR199" s="2119"/>
      <c r="AS199" s="2119"/>
      <c r="AT199" s="2119"/>
      <c r="AU199" s="2119"/>
      <c r="AV199" s="2119"/>
      <c r="AW199" s="2119"/>
      <c r="AX199" s="2119"/>
      <c r="AY199" s="2119"/>
      <c r="AZ199" s="2119"/>
      <c r="BA199" s="2119"/>
      <c r="BB199" s="2119"/>
      <c r="BC199" s="2119"/>
      <c r="BD199" s="2119"/>
      <c r="BE199" s="2119"/>
      <c r="BF199" s="2119"/>
      <c r="BG199" s="2119"/>
    </row>
    <row r="200" spans="1:186" ht="14.65" hidden="1" customHeight="1" x14ac:dyDescent="0.15">
      <c r="E200" s="556">
        <v>15</v>
      </c>
      <c r="T200" s="388" t="b">
        <f>ROW(W200)&gt;ROW(W$200)</f>
        <v>0</v>
      </c>
      <c r="W200" s="17" t="s">
        <v>172</v>
      </c>
      <c r="AA200" s="586" t="s">
        <v>173</v>
      </c>
      <c r="AB200" s="2064"/>
      <c r="AC200" s="2023"/>
      <c r="AD200" s="2023"/>
      <c r="AE200" s="2023"/>
      <c r="AF200" s="2023"/>
      <c r="AG200" s="2023"/>
      <c r="AH200" s="2023"/>
      <c r="AI200" s="2023"/>
      <c r="AJ200" s="2023"/>
      <c r="AK200" s="2023"/>
      <c r="AL200" s="2023"/>
      <c r="AM200" s="2023"/>
      <c r="AN200" s="2023"/>
      <c r="AO200" s="2023"/>
      <c r="AP200" s="2023"/>
      <c r="AQ200" s="2023"/>
      <c r="AR200" s="2023"/>
      <c r="AS200" s="2023"/>
      <c r="AT200" s="2023"/>
      <c r="AU200" s="2023"/>
      <c r="AV200" s="2023"/>
      <c r="AW200" s="2023"/>
      <c r="AX200" s="2023"/>
      <c r="AY200" s="2023"/>
      <c r="AZ200" s="2023"/>
      <c r="BA200" s="2023"/>
      <c r="BB200" s="2023"/>
      <c r="BC200" s="2023"/>
      <c r="BD200" s="2023"/>
      <c r="BE200" s="2023"/>
      <c r="BF200" s="2023"/>
      <c r="BG200" s="2065"/>
    </row>
    <row r="201" spans="1:186" ht="14.65" customHeight="1" x14ac:dyDescent="0.15">
      <c r="E201" s="556">
        <v>15</v>
      </c>
      <c r="W201" s="677" t="s">
        <v>403</v>
      </c>
      <c r="AB201" s="2116" t="s">
        <v>404</v>
      </c>
      <c r="AC201" s="2117"/>
      <c r="AD201" s="227"/>
      <c r="AE201" s="227"/>
      <c r="AF201" s="227"/>
      <c r="AG201" s="227"/>
      <c r="AH201" s="227"/>
      <c r="AI201" s="227"/>
      <c r="AJ201" s="227"/>
      <c r="AK201" s="227"/>
      <c r="AL201" s="227"/>
      <c r="AM201" s="227"/>
      <c r="AN201" s="227"/>
      <c r="AO201" s="227"/>
      <c r="AP201" s="227"/>
      <c r="AQ201" s="227"/>
      <c r="AR201" s="227"/>
      <c r="AS201" s="227"/>
      <c r="AT201" s="227"/>
      <c r="AU201" s="227"/>
      <c r="AV201" s="227"/>
      <c r="AW201" s="227"/>
      <c r="AX201" s="227"/>
      <c r="AY201" s="227"/>
      <c r="AZ201" s="227"/>
      <c r="BA201" s="227"/>
      <c r="BB201" s="227"/>
      <c r="BC201" s="227"/>
      <c r="BD201" s="227"/>
      <c r="BE201" s="227"/>
      <c r="BF201" s="227"/>
      <c r="BG201" s="193"/>
    </row>
    <row r="202" spans="1:186" ht="10.9" customHeight="1" x14ac:dyDescent="0.15">
      <c r="E202" s="556">
        <v>11.25</v>
      </c>
      <c r="FX202" s="348"/>
    </row>
  </sheetData>
  <sheetProtection formatColumns="0" formatRows="0" insertRows="0" deleteColumns="0" deleteRows="0" sort="0" autoFilter="0"/>
  <mergeCells count="86">
    <mergeCell ref="X141:X196"/>
    <mergeCell ref="Z141:Z196"/>
    <mergeCell ref="AA154:AA155"/>
    <mergeCell ref="Y154:Y155"/>
    <mergeCell ref="AB141:AC141"/>
    <mergeCell ref="AB142:AC142"/>
    <mergeCell ref="AB143:AC143"/>
    <mergeCell ref="AB144:AC144"/>
    <mergeCell ref="Y182:Y187"/>
    <mergeCell ref="AA182:AA187"/>
    <mergeCell ref="X85:X140"/>
    <mergeCell ref="Z85:Z140"/>
    <mergeCell ref="AA98:AA99"/>
    <mergeCell ref="Y98:Y99"/>
    <mergeCell ref="AB85:AC85"/>
    <mergeCell ref="AB86:AC86"/>
    <mergeCell ref="AB87:AC87"/>
    <mergeCell ref="AB88:AC88"/>
    <mergeCell ref="Y126:Y131"/>
    <mergeCell ref="AA126:AA131"/>
    <mergeCell ref="DS25:DU25"/>
    <mergeCell ref="DV25:DX25"/>
    <mergeCell ref="DY25:EA25"/>
    <mergeCell ref="EB25:ED25"/>
    <mergeCell ref="EE25:EG25"/>
    <mergeCell ref="EH25:EJ25"/>
    <mergeCell ref="EK25:EM25"/>
    <mergeCell ref="EN25:EP25"/>
    <mergeCell ref="EQ25:ES25"/>
    <mergeCell ref="ET25:EV25"/>
    <mergeCell ref="FU25:FW25"/>
    <mergeCell ref="EW25:EY25"/>
    <mergeCell ref="EZ25:FB25"/>
    <mergeCell ref="FC25:FE25"/>
    <mergeCell ref="FF25:FH25"/>
    <mergeCell ref="FI25:FK25"/>
    <mergeCell ref="FL25:FN25"/>
    <mergeCell ref="FO25:FQ25"/>
    <mergeCell ref="FR25:FT25"/>
    <mergeCell ref="DG25:DI25"/>
    <mergeCell ref="DJ25:DL25"/>
    <mergeCell ref="DM25:DO25"/>
    <mergeCell ref="DP25:DR25"/>
    <mergeCell ref="CO25:CQ25"/>
    <mergeCell ref="CR25:CT25"/>
    <mergeCell ref="CU25:CW25"/>
    <mergeCell ref="CX25:CZ25"/>
    <mergeCell ref="DA25:DC25"/>
    <mergeCell ref="DD25:DF25"/>
    <mergeCell ref="BZ25:CB25"/>
    <mergeCell ref="CC25:CE25"/>
    <mergeCell ref="CF25:CH25"/>
    <mergeCell ref="CI25:CK25"/>
    <mergeCell ref="CL25:CN25"/>
    <mergeCell ref="BK25:BM25"/>
    <mergeCell ref="BN25:BP25"/>
    <mergeCell ref="BQ25:BS25"/>
    <mergeCell ref="BT25:BV25"/>
    <mergeCell ref="BW25:BY25"/>
    <mergeCell ref="AB201:AC201"/>
    <mergeCell ref="AB199:BG199"/>
    <mergeCell ref="AB198:BG198"/>
    <mergeCell ref="Y70:Y75"/>
    <mergeCell ref="AA70:AA75"/>
    <mergeCell ref="AB200:BG200"/>
    <mergeCell ref="Y42:Y43"/>
    <mergeCell ref="AB29:AC29"/>
    <mergeCell ref="AB30:AC30"/>
    <mergeCell ref="AB31:AC31"/>
    <mergeCell ref="AB32:AC32"/>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s>
  <dataValidations count="1">
    <dataValidation type="decimal" allowBlank="1" showErrorMessage="1" errorTitle="Ошибка" error="Допускается ввод только неотрицательных чисел!" 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03 AE103 AG103 AH103 AJ103 AK103 AM103 AN103 AP103 AQ103 AS103 AT103 AV103 AW103 AY103 AZ103 BB103 BC103 BE103 BF103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AD154 AE154 AG154 AH154 AJ154 AK154 AM154 AN154 AP154 AQ154 AS154 AT154 AV154 AW154 AY154 AZ154 BB154 BC154 BE154 BF154 BH154 BI154 BK154 BL154 BN154 BO154 BQ154 BR154 BT154 BU154 BW154 BX154 BZ154 CA154 CC154 CD154 CF154 CG154 CI154 CJ154 CL154 CM154 CO154 CP154 CR154 CS154 CU154 CV154 CX154 CY154 DA154 DB154 DD154 DE154 DG154 DH154 DJ154 DK154 DM154 DN154 DP154 DQ154 DS154 DT154 DV154 DW154 DY154 DZ154 EB154 EC154 EE154 EF154 EH154 EI154 EK154 EL154 EN154 EO154 EQ154 ER154 ET154 EU154 EW154 EX154 EZ154 FA154 FC154 FD154 FF154 FG154 FI154 FJ154 FL154 FM154 FO154 FP154 FR154 FS154 FU154 FV154 AD159 AE159 AG159 AH159 AJ159 AK159 AM159 AN159 AP159 AQ159 AS159 AT159 AV159 AW159 AY159 AZ159 BB159 BC159 BE159 BF159 BH159 BI159 BK159 BL159 BN159 BO159 BQ159 BR159 BT159 BU159 BW159 BX159 BZ159 CA159 CC159 CD159 CF159 CG159 CI159 CJ159 CL159 CM159 CO159 CP159 CR159 CS159 CU159 CV159 CX159 CY159 DA159 DB159 DD159 DE159 DG159 DH159 DJ159 DK159 DM159 DN159 DP159 DQ159 DS159 DT159 DV159 DW159 DY159 DZ159 EB159 EC159 EE159 EF159 EH159 EI159 EK159 EL159 EN159 EO159 EQ159 ER159 ET159 EU159 EW159 EX159 EZ159 FA159 FC159 FD159 FF159 FG159 FI159 FJ159 FL159 FM159 FO159 FP159 FR159 FS159 FU159 FV159 AD160 AE160 AG160 AH160 AJ160 AK160 AM160 AN160 AP160 AQ160 AS160 AT160 AV160 AW160 AY160 AZ160 BB160 BC160 BE160 BF160 BH160 BI160 BK160 BL160 BN160 BO160 BQ160 BR160 BT160 BU160 BW160 BX160 BZ160 CA160 CC160 CD160 CF160 CG160 CI160 CJ160 CL160 CM160 CO160 CP160 CR160 CS160 CU160 CV160 CX160 CY160 DA160 DB160 DD160 DE160 DG160 DH160 DJ160 DK160 DM160 DN160 DP160 DQ160 DS160 DT160 DV160 DW160 DY160 DZ160 EB160 EC160 EE160 EF160 EH160 EI160 EK160 EL160 EN160 EO160 EQ160 ER160 ET160 EU160 EW160 EX160 EZ160 FA160 FC160 FD160 FF160 FG160 FI160 FJ160 FL160 FM160 FO160 FP160 FR160 FS160 FU160 FV160 AD162 AE162 AG162 AH162 AJ162 AK162 AM162 AN162 AP162 AQ162 AS162 AT162 AV162 AW162 AY162 AZ162 BB162 BC162 BE162 BF162 BH162 BI162 BK162 BL162 BN162 BO162 BQ162 BR162 BT162 BU162 BW162 BX162 BZ162 CA162 CC162 CD162 CF162 CG162 CI162 CJ162 CL162 CM162 CO162 CP162 CR162 CS162 CU162 CV162 CX162 CY162 DA162 DB162 DD162 DE162 DG162 DH162 DJ162 DK162 DM162 DN162 DP162 DQ162 DS162 DT162 DV162 DW162 DY162 DZ162 EB162 EC162 EE162 EF162 EH162 EI162 EK162 EL162 EN162 EO162 EQ162 ER162 ET162 EU162 EW162 EX162 EZ162 FA162 FC162 FD162 FF162 FG162 FI162 FJ162 FL162 FM162 FO162 FP162 FR162 FS162 FU162 FV162 AD163 AE163 AG163 AH163 AJ163 AK163 AM163 AN163 AP163 AQ163 AS163 AT163 AV163 AW163 AY163 AZ163 BB163 BC163 BE163 BF163 BH163 BI163 BK163 BL163 BN163 BO163 BQ163 BR163 BT163 BU163 BW163 BX163 BZ163 CA163 CC163 CD163 CF163 CG163 CI163 CJ163 CL163 CM163 CO163 CP163 CR163 CS163 CU163 CV163 CX163 CY163 DA163 DB163 DD163 DE163 DG163 DH163 DJ163 DK163 DM163 DN163 DP163 DQ163 DS163 DT163 DV163 DW163 DY163 DZ163 EB163 EC163 EE163 EF163 EH163 EI163 EK163 EL163 EN163 EO163 EQ163 ER163 ET163 EU163 EW163 EX163 EZ163 FA163 FC163 FD163 FF163 FG163 FI163 FJ163 FL163 FM163 FO163 FP163 FR163 FS163 FU163 FV163 AD165 AE165 AG165 AH165 AJ165 AK165 AM165 AN165 AP165 AQ165 AS165 AT165 AV165 AW165 AY165 AZ165 BB165 BC165 BE165 BF165 BH165 BI165 BK165 BL165 BN165 BO165 BQ165 BR165 BT165 BU165 BW165 BX165 BZ165 CA165 CC165 CD165 CF165 CG165 CI165 CJ165 CL165 CM165 CO165 CP165 CR165 CS165 CU165 CV165 CX165 CY165 DA165 DB165 DD165 DE165 DG165 DH165 DJ165 DK165 DM165 DN165 DP165 DQ165 DS165 DT165 DV165 DW165 DY165 DZ165 EB165 EC165 EE165 EF165 EH165 EI165 EK165 EL165 EN165 EO165 EQ165 ER165 ET165 EU165 EW165 EX165 EZ165 FA165 FC165 FD165 FF165 FG165 FI165 FJ165 FL165 FM165 FO165 FP165 FR165 FS165 FU165 FV165 AD166 AE166 AG166 AH166 AJ166 AK166 AM166 AN166 AP166 AQ166 AS166 AT166 AV166 AW166 AY166 AZ166 BB166 BC166 BE166 BF166 BH166 BI166 BK166 BL166 BN166 BO166 BQ166 BR166 BT166 BU166 BW166 BX166 BZ166 CA166 CC166 CD166 CF166 CG166 CI166 CJ166 CL166 CM166 CO166 CP166 CR166 CS166 CU166 CV166 CX166 CY166 DA166 DB166 DD166 DE166 DG166 DH166 DJ166 DK166 DM166 DN166 DP166 DQ166 DS166 DT166 DV166 DW166 DY166 DZ166 EB166 EC166 EE166 EF166 EH166 EI166 EK166 EL166 EN166 EO166 EQ166 ER166 ET166 EU166 EW166 EX166 EZ166 FA166 FC166 FD166 FF166 FG166 FI166 FJ166 FL166 FM166 FO166 FP166 FR166 FS166 FU166 FV166 AD168 AE168 AG168 AH168 AJ168 AK168 AM168 AN168 AP168 AQ168 AS168 AT168 AV168 AW168 AY168 AZ168 BB168 BC168 BE168 BF168 BH168 BI168 BK168 BL168 BN168 BO168 BQ168 BR168 BT168 BU168 BW168 BX168 BZ168 CA168 CC168 CD168 CF168 CG168 CI168 CJ168 CL168 CM168 CO168 CP168 CR168 CS168 CU168 CV168 CX168 CY168 DA168 DB168 DD168 DE168 DG168 DH168 DJ168 DK168 DM168 DN168 DP168 DQ168 DS168 DT168 DV168 DW168 DY168 DZ168 EB168 EC168 EE168 EF168 EH168 EI168 EK168 EL168 EN168 EO168 EQ168 ER168 ET168 EU168 EW168 EX168 EZ168 FA168 FC168 FD168 FF168 FG168 FI168 FJ168 FL168 FM168 FO168 FP168 FR168 FS168 FU168 FV168 AD169 AE169 AG169 AH169 AJ169 AK169 AM169 AN169 AP169 AQ169 AS169 AT169 AV169 AW169 AY169 AZ169 BB169 BC169 BE169 BF169 BH169 BI169 BK169 BL169 BN169 BO169 BQ169 BR169 BT169 BU169 BW169 BX169 BZ169 CA169 CC169 CD169 CF169 CG169 CI169 CJ169 CL169 CM169 CO169 CP169 CR169 CS169 CU169 CV169 CX169 CY169 DA169 DB169 DD169 DE169 DG169 DH169 DJ169 DK169 DM169 DN169 DP169 DQ169 DS169 DT169 DV169 DW169 DY169 DZ169 EB169 EC169 EE169 EF169 EH169 EI169 EK169 EL169 EN169 EO169 EQ169 ER169 ET169 EU169 EW169 EX169 EZ169 FA169 FC169 FD169 FF169 FG169 FI169 FJ169 FL169 FM169 FO169 FP169 FR169 FS169 FU169 FV169 AD171 AE171 AG171 AH171 AJ171 AK171 AM171 AN171 AP171 AQ171 AS171 AT171 AV171 AW171 AY171 AZ171 BB171 BC171 BE171 BF171 BH171 BI171 BK171 BL171 BN171 BO171 BQ171 BR171 BT171 BU171 BW171 BX171 BZ171 CA171 CC171 CD171 CF171 CG171 CI171 CJ171 CL171 CM171 CO171 CP171 CR171 CS171 CU171 CV171 CX171 CY171 DA171 DB171 DD171 DE171 DG171 DH171 DJ171 DK171 DM171 DN171 DP171 DQ171 DS171 DT171 DV171 DW171 DY171 DZ171 EB171 EC171 EE171 EF171 EH171 EI171 EK171 EL171 EN171 EO171 EQ171 ER171 ET171 EU171 EW171 EX171 EZ171 FA171 FC171 FD171 FF171 FG171 FI171 FJ171 FL171 FM171 FO171 FP171 FR171 FS171 FU171 FV171 AD172 AE172 AG172 AH172 AJ172 AK172 AM172 AN172 AP172 AQ172 AS172 AT172 AV172 AW172 AY172 AZ172 BB172 BC172 BE172 BF172 BH172 BI172 BK172 BL172 BN172 BO172 BQ172 BR172 BT172 BU172 BW172 BX172 BZ172 CA172 CC172 CD172 CF172 CG172 CI172 CJ172 CL172 CM172 CO172 CP172 CR172 CS172 CU172 CV172 CX172 CY172 DA172 DB172 DD172 DE172 DG172 DH172 DJ172 DK172 DM172 DN172 DP172 DQ172 DS172 DT172 DV172 DW172 DY172 DZ172 EB172 EC172 EE172 EF172 EH172 EI172 EK172 EL172 EN172 EO172 EQ172 ER172 ET172 EU172 EW172 EX172 EZ172 FA172 FC172 FD172 FF172 FG172 FI172 FJ172 FL172 FM172 FO172 FP172 FR172 FS172 FU172 FV172 AD174 AE174 AG174 AH174 AJ174 AK174 AM174 AN174 AP174 AQ174 AS174 AT174 AV174 AW174 AY174 AZ174 BB174 BC174 BE174 BF174 BH174 BI174 BK174 BL174 BN174 BO174 BQ174 BR174 BT174 BU174 BW174 BX174 BZ174 CA174 CC174 CD174 CF174 CG174 CI174 CJ174 CL174 CM174 CO174 CP174 CR174 CS174 CU174 CV174 CX174 CY174 DA174 DB174 DD174 DE174 DG174 DH174 DJ174 DK174 DM174 DN174 DP174 DQ174 DS174 DT174 DV174 DW174 DY174 DZ174 EB174 EC174 EE174 EF174 EH174 EI174 EK174 EL174 EN174 EO174 EQ174 ER174 ET174 EU174 EW174 EX174 EZ174 FA174 FC174 FD174 FF174 FG174 FI174 FJ174 FL174 FM174 FO174 FP174 FR174 FS174 FU174 FV174 AD175 AE175 AG175 AH175 AJ175 AK175 AM175 AN175 AP175 AQ175 AS175 AT175 AV175 AW175 AY175 AZ175 BB175 BC175 BE175 BF175 BH175 BI175 BK175 BL175 BN175 BO175 BQ175 BR175 BT175 BU175 BW175 BX175 BZ175 CA175 CC175 CD175 CF175 CG175 CI175 CJ175 CL175 CM175 CO175 CP175 CR175 CS175 CU175 CV175 CX175 CY175 DA175 DB175 DD175 DE175 DG175 DH175 DJ175 DK175 DM175 DN175 DP175 DQ175 DS175 DT175 DV175 DW175 DY175 DZ175 EB175 EC175 EE175 EF175 EH175 EI175 EK175 EL175 EN175 EO175 EQ175 ER175 ET175 EU175 EW175 EX175 EZ175 FA175 FC175 FD175 FF175 FG175 FI175 FJ175 FL175 FM175 FO175 FP175 FR175 FS175 FU175 FV175 AD177 AE177 AG177 AH177 AJ177 AK177 AM177 AN177 AP177 AQ177 AS177 AT177 AV177 AW177 AY177 AZ177 BB177 BC177 BE177 BF177 BH177 BI177 BK177 BL177 BN177 BO177 BQ177 BR177 BT177 BU177 BW177 BX177 BZ177 CA177 CC177 CD177 CF177 CG177 CI177 CJ177 CL177 CM177 CO177 CP177 CR177 CS177 CU177 CV177 CX177 CY177 DA177 DB177 DD177 DE177 DG177 DH177 DJ177 DK177 DM177 DN177 DP177 DQ177 DS177 DT177 DV177 DW177 DY177 DZ177 EB177 EC177 EE177 EF177 EH177 EI177 EK177 EL177 EN177 EO177 EQ177 ER177 ET177 EU177 EW177 EX177 EZ177 FA177 FC177 FD177 FF177 FG177 FI177 FJ177 FL177 FM177 FO177 FP177 FR177 FS177 FU177 FV177 AD178 AE178 AG178 AH178 AJ178 AK178 AM178 AN178 AP178 AQ178 AS178 AT178 AV178 AW178 AY178 AZ178 BB178 BC178 BE178 BF178 BH178 BI178 BK178 BL178 BN178 BO178 BQ178 BR178 BT178 BU178 BW178 BX178 BZ178 CA178 CC178 CD178 CF178 CG178 CI178 CJ178 CL178 CM178 CO178 CP178 CR178 CS178 CU178 CV178 CX178 CY178 DA178 DB178 DD178 DE178 DG178 DH178 DJ178 DK178 DM178 DN178 DP178 DQ178 DS178 DT178 DV178 DW178 DY178 DZ178 EB178 EC178 EE178 EF178 EH178 EI178 EK178 EL178 EN178 EO178 EQ178 ER178 ET178 EU178 EW178 EX178 EZ178 FA178 FC178 FD178 FF178 FG178 FI178 FJ178 FL178 FM178 FO178 FP178 FR178 FS178 FU178 FV178 AD180 AE180 AG180 AH180 AJ180 AK180 AM180 AN180 AP180 AQ180 AS180 AT180 AV180 AW180 AY180 AZ180 BB180 BC180 BE180 BF180 BH180 BI180 BK180 BL180 BN180 BO180 BQ180 BR180 BT180 BU180 BW180 BX180 BZ180 CA180 CC180 CD180 CF180 CG180 CI180 CJ180 CL180 CM180 CO180 CP180 CR180 CS180 CU180 CV180 CX180 CY180 DA180 DB180 DD180 DE180 DG180 DH180 DJ180 DK180 DM180 DN180 DP180 DQ180 DS180 DT180 DV180 DW180 DY180 DZ180 EB180 EC180 EE180 EF180 EH180 EI180 EK180 EL180 EN180 EO180 EQ180 ER180 ET180 EU180 EW180 EX180 EZ180 FA180 FC180 FD180 FF180 FG180 FI180 FJ180 FL180 FM180 FO180 FP180 FR180 FS180 FU180 FV180 AD181 AE181 AG181 AH181 AJ181 AK181 AM181 AN181 AP181 AQ181 AS181 AT181 AV181 AW181 AY181 AZ181 BB181 BC181 BE181 BF181 BH181 BI181 BK181 BL181 BN181 BO181 BQ181 BR181 BT181 BU181 BW181 BX181 BZ181 CA181 CC181 CD181 CF181 CG181 CI181 CJ181 CL181 CM181 CO181 CP181 CR181 CS181 CU181 CV181 CX181 CY181 DA181 DB181 DD181 DE181 DG181 DH181 DJ181 DK181 DM181 DN181 DP181 DQ181 DS181 DT181 DV181 DW181 DY181 DZ181 EB181 EC181 EE181 EF181 EH181 EI181 EK181 EL181 EN181 EO181 EQ181 ER181 ET181 EU181 EW181 EX181 EZ181 FA181 FC181 FD181 FF181 FG181 FI181 FJ181 FL181 FM181 FO181 FP181 FR181 FS181 FU181 FV181 AD182 AE182 AG182 AH182 AJ182 AK182 AM182 AN182 AP182 AQ182 AS182 AT182 AV182 AW182 AY182 AZ182 BB182 BC182 BE182 BF182 BH182 BI182 BK182 BL182 BN182 BO182 BQ182 BR182 BT182 BU182 BW182 BX182 BZ182 CA182 CC182 CD182 CF182 CG182 CI182 CJ182 CL182 CM182 CO182 CP182 CR182 CS182 CU182 CV182 CX182 CY182 DA182 DB182 DD182 DE182 DG182 DH182 DJ182 DK182 DM182 DN182 DP182 DQ182 DS182 DT182 DV182 DW182 DY182 DZ182 EB182 EC182 EE182 EF182 EH182 EI182 EK182 EL182 EN182 EO182 EQ182 ER182 ET182 EU182 EW182 EX182 EZ182 FA182 FC182 FD182 FF182 FG182 FI182 FJ182 FL182 FM182 FO182 FP182 FR182 FS182 FU182 FV182 AD183 AE183 AG183 AH183 AJ183 AK183 AM183 AN183 AP183 AQ183 AS183 AT183 AV183 AW183 AY183 AZ183 BB183 BC183 BE183 BF183 BH183 BI183 BK183 BL183 BN183 BO183 BQ183 BR183 BT183 BU183 BW183 BX183 BZ183 CA183 CC183 CD183 CF183 CG183 CI183 CJ183 CL183 CM183 CO183 CP183 CR183 CS183 CU183 CV183 CX183 CY183 DA183 DB183 DD183 DE183 DG183 DH183 DJ183 DK183 DM183 DN183 DP183 DQ183 DS183 DT183 DV183 DW183 DY183 DZ183 EB183 EC183 EE183 EF183 EH183 EI183 EK183 EL183 EN183 EO183 EQ183 ER183 ET183 EU183 EW183 EX183 EZ183 FA183 FC183 FD183 FF183 FG183 FI183 FJ183 FL183 FM183 FO183 FP183 FR183 FS183 FU183 FV183 AD184 AE184 AG184 AH184 AJ184 AK184 AM184 AN184 AP184 AQ184 AS184 AT184 AV184 AW184 AY184 AZ184 BB184 BC184 BE184 BF184 BH184 BI184 BK184 BL184 BN184 BO184 BQ184 BR184 BT184 BU184 BW184 BX184 BZ184 CA184 CC184 CD184 CF184 CG184 CI184 CJ184 CL184 CM184 CO184 CP184 CR184 CS184 CU184 CV184 CX184 CY184 DA184 DB184 DD184 DE184 DG184 DH184 DJ184 DK184 DM184 DN184 DP184 DQ184 DS184 DT184 DV184 DW184 DY184 DZ184 EB184 EC184 EE184 EF184 EH184 EI184 EK184 EL184 EN184 EO184 EQ184 ER184 ET184 EU184 EW184 EX184 EZ184 FA184 FC184 FD184 FF184 FG184 FI184 FJ184 FL184 FM184 FO184 FP184 FR184 FS184 FU184 FV184 AD186 AE186 AG186 AH186 AJ186 AK186 AM186 AN186 AP186 AQ186 AS186 AT186 AV186 AW186 AY186 AZ186 BB186 BC186 BE186 BF186 BH186 BI186 BK186 BL186 BN186 BO186 BQ186 BR186 BT186 BU186 BW186 BX186 BZ186 CA186 CC186 CD186 CF186 CG186 CI186 CJ186 CL186 CM186 CO186 CP186 CR186 CS186 CU186 CV186 CX186 CY186 DA186 DB186 DD186 DE186 DG186 DH186 DJ186 DK186 DM186 DN186 DP186 DQ186 DS186 DT186 DV186 DW186 DY186 DZ186 EB186 EC186 EE186 EF186 EH186 EI186 EK186 EL186 EN186 EO186 EQ186 ER186 ET186 EU186 EW186 EX186 EZ186 FA186 FC186 FD186 FF186 FG186 FI186 FJ186 FL186 FM186 FO186 FP186 FR186 FS186 FU186 FV186 AD187 AE187 AG187 AH187 AJ187 AK187 AM187 AN187 AP187 AQ187 AS187 AT187 AV187 AW187 AY187 AZ187 BB187 BC187 BE187 BF187 BH187 BI187 BK187 BL187 BN187 BO187 BQ187 BR187 BT187 BU187 BW187 BX187 BZ187 CA187 CC187 CD187 CF187 CG187 CI187 CJ187 CL187 CM187 CO187 CP187 CR187 CS187 CU187 CV187 CX187 CY187 DA187 DB187 DD187 DE187 DG187 DH187 DJ187 DK187 DM187 DN187 DP187 DQ187 DS187 DT187 DV187 DW187 DY187 DZ187 EB187 EC187 EE187 EF187 EH187 EI187 EK187 EL187 EN187 EO187 EQ187 ER187 ET187 EU187 EW187 EX187 EZ187 FA187 FC187 FD187 FF187 FG187 FI187 FJ187 FL187 FM187 FO187 FP187 FR187 FS187 FU187 FV187 AD190 AE190 AG190 AH190 AJ190 AK190 AM190 AN190 AP190 AQ190 AS190 AT190 AV190 AW190 AY190 AZ190 BB190 BC190 BE190 BF190 BH190 BI190 BK190 BL190 BN190 BO190 BQ190 BR190 BT190 BU190 BW190 BX190 BZ190 CA190 CC190 CD190 CF190 CG190 CI190 CJ190 CL190 CM190 CO190 CP190 CR190 CS190 CU190 CV190 CX190 CY190 DA190 DB190 DD190 DE190 DG190 DH190 DJ190 DK190 DM190 DN190 DP190 DQ190 DS190 DT190 DV190 DW190 DY190 DZ190 EB190 EC190 EE190 EF190 EH190 EI190 EK190 EL190 EN190 EO190 EQ190 ER190 ET190 EU190 EW190 EX190 EZ190 FA190 FC190 FD190 FF190 FG190 FI190 FJ190 FL190 FM190 FO190 FP190 FR190 FS190 FU190 FV190 AD191 AE191 AG191 AH191 AJ191 AK191 AM191 AN191 AP191 AQ191 AS191 AT191 AV191 AW191 AY191 AZ191 BB191 BC191 BE191 BF191 BH191 BI191 BK191 BL191 BN191 BO191 BQ191 BR191 BT191 BU191 BW191 BX191 BZ191 CA191 CC191 CD191 CF191 CG191 CI191 CJ191 CL191 CM191 CO191 CP191 CR191 CS191 CU191 CV191 CX191 CY191 DA191 DB191 DD191 DE191 DG191 DH191 DJ191 DK191 DM191 DN191 DP191 DQ191 DS191 DT191 DV191 DW191 DY191 DZ191 EB191 EC191 EE191 EF191 EH191 EI191 EK191 EL191 EN191 EO191 EQ191 ER191 ET191 EU191 EW191 EX191 EZ191 FA191 FC191 FD191 FF191 FG191 FI191 FJ191 FL191 FM191 FO191 FP191 FR191 FS191 FU191 FV191 AD194 AE194 AG194 AH194 AJ194 AK194 AM194 AN194 AP194 AQ194 AS194 AT194 AV194 AW194 AY194 AZ194 BB194 BC194 BE194 BF194 BH194 BI194 BK194 BL194 BN194 BO194 BQ194 BR194 BT194 BU194 BW194 BX194 BZ194 CA194 CC194 CD194 CF194 CG194 CI194 CJ194 CL194 CM194 CO194 CP194 CR194 CS194 CU194 CV194 CX194 CY194 DA194 DB194 DD194 DE194 DG194 DH194 DJ194 DK194 DM194 DN194 DP194 DQ194 DS194 DT194 DV194 DW194 DY194 DZ194 EB194 EC194 EE194 EF194 EH194 EI194 EK194 EL194 EN194 EO194 EQ194 ER194 ET194 EU194 EW194 EX194 EZ194 FA194 FC194 FD194 FF194 FG194 FI194 FJ194 FL194 FM194 FO194 FP194 FR194 FS194 FU194 FV194" xr:uid="{00000000-0002-0000-1A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B9041-01D8-1522-85A7-181C0566A8C8}">
  <sheetPr>
    <tabColor rgb="FF92D050"/>
    <outlinePr summaryBelow="0"/>
  </sheetPr>
  <dimension ref="A1:AV287"/>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5" customHeight="1" x14ac:dyDescent="0.25"/>
  <cols>
    <col min="1" max="1" width="4" style="1210" hidden="1" customWidth="1"/>
    <col min="2" max="2" width="11" style="1210" hidden="1" customWidth="1"/>
    <col min="3" max="4" width="4" style="1210" hidden="1" customWidth="1"/>
    <col min="5" max="5" width="4" style="968" hidden="1" customWidth="1"/>
    <col min="6" max="6" width="4" style="1210" hidden="1" customWidth="1"/>
    <col min="7" max="7" width="10.140625" style="1210" hidden="1" customWidth="1"/>
    <col min="8" max="8" width="10.42578125" style="1210" hidden="1" customWidth="1"/>
    <col min="9" max="15" width="4" style="1210" hidden="1" customWidth="1"/>
    <col min="16" max="16" width="3.7109375" style="1210" hidden="1" customWidth="1"/>
    <col min="17" max="19" width="4" style="1210" hidden="1" customWidth="1"/>
    <col min="20" max="20" width="8.5703125" style="1210" hidden="1" customWidth="1"/>
    <col min="21" max="21" width="5.85546875" style="1210" hidden="1" customWidth="1"/>
    <col min="22" max="23" width="6.140625" style="1210" hidden="1" customWidth="1"/>
    <col min="24" max="24" width="5.7109375" style="1210" hidden="1" customWidth="1"/>
    <col min="25" max="25" width="5.5703125" style="1210" hidden="1" customWidth="1"/>
    <col min="26" max="26" width="5.28515625" style="1210" hidden="1" customWidth="1"/>
    <col min="27" max="27" width="3" style="1210" customWidth="1"/>
    <col min="28" max="28" width="11" style="1210" customWidth="1"/>
    <col min="29" max="29" width="75" style="1210" customWidth="1"/>
    <col min="30" max="30" width="11.28515625" style="1210" customWidth="1"/>
    <col min="31" max="33" width="13" style="1210" customWidth="1"/>
    <col min="34" max="34" width="15.140625" style="1210" customWidth="1"/>
    <col min="35" max="37" width="13" style="1210" customWidth="1"/>
    <col min="38" max="38" width="23.5703125" style="1210" customWidth="1"/>
    <col min="39" max="40" width="20" style="1210" customWidth="1"/>
    <col min="41" max="41" width="32.7109375" style="1210" customWidth="1"/>
    <col min="42" max="42" width="3" style="1210" customWidth="1"/>
    <col min="43" max="43" width="9.140625" style="1210" hidden="1"/>
    <col min="44" max="46" width="9.140625" style="971" hidden="1"/>
    <col min="47" max="48" width="9.140625" style="968" hidden="1"/>
  </cols>
  <sheetData>
    <row r="1" spans="1:48" ht="15" hidden="1" customHeight="1" x14ac:dyDescent="0.25">
      <c r="E1" s="501"/>
      <c r="F1" s="882" t="s">
        <v>319</v>
      </c>
      <c r="I1" s="882" t="s">
        <v>330</v>
      </c>
      <c r="J1" s="882" t="s">
        <v>354</v>
      </c>
      <c r="T1" s="388" t="s">
        <v>92</v>
      </c>
      <c r="U1" s="388" t="s">
        <v>97</v>
      </c>
      <c r="V1" s="388" t="s">
        <v>93</v>
      </c>
      <c r="W1" s="388" t="s">
        <v>94</v>
      </c>
      <c r="X1" s="388" t="s">
        <v>95</v>
      </c>
      <c r="Y1" s="390" t="s">
        <v>321</v>
      </c>
      <c r="Z1" s="388" t="s">
        <v>99</v>
      </c>
      <c r="AA1" s="390" t="s">
        <v>96</v>
      </c>
      <c r="AC1" s="389" t="s">
        <v>98</v>
      </c>
      <c r="AR1" s="971" t="s">
        <v>322</v>
      </c>
      <c r="AS1" s="971" t="s">
        <v>323</v>
      </c>
      <c r="AT1" s="971" t="s">
        <v>324</v>
      </c>
      <c r="AU1" s="968" t="s">
        <v>327</v>
      </c>
      <c r="AV1" s="968" t="s">
        <v>328</v>
      </c>
    </row>
    <row r="2" spans="1:48" ht="15" hidden="1" customHeight="1" x14ac:dyDescent="0.25">
      <c r="B2" s="1132" t="s">
        <v>18</v>
      </c>
      <c r="E2" s="501"/>
      <c r="AE2" s="503" t="b">
        <f>FIRST_TIME_REG="нет"</f>
        <v>1</v>
      </c>
      <c r="AF2" s="503" t="b">
        <f>FIRST_TIME_REG="нет"</f>
        <v>1</v>
      </c>
      <c r="AG2" s="503" t="b">
        <f>FIRST_TIME_REG="нет"</f>
        <v>1</v>
      </c>
      <c r="AH2" s="503" t="b">
        <f>FIRST_TIME_REG="нет"</f>
        <v>1</v>
      </c>
      <c r="AI2" s="503" t="b">
        <f>FIRST_TIME_REG="нет"</f>
        <v>1</v>
      </c>
    </row>
    <row r="3" spans="1:48" ht="15" hidden="1" customHeight="1" x14ac:dyDescent="0.25">
      <c r="E3" s="501"/>
    </row>
    <row r="4" spans="1:48" ht="15" hidden="1" customHeight="1" x14ac:dyDescent="0.25">
      <c r="E4" s="501"/>
    </row>
    <row r="5" spans="1:48" s="968" customFormat="1" ht="15" hidden="1" customHeight="1" x14ac:dyDescent="0.25">
      <c r="A5" s="501"/>
      <c r="B5" s="501"/>
      <c r="C5" s="501"/>
      <c r="D5" s="501"/>
      <c r="E5" s="618" t="s">
        <v>19</v>
      </c>
      <c r="AA5" s="618">
        <v>3</v>
      </c>
      <c r="AB5" s="618">
        <v>11</v>
      </c>
      <c r="AC5" s="618">
        <v>75</v>
      </c>
      <c r="AD5" s="618">
        <v>11.29</v>
      </c>
      <c r="AE5" s="618">
        <v>13</v>
      </c>
      <c r="AF5" s="618">
        <v>13</v>
      </c>
      <c r="AG5" s="618">
        <v>13</v>
      </c>
      <c r="AH5" s="618">
        <v>15.14</v>
      </c>
      <c r="AI5" s="618">
        <v>13</v>
      </c>
      <c r="AJ5" s="618">
        <v>13</v>
      </c>
      <c r="AK5" s="618">
        <v>13</v>
      </c>
      <c r="AL5" s="618">
        <v>23.57</v>
      </c>
      <c r="AM5" s="618">
        <v>20</v>
      </c>
      <c r="AN5" s="618">
        <v>20</v>
      </c>
      <c r="AO5" s="618">
        <v>32.71</v>
      </c>
      <c r="AP5" s="618">
        <v>3</v>
      </c>
      <c r="AR5" s="969"/>
      <c r="AS5" s="969"/>
      <c r="AT5" s="969"/>
    </row>
    <row r="6" spans="1:48" ht="11.25" hidden="1" customHeight="1" x14ac:dyDescent="0.25">
      <c r="A6" s="991" t="s">
        <v>1674</v>
      </c>
      <c r="AM6" s="501" t="str" cm="1">
        <f t="array" ref="AM6">AM24</f>
        <v>Указание на подтверждающие документы / URL-ссылка на копии подтверждающих документов</v>
      </c>
      <c r="AN6" s="501" t="str" cm="1">
        <f t="array" ref="AN6">AN24</f>
        <v>Ссылка на правовую норму (основание для принятия показателя в расчет тарифа)</v>
      </c>
      <c r="AO6" s="501" t="str" cm="1">
        <f t="array" ref="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7" spans="1:48" ht="11.25" hidden="1" customHeight="1" x14ac:dyDescent="0.25">
      <c r="A7" s="882" t="s">
        <v>357</v>
      </c>
      <c r="AE7" s="502">
        <f>god-2</f>
        <v>2024</v>
      </c>
      <c r="AF7" s="502">
        <f>god-2</f>
        <v>2024</v>
      </c>
      <c r="AG7" s="502">
        <f>god-2</f>
        <v>2024</v>
      </c>
      <c r="AH7" s="502">
        <f>god-2</f>
        <v>2024</v>
      </c>
      <c r="AI7" s="503">
        <f>god-1</f>
        <v>2025</v>
      </c>
      <c r="AJ7" s="503" cm="1">
        <f t="array" ref="AJ7">god</f>
        <v>2026</v>
      </c>
      <c r="AK7" s="503" cm="1">
        <f t="array" ref="AK7">god</f>
        <v>2026</v>
      </c>
    </row>
    <row r="8" spans="1:48" ht="11.25" hidden="1" customHeight="1" x14ac:dyDescent="0.25">
      <c r="A8" s="882" t="s">
        <v>358</v>
      </c>
      <c r="AE8" s="503" t="str" cm="1">
        <f t="array" ref="AE8">AE25</f>
        <v>Принято органом регулирования</v>
      </c>
      <c r="AF8" s="503" t="str" cm="1">
        <f t="array" ref="AF8">AF25</f>
        <v>Факт по данным организации</v>
      </c>
      <c r="AG8" s="503" t="str" cm="1">
        <f t="array" ref="AG8">AG25</f>
        <v>Факт, принятый органом регулирования</v>
      </c>
      <c r="AH8" s="503" t="str" cm="1">
        <f t="array" ref="AH8">AH25</f>
        <v>отклонение факта по данным организации к факту принятому органом регулирования</v>
      </c>
      <c r="AI8" s="503" t="str" cm="1">
        <f t="array" ref="AI8">AI25</f>
        <v>Принято органом регулирования</v>
      </c>
      <c r="AJ8" s="503" t="str" cm="1">
        <f t="array" ref="AJ8">AJ25</f>
        <v>Предложение организации</v>
      </c>
      <c r="AK8" s="503" t="str" cm="1">
        <f t="array" ref="AK8">AK25</f>
        <v>Принято органом регулирования</v>
      </c>
    </row>
    <row r="9" spans="1:48" ht="11.25" hidden="1" customHeight="1" x14ac:dyDescent="0.25">
      <c r="AE9" s="503" t="str">
        <f t="shared" ref="AE9:AK9" si="0">AE7&amp;AE8</f>
        <v>2024Принято органом регулирования</v>
      </c>
      <c r="AF9" s="503" t="str">
        <f t="shared" si="0"/>
        <v>2024Факт по данным организации</v>
      </c>
      <c r="AG9" s="503" t="str">
        <f t="shared" si="0"/>
        <v>2024Факт, принятый органом регулирования</v>
      </c>
      <c r="AH9" s="503" t="str">
        <f t="shared" si="0"/>
        <v>2024отклонение факта по данным организации к факту принятому органом регулирования</v>
      </c>
      <c r="AI9" s="503" t="str">
        <f t="shared" si="0"/>
        <v>2025Принято органом регулирования</v>
      </c>
      <c r="AJ9" s="503" t="str">
        <f t="shared" si="0"/>
        <v>2026Предложение организации</v>
      </c>
      <c r="AK9" s="503" t="str">
        <f t="shared" si="0"/>
        <v>2026Принято органом регулирования</v>
      </c>
    </row>
    <row r="10" spans="1:48" s="971" customFormat="1" ht="11.25" hidden="1" customHeight="1" x14ac:dyDescent="0.25">
      <c r="A10" s="1133" t="s">
        <v>362</v>
      </c>
      <c r="AE10" s="970" cm="1">
        <f t="array" ref="AE10">AE7</f>
        <v>2024</v>
      </c>
      <c r="AF10" s="970" cm="1">
        <f t="array" ref="AF10">AF7</f>
        <v>2024</v>
      </c>
      <c r="AG10" s="970" cm="1">
        <f t="array" ref="AG10">AG7</f>
        <v>2024</v>
      </c>
      <c r="AH10" s="970" cm="1">
        <f t="array" ref="AH10">AH7</f>
        <v>2024</v>
      </c>
      <c r="AI10" s="970" cm="1">
        <f t="array" ref="AI10">AI7</f>
        <v>2025</v>
      </c>
      <c r="AJ10" s="970" cm="1">
        <f t="array" ref="AJ10">AJ7</f>
        <v>2026</v>
      </c>
      <c r="AK10" s="970" cm="1">
        <f t="array" ref="AK10">AK7</f>
        <v>2026</v>
      </c>
      <c r="AL10" s="970"/>
      <c r="AU10" s="618"/>
      <c r="AV10" s="618"/>
    </row>
    <row r="11" spans="1:48" s="971" customFormat="1" ht="11.25" hidden="1" customHeight="1" x14ac:dyDescent="0.25">
      <c r="A11" s="906" t="s">
        <v>363</v>
      </c>
      <c r="AE11" s="970" t="str" cm="1">
        <f t="array" ref="AE11">AE25</f>
        <v>Принято органом регулирования</v>
      </c>
      <c r="AF11" s="970" t="str" cm="1">
        <f t="array" ref="AF11">AF25</f>
        <v>Факт по данным организации</v>
      </c>
      <c r="AG11" s="970" t="str" cm="1">
        <f t="array" ref="AG11">AG25</f>
        <v>Факт, принятый органом регулирования</v>
      </c>
      <c r="AH11" s="970" t="str" cm="1">
        <f t="array" ref="AH11">AH25</f>
        <v>отклонение факта по данным организации к факту принятому органом регулирования</v>
      </c>
      <c r="AI11" s="970" t="str" cm="1">
        <f t="array" ref="AI11">AI25</f>
        <v>Принято органом регулирования</v>
      </c>
      <c r="AJ11" s="970" t="str" cm="1">
        <f t="array" ref="AJ11">AJ25</f>
        <v>Предложение организации</v>
      </c>
      <c r="AK11" s="970" t="str" cm="1">
        <f t="array" ref="AK11">AK25</f>
        <v>Принято органом регулирования</v>
      </c>
      <c r="AL11" s="970" t="str" cm="1">
        <f t="array" ref="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618"/>
      <c r="AV11" s="618"/>
    </row>
    <row r="12" spans="1:48" s="971" customFormat="1" ht="11.25" hidden="1" customHeight="1" x14ac:dyDescent="0.25">
      <c r="A12" s="906" t="s">
        <v>364</v>
      </c>
      <c r="AE12" s="970"/>
      <c r="AF12" s="970"/>
      <c r="AG12" s="970"/>
      <c r="AH12" s="970"/>
      <c r="AI12" s="970"/>
      <c r="AJ12" s="970"/>
      <c r="AK12" s="970"/>
      <c r="AM12" s="969" t="str" cm="1">
        <f t="array" ref="AM12">AM24</f>
        <v>Указание на подтверждающие документы / URL-ссылка на копии подтверждающих документов</v>
      </c>
      <c r="AN12" s="969" t="str" cm="1">
        <f t="array" ref="AN12">AN24</f>
        <v>Ссылка на правовую норму (основание для принятия показателя в расчет тарифа)</v>
      </c>
      <c r="AO12" s="969" t="str" cm="1">
        <f t="array" ref="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618"/>
      <c r="AV12" s="618"/>
    </row>
    <row r="13" spans="1:48" s="971" customFormat="1" ht="11.25" hidden="1" customHeight="1" x14ac:dyDescent="0.25">
      <c r="A13" s="971" t="s">
        <v>337</v>
      </c>
      <c r="AC13" s="971" t="s">
        <v>324</v>
      </c>
      <c r="AE13" s="970"/>
      <c r="AF13" s="970"/>
      <c r="AG13" s="970"/>
      <c r="AH13" s="970"/>
      <c r="AI13" s="970"/>
      <c r="AJ13" s="970"/>
      <c r="AK13" s="970"/>
      <c r="AU13" s="618"/>
      <c r="AV13" s="618"/>
    </row>
    <row r="14" spans="1:48" ht="11.25" hidden="1" customHeight="1" x14ac:dyDescent="0.25"/>
    <row r="15" spans="1:48" ht="11.25" hidden="1" customHeight="1" x14ac:dyDescent="0.25"/>
    <row r="16" spans="1:48" ht="11.25" hidden="1" customHeight="1" x14ac:dyDescent="0.25"/>
    <row r="17" spans="1:48" ht="11.25" hidden="1" customHeight="1" x14ac:dyDescent="0.25">
      <c r="AJ17" s="440"/>
    </row>
    <row r="18" spans="1:48" ht="11.25" hidden="1" customHeight="1" x14ac:dyDescent="0.25">
      <c r="A18" s="651" t="s">
        <v>365</v>
      </c>
      <c r="AC18" s="651" t="s">
        <v>366</v>
      </c>
    </row>
    <row r="19" spans="1:48" ht="11.25" hidden="1" customHeight="1" x14ac:dyDescent="0.25"/>
    <row r="20" spans="1:48" ht="11.25" hidden="1" customHeight="1" x14ac:dyDescent="0.25"/>
    <row r="21" spans="1:48" ht="14.65" customHeight="1" x14ac:dyDescent="0.25">
      <c r="E21" s="618">
        <v>15</v>
      </c>
      <c r="AA21" s="617"/>
      <c r="AC21" s="504" t="str" cm="1">
        <f t="array" ref="AC21">tpl_title</f>
        <v>Кемеровская область / 2026 / ООО "Чистая вода" (ИНН:4246023100, КПП:424601001) / ДПР: 2024-2032</v>
      </c>
    </row>
    <row r="22" spans="1:48" ht="19.5" customHeight="1" x14ac:dyDescent="0.25">
      <c r="E22" s="618">
        <v>20</v>
      </c>
      <c r="AB22" s="505" t="s">
        <v>1675</v>
      </c>
      <c r="AC22" s="506"/>
      <c r="AD22" s="506"/>
      <c r="AE22" s="506"/>
      <c r="AF22" s="506"/>
      <c r="AG22" s="506"/>
      <c r="AH22" s="506"/>
      <c r="AI22" s="506"/>
      <c r="AJ22" s="506"/>
      <c r="AK22" s="506"/>
      <c r="AL22" s="506"/>
      <c r="AM22" s="506"/>
      <c r="AN22" s="506"/>
      <c r="AO22" s="506"/>
    </row>
    <row r="23" spans="1:48" ht="14.65" customHeight="1" x14ac:dyDescent="0.25">
      <c r="E23" s="618">
        <v>15</v>
      </c>
      <c r="AB23" s="507"/>
      <c r="AC23" s="507"/>
      <c r="AD23" s="507"/>
      <c r="AE23" s="507"/>
      <c r="AF23" s="507"/>
      <c r="AG23" s="507"/>
      <c r="AH23" s="507"/>
      <c r="AI23" s="507"/>
      <c r="AJ23" s="507"/>
      <c r="AK23" s="507"/>
      <c r="AL23" s="507"/>
      <c r="AM23" s="507"/>
      <c r="AN23" s="507"/>
      <c r="AO23" s="507"/>
    </row>
    <row r="24" spans="1:48" ht="25.5" customHeight="1" x14ac:dyDescent="0.25">
      <c r="E24" s="618">
        <v>26.25</v>
      </c>
      <c r="AB24" s="2038" t="s">
        <v>21</v>
      </c>
      <c r="AC24" s="2038" t="s">
        <v>366</v>
      </c>
      <c r="AD24" s="2038" t="s">
        <v>367</v>
      </c>
      <c r="AE24" s="508" t="str">
        <f>god-2&amp;" год"</f>
        <v>2024 год</v>
      </c>
      <c r="AF24" s="1035" t="str">
        <f>god-2&amp;" год"</f>
        <v>2024 год</v>
      </c>
      <c r="AG24" s="508" t="str">
        <f>god-2&amp;" год"</f>
        <v>2024 год</v>
      </c>
      <c r="AH24" s="508" t="str">
        <f>god-2&amp;" год"</f>
        <v>2024 год</v>
      </c>
      <c r="AI24" s="509" t="str">
        <f>god-1&amp;" год"</f>
        <v>2025 год</v>
      </c>
      <c r="AJ24" s="1037" t="str">
        <f>god&amp;" год"</f>
        <v>2026 год</v>
      </c>
      <c r="AK24" s="508" t="str">
        <f>god&amp;" год"</f>
        <v>2026 год</v>
      </c>
      <c r="AL24" s="2035" t="s">
        <v>1676</v>
      </c>
      <c r="AM24" s="2062" t="s">
        <v>1677</v>
      </c>
      <c r="AN24" s="2060" t="s">
        <v>558</v>
      </c>
      <c r="AO24" s="2060" t="s">
        <v>1678</v>
      </c>
    </row>
    <row r="25" spans="1:48" ht="77.45" customHeight="1" x14ac:dyDescent="0.25">
      <c r="E25" s="618">
        <v>79.5</v>
      </c>
      <c r="AB25" s="2038"/>
      <c r="AC25" s="2038"/>
      <c r="AD25" s="2038"/>
      <c r="AE25" s="509" t="s">
        <v>359</v>
      </c>
      <c r="AF25" s="1036" t="s">
        <v>484</v>
      </c>
      <c r="AG25" s="509" t="s">
        <v>485</v>
      </c>
      <c r="AH25" s="508" t="s">
        <v>1679</v>
      </c>
      <c r="AI25" s="509" t="s">
        <v>359</v>
      </c>
      <c r="AJ25" s="1038" t="s">
        <v>360</v>
      </c>
      <c r="AK25" s="508" t="s">
        <v>359</v>
      </c>
      <c r="AL25" s="2035"/>
      <c r="AM25" s="2062"/>
      <c r="AN25" s="2060"/>
      <c r="AO25" s="2060"/>
    </row>
    <row r="26" spans="1:48" ht="11.25" hidden="1" customHeight="1" x14ac:dyDescent="0.25">
      <c r="E26" s="618">
        <v>0</v>
      </c>
      <c r="AB26" s="659"/>
      <c r="AC26" s="660"/>
      <c r="AD26" s="660"/>
      <c r="AE26" s="661"/>
      <c r="AF26" s="661"/>
      <c r="AG26" s="661"/>
      <c r="AH26" s="662"/>
      <c r="AI26" s="661"/>
      <c r="AJ26" s="662"/>
      <c r="AK26" s="662"/>
      <c r="AL26" s="663"/>
      <c r="AM26" s="662"/>
      <c r="AN26" s="662"/>
      <c r="AO26" s="662"/>
    </row>
    <row r="27" spans="1:48" ht="14.65" hidden="1" customHeight="1" x14ac:dyDescent="0.25">
      <c r="E27" s="618">
        <v>15</v>
      </c>
      <c r="F27" s="503" cm="1">
        <f t="array" ref="F27">X27</f>
        <v>0</v>
      </c>
      <c r="G27" s="619" cm="1">
        <f t="array" ref="G27">INDEX('Общие сведения'!$AK$185:$AK$228,MATCH($X27,'Общие сведения'!$Z$185:$Z$228,0))</f>
        <v>0</v>
      </c>
      <c r="T27" s="388" t="b">
        <f>X27&gt;0</f>
        <v>0</v>
      </c>
      <c r="V27" s="617" t="s">
        <v>271</v>
      </c>
      <c r="X27" s="2120">
        <v>0</v>
      </c>
      <c r="Z27" s="2121"/>
      <c r="AB27" s="1134" t="str" cm="1">
        <f t="array" ref="AB27">INDEX('Общие сведения'!$AG$185:$AG$228,MATCH($X27,'Общие сведения'!$Z$185:$Z$228,0))</f>
        <v xml:space="preserve">Тариф 0 () - </v>
      </c>
      <c r="AC27" s="510"/>
      <c r="AD27" s="510"/>
      <c r="AE27" s="510"/>
      <c r="AF27" s="510"/>
      <c r="AG27" s="510"/>
      <c r="AH27" s="510"/>
      <c r="AI27" s="510"/>
      <c r="AJ27" s="510"/>
      <c r="AK27" s="510"/>
      <c r="AL27" s="510"/>
      <c r="AM27" s="510"/>
      <c r="AN27" s="510"/>
      <c r="AO27" s="510"/>
    </row>
    <row r="28" spans="1:48" ht="14.65" hidden="1" customHeight="1" x14ac:dyDescent="0.25">
      <c r="E28" s="618">
        <v>15</v>
      </c>
      <c r="F28" s="3" cm="1">
        <f t="array" aca="1" ref="F28" ca="1">OFFSET(E28,-1,1)</f>
        <v>0</v>
      </c>
      <c r="I28" s="511" t="s">
        <v>331</v>
      </c>
      <c r="J28" s="511"/>
      <c r="K28" s="511"/>
      <c r="L28" s="511"/>
      <c r="M28" s="511"/>
      <c r="N28" s="511"/>
      <c r="O28" s="511"/>
      <c r="P28" s="511"/>
      <c r="Q28" s="511"/>
      <c r="R28" s="511"/>
      <c r="S28" s="511"/>
      <c r="T28" s="388" t="b" cm="1">
        <f t="array" ref="T28">T27</f>
        <v>0</v>
      </c>
      <c r="X28" s="2120"/>
      <c r="Z28" s="2121"/>
      <c r="AB28" s="719" t="s">
        <v>282</v>
      </c>
      <c r="AC28" s="720" t="s">
        <v>1680</v>
      </c>
      <c r="AD28" s="679" t="s">
        <v>831</v>
      </c>
      <c r="AE28" s="721">
        <f ca="1">AE29+AE33+AE43+AE44+AE47+AE48+AE49</f>
        <v>0</v>
      </c>
      <c r="AF28" s="721">
        <f ca="1">AF29+AF33+AF43+AF44+AF47+AF48+AF49</f>
        <v>0</v>
      </c>
      <c r="AG28" s="721">
        <f ca="1">AG29+AG33+AG43+AG44+AG47+AG48+AG49</f>
        <v>0</v>
      </c>
      <c r="AH28" s="721">
        <f t="shared" ref="AH28:AH54" ca="1" si="1">AG28-AF28</f>
        <v>0</v>
      </c>
      <c r="AI28" s="721">
        <f ca="1">AI29+AI33+AI43+AI44+AI47+AI48+AI49</f>
        <v>0</v>
      </c>
      <c r="AJ28" s="721">
        <f ca="1">AJ29+AJ33+AJ43+AJ44+AJ47+AJ48+AJ49</f>
        <v>0</v>
      </c>
      <c r="AK28" s="721">
        <f ca="1">AK29+AK33+AK43+AK44+AK47+AK48+AK49</f>
        <v>0</v>
      </c>
      <c r="AL28" s="722">
        <f t="shared" ref="AL28:AL54" ca="1" si="2">IF(AI28=0,0,(AK28-AI28)/AI28*100)</f>
        <v>0</v>
      </c>
      <c r="AM28" s="1461"/>
      <c r="AN28" s="1462"/>
      <c r="AO28" s="1461"/>
      <c r="AR28" s="971" t="s">
        <v>549</v>
      </c>
    </row>
    <row r="29" spans="1:48" s="512" customFormat="1" ht="21.95" hidden="1" customHeight="1" x14ac:dyDescent="0.25">
      <c r="E29" s="620">
        <v>22.5</v>
      </c>
      <c r="F29" s="3" cm="1">
        <f t="array" aca="1" ref="F29" ca="1">OFFSET(E29,-1,1)</f>
        <v>0</v>
      </c>
      <c r="I29" s="621" t="s">
        <v>494</v>
      </c>
      <c r="J29" s="621"/>
      <c r="K29" s="621"/>
      <c r="L29" s="621"/>
      <c r="M29" s="621"/>
      <c r="N29" s="621"/>
      <c r="O29" s="621"/>
      <c r="P29" s="621"/>
      <c r="Q29" s="621"/>
      <c r="R29" s="621"/>
      <c r="S29" s="621"/>
      <c r="T29" s="388" t="b" cm="1">
        <f t="array" ref="T29">T28</f>
        <v>0</v>
      </c>
      <c r="X29" s="2120"/>
      <c r="Z29" s="2121"/>
      <c r="AB29" s="724" t="s">
        <v>910</v>
      </c>
      <c r="AC29" s="725" t="s">
        <v>1681</v>
      </c>
      <c r="AD29" s="514" t="s">
        <v>831</v>
      </c>
      <c r="AE29" s="721">
        <f ca="1">SUM(AE30:AE32)</f>
        <v>0</v>
      </c>
      <c r="AF29" s="721">
        <f ca="1">SUM(AF30:AF32)</f>
        <v>0</v>
      </c>
      <c r="AG29" s="721">
        <f ca="1">SUM(AG30:AG32)</f>
        <v>0</v>
      </c>
      <c r="AH29" s="721">
        <f t="shared" ca="1" si="1"/>
        <v>0</v>
      </c>
      <c r="AI29" s="721">
        <f ca="1">SUM(AI30:AI32)</f>
        <v>0</v>
      </c>
      <c r="AJ29" s="721">
        <f ca="1">SUM(AJ30:AJ32)</f>
        <v>0</v>
      </c>
      <c r="AK29" s="721">
        <f ca="1">SUM(AK30:AK32)</f>
        <v>0</v>
      </c>
      <c r="AL29" s="721">
        <f t="shared" ca="1" si="2"/>
        <v>0</v>
      </c>
      <c r="AM29" s="1463"/>
      <c r="AN29" s="1463"/>
      <c r="AO29" s="1463"/>
      <c r="AR29" s="972" t="s">
        <v>1682</v>
      </c>
      <c r="AS29" s="972"/>
      <c r="AT29" s="972"/>
      <c r="AU29" s="620"/>
      <c r="AV29" s="620"/>
    </row>
    <row r="30" spans="1:48" ht="14.65" hidden="1" customHeight="1" x14ac:dyDescent="0.25">
      <c r="E30" s="618">
        <v>15</v>
      </c>
      <c r="F30" s="3" cm="1">
        <f t="array" aca="1" ref="F30" ca="1">OFFSET(E30,-1,1)</f>
        <v>0</v>
      </c>
      <c r="I30" s="511" t="s">
        <v>1016</v>
      </c>
      <c r="J30" s="511"/>
      <c r="K30" s="511"/>
      <c r="L30" s="511"/>
      <c r="M30" s="511"/>
      <c r="N30" s="511"/>
      <c r="O30" s="511"/>
      <c r="P30" s="511"/>
      <c r="Q30" s="511"/>
      <c r="R30" s="511"/>
      <c r="S30" s="511"/>
      <c r="T30" s="388" t="b" cm="1">
        <f t="array" ref="T30">T29</f>
        <v>0</v>
      </c>
      <c r="X30" s="2120"/>
      <c r="Z30" s="2121"/>
      <c r="AB30" s="727" t="s">
        <v>1017</v>
      </c>
      <c r="AC30" s="728" t="s">
        <v>1683</v>
      </c>
      <c r="AD30" s="679" t="s">
        <v>831</v>
      </c>
      <c r="AE30" s="722">
        <f ca="1">SUMIFS('Сырье и материалы'!AE$25:AE$46,'Сырье и материалы'!$F$25:$F$46,$F30,'Сырье и материалы'!$AC$25:$AC$46,"Всего по тарифу")</f>
        <v>0</v>
      </c>
      <c r="AF30" s="722">
        <f ca="1">SUMIFS('Сырье и материалы'!AF$25:AF$46,'Сырье и материалы'!$F$25:$F$46,$F30,'Сырье и материалы'!$AC$25:$AC$46,"Всего по тарифу")</f>
        <v>0</v>
      </c>
      <c r="AG30" s="722">
        <f ca="1">SUMIFS('Сырье и материалы'!AG$25:AG$46,'Сырье и материалы'!$F$25:$F$46,$F30,'Сырье и материалы'!$AC$25:$AC$46,"Всего по тарифу")</f>
        <v>0</v>
      </c>
      <c r="AH30" s="722">
        <f t="shared" ca="1" si="1"/>
        <v>0</v>
      </c>
      <c r="AI30" s="722">
        <f ca="1">SUMIFS('Сырье и материалы'!AH$25:AH$46,'Сырье и материалы'!$F$25:$F$46,$F30,'Сырье и материалы'!$AC$25:$AC$46,"Всего по тарифу")</f>
        <v>0</v>
      </c>
      <c r="AJ30" s="722">
        <f ca="1">SUMIFS('Сырье и материалы'!AI$25:AI$46,'Сырье и материалы'!$F$25:$F$46,$F30,'Сырье и материалы'!$AC$25:$AC$46,"Всего по тарифу")</f>
        <v>0</v>
      </c>
      <c r="AK30" s="722">
        <f ca="1">SUMIFS('Сырье и материалы'!AS$25:AS$46,'Сырье и материалы'!$F$25:$F$46,$F30,'Сырье и материалы'!$AC$25:$AC$46,"Всего по тарифу")</f>
        <v>0</v>
      </c>
      <c r="AL30" s="722">
        <f t="shared" ca="1" si="2"/>
        <v>0</v>
      </c>
      <c r="AM30" s="1461"/>
      <c r="AN30" s="1462" t="str">
        <f ca="1">IF(IFERROR(INDEX('Сырье и материалы'!$K$26:$L$46,MATCH($F30&amp;"komm",'Сырье и материалы'!$K$26:$K$46,0),2),"")=0,"",IFERROR(INDEX('Сырье и материалы'!$K$26:$L$46,MATCH($F30&amp;"komm",'Сырье и материалы'!$K$26:$K$46,0),2),""))</f>
        <v/>
      </c>
      <c r="AO30" s="1461"/>
      <c r="AR30" s="971" t="s">
        <v>1684</v>
      </c>
    </row>
    <row r="31" spans="1:48" ht="14.65" hidden="1" customHeight="1" x14ac:dyDescent="0.25">
      <c r="E31" s="618">
        <v>15</v>
      </c>
      <c r="F31" s="3" cm="1">
        <f t="array" aca="1" ref="F31" ca="1">OFFSET(E31,-1,1)</f>
        <v>0</v>
      </c>
      <c r="I31" s="511" t="s">
        <v>1020</v>
      </c>
      <c r="J31" s="511"/>
      <c r="K31" s="511"/>
      <c r="L31" s="511"/>
      <c r="M31" s="511"/>
      <c r="N31" s="511"/>
      <c r="O31" s="511"/>
      <c r="P31" s="511"/>
      <c r="Q31" s="511"/>
      <c r="R31" s="511"/>
      <c r="S31" s="511"/>
      <c r="T31" s="388" t="b" cm="1">
        <f t="array" ref="T31">T30</f>
        <v>0</v>
      </c>
      <c r="X31" s="2120"/>
      <c r="Z31" s="2121"/>
      <c r="AB31" s="727" t="s">
        <v>1021</v>
      </c>
      <c r="AC31" s="728" t="s">
        <v>1685</v>
      </c>
      <c r="AD31" s="679" t="s">
        <v>831</v>
      </c>
      <c r="AE31" s="729"/>
      <c r="AF31" s="729"/>
      <c r="AG31" s="729"/>
      <c r="AH31" s="722">
        <f t="shared" si="1"/>
        <v>0</v>
      </c>
      <c r="AI31" s="729"/>
      <c r="AJ31" s="1464"/>
      <c r="AK31" s="1464"/>
      <c r="AL31" s="722">
        <f t="shared" si="2"/>
        <v>0</v>
      </c>
      <c r="AM31" s="1461"/>
      <c r="AN31" s="1461"/>
      <c r="AO31" s="1461"/>
      <c r="AR31" s="971" t="s">
        <v>1686</v>
      </c>
    </row>
    <row r="32" spans="1:48" ht="14.65" hidden="1" customHeight="1" x14ac:dyDescent="0.25">
      <c r="E32" s="618">
        <v>15</v>
      </c>
      <c r="F32" s="3" cm="1">
        <f t="array" aca="1" ref="F32" ca="1">OFFSET(E32,-1,1)</f>
        <v>0</v>
      </c>
      <c r="I32" s="511" t="s">
        <v>1276</v>
      </c>
      <c r="J32" s="511"/>
      <c r="K32" s="511"/>
      <c r="L32" s="511"/>
      <c r="M32" s="511"/>
      <c r="N32" s="511"/>
      <c r="O32" s="511"/>
      <c r="P32" s="511"/>
      <c r="Q32" s="511"/>
      <c r="R32" s="511"/>
      <c r="S32" s="511"/>
      <c r="T32" s="388" t="b" cm="1">
        <f t="array" ref="T32">T31</f>
        <v>0</v>
      </c>
      <c r="X32" s="2120"/>
      <c r="Z32" s="2121"/>
      <c r="AB32" s="727" t="s">
        <v>1277</v>
      </c>
      <c r="AC32" s="728" t="s">
        <v>1687</v>
      </c>
      <c r="AD32" s="679" t="s">
        <v>831</v>
      </c>
      <c r="AE32" s="729"/>
      <c r="AF32" s="729"/>
      <c r="AG32" s="729"/>
      <c r="AH32" s="722">
        <f t="shared" si="1"/>
        <v>0</v>
      </c>
      <c r="AI32" s="729"/>
      <c r="AJ32" s="1464"/>
      <c r="AK32" s="1464"/>
      <c r="AL32" s="722">
        <f t="shared" si="2"/>
        <v>0</v>
      </c>
      <c r="AM32" s="1461"/>
      <c r="AN32" s="1461"/>
      <c r="AO32" s="1461"/>
      <c r="AR32" s="971" t="s">
        <v>1688</v>
      </c>
    </row>
    <row r="33" spans="5:48" s="512" customFormat="1" ht="21.95" hidden="1" customHeight="1" x14ac:dyDescent="0.25">
      <c r="E33" s="620">
        <v>22.5</v>
      </c>
      <c r="F33" s="3" cm="1">
        <f t="array" aca="1" ref="F33" ca="1">OFFSET(E33,-1,1)</f>
        <v>0</v>
      </c>
      <c r="I33" s="621" t="s">
        <v>498</v>
      </c>
      <c r="J33" s="621"/>
      <c r="K33" s="621"/>
      <c r="L33" s="621"/>
      <c r="M33" s="621"/>
      <c r="N33" s="621"/>
      <c r="O33" s="621"/>
      <c r="P33" s="621"/>
      <c r="Q33" s="621"/>
      <c r="R33" s="621"/>
      <c r="S33" s="621"/>
      <c r="T33" s="388" t="b" cm="1">
        <f t="array" ref="T33">T32</f>
        <v>0</v>
      </c>
      <c r="X33" s="2120"/>
      <c r="Z33" s="2121"/>
      <c r="AB33" s="724" t="s">
        <v>913</v>
      </c>
      <c r="AC33" s="725" t="s">
        <v>1689</v>
      </c>
      <c r="AD33" s="514" t="s">
        <v>831</v>
      </c>
      <c r="AE33" s="721">
        <f ca="1">SUM(AE34:AE42)</f>
        <v>0</v>
      </c>
      <c r="AF33" s="721">
        <f ca="1">SUM(AF34:AF42)</f>
        <v>0</v>
      </c>
      <c r="AG33" s="721">
        <f ca="1">SUM(AG34:AG42)</f>
        <v>0</v>
      </c>
      <c r="AH33" s="721">
        <f t="shared" ca="1" si="1"/>
        <v>0</v>
      </c>
      <c r="AI33" s="721">
        <f ca="1">SUM(AI34:AI42)</f>
        <v>0</v>
      </c>
      <c r="AJ33" s="721">
        <f ca="1">SUM(AJ34:AJ42)</f>
        <v>0</v>
      </c>
      <c r="AK33" s="721">
        <f ca="1">SUM(AK34:AK42)</f>
        <v>0</v>
      </c>
      <c r="AL33" s="721">
        <f t="shared" ca="1" si="2"/>
        <v>0</v>
      </c>
      <c r="AM33" s="1463"/>
      <c r="AN33" s="1463"/>
      <c r="AO33" s="1463"/>
      <c r="AR33" s="972" t="s">
        <v>1690</v>
      </c>
      <c r="AS33" s="972"/>
      <c r="AT33" s="972"/>
      <c r="AU33" s="620"/>
      <c r="AV33" s="620"/>
    </row>
    <row r="34" spans="5:48" ht="14.65" hidden="1" customHeight="1" x14ac:dyDescent="0.25">
      <c r="E34" s="618">
        <v>15</v>
      </c>
      <c r="F34" s="3" cm="1">
        <f t="array" aca="1" ref="F34" ca="1">OFFSET(E34,-1,1)</f>
        <v>0</v>
      </c>
      <c r="I34" s="511" t="s">
        <v>1301</v>
      </c>
      <c r="J34" s="511"/>
      <c r="K34" s="511"/>
      <c r="L34" s="511"/>
      <c r="M34" s="511"/>
      <c r="N34" s="511"/>
      <c r="O34" s="511"/>
      <c r="P34" s="511"/>
      <c r="Q34" s="511"/>
      <c r="R34" s="511"/>
      <c r="S34" s="511"/>
      <c r="T34" s="388" t="b" cm="1">
        <f t="array" ref="T34">T33</f>
        <v>0</v>
      </c>
      <c r="X34" s="2120"/>
      <c r="Z34" s="2121"/>
      <c r="AB34" s="727" t="s">
        <v>1302</v>
      </c>
      <c r="AC34" s="728" t="s">
        <v>1691</v>
      </c>
      <c r="AD34" s="679" t="s">
        <v>831</v>
      </c>
      <c r="AE34" s="722">
        <f ca="1">SUMIFS(ЭЭ!AE$25:AE$117,ЭЭ!$F$25:$F$117,$F34,ЭЭ!$AC$25:$AC$117,"Всего по тарифу")</f>
        <v>0</v>
      </c>
      <c r="AF34" s="722">
        <f ca="1">SUMIFS(ЭЭ!AF$25:AF$117,ЭЭ!$F$25:$F$117,$F34,ЭЭ!$AC$25:$AC$117,"Всего по тарифу")</f>
        <v>0</v>
      </c>
      <c r="AG34" s="722">
        <f ca="1">SUMIFS(ЭЭ!AG$25:AG$117,ЭЭ!$F$25:$F$117,$F34,ЭЭ!$AC$25:$AC$117,"Всего по тарифу")</f>
        <v>0</v>
      </c>
      <c r="AH34" s="722">
        <f t="shared" ca="1" si="1"/>
        <v>0</v>
      </c>
      <c r="AI34" s="722">
        <f ca="1">SUMIFS(ЭЭ!AH$25:AH$117,ЭЭ!$F$25:$F$117,$F34,ЭЭ!$AC$25:$AC$117,"Всего по тарифу")</f>
        <v>0</v>
      </c>
      <c r="AJ34" s="722">
        <f ca="1">SUMIFS(ЭЭ!AI$25:AI$117,ЭЭ!$F$25:$F$117,$F34,ЭЭ!$AC$25:$AC$117,"Всего по тарифу")</f>
        <v>0</v>
      </c>
      <c r="AK34" s="722">
        <f ca="1">SUMIFS(ЭЭ!AS$25:AS$117,ЭЭ!$F$25:$F$117,$F34,ЭЭ!$AC$25:$AC$117,"Всего по тарифу")</f>
        <v>0</v>
      </c>
      <c r="AL34" s="722">
        <f t="shared" ca="1" si="2"/>
        <v>0</v>
      </c>
      <c r="AM34" s="1461"/>
      <c r="AN34" s="1462" t="str">
        <f ca="1">IF(IFERROR(INDEX(ЭЭ!$K$26:$L$117,MATCH($F34&amp;"komm",ЭЭ!$K$26:$K$117,0),2),"")=0,"",IFERROR(INDEX(ЭЭ!$K$26:$L$117,MATCH($F34&amp;"komm",ЭЭ!$K$26:$K$117,0),2),""))</f>
        <v/>
      </c>
      <c r="AO34" s="1461"/>
      <c r="AR34" s="971" t="s">
        <v>1692</v>
      </c>
    </row>
    <row r="35" spans="5:48" ht="14.65" hidden="1" customHeight="1" x14ac:dyDescent="0.25">
      <c r="E35" s="618">
        <v>15</v>
      </c>
      <c r="F35" s="3" cm="1">
        <f t="array" aca="1" ref="F35" ca="1">OFFSET(E35,-1,1)</f>
        <v>0</v>
      </c>
      <c r="G35" s="501" t="s">
        <v>1092</v>
      </c>
      <c r="I35" s="511" t="s">
        <v>1304</v>
      </c>
      <c r="J35" s="511"/>
      <c r="K35" s="511"/>
      <c r="L35" s="511"/>
      <c r="M35" s="511"/>
      <c r="N35" s="511"/>
      <c r="O35" s="511"/>
      <c r="P35" s="511"/>
      <c r="Q35" s="511"/>
      <c r="R35" s="511"/>
      <c r="S35" s="511"/>
      <c r="T35" s="388" t="b" cm="1">
        <f t="array" ref="T35">T34</f>
        <v>0</v>
      </c>
      <c r="X35" s="2120"/>
      <c r="Z35" s="2121"/>
      <c r="AB35" s="727" t="s">
        <v>1305</v>
      </c>
      <c r="AC35" s="728" t="s">
        <v>1693</v>
      </c>
      <c r="AD35" s="679" t="s">
        <v>831</v>
      </c>
      <c r="AE35" s="722">
        <f ca="1">SUMIFS(Покупка!AE$25:AE$117,Покупка!$F$25:$F$117,$F35,Покупка!$AC$25:$AC$117,$G35)</f>
        <v>0</v>
      </c>
      <c r="AF35" s="722">
        <f ca="1">SUMIFS(Покупка!AF$25:AF$117,Покупка!$F$25:$F$117,$F35,Покупка!$AC$25:$AC$117,$G35)</f>
        <v>0</v>
      </c>
      <c r="AG35" s="722">
        <f ca="1">SUMIFS(Покупка!AG$25:AG$117,Покупка!$F$25:$F$117,$F35,Покупка!$AC$25:$AC$117,$G35)</f>
        <v>0</v>
      </c>
      <c r="AH35" s="722">
        <f t="shared" ca="1" si="1"/>
        <v>0</v>
      </c>
      <c r="AI35" s="722">
        <f ca="1">SUMIFS(Покупка!AH$25:AH$117,Покупка!$F$25:$F$117,$F35,Покупка!$AC$25:$AC$117,$G35)</f>
        <v>0</v>
      </c>
      <c r="AJ35" s="722">
        <f ca="1">SUMIFS(Покупка!AI$25:AI$117,Покупка!$F$25:$F$117,$F35,Покупка!$AC$25:$AC$117,$G35)</f>
        <v>0</v>
      </c>
      <c r="AK35" s="722">
        <f ca="1">SUMIFS(Покупка!AS$25:AS$117,Покупка!$F$25:$F$117,$F35,Покупка!$AC$25:$AC$117,$G35)</f>
        <v>0</v>
      </c>
      <c r="AL35" s="722">
        <f t="shared" ca="1" si="2"/>
        <v>0</v>
      </c>
      <c r="AM35" s="1461"/>
      <c r="AN35" s="1462" t="str">
        <f ca="1">IF(IFERROR(INDEX(Покупка!$K$26:$L$117,MATCH($F35&amp;"6komm",Покупка!$K$26:$K$117,0),2),"")=0,"",IFERROR(INDEX(Покупка!$K$26:$L$117,MATCH($F35&amp;"6komm",Покупка!$K$26:$K$117,0),2),""))</f>
        <v/>
      </c>
      <c r="AO35" s="1461"/>
      <c r="AR35" s="971" t="s">
        <v>1093</v>
      </c>
    </row>
    <row r="36" spans="5:48" ht="14.65" hidden="1" customHeight="1" x14ac:dyDescent="0.25">
      <c r="E36" s="618">
        <v>15</v>
      </c>
      <c r="F36" s="3" cm="1">
        <f t="array" aca="1" ref="F36" ca="1">OFFSET(E36,-1,1)</f>
        <v>0</v>
      </c>
      <c r="G36" s="501" t="s">
        <v>1094</v>
      </c>
      <c r="I36" s="511" t="s">
        <v>1308</v>
      </c>
      <c r="J36" s="511"/>
      <c r="K36" s="511"/>
      <c r="L36" s="511"/>
      <c r="M36" s="511"/>
      <c r="N36" s="511"/>
      <c r="O36" s="511"/>
      <c r="P36" s="511"/>
      <c r="Q36" s="511"/>
      <c r="R36" s="511"/>
      <c r="S36" s="511"/>
      <c r="T36" s="388" t="b" cm="1">
        <f t="array" ref="T36">T35</f>
        <v>0</v>
      </c>
      <c r="X36" s="2120"/>
      <c r="Z36" s="2121"/>
      <c r="AB36" s="727" t="s">
        <v>1309</v>
      </c>
      <c r="AC36" s="728" t="s">
        <v>1694</v>
      </c>
      <c r="AD36" s="679" t="s">
        <v>831</v>
      </c>
      <c r="AE36" s="722">
        <f ca="1">SUMIFS(Покупка!AE$25:AE$117,Покупка!$F$25:$F$117,$F36,Покупка!$AC$25:$AC$117,$G36)</f>
        <v>0</v>
      </c>
      <c r="AF36" s="722">
        <f ca="1">SUMIFS(Покупка!AF$25:AF$117,Покупка!$F$25:$F$117,$F36,Покупка!$AC$25:$AC$117,$G36)</f>
        <v>0</v>
      </c>
      <c r="AG36" s="722">
        <f ca="1">SUMIFS(Покупка!AG$25:AG$117,Покупка!$F$25:$F$117,$F36,Покупка!$AC$25:$AC$117,$G36)</f>
        <v>0</v>
      </c>
      <c r="AH36" s="722">
        <f t="shared" ca="1" si="1"/>
        <v>0</v>
      </c>
      <c r="AI36" s="722">
        <f ca="1">SUMIFS(Покупка!AH$25:AH$117,Покупка!$F$25:$F$117,$F36,Покупка!$AC$25:$AC$117,$G36)</f>
        <v>0</v>
      </c>
      <c r="AJ36" s="722">
        <f ca="1">SUMIFS(Покупка!AI$25:AI$117,Покупка!$F$25:$F$117,$F36,Покупка!$AC$25:$AC$117,$G36)</f>
        <v>0</v>
      </c>
      <c r="AK36" s="722">
        <f ca="1">SUMIFS(Покупка!AS$25:AS$117,Покупка!$F$25:$F$117,$F36,Покупка!$AC$25:$AC$117,$G36)</f>
        <v>0</v>
      </c>
      <c r="AL36" s="722">
        <f t="shared" ca="1" si="2"/>
        <v>0</v>
      </c>
      <c r="AM36" s="1461"/>
      <c r="AN36" s="1462" t="str">
        <f ca="1">IF(IFERROR(INDEX(Покупка!$K$26:$L$117,MATCH($F36&amp;"7komm",Покупка!$K$26:$K$117,0),2),"")=0,"",IFERROR(INDEX(Покупка!$K$26:$L$117,MATCH($F36&amp;"7komm",Покупка!$K$26:$K$117,0),2),""))</f>
        <v/>
      </c>
      <c r="AO36" s="1461"/>
      <c r="AR36" s="971" t="s">
        <v>1095</v>
      </c>
    </row>
    <row r="37" spans="5:48" ht="14.65" hidden="1" customHeight="1" x14ac:dyDescent="0.25">
      <c r="E37" s="618">
        <v>15</v>
      </c>
      <c r="F37" s="3" cm="1">
        <f t="array" aca="1" ref="F37" ca="1">OFFSET(E37,-1,1)</f>
        <v>0</v>
      </c>
      <c r="G37" s="672" t="s">
        <v>1098</v>
      </c>
      <c r="I37" s="511" t="s">
        <v>1469</v>
      </c>
      <c r="J37" s="511"/>
      <c r="K37" s="511"/>
      <c r="L37" s="511"/>
      <c r="M37" s="511"/>
      <c r="N37" s="511"/>
      <c r="O37" s="511"/>
      <c r="P37" s="511"/>
      <c r="Q37" s="511"/>
      <c r="R37" s="511"/>
      <c r="S37" s="511"/>
      <c r="T37" s="388" t="b" cm="1">
        <f t="array" ref="T37">T36</f>
        <v>0</v>
      </c>
      <c r="X37" s="2120"/>
      <c r="Z37" s="2121"/>
      <c r="AB37" s="727" t="s">
        <v>1695</v>
      </c>
      <c r="AC37" s="728" t="s">
        <v>1696</v>
      </c>
      <c r="AD37" s="679" t="s">
        <v>831</v>
      </c>
      <c r="AE37" s="722">
        <f ca="1">SUMIFS(Покупка!AE$25:AE$117,Покупка!$F$25:$F$117,$F37,Покупка!$AC$25:$AC$117,$G37)</f>
        <v>0</v>
      </c>
      <c r="AF37" s="722">
        <f ca="1">SUMIFS(Покупка!AF$25:AF$117,Покупка!$F$25:$F$117,$F37,Покупка!$AC$25:$AC$117,$G37)</f>
        <v>0</v>
      </c>
      <c r="AG37" s="722">
        <f ca="1">SUMIFS(Покупка!AG$25:AG$117,Покупка!$F$25:$F$117,$F37,Покупка!$AC$25:$AC$117,$G37)</f>
        <v>0</v>
      </c>
      <c r="AH37" s="722">
        <f t="shared" ca="1" si="1"/>
        <v>0</v>
      </c>
      <c r="AI37" s="722">
        <f ca="1">SUMIFS(Покупка!AH$25:AH$117,Покупка!$F$25:$F$117,$F37,Покупка!$AC$25:$AC$117,$G37)</f>
        <v>0</v>
      </c>
      <c r="AJ37" s="722">
        <f ca="1">SUMIFS(Покупка!AI$25:AI$117,Покупка!$F$25:$F$117,$F37,Покупка!$AC$25:$AC$117,$G37)</f>
        <v>0</v>
      </c>
      <c r="AK37" s="722">
        <f ca="1">SUMIFS(Покупка!AS$25:AS$117,Покупка!$F$25:$F$117,$F37,Покупка!$AC$25:$AC$117,$G37)</f>
        <v>0</v>
      </c>
      <c r="AL37" s="722">
        <f t="shared" ca="1" si="2"/>
        <v>0</v>
      </c>
      <c r="AM37" s="1461"/>
      <c r="AN37" s="1462" t="str">
        <f ca="1">IF(IFERROR(INDEX(Покупка!$K$26:$L$117,MATCH($F37&amp;"9komm",Покупка!$K$26:$K$117,0),2),"")=0,"",IFERROR(INDEX(Покупка!$K$26:$L$117,MATCH($F37&amp;"9komm",Покупка!$K$26:$K$117,0),2),""))</f>
        <v/>
      </c>
      <c r="AO37" s="1461"/>
      <c r="AR37" s="971" t="s">
        <v>1099</v>
      </c>
    </row>
    <row r="38" spans="5:48" ht="14.65" hidden="1" customHeight="1" x14ac:dyDescent="0.25">
      <c r="E38" s="618">
        <v>15</v>
      </c>
      <c r="F38" s="3" cm="1">
        <f t="array" aca="1" ref="F38" ca="1">OFFSET(E38,-1,1)</f>
        <v>0</v>
      </c>
      <c r="G38" s="501" t="s">
        <v>1060</v>
      </c>
      <c r="I38" s="511" t="s">
        <v>1473</v>
      </c>
      <c r="J38" s="511"/>
      <c r="K38" s="511"/>
      <c r="L38" s="511"/>
      <c r="M38" s="511"/>
      <c r="N38" s="511"/>
      <c r="O38" s="511"/>
      <c r="P38" s="511"/>
      <c r="Q38" s="511"/>
      <c r="R38" s="511"/>
      <c r="S38" s="511"/>
      <c r="T38" s="388" t="b" cm="1">
        <f t="array" ref="T38">T37</f>
        <v>0</v>
      </c>
      <c r="X38" s="2120"/>
      <c r="Z38" s="2121"/>
      <c r="AB38" s="727" t="s">
        <v>1697</v>
      </c>
      <c r="AC38" s="728" t="s">
        <v>1698</v>
      </c>
      <c r="AD38" s="679" t="s">
        <v>831</v>
      </c>
      <c r="AE38" s="722">
        <f ca="1">SUMIFS(Покупка!AE$25:AE$117,Покупка!$F$25:$F$117,$F38,Покупка!$AC$25:$AC$117,$G38)</f>
        <v>0</v>
      </c>
      <c r="AF38" s="722">
        <f ca="1">SUMIFS(Покупка!AF$25:AF$117,Покупка!$F$25:$F$117,$F38,Покупка!$AC$25:$AC$117,$G38)</f>
        <v>0</v>
      </c>
      <c r="AG38" s="722">
        <f ca="1">SUMIFS(Покупка!AG$25:AG$117,Покупка!$F$25:$F$117,$F38,Покупка!$AC$25:$AC$117,$G38)</f>
        <v>0</v>
      </c>
      <c r="AH38" s="722">
        <f t="shared" ca="1" si="1"/>
        <v>0</v>
      </c>
      <c r="AI38" s="722">
        <f ca="1">SUMIFS(Покупка!AH$25:AH$117,Покупка!$F$25:$F$117,$F38,Покупка!$AC$25:$AC$117,$G38)</f>
        <v>0</v>
      </c>
      <c r="AJ38" s="722">
        <f ca="1">SUMIFS(Покупка!AI$25:AI$117,Покупка!$F$25:$F$117,$F38,Покупка!$AC$25:$AC$117,$G38)</f>
        <v>0</v>
      </c>
      <c r="AK38" s="722">
        <f ca="1">SUMIFS(Покупка!AS$25:AS$117,Покупка!$F$25:$F$117,$F38,Покупка!$AC$25:$AC$117,$G38)</f>
        <v>0</v>
      </c>
      <c r="AL38" s="722">
        <f t="shared" ca="1" si="2"/>
        <v>0</v>
      </c>
      <c r="AM38" s="1461"/>
      <c r="AN38" s="1462" t="str">
        <f ca="1">IF(IFERROR(INDEX(Покупка!$K$26:$L$117,MATCH($F38&amp;"1komm",Покупка!$K$26:$K$117,0),2),"")=0,"",IFERROR(INDEX(Покупка!$K$26:$L$117,MATCH($F38&amp;"1komm",Покупка!$K$26:$K$117,0),2),""))</f>
        <v/>
      </c>
      <c r="AO38" s="1461"/>
      <c r="AR38" s="971" t="s">
        <v>1699</v>
      </c>
    </row>
    <row r="39" spans="5:48" ht="14.65" hidden="1" customHeight="1" x14ac:dyDescent="0.25">
      <c r="E39" s="618">
        <v>15</v>
      </c>
      <c r="F39" s="3" cm="1">
        <f t="array" aca="1" ref="F39" ca="1">OFFSET(E39,-1,1)</f>
        <v>0</v>
      </c>
      <c r="G39" s="501" t="s">
        <v>1069</v>
      </c>
      <c r="I39" s="511" t="s">
        <v>1478</v>
      </c>
      <c r="J39" s="511"/>
      <c r="K39" s="511"/>
      <c r="L39" s="511"/>
      <c r="M39" s="511"/>
      <c r="N39" s="511"/>
      <c r="O39" s="511"/>
      <c r="P39" s="511"/>
      <c r="Q39" s="511"/>
      <c r="R39" s="511"/>
      <c r="S39" s="511"/>
      <c r="T39" s="388" t="b" cm="1">
        <f t="array" ref="T39">T38</f>
        <v>0</v>
      </c>
      <c r="X39" s="2120"/>
      <c r="Z39" s="2121"/>
      <c r="AB39" s="727" t="s">
        <v>1700</v>
      </c>
      <c r="AC39" s="728" t="s">
        <v>1701</v>
      </c>
      <c r="AD39" s="679" t="s">
        <v>831</v>
      </c>
      <c r="AE39" s="722">
        <f ca="1">SUMIFS(Покупка!AE$25:AE$117,Покупка!$F$25:$F$117,$F39,Покупка!$AC$25:$AC$117,$G39)</f>
        <v>0</v>
      </c>
      <c r="AF39" s="722">
        <f ca="1">SUMIFS(Покупка!AF$25:AF$117,Покупка!$F$25:$F$117,$F39,Покупка!$AC$25:$AC$117,$G39)</f>
        <v>0</v>
      </c>
      <c r="AG39" s="722">
        <f ca="1">SUMIFS(Покупка!AG$25:AG$117,Покупка!$F$25:$F$117,$F39,Покупка!$AC$25:$AC$117,$G39)</f>
        <v>0</v>
      </c>
      <c r="AH39" s="722">
        <f t="shared" ca="1" si="1"/>
        <v>0</v>
      </c>
      <c r="AI39" s="722">
        <f ca="1">SUMIFS(Покупка!AH$25:AH$117,Покупка!$F$25:$F$117,$F39,Покупка!$AC$25:$AC$117,$G39)</f>
        <v>0</v>
      </c>
      <c r="AJ39" s="722">
        <f ca="1">SUMIFS(Покупка!AI$25:AI$117,Покупка!$F$25:$F$117,$F39,Покупка!$AC$25:$AC$117,$G39)</f>
        <v>0</v>
      </c>
      <c r="AK39" s="722">
        <f ca="1">SUMIFS(Покупка!AS$25:AS$117,Покупка!$F$25:$F$117,$F39,Покупка!$AC$25:$AC$117,$G39)</f>
        <v>0</v>
      </c>
      <c r="AL39" s="722">
        <f t="shared" ca="1" si="2"/>
        <v>0</v>
      </c>
      <c r="AM39" s="1461"/>
      <c r="AN39" s="1462" t="str">
        <f ca="1">IF(IFERROR(INDEX(Покупка!$K$26:$L$117,MATCH($F39&amp;"2komm",Покупка!$K$26:$K$117,0),2),"")=0,"",IFERROR(INDEX(Покупка!$K$26:$L$117,MATCH($F39&amp;"2komm",Покупка!$K$26:$K$117,0),2),""))</f>
        <v/>
      </c>
      <c r="AO39" s="1461"/>
      <c r="AR39" s="971" t="s">
        <v>1702</v>
      </c>
    </row>
    <row r="40" spans="5:48" ht="14.65" hidden="1" customHeight="1" x14ac:dyDescent="0.25">
      <c r="E40" s="618">
        <v>15</v>
      </c>
      <c r="F40" s="3" cm="1">
        <f t="array" aca="1" ref="F40" ca="1">OFFSET(E40,-1,1)</f>
        <v>0</v>
      </c>
      <c r="G40" s="501" t="s">
        <v>1074</v>
      </c>
      <c r="I40" s="511" t="s">
        <v>1487</v>
      </c>
      <c r="J40" s="511"/>
      <c r="K40" s="511"/>
      <c r="L40" s="511"/>
      <c r="M40" s="511"/>
      <c r="N40" s="511"/>
      <c r="O40" s="511"/>
      <c r="P40" s="511"/>
      <c r="Q40" s="511"/>
      <c r="R40" s="511"/>
      <c r="S40" s="511"/>
      <c r="T40" s="388" t="b" cm="1">
        <f t="array" ref="T40">T39</f>
        <v>0</v>
      </c>
      <c r="X40" s="2120"/>
      <c r="Z40" s="2121"/>
      <c r="AB40" s="727" t="s">
        <v>1703</v>
      </c>
      <c r="AC40" s="728" t="s">
        <v>1704</v>
      </c>
      <c r="AD40" s="679" t="s">
        <v>831</v>
      </c>
      <c r="AE40" s="722">
        <f ca="1">SUMIFS(Покупка!AE$25:AE$117,Покупка!$F$25:$F$117,$F40,Покупка!$AC$25:$AC$117,$G40)</f>
        <v>0</v>
      </c>
      <c r="AF40" s="722">
        <f ca="1">SUMIFS(Покупка!AF$25:AF$117,Покупка!$F$25:$F$117,$F40,Покупка!$AC$25:$AC$117,$G40)</f>
        <v>0</v>
      </c>
      <c r="AG40" s="722">
        <f ca="1">SUMIFS(Покупка!AG$25:AG$117,Покупка!$F$25:$F$117,$F40,Покупка!$AC$25:$AC$117,$G40)</f>
        <v>0</v>
      </c>
      <c r="AH40" s="722">
        <f t="shared" ca="1" si="1"/>
        <v>0</v>
      </c>
      <c r="AI40" s="722">
        <f ca="1">SUMIFS(Покупка!AH$25:AH$117,Покупка!$F$25:$F$117,$F40,Покупка!$AC$25:$AC$117,$G40)</f>
        <v>0</v>
      </c>
      <c r="AJ40" s="722">
        <f ca="1">SUMIFS(Покупка!AI$25:AI$117,Покупка!$F$25:$F$117,$F40,Покупка!$AC$25:$AC$117,$G40)</f>
        <v>0</v>
      </c>
      <c r="AK40" s="722">
        <f ca="1">SUMIFS(Покупка!AS$25:AS$117,Покупка!$F$25:$F$117,$F40,Покупка!$AC$25:$AC$117,$G40)</f>
        <v>0</v>
      </c>
      <c r="AL40" s="722">
        <f t="shared" ca="1" si="2"/>
        <v>0</v>
      </c>
      <c r="AM40" s="1461"/>
      <c r="AN40" s="1462" t="str">
        <f ca="1">IF(IFERROR(INDEX(Покупка!$K$26:$L$117,MATCH($F40&amp;"3komm",Покупка!$K$26:$K$117,0),2),"")=0,"",IFERROR(INDEX(Покупка!$K$26:$L$117,MATCH($F40&amp;"3komm",Покупка!$K$26:$K$117,0),2),""))</f>
        <v/>
      </c>
      <c r="AO40" s="1461"/>
      <c r="AR40" s="971" t="s">
        <v>1705</v>
      </c>
    </row>
    <row r="41" spans="5:48" ht="14.65" hidden="1" customHeight="1" x14ac:dyDescent="0.25">
      <c r="E41" s="618">
        <v>15</v>
      </c>
      <c r="F41" s="3" cm="1">
        <f t="array" aca="1" ref="F41" ca="1">OFFSET(E41,-1,1)</f>
        <v>0</v>
      </c>
      <c r="G41" s="501" t="s">
        <v>1080</v>
      </c>
      <c r="I41" s="511" t="s">
        <v>1492</v>
      </c>
      <c r="J41" s="511"/>
      <c r="K41" s="511"/>
      <c r="L41" s="511"/>
      <c r="M41" s="511"/>
      <c r="N41" s="511"/>
      <c r="O41" s="511"/>
      <c r="P41" s="511"/>
      <c r="Q41" s="511"/>
      <c r="R41" s="511"/>
      <c r="S41" s="511"/>
      <c r="T41" s="388" t="b" cm="1">
        <f t="array" ref="T41">T40</f>
        <v>0</v>
      </c>
      <c r="X41" s="2120"/>
      <c r="Z41" s="2121"/>
      <c r="AB41" s="727" t="s">
        <v>1706</v>
      </c>
      <c r="AC41" s="728" t="s">
        <v>1707</v>
      </c>
      <c r="AD41" s="679" t="s">
        <v>831</v>
      </c>
      <c r="AE41" s="722">
        <f ca="1">SUMIFS(Покупка!AE$25:AE$117,Покупка!$F$25:$F$117,$F41,Покупка!$AC$25:$AC$117,$G41)</f>
        <v>0</v>
      </c>
      <c r="AF41" s="722">
        <f ca="1">SUMIFS(Покупка!AF$25:AF$117,Покупка!$F$25:$F$117,$F41,Покупка!$AC$25:$AC$117,$G41)</f>
        <v>0</v>
      </c>
      <c r="AG41" s="722">
        <f ca="1">SUMIFS(Покупка!AG$25:AG$117,Покупка!$F$25:$F$117,$F41,Покупка!$AC$25:$AC$117,$G41)</f>
        <v>0</v>
      </c>
      <c r="AH41" s="722">
        <f t="shared" ca="1" si="1"/>
        <v>0</v>
      </c>
      <c r="AI41" s="722">
        <f ca="1">SUMIFS(Покупка!AH$25:AH$117,Покупка!$F$25:$F$117,$F41,Покупка!$AC$25:$AC$117,$G41)</f>
        <v>0</v>
      </c>
      <c r="AJ41" s="722">
        <f ca="1">SUMIFS(Покупка!AI$25:AI$117,Покупка!$F$25:$F$117,$F41,Покупка!$AC$25:$AC$117,$G41)</f>
        <v>0</v>
      </c>
      <c r="AK41" s="722">
        <f ca="1">SUMIFS(Покупка!AS$25:AS$117,Покупка!$F$25:$F$117,$F41,Покупка!$AC$25:$AC$117,$G41)</f>
        <v>0</v>
      </c>
      <c r="AL41" s="722">
        <f t="shared" ca="1" si="2"/>
        <v>0</v>
      </c>
      <c r="AM41" s="1461"/>
      <c r="AN41" s="1462" t="str">
        <f ca="1">IF(IFERROR(INDEX(Покупка!$K$26:$L$117,MATCH($F41&amp;"4komm",Покупка!$K$26:$K$117,0),2),"")=0,"",IFERROR(INDEX(Покупка!$K$26:$L$117,MATCH($F41&amp;"4komm",Покупка!$K$26:$K$117,0),2),""))</f>
        <v/>
      </c>
      <c r="AO41" s="1461"/>
      <c r="AR41" s="971" t="s">
        <v>1708</v>
      </c>
    </row>
    <row r="42" spans="5:48" ht="14.65" hidden="1" customHeight="1" x14ac:dyDescent="0.25">
      <c r="E42" s="618">
        <v>15</v>
      </c>
      <c r="F42" s="3" cm="1">
        <f t="array" aca="1" ref="F42" ca="1">OFFSET(E42,-1,1)</f>
        <v>0</v>
      </c>
      <c r="G42" s="501" t="s">
        <v>1086</v>
      </c>
      <c r="I42" s="511" t="s">
        <v>1502</v>
      </c>
      <c r="J42" s="511"/>
      <c r="K42" s="511"/>
      <c r="L42" s="511"/>
      <c r="M42" s="511"/>
      <c r="N42" s="511"/>
      <c r="O42" s="511"/>
      <c r="P42" s="511"/>
      <c r="Q42" s="511"/>
      <c r="R42" s="511"/>
      <c r="S42" s="511"/>
      <c r="T42" s="388" t="b" cm="1">
        <f t="array" ref="T42">T41</f>
        <v>0</v>
      </c>
      <c r="X42" s="2120"/>
      <c r="Z42" s="2121"/>
      <c r="AB42" s="727" t="s">
        <v>1709</v>
      </c>
      <c r="AC42" s="728" t="s">
        <v>1710</v>
      </c>
      <c r="AD42" s="679" t="s">
        <v>831</v>
      </c>
      <c r="AE42" s="722">
        <f ca="1">SUMIFS(Покупка!AE$25:AE$117,Покупка!$F$25:$F$117,$F42,Покупка!$AC$25:$AC$117,$G42)</f>
        <v>0</v>
      </c>
      <c r="AF42" s="722">
        <f ca="1">SUMIFS(Покупка!AF$25:AF$117,Покупка!$F$25:$F$117,$F42,Покупка!$AC$25:$AC$117,$G42)</f>
        <v>0</v>
      </c>
      <c r="AG42" s="722">
        <f ca="1">SUMIFS(Покупка!AG$25:AG$117,Покупка!$F$25:$F$117,$F42,Покупка!$AC$25:$AC$117,$G42)</f>
        <v>0</v>
      </c>
      <c r="AH42" s="722">
        <f t="shared" ca="1" si="1"/>
        <v>0</v>
      </c>
      <c r="AI42" s="722">
        <f ca="1">SUMIFS(Покупка!AH$25:AH$117,Покупка!$F$25:$F$117,$F42,Покупка!$AC$25:$AC$117,$G42)</f>
        <v>0</v>
      </c>
      <c r="AJ42" s="722">
        <f ca="1">SUMIFS(Покупка!AI$25:AI$117,Покупка!$F$25:$F$117,$F42,Покупка!$AC$25:$AC$117,$G42)</f>
        <v>0</v>
      </c>
      <c r="AK42" s="722">
        <f ca="1">SUMIFS(Покупка!AS$25:AS$117,Покупка!$F$25:$F$117,$F42,Покупка!$AC$25:$AC$117,$G42)</f>
        <v>0</v>
      </c>
      <c r="AL42" s="722">
        <f t="shared" ca="1" si="2"/>
        <v>0</v>
      </c>
      <c r="AM42" s="1461"/>
      <c r="AN42" s="1462" t="str">
        <f ca="1">IF(IFERROR(INDEX(Покупка!$K$26:$L$117,MATCH($F42&amp;"5komm",Покупка!$K$26:$K$117,0),2),"")=0,"",IFERROR(INDEX(Покупка!$K$26:$L$117,MATCH($F42&amp;"5komm",Покупка!$K$26:$K$117,0),2),""))</f>
        <v/>
      </c>
      <c r="AO42" s="1461"/>
      <c r="AR42" s="971" t="s">
        <v>1711</v>
      </c>
    </row>
    <row r="43" spans="5:48" s="512" customFormat="1" ht="43.9" hidden="1" customHeight="1" x14ac:dyDescent="0.25">
      <c r="E43" s="620">
        <v>45</v>
      </c>
      <c r="F43" s="3" cm="1">
        <f t="array" aca="1" ref="F43" ca="1">OFFSET(E43,-1,1)</f>
        <v>0</v>
      </c>
      <c r="I43" s="621" t="s">
        <v>501</v>
      </c>
      <c r="J43" s="621"/>
      <c r="K43" s="621"/>
      <c r="L43" s="621"/>
      <c r="M43" s="621"/>
      <c r="N43" s="621"/>
      <c r="O43" s="621"/>
      <c r="P43" s="621"/>
      <c r="Q43" s="621"/>
      <c r="R43" s="621"/>
      <c r="S43" s="621"/>
      <c r="T43" s="388" t="b" cm="1">
        <f t="array" ref="T43">T42</f>
        <v>0</v>
      </c>
      <c r="X43" s="2120"/>
      <c r="Z43" s="2121"/>
      <c r="AB43" s="724" t="s">
        <v>916</v>
      </c>
      <c r="AC43" s="725" t="s">
        <v>1712</v>
      </c>
      <c r="AD43" s="514" t="s">
        <v>831</v>
      </c>
      <c r="AE43" s="730"/>
      <c r="AF43" s="730"/>
      <c r="AG43" s="730"/>
      <c r="AH43" s="721">
        <f t="shared" si="1"/>
        <v>0</v>
      </c>
      <c r="AI43" s="730"/>
      <c r="AJ43" s="1465"/>
      <c r="AK43" s="1465"/>
      <c r="AL43" s="721">
        <f t="shared" si="2"/>
        <v>0</v>
      </c>
      <c r="AM43" s="1463"/>
      <c r="AN43" s="1463"/>
      <c r="AO43" s="1463"/>
      <c r="AR43" s="972" t="s">
        <v>1713</v>
      </c>
      <c r="AS43" s="972"/>
      <c r="AT43" s="972"/>
      <c r="AU43" s="620"/>
      <c r="AV43" s="620"/>
    </row>
    <row r="44" spans="5:48" s="512" customFormat="1" ht="43.9" hidden="1" customHeight="1" x14ac:dyDescent="0.25">
      <c r="E44" s="620">
        <v>45</v>
      </c>
      <c r="F44" s="3" cm="1">
        <f t="array" aca="1" ref="F44" ca="1">OFFSET(E44,-1,1)</f>
        <v>0</v>
      </c>
      <c r="I44" s="621" t="s">
        <v>505</v>
      </c>
      <c r="J44" s="621"/>
      <c r="K44" s="621"/>
      <c r="L44" s="621"/>
      <c r="M44" s="621"/>
      <c r="N44" s="621"/>
      <c r="O44" s="621"/>
      <c r="P44" s="621"/>
      <c r="Q44" s="621"/>
      <c r="R44" s="621"/>
      <c r="S44" s="621"/>
      <c r="T44" s="388" t="b" cm="1">
        <f t="array" ref="T44">T43</f>
        <v>0</v>
      </c>
      <c r="X44" s="2120"/>
      <c r="Z44" s="2121"/>
      <c r="AB44" s="724" t="s">
        <v>919</v>
      </c>
      <c r="AC44" s="725" t="s">
        <v>1714</v>
      </c>
      <c r="AD44" s="514" t="s">
        <v>831</v>
      </c>
      <c r="AE44" s="721">
        <f ca="1">AE45+AE46</f>
        <v>0</v>
      </c>
      <c r="AF44" s="721">
        <f ca="1">AF45+AF46</f>
        <v>0</v>
      </c>
      <c r="AG44" s="721">
        <f ca="1">AG45+AG46</f>
        <v>0</v>
      </c>
      <c r="AH44" s="721">
        <f t="shared" ca="1" si="1"/>
        <v>0</v>
      </c>
      <c r="AI44" s="721">
        <f ca="1">AI45+AI46</f>
        <v>0</v>
      </c>
      <c r="AJ44" s="721">
        <f ca="1">AJ45+AJ46</f>
        <v>0</v>
      </c>
      <c r="AK44" s="721">
        <f ca="1">AK45+AK46</f>
        <v>0</v>
      </c>
      <c r="AL44" s="721">
        <f t="shared" ca="1" si="2"/>
        <v>0</v>
      </c>
      <c r="AM44" s="1463"/>
      <c r="AN44" s="1463"/>
      <c r="AO44" s="1463"/>
      <c r="AR44" s="972" t="s">
        <v>1715</v>
      </c>
      <c r="AS44" s="972"/>
      <c r="AT44" s="972"/>
      <c r="AU44" s="620"/>
      <c r="AV44" s="620"/>
    </row>
    <row r="45" spans="5:48" ht="14.65" hidden="1" customHeight="1" x14ac:dyDescent="0.25">
      <c r="E45" s="618">
        <v>15</v>
      </c>
      <c r="F45" s="3" cm="1">
        <f t="array" aca="1" ref="F45" ca="1">OFFSET(E45,-1,1)</f>
        <v>0</v>
      </c>
      <c r="G45" s="622" t="s">
        <v>1104</v>
      </c>
      <c r="I45" s="511" t="s">
        <v>1328</v>
      </c>
      <c r="J45" s="511"/>
      <c r="K45" s="511"/>
      <c r="L45" s="511"/>
      <c r="M45" s="511"/>
      <c r="N45" s="511"/>
      <c r="O45" s="511"/>
      <c r="P45" s="621"/>
      <c r="Q45" s="511"/>
      <c r="R45" s="511"/>
      <c r="S45" s="511"/>
      <c r="T45" s="388" t="b" cm="1">
        <f t="array" ref="T45">T44</f>
        <v>0</v>
      </c>
      <c r="X45" s="2120"/>
      <c r="Z45" s="2121"/>
      <c r="AB45" s="727" t="s">
        <v>1033</v>
      </c>
      <c r="AC45" s="728" t="s">
        <v>1716</v>
      </c>
      <c r="AD45" s="679" t="s">
        <v>831</v>
      </c>
      <c r="AE45" s="722">
        <f ca="1">SUMIFS(ФОТ!AE$25:AE$138,ФОТ!$F$25:$F$138,$F45,ФОТ!$G$25:$G$138,$G45)</f>
        <v>0</v>
      </c>
      <c r="AF45" s="722">
        <f ca="1">SUMIFS(ФОТ!AF$25:AF$138,ФОТ!$F$25:$F$138,$F45,ФОТ!$G$25:$G$138,$G45)</f>
        <v>0</v>
      </c>
      <c r="AG45" s="722">
        <f ca="1">SUMIFS(ФОТ!AG$25:AG$138,ФОТ!$F$25:$F$138,$F45,ФОТ!$G$25:$G$138,$G45)</f>
        <v>0</v>
      </c>
      <c r="AH45" s="722">
        <f t="shared" ca="1" si="1"/>
        <v>0</v>
      </c>
      <c r="AI45" s="722">
        <f ca="1">SUMIFS(ФОТ!AH$25:AH$138,ФОТ!$F$25:$F$138,$F45,ФОТ!$G$25:$G$138,$G45)</f>
        <v>0</v>
      </c>
      <c r="AJ45" s="722">
        <f ca="1">SUMIFS(ФОТ!AI$25:AI$138,ФОТ!$F$25:$F$138,$F45,ФОТ!$G$25:$G$138,$G45)</f>
        <v>0</v>
      </c>
      <c r="AK45" s="722">
        <f ca="1">SUMIFS(ФОТ!AJ$25:AJ$138,ФОТ!$F$25:$F$138,$F45,ФОТ!$G$25:$G$138,$G45)</f>
        <v>0</v>
      </c>
      <c r="AL45" s="722">
        <f t="shared" ca="1" si="2"/>
        <v>0</v>
      </c>
      <c r="AM45" s="1461"/>
      <c r="AN45" s="1462" t="str">
        <f ca="1">IF(IFERROR(INDEX(ФОТ!$K$26:$L$138,MATCH($F45&amp;"1komm",ФОТ!$K$26:$K$138,0),2),"")=0,"",IFERROR(INDEX(ФОТ!$K$26:$L$138,MATCH($F45&amp;"1komm",ФОТ!$K$26:$K$138,0),2),""))</f>
        <v/>
      </c>
      <c r="AO45" s="1461"/>
      <c r="AR45" s="971" t="s">
        <v>1717</v>
      </c>
    </row>
    <row r="46" spans="5:48" ht="21.95" hidden="1" customHeight="1" x14ac:dyDescent="0.25">
      <c r="E46" s="618">
        <v>22.5</v>
      </c>
      <c r="F46" s="3" cm="1">
        <f t="array" aca="1" ref="F46" ca="1">OFFSET(E46,-1,1)</f>
        <v>0</v>
      </c>
      <c r="G46" s="622" t="s">
        <v>1116</v>
      </c>
      <c r="I46" s="511" t="s">
        <v>1329</v>
      </c>
      <c r="J46" s="511"/>
      <c r="K46" s="511"/>
      <c r="L46" s="511"/>
      <c r="M46" s="511"/>
      <c r="N46" s="511"/>
      <c r="O46" s="511"/>
      <c r="P46" s="621"/>
      <c r="Q46" s="511"/>
      <c r="R46" s="511"/>
      <c r="S46" s="511"/>
      <c r="T46" s="388" t="b" cm="1">
        <f t="array" ref="T46">T45</f>
        <v>0</v>
      </c>
      <c r="X46" s="2120"/>
      <c r="Z46" s="2121"/>
      <c r="AB46" s="727" t="s">
        <v>1036</v>
      </c>
      <c r="AC46" s="728" t="s">
        <v>1718</v>
      </c>
      <c r="AD46" s="679" t="s">
        <v>831</v>
      </c>
      <c r="AE46" s="722">
        <f ca="1">SUMIFS(ФОТ!AE$25:AE$138,ФОТ!$F$25:$F$138,$F46,ФОТ!$G$25:$G$138,$G46)</f>
        <v>0</v>
      </c>
      <c r="AF46" s="722">
        <f ca="1">SUMIFS(ФОТ!AF$25:AF$138,ФОТ!$F$25:$F$138,$F46,ФОТ!$G$25:$G$138,$G46)</f>
        <v>0</v>
      </c>
      <c r="AG46" s="722">
        <f ca="1">SUMIFS(ФОТ!AG$25:AG$138,ФОТ!$F$25:$F$138,$F46,ФОТ!$G$25:$G$138,$G46)</f>
        <v>0</v>
      </c>
      <c r="AH46" s="722">
        <f t="shared" ca="1" si="1"/>
        <v>0</v>
      </c>
      <c r="AI46" s="722">
        <f ca="1">SUMIFS(ФОТ!AH$25:AH$138,ФОТ!$F$25:$F$138,$F46,ФОТ!$G$25:$G$138,$G46)</f>
        <v>0</v>
      </c>
      <c r="AJ46" s="722">
        <f ca="1">SUMIFS(ФОТ!AI$25:AI$138,ФОТ!$F$25:$F$138,$F46,ФОТ!$G$25:$G$138,$G46)</f>
        <v>0</v>
      </c>
      <c r="AK46" s="722">
        <f ca="1">SUMIFS(ФОТ!AJ$25:AJ$138,ФОТ!$F$25:$F$138,$F46,ФОТ!$G$25:$G$138,$G46)</f>
        <v>0</v>
      </c>
      <c r="AL46" s="722">
        <f t="shared" ca="1" si="2"/>
        <v>0</v>
      </c>
      <c r="AM46" s="1461"/>
      <c r="AN46" s="1462" t="str">
        <f ca="1">IF(IFERROR(INDEX(ФОТ!$K$26:$L$138,MATCH($F46&amp;"2komm",ФОТ!$K$26:$K$138,0),2),"")=0,"",IFERROR(INDEX(ФОТ!$K$26:$L$138,MATCH($F46&amp;"2komm",ФОТ!$K$26:$K$138,0),2),""))</f>
        <v/>
      </c>
      <c r="AO46" s="1461"/>
      <c r="AR46" s="971" t="s">
        <v>1719</v>
      </c>
    </row>
    <row r="47" spans="5:48" s="512" customFormat="1" ht="14.65" hidden="1" customHeight="1" x14ac:dyDescent="0.25">
      <c r="E47" s="620">
        <v>15</v>
      </c>
      <c r="F47" s="3" cm="1">
        <f t="array" aca="1" ref="F47" ca="1">OFFSET(E47,-1,1)</f>
        <v>0</v>
      </c>
      <c r="I47" s="621" t="s">
        <v>922</v>
      </c>
      <c r="J47" s="621"/>
      <c r="K47" s="621"/>
      <c r="L47" s="621"/>
      <c r="M47" s="621"/>
      <c r="N47" s="621"/>
      <c r="O47" s="621"/>
      <c r="P47" s="621"/>
      <c r="Q47" s="621"/>
      <c r="R47" s="621"/>
      <c r="S47" s="621"/>
      <c r="T47" s="388" t="b" cm="1">
        <f t="array" ref="T47">T46</f>
        <v>0</v>
      </c>
      <c r="X47" s="2120"/>
      <c r="Z47" s="2121"/>
      <c r="AB47" s="724" t="s">
        <v>923</v>
      </c>
      <c r="AC47" s="725" t="s">
        <v>1720</v>
      </c>
      <c r="AD47" s="514" t="s">
        <v>831</v>
      </c>
      <c r="AE47" s="730"/>
      <c r="AF47" s="730"/>
      <c r="AG47" s="730"/>
      <c r="AH47" s="721">
        <f t="shared" si="1"/>
        <v>0</v>
      </c>
      <c r="AI47" s="730"/>
      <c r="AJ47" s="1465"/>
      <c r="AK47" s="1465"/>
      <c r="AL47" s="721">
        <f t="shared" si="2"/>
        <v>0</v>
      </c>
      <c r="AM47" s="1463"/>
      <c r="AN47" s="1463"/>
      <c r="AO47" s="1463"/>
      <c r="AR47" s="972" t="s">
        <v>1307</v>
      </c>
      <c r="AS47" s="972"/>
      <c r="AT47" s="972"/>
      <c r="AU47" s="620"/>
      <c r="AV47" s="620"/>
    </row>
    <row r="48" spans="5:48" s="512" customFormat="1" ht="14.65" hidden="1" customHeight="1" x14ac:dyDescent="0.25">
      <c r="E48" s="620">
        <v>15</v>
      </c>
      <c r="F48" s="3" cm="1">
        <f t="array" aca="1" ref="F48" ca="1">OFFSET(E48,-1,1)</f>
        <v>0</v>
      </c>
      <c r="I48" s="621" t="s">
        <v>1721</v>
      </c>
      <c r="J48" s="621"/>
      <c r="K48" s="621"/>
      <c r="L48" s="621"/>
      <c r="M48" s="621"/>
      <c r="N48" s="621"/>
      <c r="O48" s="621"/>
      <c r="P48" s="621"/>
      <c r="Q48" s="621"/>
      <c r="R48" s="621"/>
      <c r="S48" s="621"/>
      <c r="T48" s="388" t="b" cm="1">
        <f t="array" ref="T48">T47</f>
        <v>0</v>
      </c>
      <c r="X48" s="2120"/>
      <c r="Z48" s="2121"/>
      <c r="AB48" s="724" t="s">
        <v>1722</v>
      </c>
      <c r="AC48" s="725" t="s">
        <v>1723</v>
      </c>
      <c r="AD48" s="514" t="s">
        <v>831</v>
      </c>
      <c r="AE48" s="730"/>
      <c r="AF48" s="730"/>
      <c r="AG48" s="730"/>
      <c r="AH48" s="721">
        <f t="shared" si="1"/>
        <v>0</v>
      </c>
      <c r="AI48" s="730"/>
      <c r="AJ48" s="1465"/>
      <c r="AK48" s="1465"/>
      <c r="AL48" s="721">
        <f t="shared" si="2"/>
        <v>0</v>
      </c>
      <c r="AM48" s="1463"/>
      <c r="AN48" s="1463"/>
      <c r="AO48" s="1463"/>
      <c r="AR48" s="972" t="s">
        <v>1724</v>
      </c>
      <c r="AS48" s="972"/>
      <c r="AT48" s="972"/>
      <c r="AU48" s="620"/>
      <c r="AV48" s="620"/>
    </row>
    <row r="49" spans="5:48" s="512" customFormat="1" ht="14.65" hidden="1" customHeight="1" x14ac:dyDescent="0.25">
      <c r="E49" s="620">
        <v>15</v>
      </c>
      <c r="F49" s="3" cm="1">
        <f t="array" aca="1" ref="F49" ca="1">OFFSET(E49,-1,1)</f>
        <v>0</v>
      </c>
      <c r="I49" s="621" t="s">
        <v>1725</v>
      </c>
      <c r="J49" s="621"/>
      <c r="K49" s="621"/>
      <c r="L49" s="621"/>
      <c r="M49" s="621"/>
      <c r="N49" s="621"/>
      <c r="O49" s="621"/>
      <c r="P49" s="621"/>
      <c r="Q49" s="621"/>
      <c r="R49" s="621"/>
      <c r="S49" s="621"/>
      <c r="T49" s="388" t="b" cm="1">
        <f t="array" ref="T49">T48</f>
        <v>0</v>
      </c>
      <c r="X49" s="2120"/>
      <c r="Z49" s="2121"/>
      <c r="AB49" s="724" t="s">
        <v>1726</v>
      </c>
      <c r="AC49" s="725" t="s">
        <v>1727</v>
      </c>
      <c r="AD49" s="514" t="s">
        <v>831</v>
      </c>
      <c r="AE49" s="721">
        <f>SUM(AE50:AE55)</f>
        <v>0</v>
      </c>
      <c r="AF49" s="721">
        <f>SUM(AF50:AF55)</f>
        <v>0</v>
      </c>
      <c r="AG49" s="721">
        <f>SUM(AG50:AG55)</f>
        <v>0</v>
      </c>
      <c r="AH49" s="721">
        <f t="shared" si="1"/>
        <v>0</v>
      </c>
      <c r="AI49" s="721">
        <f>SUM(AI50:AI55)</f>
        <v>0</v>
      </c>
      <c r="AJ49" s="721">
        <f>SUM(AJ50:AJ55)</f>
        <v>0</v>
      </c>
      <c r="AK49" s="721">
        <f>SUM(AK50:AK55)</f>
        <v>0</v>
      </c>
      <c r="AL49" s="721">
        <f t="shared" si="2"/>
        <v>0</v>
      </c>
      <c r="AM49" s="1463"/>
      <c r="AN49" s="1463"/>
      <c r="AO49" s="1463"/>
      <c r="AR49" s="972" t="s">
        <v>1728</v>
      </c>
      <c r="AS49" s="972"/>
      <c r="AT49" s="972"/>
      <c r="AU49" s="620"/>
      <c r="AV49" s="620"/>
    </row>
    <row r="50" spans="5:48" ht="14.65" hidden="1" customHeight="1" x14ac:dyDescent="0.25">
      <c r="E50" s="618">
        <v>15</v>
      </c>
      <c r="F50" s="3" cm="1">
        <f t="array" aca="1" ref="F50" ca="1">OFFSET(E50,-1,1)</f>
        <v>0</v>
      </c>
      <c r="I50" s="511" t="s">
        <v>1725</v>
      </c>
      <c r="J50" s="895" t="s">
        <v>1729</v>
      </c>
      <c r="L50" s="511"/>
      <c r="M50" s="511"/>
      <c r="N50" s="511"/>
      <c r="O50" s="511"/>
      <c r="P50" s="511"/>
      <c r="Q50" s="511"/>
      <c r="R50" s="511"/>
      <c r="S50" s="511"/>
      <c r="T50" s="388" t="b" cm="1">
        <f t="array" ref="T50">T49</f>
        <v>0</v>
      </c>
      <c r="X50" s="2120"/>
      <c r="Z50" s="2121"/>
      <c r="AB50" s="727" t="s">
        <v>1730</v>
      </c>
      <c r="AC50" s="728" t="s">
        <v>1731</v>
      </c>
      <c r="AD50" s="679" t="s">
        <v>831</v>
      </c>
      <c r="AE50" s="729"/>
      <c r="AF50" s="729"/>
      <c r="AG50" s="729"/>
      <c r="AH50" s="722">
        <f t="shared" si="1"/>
        <v>0</v>
      </c>
      <c r="AI50" s="729"/>
      <c r="AJ50" s="1464"/>
      <c r="AK50" s="1464"/>
      <c r="AL50" s="722">
        <f t="shared" si="2"/>
        <v>0</v>
      </c>
      <c r="AM50" s="1461"/>
      <c r="AN50" s="1461"/>
      <c r="AO50" s="1461"/>
      <c r="AR50" s="971" t="s">
        <v>1732</v>
      </c>
    </row>
    <row r="51" spans="5:48" ht="14.65" hidden="1" customHeight="1" x14ac:dyDescent="0.25">
      <c r="E51" s="618">
        <v>15</v>
      </c>
      <c r="F51" s="3" cm="1">
        <f t="array" aca="1" ref="F51" ca="1">OFFSET(E51,-1,1)</f>
        <v>0</v>
      </c>
      <c r="I51" s="511" t="s">
        <v>1725</v>
      </c>
      <c r="J51" s="895" t="s">
        <v>1733</v>
      </c>
      <c r="L51" s="511"/>
      <c r="M51" s="511"/>
      <c r="N51" s="511"/>
      <c r="O51" s="511"/>
      <c r="P51" s="511"/>
      <c r="Q51" s="511"/>
      <c r="R51" s="511"/>
      <c r="S51" s="511"/>
      <c r="T51" s="388" t="b" cm="1">
        <f t="array" ref="T51">T50</f>
        <v>0</v>
      </c>
      <c r="X51" s="2120"/>
      <c r="Z51" s="2121"/>
      <c r="AB51" s="727" t="s">
        <v>1734</v>
      </c>
      <c r="AC51" s="728" t="s">
        <v>1735</v>
      </c>
      <c r="AD51" s="679" t="s">
        <v>831</v>
      </c>
      <c r="AE51" s="729"/>
      <c r="AF51" s="729"/>
      <c r="AG51" s="729"/>
      <c r="AH51" s="722">
        <f t="shared" si="1"/>
        <v>0</v>
      </c>
      <c r="AI51" s="729"/>
      <c r="AJ51" s="1464"/>
      <c r="AK51" s="1464"/>
      <c r="AL51" s="722">
        <f t="shared" si="2"/>
        <v>0</v>
      </c>
      <c r="AM51" s="1461"/>
      <c r="AN51" s="1461"/>
      <c r="AO51" s="1461"/>
      <c r="AR51" s="971" t="s">
        <v>1736</v>
      </c>
    </row>
    <row r="52" spans="5:48" ht="14.65" hidden="1" customHeight="1" x14ac:dyDescent="0.25">
      <c r="E52" s="618">
        <v>15</v>
      </c>
      <c r="F52" s="3" cm="1">
        <f t="array" aca="1" ref="F52" ca="1">OFFSET(E52,-1,1)</f>
        <v>0</v>
      </c>
      <c r="I52" s="511" t="s">
        <v>1725</v>
      </c>
      <c r="J52" s="895" t="s">
        <v>1737</v>
      </c>
      <c r="L52" s="511"/>
      <c r="M52" s="511"/>
      <c r="N52" s="511"/>
      <c r="O52" s="511"/>
      <c r="P52" s="511"/>
      <c r="Q52" s="511"/>
      <c r="R52" s="511"/>
      <c r="S52" s="511"/>
      <c r="T52" s="388" t="b" cm="1">
        <f t="array" ref="T52">T51</f>
        <v>0</v>
      </c>
      <c r="X52" s="2120"/>
      <c r="Z52" s="2121"/>
      <c r="AB52" s="727" t="s">
        <v>1738</v>
      </c>
      <c r="AC52" s="728" t="s">
        <v>1739</v>
      </c>
      <c r="AD52" s="679" t="s">
        <v>831</v>
      </c>
      <c r="AE52" s="729"/>
      <c r="AF52" s="729"/>
      <c r="AG52" s="729"/>
      <c r="AH52" s="722">
        <f t="shared" si="1"/>
        <v>0</v>
      </c>
      <c r="AI52" s="729"/>
      <c r="AJ52" s="1464"/>
      <c r="AK52" s="1464"/>
      <c r="AL52" s="722">
        <f t="shared" si="2"/>
        <v>0</v>
      </c>
      <c r="AM52" s="1461"/>
      <c r="AN52" s="1461"/>
      <c r="AO52" s="1461"/>
      <c r="AR52" s="971" t="s">
        <v>1740</v>
      </c>
    </row>
    <row r="53" spans="5:48" ht="14.65" hidden="1" customHeight="1" x14ac:dyDescent="0.25">
      <c r="E53" s="618">
        <v>15</v>
      </c>
      <c r="F53" s="3" cm="1">
        <f t="array" aca="1" ref="F53" ca="1">OFFSET(E53,-1,1)</f>
        <v>0</v>
      </c>
      <c r="I53" s="511" t="s">
        <v>1725</v>
      </c>
      <c r="J53" s="895" t="s">
        <v>1741</v>
      </c>
      <c r="L53" s="511"/>
      <c r="M53" s="511"/>
      <c r="N53" s="511"/>
      <c r="O53" s="511"/>
      <c r="P53" s="511"/>
      <c r="Q53" s="511"/>
      <c r="R53" s="511"/>
      <c r="S53" s="511"/>
      <c r="T53" s="388" t="b" cm="1">
        <f t="array" ref="T53">T52</f>
        <v>0</v>
      </c>
      <c r="X53" s="2120"/>
      <c r="Z53" s="2121"/>
      <c r="AB53" s="727" t="s">
        <v>1742</v>
      </c>
      <c r="AC53" s="728" t="s">
        <v>1743</v>
      </c>
      <c r="AD53" s="679" t="s">
        <v>831</v>
      </c>
      <c r="AE53" s="729"/>
      <c r="AF53" s="729"/>
      <c r="AG53" s="729"/>
      <c r="AH53" s="722">
        <f t="shared" si="1"/>
        <v>0</v>
      </c>
      <c r="AI53" s="729"/>
      <c r="AJ53" s="1464"/>
      <c r="AK53" s="1464"/>
      <c r="AL53" s="722">
        <f t="shared" si="2"/>
        <v>0</v>
      </c>
      <c r="AM53" s="1461"/>
      <c r="AN53" s="1461"/>
      <c r="AO53" s="1461"/>
      <c r="AR53" s="971" t="s">
        <v>1744</v>
      </c>
    </row>
    <row r="54" spans="5:48" ht="14.65" hidden="1" customHeight="1" x14ac:dyDescent="0.25">
      <c r="E54" s="618">
        <v>15</v>
      </c>
      <c r="F54" s="3" cm="1">
        <f t="array" aca="1" ref="F54" ca="1">OFFSET(E54,-1,1)</f>
        <v>0</v>
      </c>
      <c r="I54" s="511" t="s">
        <v>1725</v>
      </c>
      <c r="J54" s="501" cm="1">
        <f t="array" ref="J54">AC54</f>
        <v>0</v>
      </c>
      <c r="L54" s="511"/>
      <c r="M54" s="511"/>
      <c r="N54" s="511"/>
      <c r="O54" s="511"/>
      <c r="P54" s="511"/>
      <c r="Q54" s="511"/>
      <c r="R54" s="511"/>
      <c r="S54" s="511"/>
      <c r="T54" s="388" t="b">
        <f ca="1">AND(F54&gt;0,Y54&gt;4)</f>
        <v>0</v>
      </c>
      <c r="W54" s="677" t="s">
        <v>172</v>
      </c>
      <c r="X54" s="2120"/>
      <c r="Y54" s="501">
        <v>4</v>
      </c>
      <c r="Z54" s="2121"/>
      <c r="AA54" s="1135" t="s">
        <v>173</v>
      </c>
      <c r="AB54" s="624" t="str">
        <f>"1.7."&amp;Y54</f>
        <v>1.7.4</v>
      </c>
      <c r="AC54" s="1466"/>
      <c r="AD54" s="679" t="s">
        <v>831</v>
      </c>
      <c r="AE54" s="729"/>
      <c r="AF54" s="729"/>
      <c r="AG54" s="729"/>
      <c r="AH54" s="722">
        <f t="shared" si="1"/>
        <v>0</v>
      </c>
      <c r="AI54" s="729"/>
      <c r="AJ54" s="1467"/>
      <c r="AK54" s="1467"/>
      <c r="AL54" s="722">
        <f t="shared" si="2"/>
        <v>0</v>
      </c>
      <c r="AM54" s="1468"/>
      <c r="AN54" s="1468"/>
      <c r="AO54" s="1468"/>
      <c r="AR54" s="971" t="s">
        <v>1745</v>
      </c>
      <c r="AS54" s="971" t="s">
        <v>1746</v>
      </c>
      <c r="AT54" s="969" cm="1">
        <f t="array" ref="AT54">AC54</f>
        <v>0</v>
      </c>
      <c r="AV54" s="618" t="b">
        <v>1</v>
      </c>
    </row>
    <row r="55" spans="5:48" ht="14.65" hidden="1" customHeight="1" x14ac:dyDescent="0.25">
      <c r="E55" s="618">
        <v>15</v>
      </c>
      <c r="F55" s="3" cm="1">
        <f t="array" aca="1" ref="F55" ca="1">OFFSET(E55,-1,1)</f>
        <v>0</v>
      </c>
      <c r="I55" s="619"/>
      <c r="J55" s="619" t="s">
        <v>1747</v>
      </c>
      <c r="K55" s="619"/>
      <c r="L55" s="619"/>
      <c r="M55" s="619"/>
      <c r="N55" s="619"/>
      <c r="O55" s="619"/>
      <c r="P55" s="619"/>
      <c r="Q55" s="619"/>
      <c r="R55" s="619"/>
      <c r="S55" s="619"/>
      <c r="T55" s="388" t="b">
        <f ca="1">F55&gt;0</f>
        <v>0</v>
      </c>
      <c r="W55" s="748" t="s">
        <v>396</v>
      </c>
      <c r="X55" s="2120"/>
      <c r="Z55" s="2121"/>
      <c r="AB55" s="1136"/>
      <c r="AC55" s="1137" t="s">
        <v>176</v>
      </c>
      <c r="AD55" s="1138"/>
      <c r="AE55" s="1138"/>
      <c r="AF55" s="1138"/>
      <c r="AG55" s="1138"/>
      <c r="AH55" s="1138"/>
      <c r="AI55" s="1138"/>
      <c r="AJ55" s="1138"/>
      <c r="AK55" s="1138"/>
      <c r="AL55" s="1138"/>
      <c r="AM55" s="1138"/>
      <c r="AN55" s="1138"/>
      <c r="AO55" s="1139"/>
      <c r="AU55" s="968" t="s">
        <v>1746</v>
      </c>
    </row>
    <row r="56" spans="5:48" s="512" customFormat="1" ht="14.65" hidden="1" customHeight="1" x14ac:dyDescent="0.25">
      <c r="E56" s="620">
        <v>15</v>
      </c>
      <c r="F56" s="3" cm="1">
        <f t="array" aca="1" ref="F56" ca="1">OFFSET(E56,-1,1)</f>
        <v>0</v>
      </c>
      <c r="I56" s="621" t="s">
        <v>332</v>
      </c>
      <c r="J56" s="621"/>
      <c r="K56" s="621"/>
      <c r="L56" s="621"/>
      <c r="M56" s="621"/>
      <c r="N56" s="621"/>
      <c r="O56" s="621"/>
      <c r="P56" s="621"/>
      <c r="Q56" s="621"/>
      <c r="R56" s="621"/>
      <c r="S56" s="621"/>
      <c r="T56" s="388" t="b" cm="1">
        <f t="array" aca="1" ref="T56" ca="1">T55</f>
        <v>0</v>
      </c>
      <c r="X56" s="2120"/>
      <c r="Z56" s="2121"/>
      <c r="AB56" s="724" t="s">
        <v>289</v>
      </c>
      <c r="AC56" s="720" t="s">
        <v>1748</v>
      </c>
      <c r="AD56" s="731" t="s">
        <v>831</v>
      </c>
      <c r="AE56" s="708">
        <f ca="1">AE57+AE58</f>
        <v>0</v>
      </c>
      <c r="AF56" s="708">
        <f ca="1">AF57+AF58</f>
        <v>0</v>
      </c>
      <c r="AG56" s="708">
        <f ca="1">AG57+AG58</f>
        <v>0</v>
      </c>
      <c r="AH56" s="721">
        <f t="shared" ref="AH56:AH81" ca="1" si="3">AG56-AF56</f>
        <v>0</v>
      </c>
      <c r="AI56" s="708">
        <f ca="1">AI57+AI58</f>
        <v>0</v>
      </c>
      <c r="AJ56" s="708">
        <f ca="1">AJ57+AJ58</f>
        <v>0</v>
      </c>
      <c r="AK56" s="708">
        <f ca="1">AK57+AK58</f>
        <v>0</v>
      </c>
      <c r="AL56" s="721">
        <f t="shared" ref="AL56:AL95" ca="1" si="4">IF(AI56=0,0,(AK56-AI56)/AI56*100)</f>
        <v>0</v>
      </c>
      <c r="AM56" s="1463"/>
      <c r="AN56" s="1463"/>
      <c r="AO56" s="1463"/>
      <c r="AR56" s="972" t="s">
        <v>1749</v>
      </c>
      <c r="AS56" s="972"/>
      <c r="AT56" s="972"/>
      <c r="AU56" s="620"/>
      <c r="AV56" s="620"/>
    </row>
    <row r="57" spans="5:48" ht="32.85" hidden="1" customHeight="1" x14ac:dyDescent="0.25">
      <c r="E57" s="618">
        <v>33.75</v>
      </c>
      <c r="F57" s="3" cm="1">
        <f t="array" aca="1" ref="F57" ca="1">OFFSET(E57,-1,1)</f>
        <v>0</v>
      </c>
      <c r="I57" s="511" t="s">
        <v>512</v>
      </c>
      <c r="J57" s="511"/>
      <c r="K57" s="511"/>
      <c r="L57" s="511"/>
      <c r="M57" s="511"/>
      <c r="N57" s="511"/>
      <c r="O57" s="511"/>
      <c r="P57" s="511"/>
      <c r="Q57" s="511"/>
      <c r="R57" s="511"/>
      <c r="S57" s="511"/>
      <c r="T57" s="388" t="b" cm="1">
        <f t="array" aca="1" ref="T57" ca="1">T56</f>
        <v>0</v>
      </c>
      <c r="X57" s="2120"/>
      <c r="Z57" s="2121"/>
      <c r="AB57" s="727" t="s">
        <v>566</v>
      </c>
      <c r="AC57" s="732" t="s">
        <v>1750</v>
      </c>
      <c r="AD57" s="733" t="s">
        <v>831</v>
      </c>
      <c r="AE57" s="729"/>
      <c r="AF57" s="729"/>
      <c r="AG57" s="729"/>
      <c r="AH57" s="722">
        <f t="shared" si="3"/>
        <v>0</v>
      </c>
      <c r="AI57" s="729"/>
      <c r="AJ57" s="1464"/>
      <c r="AK57" s="1464"/>
      <c r="AL57" s="722">
        <f t="shared" si="4"/>
        <v>0</v>
      </c>
      <c r="AM57" s="1461"/>
      <c r="AN57" s="1461"/>
      <c r="AO57" s="1461"/>
      <c r="AR57" s="971" t="s">
        <v>1751</v>
      </c>
    </row>
    <row r="58" spans="5:48" ht="35.1" hidden="1" customHeight="1" x14ac:dyDescent="0.25">
      <c r="E58" s="618">
        <v>36</v>
      </c>
      <c r="F58" s="3" cm="1">
        <f t="array" aca="1" ref="F58" ca="1">OFFSET(E58,-1,1)</f>
        <v>0</v>
      </c>
      <c r="I58" s="511" t="s">
        <v>515</v>
      </c>
      <c r="J58" s="511"/>
      <c r="K58" s="511"/>
      <c r="L58" s="511"/>
      <c r="M58" s="511"/>
      <c r="N58" s="511"/>
      <c r="O58" s="511"/>
      <c r="P58" s="511"/>
      <c r="Q58" s="511"/>
      <c r="R58" s="511"/>
      <c r="S58" s="511"/>
      <c r="T58" s="388" t="b" cm="1">
        <f t="array" aca="1" ref="T58" ca="1">T57</f>
        <v>0</v>
      </c>
      <c r="X58" s="2120"/>
      <c r="Z58" s="2121"/>
      <c r="AB58" s="727" t="s">
        <v>570</v>
      </c>
      <c r="AC58" s="732" t="s">
        <v>1752</v>
      </c>
      <c r="AD58" s="733" t="s">
        <v>831</v>
      </c>
      <c r="AE58" s="734">
        <f ca="1">AE59+AE60</f>
        <v>0</v>
      </c>
      <c r="AF58" s="734">
        <f ca="1">AF59+AF60</f>
        <v>0</v>
      </c>
      <c r="AG58" s="734">
        <f ca="1">AG59+AG60</f>
        <v>0</v>
      </c>
      <c r="AH58" s="722">
        <f t="shared" ca="1" si="3"/>
        <v>0</v>
      </c>
      <c r="AI58" s="734">
        <f ca="1">AI59+AI60</f>
        <v>0</v>
      </c>
      <c r="AJ58" s="734">
        <f ca="1">AJ59+AJ60</f>
        <v>0</v>
      </c>
      <c r="AK58" s="734">
        <f ca="1">AK59+AK60</f>
        <v>0</v>
      </c>
      <c r="AL58" s="722">
        <f t="shared" ca="1" si="4"/>
        <v>0</v>
      </c>
      <c r="AM58" s="1461"/>
      <c r="AN58" s="1461"/>
      <c r="AO58" s="1461"/>
      <c r="AR58" s="971" t="s">
        <v>1753</v>
      </c>
    </row>
    <row r="59" spans="5:48" ht="14.65" hidden="1" customHeight="1" x14ac:dyDescent="0.25">
      <c r="E59" s="618">
        <v>15</v>
      </c>
      <c r="F59" s="3" cm="1">
        <f t="array" aca="1" ref="F59" ca="1">OFFSET(E59,-1,1)</f>
        <v>0</v>
      </c>
      <c r="G59" s="501" t="s">
        <v>1119</v>
      </c>
      <c r="I59" s="511" t="s">
        <v>1754</v>
      </c>
      <c r="J59" s="511"/>
      <c r="K59" s="511"/>
      <c r="L59" s="511"/>
      <c r="M59" s="511"/>
      <c r="N59" s="511"/>
      <c r="O59" s="511"/>
      <c r="P59" s="511"/>
      <c r="Q59" s="511"/>
      <c r="R59" s="511"/>
      <c r="S59" s="511"/>
      <c r="T59" s="388" t="b" cm="1">
        <f t="array" aca="1" ref="T59" ca="1">T58</f>
        <v>0</v>
      </c>
      <c r="X59" s="2120"/>
      <c r="Z59" s="2121"/>
      <c r="AB59" s="727" t="s">
        <v>526</v>
      </c>
      <c r="AC59" s="728" t="s">
        <v>1755</v>
      </c>
      <c r="AD59" s="733" t="s">
        <v>831</v>
      </c>
      <c r="AE59" s="722">
        <f ca="1">SUMIFS(ФОТ!AE$25:AE$138,ФОТ!$F$25:$F$138,$F59,ФОТ!$G$25:$G$138,$G59)</f>
        <v>0</v>
      </c>
      <c r="AF59" s="722">
        <f ca="1">SUMIFS(ФОТ!AF$25:AF$138,ФОТ!$F$25:$F$138,$F59,ФОТ!$G$25:$G$138,$G59)</f>
        <v>0</v>
      </c>
      <c r="AG59" s="722">
        <f ca="1">SUMIFS(ФОТ!AG$25:AG$138,ФОТ!$F$25:$F$138,$F59,ФОТ!$G$25:$G$138,$G59)</f>
        <v>0</v>
      </c>
      <c r="AH59" s="722">
        <f t="shared" ca="1" si="3"/>
        <v>0</v>
      </c>
      <c r="AI59" s="722">
        <f ca="1">SUMIFS(ФОТ!AH$25:AH$138,ФОТ!$F$25:$F$138,$F59,ФОТ!$G$25:$G$138,$G59)</f>
        <v>0</v>
      </c>
      <c r="AJ59" s="722">
        <f ca="1">SUMIFS(ФОТ!AI$25:AI$138,ФОТ!$F$25:$F$138,$F59,ФОТ!$G$25:$G$138,$G59)</f>
        <v>0</v>
      </c>
      <c r="AK59" s="722">
        <f ca="1">SUMIFS(ФОТ!AJ$25:AJ$138,ФОТ!$F$25:$F$138,$F59,ФОТ!$G$25:$G$138,$G59)</f>
        <v>0</v>
      </c>
      <c r="AL59" s="722">
        <f t="shared" ca="1" si="4"/>
        <v>0</v>
      </c>
      <c r="AM59" s="1461"/>
      <c r="AN59" s="1462" t="str">
        <f ca="1">IF(IFERROR(INDEX(ФОТ!$K$26:$L$138,MATCH($F59&amp;"3komm",ФОТ!$K$26:$K$138,0),2),"")=0,"",IFERROR(INDEX(ФОТ!$K$26:$L$138,MATCH($F59&amp;"3komm",ФОТ!$K$26:$K$138,0),2),""))</f>
        <v/>
      </c>
      <c r="AO59" s="1461"/>
      <c r="AR59" s="971" t="s">
        <v>1756</v>
      </c>
    </row>
    <row r="60" spans="5:48" ht="21.95" hidden="1" customHeight="1" x14ac:dyDescent="0.25">
      <c r="E60" s="618">
        <v>22.5</v>
      </c>
      <c r="F60" s="3" cm="1">
        <f t="array" aca="1" ref="F60" ca="1">OFFSET(E60,-1,1)</f>
        <v>0</v>
      </c>
      <c r="G60" s="501" t="s">
        <v>1124</v>
      </c>
      <c r="I60" s="511" t="s">
        <v>1757</v>
      </c>
      <c r="J60" s="511"/>
      <c r="K60" s="511"/>
      <c r="L60" s="511"/>
      <c r="M60" s="511"/>
      <c r="N60" s="511"/>
      <c r="O60" s="511"/>
      <c r="P60" s="511"/>
      <c r="Q60" s="511"/>
      <c r="R60" s="511"/>
      <c r="S60" s="511"/>
      <c r="T60" s="388" t="b" cm="1">
        <f t="array" aca="1" ref="T60" ca="1">T59</f>
        <v>0</v>
      </c>
      <c r="X60" s="2120"/>
      <c r="Z60" s="2121"/>
      <c r="AB60" s="727" t="s">
        <v>1405</v>
      </c>
      <c r="AC60" s="728" t="s">
        <v>1758</v>
      </c>
      <c r="AD60" s="733" t="s">
        <v>831</v>
      </c>
      <c r="AE60" s="722">
        <f ca="1">SUMIFS(ФОТ!AE$25:AE$138,ФОТ!$F$25:$F$138,$F60,ФОТ!$G$25:$G$138,$G60)</f>
        <v>0</v>
      </c>
      <c r="AF60" s="722">
        <f ca="1">SUMIFS(ФОТ!AF$25:AF$138,ФОТ!$F$25:$F$138,$F60,ФОТ!$G$25:$G$138,$G60)</f>
        <v>0</v>
      </c>
      <c r="AG60" s="722">
        <f ca="1">SUMIFS(ФОТ!AG$25:AG$138,ФОТ!$F$25:$F$138,$F60,ФОТ!$G$25:$G$138,$G60)</f>
        <v>0</v>
      </c>
      <c r="AH60" s="722">
        <f t="shared" ca="1" si="3"/>
        <v>0</v>
      </c>
      <c r="AI60" s="722">
        <f ca="1">SUMIFS(ФОТ!AH$25:AH$138,ФОТ!$F$25:$F$138,$F60,ФОТ!$G$25:$G$138,$G60)</f>
        <v>0</v>
      </c>
      <c r="AJ60" s="722">
        <f ca="1">SUMIFS(ФОТ!AI$25:AI$138,ФОТ!$F$25:$F$138,$F60,ФОТ!$G$25:$G$138,$G60)</f>
        <v>0</v>
      </c>
      <c r="AK60" s="722">
        <f ca="1">SUMIFS(ФОТ!AJ$25:AJ$138,ФОТ!$F$25:$F$138,$F60,ФОТ!$G$25:$G$138,$G60)</f>
        <v>0</v>
      </c>
      <c r="AL60" s="722">
        <f t="shared" ca="1" si="4"/>
        <v>0</v>
      </c>
      <c r="AM60" s="1461"/>
      <c r="AN60" s="1462" t="str">
        <f ca="1">IF(IFERROR(INDEX(ФОТ!$K$26:$L$138,MATCH($F60&amp;"4komm",ФОТ!$K$26:$K$138,0),2),"")=0,"",IFERROR(INDEX(ФОТ!$K$26:$L$138,MATCH($F60&amp;"4komm",ФОТ!$K$26:$K$138,0),2),""))</f>
        <v/>
      </c>
      <c r="AO60" s="1461"/>
      <c r="AR60" s="971" t="s">
        <v>1759</v>
      </c>
    </row>
    <row r="61" spans="5:48" s="512" customFormat="1" ht="14.65" hidden="1" customHeight="1" x14ac:dyDescent="0.25">
      <c r="E61" s="620">
        <v>15</v>
      </c>
      <c r="F61" s="3" cm="1">
        <f t="array" aca="1" ref="F61" ca="1">OFFSET(E61,-1,1)</f>
        <v>0</v>
      </c>
      <c r="I61" s="621" t="s">
        <v>333</v>
      </c>
      <c r="J61" s="621"/>
      <c r="K61" s="621"/>
      <c r="L61" s="621"/>
      <c r="M61" s="621"/>
      <c r="N61" s="621"/>
      <c r="O61" s="621"/>
      <c r="P61" s="621"/>
      <c r="Q61" s="621"/>
      <c r="R61" s="621"/>
      <c r="S61" s="621"/>
      <c r="T61" s="388" t="b" cm="1">
        <f t="array" aca="1" ref="T61" ca="1">T60</f>
        <v>0</v>
      </c>
      <c r="X61" s="2120"/>
      <c r="Z61" s="2121"/>
      <c r="AB61" s="724" t="s">
        <v>329</v>
      </c>
      <c r="AC61" s="720" t="s">
        <v>1760</v>
      </c>
      <c r="AD61" s="731" t="s">
        <v>831</v>
      </c>
      <c r="AE61" s="721">
        <f ca="1">AE62+AE63+AE66+AE67+AE68+AE69+AE70</f>
        <v>0</v>
      </c>
      <c r="AF61" s="721">
        <f ca="1">AF62+AF63+AF66+AF67+AF68+AF69+AF70</f>
        <v>0</v>
      </c>
      <c r="AG61" s="721">
        <f ca="1">AG62+AG63+AG66+AG67+AG68+AG69+AG70</f>
        <v>0</v>
      </c>
      <c r="AH61" s="721">
        <f t="shared" ca="1" si="3"/>
        <v>0</v>
      </c>
      <c r="AI61" s="721">
        <f ca="1">AI62+AI63+AI66+AI67+AI68+AI69+AI70</f>
        <v>0</v>
      </c>
      <c r="AJ61" s="721">
        <f ca="1">AJ62+AJ63+AJ66+AJ67+AJ68+AJ69+AJ70</f>
        <v>0</v>
      </c>
      <c r="AK61" s="721">
        <f ca="1">AK62+AK63+AK66+AK67+AK68+AK69+AK70</f>
        <v>0</v>
      </c>
      <c r="AL61" s="721">
        <f t="shared" ca="1" si="4"/>
        <v>0</v>
      </c>
      <c r="AM61" s="1463"/>
      <c r="AN61" s="1463"/>
      <c r="AO61" s="1463"/>
      <c r="AR61" s="972" t="s">
        <v>1761</v>
      </c>
      <c r="AS61" s="972"/>
      <c r="AT61" s="972"/>
      <c r="AU61" s="620"/>
      <c r="AV61" s="620"/>
    </row>
    <row r="62" spans="5:48" ht="21.95" hidden="1" customHeight="1" x14ac:dyDescent="0.25">
      <c r="E62" s="618">
        <v>22.5</v>
      </c>
      <c r="F62" s="3" cm="1">
        <f t="array" aca="1" ref="F62" ca="1">OFFSET(E62,-1,1)</f>
        <v>0</v>
      </c>
      <c r="G62" s="501" t="s">
        <v>1155</v>
      </c>
      <c r="I62" s="511" t="s">
        <v>940</v>
      </c>
      <c r="J62" s="511"/>
      <c r="K62" s="511"/>
      <c r="L62" s="511"/>
      <c r="M62" s="511"/>
      <c r="N62" s="511"/>
      <c r="O62" s="511"/>
      <c r="P62" s="511"/>
      <c r="Q62" s="511"/>
      <c r="R62" s="511"/>
      <c r="S62" s="511"/>
      <c r="T62" s="388" t="b" cm="1">
        <f t="array" aca="1" ref="T62" ca="1">T61</f>
        <v>0</v>
      </c>
      <c r="X62" s="2120"/>
      <c r="Z62" s="2121"/>
      <c r="AB62" s="727" t="s">
        <v>580</v>
      </c>
      <c r="AC62" s="732" t="s">
        <v>1762</v>
      </c>
      <c r="AD62" s="733" t="s">
        <v>831</v>
      </c>
      <c r="AE62" s="177">
        <f ca="1">SUMIFS(Административные!AE$25:AE$84,Административные!$F$25:$F$84,$F62,Административные!$G$25:$G$84,$G62)</f>
        <v>0</v>
      </c>
      <c r="AF62" s="177">
        <f ca="1">SUMIFS(Административные!AF$25:AF$84,Административные!$F$25:$F$84,$F62,Административные!$G$25:$G$84,$G62)</f>
        <v>0</v>
      </c>
      <c r="AG62" s="177">
        <f ca="1">SUMIFS(Административные!AG$25:AG$84,Административные!$F$25:$F$84,$F62,Административные!$G$25:$G$84,$G62)</f>
        <v>0</v>
      </c>
      <c r="AH62" s="722">
        <f t="shared" ca="1" si="3"/>
        <v>0</v>
      </c>
      <c r="AI62" s="177">
        <f ca="1">SUMIFS(Административные!AH$25:AH$84,Административные!$F$25:$F$84,$F62,Административные!$G$25:$G$84,$G62)</f>
        <v>0</v>
      </c>
      <c r="AJ62" s="177">
        <f ca="1">SUMIFS(Административные!AI$25:AI$84,Административные!$F$25:$F$84,$F62,Административные!$G$25:$G$84,$G62)</f>
        <v>0</v>
      </c>
      <c r="AK62" s="177">
        <f ca="1">SUMIFS(Административные!AJ$25:AJ$84,Административные!$F$25:$F$84,$F62,Административные!$G$25:$G$84,$G62)</f>
        <v>0</v>
      </c>
      <c r="AL62" s="722">
        <f t="shared" ca="1" si="4"/>
        <v>0</v>
      </c>
      <c r="AM62" s="1461"/>
      <c r="AN62" s="1462" t="str">
        <f ca="1">IF(IFERROR(INDEX(Административные!$K$26:$L$84,MATCH($F62&amp;"17komm",Административные!$K$26:$K$84,0),2),"")=0,"",IFERROR(INDEX(Административные!$K$26:$L$84,MATCH($F62&amp;"17komm",Административные!$K$26:$K$84,0),2),""))</f>
        <v/>
      </c>
      <c r="AO62" s="1461"/>
      <c r="AR62" s="971" t="s">
        <v>1157</v>
      </c>
    </row>
    <row r="63" spans="5:48" ht="32.85" hidden="1" customHeight="1" x14ac:dyDescent="0.25">
      <c r="E63" s="618">
        <v>33.75</v>
      </c>
      <c r="F63" s="3" cm="1">
        <f t="array" aca="1" ref="F63" ca="1">OFFSET(E63,-1,1)</f>
        <v>0</v>
      </c>
      <c r="I63" s="511" t="s">
        <v>942</v>
      </c>
      <c r="J63" s="511"/>
      <c r="K63" s="511"/>
      <c r="L63" s="511"/>
      <c r="M63" s="511"/>
      <c r="N63" s="511"/>
      <c r="O63" s="511"/>
      <c r="P63" s="511"/>
      <c r="Q63" s="511"/>
      <c r="R63" s="511"/>
      <c r="S63" s="511"/>
      <c r="T63" s="388" t="b" cm="1">
        <f t="array" aca="1" ref="T63" ca="1">T62</f>
        <v>0</v>
      </c>
      <c r="X63" s="2120"/>
      <c r="Z63" s="2121"/>
      <c r="AB63" s="727" t="s">
        <v>584</v>
      </c>
      <c r="AC63" s="732" t="s">
        <v>1763</v>
      </c>
      <c r="AD63" s="733" t="s">
        <v>831</v>
      </c>
      <c r="AE63" s="722">
        <f ca="1">AE64+AE65</f>
        <v>0</v>
      </c>
      <c r="AF63" s="722">
        <f ca="1">AF64+AF65</f>
        <v>0</v>
      </c>
      <c r="AG63" s="722">
        <f ca="1">AG64+AG65</f>
        <v>0</v>
      </c>
      <c r="AH63" s="722">
        <f t="shared" ca="1" si="3"/>
        <v>0</v>
      </c>
      <c r="AI63" s="722">
        <f ca="1">AI64+AI65</f>
        <v>0</v>
      </c>
      <c r="AJ63" s="722">
        <f ca="1">AJ64+AJ65</f>
        <v>0</v>
      </c>
      <c r="AK63" s="722">
        <f ca="1">AK64+AK65</f>
        <v>0</v>
      </c>
      <c r="AL63" s="722">
        <f t="shared" ca="1" si="4"/>
        <v>0</v>
      </c>
      <c r="AM63" s="1461"/>
      <c r="AN63" s="1461"/>
      <c r="AO63" s="1461"/>
      <c r="AR63" s="971" t="s">
        <v>1764</v>
      </c>
    </row>
    <row r="64" spans="5:48" ht="21.95" hidden="1" customHeight="1" x14ac:dyDescent="0.25">
      <c r="E64" s="618">
        <v>22.5</v>
      </c>
      <c r="F64" s="3" cm="1">
        <f t="array" aca="1" ref="F64" ca="1">OFFSET(E64,-1,1)</f>
        <v>0</v>
      </c>
      <c r="G64" s="1140" t="s">
        <v>1127</v>
      </c>
      <c r="I64" s="511" t="s">
        <v>530</v>
      </c>
      <c r="J64" s="511"/>
      <c r="K64" s="511"/>
      <c r="L64" s="511"/>
      <c r="M64" s="511"/>
      <c r="N64" s="511"/>
      <c r="O64" s="511"/>
      <c r="P64" s="511"/>
      <c r="Q64" s="511"/>
      <c r="R64" s="511"/>
      <c r="S64" s="511"/>
      <c r="T64" s="388" t="b" cm="1">
        <f t="array" aca="1" ref="T64" ca="1">T63</f>
        <v>0</v>
      </c>
      <c r="X64" s="2120"/>
      <c r="Z64" s="2121"/>
      <c r="AB64" s="727" t="s">
        <v>790</v>
      </c>
      <c r="AC64" s="728" t="s">
        <v>1765</v>
      </c>
      <c r="AD64" s="733" t="s">
        <v>831</v>
      </c>
      <c r="AE64" s="722">
        <f ca="1">SUMIFS(ФОТ!AE$25:AE$138,ФОТ!$F$25:$F$138,$F64,ФОТ!$G$25:$G$138,$G64)</f>
        <v>0</v>
      </c>
      <c r="AF64" s="722">
        <f ca="1">SUMIFS(ФОТ!AF$25:AF$138,ФОТ!$F$25:$F$138,$F64,ФОТ!$G$25:$G$138,$G64)</f>
        <v>0</v>
      </c>
      <c r="AG64" s="722">
        <f ca="1">SUMIFS(ФОТ!AG$25:AG$138,ФОТ!$F$25:$F$138,$F64,ФОТ!$G$25:$G$138,$G64)</f>
        <v>0</v>
      </c>
      <c r="AH64" s="722">
        <f t="shared" ca="1" si="3"/>
        <v>0</v>
      </c>
      <c r="AI64" s="722">
        <f ca="1">SUMIFS(ФОТ!AH$25:AH$138,ФОТ!$F$25:$F$138,$F64,ФОТ!$G$25:$G$138,$G64)</f>
        <v>0</v>
      </c>
      <c r="AJ64" s="722">
        <f ca="1">SUMIFS(ФОТ!AI$25:AI$138,ФОТ!$F$25:$F$138,$F64,ФОТ!$G$25:$G$138,$G64)</f>
        <v>0</v>
      </c>
      <c r="AK64" s="722">
        <f ca="1">SUMIFS(ФОТ!AJ$25:AJ$138,ФОТ!$F$25:$F$138,$F64,ФОТ!$G$25:$G$138,$G64)</f>
        <v>0</v>
      </c>
      <c r="AL64" s="722">
        <f t="shared" ca="1" si="4"/>
        <v>0</v>
      </c>
      <c r="AM64" s="1461"/>
      <c r="AN64" s="1462" t="str">
        <f ca="1">IF(IFERROR(INDEX(ФОТ!$K$26:$L$138,MATCH($F64&amp;"5komm",ФОТ!$K$26:$K$138,0),2),"")=0,"",IFERROR(INDEX(ФОТ!$K$26:$L$138,MATCH($F64&amp;"5komm",ФОТ!$K$26:$K$138,0),2),""))</f>
        <v/>
      </c>
      <c r="AO64" s="1461"/>
      <c r="AR64" s="971" t="s">
        <v>1154</v>
      </c>
    </row>
    <row r="65" spans="2:48" ht="32.85" hidden="1" customHeight="1" x14ac:dyDescent="0.25">
      <c r="E65" s="618">
        <v>33.75</v>
      </c>
      <c r="F65" s="3" cm="1">
        <f t="array" aca="1" ref="F65" ca="1">OFFSET(E65,-1,1)</f>
        <v>0</v>
      </c>
      <c r="G65" s="421" t="s">
        <v>1132</v>
      </c>
      <c r="I65" s="511" t="s">
        <v>535</v>
      </c>
      <c r="J65" s="511"/>
      <c r="K65" s="511"/>
      <c r="L65" s="511"/>
      <c r="M65" s="511"/>
      <c r="N65" s="511"/>
      <c r="O65" s="511"/>
      <c r="P65" s="511"/>
      <c r="Q65" s="511"/>
      <c r="R65" s="511"/>
      <c r="S65" s="511"/>
      <c r="T65" s="388" t="b" cm="1">
        <f t="array" aca="1" ref="T65" ca="1">T64</f>
        <v>0</v>
      </c>
      <c r="X65" s="2120"/>
      <c r="Z65" s="2121"/>
      <c r="AB65" s="727" t="s">
        <v>793</v>
      </c>
      <c r="AC65" s="728" t="s">
        <v>1766</v>
      </c>
      <c r="AD65" s="733" t="s">
        <v>831</v>
      </c>
      <c r="AE65" s="722">
        <f ca="1">SUMIFS(ФОТ!AE$25:AE$138,ФОТ!$F$25:$F$138,$F65,ФОТ!$G$25:$G$138,$G65)</f>
        <v>0</v>
      </c>
      <c r="AF65" s="722">
        <f ca="1">SUMIFS(ФОТ!AF$25:AF$138,ФОТ!$F$25:$F$138,$F65,ФОТ!$G$25:$G$138,$G65)</f>
        <v>0</v>
      </c>
      <c r="AG65" s="722">
        <f ca="1">SUMIFS(ФОТ!AG$25:AG$138,ФОТ!$F$25:$F$138,$F65,ФОТ!$G$25:$G$138,$G65)</f>
        <v>0</v>
      </c>
      <c r="AH65" s="722">
        <f t="shared" ca="1" si="3"/>
        <v>0</v>
      </c>
      <c r="AI65" s="722">
        <f ca="1">SUMIFS(ФОТ!AH$25:AH$138,ФОТ!$F$25:$F$138,$F65,ФОТ!$G$25:$G$138,$G65)</f>
        <v>0</v>
      </c>
      <c r="AJ65" s="722">
        <f ca="1">SUMIFS(ФОТ!AI$25:AI$138,ФОТ!$F$25:$F$138,$F65,ФОТ!$G$25:$G$138,$G65)</f>
        <v>0</v>
      </c>
      <c r="AK65" s="722">
        <f ca="1">SUMIFS(ФОТ!AJ$25:AJ$138,ФОТ!$F$25:$F$138,$F65,ФОТ!$G$25:$G$138,$G65)</f>
        <v>0</v>
      </c>
      <c r="AL65" s="722">
        <f t="shared" ca="1" si="4"/>
        <v>0</v>
      </c>
      <c r="AM65" s="1461"/>
      <c r="AN65" s="1462" t="str">
        <f ca="1">IF(IFERROR(INDEX(ФОТ!$K$26:$L$138,MATCH($F65&amp;"6komm",ФОТ!$K$26:$K$138,0),2),"")=0,"",IFERROR(INDEX(ФОТ!$K$26:$L$138,MATCH($F65&amp;"6komm",ФОТ!$K$26:$K$138,0),2),""))</f>
        <v/>
      </c>
      <c r="AO65" s="1461"/>
      <c r="AR65" s="971" t="s">
        <v>1767</v>
      </c>
    </row>
    <row r="66" spans="2:48" ht="32.85" hidden="1" customHeight="1" x14ac:dyDescent="0.25">
      <c r="E66" s="618">
        <v>33.75</v>
      </c>
      <c r="F66" s="3" cm="1">
        <f t="array" aca="1" ref="F66" ca="1">OFFSET(E66,-1,1)</f>
        <v>0</v>
      </c>
      <c r="G66" s="501" t="s">
        <v>1183</v>
      </c>
      <c r="I66" s="511" t="s">
        <v>944</v>
      </c>
      <c r="J66" s="511"/>
      <c r="K66" s="511"/>
      <c r="L66" s="511"/>
      <c r="M66" s="511"/>
      <c r="N66" s="511"/>
      <c r="O66" s="511"/>
      <c r="P66" s="511"/>
      <c r="Q66" s="511"/>
      <c r="R66" s="511"/>
      <c r="S66" s="511"/>
      <c r="T66" s="388" t="b" cm="1">
        <f t="array" aca="1" ref="T66" ca="1">T65</f>
        <v>0</v>
      </c>
      <c r="X66" s="2120"/>
      <c r="Z66" s="2121"/>
      <c r="AB66" s="727" t="s">
        <v>796</v>
      </c>
      <c r="AC66" s="732" t="s">
        <v>1768</v>
      </c>
      <c r="AD66" s="733" t="s">
        <v>831</v>
      </c>
      <c r="AE66" s="722">
        <f ca="1">SUMIFS(Административные!AE$25:AE$84,Административные!$F$25:$F$84,$F66,Административные!$G$25:$G$84,$G66)</f>
        <v>0</v>
      </c>
      <c r="AF66" s="722">
        <f ca="1">SUMIFS(Административные!AF$25:AF$84,Административные!$F$25:$F$84,$F66,Административные!$G$25:$G$84,$G66)</f>
        <v>0</v>
      </c>
      <c r="AG66" s="722">
        <f ca="1">SUMIFS(Административные!AG$25:AG$84,Административные!$F$25:$F$84,$F66,Административные!$G$25:$G$84,$G66)</f>
        <v>0</v>
      </c>
      <c r="AH66" s="722">
        <f t="shared" ca="1" si="3"/>
        <v>0</v>
      </c>
      <c r="AI66" s="722">
        <f ca="1">SUMIFS(Административные!AH$25:AH$84,Административные!$F$25:$F$84,$F66,Административные!$G$25:$G$84,$G66)</f>
        <v>0</v>
      </c>
      <c r="AJ66" s="722">
        <f ca="1">SUMIFS(Административные!AI$25:AI$84,Административные!$F$25:$F$84,$F66,Административные!$G$25:$G$84,$G66)</f>
        <v>0</v>
      </c>
      <c r="AK66" s="722">
        <f ca="1">SUMIFS(Административные!AJ$25:AJ$84,Административные!$F$25:$F$84,$F66,Административные!$G$25:$G$84,$G66)</f>
        <v>0</v>
      </c>
      <c r="AL66" s="722">
        <f t="shared" ca="1" si="4"/>
        <v>0</v>
      </c>
      <c r="AM66" s="1461"/>
      <c r="AN66" s="1462" t="str">
        <f ca="1">IF(IFERROR(INDEX(Административные!$K$26:$L$84,MATCH($F66&amp;"2komm",Административные!$K$26:$K$84,0),2),"")=0,"",IFERROR(INDEX(Административные!$K$26:$L$84,MATCH($F66&amp;"2komm",Административные!$K$26:$K$84,0),2),""))</f>
        <v/>
      </c>
      <c r="AO66" s="1461"/>
      <c r="AR66" s="971" t="s">
        <v>1185</v>
      </c>
    </row>
    <row r="67" spans="2:48" ht="14.65" hidden="1" customHeight="1" x14ac:dyDescent="0.25">
      <c r="E67" s="618">
        <v>15</v>
      </c>
      <c r="F67" s="3" cm="1">
        <f t="array" aca="1" ref="F67" ca="1">OFFSET(E67,-1,1)</f>
        <v>0</v>
      </c>
      <c r="G67" s="501" t="s">
        <v>1186</v>
      </c>
      <c r="I67" s="511" t="s">
        <v>946</v>
      </c>
      <c r="J67" s="511"/>
      <c r="K67" s="511"/>
      <c r="L67" s="511"/>
      <c r="M67" s="511"/>
      <c r="N67" s="511"/>
      <c r="O67" s="511"/>
      <c r="P67" s="511"/>
      <c r="Q67" s="511"/>
      <c r="R67" s="511"/>
      <c r="S67" s="511"/>
      <c r="T67" s="388" t="b" cm="1">
        <f t="array" aca="1" ref="T67" ca="1">T66</f>
        <v>0</v>
      </c>
      <c r="X67" s="2120"/>
      <c r="Z67" s="2121"/>
      <c r="AB67" s="727" t="s">
        <v>947</v>
      </c>
      <c r="AC67" s="732" t="s">
        <v>1187</v>
      </c>
      <c r="AD67" s="733" t="s">
        <v>831</v>
      </c>
      <c r="AE67" s="722">
        <f ca="1">SUMIFS(Административные!AE$25:AE$84,Административные!$F$25:$F$84,$F67,Административные!$G$25:$G$84,$G67)</f>
        <v>0</v>
      </c>
      <c r="AF67" s="722">
        <f ca="1">SUMIFS(Административные!AF$25:AF$84,Административные!$F$25:$F$84,$F67,Административные!$G$25:$G$84,$G67)</f>
        <v>0</v>
      </c>
      <c r="AG67" s="722">
        <f ca="1">SUMIFS(Административные!AG$25:AG$84,Административные!$F$25:$F$84,$F67,Административные!$G$25:$G$84,$G67)</f>
        <v>0</v>
      </c>
      <c r="AH67" s="722">
        <f t="shared" ca="1" si="3"/>
        <v>0</v>
      </c>
      <c r="AI67" s="722">
        <f ca="1">SUMIFS(Административные!AH$25:AH$84,Административные!$F$25:$F$84,$F67,Административные!$G$25:$G$84,$G67)</f>
        <v>0</v>
      </c>
      <c r="AJ67" s="722">
        <f ca="1">SUMIFS(Административные!AI$25:AI$84,Административные!$F$25:$F$84,$F67,Административные!$G$25:$G$84,$G67)</f>
        <v>0</v>
      </c>
      <c r="AK67" s="722">
        <f ca="1">SUMIFS(Административные!AJ$25:AJ$84,Административные!$F$25:$F$84,$F67,Административные!$G$25:$G$84,$G67)</f>
        <v>0</v>
      </c>
      <c r="AL67" s="722">
        <f t="shared" ca="1" si="4"/>
        <v>0</v>
      </c>
      <c r="AM67" s="1461"/>
      <c r="AN67" s="1462" t="str">
        <f ca="1">IF(IFERROR(INDEX(Административные!$K$26:$L$84,MATCH($F67&amp;"3komm",Административные!$K$26:$K$84,0),2),"")=0,"",IFERROR(INDEX(Административные!$K$26:$L$84,MATCH($F67&amp;"3komm",Административные!$K$26:$K$84,0),2),""))</f>
        <v/>
      </c>
      <c r="AO67" s="1461"/>
      <c r="AR67" s="971" t="s">
        <v>1188</v>
      </c>
    </row>
    <row r="68" spans="2:48" ht="14.65" hidden="1" customHeight="1" x14ac:dyDescent="0.25">
      <c r="E68" s="618">
        <v>15</v>
      </c>
      <c r="F68" s="3" cm="1">
        <f t="array" aca="1" ref="F68" ca="1">OFFSET(E68,-1,1)</f>
        <v>0</v>
      </c>
      <c r="G68" s="501" t="s">
        <v>1189</v>
      </c>
      <c r="I68" s="511" t="s">
        <v>949</v>
      </c>
      <c r="J68" s="511"/>
      <c r="K68" s="511"/>
      <c r="L68" s="511"/>
      <c r="M68" s="511"/>
      <c r="N68" s="511"/>
      <c r="O68" s="511"/>
      <c r="P68" s="511"/>
      <c r="Q68" s="511"/>
      <c r="R68" s="511"/>
      <c r="S68" s="511"/>
      <c r="T68" s="388" t="b" cm="1">
        <f t="array" aca="1" ref="T68" ca="1">T67</f>
        <v>0</v>
      </c>
      <c r="X68" s="2120"/>
      <c r="Z68" s="2121"/>
      <c r="AB68" s="727" t="s">
        <v>950</v>
      </c>
      <c r="AC68" s="732" t="s">
        <v>1190</v>
      </c>
      <c r="AD68" s="733" t="s">
        <v>831</v>
      </c>
      <c r="AE68" s="722">
        <f ca="1">SUMIFS(Административные!AE$25:AE$84,Административные!$F$25:$F$84,$F68,Административные!$G$25:$G$84,$G68)</f>
        <v>0</v>
      </c>
      <c r="AF68" s="722">
        <f ca="1">SUMIFS(Административные!AF$25:AF$84,Административные!$F$25:$F$84,$F68,Административные!$G$25:$G$84,$G68)</f>
        <v>0</v>
      </c>
      <c r="AG68" s="722">
        <f ca="1">SUMIFS(Административные!AG$25:AG$84,Административные!$F$25:$F$84,$F68,Административные!$G$25:$G$84,$G68)</f>
        <v>0</v>
      </c>
      <c r="AH68" s="722">
        <f t="shared" ca="1" si="3"/>
        <v>0</v>
      </c>
      <c r="AI68" s="722">
        <f ca="1">SUMIFS(Административные!AH$25:AH$84,Административные!$F$25:$F$84,$F68,Административные!$G$25:$G$84,$G68)</f>
        <v>0</v>
      </c>
      <c r="AJ68" s="722">
        <f ca="1">SUMIFS(Административные!AI$25:AI$84,Административные!$F$25:$F$84,$F68,Административные!$G$25:$G$84,$G68)</f>
        <v>0</v>
      </c>
      <c r="AK68" s="722">
        <f ca="1">SUMIFS(Административные!AJ$25:AJ$84,Административные!$F$25:$F$84,$F68,Административные!$G$25:$G$84,$G68)</f>
        <v>0</v>
      </c>
      <c r="AL68" s="722">
        <f t="shared" ca="1" si="4"/>
        <v>0</v>
      </c>
      <c r="AM68" s="1461"/>
      <c r="AN68" s="1462" t="str">
        <f ca="1">IF(IFERROR(INDEX(Административные!$K$26:$L$84,MATCH($F68&amp;"4komm",Административные!$K$26:$K$84,0),2),"")=0,"",IFERROR(INDEX(Административные!$K$26:$L$84,MATCH($F68&amp;"4komm",Административные!$K$26:$K$84,0),2),""))</f>
        <v/>
      </c>
      <c r="AO68" s="1461"/>
      <c r="AR68" s="971" t="s">
        <v>1191</v>
      </c>
    </row>
    <row r="69" spans="2:48" ht="14.65" hidden="1" customHeight="1" x14ac:dyDescent="0.25">
      <c r="E69" s="618">
        <v>15</v>
      </c>
      <c r="F69" s="3" cm="1">
        <f t="array" aca="1" ref="F69" ca="1">OFFSET(E69,-1,1)</f>
        <v>0</v>
      </c>
      <c r="G69" s="501" t="s">
        <v>1192</v>
      </c>
      <c r="I69" s="511" t="s">
        <v>1174</v>
      </c>
      <c r="J69" s="511"/>
      <c r="K69" s="511"/>
      <c r="L69" s="511"/>
      <c r="M69" s="511"/>
      <c r="N69" s="511"/>
      <c r="O69" s="511"/>
      <c r="P69" s="511"/>
      <c r="Q69" s="511"/>
      <c r="R69" s="511"/>
      <c r="S69" s="511"/>
      <c r="T69" s="388" t="b" cm="1">
        <f t="array" aca="1" ref="T69" ca="1">T68</f>
        <v>0</v>
      </c>
      <c r="X69" s="2120"/>
      <c r="Z69" s="2121"/>
      <c r="AB69" s="727" t="s">
        <v>1175</v>
      </c>
      <c r="AC69" s="732" t="s">
        <v>1193</v>
      </c>
      <c r="AD69" s="733" t="s">
        <v>831</v>
      </c>
      <c r="AE69" s="722">
        <f ca="1">SUMIFS(Административные!AE$25:AE$84,Административные!$F$25:$F$84,$F69,Административные!$G$25:$G$84,$G69)</f>
        <v>0</v>
      </c>
      <c r="AF69" s="722">
        <f ca="1">SUMIFS(Административные!AF$25:AF$84,Административные!$F$25:$F$84,$F69,Административные!$G$25:$G$84,$G69)</f>
        <v>0</v>
      </c>
      <c r="AG69" s="722">
        <f ca="1">SUMIFS(Административные!AG$25:AG$84,Административные!$F$25:$F$84,$F69,Административные!$G$25:$G$84,$G69)</f>
        <v>0</v>
      </c>
      <c r="AH69" s="722">
        <f t="shared" ca="1" si="3"/>
        <v>0</v>
      </c>
      <c r="AI69" s="722">
        <f ca="1">SUMIFS(Административные!AH$25:AH$84,Административные!$F$25:$F$84,$F69,Административные!$G$25:$G$84,$G69)</f>
        <v>0</v>
      </c>
      <c r="AJ69" s="722">
        <f ca="1">SUMIFS(Административные!AI$25:AI$84,Административные!$F$25:$F$84,$F69,Административные!$G$25:$G$84,$G69)</f>
        <v>0</v>
      </c>
      <c r="AK69" s="722">
        <f ca="1">SUMIFS(Административные!AJ$25:AJ$84,Административные!$F$25:$F$84,$F69,Административные!$G$25:$G$84,$G69)</f>
        <v>0</v>
      </c>
      <c r="AL69" s="722">
        <f t="shared" ca="1" si="4"/>
        <v>0</v>
      </c>
      <c r="AM69" s="1461"/>
      <c r="AN69" s="1462" t="str">
        <f ca="1">IF(IFERROR(INDEX(Административные!$K$26:$L$84,MATCH($F65&amp;"5komm",Административные!$K$26:$K$84,0),2),"")=0,"",IFERROR(INDEX(Административные!$K$26:$L$84,MATCH($F65&amp;"5komm",Административные!$K$26:$K$84,0),2),""))</f>
        <v/>
      </c>
      <c r="AO69" s="1461"/>
      <c r="AR69" s="971" t="s">
        <v>1769</v>
      </c>
    </row>
    <row r="70" spans="2:48" ht="14.65" hidden="1" customHeight="1" x14ac:dyDescent="0.25">
      <c r="E70" s="618">
        <v>15</v>
      </c>
      <c r="F70" s="3" cm="1">
        <f t="array" aca="1" ref="F70" ca="1">OFFSET(E70,-1,1)</f>
        <v>0</v>
      </c>
      <c r="G70" s="501" t="s">
        <v>1195</v>
      </c>
      <c r="I70" s="511" t="s">
        <v>1179</v>
      </c>
      <c r="J70" s="511"/>
      <c r="K70" s="511"/>
      <c r="L70" s="511"/>
      <c r="M70" s="511"/>
      <c r="N70" s="511"/>
      <c r="O70" s="511"/>
      <c r="P70" s="511"/>
      <c r="Q70" s="511"/>
      <c r="R70" s="511"/>
      <c r="S70" s="511"/>
      <c r="T70" s="388" t="b" cm="1">
        <f t="array" aca="1" ref="T70" ca="1">T69</f>
        <v>0</v>
      </c>
      <c r="X70" s="2120"/>
      <c r="Z70" s="2121"/>
      <c r="AB70" s="727" t="s">
        <v>1180</v>
      </c>
      <c r="AC70" s="732" t="s">
        <v>1770</v>
      </c>
      <c r="AD70" s="733" t="s">
        <v>831</v>
      </c>
      <c r="AE70" s="722">
        <f ca="1">SUMIFS(Административные!AE$25:AE$84,Административные!$F$25:$F$84,$F70,Административные!$G$25:$G$84,$G70)</f>
        <v>0</v>
      </c>
      <c r="AF70" s="722">
        <f ca="1">SUMIFS(Административные!AF$25:AF$84,Административные!$F$25:$F$84,$F70,Административные!$G$25:$G$84,$G70)</f>
        <v>0</v>
      </c>
      <c r="AG70" s="722">
        <f ca="1">SUMIFS(Административные!AG$25:AG$84,Административные!$F$25:$F$84,$F70,Административные!$G$25:$G$84,$G70)</f>
        <v>0</v>
      </c>
      <c r="AH70" s="722">
        <f t="shared" ca="1" si="3"/>
        <v>0</v>
      </c>
      <c r="AI70" s="722">
        <f ca="1">SUMIFS(Административные!AH$25:AH$84,Административные!$F$25:$F$84,$F70,Административные!$G$25:$G$84,$G70)</f>
        <v>0</v>
      </c>
      <c r="AJ70" s="722">
        <f ca="1">SUMIFS(Административные!AI$25:AI$84,Административные!$F$25:$F$84,$F70,Административные!$G$25:$G$84,$G70)</f>
        <v>0</v>
      </c>
      <c r="AK70" s="722">
        <f ca="1">SUMIFS(Административные!AJ$25:AJ$84,Административные!$F$25:$F$84,$F70,Административные!$G$25:$G$84,$G70)</f>
        <v>0</v>
      </c>
      <c r="AL70" s="722">
        <f t="shared" ca="1" si="4"/>
        <v>0</v>
      </c>
      <c r="AM70" s="1461"/>
      <c r="AN70" s="1462" t="str">
        <f ca="1">IF(IFERROR(INDEX(Административные!$K$26:$L$84,MATCH($F70&amp;"6komm",Административные!$K$26:$K$84,0),2),"")=0,"",IFERROR(INDEX(Административные!$K$26:$L$84,MATCH($F65&amp;"6komm",Административные!$K$26:$K$84,0),2),""))</f>
        <v/>
      </c>
      <c r="AO70" s="1461"/>
      <c r="AR70" s="971" t="s">
        <v>1771</v>
      </c>
    </row>
    <row r="71" spans="2:48" ht="14.65" hidden="1" customHeight="1" x14ac:dyDescent="0.25">
      <c r="E71" s="618">
        <v>15</v>
      </c>
      <c r="F71" s="3" cm="1">
        <f t="array" aca="1" ref="F71" ca="1">OFFSET(E71,-1,1)</f>
        <v>0</v>
      </c>
      <c r="G71" s="501" t="s">
        <v>1197</v>
      </c>
      <c r="I71" s="511" t="s">
        <v>1772</v>
      </c>
      <c r="J71" s="511"/>
      <c r="K71" s="511"/>
      <c r="L71" s="511"/>
      <c r="M71" s="511"/>
      <c r="N71" s="511"/>
      <c r="O71" s="511"/>
      <c r="P71" s="511"/>
      <c r="Q71" s="511"/>
      <c r="R71" s="511"/>
      <c r="S71" s="511"/>
      <c r="T71" s="388" t="b" cm="1">
        <f t="array" aca="1" ref="T71" ca="1">T70</f>
        <v>0</v>
      </c>
      <c r="X71" s="2120"/>
      <c r="Z71" s="2121"/>
      <c r="AB71" s="727" t="s">
        <v>1773</v>
      </c>
      <c r="AC71" s="728" t="s">
        <v>1774</v>
      </c>
      <c r="AD71" s="733" t="s">
        <v>831</v>
      </c>
      <c r="AE71" s="722">
        <f ca="1">SUMIFS(Административные!AE$25:AE$84,Административные!$F$25:$F$84,$F71,Административные!$G$25:$G$84,$G71)</f>
        <v>0</v>
      </c>
      <c r="AF71" s="722">
        <f ca="1">SUMIFS(Административные!AF$25:AF$84,Административные!$F$25:$F$84,$F71,Административные!$G$25:$G$84,$G71)</f>
        <v>0</v>
      </c>
      <c r="AG71" s="722">
        <f ca="1">SUMIFS(Административные!AG$25:AG$84,Административные!$F$25:$F$84,$F71,Административные!$G$25:$G$84,$G71)</f>
        <v>0</v>
      </c>
      <c r="AH71" s="722">
        <f t="shared" ca="1" si="3"/>
        <v>0</v>
      </c>
      <c r="AI71" s="722">
        <f ca="1">SUMIFS(Административные!AH$25:AH$84,Административные!$F$25:$F$84,$F71,Административные!$G$25:$G$84,$G71)</f>
        <v>0</v>
      </c>
      <c r="AJ71" s="722">
        <f ca="1">SUMIFS(Административные!AI$25:AI$84,Административные!$F$25:$F$84,$F71,Административные!$G$25:$G$84,$G71)</f>
        <v>0</v>
      </c>
      <c r="AK71" s="722">
        <f ca="1">SUMIFS(Административные!AJ$25:AJ$84,Административные!$F$25:$F$84,$F71,Административные!$G$25:$G$84,$G71)</f>
        <v>0</v>
      </c>
      <c r="AL71" s="722">
        <f t="shared" ca="1" si="4"/>
        <v>0</v>
      </c>
      <c r="AM71" s="1461"/>
      <c r="AN71" s="1462" t="str">
        <f ca="1">IF(IFERROR(INDEX(Административные!$K$26:$L$84,MATCH($F71&amp;"7komm",Административные!$K$26:$K$84,0),2),"")=0,"",IFERROR(INDEX(Административные!$K$26:$L$84,MATCH($F66&amp;"7komm",Административные!$K$26:$K$84,0),2),""))</f>
        <v/>
      </c>
      <c r="AO71" s="1461"/>
      <c r="AR71" s="971" t="s">
        <v>1775</v>
      </c>
    </row>
    <row r="72" spans="2:48" ht="43.9" hidden="1" customHeight="1" x14ac:dyDescent="0.25">
      <c r="E72" s="618">
        <v>45</v>
      </c>
      <c r="F72" s="3" cm="1">
        <f t="array" aca="1" ref="F72" ca="1">OFFSET(E72,-1,1)</f>
        <v>0</v>
      </c>
      <c r="G72" s="501" t="s">
        <v>1200</v>
      </c>
      <c r="I72" s="511" t="s">
        <v>1776</v>
      </c>
      <c r="J72" s="511"/>
      <c r="K72" s="511"/>
      <c r="L72" s="511"/>
      <c r="M72" s="511"/>
      <c r="N72" s="511"/>
      <c r="O72" s="511"/>
      <c r="P72" s="511"/>
      <c r="Q72" s="511"/>
      <c r="R72" s="511"/>
      <c r="S72" s="511"/>
      <c r="T72" s="388" t="b" cm="1">
        <f t="array" aca="1" ref="T72" ca="1">T71</f>
        <v>0</v>
      </c>
      <c r="X72" s="2120"/>
      <c r="Z72" s="2121"/>
      <c r="AB72" s="727" t="s">
        <v>1777</v>
      </c>
      <c r="AC72" s="682" t="s">
        <v>1201</v>
      </c>
      <c r="AD72" s="733" t="s">
        <v>831</v>
      </c>
      <c r="AE72" s="722">
        <f ca="1">SUMIFS(Административные!AE$25:AE$84,Административные!$F$25:$F$84,$F72,Административные!$G$25:$G$84,$G72)</f>
        <v>0</v>
      </c>
      <c r="AF72" s="722">
        <f ca="1">SUMIFS(Административные!AF$25:AF$84,Административные!$F$25:$F$84,$F72,Административные!$G$25:$G$84,$G72)</f>
        <v>0</v>
      </c>
      <c r="AG72" s="722">
        <f ca="1">SUMIFS(Административные!AG$25:AG$84,Административные!$F$25:$F$84,$F72,Административные!$G$25:$G$84,$G72)</f>
        <v>0</v>
      </c>
      <c r="AH72" s="722">
        <f t="shared" ca="1" si="3"/>
        <v>0</v>
      </c>
      <c r="AI72" s="722">
        <f ca="1">SUMIFS(Административные!AH$25:AH$84,Административные!$F$25:$F$84,$F72,Административные!$G$25:$G$84,$G72)</f>
        <v>0</v>
      </c>
      <c r="AJ72" s="722">
        <f ca="1">SUMIFS(Административные!AI$25:AI$84,Административные!$F$25:$F$84,$F72,Административные!$G$25:$G$84,$G72)</f>
        <v>0</v>
      </c>
      <c r="AK72" s="722">
        <f ca="1">SUMIFS(Административные!AJ$25:AJ$84,Административные!$F$25:$F$84,$F72,Административные!$G$25:$G$84,$G72)</f>
        <v>0</v>
      </c>
      <c r="AL72" s="722">
        <f t="shared" ca="1" si="4"/>
        <v>0</v>
      </c>
      <c r="AM72" s="1461"/>
      <c r="AN72" s="1462" t="str">
        <f ca="1">IF(IFERROR(INDEX(Административные!$K$26:$L$84,MATCH($F72&amp;"8komm",Административные!$K$26:$K$84,0),2),"")=0,"",IFERROR(INDEX(Административные!$K$26:$L$84,MATCH($F67&amp;"8komm",Административные!$K$26:$K$84,0),2),""))</f>
        <v/>
      </c>
      <c r="AO72" s="1461"/>
      <c r="AR72" s="971" t="s">
        <v>1778</v>
      </c>
    </row>
    <row r="73" spans="2:48" ht="14.65" hidden="1" customHeight="1" x14ac:dyDescent="0.25">
      <c r="E73" s="618">
        <v>15</v>
      </c>
      <c r="F73" s="3" cm="1">
        <f t="array" aca="1" ref="F73" ca="1">OFFSET(E73,-1,1)</f>
        <v>0</v>
      </c>
      <c r="G73" s="501" t="s">
        <v>1203</v>
      </c>
      <c r="I73" s="511" t="s">
        <v>1779</v>
      </c>
      <c r="J73" s="511"/>
      <c r="K73" s="511"/>
      <c r="L73" s="511"/>
      <c r="M73" s="511"/>
      <c r="N73" s="511"/>
      <c r="O73" s="511"/>
      <c r="P73" s="511"/>
      <c r="Q73" s="511"/>
      <c r="R73" s="511"/>
      <c r="S73" s="511"/>
      <c r="T73" s="388" t="b" cm="1">
        <f t="array" aca="1" ref="T73" ca="1">T72</f>
        <v>0</v>
      </c>
      <c r="X73" s="2120"/>
      <c r="Z73" s="2121"/>
      <c r="AB73" s="727" t="s">
        <v>1780</v>
      </c>
      <c r="AC73" s="728" t="s">
        <v>1204</v>
      </c>
      <c r="AD73" s="733" t="s">
        <v>831</v>
      </c>
      <c r="AE73" s="722">
        <f ca="1">SUMIFS(Административные!AE$25:AE$84,Административные!$F$25:$F$84,$F73,Административные!$G$25:$G$84,$G73)</f>
        <v>0</v>
      </c>
      <c r="AF73" s="722">
        <f ca="1">SUMIFS(Административные!AF$25:AF$84,Административные!$F$25:$F$84,$F73,Административные!$G$25:$G$84,$G73)</f>
        <v>0</v>
      </c>
      <c r="AG73" s="722">
        <f ca="1">SUMIFS(Административные!AG$25:AG$84,Административные!$F$25:$F$84,$F73,Административные!$G$25:$G$84,$G73)</f>
        <v>0</v>
      </c>
      <c r="AH73" s="722">
        <f t="shared" ca="1" si="3"/>
        <v>0</v>
      </c>
      <c r="AI73" s="722">
        <f ca="1">SUMIFS(Административные!AH$25:AH$84,Административные!$F$25:$F$84,$F73,Административные!$G$25:$G$84,$G73)</f>
        <v>0</v>
      </c>
      <c r="AJ73" s="1024">
        <f ca="1">SUMIFS(Административные!AI$25:AI$84,Административные!$F$25:$F$84,$F73,Административные!$G$25:$G$84,$G73)</f>
        <v>0</v>
      </c>
      <c r="AK73" s="1024">
        <f ca="1">SUMIFS(Административные!AJ$25:AJ$84,Административные!$F$25:$F$84,$F73,Административные!$G$25:$G$84,$G73)</f>
        <v>0</v>
      </c>
      <c r="AL73" s="722">
        <f t="shared" ca="1" si="4"/>
        <v>0</v>
      </c>
      <c r="AM73" s="1461"/>
      <c r="AN73" s="1462" t="str">
        <f ca="1">IF(IFERROR(INDEX(Административные!$K$26:$L$84,MATCH($F73&amp;"9komm",Административные!$K$26:$K$84,0),2),"")=0,"",IFERROR(INDEX(Административные!$K$26:$L$84,MATCH($F68&amp;"9komm",Административные!$K$26:$K$84,0),2),""))</f>
        <v/>
      </c>
      <c r="AO73" s="1461"/>
      <c r="AR73" s="971" t="s">
        <v>1781</v>
      </c>
    </row>
    <row r="74" spans="2:48" s="512" customFormat="1" ht="14.65" hidden="1" customHeight="1" x14ac:dyDescent="0.25">
      <c r="B74" s="512" t="b">
        <f>STATUS_GO="да"</f>
        <v>1</v>
      </c>
      <c r="E74" s="620">
        <v>15</v>
      </c>
      <c r="F74" s="3" cm="1">
        <f t="array" aca="1" ref="F74" ca="1">OFFSET(E74,-1,1)</f>
        <v>0</v>
      </c>
      <c r="I74" s="621" t="s">
        <v>335</v>
      </c>
      <c r="J74" s="621"/>
      <c r="K74" s="621"/>
      <c r="L74" s="621"/>
      <c r="M74" s="621"/>
      <c r="N74" s="621"/>
      <c r="O74" s="621"/>
      <c r="P74" s="621"/>
      <c r="Q74" s="621"/>
      <c r="R74" s="621"/>
      <c r="S74" s="621"/>
      <c r="T74" s="388" t="b" cm="1">
        <f t="array" aca="1" ref="T74" ca="1">T73</f>
        <v>0</v>
      </c>
      <c r="X74" s="2120"/>
      <c r="Z74" s="2121"/>
      <c r="AB74" s="724" t="s">
        <v>441</v>
      </c>
      <c r="AC74" s="720" t="s">
        <v>1782</v>
      </c>
      <c r="AD74" s="731" t="s">
        <v>831</v>
      </c>
      <c r="AE74" s="721">
        <f ca="1">SUMIFS('Сбытовые расходы ГО'!AE$25:AE$65,'Сбытовые расходы ГО'!$F$25:$F$65,$F74,'Сбытовые расходы ГО'!$G$25:$G$65,"l0")</f>
        <v>0</v>
      </c>
      <c r="AF74" s="721">
        <f ca="1">SUMIFS('Сбытовые расходы ГО'!AF$25:AF$65,'Сбытовые расходы ГО'!$F$25:$F$65,$F74,'Сбытовые расходы ГО'!$G$25:$G$65,"l0")</f>
        <v>0</v>
      </c>
      <c r="AG74" s="721">
        <f ca="1">SUMIFS('Сбытовые расходы ГО'!AG$25:AG$65,'Сбытовые расходы ГО'!$F$25:$F$65,$F74,'Сбытовые расходы ГО'!$G$25:$G$65,"l0")</f>
        <v>0</v>
      </c>
      <c r="AH74" s="721">
        <f t="shared" ca="1" si="3"/>
        <v>0</v>
      </c>
      <c r="AI74" s="721">
        <f ca="1">SUMIFS('Сбытовые расходы ГО'!AH$25:AH$65,'Сбытовые расходы ГО'!$F$25:$F$65,$F74,'Сбытовые расходы ГО'!$G$25:$G$65,"l0")</f>
        <v>0</v>
      </c>
      <c r="AJ74" s="721">
        <f ca="1">SUMIFS('Сбытовые расходы ГО'!AI$25:AI$65,'Сбытовые расходы ГО'!$F$25:$F$65,$F74,'Сбытовые расходы ГО'!$G$25:$G$65,"l0")</f>
        <v>0</v>
      </c>
      <c r="AK74" s="721">
        <f ca="1">SUMIFS('Сбытовые расходы ГО'!AJ$25:AJ$65,'Сбытовые расходы ГО'!$F$25:$F$65,$F74,'Сбытовые расходы ГО'!$G$25:$G$65,"l0")</f>
        <v>0</v>
      </c>
      <c r="AL74" s="721">
        <f t="shared" ca="1" si="4"/>
        <v>0</v>
      </c>
      <c r="AM74" s="1463"/>
      <c r="AN74" s="1462"/>
      <c r="AO74" s="1463"/>
      <c r="AR74" s="972" t="s">
        <v>1783</v>
      </c>
      <c r="AS74" s="972"/>
      <c r="AT74" s="972"/>
      <c r="AU74" s="620"/>
      <c r="AV74" s="620"/>
    </row>
    <row r="75" spans="2:48" s="512" customFormat="1" ht="14.65" hidden="1" customHeight="1" x14ac:dyDescent="0.25">
      <c r="E75" s="620">
        <v>15</v>
      </c>
      <c r="F75" s="3" cm="1">
        <f t="array" aca="1" ref="F75" ca="1">OFFSET(E75,-1,1)</f>
        <v>0</v>
      </c>
      <c r="I75" s="621" t="s">
        <v>334</v>
      </c>
      <c r="J75" s="621"/>
      <c r="K75" s="621"/>
      <c r="L75" s="621"/>
      <c r="M75" s="621"/>
      <c r="N75" s="621"/>
      <c r="O75" s="621"/>
      <c r="P75" s="621"/>
      <c r="Q75" s="621"/>
      <c r="R75" s="621"/>
      <c r="S75" s="621"/>
      <c r="T75" s="388" t="b" cm="1">
        <f t="array" aca="1" ref="T75" ca="1">T74</f>
        <v>0</v>
      </c>
      <c r="X75" s="2120"/>
      <c r="Z75" s="2121"/>
      <c r="AB75" s="724" t="s">
        <v>444</v>
      </c>
      <c r="AC75" s="513" t="s">
        <v>1784</v>
      </c>
      <c r="AD75" s="731" t="s">
        <v>831</v>
      </c>
      <c r="AE75" s="721">
        <f ca="1">SUMIFS(Амортизация!AE$25:AE$174,Амортизация!$F$25:$F$174,$F75,Амортизация!$AC$25:$AC$174,"Сумма амортизационных отчислений")</f>
        <v>0</v>
      </c>
      <c r="AF75" s="721">
        <f ca="1">SUMIFS(Амортизация!AF$25:AF$174,Амортизация!$F$25:$F$174,$F75,Амортизация!$AC$25:$AC$174,"Сумма амортизационных отчислений")</f>
        <v>0</v>
      </c>
      <c r="AG75" s="721">
        <f ca="1">SUMIFS(Амортизация!AG$25:AG$174,Амортизация!$F$25:$F$174,$F75,Амортизация!$AC$25:$AC$174,"Сумма амортизационных отчислений")</f>
        <v>0</v>
      </c>
      <c r="AH75" s="721">
        <f t="shared" ca="1" si="3"/>
        <v>0</v>
      </c>
      <c r="AI75" s="721">
        <f ca="1">SUMIFS(Амортизация!AH$25:AH$174,Амортизация!$F$25:$F$174,$F75,Амортизация!$AC$25:$AC$174,"Сумма амортизационных отчислений")</f>
        <v>0</v>
      </c>
      <c r="AJ75" s="721">
        <f ca="1">SUMIFS(Амортизация!AI$25:AI$174,Амортизация!$F$25:$F$174,$F75,Амортизация!$AC$25:$AC$174,"Сумма амортизационных отчислений")</f>
        <v>0</v>
      </c>
      <c r="AK75" s="721">
        <f ca="1">SUMIFS(Амортизация!AS$25:AS$174,Амортизация!$F$25:$F$174,$F75,Амортизация!$AC$25:$AC$174,"Сумма амортизационных отчислений")</f>
        <v>0</v>
      </c>
      <c r="AL75" s="721">
        <f t="shared" ca="1" si="4"/>
        <v>0</v>
      </c>
      <c r="AM75" s="1463"/>
      <c r="AN75" s="1462" t="str">
        <f ca="1">IF(IFERROR(INDEX(Амортизация!$K$26:$L$174,MATCH($F75&amp;"komm",Амортизация!$K$26:$K$574,0),2),"")=0,"",IFERROR(INDEX(Амортизация!$K$26:$L$174,MATCH($F75&amp;"komm",Амортизация!$K$26:$K$574,0),2),""))</f>
        <v/>
      </c>
      <c r="AO75" s="1463"/>
      <c r="AR75" s="972" t="s">
        <v>1199</v>
      </c>
      <c r="AS75" s="972"/>
      <c r="AT75" s="972"/>
      <c r="AU75" s="620"/>
      <c r="AV75" s="620"/>
    </row>
    <row r="76" spans="2:48" ht="14.65" hidden="1" customHeight="1" x14ac:dyDescent="0.25">
      <c r="E76" s="618">
        <v>15</v>
      </c>
      <c r="F76" s="3" cm="1">
        <f t="array" aca="1" ref="F76" ca="1">OFFSET(E76,-1,1)</f>
        <v>0</v>
      </c>
      <c r="I76" s="511" t="s">
        <v>579</v>
      </c>
      <c r="J76" s="511"/>
      <c r="K76" s="511"/>
      <c r="L76" s="511"/>
      <c r="M76" s="511"/>
      <c r="N76" s="511"/>
      <c r="O76" s="511"/>
      <c r="P76" s="511"/>
      <c r="Q76" s="511"/>
      <c r="R76" s="511"/>
      <c r="S76" s="511"/>
      <c r="T76" s="388" t="b" cm="1">
        <f t="array" aca="1" ref="T76" ca="1">T75</f>
        <v>0</v>
      </c>
      <c r="X76" s="2120"/>
      <c r="Z76" s="2121"/>
      <c r="AB76" s="727" t="s">
        <v>707</v>
      </c>
      <c r="AC76" s="732" t="s">
        <v>1785</v>
      </c>
      <c r="AD76" s="733" t="s">
        <v>831</v>
      </c>
      <c r="AE76" s="729">
        <f ca="1">SUMIFS('ИП + источники'!AF$27:AF$116,'ИП + источники'!$F$27:$F$116,$F76,'ИП + источники'!$AC$27:$AC$116,"Амортизационные отчисления")+SUMIFS('ИП + источники'!AF$27:AF$116,'ИП + источники'!$F$27:$F$116,$F76,'ИП + источники'!$AC$27:$AC$116,"погашение займов и кредитов из амортизации")</f>
        <v>0</v>
      </c>
      <c r="AF76" s="729">
        <f ca="1">SUMIFS('ИП + источники'!AG$27:AG$116,'ИП + источники'!$F$27:$F$116,$F76,'ИП + источники'!$AC$27:$AC$116,"Амортизационные отчисления")+SUMIFS('ИП + источники'!AG$27:AG$116,'ИП + источники'!$F$27:$F$116,$F76,'ИП + источники'!$AC$27:$AC$116,"погашение займов и кредитов из амортизации")</f>
        <v>0</v>
      </c>
      <c r="AG76" s="729">
        <f ca="1">SUMIFS('ИП + источники'!AH$27:AH$116,'ИП + источники'!$F$27:$F$116,$F76,'ИП + источники'!$AC$27:$AC$116,"Амортизационные отчисления")+SUMIFS('ИП + источники'!AH$27:AH$116,'ИП + источники'!$F$27:$F$116,$F76,'ИП + источники'!$AC$27:$AC$116,"погашение займов и кредитов из амортизации")</f>
        <v>0</v>
      </c>
      <c r="AH76" s="722">
        <f t="shared" ca="1" si="3"/>
        <v>0</v>
      </c>
      <c r="AI76" s="729">
        <f ca="1">SUMIFS('ИП + источники'!AH$27:AH$116,'ИП + источники'!$F$27:$F$116,$F76,'ИП + источники'!$AC$27:$AC$116,"Амортизационные отчисления")+SUMIFS('ИП + источники'!AH$27:AH$116,'ИП + источники'!$F$27:$F$116,$F76,'ИП + источники'!$AC$27:$AC$116,"погашение займов и кредитов из амортизации")</f>
        <v>0</v>
      </c>
      <c r="AJ76" s="1464">
        <f ca="1">SUMIFS('ИП + источники'!AI$27:AI$116,'ИП + источники'!$F$27:$F$116,$F76,'ИП + источники'!$AC$27:$AC$116,"Амортизационные отчисления")+SUMIFS('ИП + источники'!AI$27:AI$116,'ИП + источники'!$F$27:$F$116,$F76,'ИП + источники'!$AC$27:$AC$116,"погашение займов и кредитов из амортизации")</f>
        <v>0</v>
      </c>
      <c r="AK76" s="1464">
        <f ca="1">SUMIFS('ИП + источники'!AJ$27:AJ$116,'ИП + источники'!$F$27:$F$116,$F76,'ИП + источники'!$AC$27:$AC$116,"Амортизационные отчисления")+SUMIFS('ИП + источники'!AJ$27:AJ$116,'ИП + источники'!$F$27:$F$116,$F76,'ИП + источники'!$AC$27:$AC$116,"погашение займов и кредитов из амортизации")</f>
        <v>0</v>
      </c>
      <c r="AL76" s="722">
        <f t="shared" ca="1" si="4"/>
        <v>0</v>
      </c>
      <c r="AM76" s="1461"/>
      <c r="AN76" s="1461"/>
      <c r="AO76" s="1461"/>
      <c r="AR76" s="971" t="s">
        <v>1786</v>
      </c>
    </row>
    <row r="77" spans="2:48" s="512" customFormat="1" ht="21.95" hidden="1" customHeight="1" x14ac:dyDescent="0.25">
      <c r="E77" s="620">
        <v>22.5</v>
      </c>
      <c r="F77" s="3" cm="1">
        <f t="array" aca="1" ref="F77" ca="1">OFFSET(E77,-1,1)</f>
        <v>0</v>
      </c>
      <c r="I77" s="621" t="s">
        <v>544</v>
      </c>
      <c r="J77" s="621"/>
      <c r="K77" s="621"/>
      <c r="L77" s="621"/>
      <c r="M77" s="621"/>
      <c r="N77" s="621"/>
      <c r="O77" s="621"/>
      <c r="P77" s="621"/>
      <c r="Q77" s="621"/>
      <c r="R77" s="621"/>
      <c r="S77" s="621"/>
      <c r="T77" s="388" t="b" cm="1">
        <f t="array" aca="1" ref="T77" ca="1">T76</f>
        <v>0</v>
      </c>
      <c r="X77" s="2120"/>
      <c r="Z77" s="2121"/>
      <c r="AB77" s="724" t="s">
        <v>446</v>
      </c>
      <c r="AC77" s="513" t="s">
        <v>1787</v>
      </c>
      <c r="AD77" s="731" t="s">
        <v>831</v>
      </c>
      <c r="AE77" s="721">
        <f ca="1">SUMIFS(Аренда!AE$25:AE$57,Аренда!$F$25:$F$57,$F77,Аренда!$G$25:$G$57,"Арендная и концессионная плата, лизинговые платежи")</f>
        <v>0</v>
      </c>
      <c r="AF77" s="721">
        <f ca="1">SUMIFS(Аренда!AF$25:AF$57,Аренда!$F$25:$F$57,$F77,Аренда!$G$25:$G$57,"Арендная и концессионная плата, лизинговые платежи")</f>
        <v>0</v>
      </c>
      <c r="AG77" s="721">
        <f ca="1">SUMIFS(Аренда!AG$25:AG$57,Аренда!$F$25:$F$57,$F77,Аренда!$G$25:$G$57,"Арендная и концессионная плата, лизинговые платежи")</f>
        <v>0</v>
      </c>
      <c r="AH77" s="721">
        <f t="shared" ca="1" si="3"/>
        <v>0</v>
      </c>
      <c r="AI77" s="721">
        <f ca="1">SUMIFS(Аренда!AH$25:AH$57,Аренда!$F$25:$F$57,$F77,Аренда!$G$25:$G$57,"Арендная и концессионная плата, лизинговые платежи")</f>
        <v>0</v>
      </c>
      <c r="AJ77" s="721">
        <f ca="1">SUMIFS(Аренда!AI$25:AI$57,Аренда!$F$25:$F$57,$F77,Аренда!$G$25:$G$57,"Арендная и концессионная плата, лизинговые платежи")</f>
        <v>0</v>
      </c>
      <c r="AK77" s="721">
        <f ca="1">SUMIFS(Аренда!AS$25:AS$57,Аренда!$F$25:$F$57,$F77,Аренда!$G$25:$G$57,"Арендная и концессионная плата, лизинговые платежи")</f>
        <v>0</v>
      </c>
      <c r="AL77" s="721">
        <f t="shared" ca="1" si="4"/>
        <v>0</v>
      </c>
      <c r="AM77" s="1463"/>
      <c r="AN77" s="1462" t="str">
        <f ca="1">IF(IFERROR(INDEX(Аренда!$K$26:$L$57,MATCH($F77&amp;"komm",Аренда!$K$26:$K$57,0),2),"")=0,"",IFERROR(INDEX(Аренда!$K$26:$L$57,MATCH($F77&amp;"komm",Аренда!$K$26:$K$57,0),2),""))</f>
        <v/>
      </c>
      <c r="AO77" s="1463"/>
      <c r="AR77" s="972" t="s">
        <v>1788</v>
      </c>
      <c r="AS77" s="972"/>
      <c r="AT77" s="972"/>
      <c r="AU77" s="620"/>
      <c r="AV77" s="620"/>
    </row>
    <row r="78" spans="2:48" s="512" customFormat="1" ht="14.65" hidden="1" customHeight="1" x14ac:dyDescent="0.25">
      <c r="E78" s="620">
        <v>15</v>
      </c>
      <c r="F78" s="3" cm="1">
        <f t="array" aca="1" ref="F78" ca="1">OFFSET(E78,-1,1)</f>
        <v>0</v>
      </c>
      <c r="I78" s="621" t="s">
        <v>547</v>
      </c>
      <c r="J78" s="621"/>
      <c r="K78" s="621"/>
      <c r="L78" s="621"/>
      <c r="M78" s="621"/>
      <c r="N78" s="621"/>
      <c r="O78" s="621"/>
      <c r="P78" s="621"/>
      <c r="Q78" s="621"/>
      <c r="R78" s="621"/>
      <c r="S78" s="621"/>
      <c r="T78" s="388" t="b" cm="1">
        <f t="array" aca="1" ref="T78" ca="1">T77</f>
        <v>0</v>
      </c>
      <c r="X78" s="2120"/>
      <c r="Z78" s="2121"/>
      <c r="AB78" s="724" t="s">
        <v>448</v>
      </c>
      <c r="AC78" s="513" t="s">
        <v>1789</v>
      </c>
      <c r="AD78" s="731" t="s">
        <v>831</v>
      </c>
      <c r="AE78" s="721">
        <f ca="1">SUMIFS(Налоги!AE$25:AE$69,Налоги!$F$25:$F$69,$F78,Налоги!$AC$25:$AC$69,"Налоги и платежи, относимые на указанный вид деятельности")</f>
        <v>0</v>
      </c>
      <c r="AF78" s="721">
        <f ca="1">SUMIFS(Налоги!AF$25:AF$69,Налоги!$F$25:$F$69,$F78,Налоги!$AC$25:$AC$69,"Налоги и платежи, относимые на указанный вид деятельности")</f>
        <v>0</v>
      </c>
      <c r="AG78" s="721">
        <f ca="1">SUMIFS(Налоги!AG$25:AG$69,Налоги!$F$25:$F$69,$F78,Налоги!$AC$25:$AC$69,"Налоги и платежи, относимые на указанный вид деятельности")</f>
        <v>0</v>
      </c>
      <c r="AH78" s="721">
        <f t="shared" ca="1" si="3"/>
        <v>0</v>
      </c>
      <c r="AI78" s="721">
        <f ca="1">SUMIFS(Налоги!AH$25:AH$69,Налоги!$F$25:$F$69,$F78,Налоги!$AC$25:$AC$69,"Налоги и платежи, относимые на указанный вид деятельности")</f>
        <v>0</v>
      </c>
      <c r="AJ78" s="721">
        <f ca="1">SUMIFS(Налоги!AI$25:AI$69,Налоги!$F$25:$F$69,$F78,Налоги!$AC$25:$AC$69,"Налоги и платежи, относимые на указанный вид деятельности")</f>
        <v>0</v>
      </c>
      <c r="AK78" s="721">
        <f ca="1">SUMIFS(Налоги!AS$25:AS$69,Налоги!$F$25:$F$69,$F78,Налоги!$AC$25:$AC$69,"Налоги и платежи, относимые на указанный вид деятельности")</f>
        <v>0</v>
      </c>
      <c r="AL78" s="721">
        <f t="shared" ca="1" si="4"/>
        <v>0</v>
      </c>
      <c r="AM78" s="1463"/>
      <c r="AN78" s="1462" t="str">
        <f ca="1">IF(IFERROR(INDEX(Налоги!$K$26:$L$69,MATCH($F78&amp;"komm",Налоги!$K$26:$K$69,0),2),"")=0,"",IFERROR(INDEX(Налоги!$K$26:$L$69,MATCH($F78&amp;"komm",Налоги!$K$26:$K$69,0),2),""))</f>
        <v/>
      </c>
      <c r="AO78" s="1463"/>
      <c r="AR78" s="972" t="s">
        <v>1233</v>
      </c>
      <c r="AS78" s="972"/>
      <c r="AT78" s="972"/>
      <c r="AU78" s="620"/>
      <c r="AV78" s="620"/>
    </row>
    <row r="79" spans="2:48" s="512" customFormat="1" ht="14.65" hidden="1" customHeight="1" x14ac:dyDescent="0.25">
      <c r="E79" s="620">
        <v>15</v>
      </c>
      <c r="F79" s="3" cm="1">
        <f t="array" aca="1" ref="F79" ca="1">OFFSET(E79,-1,1)</f>
        <v>0</v>
      </c>
      <c r="I79" s="621" t="s">
        <v>591</v>
      </c>
      <c r="J79" s="621"/>
      <c r="K79" s="621"/>
      <c r="L79" s="621"/>
      <c r="M79" s="621"/>
      <c r="N79" s="621"/>
      <c r="O79" s="621"/>
      <c r="P79" s="621"/>
      <c r="Q79" s="621"/>
      <c r="R79" s="621"/>
      <c r="S79" s="621"/>
      <c r="T79" s="388" t="b" cm="1">
        <f t="array" aca="1" ref="T79" ca="1">T78</f>
        <v>0</v>
      </c>
      <c r="X79" s="2120"/>
      <c r="Z79" s="2121"/>
      <c r="AB79" s="724" t="s">
        <v>450</v>
      </c>
      <c r="AC79" s="513" t="s">
        <v>1790</v>
      </c>
      <c r="AD79" s="514" t="s">
        <v>831</v>
      </c>
      <c r="AE79" s="708">
        <f ca="1">AE80+AE81+AE82</f>
        <v>0</v>
      </c>
      <c r="AF79" s="708">
        <f ca="1">AF80+AF81+AF82</f>
        <v>0</v>
      </c>
      <c r="AG79" s="708">
        <f ca="1">AG80+AG81+AG82</f>
        <v>0</v>
      </c>
      <c r="AH79" s="708">
        <f t="shared" ca="1" si="3"/>
        <v>0</v>
      </c>
      <c r="AI79" s="708">
        <f ca="1">AI80+AI81+AI82</f>
        <v>0</v>
      </c>
      <c r="AJ79" s="708">
        <f ca="1">AJ80+AJ81+AJ82</f>
        <v>0</v>
      </c>
      <c r="AK79" s="708">
        <f ca="1">AK80+AK81+AK82</f>
        <v>0</v>
      </c>
      <c r="AL79" s="721">
        <f t="shared" ca="1" si="4"/>
        <v>0</v>
      </c>
      <c r="AM79" s="1463"/>
      <c r="AN79" s="1462"/>
      <c r="AO79" s="1463"/>
      <c r="AR79" s="972" t="s">
        <v>1476</v>
      </c>
      <c r="AS79" s="972"/>
      <c r="AT79" s="972"/>
      <c r="AU79" s="620"/>
      <c r="AV79" s="620"/>
    </row>
    <row r="80" spans="2:48" ht="14.65" hidden="1" customHeight="1" x14ac:dyDescent="0.25">
      <c r="E80" s="618">
        <v>15</v>
      </c>
      <c r="F80" s="3" cm="1">
        <f t="array" aca="1" ref="F80" ca="1">OFFSET(E80,-1,1)</f>
        <v>0</v>
      </c>
      <c r="I80" s="511" t="s">
        <v>594</v>
      </c>
      <c r="J80" s="511"/>
      <c r="K80" s="511"/>
      <c r="L80" s="511"/>
      <c r="M80" s="511"/>
      <c r="N80" s="511"/>
      <c r="O80" s="511"/>
      <c r="P80" s="511"/>
      <c r="Q80" s="511"/>
      <c r="R80" s="511"/>
      <c r="S80" s="511"/>
      <c r="T80" s="388" t="b" cm="1">
        <f t="array" aca="1" ref="T80" ca="1">T79</f>
        <v>0</v>
      </c>
      <c r="X80" s="2120"/>
      <c r="Z80" s="2121"/>
      <c r="AB80" s="727" t="s">
        <v>617</v>
      </c>
      <c r="AC80" s="732" t="s">
        <v>1791</v>
      </c>
      <c r="AD80" s="733" t="s">
        <v>831</v>
      </c>
      <c r="AE80" s="729">
        <f ca="1">SUMIFS('ИП + источники'!AF$26:AF$116,'ИП + источники'!$F$26:$F$116,$F80,'ИП + источники'!$AC$26:$AC$116,"погашение займов и кредитов из нормативной прибыли")+SUMIFS('ИП + источники'!AF$26:AF$116,'ИП + источники'!$F$26:$F$116,$F80,'ИП + источники'!$AC$26:$AC$116,"уплата процентов по кредитам из нормативной прибыли")</f>
        <v>0</v>
      </c>
      <c r="AF80" s="729">
        <f ca="1">SUMIFS('ИП + источники'!AG$26:AG$116,'ИП + источники'!$F$26:$F$116,$F80,'ИП + источники'!$AC$26:$AC$116,"погашение займов и кредитов из нормативной прибыли")+SUMIFS('ИП + источники'!AG$26:AG$116,'ИП + источники'!$F$26:$F$116,$F80,'ИП + источники'!$AC$26:$AC$116,"уплата процентов по кредитам из нормативной прибыли")</f>
        <v>0</v>
      </c>
      <c r="AG80" s="729">
        <f ca="1">SUMIFS('ИП + источники'!AH$26:AH$116,'ИП + источники'!$F$26:$F$116,$F80,'ИП + источники'!$AC$26:$AC$116,"погашение займов и кредитов из нормативной прибыли")+SUMIFS('ИП + источники'!AH$26:AH$116,'ИП + источники'!$F$26:$F$116,$F80,'ИП + источники'!$AC$26:$AC$116,"уплата процентов по кредитам из нормативной прибыли")</f>
        <v>0</v>
      </c>
      <c r="AH80" s="722">
        <f t="shared" ca="1" si="3"/>
        <v>0</v>
      </c>
      <c r="AI80" s="729">
        <f ca="1">SUMIFS('ИП + источники'!AJ$26:AJ$116,'ИП + источники'!$F$26:$F$116,$F80,'ИП + источники'!$AC$26:$AC$116,"погашение займов и кредитов из нормативной прибыли")+SUMIFS('ИП + источники'!AJ$26:AJ$116,'ИП + источники'!$F$26:$F$116,$F80,'ИП + источники'!$AC$26:$AC$116,"уплата процентов по кредитам из нормативной прибыли")</f>
        <v>0</v>
      </c>
      <c r="AJ80" s="1464">
        <f ca="1">SUMIFS('ИП + источники'!AK$26:AK$116,'ИП + источники'!$F$26:$F$116,$F80,'ИП + источники'!$AC$26:$AC$116,"погашение займов и кредитов из нормативной прибыли")+SUMIFS('ИП + источники'!AK$26:AK$116,'ИП + источники'!$F$26:$F$116,$F80,'ИП + источники'!$AC$26:$AC$116,"уплата процентов по кредитам из нормативной прибыли")</f>
        <v>0</v>
      </c>
      <c r="AK80" s="1464">
        <f ca="1">SUMIFS('ИП + источники'!AU$26:AU$116,'ИП + источники'!$F$26:$F$116,$F80,'ИП + источники'!$AC$26:$AC$116,"погашение займов и кредитов из нормативной прибыли")+SUMIFS('ИП + источники'!AU$26:AU$116,'ИП + источники'!$F$26:$F$116,$F80,'ИП + источники'!$AC$26:$AC$116,"уплата процентов по кредитам из нормативной прибыли")</f>
        <v>0</v>
      </c>
      <c r="AL80" s="722">
        <f t="shared" ca="1" si="4"/>
        <v>0</v>
      </c>
      <c r="AM80" s="1461"/>
      <c r="AN80" s="1462" t="str">
        <f ca="1">IF(IFERROR(INDEX('ИП + источники'!$K$28:$L$116,MATCH($F80&amp;"1komm",'ИП + источники'!$K$28:$K$116,0),2),"")=0,"",IFERROR(INDEX('ИП + источники'!$K$28:$L$116,MATCH($F80&amp;"1komm",'ИП + источники'!$K$28:$K$116,0),2),""))</f>
        <v/>
      </c>
      <c r="AO80" s="1461"/>
      <c r="AR80" s="971" t="s">
        <v>1222</v>
      </c>
    </row>
    <row r="81" spans="2:48" ht="14.65" hidden="1" customHeight="1" x14ac:dyDescent="0.25">
      <c r="E81" s="618">
        <v>15</v>
      </c>
      <c r="F81" s="3" cm="1">
        <f t="array" aca="1" ref="F81" ca="1">OFFSET(E81,-1,1)</f>
        <v>0</v>
      </c>
      <c r="I81" s="511" t="s">
        <v>598</v>
      </c>
      <c r="J81" s="511"/>
      <c r="K81" s="511"/>
      <c r="L81" s="511"/>
      <c r="M81" s="511"/>
      <c r="N81" s="511"/>
      <c r="O81" s="511"/>
      <c r="P81" s="511"/>
      <c r="Q81" s="511"/>
      <c r="R81" s="511"/>
      <c r="S81" s="511"/>
      <c r="T81" s="388" t="b" cm="1">
        <f t="array" aca="1" ref="T81" ca="1">T80</f>
        <v>0</v>
      </c>
      <c r="X81" s="2120"/>
      <c r="Z81" s="2121"/>
      <c r="AB81" s="727" t="s">
        <v>634</v>
      </c>
      <c r="AC81" s="732" t="s">
        <v>1792</v>
      </c>
      <c r="AD81" s="733" t="s">
        <v>831</v>
      </c>
      <c r="AE81" s="729">
        <f ca="1">SUMIFS('ИП + источники'!AF$27:AF$116,'ИП + источники'!$F$27:$F$116,$F81,'ИП + источники'!$AC$27:$AC$116,"Прибыль на капвложения")</f>
        <v>0</v>
      </c>
      <c r="AF81" s="729">
        <f ca="1">SUMIFS('ИП + источники'!AG$27:AG$116,'ИП + источники'!$F$27:$F$116,$F81,'ИП + источники'!$AC$27:$AC$116,"Прибыль на капвложения")</f>
        <v>0</v>
      </c>
      <c r="AG81" s="729">
        <f ca="1">SUMIFS('ИП + источники'!AH$27:AH$116,'ИП + источники'!$F$27:$F$116,$F81,'ИП + источники'!$AC$27:$AC$116,"Прибыль на капвложения")</f>
        <v>0</v>
      </c>
      <c r="AH81" s="722">
        <f t="shared" ca="1" si="3"/>
        <v>0</v>
      </c>
      <c r="AI81" s="729">
        <f ca="1">SUMIFS('ИП + источники'!AJ$27:AJ$116,'ИП + источники'!$F$27:$F$116,$F81,'ИП + источники'!$AC$27:$AC$116,"Прибыль на капвложения")</f>
        <v>0</v>
      </c>
      <c r="AJ81" s="1464">
        <f ca="1">SUMIFS('ИП + источники'!AK$27:AK$116,'ИП + источники'!$F$27:$F$116,$F81,'ИП + источники'!$AC$27:$AC$116,"Прибыль на капвложения")</f>
        <v>0</v>
      </c>
      <c r="AK81" s="1464">
        <f ca="1">SUMIFS('ИП + источники'!AU$27:AU$116,'ИП + источники'!$F$27:$F$116,$F81,'ИП + источники'!$AC$27:$AC$116,"Прибыль на капвложения")</f>
        <v>0</v>
      </c>
      <c r="AL81" s="722">
        <f t="shared" ca="1" si="4"/>
        <v>0</v>
      </c>
      <c r="AM81" s="1461"/>
      <c r="AN81" s="1462" t="str">
        <f ca="1">IF(IFERROR(INDEX('ИП + источники'!$K$28:$L$116,MATCH($F81&amp;"2komm",'ИП + источники'!$K$28:$K$116,0),2),"")=0,"",IFERROR(INDEX('ИП + источники'!$K$28:$L$116,MATCH($F81&amp;"2komm",'ИП + источники'!$K$28:$K$116,0),2),""))</f>
        <v/>
      </c>
      <c r="AO81" s="1461"/>
      <c r="AR81" s="971" t="s">
        <v>1793</v>
      </c>
    </row>
    <row r="82" spans="2:48" ht="21.95" hidden="1" customHeight="1" x14ac:dyDescent="0.25">
      <c r="E82" s="618">
        <v>22.5</v>
      </c>
      <c r="F82" s="3" cm="1">
        <f t="array" aca="1" ref="F82" ca="1">OFFSET(E82,-1,1)</f>
        <v>0</v>
      </c>
      <c r="I82" s="511" t="s">
        <v>602</v>
      </c>
      <c r="J82" s="511"/>
      <c r="K82" s="511"/>
      <c r="L82" s="511"/>
      <c r="M82" s="511"/>
      <c r="N82" s="511"/>
      <c r="O82" s="511"/>
      <c r="P82" s="511"/>
      <c r="Q82" s="511"/>
      <c r="R82" s="511"/>
      <c r="S82" s="511"/>
      <c r="T82" s="388" t="b" cm="1">
        <f t="array" aca="1" ref="T82" ca="1">T81</f>
        <v>0</v>
      </c>
      <c r="X82" s="2120"/>
      <c r="Z82" s="2121"/>
      <c r="AB82" s="727" t="s">
        <v>646</v>
      </c>
      <c r="AC82" s="732" t="s">
        <v>1794</v>
      </c>
      <c r="AD82" s="733" t="s">
        <v>831</v>
      </c>
      <c r="AE82" s="729"/>
      <c r="AF82" s="729"/>
      <c r="AG82" s="729"/>
      <c r="AH82" s="722"/>
      <c r="AI82" s="729"/>
      <c r="AJ82" s="1464"/>
      <c r="AK82" s="1464"/>
      <c r="AL82" s="722">
        <f t="shared" si="4"/>
        <v>0</v>
      </c>
      <c r="AM82" s="1461"/>
      <c r="AN82" s="1461"/>
      <c r="AO82" s="1461"/>
      <c r="AR82" s="971" t="s">
        <v>1795</v>
      </c>
    </row>
    <row r="83" spans="2:48" s="512" customFormat="1" ht="21.95" hidden="1" customHeight="1" x14ac:dyDescent="0.25">
      <c r="B83" s="512" t="b">
        <f>STATUS_GO="да"</f>
        <v>1</v>
      </c>
      <c r="E83" s="620">
        <v>22.5</v>
      </c>
      <c r="F83" s="3" cm="1">
        <f t="array" aca="1" ref="F83" ca="1">OFFSET(E83,-1,1)</f>
        <v>0</v>
      </c>
      <c r="I83" s="621" t="s">
        <v>606</v>
      </c>
      <c r="J83" s="621"/>
      <c r="K83" s="621"/>
      <c r="L83" s="621"/>
      <c r="M83" s="621"/>
      <c r="N83" s="621"/>
      <c r="O83" s="621"/>
      <c r="P83" s="621"/>
      <c r="Q83" s="621"/>
      <c r="R83" s="621"/>
      <c r="S83" s="621"/>
      <c r="T83" s="388" t="b" cm="1">
        <f t="array" aca="1" ref="T83" ca="1">T82</f>
        <v>0</v>
      </c>
      <c r="X83" s="2120"/>
      <c r="Z83" s="2121"/>
      <c r="AB83" s="724" t="s">
        <v>469</v>
      </c>
      <c r="AC83" s="720" t="s">
        <v>1796</v>
      </c>
      <c r="AD83" s="731" t="s">
        <v>831</v>
      </c>
      <c r="AE83" s="730"/>
      <c r="AF83" s="730"/>
      <c r="AG83" s="730"/>
      <c r="AH83" s="721">
        <f>AG83-AF83</f>
        <v>0</v>
      </c>
      <c r="AI83" s="730"/>
      <c r="AJ83" s="1465"/>
      <c r="AK83" s="1465"/>
      <c r="AL83" s="721">
        <f t="shared" si="4"/>
        <v>0</v>
      </c>
      <c r="AM83" s="1463"/>
      <c r="AN83" s="1463"/>
      <c r="AO83" s="1463"/>
      <c r="AR83" s="972" t="s">
        <v>1797</v>
      </c>
      <c r="AS83" s="972"/>
      <c r="AT83" s="972"/>
      <c r="AU83" s="620"/>
      <c r="AV83" s="620"/>
    </row>
    <row r="84" spans="2:48" ht="14.65" hidden="1" customHeight="1" x14ac:dyDescent="0.25">
      <c r="E84" s="618">
        <v>15</v>
      </c>
      <c r="F84" s="3" cm="1">
        <f t="array" aca="1" ref="F84" ca="1">OFFSET(E84,-1,1)</f>
        <v>0</v>
      </c>
      <c r="I84" s="511" t="s">
        <v>613</v>
      </c>
      <c r="J84" s="511"/>
      <c r="K84" s="511"/>
      <c r="L84" s="511"/>
      <c r="M84" s="511"/>
      <c r="N84" s="511"/>
      <c r="O84" s="511"/>
      <c r="P84" s="511"/>
      <c r="Q84" s="511"/>
      <c r="R84" s="511"/>
      <c r="S84" s="511"/>
      <c r="T84" s="388" t="b" cm="1">
        <f t="array" aca="1" ref="T84" ca="1">T83</f>
        <v>0</v>
      </c>
      <c r="X84" s="2120"/>
      <c r="Z84" s="2121"/>
      <c r="AB84" s="727" t="s">
        <v>472</v>
      </c>
      <c r="AC84" s="735" t="s">
        <v>1431</v>
      </c>
      <c r="AD84" s="733" t="s">
        <v>831</v>
      </c>
      <c r="AE84" s="729"/>
      <c r="AF84" s="729"/>
      <c r="AG84" s="729"/>
      <c r="AH84" s="722"/>
      <c r="AI84" s="1469"/>
      <c r="AJ84" s="1469"/>
      <c r="AK84" s="1469"/>
      <c r="AL84" s="722">
        <f t="shared" si="4"/>
        <v>0</v>
      </c>
      <c r="AM84" s="1461"/>
      <c r="AN84" s="1461"/>
      <c r="AO84" s="1461"/>
      <c r="AR84" s="971" t="s">
        <v>1798</v>
      </c>
    </row>
    <row r="85" spans="2:48" ht="101.25" hidden="1" customHeight="1" x14ac:dyDescent="0.25">
      <c r="E85" s="618">
        <v>0</v>
      </c>
      <c r="F85" s="3" cm="1">
        <f t="array" aca="1" ref="F85" ca="1">OFFSET(E85,-1,1)</f>
        <v>0</v>
      </c>
      <c r="H85" s="440" t="b">
        <f>ISERR(SEARCH("Водоснабжение",AB27))</f>
        <v>1</v>
      </c>
      <c r="I85" s="511" t="s">
        <v>770</v>
      </c>
      <c r="J85" s="511"/>
      <c r="K85" s="511"/>
      <c r="L85" s="511"/>
      <c r="M85" s="511"/>
      <c r="N85" s="511"/>
      <c r="O85" s="511"/>
      <c r="P85" s="511"/>
      <c r="Q85" s="511"/>
      <c r="R85" s="511"/>
      <c r="S85" s="511"/>
      <c r="T85" s="388" t="b" cm="1">
        <f t="array" aca="1" ref="T85" ca="1">T84</f>
        <v>0</v>
      </c>
      <c r="X85" s="2120"/>
      <c r="Z85" s="2121"/>
      <c r="AB85" s="727" t="s">
        <v>475</v>
      </c>
      <c r="AC85" s="735" t="s">
        <v>1799</v>
      </c>
      <c r="AD85" s="679" t="s">
        <v>831</v>
      </c>
      <c r="AE85" s="729"/>
      <c r="AF85" s="729"/>
      <c r="AG85" s="729"/>
      <c r="AH85" s="722">
        <f t="shared" ref="AH85:AH100" si="5">AG85-AF85</f>
        <v>0</v>
      </c>
      <c r="AI85" s="729"/>
      <c r="AJ85" s="1464"/>
      <c r="AK85" s="1464">
        <f ca="1">IFERROR(SUMIFS('Плата за негативное возд'!$AL$25:$AL$35,'Плата за негативное возд'!$F$25:$F$35,F85,'Плата за негативное возд'!$G$25:$G$35,"1"),0)</f>
        <v>0</v>
      </c>
      <c r="AL85" s="722">
        <f t="shared" si="4"/>
        <v>0</v>
      </c>
      <c r="AM85" s="1461"/>
      <c r="AN85" s="1461"/>
      <c r="AO85" s="1461"/>
      <c r="AR85" s="971" t="s">
        <v>1331</v>
      </c>
    </row>
    <row r="86" spans="2:48" ht="67.5" hidden="1" customHeight="1" x14ac:dyDescent="0.25">
      <c r="E86" s="618">
        <v>0</v>
      </c>
      <c r="F86" s="3" cm="1">
        <f t="array" aca="1" ref="F86" ca="1">OFFSET(E86,-1,1)</f>
        <v>0</v>
      </c>
      <c r="H86" s="440" t="b">
        <f>ISERR(SEARCH("Водоснабжение",AB27))</f>
        <v>1</v>
      </c>
      <c r="I86" s="511" t="s">
        <v>772</v>
      </c>
      <c r="J86" s="511"/>
      <c r="K86" s="511"/>
      <c r="L86" s="511"/>
      <c r="M86" s="511"/>
      <c r="N86" s="511"/>
      <c r="O86" s="511"/>
      <c r="P86" s="511"/>
      <c r="Q86" s="511"/>
      <c r="R86" s="511"/>
      <c r="S86" s="511"/>
      <c r="T86" s="388" t="b" cm="1">
        <f t="array" aca="1" ref="T86" ca="1">T85</f>
        <v>0</v>
      </c>
      <c r="X86" s="2120"/>
      <c r="Z86" s="2121"/>
      <c r="AB86" s="727" t="s">
        <v>478</v>
      </c>
      <c r="AC86" s="735" t="s">
        <v>1800</v>
      </c>
      <c r="AD86" s="679" t="s">
        <v>831</v>
      </c>
      <c r="AE86" s="729"/>
      <c r="AF86" s="729"/>
      <c r="AG86" s="729"/>
      <c r="AH86" s="722">
        <f t="shared" si="5"/>
        <v>0</v>
      </c>
      <c r="AI86" s="729"/>
      <c r="AJ86" s="1464"/>
      <c r="AK86" s="1464">
        <f ca="1">IFERROR(SUMIFS('Плата за негативное возд'!$AL$25:$AL$35,'Плата за негативное возд'!$F$25:$F$35,F86,'Плата за негативное возд'!$G$25:$G$35,"2"),0)</f>
        <v>0</v>
      </c>
      <c r="AL86" s="722">
        <f t="shared" si="4"/>
        <v>0</v>
      </c>
      <c r="AM86" s="1461"/>
      <c r="AN86" s="1461"/>
      <c r="AO86" s="1461"/>
      <c r="AR86" s="971" t="s">
        <v>1335</v>
      </c>
    </row>
    <row r="87" spans="2:48" ht="14.65" hidden="1" customHeight="1" x14ac:dyDescent="0.25">
      <c r="E87" s="618">
        <v>15</v>
      </c>
      <c r="F87" s="3" cm="1">
        <f t="array" aca="1" ref="F87" ca="1">OFFSET(E87,-1,1)</f>
        <v>0</v>
      </c>
      <c r="I87" s="511" t="s">
        <v>809</v>
      </c>
      <c r="J87" s="511"/>
      <c r="K87" s="511"/>
      <c r="L87" s="511"/>
      <c r="M87" s="511"/>
      <c r="N87" s="511"/>
      <c r="O87" s="511"/>
      <c r="P87" s="511"/>
      <c r="Q87" s="511"/>
      <c r="R87" s="511"/>
      <c r="S87" s="511"/>
      <c r="T87" s="388" t="b" cm="1">
        <f t="array" aca="1" ref="T87" ca="1">T86</f>
        <v>0</v>
      </c>
      <c r="X87" s="2120"/>
      <c r="Z87" s="2121"/>
      <c r="AB87" s="727" t="s">
        <v>481</v>
      </c>
      <c r="AC87" s="737" t="s">
        <v>1801</v>
      </c>
      <c r="AD87" s="733" t="s">
        <v>831</v>
      </c>
      <c r="AE87" s="729"/>
      <c r="AF87" s="729"/>
      <c r="AG87" s="729"/>
      <c r="AH87" s="722">
        <f t="shared" si="5"/>
        <v>0</v>
      </c>
      <c r="AI87" s="729"/>
      <c r="AJ87" s="1464"/>
      <c r="AK87" s="1464"/>
      <c r="AL87" s="722">
        <f t="shared" si="4"/>
        <v>0</v>
      </c>
      <c r="AM87" s="1461"/>
      <c r="AN87" s="1461"/>
      <c r="AO87" s="1461"/>
      <c r="AR87" s="971" t="s">
        <v>1205</v>
      </c>
    </row>
    <row r="88" spans="2:48" s="512" customFormat="1" ht="21.95" hidden="1" customHeight="1" x14ac:dyDescent="0.25">
      <c r="E88" s="620">
        <v>22.5</v>
      </c>
      <c r="F88" s="3" cm="1">
        <f t="array" aca="1" ref="F88" ca="1">OFFSET(E88,-1,1)</f>
        <v>0</v>
      </c>
      <c r="I88" s="621" t="s">
        <v>810</v>
      </c>
      <c r="J88" s="621"/>
      <c r="K88" s="621"/>
      <c r="L88" s="621"/>
      <c r="M88" s="621"/>
      <c r="N88" s="621"/>
      <c r="O88" s="621"/>
      <c r="P88" s="621"/>
      <c r="Q88" s="621"/>
      <c r="R88" s="621"/>
      <c r="S88" s="621"/>
      <c r="T88" s="388" t="b" cm="1">
        <f t="array" aca="1" ref="T88" ca="1">T87</f>
        <v>0</v>
      </c>
      <c r="X88" s="2120"/>
      <c r="Z88" s="2121"/>
      <c r="AB88" s="724" t="s">
        <v>1802</v>
      </c>
      <c r="AC88" s="513" t="s">
        <v>1803</v>
      </c>
      <c r="AD88" s="731" t="s">
        <v>831</v>
      </c>
      <c r="AE88" s="708">
        <f>AE89+AE90</f>
        <v>0</v>
      </c>
      <c r="AF88" s="708">
        <f>AF89+AF90</f>
        <v>0</v>
      </c>
      <c r="AG88" s="708">
        <f>AG89+AG90</f>
        <v>0</v>
      </c>
      <c r="AH88" s="721">
        <f t="shared" si="5"/>
        <v>0</v>
      </c>
      <c r="AI88" s="708">
        <f>AI89+AI90</f>
        <v>0</v>
      </c>
      <c r="AJ88" s="708">
        <f>AJ89+AJ90</f>
        <v>0</v>
      </c>
      <c r="AK88" s="708">
        <f>AK89+AK90</f>
        <v>0</v>
      </c>
      <c r="AL88" s="721">
        <f t="shared" si="4"/>
        <v>0</v>
      </c>
      <c r="AM88" s="1463"/>
      <c r="AN88" s="1463"/>
      <c r="AO88" s="1463"/>
      <c r="AR88" s="972" t="s">
        <v>1514</v>
      </c>
      <c r="AS88" s="972"/>
      <c r="AT88" s="972"/>
      <c r="AU88" s="620"/>
      <c r="AV88" s="620"/>
    </row>
    <row r="89" spans="2:48" ht="21.95" hidden="1" customHeight="1" x14ac:dyDescent="0.25">
      <c r="E89" s="618">
        <v>22.5</v>
      </c>
      <c r="F89" s="3" cm="1">
        <f t="array" aca="1" ref="F89" ca="1">OFFSET(E89,-1,1)</f>
        <v>0</v>
      </c>
      <c r="I89" s="511" t="s">
        <v>1804</v>
      </c>
      <c r="J89" s="511"/>
      <c r="K89" s="511"/>
      <c r="L89" s="511"/>
      <c r="M89" s="511"/>
      <c r="N89" s="511"/>
      <c r="O89" s="511"/>
      <c r="P89" s="511"/>
      <c r="Q89" s="511"/>
      <c r="R89" s="511"/>
      <c r="S89" s="511"/>
      <c r="T89" s="388" t="b" cm="1">
        <f t="array" aca="1" ref="T89" ca="1">T88</f>
        <v>0</v>
      </c>
      <c r="X89" s="2120"/>
      <c r="Z89" s="2121"/>
      <c r="AB89" s="727" t="s">
        <v>1805</v>
      </c>
      <c r="AC89" s="738" t="s">
        <v>1515</v>
      </c>
      <c r="AD89" s="733" t="s">
        <v>831</v>
      </c>
      <c r="AE89" s="729"/>
      <c r="AF89" s="729"/>
      <c r="AG89" s="729"/>
      <c r="AH89" s="722">
        <f t="shared" si="5"/>
        <v>0</v>
      </c>
      <c r="AI89" s="729"/>
      <c r="AJ89" s="1464"/>
      <c r="AK89" s="1464"/>
      <c r="AL89" s="722">
        <f t="shared" si="4"/>
        <v>0</v>
      </c>
      <c r="AM89" s="1461"/>
      <c r="AN89" s="1461"/>
      <c r="AO89" s="1461"/>
      <c r="AR89" s="971" t="s">
        <v>1553</v>
      </c>
    </row>
    <row r="90" spans="2:48" ht="21.95" hidden="1" customHeight="1" x14ac:dyDescent="0.25">
      <c r="E90" s="618">
        <v>22.5</v>
      </c>
      <c r="F90" s="3" cm="1">
        <f t="array" aca="1" ref="F90" ca="1">OFFSET(E90,-1,1)</f>
        <v>0</v>
      </c>
      <c r="I90" s="511" t="s">
        <v>1806</v>
      </c>
      <c r="J90" s="511"/>
      <c r="K90" s="511"/>
      <c r="L90" s="511"/>
      <c r="M90" s="511"/>
      <c r="N90" s="511"/>
      <c r="O90" s="511"/>
      <c r="P90" s="511"/>
      <c r="Q90" s="511"/>
      <c r="R90" s="511"/>
      <c r="S90" s="511"/>
      <c r="T90" s="388" t="b" cm="1">
        <f t="array" aca="1" ref="T90" ca="1">T89</f>
        <v>0</v>
      </c>
      <c r="X90" s="2120"/>
      <c r="Z90" s="2121"/>
      <c r="AB90" s="727" t="s">
        <v>1807</v>
      </c>
      <c r="AC90" s="738" t="s">
        <v>1517</v>
      </c>
      <c r="AD90" s="733" t="s">
        <v>831</v>
      </c>
      <c r="AE90" s="729"/>
      <c r="AF90" s="729"/>
      <c r="AG90" s="729"/>
      <c r="AH90" s="722">
        <f t="shared" si="5"/>
        <v>0</v>
      </c>
      <c r="AI90" s="729"/>
      <c r="AJ90" s="1464"/>
      <c r="AK90" s="1464"/>
      <c r="AL90" s="722">
        <f t="shared" si="4"/>
        <v>0</v>
      </c>
      <c r="AM90" s="1461"/>
      <c r="AN90" s="1461"/>
      <c r="AO90" s="1461"/>
      <c r="AR90" s="971" t="s">
        <v>1808</v>
      </c>
    </row>
    <row r="91" spans="2:48" ht="14.65" hidden="1" customHeight="1" x14ac:dyDescent="0.25">
      <c r="E91" s="618">
        <v>15</v>
      </c>
      <c r="F91" s="3" cm="1">
        <f t="array" aca="1" ref="F91" ca="1">OFFSET(E91,-1,1)</f>
        <v>0</v>
      </c>
      <c r="I91" s="511" t="s">
        <v>1809</v>
      </c>
      <c r="J91" s="511"/>
      <c r="K91" s="511"/>
      <c r="L91" s="511"/>
      <c r="M91" s="511"/>
      <c r="N91" s="511"/>
      <c r="O91" s="511"/>
      <c r="P91" s="511"/>
      <c r="Q91" s="511"/>
      <c r="R91" s="511"/>
      <c r="S91" s="511"/>
      <c r="T91" s="388" t="b" cm="1">
        <f t="array" aca="1" ref="T91" ca="1">T90</f>
        <v>0</v>
      </c>
      <c r="X91" s="2120"/>
      <c r="Z91" s="2121"/>
      <c r="AB91" s="739" t="s">
        <v>340</v>
      </c>
      <c r="AC91" s="740" t="s">
        <v>1519</v>
      </c>
      <c r="AD91" s="733" t="s">
        <v>831</v>
      </c>
      <c r="AE91" s="729"/>
      <c r="AF91" s="729"/>
      <c r="AG91" s="729"/>
      <c r="AH91" s="722">
        <f t="shared" si="5"/>
        <v>0</v>
      </c>
      <c r="AI91" s="729"/>
      <c r="AJ91" s="1464"/>
      <c r="AK91" s="1464"/>
      <c r="AL91" s="722">
        <f t="shared" si="4"/>
        <v>0</v>
      </c>
      <c r="AM91" s="1461"/>
      <c r="AN91" s="1461"/>
      <c r="AO91" s="1461"/>
      <c r="AR91" s="971" t="s">
        <v>1520</v>
      </c>
    </row>
    <row r="92" spans="2:48" ht="14.65" hidden="1" customHeight="1" x14ac:dyDescent="0.25">
      <c r="E92" s="618">
        <v>15</v>
      </c>
      <c r="F92" s="3" cm="1">
        <f t="array" aca="1" ref="F92" ca="1">OFFSET(E92,-1,1)</f>
        <v>0</v>
      </c>
      <c r="I92" s="511" t="s">
        <v>1810</v>
      </c>
      <c r="J92" s="511"/>
      <c r="K92" s="511"/>
      <c r="L92" s="511"/>
      <c r="M92" s="511"/>
      <c r="N92" s="511"/>
      <c r="O92" s="511"/>
      <c r="P92" s="511"/>
      <c r="Q92" s="511"/>
      <c r="R92" s="511"/>
      <c r="S92" s="511"/>
      <c r="T92" s="388" t="b" cm="1">
        <f t="array" aca="1" ref="T92" ca="1">T91</f>
        <v>0</v>
      </c>
      <c r="X92" s="2120"/>
      <c r="Z92" s="2121"/>
      <c r="AB92" s="739" t="s">
        <v>1811</v>
      </c>
      <c r="AC92" s="740" t="s">
        <v>1521</v>
      </c>
      <c r="AD92" s="733" t="s">
        <v>831</v>
      </c>
      <c r="AE92" s="729"/>
      <c r="AF92" s="729"/>
      <c r="AG92" s="729"/>
      <c r="AH92" s="722">
        <f t="shared" si="5"/>
        <v>0</v>
      </c>
      <c r="AI92" s="729"/>
      <c r="AJ92" s="1464"/>
      <c r="AK92" s="1464"/>
      <c r="AL92" s="722">
        <f t="shared" si="4"/>
        <v>0</v>
      </c>
      <c r="AM92" s="1461"/>
      <c r="AN92" s="1461"/>
      <c r="AO92" s="1461"/>
      <c r="AR92" s="971" t="s">
        <v>1522</v>
      </c>
    </row>
    <row r="93" spans="2:48" s="512" customFormat="1" ht="14.65" hidden="1" customHeight="1" x14ac:dyDescent="0.25">
      <c r="E93" s="620">
        <v>15</v>
      </c>
      <c r="F93" s="3" cm="1">
        <f t="array" aca="1" ref="F93" ca="1">OFFSET(E93,-1,1)</f>
        <v>0</v>
      </c>
      <c r="I93" s="621" t="s">
        <v>1812</v>
      </c>
      <c r="J93" s="621"/>
      <c r="K93" s="621"/>
      <c r="L93" s="621"/>
      <c r="M93" s="621"/>
      <c r="N93" s="621"/>
      <c r="O93" s="621"/>
      <c r="P93" s="621"/>
      <c r="Q93" s="621"/>
      <c r="R93" s="621"/>
      <c r="S93" s="621"/>
      <c r="T93" s="388" t="b" cm="1">
        <f t="array" aca="1" ref="T93" ca="1">T92</f>
        <v>0</v>
      </c>
      <c r="X93" s="2120"/>
      <c r="Z93" s="2121"/>
      <c r="AB93" s="724" t="s">
        <v>1813</v>
      </c>
      <c r="AC93" s="513" t="s">
        <v>1814</v>
      </c>
      <c r="AD93" s="731" t="s">
        <v>831</v>
      </c>
      <c r="AE93" s="708">
        <f ca="1">AE28+AE56+AE61+AE74+AE75+AE77+AE78+AE79+AE83+AE84-AE85-AE86+AE87-AE88+AE91+AE92</f>
        <v>0</v>
      </c>
      <c r="AF93" s="708">
        <f ca="1">AF28+AF56+AF61+AF74+AF75+AF77+AF78+AF79+AF83+AF84-AF85-AF86+AF87-AF88+AF91+AF92</f>
        <v>0</v>
      </c>
      <c r="AG93" s="708">
        <f ca="1">AG28+AG56+AG61+AG74+AG75+AG77+AG78+AG79+AG83+AG84-AG85-AG86+AG87-AG88+AG91+AG92</f>
        <v>0</v>
      </c>
      <c r="AH93" s="721">
        <f t="shared" ca="1" si="5"/>
        <v>0</v>
      </c>
      <c r="AI93" s="708">
        <f ca="1">AI28+AI56+AI61+AI74+AI75+AI77+AI78+AI79+AI83+AI84-AI85-AI86+AI87-AI88+AI91+AI92</f>
        <v>0</v>
      </c>
      <c r="AJ93" s="708">
        <f ca="1">AJ28+AJ56+AJ61+AJ74+AJ75+AJ77+AJ78+AJ79+AJ83+AJ84-AJ85-AJ86+AJ87-AJ88+AJ91+AJ92</f>
        <v>0</v>
      </c>
      <c r="AK93" s="708">
        <f ca="1">AK28+AK56+AK61+AK74+AK75+AK77+AK78+AK79+AK83+AK84-AK85-AK86+AK87-AK88+AK91+AK92</f>
        <v>0</v>
      </c>
      <c r="AL93" s="721">
        <f t="shared" ca="1" si="4"/>
        <v>0</v>
      </c>
      <c r="AM93" s="1463"/>
      <c r="AN93" s="1463"/>
      <c r="AO93" s="1463"/>
      <c r="AR93" s="972" t="s">
        <v>1815</v>
      </c>
      <c r="AS93" s="972"/>
      <c r="AT93" s="972"/>
      <c r="AU93" s="620"/>
      <c r="AV93" s="620"/>
    </row>
    <row r="94" spans="2:48" ht="15" hidden="1" customHeight="1" x14ac:dyDescent="0.25">
      <c r="B94" s="501" t="b">
        <f>G27="двухставочный"</f>
        <v>0</v>
      </c>
      <c r="E94" s="618">
        <v>0</v>
      </c>
      <c r="F94" s="3" cm="1">
        <f t="array" aca="1" ref="F94" ca="1">OFFSET(E94,-1,1)</f>
        <v>0</v>
      </c>
      <c r="I94" s="511" t="s">
        <v>1816</v>
      </c>
      <c r="J94" s="511"/>
      <c r="K94" s="511"/>
      <c r="L94" s="511"/>
      <c r="M94" s="511"/>
      <c r="N94" s="511"/>
      <c r="O94" s="511"/>
      <c r="P94" s="511"/>
      <c r="Q94" s="511"/>
      <c r="R94" s="511"/>
      <c r="S94" s="511"/>
      <c r="T94" s="388" t="b" cm="1">
        <f t="array" aca="1" ref="T94" ca="1">T93</f>
        <v>0</v>
      </c>
      <c r="X94" s="2120"/>
      <c r="Z94" s="2121"/>
      <c r="AB94" s="727" t="s">
        <v>1817</v>
      </c>
      <c r="AC94" s="738" t="s">
        <v>1818</v>
      </c>
      <c r="AD94" s="733" t="s">
        <v>831</v>
      </c>
      <c r="AE94" s="729"/>
      <c r="AF94" s="729"/>
      <c r="AG94" s="729"/>
      <c r="AH94" s="722">
        <f t="shared" si="5"/>
        <v>0</v>
      </c>
      <c r="AI94" s="729"/>
      <c r="AJ94" s="1464"/>
      <c r="AK94" s="1464"/>
      <c r="AL94" s="722">
        <f t="shared" si="4"/>
        <v>0</v>
      </c>
      <c r="AM94" s="1461"/>
      <c r="AN94" s="1461"/>
      <c r="AO94" s="1461"/>
      <c r="AR94" s="971" t="s">
        <v>1819</v>
      </c>
    </row>
    <row r="95" spans="2:48" ht="15" hidden="1" customHeight="1" x14ac:dyDescent="0.25">
      <c r="B95" s="501" t="b">
        <f>G27="двухставочный"</f>
        <v>0</v>
      </c>
      <c r="E95" s="618">
        <v>0</v>
      </c>
      <c r="F95" s="3" cm="1">
        <f t="array" aca="1" ref="F95" ca="1">OFFSET(E95,-1,1)</f>
        <v>0</v>
      </c>
      <c r="I95" s="511" t="s">
        <v>1820</v>
      </c>
      <c r="J95" s="511"/>
      <c r="K95" s="511"/>
      <c r="L95" s="511"/>
      <c r="M95" s="511"/>
      <c r="N95" s="511"/>
      <c r="O95" s="511"/>
      <c r="P95" s="511"/>
      <c r="Q95" s="511"/>
      <c r="R95" s="511"/>
      <c r="S95" s="511"/>
      <c r="T95" s="388" t="b" cm="1">
        <f t="array" aca="1" ref="T95" ca="1">T94</f>
        <v>0</v>
      </c>
      <c r="X95" s="2120"/>
      <c r="Z95" s="2121"/>
      <c r="AB95" s="727" t="s">
        <v>1821</v>
      </c>
      <c r="AC95" s="738" t="s">
        <v>1822</v>
      </c>
      <c r="AD95" s="733" t="s">
        <v>831</v>
      </c>
      <c r="AE95" s="729"/>
      <c r="AF95" s="729"/>
      <c r="AG95" s="729"/>
      <c r="AH95" s="722">
        <f t="shared" si="5"/>
        <v>0</v>
      </c>
      <c r="AI95" s="729"/>
      <c r="AJ95" s="1464"/>
      <c r="AK95" s="1464"/>
      <c r="AL95" s="722">
        <f t="shared" si="4"/>
        <v>0</v>
      </c>
      <c r="AM95" s="1461"/>
      <c r="AN95" s="1461"/>
      <c r="AO95" s="1461"/>
      <c r="AR95" s="971" t="s">
        <v>1823</v>
      </c>
    </row>
    <row r="96" spans="2:48" s="512" customFormat="1" ht="14.65" hidden="1" customHeight="1" x14ac:dyDescent="0.25">
      <c r="E96" s="620">
        <v>15</v>
      </c>
      <c r="F96" s="3" cm="1">
        <f t="array" aca="1" ref="F96" ca="1">OFFSET(E96,-1,1)</f>
        <v>0</v>
      </c>
      <c r="G96" s="502" t="s">
        <v>1597</v>
      </c>
      <c r="I96" s="621" t="s">
        <v>1824</v>
      </c>
      <c r="J96" s="621"/>
      <c r="K96" s="621"/>
      <c r="L96" s="621"/>
      <c r="M96" s="621"/>
      <c r="N96" s="621"/>
      <c r="O96" s="621"/>
      <c r="P96" s="621"/>
      <c r="Q96" s="621"/>
      <c r="R96" s="621"/>
      <c r="S96" s="621"/>
      <c r="T96" s="388" t="b" cm="1">
        <f t="array" aca="1" ref="T96" ca="1">T95</f>
        <v>0</v>
      </c>
      <c r="X96" s="2120"/>
      <c r="Z96" s="2121"/>
      <c r="AB96" s="724" t="s">
        <v>1825</v>
      </c>
      <c r="AC96" s="513" t="s">
        <v>1826</v>
      </c>
      <c r="AD96" s="731" t="s">
        <v>563</v>
      </c>
      <c r="AE96" s="741">
        <f ca="1">SUMIFS(Баланс!AE$26:AE$300,Баланс!$F$26:$F$300,$F96,Баланс!$G$26:$G$300,"ПО")</f>
        <v>0</v>
      </c>
      <c r="AF96" s="741">
        <f ca="1">SUMIFS(Баланс!AF$26:AF$300,Баланс!$F$26:$F$300,$F96,Баланс!$G$26:$G$300,"ПО")</f>
        <v>0</v>
      </c>
      <c r="AG96" s="741">
        <f ca="1">SUMIFS(Баланс!AG$26:AG$300,Баланс!$F$26:$F$300,$F96,Баланс!$G$26:$G$300,"ПО")</f>
        <v>0</v>
      </c>
      <c r="AH96" s="741">
        <f t="shared" ca="1" si="5"/>
        <v>0</v>
      </c>
      <c r="AI96" s="741">
        <f ca="1">SUMIFS(Баланс!AH$26:AH$300,Баланс!$F$26:$F$300,$F96,Баланс!$G$26:$G$300,"ПО")</f>
        <v>0</v>
      </c>
      <c r="AJ96" s="741">
        <f ca="1">SUMIFS(Баланс!AI$26:AI$300,Баланс!$F$26:$F$300,$F96,Баланс!$G$26:$G$300,"ПО")</f>
        <v>0</v>
      </c>
      <c r="AK96" s="741">
        <f ca="1">SUMIFS(Баланс!AS$26:AS$300,Баланс!$F$26:$F$300,$F96,Баланс!$G$26:$G$300,"ПО")</f>
        <v>0</v>
      </c>
      <c r="AL96" s="742"/>
      <c r="AM96" s="1463"/>
      <c r="AN96" s="1463"/>
      <c r="AO96" s="1463"/>
      <c r="AR96" s="972" t="s">
        <v>1827</v>
      </c>
      <c r="AS96" s="972"/>
      <c r="AT96" s="972"/>
      <c r="AU96" s="620"/>
      <c r="AV96" s="620"/>
    </row>
    <row r="97" spans="1:48" ht="14.65" hidden="1" customHeight="1" x14ac:dyDescent="0.25">
      <c r="E97" s="618">
        <v>15</v>
      </c>
      <c r="F97" s="3" cm="1">
        <f t="array" aca="1" ref="F97" ca="1">OFFSET(E97,-1,1)</f>
        <v>0</v>
      </c>
      <c r="G97" s="502" t="s">
        <v>1624</v>
      </c>
      <c r="I97" s="511" t="s">
        <v>1828</v>
      </c>
      <c r="J97" s="511"/>
      <c r="K97" s="511"/>
      <c r="L97" s="511"/>
      <c r="M97" s="511"/>
      <c r="N97" s="511"/>
      <c r="O97" s="511"/>
      <c r="P97" s="511"/>
      <c r="Q97" s="511"/>
      <c r="R97" s="511"/>
      <c r="S97" s="511"/>
      <c r="T97" s="388" t="b" cm="1">
        <f t="array" aca="1" ref="T97" ca="1">T96</f>
        <v>0</v>
      </c>
      <c r="X97" s="2120"/>
      <c r="Z97" s="2121"/>
      <c r="AB97" s="727" t="s">
        <v>1829</v>
      </c>
      <c r="AC97" s="1019" t="s">
        <v>1830</v>
      </c>
      <c r="AD97" s="733" t="s">
        <v>563</v>
      </c>
      <c r="AE97" s="743">
        <f ca="1">AE96/2</f>
        <v>0</v>
      </c>
      <c r="AF97" s="743">
        <f ca="1">AF96/2</f>
        <v>0</v>
      </c>
      <c r="AG97" s="743">
        <f ca="1">AG96/2</f>
        <v>0</v>
      </c>
      <c r="AH97" s="744">
        <f t="shared" ca="1" si="5"/>
        <v>0</v>
      </c>
      <c r="AI97" s="743">
        <f ca="1">AI96/2</f>
        <v>0</v>
      </c>
      <c r="AJ97" s="1470">
        <f ca="1">IF(god=2026,AJ96/12*9,AJ96/2)</f>
        <v>0</v>
      </c>
      <c r="AK97" s="1470">
        <f ca="1">IF(god=2026,AK96/12*9,AK96/2)</f>
        <v>0</v>
      </c>
      <c r="AL97" s="736"/>
      <c r="AM97" s="1461"/>
      <c r="AN97" s="1461"/>
      <c r="AO97" s="1461"/>
      <c r="AR97" s="971" t="s">
        <v>1831</v>
      </c>
    </row>
    <row r="98" spans="1:48" ht="14.65" hidden="1" customHeight="1" x14ac:dyDescent="0.25">
      <c r="E98" s="618">
        <v>15</v>
      </c>
      <c r="F98" s="3" cm="1">
        <f t="array" aca="1" ref="F98" ca="1">OFFSET(E98,-1,1)</f>
        <v>0</v>
      </c>
      <c r="G98" s="502" t="s">
        <v>1585</v>
      </c>
      <c r="I98" s="511" t="s">
        <v>1832</v>
      </c>
      <c r="J98" s="511"/>
      <c r="K98" s="511"/>
      <c r="L98" s="511"/>
      <c r="M98" s="511"/>
      <c r="N98" s="511"/>
      <c r="O98" s="511"/>
      <c r="P98" s="511"/>
      <c r="Q98" s="511"/>
      <c r="R98" s="511"/>
      <c r="S98" s="511"/>
      <c r="T98" s="388" t="b" cm="1">
        <f t="array" aca="1" ref="T98" ca="1">T97</f>
        <v>0</v>
      </c>
      <c r="X98" s="2120"/>
      <c r="Z98" s="2121"/>
      <c r="AB98" s="727" t="s">
        <v>1833</v>
      </c>
      <c r="AC98" s="1019" t="s">
        <v>1834</v>
      </c>
      <c r="AD98" s="733" t="s">
        <v>1588</v>
      </c>
      <c r="AE98" s="729"/>
      <c r="AF98" s="729"/>
      <c r="AG98" s="729"/>
      <c r="AH98" s="722">
        <f t="shared" si="5"/>
        <v>0</v>
      </c>
      <c r="AI98" s="729"/>
      <c r="AJ98" s="1464"/>
      <c r="AK98" s="1464"/>
      <c r="AL98" s="736"/>
      <c r="AM98" s="1461"/>
      <c r="AN98" s="1461"/>
      <c r="AO98" s="1461"/>
      <c r="AR98" s="971" t="s">
        <v>1835</v>
      </c>
    </row>
    <row r="99" spans="1:48" ht="14.65" hidden="1" customHeight="1" x14ac:dyDescent="0.25">
      <c r="E99" s="618">
        <v>15</v>
      </c>
      <c r="F99" s="3" cm="1">
        <f t="array" aca="1" ref="F99" ca="1">OFFSET(E99,-1,1)</f>
        <v>0</v>
      </c>
      <c r="G99" s="502" t="s">
        <v>1637</v>
      </c>
      <c r="I99" s="511" t="s">
        <v>1836</v>
      </c>
      <c r="J99" s="511"/>
      <c r="K99" s="511"/>
      <c r="L99" s="511"/>
      <c r="M99" s="511"/>
      <c r="N99" s="511"/>
      <c r="O99" s="511"/>
      <c r="P99" s="511"/>
      <c r="Q99" s="511"/>
      <c r="R99" s="511"/>
      <c r="S99" s="511"/>
      <c r="T99" s="388" t="b" cm="1">
        <f t="array" aca="1" ref="T99" ca="1">T98</f>
        <v>0</v>
      </c>
      <c r="X99" s="2120"/>
      <c r="Z99" s="2121"/>
      <c r="AB99" s="727" t="s">
        <v>1837</v>
      </c>
      <c r="AC99" s="1019" t="s">
        <v>1838</v>
      </c>
      <c r="AD99" s="733" t="s">
        <v>563</v>
      </c>
      <c r="AE99" s="744">
        <f ca="1">AE96-AE97</f>
        <v>0</v>
      </c>
      <c r="AF99" s="744">
        <f ca="1">AF96-AF97</f>
        <v>0</v>
      </c>
      <c r="AG99" s="744">
        <f ca="1">AG96-AG97</f>
        <v>0</v>
      </c>
      <c r="AH99" s="744">
        <f t="shared" ca="1" si="5"/>
        <v>0</v>
      </c>
      <c r="AI99" s="744">
        <f ca="1">AI96-AI97</f>
        <v>0</v>
      </c>
      <c r="AJ99" s="744">
        <f ca="1">AJ96-AJ97</f>
        <v>0</v>
      </c>
      <c r="AK99" s="744">
        <f ca="1">AK96-AK97</f>
        <v>0</v>
      </c>
      <c r="AL99" s="736"/>
      <c r="AM99" s="1461"/>
      <c r="AN99" s="1461"/>
      <c r="AO99" s="1461"/>
      <c r="AR99" s="971" t="s">
        <v>1839</v>
      </c>
    </row>
    <row r="100" spans="1:48" ht="14.65" hidden="1" customHeight="1" x14ac:dyDescent="0.25">
      <c r="E100" s="618">
        <v>15</v>
      </c>
      <c r="F100" s="3" cm="1">
        <f t="array" aca="1" ref="F100" ca="1">OFFSET(E100,-1,1)</f>
        <v>0</v>
      </c>
      <c r="G100" s="502" t="s">
        <v>1590</v>
      </c>
      <c r="I100" s="511" t="s">
        <v>1840</v>
      </c>
      <c r="J100" s="511"/>
      <c r="K100" s="511"/>
      <c r="L100" s="511"/>
      <c r="M100" s="511"/>
      <c r="N100" s="511"/>
      <c r="O100" s="511"/>
      <c r="P100" s="511"/>
      <c r="Q100" s="511"/>
      <c r="R100" s="511"/>
      <c r="S100" s="511"/>
      <c r="T100" s="388" t="b" cm="1">
        <f t="array" aca="1" ref="T100" ca="1">T99</f>
        <v>0</v>
      </c>
      <c r="X100" s="2120"/>
      <c r="Z100" s="2121"/>
      <c r="AB100" s="727" t="s">
        <v>1841</v>
      </c>
      <c r="AC100" s="1019" t="s">
        <v>1842</v>
      </c>
      <c r="AD100" s="733" t="s">
        <v>1588</v>
      </c>
      <c r="AE100" s="729">
        <f ca="1">IF(AE99=0,0,(AE93-AE97*AE98)/AE99)</f>
        <v>0</v>
      </c>
      <c r="AF100" s="729">
        <f ca="1">IF(AF99=0,0,(AF93-AF97*AF98)/AF99)</f>
        <v>0</v>
      </c>
      <c r="AG100" s="729">
        <f ca="1">IF(AG99=0,0,(AG93-AG97*AG98)/AG99)</f>
        <v>0</v>
      </c>
      <c r="AH100" s="722">
        <f t="shared" ca="1" si="5"/>
        <v>0</v>
      </c>
      <c r="AI100" s="729">
        <f ca="1">IF(AI99=0,0,(AI93-AI97*AI98)/AI99)</f>
        <v>0</v>
      </c>
      <c r="AJ100" s="1464">
        <f ca="1">IF(AJ99=0,0,(AJ93-AJ97*AJ98)/AJ99)</f>
        <v>0</v>
      </c>
      <c r="AK100" s="1464">
        <f ca="1">IF(AK99=0,0,(AK93-AK97*AK98)/AK99)</f>
        <v>0</v>
      </c>
      <c r="AL100" s="736"/>
      <c r="AM100" s="1461"/>
      <c r="AN100" s="1461"/>
      <c r="AO100" s="1461"/>
      <c r="AR100" s="971" t="s">
        <v>1843</v>
      </c>
    </row>
    <row r="101" spans="1:48" ht="14.65" hidden="1" customHeight="1" x14ac:dyDescent="0.25">
      <c r="E101" s="618">
        <v>15</v>
      </c>
      <c r="F101" s="3" cm="1">
        <f t="array" aca="1" ref="F101" ca="1">OFFSET(E101,-1,1)</f>
        <v>0</v>
      </c>
      <c r="G101" s="502"/>
      <c r="I101" s="511" t="s">
        <v>1844</v>
      </c>
      <c r="J101" s="511"/>
      <c r="K101" s="511"/>
      <c r="L101" s="511"/>
      <c r="M101" s="511"/>
      <c r="N101" s="511"/>
      <c r="O101" s="511"/>
      <c r="P101" s="511"/>
      <c r="Q101" s="511"/>
      <c r="R101" s="511"/>
      <c r="S101" s="511"/>
      <c r="T101" s="388" t="b" cm="1">
        <f t="array" aca="1" ref="T101" ca="1">T100</f>
        <v>0</v>
      </c>
      <c r="X101" s="2120"/>
      <c r="Z101" s="2121"/>
      <c r="AB101" s="727" t="s">
        <v>1845</v>
      </c>
      <c r="AC101" s="1019" t="s">
        <v>1846</v>
      </c>
      <c r="AD101" s="733" t="s">
        <v>490</v>
      </c>
      <c r="AE101" s="722">
        <f>IF(AE98=0,0,AE100/AE98*100)</f>
        <v>0</v>
      </c>
      <c r="AF101" s="722">
        <f>IF(AF98=0,0,AF100/AF98*100)</f>
        <v>0</v>
      </c>
      <c r="AG101" s="722">
        <f>IF(AG98=0,0,AG100/AG98*100)</f>
        <v>0</v>
      </c>
      <c r="AH101" s="736"/>
      <c r="AI101" s="722">
        <f>IF(AI98=0,0,AI100/AI98*100)</f>
        <v>0</v>
      </c>
      <c r="AJ101" s="722">
        <f>IF(AJ98=0,0,AJ100/AJ98*100)</f>
        <v>0</v>
      </c>
      <c r="AK101" s="722">
        <f>IF(AK98=0,0,AK100/AK98*100)</f>
        <v>0</v>
      </c>
      <c r="AL101" s="736"/>
      <c r="AM101" s="1461"/>
      <c r="AN101" s="1461"/>
      <c r="AO101" s="1461"/>
      <c r="AR101" s="971" t="s">
        <v>1847</v>
      </c>
    </row>
    <row r="102" spans="1:48" ht="14.65" hidden="1" customHeight="1" x14ac:dyDescent="0.25">
      <c r="E102" s="618">
        <v>15</v>
      </c>
      <c r="F102" s="3" cm="1">
        <f t="array" aca="1" ref="F102" ca="1">OFFSET(E102,-1,1)</f>
        <v>0</v>
      </c>
      <c r="G102" s="502"/>
      <c r="I102" s="511" t="s">
        <v>1848</v>
      </c>
      <c r="J102" s="511"/>
      <c r="K102" s="511"/>
      <c r="L102" s="511"/>
      <c r="M102" s="511"/>
      <c r="N102" s="511"/>
      <c r="O102" s="511"/>
      <c r="P102" s="511"/>
      <c r="Q102" s="511"/>
      <c r="R102" s="511"/>
      <c r="S102" s="511"/>
      <c r="T102" s="388" t="b" cm="1">
        <f t="array" aca="1" ref="T102" ca="1">T101</f>
        <v>0</v>
      </c>
      <c r="X102" s="2120"/>
      <c r="Z102" s="2121"/>
      <c r="AB102" s="727" t="s">
        <v>1849</v>
      </c>
      <c r="AC102" s="1019" t="s">
        <v>1850</v>
      </c>
      <c r="AD102" s="733" t="s">
        <v>1588</v>
      </c>
      <c r="AE102" s="729">
        <f ca="1">IF(AE96=0,0,AE93/AE96)</f>
        <v>0</v>
      </c>
      <c r="AF102" s="729">
        <f ca="1">IF(AF96=0,0,AF93/AF96)</f>
        <v>0</v>
      </c>
      <c r="AG102" s="729">
        <f ca="1">IF(AG96=0,0,AG93/AG96)</f>
        <v>0</v>
      </c>
      <c r="AH102" s="722">
        <f ca="1">AG102-AF102</f>
        <v>0</v>
      </c>
      <c r="AI102" s="729">
        <f ca="1">IF(AI96=0,0,AI93/AI96)</f>
        <v>0</v>
      </c>
      <c r="AJ102" s="1464">
        <f ca="1">IF(AJ96=0,0,AJ93/AJ96)</f>
        <v>0</v>
      </c>
      <c r="AK102" s="1464">
        <f ca="1">IF(AK96=0,0,AK93/AK96)</f>
        <v>0</v>
      </c>
      <c r="AL102" s="736"/>
      <c r="AM102" s="1461"/>
      <c r="AN102" s="1461"/>
      <c r="AO102" s="1461"/>
      <c r="AR102" s="971" t="s">
        <v>1851</v>
      </c>
    </row>
    <row r="103" spans="1:48" s="512" customFormat="1" ht="14.65" hidden="1" customHeight="1" x14ac:dyDescent="0.25">
      <c r="E103" s="620">
        <v>15</v>
      </c>
      <c r="F103" s="3" cm="1">
        <f t="array" aca="1" ref="F103" ca="1">OFFSET(E103,-1,1)</f>
        <v>0</v>
      </c>
      <c r="G103" s="623"/>
      <c r="I103" s="621" t="s">
        <v>1852</v>
      </c>
      <c r="J103" s="621"/>
      <c r="K103" s="621"/>
      <c r="L103" s="621"/>
      <c r="M103" s="621"/>
      <c r="N103" s="621"/>
      <c r="O103" s="621"/>
      <c r="P103" s="621"/>
      <c r="Q103" s="621"/>
      <c r="R103" s="621"/>
      <c r="S103" s="621"/>
      <c r="T103" s="388" t="b" cm="1">
        <f t="array" aca="1" ref="T103" ca="1">T102</f>
        <v>0</v>
      </c>
      <c r="X103" s="2120"/>
      <c r="Z103" s="2121"/>
      <c r="AB103" s="724" t="s">
        <v>1853</v>
      </c>
      <c r="AC103" s="131" t="s">
        <v>1854</v>
      </c>
      <c r="AD103" s="731" t="s">
        <v>831</v>
      </c>
      <c r="AE103" s="1141">
        <f ca="1">IF(AE96=0,0,AE93/AE96*AE104)</f>
        <v>0</v>
      </c>
      <c r="AF103" s="1141">
        <f ca="1">IF(AF96=0,0,AF93/AF96*AF104)</f>
        <v>0</v>
      </c>
      <c r="AG103" s="1141">
        <f ca="1">IF(AG96=0,0,AG93/AG96*AG104)</f>
        <v>0</v>
      </c>
      <c r="AH103" s="708">
        <f ca="1">AH105*AH106+AH107*AH108</f>
        <v>0</v>
      </c>
      <c r="AI103" s="1141">
        <f ca="1">IF(AI96=0,0,AI93/AI96*AI104)</f>
        <v>0</v>
      </c>
      <c r="AJ103" s="1471">
        <f ca="1">IF(AJ96=0,0,AJ93/AJ96*AJ104)</f>
        <v>0</v>
      </c>
      <c r="AK103" s="1471">
        <f ca="1">IF(AK96=0,0,AK93/AK96*AK104)</f>
        <v>0</v>
      </c>
      <c r="AL103" s="721">
        <f ca="1">IF(AI103=0,0,(AK103-AI103)/AI103*100)</f>
        <v>0</v>
      </c>
      <c r="AM103" s="1463"/>
      <c r="AN103" s="1463"/>
      <c r="AO103" s="1463"/>
      <c r="AR103" s="972" t="s">
        <v>1855</v>
      </c>
      <c r="AS103" s="972"/>
      <c r="AT103" s="972"/>
      <c r="AU103" s="620"/>
      <c r="AV103" s="620"/>
    </row>
    <row r="104" spans="1:48" s="512" customFormat="1" ht="14.65" hidden="1" customHeight="1" x14ac:dyDescent="0.25">
      <c r="E104" s="620">
        <v>15</v>
      </c>
      <c r="F104" s="3" cm="1">
        <f t="array" aca="1" ref="F104" ca="1">OFFSET(E104,-1,1)</f>
        <v>0</v>
      </c>
      <c r="G104" s="502" t="s">
        <v>1610</v>
      </c>
      <c r="I104" s="621" t="s">
        <v>1856</v>
      </c>
      <c r="J104" s="621"/>
      <c r="K104" s="621"/>
      <c r="L104" s="621"/>
      <c r="M104" s="621"/>
      <c r="N104" s="621"/>
      <c r="O104" s="621"/>
      <c r="P104" s="621"/>
      <c r="Q104" s="621"/>
      <c r="R104" s="621"/>
      <c r="S104" s="621"/>
      <c r="T104" s="388" t="b" cm="1">
        <f t="array" aca="1" ref="T104" ca="1">T103</f>
        <v>0</v>
      </c>
      <c r="X104" s="2120"/>
      <c r="Z104" s="2121"/>
      <c r="AB104" s="724" t="s">
        <v>1857</v>
      </c>
      <c r="AC104" s="131" t="s">
        <v>1858</v>
      </c>
      <c r="AD104" s="731" t="s">
        <v>563</v>
      </c>
      <c r="AE104" s="741">
        <f ca="1">SUMIFS(Баланс!AE$26:AE$300,Баланс!$F$26:$F$300,$F104,Баланс!$G$26:$G$300,"население")</f>
        <v>0</v>
      </c>
      <c r="AF104" s="741">
        <f ca="1">SUMIFS(Баланс!AF$26:AF$300,Баланс!$F$26:$F$300,$F104,Баланс!$G$26:$G$300,"население")</f>
        <v>0</v>
      </c>
      <c r="AG104" s="741">
        <f ca="1">SUMIFS(Баланс!AG$26:AG$300,Баланс!$F$26:$F$300,$F104,Баланс!$G$26:$G$300,"население")</f>
        <v>0</v>
      </c>
      <c r="AH104" s="741">
        <f t="shared" ref="AH104:AH111" ca="1" si="6">AG104-AF104</f>
        <v>0</v>
      </c>
      <c r="AI104" s="741">
        <f ca="1">SUMIFS(Баланс!AH$26:AH$300,Баланс!$F$26:$F$300,$F104,Баланс!$G$26:$G$300,"население")</f>
        <v>0</v>
      </c>
      <c r="AJ104" s="741">
        <f ca="1">SUMIFS(Баланс!AI$26:AI$300,Баланс!$F$26:$F$300,$F104,Баланс!$G$26:$G$300,"население")</f>
        <v>0</v>
      </c>
      <c r="AK104" s="741">
        <f ca="1">SUMIFS(Баланс!AS$26:AS$300,Баланс!$F$26:$F$300,$F104,Баланс!$G$26:$G$300,"население")</f>
        <v>0</v>
      </c>
      <c r="AL104" s="742"/>
      <c r="AM104" s="1463"/>
      <c r="AN104" s="1463"/>
      <c r="AO104" s="1463"/>
      <c r="AR104" s="972" t="s">
        <v>1859</v>
      </c>
      <c r="AS104" s="972"/>
      <c r="AT104" s="972"/>
      <c r="AU104" s="620"/>
      <c r="AV104" s="620"/>
    </row>
    <row r="105" spans="1:48" ht="14.65" hidden="1" customHeight="1" x14ac:dyDescent="0.25">
      <c r="E105" s="618">
        <v>15</v>
      </c>
      <c r="F105" s="3" cm="1">
        <f t="array" aca="1" ref="F105" ca="1">OFFSET(E105,-1,1)</f>
        <v>0</v>
      </c>
      <c r="G105" s="502" t="s">
        <v>1644</v>
      </c>
      <c r="I105" s="511" t="s">
        <v>1860</v>
      </c>
      <c r="J105" s="511"/>
      <c r="K105" s="511"/>
      <c r="L105" s="511"/>
      <c r="M105" s="511"/>
      <c r="N105" s="511"/>
      <c r="O105" s="511"/>
      <c r="P105" s="511"/>
      <c r="Q105" s="511"/>
      <c r="R105" s="511"/>
      <c r="S105" s="511"/>
      <c r="T105" s="388" t="b" cm="1">
        <f t="array" aca="1" ref="T105" ca="1">T104</f>
        <v>0</v>
      </c>
      <c r="X105" s="2120"/>
      <c r="Z105" s="2121"/>
      <c r="AB105" s="727" t="s">
        <v>1861</v>
      </c>
      <c r="AC105" s="1019" t="s">
        <v>1862</v>
      </c>
      <c r="AD105" s="733" t="s">
        <v>563</v>
      </c>
      <c r="AE105" s="743">
        <f ca="1">AE104/2</f>
        <v>0</v>
      </c>
      <c r="AF105" s="743">
        <f ca="1">AF104/2</f>
        <v>0</v>
      </c>
      <c r="AG105" s="743">
        <f ca="1">AG104/2</f>
        <v>0</v>
      </c>
      <c r="AH105" s="744">
        <f t="shared" ca="1" si="6"/>
        <v>0</v>
      </c>
      <c r="AI105" s="743">
        <f ca="1">AI104/2</f>
        <v>0</v>
      </c>
      <c r="AJ105" s="1470">
        <f ca="1">IF(god=2026,AJ104/12*9,AJ104/2)</f>
        <v>0</v>
      </c>
      <c r="AK105" s="1470">
        <f ca="1">IF(god=2026,AK104/12*9,AK104/2)</f>
        <v>0</v>
      </c>
      <c r="AL105" s="736"/>
      <c r="AM105" s="1461"/>
      <c r="AN105" s="1461"/>
      <c r="AO105" s="1461"/>
      <c r="AR105" s="971" t="s">
        <v>1863</v>
      </c>
    </row>
    <row r="106" spans="1:48" ht="14.65" hidden="1" customHeight="1" x14ac:dyDescent="0.25">
      <c r="E106" s="618">
        <v>15</v>
      </c>
      <c r="F106" s="3" cm="1">
        <f t="array" aca="1" ref="F106" ca="1">OFFSET(E106,-1,1)</f>
        <v>0</v>
      </c>
      <c r="G106" s="502" t="s">
        <v>1600</v>
      </c>
      <c r="I106" s="511" t="s">
        <v>1864</v>
      </c>
      <c r="J106" s="511"/>
      <c r="K106" s="511"/>
      <c r="L106" s="511"/>
      <c r="M106" s="511"/>
      <c r="N106" s="511"/>
      <c r="O106" s="511"/>
      <c r="P106" s="511"/>
      <c r="Q106" s="511"/>
      <c r="R106" s="511"/>
      <c r="S106" s="511"/>
      <c r="T106" s="388" t="b" cm="1">
        <f t="array" aca="1" ref="T106" ca="1">T105</f>
        <v>0</v>
      </c>
      <c r="X106" s="2120"/>
      <c r="Z106" s="2121"/>
      <c r="AB106" s="727" t="s">
        <v>1865</v>
      </c>
      <c r="AC106" s="1019" t="s">
        <v>1866</v>
      </c>
      <c r="AD106" s="733" t="s">
        <v>1588</v>
      </c>
      <c r="AE106" s="1265">
        <f ca="1">IF(AE104=0,0,AE98*(1+Сценарии!AE$26))</f>
        <v>0</v>
      </c>
      <c r="AF106" s="1265">
        <f ca="1">IF(AF104=0,0,AF98*(1+Сценарии!AF$26))</f>
        <v>0</v>
      </c>
      <c r="AG106" s="1265">
        <f ca="1">IF(AG104=0,0,AG98*(1+Сценарии!AG$26))</f>
        <v>0</v>
      </c>
      <c r="AH106" s="722">
        <f t="shared" ca="1" si="6"/>
        <v>0</v>
      </c>
      <c r="AI106" s="1265">
        <f ca="1">IF(AI104=0,0,AI98*(1+Сценарии!AI$26))</f>
        <v>0</v>
      </c>
      <c r="AJ106" s="1472">
        <f ca="1">IF(AJ104=0,0,AJ98*(1+Сценарии!AJ$26))</f>
        <v>0</v>
      </c>
      <c r="AK106" s="1472">
        <f ca="1">IF(AK104=0,0,AK98*(1+Сценарии!AK$26))</f>
        <v>0</v>
      </c>
      <c r="AL106" s="736"/>
      <c r="AM106" s="1461"/>
      <c r="AN106" s="1461"/>
      <c r="AO106" s="1461"/>
      <c r="AR106" s="971" t="s">
        <v>1867</v>
      </c>
    </row>
    <row r="107" spans="1:48" ht="14.65" hidden="1" customHeight="1" x14ac:dyDescent="0.25">
      <c r="E107" s="618">
        <v>15</v>
      </c>
      <c r="F107" s="3" cm="1">
        <f t="array" aca="1" ref="F107" ca="1">OFFSET(E107,-1,1)</f>
        <v>0</v>
      </c>
      <c r="G107" s="502" t="s">
        <v>1651</v>
      </c>
      <c r="I107" s="511" t="s">
        <v>1868</v>
      </c>
      <c r="J107" s="511"/>
      <c r="K107" s="511"/>
      <c r="L107" s="511"/>
      <c r="M107" s="511"/>
      <c r="N107" s="511"/>
      <c r="O107" s="511"/>
      <c r="P107" s="511"/>
      <c r="Q107" s="511"/>
      <c r="R107" s="511"/>
      <c r="S107" s="511"/>
      <c r="T107" s="388" t="b" cm="1">
        <f t="array" aca="1" ref="T107" ca="1">T106</f>
        <v>0</v>
      </c>
      <c r="X107" s="2120"/>
      <c r="Z107" s="2121"/>
      <c r="AB107" s="727" t="s">
        <v>1869</v>
      </c>
      <c r="AC107" s="1019" t="s">
        <v>1838</v>
      </c>
      <c r="AD107" s="733" t="s">
        <v>563</v>
      </c>
      <c r="AE107" s="744">
        <f ca="1">AE104-AE105</f>
        <v>0</v>
      </c>
      <c r="AF107" s="744">
        <f ca="1">AF104-AF105</f>
        <v>0</v>
      </c>
      <c r="AG107" s="744">
        <f ca="1">AG104-AG105</f>
        <v>0</v>
      </c>
      <c r="AH107" s="744">
        <f t="shared" ca="1" si="6"/>
        <v>0</v>
      </c>
      <c r="AI107" s="744">
        <f ca="1">AI104-AI105</f>
        <v>0</v>
      </c>
      <c r="AJ107" s="744">
        <f ca="1">AJ104-AJ105</f>
        <v>0</v>
      </c>
      <c r="AK107" s="744">
        <f ca="1">AK104-AK105</f>
        <v>0</v>
      </c>
      <c r="AL107" s="736"/>
      <c r="AM107" s="1461"/>
      <c r="AN107" s="1461"/>
      <c r="AO107" s="1461"/>
      <c r="AR107" s="971" t="s">
        <v>1870</v>
      </c>
    </row>
    <row r="108" spans="1:48" ht="14.65" hidden="1" customHeight="1" x14ac:dyDescent="0.25">
      <c r="E108" s="618">
        <v>15</v>
      </c>
      <c r="F108" s="3" cm="1">
        <f t="array" aca="1" ref="F108" ca="1">OFFSET(E108,-1,1)</f>
        <v>0</v>
      </c>
      <c r="G108" s="502" t="s">
        <v>1604</v>
      </c>
      <c r="I108" s="511" t="s">
        <v>1871</v>
      </c>
      <c r="J108" s="511"/>
      <c r="K108" s="511"/>
      <c r="L108" s="511"/>
      <c r="M108" s="511"/>
      <c r="N108" s="511"/>
      <c r="O108" s="511"/>
      <c r="P108" s="511"/>
      <c r="Q108" s="511"/>
      <c r="R108" s="511"/>
      <c r="S108" s="511"/>
      <c r="T108" s="388" t="b" cm="1">
        <f t="array" aca="1" ref="T108" ca="1">T107</f>
        <v>0</v>
      </c>
      <c r="X108" s="2120"/>
      <c r="Z108" s="2121"/>
      <c r="AB108" s="727" t="s">
        <v>1872</v>
      </c>
      <c r="AC108" s="1019" t="s">
        <v>1873</v>
      </c>
      <c r="AD108" s="733" t="s">
        <v>1588</v>
      </c>
      <c r="AE108" s="729">
        <f ca="1">IF(AE104=0,0,AE100*(1+Сценарии!AE$26))</f>
        <v>0</v>
      </c>
      <c r="AF108" s="729">
        <f ca="1">IF(AF104=0,0,AF100*(1+Сценарии!AF$26))</f>
        <v>0</v>
      </c>
      <c r="AG108" s="729">
        <f ca="1">IF(AG104=0,0,AG100*(1+Сценарии!AG$26))</f>
        <v>0</v>
      </c>
      <c r="AH108" s="722">
        <f t="shared" ca="1" si="6"/>
        <v>0</v>
      </c>
      <c r="AI108" s="729">
        <f ca="1">IF(AI104=0,0,AI100*(1+Сценарии!AI$26))</f>
        <v>0</v>
      </c>
      <c r="AJ108" s="1464">
        <f ca="1">IF(AJ104=0,0,AJ100*(1+Сценарии!AJ$26))</f>
        <v>0</v>
      </c>
      <c r="AK108" s="1464">
        <f ca="1">IF(AK104=0,0,AK100*(1+Сценарии!AK$26))</f>
        <v>0</v>
      </c>
      <c r="AL108" s="736"/>
      <c r="AM108" s="1461"/>
      <c r="AN108" s="1461"/>
      <c r="AO108" s="1461"/>
      <c r="AR108" s="971" t="s">
        <v>1874</v>
      </c>
    </row>
    <row r="109" spans="1:48" ht="14.65" hidden="1" customHeight="1" x14ac:dyDescent="0.25">
      <c r="E109" s="618">
        <v>15</v>
      </c>
      <c r="F109" s="3" cm="1">
        <f t="array" aca="1" ref="F109" ca="1">OFFSET(E109,-1,1)</f>
        <v>0</v>
      </c>
      <c r="G109" s="502"/>
      <c r="I109" s="511"/>
      <c r="J109" s="511"/>
      <c r="K109" s="511"/>
      <c r="L109" s="511"/>
      <c r="M109" s="511"/>
      <c r="N109" s="511"/>
      <c r="O109" s="511"/>
      <c r="P109" s="511"/>
      <c r="Q109" s="511"/>
      <c r="R109" s="511"/>
      <c r="S109" s="511"/>
      <c r="T109" s="388" t="b" cm="1">
        <f t="array" aca="1" ref="T109" ca="1">T108</f>
        <v>0</v>
      </c>
      <c r="X109" s="2120"/>
      <c r="Z109" s="2121"/>
      <c r="AB109" s="137" t="s">
        <v>1875</v>
      </c>
      <c r="AC109" s="131" t="s">
        <v>1876</v>
      </c>
      <c r="AD109" s="130" t="s">
        <v>831</v>
      </c>
      <c r="AE109" s="729"/>
      <c r="AF109" s="729"/>
      <c r="AG109" s="729"/>
      <c r="AH109" s="722">
        <f t="shared" si="6"/>
        <v>0</v>
      </c>
      <c r="AI109" s="729"/>
      <c r="AJ109" s="1464"/>
      <c r="AK109" s="1464"/>
      <c r="AL109" s="736"/>
      <c r="AM109" s="1461"/>
      <c r="AN109" s="1461"/>
      <c r="AO109" s="1461"/>
      <c r="AR109" s="971" t="s">
        <v>1877</v>
      </c>
    </row>
    <row r="110" spans="1:48" ht="21.95" hidden="1" customHeight="1" x14ac:dyDescent="0.25">
      <c r="E110" s="618">
        <v>22.5</v>
      </c>
      <c r="F110" s="3" cm="1">
        <f t="array" aca="1" ref="F110" ca="1">OFFSET(E110,-1,1)</f>
        <v>0</v>
      </c>
      <c r="G110" s="502"/>
      <c r="I110" s="511"/>
      <c r="J110" s="511"/>
      <c r="K110" s="511"/>
      <c r="L110" s="511"/>
      <c r="M110" s="511"/>
      <c r="N110" s="511"/>
      <c r="O110" s="511"/>
      <c r="P110" s="511"/>
      <c r="Q110" s="511"/>
      <c r="R110" s="511"/>
      <c r="S110" s="511"/>
      <c r="T110" s="388" t="b" cm="1">
        <f t="array" aca="1" ref="T110" ca="1">T109</f>
        <v>0</v>
      </c>
      <c r="X110" s="2120"/>
      <c r="Z110" s="2121"/>
      <c r="AB110" s="217" t="s">
        <v>1878</v>
      </c>
      <c r="AC110" s="682" t="s">
        <v>1879</v>
      </c>
      <c r="AD110" s="218" t="s">
        <v>831</v>
      </c>
      <c r="AE110" s="729"/>
      <c r="AF110" s="729"/>
      <c r="AG110" s="729"/>
      <c r="AH110" s="722">
        <f t="shared" si="6"/>
        <v>0</v>
      </c>
      <c r="AI110" s="729"/>
      <c r="AJ110" s="1464"/>
      <c r="AK110" s="1464"/>
      <c r="AL110" s="736"/>
      <c r="AM110" s="1461"/>
      <c r="AN110" s="1461"/>
      <c r="AO110" s="1461"/>
      <c r="AR110" s="971" t="s">
        <v>1880</v>
      </c>
    </row>
    <row r="111" spans="1:48" ht="70.150000000000006" hidden="1" customHeight="1" x14ac:dyDescent="0.25">
      <c r="E111" s="618">
        <v>72</v>
      </c>
      <c r="F111" s="3" cm="1">
        <f t="array" aca="1" ref="F111" ca="1">OFFSET(E111,-1,1)</f>
        <v>0</v>
      </c>
      <c r="G111" s="502"/>
      <c r="I111" s="511"/>
      <c r="J111" s="511"/>
      <c r="K111" s="511"/>
      <c r="L111" s="511"/>
      <c r="M111" s="511"/>
      <c r="N111" s="511"/>
      <c r="O111" s="511"/>
      <c r="P111" s="511"/>
      <c r="Q111" s="511"/>
      <c r="R111" s="511"/>
      <c r="S111" s="511"/>
      <c r="T111" s="388" t="b" cm="1">
        <f t="array" aca="1" ref="T111" ca="1">T110</f>
        <v>0</v>
      </c>
      <c r="X111" s="2120"/>
      <c r="Z111" s="2121"/>
      <c r="AB111" s="217" t="s">
        <v>1881</v>
      </c>
      <c r="AC111" s="682" t="s">
        <v>1882</v>
      </c>
      <c r="AD111" s="218" t="s">
        <v>831</v>
      </c>
      <c r="AE111" s="729"/>
      <c r="AF111" s="729"/>
      <c r="AG111" s="729"/>
      <c r="AH111" s="722">
        <f t="shared" si="6"/>
        <v>0</v>
      </c>
      <c r="AI111" s="729"/>
      <c r="AJ111" s="1464"/>
      <c r="AK111" s="1464"/>
      <c r="AL111" s="736"/>
      <c r="AM111" s="1461"/>
      <c r="AN111" s="1461"/>
      <c r="AO111" s="1461"/>
      <c r="AR111" s="971" t="s">
        <v>1883</v>
      </c>
    </row>
    <row r="112" spans="1:48" s="1334" customFormat="1" ht="14.25" customHeight="1" x14ac:dyDescent="0.25">
      <c r="A112" s="1210"/>
      <c r="B112" s="1210"/>
      <c r="C112" s="1210"/>
      <c r="D112" s="1210"/>
      <c r="E112" s="618">
        <v>15</v>
      </c>
      <c r="F112" s="503" t="str" cm="1">
        <f t="array" ref="F112">X112</f>
        <v>1</v>
      </c>
      <c r="G112" s="619" t="str" cm="1">
        <f t="array" ref="G112">INDEX('Общие сведения'!$AK$185:$AK$228,MATCH($X112,'Общие сведения'!$Z$185:$Z$228,0))</f>
        <v>одноставочный</v>
      </c>
      <c r="H112" s="1210"/>
      <c r="I112" s="1210"/>
      <c r="J112" s="1210"/>
      <c r="K112" s="1210"/>
      <c r="L112" s="1210"/>
      <c r="M112" s="1210"/>
      <c r="N112" s="1210"/>
      <c r="O112" s="1210"/>
      <c r="P112" s="1210"/>
      <c r="Q112" s="1210"/>
      <c r="R112" s="1210"/>
      <c r="S112" s="1210"/>
      <c r="T112" s="388" t="b">
        <f>X112&gt;0</f>
        <v>1</v>
      </c>
      <c r="U112" s="1210"/>
      <c r="V112" s="617" t="str" cm="1">
        <f t="array" ref="V112">ТМ!$AD$85</f>
        <v>Тариф 1 (Водоснабжение) - тариф на питьевую воду</v>
      </c>
      <c r="W112" s="1210"/>
      <c r="X112" s="2120" t="s">
        <v>282</v>
      </c>
      <c r="Y112" s="1210"/>
      <c r="Z112" s="2121"/>
      <c r="AA112" s="1210"/>
      <c r="AB112" s="1134" t="str" cm="1">
        <f t="array" ref="AB112">ТМ!$AD$85</f>
        <v>Тариф 1 (Водоснабжение) - тариф на питьевую воду</v>
      </c>
      <c r="AC112" s="510"/>
      <c r="AD112" s="510"/>
      <c r="AE112" s="510"/>
      <c r="AF112" s="510"/>
      <c r="AG112" s="510"/>
      <c r="AH112" s="510"/>
      <c r="AI112" s="510"/>
      <c r="AJ112" s="510"/>
      <c r="AK112" s="510"/>
      <c r="AL112" s="510"/>
      <c r="AM112" s="510"/>
      <c r="AN112" s="510"/>
      <c r="AO112" s="510"/>
      <c r="AP112" s="1210"/>
      <c r="AQ112" s="1210"/>
      <c r="AR112" s="971"/>
      <c r="AS112" s="971"/>
      <c r="AT112" s="971"/>
      <c r="AU112" s="968"/>
      <c r="AV112" s="968"/>
    </row>
    <row r="113" spans="1:48" s="1334" customFormat="1" ht="14.25" customHeight="1" x14ac:dyDescent="0.25">
      <c r="A113" s="1210"/>
      <c r="B113" s="1210"/>
      <c r="C113" s="1210"/>
      <c r="D113" s="1210"/>
      <c r="E113" s="618">
        <v>15</v>
      </c>
      <c r="F113" s="3" t="str" cm="1">
        <f t="array" aca="1" ref="F113" ca="1">OFFSET(E113,-1,1)</f>
        <v>1</v>
      </c>
      <c r="G113" s="1210"/>
      <c r="H113" s="1210"/>
      <c r="I113" s="511" t="s">
        <v>331</v>
      </c>
      <c r="J113" s="511"/>
      <c r="K113" s="511"/>
      <c r="L113" s="511"/>
      <c r="M113" s="511"/>
      <c r="N113" s="511"/>
      <c r="O113" s="511"/>
      <c r="P113" s="511"/>
      <c r="Q113" s="511"/>
      <c r="R113" s="511"/>
      <c r="S113" s="511"/>
      <c r="T113" s="388" t="b" cm="1">
        <f t="array" ref="T113">T112</f>
        <v>1</v>
      </c>
      <c r="U113" s="1210"/>
      <c r="V113" s="1210"/>
      <c r="W113" s="1210"/>
      <c r="X113" s="2120"/>
      <c r="Y113" s="1210"/>
      <c r="Z113" s="2121"/>
      <c r="AA113" s="1210"/>
      <c r="AB113" s="719" t="s">
        <v>282</v>
      </c>
      <c r="AC113" s="720" t="s">
        <v>1680</v>
      </c>
      <c r="AD113" s="679" t="s">
        <v>831</v>
      </c>
      <c r="AE113" s="721">
        <f ca="1">AE114+AE118+AE128+AE129+AE132+AE133+AE134</f>
        <v>129409.78953194909</v>
      </c>
      <c r="AF113" s="721">
        <f ca="1">AF114+AF118+AF128+AF129+AF132+AF133+AF134</f>
        <v>104071.39</v>
      </c>
      <c r="AG113" s="721">
        <f ca="1">AG114+AG118+AG128+AG129+AG132+AG133+AG134</f>
        <v>102738.45000000001</v>
      </c>
      <c r="AH113" s="721">
        <f t="shared" ref="AH113:AH139" ca="1" si="7">AG113-AF113</f>
        <v>-1332.9399999999878</v>
      </c>
      <c r="AI113" s="721">
        <f ca="1">AI114+AI118+AI128+AI129+AI132+AI133+AI134</f>
        <v>102929.92972036591</v>
      </c>
      <c r="AJ113" s="721">
        <f ca="1">AJ114+AJ118+AJ128+AJ129+AJ132+AJ133+AJ134</f>
        <v>122261.54000000001</v>
      </c>
      <c r="AK113" s="721">
        <f ca="1">AK114+AK118+AK128+AK129+AK132+AK133+AK134</f>
        <v>114489.38</v>
      </c>
      <c r="AL113" s="722">
        <f t="shared" ref="AL113:AL139" ca="1" si="8">IF(AI113=0,0,(AK113-AI113)/AI113*100)</f>
        <v>11.23040724018577</v>
      </c>
      <c r="AM113" s="723"/>
      <c r="AN113" s="823"/>
      <c r="AO113" s="723"/>
      <c r="AP113" s="1210"/>
      <c r="AQ113" s="1210"/>
      <c r="AR113" s="971" t="s">
        <v>549</v>
      </c>
      <c r="AS113" s="971"/>
      <c r="AT113" s="971"/>
      <c r="AU113" s="968"/>
      <c r="AV113" s="968"/>
    </row>
    <row r="114" spans="1:48" s="1473" customFormat="1" ht="21.75" customHeight="1" x14ac:dyDescent="0.25">
      <c r="A114" s="512"/>
      <c r="B114" s="512"/>
      <c r="C114" s="512"/>
      <c r="D114" s="512"/>
      <c r="E114" s="620">
        <v>22.5</v>
      </c>
      <c r="F114" s="3" t="str" cm="1">
        <f t="array" aca="1" ref="F114" ca="1">OFFSET(E114,-1,1)</f>
        <v>1</v>
      </c>
      <c r="G114" s="512"/>
      <c r="H114" s="512"/>
      <c r="I114" s="621" t="s">
        <v>494</v>
      </c>
      <c r="J114" s="621"/>
      <c r="K114" s="621"/>
      <c r="L114" s="621"/>
      <c r="M114" s="621"/>
      <c r="N114" s="621"/>
      <c r="O114" s="621"/>
      <c r="P114" s="621"/>
      <c r="Q114" s="621"/>
      <c r="R114" s="621"/>
      <c r="S114" s="621"/>
      <c r="T114" s="388" t="b" cm="1">
        <f t="array" ref="T114">T113</f>
        <v>1</v>
      </c>
      <c r="U114" s="512"/>
      <c r="V114" s="512"/>
      <c r="W114" s="512"/>
      <c r="X114" s="2120"/>
      <c r="Y114" s="512"/>
      <c r="Z114" s="2121"/>
      <c r="AA114" s="512"/>
      <c r="AB114" s="724" t="s">
        <v>910</v>
      </c>
      <c r="AC114" s="725" t="s">
        <v>1681</v>
      </c>
      <c r="AD114" s="514" t="s">
        <v>831</v>
      </c>
      <c r="AE114" s="721">
        <f ca="1">SUM(AE115:AE117)</f>
        <v>24438.1472204167</v>
      </c>
      <c r="AF114" s="721">
        <f ca="1">SUM(AF115:AF117)</f>
        <v>21908.58</v>
      </c>
      <c r="AG114" s="721">
        <f ca="1">SUM(AG115:AG117)</f>
        <v>21887.43</v>
      </c>
      <c r="AH114" s="721">
        <f t="shared" ca="1" si="7"/>
        <v>-21.150000000001455</v>
      </c>
      <c r="AI114" s="721">
        <f ca="1">SUM(AI115:AI117)</f>
        <v>25464.549403674202</v>
      </c>
      <c r="AJ114" s="721">
        <f ca="1">SUM(AJ115:AJ117)</f>
        <v>31510.65</v>
      </c>
      <c r="AK114" s="721">
        <f ca="1">SUM(AK115:AK117)</f>
        <v>18562.939999999999</v>
      </c>
      <c r="AL114" s="721">
        <f t="shared" ca="1" si="8"/>
        <v>-27.10281377560284</v>
      </c>
      <c r="AM114" s="726"/>
      <c r="AN114" s="726"/>
      <c r="AO114" s="726"/>
      <c r="AP114" s="512"/>
      <c r="AQ114" s="512"/>
      <c r="AR114" s="972" t="s">
        <v>1682</v>
      </c>
      <c r="AS114" s="972"/>
      <c r="AT114" s="972"/>
      <c r="AU114" s="620"/>
      <c r="AV114" s="620"/>
    </row>
    <row r="115" spans="1:48" s="1334" customFormat="1" ht="14.25" customHeight="1" x14ac:dyDescent="0.25">
      <c r="A115" s="1210"/>
      <c r="B115" s="1210"/>
      <c r="C115" s="1210"/>
      <c r="D115" s="1210"/>
      <c r="E115" s="618">
        <v>15</v>
      </c>
      <c r="F115" s="3" t="str" cm="1">
        <f t="array" aca="1" ref="F115" ca="1">OFFSET(E115,-1,1)</f>
        <v>1</v>
      </c>
      <c r="G115" s="1210"/>
      <c r="H115" s="1210"/>
      <c r="I115" s="511" t="s">
        <v>1016</v>
      </c>
      <c r="J115" s="511"/>
      <c r="K115" s="511"/>
      <c r="L115" s="511"/>
      <c r="M115" s="511"/>
      <c r="N115" s="511"/>
      <c r="O115" s="511"/>
      <c r="P115" s="511"/>
      <c r="Q115" s="511"/>
      <c r="R115" s="511"/>
      <c r="S115" s="511"/>
      <c r="T115" s="388" t="b" cm="1">
        <f t="array" ref="T115">T114</f>
        <v>1</v>
      </c>
      <c r="U115" s="1210"/>
      <c r="V115" s="1210"/>
      <c r="W115" s="1210"/>
      <c r="X115" s="2120"/>
      <c r="Y115" s="1210"/>
      <c r="Z115" s="2121"/>
      <c r="AA115" s="1210"/>
      <c r="AB115" s="727" t="s">
        <v>1017</v>
      </c>
      <c r="AC115" s="728" t="s">
        <v>1683</v>
      </c>
      <c r="AD115" s="679" t="s">
        <v>831</v>
      </c>
      <c r="AE115" s="722">
        <f ca="1">SUMIFS('Сырье и материалы'!AE$25:AE$46,'Сырье и материалы'!$F$25:$F$46,$F115,'Сырье и материалы'!$AC$25:$AC$46,"Всего по тарифу")</f>
        <v>24438.1472204167</v>
      </c>
      <c r="AF115" s="722">
        <f ca="1">SUMIFS('Сырье и материалы'!AF$25:AF$46,'Сырье и материалы'!$F$25:$F$46,$F115,'Сырье и материалы'!$AC$25:$AC$46,"Всего по тарифу")</f>
        <v>21908.58</v>
      </c>
      <c r="AG115" s="722">
        <f ca="1">SUMIFS('Сырье и материалы'!AG$25:AG$46,'Сырье и материалы'!$F$25:$F$46,$F115,'Сырье и материалы'!$AC$25:$AC$46,"Всего по тарифу")</f>
        <v>21887.43</v>
      </c>
      <c r="AH115" s="722">
        <f t="shared" ca="1" si="7"/>
        <v>-21.150000000001455</v>
      </c>
      <c r="AI115" s="722">
        <f ca="1">SUMIFS('Сырье и материалы'!AH$25:AH$46,'Сырье и материалы'!$F$25:$F$46,$F115,'Сырье и материалы'!$AC$25:$AC$46,"Всего по тарифу")</f>
        <v>25464.549403674202</v>
      </c>
      <c r="AJ115" s="722">
        <f ca="1">SUMIFS('Сырье и материалы'!AI$25:AI$46,'Сырье и материалы'!$F$25:$F$46,$F115,'Сырье и материалы'!$AC$25:$AC$46,"Всего по тарифу")</f>
        <v>31510.65</v>
      </c>
      <c r="AK115" s="722">
        <f ca="1">SUMIFS('Сырье и материалы'!AS$25:AS$46,'Сырье и материалы'!$F$25:$F$46,$F115,'Сырье и материалы'!$AC$25:$AC$46,"Всего по тарифу")</f>
        <v>18562.939999999999</v>
      </c>
      <c r="AL115" s="722">
        <f t="shared" ca="1" si="8"/>
        <v>-27.10281377560284</v>
      </c>
      <c r="AM115" s="723"/>
      <c r="AN115" s="823" t="str">
        <f ca="1">IF(IFERROR(INDEX('Сырье и материалы'!$K$26:$L$46,MATCH($F115&amp;"komm",'Сырье и материалы'!$K$26:$K$46,0),2),"")=0,"",IFERROR(INDEX('Сырье и материалы'!$K$26:$L$46,MATCH($F115&amp;"komm",'Сырье и материалы'!$K$26:$K$46,0),2),""))</f>
        <v>Согласно п. 49.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Неподконтрольные расходы включают в себя: 10) расходы на реагенты. (пп. 10 введен Приказом ФАС России от 08.10.2020 N 976/20)</v>
      </c>
      <c r="AO115" s="723"/>
      <c r="AP115" s="1210"/>
      <c r="AQ115" s="1210"/>
      <c r="AR115" s="971" t="s">
        <v>1684</v>
      </c>
      <c r="AS115" s="971"/>
      <c r="AT115" s="971"/>
      <c r="AU115" s="968"/>
      <c r="AV115" s="968"/>
    </row>
    <row r="116" spans="1:48" s="1334" customFormat="1" ht="14.25" customHeight="1" x14ac:dyDescent="0.25">
      <c r="A116" s="1210"/>
      <c r="B116" s="1210"/>
      <c r="C116" s="1210"/>
      <c r="D116" s="1210"/>
      <c r="E116" s="618">
        <v>15</v>
      </c>
      <c r="F116" s="3" t="str" cm="1">
        <f t="array" aca="1" ref="F116" ca="1">OFFSET(E116,-1,1)</f>
        <v>1</v>
      </c>
      <c r="G116" s="1210"/>
      <c r="H116" s="1210"/>
      <c r="I116" s="511" t="s">
        <v>1020</v>
      </c>
      <c r="J116" s="511"/>
      <c r="K116" s="511"/>
      <c r="L116" s="511"/>
      <c r="M116" s="511"/>
      <c r="N116" s="511"/>
      <c r="O116" s="511"/>
      <c r="P116" s="511"/>
      <c r="Q116" s="511"/>
      <c r="R116" s="511"/>
      <c r="S116" s="511"/>
      <c r="T116" s="388" t="b" cm="1">
        <f t="array" ref="T116">T115</f>
        <v>1</v>
      </c>
      <c r="U116" s="1210"/>
      <c r="V116" s="1210"/>
      <c r="W116" s="1210"/>
      <c r="X116" s="2120"/>
      <c r="Y116" s="1210"/>
      <c r="Z116" s="2121"/>
      <c r="AA116" s="1210"/>
      <c r="AB116" s="727" t="s">
        <v>1021</v>
      </c>
      <c r="AC116" s="728" t="s">
        <v>1685</v>
      </c>
      <c r="AD116" s="679" t="s">
        <v>831</v>
      </c>
      <c r="AE116" s="729"/>
      <c r="AF116" s="729"/>
      <c r="AG116" s="729"/>
      <c r="AH116" s="722">
        <f t="shared" si="7"/>
        <v>0</v>
      </c>
      <c r="AI116" s="729"/>
      <c r="AJ116" s="729"/>
      <c r="AK116" s="729"/>
      <c r="AL116" s="722">
        <f t="shared" si="8"/>
        <v>0</v>
      </c>
      <c r="AM116" s="723"/>
      <c r="AN116" s="723"/>
      <c r="AO116" s="723"/>
      <c r="AP116" s="1210"/>
      <c r="AQ116" s="1210"/>
      <c r="AR116" s="971" t="s">
        <v>1686</v>
      </c>
      <c r="AS116" s="971"/>
      <c r="AT116" s="971"/>
      <c r="AU116" s="968"/>
      <c r="AV116" s="968"/>
    </row>
    <row r="117" spans="1:48" s="1334" customFormat="1" ht="14.25" customHeight="1" x14ac:dyDescent="0.25">
      <c r="A117" s="1210"/>
      <c r="B117" s="1210"/>
      <c r="C117" s="1210"/>
      <c r="D117" s="1210"/>
      <c r="E117" s="618">
        <v>15</v>
      </c>
      <c r="F117" s="3" t="str" cm="1">
        <f t="array" aca="1" ref="F117" ca="1">OFFSET(E117,-1,1)</f>
        <v>1</v>
      </c>
      <c r="G117" s="1210"/>
      <c r="H117" s="1210"/>
      <c r="I117" s="511" t="s">
        <v>1276</v>
      </c>
      <c r="J117" s="511"/>
      <c r="K117" s="511"/>
      <c r="L117" s="511"/>
      <c r="M117" s="511"/>
      <c r="N117" s="511"/>
      <c r="O117" s="511"/>
      <c r="P117" s="511"/>
      <c r="Q117" s="511"/>
      <c r="R117" s="511"/>
      <c r="S117" s="511"/>
      <c r="T117" s="388" t="b" cm="1">
        <f t="array" ref="T117">T116</f>
        <v>1</v>
      </c>
      <c r="U117" s="1210"/>
      <c r="V117" s="1210"/>
      <c r="W117" s="1210"/>
      <c r="X117" s="2120"/>
      <c r="Y117" s="1210"/>
      <c r="Z117" s="2121"/>
      <c r="AA117" s="1210"/>
      <c r="AB117" s="727" t="s">
        <v>1277</v>
      </c>
      <c r="AC117" s="728" t="s">
        <v>1687</v>
      </c>
      <c r="AD117" s="679" t="s">
        <v>831</v>
      </c>
      <c r="AE117" s="729"/>
      <c r="AF117" s="729"/>
      <c r="AG117" s="729"/>
      <c r="AH117" s="722">
        <f t="shared" si="7"/>
        <v>0</v>
      </c>
      <c r="AI117" s="729"/>
      <c r="AJ117" s="729"/>
      <c r="AK117" s="729"/>
      <c r="AL117" s="722">
        <f t="shared" si="8"/>
        <v>0</v>
      </c>
      <c r="AM117" s="723"/>
      <c r="AN117" s="723"/>
      <c r="AO117" s="723"/>
      <c r="AP117" s="1210"/>
      <c r="AQ117" s="1210"/>
      <c r="AR117" s="971" t="s">
        <v>1688</v>
      </c>
      <c r="AS117" s="971"/>
      <c r="AT117" s="971"/>
      <c r="AU117" s="968"/>
      <c r="AV117" s="968"/>
    </row>
    <row r="118" spans="1:48" s="1474" customFormat="1" ht="21.75" customHeight="1" x14ac:dyDescent="0.25">
      <c r="A118" s="512"/>
      <c r="B118" s="512"/>
      <c r="C118" s="512"/>
      <c r="D118" s="512"/>
      <c r="E118" s="620">
        <v>22.5</v>
      </c>
      <c r="F118" s="3" t="str" cm="1">
        <f t="array" aca="1" ref="F118" ca="1">OFFSET(E118,-1,1)</f>
        <v>1</v>
      </c>
      <c r="G118" s="512"/>
      <c r="H118" s="512"/>
      <c r="I118" s="621" t="s">
        <v>498</v>
      </c>
      <c r="J118" s="621"/>
      <c r="K118" s="621"/>
      <c r="L118" s="621"/>
      <c r="M118" s="621"/>
      <c r="N118" s="621"/>
      <c r="O118" s="621"/>
      <c r="P118" s="621"/>
      <c r="Q118" s="621"/>
      <c r="R118" s="621"/>
      <c r="S118" s="621"/>
      <c r="T118" s="388" t="b" cm="1">
        <f t="array" ref="T118">T117</f>
        <v>1</v>
      </c>
      <c r="U118" s="512"/>
      <c r="V118" s="512"/>
      <c r="W118" s="512"/>
      <c r="X118" s="2120"/>
      <c r="Y118" s="512"/>
      <c r="Z118" s="2121"/>
      <c r="AA118" s="512"/>
      <c r="AB118" s="724" t="s">
        <v>913</v>
      </c>
      <c r="AC118" s="725" t="s">
        <v>1689</v>
      </c>
      <c r="AD118" s="514" t="s">
        <v>831</v>
      </c>
      <c r="AE118" s="721">
        <f ca="1">SUM(AE119:AE127)</f>
        <v>73846.883047370502</v>
      </c>
      <c r="AF118" s="721">
        <f ca="1">SUM(AF119:AF127)</f>
        <v>82162.81</v>
      </c>
      <c r="AG118" s="721">
        <f ca="1">SUM(AG119:AG127)</f>
        <v>80851.02</v>
      </c>
      <c r="AH118" s="721">
        <f t="shared" ca="1" si="7"/>
        <v>-1311.7899999999936</v>
      </c>
      <c r="AI118" s="721">
        <f ca="1">SUM(AI119:AI127)</f>
        <v>77465.380316691706</v>
      </c>
      <c r="AJ118" s="721">
        <f ca="1">SUM(AJ119:AJ127)</f>
        <v>90750.89</v>
      </c>
      <c r="AK118" s="721">
        <f ca="1">SUM(AK119:AK127)</f>
        <v>95926.44</v>
      </c>
      <c r="AL118" s="721">
        <f t="shared" ca="1" si="8"/>
        <v>23.831367777239755</v>
      </c>
      <c r="AM118" s="726"/>
      <c r="AN118" s="726"/>
      <c r="AO118" s="726"/>
      <c r="AP118" s="512"/>
      <c r="AQ118" s="512"/>
      <c r="AR118" s="972" t="s">
        <v>1690</v>
      </c>
      <c r="AS118" s="972"/>
      <c r="AT118" s="972"/>
      <c r="AU118" s="620"/>
      <c r="AV118" s="620"/>
    </row>
    <row r="119" spans="1:48" s="1334" customFormat="1" ht="14.25" customHeight="1" x14ac:dyDescent="0.25">
      <c r="A119" s="1210"/>
      <c r="B119" s="1210"/>
      <c r="C119" s="1210"/>
      <c r="D119" s="1210"/>
      <c r="E119" s="618">
        <v>15</v>
      </c>
      <c r="F119" s="3" t="str" cm="1">
        <f t="array" aca="1" ref="F119" ca="1">OFFSET(E119,-1,1)</f>
        <v>1</v>
      </c>
      <c r="G119" s="1210"/>
      <c r="H119" s="1210"/>
      <c r="I119" s="511" t="s">
        <v>1301</v>
      </c>
      <c r="J119" s="511"/>
      <c r="K119" s="511"/>
      <c r="L119" s="511"/>
      <c r="M119" s="511"/>
      <c r="N119" s="511"/>
      <c r="O119" s="511"/>
      <c r="P119" s="511"/>
      <c r="Q119" s="511"/>
      <c r="R119" s="511"/>
      <c r="S119" s="511"/>
      <c r="T119" s="388" t="b" cm="1">
        <f t="array" ref="T119">T118</f>
        <v>1</v>
      </c>
      <c r="U119" s="1210"/>
      <c r="V119" s="1210"/>
      <c r="W119" s="1210"/>
      <c r="X119" s="2120"/>
      <c r="Y119" s="1210"/>
      <c r="Z119" s="2121"/>
      <c r="AA119" s="1210"/>
      <c r="AB119" s="727" t="s">
        <v>1302</v>
      </c>
      <c r="AC119" s="728" t="s">
        <v>1691</v>
      </c>
      <c r="AD119" s="679" t="s">
        <v>831</v>
      </c>
      <c r="AE119" s="722">
        <f ca="1">SUMIFS(ЭЭ!AE$25:AE$117,ЭЭ!$F$25:$F$117,$F119,ЭЭ!$AC$25:$AC$117,"Всего по тарифу")</f>
        <v>64441.363047370498</v>
      </c>
      <c r="AF119" s="722">
        <f ca="1">SUMIFS(ЭЭ!AF$25:AF$117,ЭЭ!$F$25:$F$117,$F119,ЭЭ!$AC$25:$AC$117,"Всего по тарифу")</f>
        <v>73107.17</v>
      </c>
      <c r="AG119" s="722">
        <f ca="1">SUMIFS(ЭЭ!AG$25:AG$117,ЭЭ!$F$25:$F$117,$F119,ЭЭ!$AC$25:$AC$117,"Всего по тарифу")</f>
        <v>73107.17</v>
      </c>
      <c r="AH119" s="722">
        <f t="shared" ca="1" si="7"/>
        <v>0</v>
      </c>
      <c r="AI119" s="722">
        <f ca="1">SUMIFS(ЭЭ!AH$25:AH$117,ЭЭ!$F$25:$F$117,$F119,ЭЭ!$AC$25:$AC$117,"Всего по тарифу")</f>
        <v>67598.989836691704</v>
      </c>
      <c r="AJ119" s="722">
        <f ca="1">SUMIFS(ЭЭ!AI$25:AI$117,ЭЭ!$F$25:$F$117,$F119,ЭЭ!$AC$25:$AC$117,"Всего по тарифу")</f>
        <v>79757.03</v>
      </c>
      <c r="AK119" s="722">
        <f ca="1">SUMIFS(ЭЭ!AS$25:AS$117,ЭЭ!$F$25:$F$117,$F119,ЭЭ!$AC$25:$AC$117,"Всего по тарифу")</f>
        <v>85914.21</v>
      </c>
      <c r="AL119" s="722">
        <f t="shared" ca="1" si="8"/>
        <v>27.093925822789554</v>
      </c>
      <c r="AM119" s="723"/>
      <c r="AN119" s="823" t="str">
        <f ca="1">IF(IFERROR(INDEX(ЭЭ!$K$26:$L$117,MATCH($F119&amp;"komm",ЭЭ!$K$26:$K$117,0),2),"")=0,"",IFERROR(INDEX(ЭЭ!$K$26:$L$117,MATCH($F119&amp;"komm",ЭЭ!$K$26:$K$117,0),2),""))</f>
        <v>Скорректированная величина расходов на приобретение энергетических ресурсов, холодной воды на год i долгосрочного периода регулирования, определялась  в соответствии с формулой (39.1) Методических указаний № 1746-э.</v>
      </c>
      <c r="AO119" s="723"/>
      <c r="AP119" s="1210"/>
      <c r="AQ119" s="1210"/>
      <c r="AR119" s="971" t="s">
        <v>1692</v>
      </c>
      <c r="AS119" s="971"/>
      <c r="AT119" s="971"/>
      <c r="AU119" s="968"/>
      <c r="AV119" s="968"/>
    </row>
    <row r="120" spans="1:48" s="1334" customFormat="1" ht="14.25" customHeight="1" x14ac:dyDescent="0.25">
      <c r="A120" s="1210"/>
      <c r="B120" s="1210"/>
      <c r="C120" s="1210"/>
      <c r="D120" s="1210"/>
      <c r="E120" s="618">
        <v>15</v>
      </c>
      <c r="F120" s="3" t="str" cm="1">
        <f t="array" aca="1" ref="F120" ca="1">OFFSET(E120,-1,1)</f>
        <v>1</v>
      </c>
      <c r="G120" s="501" t="s">
        <v>1092</v>
      </c>
      <c r="H120" s="1210"/>
      <c r="I120" s="511" t="s">
        <v>1304</v>
      </c>
      <c r="J120" s="511"/>
      <c r="K120" s="511"/>
      <c r="L120" s="511"/>
      <c r="M120" s="511"/>
      <c r="N120" s="511"/>
      <c r="O120" s="511"/>
      <c r="P120" s="511"/>
      <c r="Q120" s="511"/>
      <c r="R120" s="511"/>
      <c r="S120" s="511"/>
      <c r="T120" s="388" t="b" cm="1">
        <f t="array" ref="T120">T119</f>
        <v>1</v>
      </c>
      <c r="U120" s="1210"/>
      <c r="V120" s="1210"/>
      <c r="W120" s="1210"/>
      <c r="X120" s="2120"/>
      <c r="Y120" s="1210"/>
      <c r="Z120" s="2121"/>
      <c r="AA120" s="1210"/>
      <c r="AB120" s="727" t="s">
        <v>1305</v>
      </c>
      <c r="AC120" s="728" t="s">
        <v>1693</v>
      </c>
      <c r="AD120" s="679" t="s">
        <v>831</v>
      </c>
      <c r="AE120" s="722">
        <f ca="1">SUMIFS(Покупка!AE$25:AE$117,Покупка!$F$25:$F$117,$F120,Покупка!$AC$25:$AC$117,$G120)</f>
        <v>9405.52</v>
      </c>
      <c r="AF120" s="722">
        <f ca="1">SUMIFS(Покупка!AF$25:AF$117,Покупка!$F$25:$F$117,$F120,Покупка!$AC$25:$AC$117,$G120)</f>
        <v>9055.64</v>
      </c>
      <c r="AG120" s="722">
        <f ca="1">SUMIFS(Покупка!AG$25:AG$117,Покупка!$F$25:$F$117,$F120,Покупка!$AC$25:$AC$117,$G120)</f>
        <v>7743.85</v>
      </c>
      <c r="AH120" s="722">
        <f t="shared" ca="1" si="7"/>
        <v>-1311.7899999999991</v>
      </c>
      <c r="AI120" s="722">
        <f ca="1">SUMIFS(Покупка!AH$25:AH$117,Покупка!$F$25:$F$117,$F120,Покупка!$AC$25:$AC$117,$G120)</f>
        <v>9866.39048</v>
      </c>
      <c r="AJ120" s="722">
        <f ca="1">SUMIFS(Покупка!AI$25:AI$117,Покупка!$F$25:$F$117,$F120,Покупка!$AC$25:$AC$117,$G120)</f>
        <v>10993.86</v>
      </c>
      <c r="AK120" s="722">
        <f ca="1">SUMIFS(Покупка!AS$25:AS$117,Покупка!$F$25:$F$117,$F120,Покупка!$AC$25:$AC$117,$G120)</f>
        <v>10012.23</v>
      </c>
      <c r="AL120" s="722">
        <f t="shared" ca="1" si="8"/>
        <v>1.4781446193076229</v>
      </c>
      <c r="AM120" s="723"/>
      <c r="AN120" s="823" t="str">
        <f ca="1">IF(IFERROR(INDEX(Покупка!$K$26:$L$117,MATCH($F120&amp;"6komm",Покупка!$K$26:$K$117,0),2),"")=0,"",IFERROR(INDEX(Покупка!$K$26:$L$117,MATCH($F120&amp;"6komm",Покупка!$K$26:$K$117,0),2),""))</f>
        <v>учтено на 2026 год по расчету регулятора  по факту 2024 года в доле на водоснабжение 0,94, объемы учтены на основании представленных счет фактур: тепло 2436,85 Гкал, горячая вода - 295,85 м3, тарифы на 2024 год учтены в соответствии с постановлениями РЭК Кузбасса для ООО "ТеплоРесурс" от 19.12.2024 № 721, от 24.07.2025 №216 без НДС: на 9 мес. на уровне установленного постановлением тарифа на 2 пол 2025 года, на 3 мес. 2026 года учтено на уровне 9 мес. 2026 с ИПЦ МИнэкономразвития России на 2026 год 105,1%: тепло 1 пол 2026 - 4292,87 руб/Гкал, 2 пол - 4511,806 руб/Гкал, на горячую воду с неизолированными стояками без полотенцесушителей на 1 полугодие - 318,33 руб./м3., 2 полугодие 334,57 руб./м3, на 1 полугодие для горячей воды   с неизолированными стояками+полотенцесущитель, тариф применен в размере 338,77 руб./м3</v>
      </c>
      <c r="AO120" s="723"/>
      <c r="AP120" s="1210"/>
      <c r="AQ120" s="1210"/>
      <c r="AR120" s="971" t="s">
        <v>1093</v>
      </c>
      <c r="AS120" s="971"/>
      <c r="AT120" s="971"/>
      <c r="AU120" s="968"/>
      <c r="AV120" s="968"/>
    </row>
    <row r="121" spans="1:48" s="1334" customFormat="1" ht="14.25" customHeight="1" x14ac:dyDescent="0.25">
      <c r="A121" s="1210"/>
      <c r="B121" s="1210"/>
      <c r="C121" s="1210"/>
      <c r="D121" s="1210"/>
      <c r="E121" s="618">
        <v>15</v>
      </c>
      <c r="F121" s="3" t="str" cm="1">
        <f t="array" aca="1" ref="F121" ca="1">OFFSET(E121,-1,1)</f>
        <v>1</v>
      </c>
      <c r="G121" s="501" t="s">
        <v>1094</v>
      </c>
      <c r="H121" s="1210"/>
      <c r="I121" s="511" t="s">
        <v>1308</v>
      </c>
      <c r="J121" s="511"/>
      <c r="K121" s="511"/>
      <c r="L121" s="511"/>
      <c r="M121" s="511"/>
      <c r="N121" s="511"/>
      <c r="O121" s="511"/>
      <c r="P121" s="511"/>
      <c r="Q121" s="511"/>
      <c r="R121" s="511"/>
      <c r="S121" s="511"/>
      <c r="T121" s="388" t="b" cm="1">
        <f t="array" ref="T121">T120</f>
        <v>1</v>
      </c>
      <c r="U121" s="1210"/>
      <c r="V121" s="1210"/>
      <c r="W121" s="1210"/>
      <c r="X121" s="2120"/>
      <c r="Y121" s="1210"/>
      <c r="Z121" s="2121"/>
      <c r="AA121" s="1210"/>
      <c r="AB121" s="727" t="s">
        <v>1309</v>
      </c>
      <c r="AC121" s="728" t="s">
        <v>1694</v>
      </c>
      <c r="AD121" s="679" t="s">
        <v>831</v>
      </c>
      <c r="AE121" s="722">
        <f ca="1">SUMIFS(Покупка!AE$25:AE$117,Покупка!$F$25:$F$117,$F121,Покупка!$AC$25:$AC$117,$G121)</f>
        <v>0</v>
      </c>
      <c r="AF121" s="722">
        <f ca="1">SUMIFS(Покупка!AF$25:AF$117,Покупка!$F$25:$F$117,$F121,Покупка!$AC$25:$AC$117,$G121)</f>
        <v>0</v>
      </c>
      <c r="AG121" s="722">
        <f ca="1">SUMIFS(Покупка!AG$25:AG$117,Покупка!$F$25:$F$117,$F121,Покупка!$AC$25:$AC$117,$G121)</f>
        <v>0</v>
      </c>
      <c r="AH121" s="722">
        <f t="shared" ca="1" si="7"/>
        <v>0</v>
      </c>
      <c r="AI121" s="722">
        <f ca="1">SUMIFS(Покупка!AH$25:AH$117,Покупка!$F$25:$F$117,$F121,Покупка!$AC$25:$AC$117,$G121)</f>
        <v>0</v>
      </c>
      <c r="AJ121" s="722">
        <f ca="1">SUMIFS(Покупка!AI$25:AI$117,Покупка!$F$25:$F$117,$F121,Покупка!$AC$25:$AC$117,$G121)</f>
        <v>0</v>
      </c>
      <c r="AK121" s="722">
        <f ca="1">SUMIFS(Покупка!AS$25:AS$117,Покупка!$F$25:$F$117,$F121,Покупка!$AC$25:$AC$117,$G121)</f>
        <v>0</v>
      </c>
      <c r="AL121" s="722">
        <f t="shared" ca="1" si="8"/>
        <v>0</v>
      </c>
      <c r="AM121" s="723"/>
      <c r="AN121" s="823" t="str">
        <f ca="1">IF(IFERROR(INDEX(Покупка!$K$26:$L$117,MATCH($F121&amp;"7komm",Покупка!$K$26:$K$117,0),2),"")=0,"",IFERROR(INDEX(Покупка!$K$26:$L$117,MATCH($F121&amp;"7komm",Покупка!$K$26:$K$117,0),2),""))</f>
        <v/>
      </c>
      <c r="AO121" s="723"/>
      <c r="AP121" s="1210"/>
      <c r="AQ121" s="1210"/>
      <c r="AR121" s="971" t="s">
        <v>1095</v>
      </c>
      <c r="AS121" s="971"/>
      <c r="AT121" s="971"/>
      <c r="AU121" s="968"/>
      <c r="AV121" s="968"/>
    </row>
    <row r="122" spans="1:48" s="1334" customFormat="1" ht="14.25" customHeight="1" x14ac:dyDescent="0.25">
      <c r="A122" s="1210"/>
      <c r="B122" s="1210"/>
      <c r="C122" s="1210"/>
      <c r="D122" s="1210"/>
      <c r="E122" s="618">
        <v>15</v>
      </c>
      <c r="F122" s="3" t="str" cm="1">
        <f t="array" aca="1" ref="F122" ca="1">OFFSET(E122,-1,1)</f>
        <v>1</v>
      </c>
      <c r="G122" s="672" t="s">
        <v>1098</v>
      </c>
      <c r="H122" s="1210"/>
      <c r="I122" s="511" t="s">
        <v>1469</v>
      </c>
      <c r="J122" s="511"/>
      <c r="K122" s="511"/>
      <c r="L122" s="511"/>
      <c r="M122" s="511"/>
      <c r="N122" s="511"/>
      <c r="O122" s="511"/>
      <c r="P122" s="511"/>
      <c r="Q122" s="511"/>
      <c r="R122" s="511"/>
      <c r="S122" s="511"/>
      <c r="T122" s="388" t="b" cm="1">
        <f t="array" ref="T122">T121</f>
        <v>1</v>
      </c>
      <c r="U122" s="1210"/>
      <c r="V122" s="1210"/>
      <c r="W122" s="1210"/>
      <c r="X122" s="2120"/>
      <c r="Y122" s="1210"/>
      <c r="Z122" s="2121"/>
      <c r="AA122" s="1210"/>
      <c r="AB122" s="727" t="s">
        <v>1695</v>
      </c>
      <c r="AC122" s="728" t="s">
        <v>1696</v>
      </c>
      <c r="AD122" s="679" t="s">
        <v>831</v>
      </c>
      <c r="AE122" s="722">
        <f ca="1">SUMIFS(Покупка!AE$25:AE$117,Покупка!$F$25:$F$117,$F122,Покупка!$AC$25:$AC$117,$G122)</f>
        <v>0</v>
      </c>
      <c r="AF122" s="722">
        <f ca="1">SUMIFS(Покупка!AF$25:AF$117,Покупка!$F$25:$F$117,$F122,Покупка!$AC$25:$AC$117,$G122)</f>
        <v>0</v>
      </c>
      <c r="AG122" s="722">
        <f ca="1">SUMIFS(Покупка!AG$25:AG$117,Покупка!$F$25:$F$117,$F122,Покупка!$AC$25:$AC$117,$G122)</f>
        <v>0</v>
      </c>
      <c r="AH122" s="722">
        <f t="shared" ca="1" si="7"/>
        <v>0</v>
      </c>
      <c r="AI122" s="722">
        <f ca="1">SUMIFS(Покупка!AH$25:AH$117,Покупка!$F$25:$F$117,$F122,Покупка!$AC$25:$AC$117,$G122)</f>
        <v>0</v>
      </c>
      <c r="AJ122" s="722">
        <f ca="1">SUMIFS(Покупка!AI$25:AI$117,Покупка!$F$25:$F$117,$F122,Покупка!$AC$25:$AC$117,$G122)</f>
        <v>0</v>
      </c>
      <c r="AK122" s="722">
        <f ca="1">SUMIFS(Покупка!AS$25:AS$117,Покупка!$F$25:$F$117,$F122,Покупка!$AC$25:$AC$117,$G122)</f>
        <v>0</v>
      </c>
      <c r="AL122" s="722">
        <f t="shared" ca="1" si="8"/>
        <v>0</v>
      </c>
      <c r="AM122" s="723"/>
      <c r="AN122" s="823" t="str">
        <f ca="1">IF(IFERROR(INDEX(Покупка!$K$26:$L$117,MATCH($F122&amp;"9komm",Покупка!$K$26:$K$117,0),2),"")=0,"",IFERROR(INDEX(Покупка!$K$26:$L$117,MATCH($F122&amp;"9komm",Покупка!$K$26:$K$117,0),2),""))</f>
        <v/>
      </c>
      <c r="AO122" s="723"/>
      <c r="AP122" s="1210"/>
      <c r="AQ122" s="1210"/>
      <c r="AR122" s="971" t="s">
        <v>1099</v>
      </c>
      <c r="AS122" s="971"/>
      <c r="AT122" s="971"/>
      <c r="AU122" s="968"/>
      <c r="AV122" s="968"/>
    </row>
    <row r="123" spans="1:48" s="1334" customFormat="1" ht="14.25" customHeight="1" x14ac:dyDescent="0.25">
      <c r="A123" s="1210"/>
      <c r="B123" s="1210"/>
      <c r="C123" s="1210"/>
      <c r="D123" s="1210"/>
      <c r="E123" s="618">
        <v>15</v>
      </c>
      <c r="F123" s="3" t="str" cm="1">
        <f t="array" aca="1" ref="F123" ca="1">OFFSET(E123,-1,1)</f>
        <v>1</v>
      </c>
      <c r="G123" s="501" t="s">
        <v>1060</v>
      </c>
      <c r="H123" s="1210"/>
      <c r="I123" s="511" t="s">
        <v>1473</v>
      </c>
      <c r="J123" s="511"/>
      <c r="K123" s="511"/>
      <c r="L123" s="511"/>
      <c r="M123" s="511"/>
      <c r="N123" s="511"/>
      <c r="O123" s="511"/>
      <c r="P123" s="511"/>
      <c r="Q123" s="511"/>
      <c r="R123" s="511"/>
      <c r="S123" s="511"/>
      <c r="T123" s="388" t="b" cm="1">
        <f t="array" ref="T123">T122</f>
        <v>1</v>
      </c>
      <c r="U123" s="1210"/>
      <c r="V123" s="1210"/>
      <c r="W123" s="1210"/>
      <c r="X123" s="2120"/>
      <c r="Y123" s="1210"/>
      <c r="Z123" s="2121"/>
      <c r="AA123" s="1210"/>
      <c r="AB123" s="727" t="s">
        <v>1697</v>
      </c>
      <c r="AC123" s="728" t="s">
        <v>1698</v>
      </c>
      <c r="AD123" s="679" t="s">
        <v>831</v>
      </c>
      <c r="AE123" s="722">
        <f ca="1">SUMIFS(Покупка!AE$25:AE$117,Покупка!$F$25:$F$117,$F123,Покупка!$AC$25:$AC$117,$G123)</f>
        <v>0</v>
      </c>
      <c r="AF123" s="722">
        <f ca="1">SUMIFS(Покупка!AF$25:AF$117,Покупка!$F$25:$F$117,$F123,Покупка!$AC$25:$AC$117,$G123)</f>
        <v>0</v>
      </c>
      <c r="AG123" s="722">
        <f ca="1">SUMIFS(Покупка!AG$25:AG$117,Покупка!$F$25:$F$117,$F123,Покупка!$AC$25:$AC$117,$G123)</f>
        <v>0</v>
      </c>
      <c r="AH123" s="722">
        <f t="shared" ca="1" si="7"/>
        <v>0</v>
      </c>
      <c r="AI123" s="722">
        <f ca="1">SUMIFS(Покупка!AH$25:AH$117,Покупка!$F$25:$F$117,$F123,Покупка!$AC$25:$AC$117,$G123)</f>
        <v>0</v>
      </c>
      <c r="AJ123" s="722">
        <f ca="1">SUMIFS(Покупка!AI$25:AI$117,Покупка!$F$25:$F$117,$F123,Покупка!$AC$25:$AC$117,$G123)</f>
        <v>0</v>
      </c>
      <c r="AK123" s="722">
        <f ca="1">SUMIFS(Покупка!AS$25:AS$117,Покупка!$F$25:$F$117,$F123,Покупка!$AC$25:$AC$117,$G123)</f>
        <v>0</v>
      </c>
      <c r="AL123" s="722">
        <f t="shared" ca="1" si="8"/>
        <v>0</v>
      </c>
      <c r="AM123" s="723"/>
      <c r="AN123" s="823" t="str">
        <f ca="1">IF(IFERROR(INDEX(Покупка!$K$26:$L$117,MATCH($F123&amp;"1komm",Покупка!$K$26:$K$117,0),2),"")=0,"",IFERROR(INDEX(Покупка!$K$26:$L$117,MATCH($F123&amp;"1komm",Покупка!$K$26:$K$117,0),2),""))</f>
        <v/>
      </c>
      <c r="AO123" s="723"/>
      <c r="AP123" s="1210"/>
      <c r="AQ123" s="1210"/>
      <c r="AR123" s="971" t="s">
        <v>1699</v>
      </c>
      <c r="AS123" s="971"/>
      <c r="AT123" s="971"/>
      <c r="AU123" s="968"/>
      <c r="AV123" s="968"/>
    </row>
    <row r="124" spans="1:48" s="1334" customFormat="1" ht="14.25" customHeight="1" x14ac:dyDescent="0.25">
      <c r="A124" s="1210"/>
      <c r="B124" s="1210"/>
      <c r="C124" s="1210"/>
      <c r="D124" s="1210"/>
      <c r="E124" s="618">
        <v>15</v>
      </c>
      <c r="F124" s="3" t="str" cm="1">
        <f t="array" aca="1" ref="F124" ca="1">OFFSET(E124,-1,1)</f>
        <v>1</v>
      </c>
      <c r="G124" s="501" t="s">
        <v>1069</v>
      </c>
      <c r="H124" s="1210"/>
      <c r="I124" s="511" t="s">
        <v>1478</v>
      </c>
      <c r="J124" s="511"/>
      <c r="K124" s="511"/>
      <c r="L124" s="511"/>
      <c r="M124" s="511"/>
      <c r="N124" s="511"/>
      <c r="O124" s="511"/>
      <c r="P124" s="511"/>
      <c r="Q124" s="511"/>
      <c r="R124" s="511"/>
      <c r="S124" s="511"/>
      <c r="T124" s="388" t="b" cm="1">
        <f t="array" ref="T124">T123</f>
        <v>1</v>
      </c>
      <c r="U124" s="1210"/>
      <c r="V124" s="1210"/>
      <c r="W124" s="1210"/>
      <c r="X124" s="2120"/>
      <c r="Y124" s="1210"/>
      <c r="Z124" s="2121"/>
      <c r="AA124" s="1210"/>
      <c r="AB124" s="727" t="s">
        <v>1700</v>
      </c>
      <c r="AC124" s="728" t="s">
        <v>1701</v>
      </c>
      <c r="AD124" s="679" t="s">
        <v>831</v>
      </c>
      <c r="AE124" s="722">
        <f ca="1">SUMIFS(Покупка!AE$25:AE$117,Покупка!$F$25:$F$117,$F124,Покупка!$AC$25:$AC$117,$G124)</f>
        <v>0</v>
      </c>
      <c r="AF124" s="722">
        <f ca="1">SUMIFS(Покупка!AF$25:AF$117,Покупка!$F$25:$F$117,$F124,Покупка!$AC$25:$AC$117,$G124)</f>
        <v>0</v>
      </c>
      <c r="AG124" s="722">
        <f ca="1">SUMIFS(Покупка!AG$25:AG$117,Покупка!$F$25:$F$117,$F124,Покупка!$AC$25:$AC$117,$G124)</f>
        <v>0</v>
      </c>
      <c r="AH124" s="722">
        <f t="shared" ca="1" si="7"/>
        <v>0</v>
      </c>
      <c r="AI124" s="722">
        <f ca="1">SUMIFS(Покупка!AH$25:AH$117,Покупка!$F$25:$F$117,$F124,Покупка!$AC$25:$AC$117,$G124)</f>
        <v>0</v>
      </c>
      <c r="AJ124" s="722">
        <f ca="1">SUMIFS(Покупка!AI$25:AI$117,Покупка!$F$25:$F$117,$F124,Покупка!$AC$25:$AC$117,$G124)</f>
        <v>0</v>
      </c>
      <c r="AK124" s="722">
        <f ca="1">SUMIFS(Покупка!AS$25:AS$117,Покупка!$F$25:$F$117,$F124,Покупка!$AC$25:$AC$117,$G124)</f>
        <v>0</v>
      </c>
      <c r="AL124" s="722">
        <f t="shared" ca="1" si="8"/>
        <v>0</v>
      </c>
      <c r="AM124" s="723"/>
      <c r="AN124" s="823" t="str">
        <f ca="1">IF(IFERROR(INDEX(Покупка!$K$26:$L$117,MATCH($F124&amp;"2komm",Покупка!$K$26:$K$117,0),2),"")=0,"",IFERROR(INDEX(Покупка!$K$26:$L$117,MATCH($F124&amp;"2komm",Покупка!$K$26:$K$117,0),2),""))</f>
        <v/>
      </c>
      <c r="AO124" s="723"/>
      <c r="AP124" s="1210"/>
      <c r="AQ124" s="1210"/>
      <c r="AR124" s="971" t="s">
        <v>1702</v>
      </c>
      <c r="AS124" s="971"/>
      <c r="AT124" s="971"/>
      <c r="AU124" s="968"/>
      <c r="AV124" s="968"/>
    </row>
    <row r="125" spans="1:48" s="1334" customFormat="1" ht="14.25" customHeight="1" x14ac:dyDescent="0.25">
      <c r="A125" s="1210"/>
      <c r="B125" s="1210"/>
      <c r="C125" s="1210"/>
      <c r="D125" s="1210"/>
      <c r="E125" s="618">
        <v>15</v>
      </c>
      <c r="F125" s="3" t="str" cm="1">
        <f t="array" aca="1" ref="F125" ca="1">OFFSET(E125,-1,1)</f>
        <v>1</v>
      </c>
      <c r="G125" s="501" t="s">
        <v>1074</v>
      </c>
      <c r="H125" s="1210"/>
      <c r="I125" s="511" t="s">
        <v>1487</v>
      </c>
      <c r="J125" s="511"/>
      <c r="K125" s="511"/>
      <c r="L125" s="511"/>
      <c r="M125" s="511"/>
      <c r="N125" s="511"/>
      <c r="O125" s="511"/>
      <c r="P125" s="511"/>
      <c r="Q125" s="511"/>
      <c r="R125" s="511"/>
      <c r="S125" s="511"/>
      <c r="T125" s="388" t="b" cm="1">
        <f t="array" ref="T125">T124</f>
        <v>1</v>
      </c>
      <c r="U125" s="1210"/>
      <c r="V125" s="1210"/>
      <c r="W125" s="1210"/>
      <c r="X125" s="2120"/>
      <c r="Y125" s="1210"/>
      <c r="Z125" s="2121"/>
      <c r="AA125" s="1210"/>
      <c r="AB125" s="727" t="s">
        <v>1703</v>
      </c>
      <c r="AC125" s="728" t="s">
        <v>1704</v>
      </c>
      <c r="AD125" s="679" t="s">
        <v>831</v>
      </c>
      <c r="AE125" s="722">
        <f ca="1">SUMIFS(Покупка!AE$25:AE$117,Покупка!$F$25:$F$117,$F125,Покупка!$AC$25:$AC$117,$G125)</f>
        <v>0</v>
      </c>
      <c r="AF125" s="722">
        <f ca="1">SUMIFS(Покупка!AF$25:AF$117,Покупка!$F$25:$F$117,$F125,Покупка!$AC$25:$AC$117,$G125)</f>
        <v>0</v>
      </c>
      <c r="AG125" s="722">
        <f ca="1">SUMIFS(Покупка!AG$25:AG$117,Покупка!$F$25:$F$117,$F125,Покупка!$AC$25:$AC$117,$G125)</f>
        <v>0</v>
      </c>
      <c r="AH125" s="722">
        <f t="shared" ca="1" si="7"/>
        <v>0</v>
      </c>
      <c r="AI125" s="722">
        <f ca="1">SUMIFS(Покупка!AH$25:AH$117,Покупка!$F$25:$F$117,$F125,Покупка!$AC$25:$AC$117,$G125)</f>
        <v>0</v>
      </c>
      <c r="AJ125" s="722">
        <f ca="1">SUMIFS(Покупка!AI$25:AI$117,Покупка!$F$25:$F$117,$F125,Покупка!$AC$25:$AC$117,$G125)</f>
        <v>0</v>
      </c>
      <c r="AK125" s="722">
        <f ca="1">SUMIFS(Покупка!AS$25:AS$117,Покупка!$F$25:$F$117,$F125,Покупка!$AC$25:$AC$117,$G125)</f>
        <v>0</v>
      </c>
      <c r="AL125" s="722">
        <f t="shared" ca="1" si="8"/>
        <v>0</v>
      </c>
      <c r="AM125" s="723"/>
      <c r="AN125" s="823" t="str">
        <f ca="1">IF(IFERROR(INDEX(Покупка!$K$26:$L$117,MATCH($F125&amp;"3komm",Покупка!$K$26:$K$117,0),2),"")=0,"",IFERROR(INDEX(Покупка!$K$26:$L$117,MATCH($F125&amp;"3komm",Покупка!$K$26:$K$117,0),2),""))</f>
        <v/>
      </c>
      <c r="AO125" s="723"/>
      <c r="AP125" s="1210"/>
      <c r="AQ125" s="1210"/>
      <c r="AR125" s="971" t="s">
        <v>1705</v>
      </c>
      <c r="AS125" s="971"/>
      <c r="AT125" s="971"/>
      <c r="AU125" s="968"/>
      <c r="AV125" s="968"/>
    </row>
    <row r="126" spans="1:48" s="1334" customFormat="1" ht="14.25" customHeight="1" x14ac:dyDescent="0.25">
      <c r="A126" s="1210"/>
      <c r="B126" s="1210"/>
      <c r="C126" s="1210"/>
      <c r="D126" s="1210"/>
      <c r="E126" s="618">
        <v>15</v>
      </c>
      <c r="F126" s="3" t="str" cm="1">
        <f t="array" aca="1" ref="F126" ca="1">OFFSET(E126,-1,1)</f>
        <v>1</v>
      </c>
      <c r="G126" s="501" t="s">
        <v>1080</v>
      </c>
      <c r="H126" s="1210"/>
      <c r="I126" s="511" t="s">
        <v>1492</v>
      </c>
      <c r="J126" s="511"/>
      <c r="K126" s="511"/>
      <c r="L126" s="511"/>
      <c r="M126" s="511"/>
      <c r="N126" s="511"/>
      <c r="O126" s="511"/>
      <c r="P126" s="511"/>
      <c r="Q126" s="511"/>
      <c r="R126" s="511"/>
      <c r="S126" s="511"/>
      <c r="T126" s="388" t="b" cm="1">
        <f t="array" ref="T126">T125</f>
        <v>1</v>
      </c>
      <c r="U126" s="1210"/>
      <c r="V126" s="1210"/>
      <c r="W126" s="1210"/>
      <c r="X126" s="2120"/>
      <c r="Y126" s="1210"/>
      <c r="Z126" s="2121"/>
      <c r="AA126" s="1210"/>
      <c r="AB126" s="727" t="s">
        <v>1706</v>
      </c>
      <c r="AC126" s="728" t="s">
        <v>1707</v>
      </c>
      <c r="AD126" s="679" t="s">
        <v>831</v>
      </c>
      <c r="AE126" s="722">
        <f ca="1">SUMIFS(Покупка!AE$25:AE$117,Покупка!$F$25:$F$117,$F126,Покупка!$AC$25:$AC$117,$G126)</f>
        <v>0</v>
      </c>
      <c r="AF126" s="722">
        <f ca="1">SUMIFS(Покупка!AF$25:AF$117,Покупка!$F$25:$F$117,$F126,Покупка!$AC$25:$AC$117,$G126)</f>
        <v>0</v>
      </c>
      <c r="AG126" s="722">
        <f ca="1">SUMIFS(Покупка!AG$25:AG$117,Покупка!$F$25:$F$117,$F126,Покупка!$AC$25:$AC$117,$G126)</f>
        <v>0</v>
      </c>
      <c r="AH126" s="722">
        <f t="shared" ca="1" si="7"/>
        <v>0</v>
      </c>
      <c r="AI126" s="722">
        <f ca="1">SUMIFS(Покупка!AH$25:AH$117,Покупка!$F$25:$F$117,$F126,Покупка!$AC$25:$AC$117,$G126)</f>
        <v>0</v>
      </c>
      <c r="AJ126" s="722">
        <f ca="1">SUMIFS(Покупка!AI$25:AI$117,Покупка!$F$25:$F$117,$F126,Покупка!$AC$25:$AC$117,$G126)</f>
        <v>0</v>
      </c>
      <c r="AK126" s="722">
        <f ca="1">SUMIFS(Покупка!AS$25:AS$117,Покупка!$F$25:$F$117,$F126,Покупка!$AC$25:$AC$117,$G126)</f>
        <v>0</v>
      </c>
      <c r="AL126" s="722">
        <f t="shared" ca="1" si="8"/>
        <v>0</v>
      </c>
      <c r="AM126" s="723"/>
      <c r="AN126" s="823" t="str">
        <f ca="1">IF(IFERROR(INDEX(Покупка!$K$26:$L$117,MATCH($F126&amp;"4komm",Покупка!$K$26:$K$117,0),2),"")=0,"",IFERROR(INDEX(Покупка!$K$26:$L$117,MATCH($F126&amp;"4komm",Покупка!$K$26:$K$117,0),2),""))</f>
        <v/>
      </c>
      <c r="AO126" s="723"/>
      <c r="AP126" s="1210"/>
      <c r="AQ126" s="1210"/>
      <c r="AR126" s="971" t="s">
        <v>1708</v>
      </c>
      <c r="AS126" s="971"/>
      <c r="AT126" s="971"/>
      <c r="AU126" s="968"/>
      <c r="AV126" s="968"/>
    </row>
    <row r="127" spans="1:48" s="1334" customFormat="1" ht="14.25" customHeight="1" x14ac:dyDescent="0.25">
      <c r="A127" s="1210"/>
      <c r="B127" s="1210"/>
      <c r="C127" s="1210"/>
      <c r="D127" s="1210"/>
      <c r="E127" s="618">
        <v>15</v>
      </c>
      <c r="F127" s="3" t="str" cm="1">
        <f t="array" aca="1" ref="F127" ca="1">OFFSET(E127,-1,1)</f>
        <v>1</v>
      </c>
      <c r="G127" s="501" t="s">
        <v>1086</v>
      </c>
      <c r="H127" s="1210"/>
      <c r="I127" s="511" t="s">
        <v>1502</v>
      </c>
      <c r="J127" s="511"/>
      <c r="K127" s="511"/>
      <c r="L127" s="511"/>
      <c r="M127" s="511"/>
      <c r="N127" s="511"/>
      <c r="O127" s="511"/>
      <c r="P127" s="511"/>
      <c r="Q127" s="511"/>
      <c r="R127" s="511"/>
      <c r="S127" s="511"/>
      <c r="T127" s="388" t="b" cm="1">
        <f t="array" ref="T127">T126</f>
        <v>1</v>
      </c>
      <c r="U127" s="1210"/>
      <c r="V127" s="1210"/>
      <c r="W127" s="1210"/>
      <c r="X127" s="2120"/>
      <c r="Y127" s="1210"/>
      <c r="Z127" s="2121"/>
      <c r="AA127" s="1210"/>
      <c r="AB127" s="727" t="s">
        <v>1709</v>
      </c>
      <c r="AC127" s="728" t="s">
        <v>1710</v>
      </c>
      <c r="AD127" s="679" t="s">
        <v>831</v>
      </c>
      <c r="AE127" s="722">
        <f ca="1">SUMIFS(Покупка!AE$25:AE$117,Покупка!$F$25:$F$117,$F127,Покупка!$AC$25:$AC$117,$G127)</f>
        <v>0</v>
      </c>
      <c r="AF127" s="722">
        <f ca="1">SUMIFS(Покупка!AF$25:AF$117,Покупка!$F$25:$F$117,$F127,Покупка!$AC$25:$AC$117,$G127)</f>
        <v>0</v>
      </c>
      <c r="AG127" s="722">
        <f ca="1">SUMIFS(Покупка!AG$25:AG$117,Покупка!$F$25:$F$117,$F127,Покупка!$AC$25:$AC$117,$G127)</f>
        <v>0</v>
      </c>
      <c r="AH127" s="722">
        <f t="shared" ca="1" si="7"/>
        <v>0</v>
      </c>
      <c r="AI127" s="722">
        <f ca="1">SUMIFS(Покупка!AH$25:AH$117,Покупка!$F$25:$F$117,$F127,Покупка!$AC$25:$AC$117,$G127)</f>
        <v>0</v>
      </c>
      <c r="AJ127" s="722">
        <f ca="1">SUMIFS(Покупка!AI$25:AI$117,Покупка!$F$25:$F$117,$F127,Покупка!$AC$25:$AC$117,$G127)</f>
        <v>0</v>
      </c>
      <c r="AK127" s="722">
        <f ca="1">SUMIFS(Покупка!AS$25:AS$117,Покупка!$F$25:$F$117,$F127,Покупка!$AC$25:$AC$117,$G127)</f>
        <v>0</v>
      </c>
      <c r="AL127" s="722">
        <f t="shared" ca="1" si="8"/>
        <v>0</v>
      </c>
      <c r="AM127" s="723"/>
      <c r="AN127" s="823" t="str">
        <f ca="1">IF(IFERROR(INDEX(Покупка!$K$26:$L$117,MATCH($F127&amp;"5komm",Покупка!$K$26:$K$117,0),2),"")=0,"",IFERROR(INDEX(Покупка!$K$26:$L$117,MATCH($F127&amp;"5komm",Покупка!$K$26:$K$117,0),2),""))</f>
        <v/>
      </c>
      <c r="AO127" s="723"/>
      <c r="AP127" s="1210"/>
      <c r="AQ127" s="1210"/>
      <c r="AR127" s="971" t="s">
        <v>1711</v>
      </c>
      <c r="AS127" s="971"/>
      <c r="AT127" s="971"/>
      <c r="AU127" s="968"/>
      <c r="AV127" s="968"/>
    </row>
    <row r="128" spans="1:48" s="1475" customFormat="1" ht="43.5" customHeight="1" x14ac:dyDescent="0.25">
      <c r="A128" s="512"/>
      <c r="B128" s="512"/>
      <c r="C128" s="512"/>
      <c r="D128" s="512"/>
      <c r="E128" s="620">
        <v>45</v>
      </c>
      <c r="F128" s="3" t="str" cm="1">
        <f t="array" aca="1" ref="F128" ca="1">OFFSET(E128,-1,1)</f>
        <v>1</v>
      </c>
      <c r="G128" s="512"/>
      <c r="H128" s="512"/>
      <c r="I128" s="621" t="s">
        <v>501</v>
      </c>
      <c r="J128" s="621"/>
      <c r="K128" s="621"/>
      <c r="L128" s="621"/>
      <c r="M128" s="621"/>
      <c r="N128" s="621"/>
      <c r="O128" s="621"/>
      <c r="P128" s="621"/>
      <c r="Q128" s="621"/>
      <c r="R128" s="621"/>
      <c r="S128" s="621"/>
      <c r="T128" s="388" t="b" cm="1">
        <f t="array" ref="T128">T127</f>
        <v>1</v>
      </c>
      <c r="U128" s="512"/>
      <c r="V128" s="512"/>
      <c r="W128" s="512"/>
      <c r="X128" s="2120"/>
      <c r="Y128" s="512"/>
      <c r="Z128" s="2121"/>
      <c r="AA128" s="512"/>
      <c r="AB128" s="724" t="s">
        <v>916</v>
      </c>
      <c r="AC128" s="725" t="s">
        <v>1712</v>
      </c>
      <c r="AD128" s="514" t="s">
        <v>831</v>
      </c>
      <c r="AE128" s="730"/>
      <c r="AF128" s="730"/>
      <c r="AG128" s="730"/>
      <c r="AH128" s="721">
        <f t="shared" si="7"/>
        <v>0</v>
      </c>
      <c r="AI128" s="730"/>
      <c r="AJ128" s="730"/>
      <c r="AK128" s="730"/>
      <c r="AL128" s="721">
        <f t="shared" si="8"/>
        <v>0</v>
      </c>
      <c r="AM128" s="726"/>
      <c r="AN128" s="726"/>
      <c r="AO128" s="726"/>
      <c r="AP128" s="512"/>
      <c r="AQ128" s="512"/>
      <c r="AR128" s="972" t="s">
        <v>1713</v>
      </c>
      <c r="AS128" s="972"/>
      <c r="AT128" s="972"/>
      <c r="AU128" s="620"/>
      <c r="AV128" s="620"/>
    </row>
    <row r="129" spans="1:48" s="1476" customFormat="1" ht="43.5" customHeight="1" x14ac:dyDescent="0.25">
      <c r="A129" s="512"/>
      <c r="B129" s="512"/>
      <c r="C129" s="512"/>
      <c r="D129" s="512"/>
      <c r="E129" s="620">
        <v>45</v>
      </c>
      <c r="F129" s="3" t="str" cm="1">
        <f t="array" aca="1" ref="F129" ca="1">OFFSET(E129,-1,1)</f>
        <v>1</v>
      </c>
      <c r="G129" s="512"/>
      <c r="H129" s="512"/>
      <c r="I129" s="621" t="s">
        <v>505</v>
      </c>
      <c r="J129" s="621"/>
      <c r="K129" s="621"/>
      <c r="L129" s="621"/>
      <c r="M129" s="621"/>
      <c r="N129" s="621"/>
      <c r="O129" s="621"/>
      <c r="P129" s="621"/>
      <c r="Q129" s="621"/>
      <c r="R129" s="621"/>
      <c r="S129" s="621"/>
      <c r="T129" s="388" t="b" cm="1">
        <f t="array" ref="T129">T128</f>
        <v>1</v>
      </c>
      <c r="U129" s="512"/>
      <c r="V129" s="512"/>
      <c r="W129" s="512"/>
      <c r="X129" s="2120"/>
      <c r="Y129" s="512"/>
      <c r="Z129" s="2121"/>
      <c r="AA129" s="512"/>
      <c r="AB129" s="724" t="s">
        <v>919</v>
      </c>
      <c r="AC129" s="725" t="s">
        <v>1714</v>
      </c>
      <c r="AD129" s="514" t="s">
        <v>831</v>
      </c>
      <c r="AE129" s="721">
        <f ca="1">AE130+AE131</f>
        <v>31124.759264161898</v>
      </c>
      <c r="AF129" s="721">
        <f ca="1">AF130+AF131</f>
        <v>0</v>
      </c>
      <c r="AG129" s="721">
        <f ca="1">AG130+AG131</f>
        <v>0</v>
      </c>
      <c r="AH129" s="721">
        <f t="shared" ca="1" si="7"/>
        <v>0</v>
      </c>
      <c r="AI129" s="721">
        <f ca="1">AI130+AI131</f>
        <v>0</v>
      </c>
      <c r="AJ129" s="721">
        <f ca="1">AJ130+AJ131</f>
        <v>0</v>
      </c>
      <c r="AK129" s="721">
        <f ca="1">AK130+AK131</f>
        <v>0</v>
      </c>
      <c r="AL129" s="721">
        <f t="shared" ca="1" si="8"/>
        <v>0</v>
      </c>
      <c r="AM129" s="726"/>
      <c r="AN129" s="726"/>
      <c r="AO129" s="726"/>
      <c r="AP129" s="512"/>
      <c r="AQ129" s="512"/>
      <c r="AR129" s="972" t="s">
        <v>1715</v>
      </c>
      <c r="AS129" s="972"/>
      <c r="AT129" s="972"/>
      <c r="AU129" s="620"/>
      <c r="AV129" s="620"/>
    </row>
    <row r="130" spans="1:48" s="1334" customFormat="1" ht="14.25" customHeight="1" x14ac:dyDescent="0.25">
      <c r="A130" s="1210"/>
      <c r="B130" s="1210"/>
      <c r="C130" s="1210"/>
      <c r="D130" s="1210"/>
      <c r="E130" s="618">
        <v>15</v>
      </c>
      <c r="F130" s="3" t="str" cm="1">
        <f t="array" aca="1" ref="F130" ca="1">OFFSET(E130,-1,1)</f>
        <v>1</v>
      </c>
      <c r="G130" s="622" t="s">
        <v>1104</v>
      </c>
      <c r="H130" s="1210"/>
      <c r="I130" s="511" t="s">
        <v>1328</v>
      </c>
      <c r="J130" s="511"/>
      <c r="K130" s="511"/>
      <c r="L130" s="511"/>
      <c r="M130" s="511"/>
      <c r="N130" s="511"/>
      <c r="O130" s="511"/>
      <c r="P130" s="621"/>
      <c r="Q130" s="511"/>
      <c r="R130" s="511"/>
      <c r="S130" s="511"/>
      <c r="T130" s="388" t="b" cm="1">
        <f t="array" ref="T130">T129</f>
        <v>1</v>
      </c>
      <c r="U130" s="1210"/>
      <c r="V130" s="1210"/>
      <c r="W130" s="1210"/>
      <c r="X130" s="2120"/>
      <c r="Y130" s="1210"/>
      <c r="Z130" s="2121"/>
      <c r="AA130" s="1210"/>
      <c r="AB130" s="727" t="s">
        <v>1033</v>
      </c>
      <c r="AC130" s="728" t="s">
        <v>1716</v>
      </c>
      <c r="AD130" s="679" t="s">
        <v>831</v>
      </c>
      <c r="AE130" s="722">
        <f ca="1">SUMIFS(ФОТ!AE$25:AE$138,ФОТ!$F$25:$F$138,$F130,ФОТ!$G$25:$G$138,$G130)</f>
        <v>23905.345056959999</v>
      </c>
      <c r="AF130" s="722">
        <f ca="1">SUMIFS(ФОТ!AF$25:AF$138,ФОТ!$F$25:$F$138,$F130,ФОТ!$G$25:$G$138,$G130)</f>
        <v>0</v>
      </c>
      <c r="AG130" s="722">
        <f ca="1">SUMIFS(ФОТ!AG$25:AG$138,ФОТ!$F$25:$F$138,$F130,ФОТ!$G$25:$G$138,$G130)</f>
        <v>0</v>
      </c>
      <c r="AH130" s="722">
        <f t="shared" ca="1" si="7"/>
        <v>0</v>
      </c>
      <c r="AI130" s="722">
        <f ca="1">SUMIFS(ФОТ!AH$25:AH$138,ФОТ!$F$25:$F$138,$F130,ФОТ!$G$25:$G$138,$G130)</f>
        <v>0</v>
      </c>
      <c r="AJ130" s="722">
        <f ca="1">SUMIFS(ФОТ!AI$25:AI$138,ФОТ!$F$25:$F$138,$F130,ФОТ!$G$25:$G$138,$G130)</f>
        <v>0</v>
      </c>
      <c r="AK130" s="722">
        <f ca="1">SUMIFS(ФОТ!AJ$25:AJ$138,ФОТ!$F$25:$F$138,$F130,ФОТ!$G$25:$G$138,$G130)</f>
        <v>0</v>
      </c>
      <c r="AL130" s="722">
        <f t="shared" ca="1" si="8"/>
        <v>0</v>
      </c>
      <c r="AM130" s="723"/>
      <c r="AN130" s="823" t="str">
        <f ca="1">IF(IFERROR(INDEX(ФОТ!$K$26:$L$138,MATCH($F130&amp;"1komm",ФОТ!$K$26:$K$138,0),2),"")=0,"",IFERROR(INDEX(ФОТ!$K$26:$L$138,MATCH($F130&amp;"1komm",ФОТ!$K$26:$K$138,0),2),""))</f>
        <v/>
      </c>
      <c r="AO130" s="723"/>
      <c r="AP130" s="1210"/>
      <c r="AQ130" s="1210"/>
      <c r="AR130" s="971" t="s">
        <v>1717</v>
      </c>
      <c r="AS130" s="971"/>
      <c r="AT130" s="971"/>
      <c r="AU130" s="968"/>
      <c r="AV130" s="968"/>
    </row>
    <row r="131" spans="1:48" s="1334" customFormat="1" ht="21.75" customHeight="1" x14ac:dyDescent="0.25">
      <c r="A131" s="1210"/>
      <c r="B131" s="1210"/>
      <c r="C131" s="1210"/>
      <c r="D131" s="1210"/>
      <c r="E131" s="618">
        <v>22.5</v>
      </c>
      <c r="F131" s="3" t="str" cm="1">
        <f t="array" aca="1" ref="F131" ca="1">OFFSET(E131,-1,1)</f>
        <v>1</v>
      </c>
      <c r="G131" s="622" t="s">
        <v>1116</v>
      </c>
      <c r="H131" s="1210"/>
      <c r="I131" s="511" t="s">
        <v>1329</v>
      </c>
      <c r="J131" s="511"/>
      <c r="K131" s="511"/>
      <c r="L131" s="511"/>
      <c r="M131" s="511"/>
      <c r="N131" s="511"/>
      <c r="O131" s="511"/>
      <c r="P131" s="621"/>
      <c r="Q131" s="511"/>
      <c r="R131" s="511"/>
      <c r="S131" s="511"/>
      <c r="T131" s="388" t="b" cm="1">
        <f t="array" ref="T131">T130</f>
        <v>1</v>
      </c>
      <c r="U131" s="1210"/>
      <c r="V131" s="1210"/>
      <c r="W131" s="1210"/>
      <c r="X131" s="2120"/>
      <c r="Y131" s="1210"/>
      <c r="Z131" s="2121"/>
      <c r="AA131" s="1210"/>
      <c r="AB131" s="727" t="s">
        <v>1036</v>
      </c>
      <c r="AC131" s="728" t="s">
        <v>1718</v>
      </c>
      <c r="AD131" s="679" t="s">
        <v>831</v>
      </c>
      <c r="AE131" s="722">
        <f ca="1">SUMIFS(ФОТ!AE$25:AE$138,ФОТ!$F$25:$F$138,$F131,ФОТ!$G$25:$G$138,$G131)</f>
        <v>7219.4142072019004</v>
      </c>
      <c r="AF131" s="722">
        <f ca="1">SUMIFS(ФОТ!AF$25:AF$138,ФОТ!$F$25:$F$138,$F131,ФОТ!$G$25:$G$138,$G131)</f>
        <v>0</v>
      </c>
      <c r="AG131" s="722">
        <f ca="1">SUMIFS(ФОТ!AG$25:AG$138,ФОТ!$F$25:$F$138,$F131,ФОТ!$G$25:$G$138,$G131)</f>
        <v>0</v>
      </c>
      <c r="AH131" s="722">
        <f t="shared" ca="1" si="7"/>
        <v>0</v>
      </c>
      <c r="AI131" s="722">
        <f ca="1">SUMIFS(ФОТ!AH$25:AH$138,ФОТ!$F$25:$F$138,$F131,ФОТ!$G$25:$G$138,$G131)</f>
        <v>0</v>
      </c>
      <c r="AJ131" s="722">
        <f ca="1">SUMIFS(ФОТ!AI$25:AI$138,ФОТ!$F$25:$F$138,$F131,ФОТ!$G$25:$G$138,$G131)</f>
        <v>0</v>
      </c>
      <c r="AK131" s="722">
        <f ca="1">SUMIFS(ФОТ!AJ$25:AJ$138,ФОТ!$F$25:$F$138,$F131,ФОТ!$G$25:$G$138,$G131)</f>
        <v>0</v>
      </c>
      <c r="AL131" s="722">
        <f t="shared" ca="1" si="8"/>
        <v>0</v>
      </c>
      <c r="AM131" s="723"/>
      <c r="AN131" s="823" t="str">
        <f ca="1">IF(IFERROR(INDEX(ФОТ!$K$26:$L$138,MATCH($F131&amp;"2komm",ФОТ!$K$26:$K$138,0),2),"")=0,"",IFERROR(INDEX(ФОТ!$K$26:$L$138,MATCH($F131&amp;"2komm",ФОТ!$K$26:$K$138,0),2),""))</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AO131" s="723"/>
      <c r="AP131" s="1210"/>
      <c r="AQ131" s="1210"/>
      <c r="AR131" s="971" t="s">
        <v>1719</v>
      </c>
      <c r="AS131" s="971"/>
      <c r="AT131" s="971"/>
      <c r="AU131" s="968"/>
      <c r="AV131" s="968"/>
    </row>
    <row r="132" spans="1:48" s="1477" customFormat="1" ht="14.25" customHeight="1" x14ac:dyDescent="0.25">
      <c r="A132" s="512"/>
      <c r="B132" s="512"/>
      <c r="C132" s="512"/>
      <c r="D132" s="512"/>
      <c r="E132" s="620">
        <v>15</v>
      </c>
      <c r="F132" s="3" t="str" cm="1">
        <f t="array" aca="1" ref="F132" ca="1">OFFSET(E132,-1,1)</f>
        <v>1</v>
      </c>
      <c r="G132" s="512"/>
      <c r="H132" s="512"/>
      <c r="I132" s="621" t="s">
        <v>922</v>
      </c>
      <c r="J132" s="621"/>
      <c r="K132" s="621"/>
      <c r="L132" s="621"/>
      <c r="M132" s="621"/>
      <c r="N132" s="621"/>
      <c r="O132" s="621"/>
      <c r="P132" s="621"/>
      <c r="Q132" s="621"/>
      <c r="R132" s="621"/>
      <c r="S132" s="621"/>
      <c r="T132" s="388" t="b" cm="1">
        <f t="array" ref="T132">T131</f>
        <v>1</v>
      </c>
      <c r="U132" s="512"/>
      <c r="V132" s="512"/>
      <c r="W132" s="512"/>
      <c r="X132" s="2120"/>
      <c r="Y132" s="512"/>
      <c r="Z132" s="2121"/>
      <c r="AA132" s="512"/>
      <c r="AB132" s="724" t="s">
        <v>923</v>
      </c>
      <c r="AC132" s="725" t="s">
        <v>1720</v>
      </c>
      <c r="AD132" s="514" t="s">
        <v>831</v>
      </c>
      <c r="AE132" s="730"/>
      <c r="AF132" s="730"/>
      <c r="AG132" s="730"/>
      <c r="AH132" s="721">
        <f t="shared" si="7"/>
        <v>0</v>
      </c>
      <c r="AI132" s="730"/>
      <c r="AJ132" s="730"/>
      <c r="AK132" s="730"/>
      <c r="AL132" s="721">
        <f t="shared" si="8"/>
        <v>0</v>
      </c>
      <c r="AM132" s="726"/>
      <c r="AN132" s="726"/>
      <c r="AO132" s="726"/>
      <c r="AP132" s="512"/>
      <c r="AQ132" s="512"/>
      <c r="AR132" s="972" t="s">
        <v>1307</v>
      </c>
      <c r="AS132" s="972"/>
      <c r="AT132" s="972"/>
      <c r="AU132" s="620"/>
      <c r="AV132" s="620"/>
    </row>
    <row r="133" spans="1:48" s="1478" customFormat="1" ht="14.25" customHeight="1" x14ac:dyDescent="0.25">
      <c r="A133" s="512"/>
      <c r="B133" s="512"/>
      <c r="C133" s="512"/>
      <c r="D133" s="512"/>
      <c r="E133" s="620">
        <v>15</v>
      </c>
      <c r="F133" s="3" t="str" cm="1">
        <f t="array" aca="1" ref="F133" ca="1">OFFSET(E133,-1,1)</f>
        <v>1</v>
      </c>
      <c r="G133" s="512"/>
      <c r="H133" s="512"/>
      <c r="I133" s="621" t="s">
        <v>1721</v>
      </c>
      <c r="J133" s="621"/>
      <c r="K133" s="621"/>
      <c r="L133" s="621"/>
      <c r="M133" s="621"/>
      <c r="N133" s="621"/>
      <c r="O133" s="621"/>
      <c r="P133" s="621"/>
      <c r="Q133" s="621"/>
      <c r="R133" s="621"/>
      <c r="S133" s="621"/>
      <c r="T133" s="388" t="b" cm="1">
        <f t="array" ref="T133">T132</f>
        <v>1</v>
      </c>
      <c r="U133" s="512"/>
      <c r="V133" s="512"/>
      <c r="W133" s="512"/>
      <c r="X133" s="2120"/>
      <c r="Y133" s="512"/>
      <c r="Z133" s="2121"/>
      <c r="AA133" s="512"/>
      <c r="AB133" s="724" t="s">
        <v>1722</v>
      </c>
      <c r="AC133" s="725" t="s">
        <v>1723</v>
      </c>
      <c r="AD133" s="514" t="s">
        <v>831</v>
      </c>
      <c r="AE133" s="730"/>
      <c r="AF133" s="730"/>
      <c r="AG133" s="730"/>
      <c r="AH133" s="721">
        <f t="shared" si="7"/>
        <v>0</v>
      </c>
      <c r="AI133" s="730"/>
      <c r="AJ133" s="730"/>
      <c r="AK133" s="730"/>
      <c r="AL133" s="721">
        <f t="shared" si="8"/>
        <v>0</v>
      </c>
      <c r="AM133" s="726"/>
      <c r="AN133" s="726"/>
      <c r="AO133" s="726"/>
      <c r="AP133" s="512"/>
      <c r="AQ133" s="512"/>
      <c r="AR133" s="972" t="s">
        <v>1724</v>
      </c>
      <c r="AS133" s="972"/>
      <c r="AT133" s="972"/>
      <c r="AU133" s="620"/>
      <c r="AV133" s="620"/>
    </row>
    <row r="134" spans="1:48" s="1479" customFormat="1" ht="14.25" customHeight="1" x14ac:dyDescent="0.25">
      <c r="A134" s="512"/>
      <c r="B134" s="512"/>
      <c r="C134" s="512"/>
      <c r="D134" s="512"/>
      <c r="E134" s="620">
        <v>15</v>
      </c>
      <c r="F134" s="3" t="str" cm="1">
        <f t="array" aca="1" ref="F134" ca="1">OFFSET(E134,-1,1)</f>
        <v>1</v>
      </c>
      <c r="G134" s="512"/>
      <c r="H134" s="512"/>
      <c r="I134" s="621" t="s">
        <v>1725</v>
      </c>
      <c r="J134" s="621"/>
      <c r="K134" s="621"/>
      <c r="L134" s="621"/>
      <c r="M134" s="621"/>
      <c r="N134" s="621"/>
      <c r="O134" s="621"/>
      <c r="P134" s="621"/>
      <c r="Q134" s="621"/>
      <c r="R134" s="621"/>
      <c r="S134" s="621"/>
      <c r="T134" s="388" t="b" cm="1">
        <f t="array" ref="T134">T133</f>
        <v>1</v>
      </c>
      <c r="U134" s="512"/>
      <c r="V134" s="512"/>
      <c r="W134" s="512"/>
      <c r="X134" s="2120"/>
      <c r="Y134" s="512"/>
      <c r="Z134" s="2121"/>
      <c r="AA134" s="512"/>
      <c r="AB134" s="724" t="s">
        <v>1726</v>
      </c>
      <c r="AC134" s="725" t="s">
        <v>1727</v>
      </c>
      <c r="AD134" s="514" t="s">
        <v>831</v>
      </c>
      <c r="AE134" s="721">
        <f>SUM(AE135:AE140)</f>
        <v>0</v>
      </c>
      <c r="AF134" s="721">
        <f>SUM(AF135:AF140)</f>
        <v>0</v>
      </c>
      <c r="AG134" s="721">
        <f>SUM(AG135:AG140)</f>
        <v>0</v>
      </c>
      <c r="AH134" s="721">
        <f t="shared" si="7"/>
        <v>0</v>
      </c>
      <c r="AI134" s="721">
        <f>SUM(AI135:AI140)</f>
        <v>0</v>
      </c>
      <c r="AJ134" s="721">
        <f>SUM(AJ135:AJ140)</f>
        <v>0</v>
      </c>
      <c r="AK134" s="721">
        <f>SUM(AK135:AK140)</f>
        <v>0</v>
      </c>
      <c r="AL134" s="721">
        <f t="shared" si="8"/>
        <v>0</v>
      </c>
      <c r="AM134" s="726"/>
      <c r="AN134" s="726"/>
      <c r="AO134" s="726"/>
      <c r="AP134" s="512"/>
      <c r="AQ134" s="512"/>
      <c r="AR134" s="972" t="s">
        <v>1728</v>
      </c>
      <c r="AS134" s="972"/>
      <c r="AT134" s="972"/>
      <c r="AU134" s="620"/>
      <c r="AV134" s="620"/>
    </row>
    <row r="135" spans="1:48" s="1334" customFormat="1" ht="14.25" customHeight="1" x14ac:dyDescent="0.25">
      <c r="A135" s="1210"/>
      <c r="B135" s="1210"/>
      <c r="C135" s="1210"/>
      <c r="D135" s="1210"/>
      <c r="E135" s="618">
        <v>15</v>
      </c>
      <c r="F135" s="3" t="str" cm="1">
        <f t="array" aca="1" ref="F135" ca="1">OFFSET(E135,-1,1)</f>
        <v>1</v>
      </c>
      <c r="G135" s="1210"/>
      <c r="H135" s="1210"/>
      <c r="I135" s="511" t="s">
        <v>1725</v>
      </c>
      <c r="J135" s="895" t="s">
        <v>1729</v>
      </c>
      <c r="K135" s="1210"/>
      <c r="L135" s="511"/>
      <c r="M135" s="511"/>
      <c r="N135" s="511"/>
      <c r="O135" s="511"/>
      <c r="P135" s="511"/>
      <c r="Q135" s="511"/>
      <c r="R135" s="511"/>
      <c r="S135" s="511"/>
      <c r="T135" s="388" t="b" cm="1">
        <f t="array" ref="T135">T134</f>
        <v>1</v>
      </c>
      <c r="U135" s="1210"/>
      <c r="V135" s="1210"/>
      <c r="W135" s="1210"/>
      <c r="X135" s="2120"/>
      <c r="Y135" s="1210"/>
      <c r="Z135" s="2121"/>
      <c r="AA135" s="1210"/>
      <c r="AB135" s="727" t="s">
        <v>1730</v>
      </c>
      <c r="AC135" s="728" t="s">
        <v>1731</v>
      </c>
      <c r="AD135" s="679" t="s">
        <v>831</v>
      </c>
      <c r="AE135" s="729"/>
      <c r="AF135" s="729"/>
      <c r="AG135" s="729"/>
      <c r="AH135" s="722">
        <f t="shared" si="7"/>
        <v>0</v>
      </c>
      <c r="AI135" s="729"/>
      <c r="AJ135" s="729"/>
      <c r="AK135" s="729"/>
      <c r="AL135" s="722">
        <f t="shared" si="8"/>
        <v>0</v>
      </c>
      <c r="AM135" s="723"/>
      <c r="AN135" s="723"/>
      <c r="AO135" s="723"/>
      <c r="AP135" s="1210"/>
      <c r="AQ135" s="1210"/>
      <c r="AR135" s="971" t="s">
        <v>1732</v>
      </c>
      <c r="AS135" s="971"/>
      <c r="AT135" s="971"/>
      <c r="AU135" s="968"/>
      <c r="AV135" s="968"/>
    </row>
    <row r="136" spans="1:48" s="1334" customFormat="1" ht="14.25" customHeight="1" x14ac:dyDescent="0.25">
      <c r="A136" s="1210"/>
      <c r="B136" s="1210"/>
      <c r="C136" s="1210"/>
      <c r="D136" s="1210"/>
      <c r="E136" s="618">
        <v>15</v>
      </c>
      <c r="F136" s="3" t="str" cm="1">
        <f t="array" aca="1" ref="F136" ca="1">OFFSET(E136,-1,1)</f>
        <v>1</v>
      </c>
      <c r="G136" s="1210"/>
      <c r="H136" s="1210"/>
      <c r="I136" s="511" t="s">
        <v>1725</v>
      </c>
      <c r="J136" s="895" t="s">
        <v>1733</v>
      </c>
      <c r="K136" s="1210"/>
      <c r="L136" s="511"/>
      <c r="M136" s="511"/>
      <c r="N136" s="511"/>
      <c r="O136" s="511"/>
      <c r="P136" s="511"/>
      <c r="Q136" s="511"/>
      <c r="R136" s="511"/>
      <c r="S136" s="511"/>
      <c r="T136" s="388" t="b" cm="1">
        <f t="array" ref="T136">T135</f>
        <v>1</v>
      </c>
      <c r="U136" s="1210"/>
      <c r="V136" s="1210"/>
      <c r="W136" s="1210"/>
      <c r="X136" s="2120"/>
      <c r="Y136" s="1210"/>
      <c r="Z136" s="2121"/>
      <c r="AA136" s="1210"/>
      <c r="AB136" s="727" t="s">
        <v>1734</v>
      </c>
      <c r="AC136" s="728" t="s">
        <v>1735</v>
      </c>
      <c r="AD136" s="679" t="s">
        <v>831</v>
      </c>
      <c r="AE136" s="729"/>
      <c r="AF136" s="729"/>
      <c r="AG136" s="729"/>
      <c r="AH136" s="722">
        <f t="shared" si="7"/>
        <v>0</v>
      </c>
      <c r="AI136" s="729"/>
      <c r="AJ136" s="729"/>
      <c r="AK136" s="729"/>
      <c r="AL136" s="722">
        <f t="shared" si="8"/>
        <v>0</v>
      </c>
      <c r="AM136" s="723"/>
      <c r="AN136" s="723"/>
      <c r="AO136" s="723"/>
      <c r="AP136" s="1210"/>
      <c r="AQ136" s="1210"/>
      <c r="AR136" s="971" t="s">
        <v>1736</v>
      </c>
      <c r="AS136" s="971"/>
      <c r="AT136" s="971"/>
      <c r="AU136" s="968"/>
      <c r="AV136" s="968"/>
    </row>
    <row r="137" spans="1:48" s="1334" customFormat="1" ht="14.25" customHeight="1" x14ac:dyDescent="0.25">
      <c r="A137" s="1210"/>
      <c r="B137" s="1210"/>
      <c r="C137" s="1210"/>
      <c r="D137" s="1210"/>
      <c r="E137" s="618">
        <v>15</v>
      </c>
      <c r="F137" s="3" t="str" cm="1">
        <f t="array" aca="1" ref="F137" ca="1">OFFSET(E137,-1,1)</f>
        <v>1</v>
      </c>
      <c r="G137" s="1210"/>
      <c r="H137" s="1210"/>
      <c r="I137" s="511" t="s">
        <v>1725</v>
      </c>
      <c r="J137" s="895" t="s">
        <v>1737</v>
      </c>
      <c r="K137" s="1210"/>
      <c r="L137" s="511"/>
      <c r="M137" s="511"/>
      <c r="N137" s="511"/>
      <c r="O137" s="511"/>
      <c r="P137" s="511"/>
      <c r="Q137" s="511"/>
      <c r="R137" s="511"/>
      <c r="S137" s="511"/>
      <c r="T137" s="388" t="b" cm="1">
        <f t="array" ref="T137">T136</f>
        <v>1</v>
      </c>
      <c r="U137" s="1210"/>
      <c r="V137" s="1210"/>
      <c r="W137" s="1210"/>
      <c r="X137" s="2120"/>
      <c r="Y137" s="1210"/>
      <c r="Z137" s="2121"/>
      <c r="AA137" s="1210"/>
      <c r="AB137" s="727" t="s">
        <v>1738</v>
      </c>
      <c r="AC137" s="728" t="s">
        <v>1739</v>
      </c>
      <c r="AD137" s="679" t="s">
        <v>831</v>
      </c>
      <c r="AE137" s="729"/>
      <c r="AF137" s="729"/>
      <c r="AG137" s="729"/>
      <c r="AH137" s="722">
        <f t="shared" si="7"/>
        <v>0</v>
      </c>
      <c r="AI137" s="729"/>
      <c r="AJ137" s="729"/>
      <c r="AK137" s="729"/>
      <c r="AL137" s="722">
        <f t="shared" si="8"/>
        <v>0</v>
      </c>
      <c r="AM137" s="723"/>
      <c r="AN137" s="723"/>
      <c r="AO137" s="723"/>
      <c r="AP137" s="1210"/>
      <c r="AQ137" s="1210"/>
      <c r="AR137" s="971" t="s">
        <v>1740</v>
      </c>
      <c r="AS137" s="971"/>
      <c r="AT137" s="971"/>
      <c r="AU137" s="968"/>
      <c r="AV137" s="968"/>
    </row>
    <row r="138" spans="1:48" s="1334" customFormat="1" ht="14.25" customHeight="1" x14ac:dyDescent="0.25">
      <c r="A138" s="1210"/>
      <c r="B138" s="1210"/>
      <c r="C138" s="1210"/>
      <c r="D138" s="1210"/>
      <c r="E138" s="618">
        <v>15</v>
      </c>
      <c r="F138" s="3" t="str" cm="1">
        <f t="array" aca="1" ref="F138" ca="1">OFFSET(E138,-1,1)</f>
        <v>1</v>
      </c>
      <c r="G138" s="1210"/>
      <c r="H138" s="1210"/>
      <c r="I138" s="511" t="s">
        <v>1725</v>
      </c>
      <c r="J138" s="895" t="s">
        <v>1741</v>
      </c>
      <c r="K138" s="1210"/>
      <c r="L138" s="511"/>
      <c r="M138" s="511"/>
      <c r="N138" s="511"/>
      <c r="O138" s="511"/>
      <c r="P138" s="511"/>
      <c r="Q138" s="511"/>
      <c r="R138" s="511"/>
      <c r="S138" s="511"/>
      <c r="T138" s="388" t="b" cm="1">
        <f t="array" ref="T138">T137</f>
        <v>1</v>
      </c>
      <c r="U138" s="1210"/>
      <c r="V138" s="1210"/>
      <c r="W138" s="1210"/>
      <c r="X138" s="2120"/>
      <c r="Y138" s="1210"/>
      <c r="Z138" s="2121"/>
      <c r="AA138" s="1210"/>
      <c r="AB138" s="727" t="s">
        <v>1742</v>
      </c>
      <c r="AC138" s="728" t="s">
        <v>1743</v>
      </c>
      <c r="AD138" s="679" t="s">
        <v>831</v>
      </c>
      <c r="AE138" s="729"/>
      <c r="AF138" s="729"/>
      <c r="AG138" s="729"/>
      <c r="AH138" s="722">
        <f t="shared" si="7"/>
        <v>0</v>
      </c>
      <c r="AI138" s="729"/>
      <c r="AJ138" s="729"/>
      <c r="AK138" s="729"/>
      <c r="AL138" s="722">
        <f t="shared" si="8"/>
        <v>0</v>
      </c>
      <c r="AM138" s="723"/>
      <c r="AN138" s="723"/>
      <c r="AO138" s="723"/>
      <c r="AP138" s="1210"/>
      <c r="AQ138" s="1210"/>
      <c r="AR138" s="971" t="s">
        <v>1744</v>
      </c>
      <c r="AS138" s="971"/>
      <c r="AT138" s="971"/>
      <c r="AU138" s="968"/>
      <c r="AV138" s="968"/>
    </row>
    <row r="139" spans="1:48" s="1334" customFormat="1" ht="14.25" hidden="1" customHeight="1" x14ac:dyDescent="0.25">
      <c r="A139" s="1210"/>
      <c r="B139" s="1210"/>
      <c r="C139" s="1210"/>
      <c r="D139" s="1210"/>
      <c r="E139" s="618">
        <v>15</v>
      </c>
      <c r="F139" s="3" t="str" cm="1">
        <f t="array" aca="1" ref="F139" ca="1">OFFSET(E139,-1,1)</f>
        <v>1</v>
      </c>
      <c r="G139" s="1210"/>
      <c r="H139" s="1210"/>
      <c r="I139" s="511" t="s">
        <v>1725</v>
      </c>
      <c r="J139" s="501" cm="1">
        <f t="array" ref="J139">AC139</f>
        <v>0</v>
      </c>
      <c r="K139" s="1210"/>
      <c r="L139" s="511"/>
      <c r="M139" s="511"/>
      <c r="N139" s="511"/>
      <c r="O139" s="511"/>
      <c r="P139" s="511"/>
      <c r="Q139" s="511"/>
      <c r="R139" s="511"/>
      <c r="S139" s="511"/>
      <c r="T139" s="388" t="b">
        <f ca="1">AND(F139&gt;0,Y139&gt;4)</f>
        <v>0</v>
      </c>
      <c r="U139" s="1210"/>
      <c r="V139" s="1210"/>
      <c r="W139" s="677" t="s">
        <v>172</v>
      </c>
      <c r="X139" s="2120"/>
      <c r="Y139" s="501">
        <v>4</v>
      </c>
      <c r="Z139" s="2121"/>
      <c r="AA139" s="1135" t="s">
        <v>173</v>
      </c>
      <c r="AB139" s="624" t="str">
        <f>"1.7."&amp;Y139</f>
        <v>1.7.4</v>
      </c>
      <c r="AC139" s="1466"/>
      <c r="AD139" s="679" t="s">
        <v>831</v>
      </c>
      <c r="AE139" s="729"/>
      <c r="AF139" s="729"/>
      <c r="AG139" s="729"/>
      <c r="AH139" s="722">
        <f t="shared" si="7"/>
        <v>0</v>
      </c>
      <c r="AI139" s="729"/>
      <c r="AJ139" s="1467"/>
      <c r="AK139" s="1467"/>
      <c r="AL139" s="722">
        <f t="shared" si="8"/>
        <v>0</v>
      </c>
      <c r="AM139" s="1468"/>
      <c r="AN139" s="1468"/>
      <c r="AO139" s="1468"/>
      <c r="AP139" s="1210"/>
      <c r="AQ139" s="1210"/>
      <c r="AR139" s="971" t="s">
        <v>1745</v>
      </c>
      <c r="AS139" s="971" t="s">
        <v>1746</v>
      </c>
      <c r="AT139" s="969" cm="1">
        <f t="array" ref="AT139">AC139</f>
        <v>0</v>
      </c>
      <c r="AU139" s="968"/>
      <c r="AV139" s="618" t="b">
        <v>1</v>
      </c>
    </row>
    <row r="140" spans="1:48" s="1334" customFormat="1" ht="14.25" customHeight="1" x14ac:dyDescent="0.25">
      <c r="A140" s="1210"/>
      <c r="B140" s="1210"/>
      <c r="C140" s="1210"/>
      <c r="D140" s="1210"/>
      <c r="E140" s="618">
        <v>15</v>
      </c>
      <c r="F140" s="3" t="str" cm="1">
        <f t="array" aca="1" ref="F140" ca="1">OFFSET(E140,-1,1)</f>
        <v>1</v>
      </c>
      <c r="G140" s="1210"/>
      <c r="H140" s="1210"/>
      <c r="I140" s="619"/>
      <c r="J140" s="619" t="s">
        <v>1747</v>
      </c>
      <c r="K140" s="619"/>
      <c r="L140" s="619"/>
      <c r="M140" s="619"/>
      <c r="N140" s="619"/>
      <c r="O140" s="619"/>
      <c r="P140" s="619"/>
      <c r="Q140" s="619"/>
      <c r="R140" s="619"/>
      <c r="S140" s="619"/>
      <c r="T140" s="388" t="b">
        <f ca="1">F140&gt;0</f>
        <v>1</v>
      </c>
      <c r="U140" s="1210"/>
      <c r="V140" s="1210"/>
      <c r="W140" s="748" t="s">
        <v>396</v>
      </c>
      <c r="X140" s="2120"/>
      <c r="Y140" s="1210"/>
      <c r="Z140" s="2121"/>
      <c r="AA140" s="1210"/>
      <c r="AB140" s="1136"/>
      <c r="AC140" s="1137" t="s">
        <v>176</v>
      </c>
      <c r="AD140" s="1138"/>
      <c r="AE140" s="1138"/>
      <c r="AF140" s="1138"/>
      <c r="AG140" s="1138"/>
      <c r="AH140" s="1138"/>
      <c r="AI140" s="1138"/>
      <c r="AJ140" s="1138"/>
      <c r="AK140" s="1138"/>
      <c r="AL140" s="1138"/>
      <c r="AM140" s="1138"/>
      <c r="AN140" s="1138"/>
      <c r="AO140" s="1139"/>
      <c r="AP140" s="1210"/>
      <c r="AQ140" s="1210"/>
      <c r="AR140" s="971"/>
      <c r="AS140" s="971"/>
      <c r="AT140" s="971"/>
      <c r="AU140" s="968" t="s">
        <v>1746</v>
      </c>
      <c r="AV140" s="968"/>
    </row>
    <row r="141" spans="1:48" s="1480" customFormat="1" ht="14.25" customHeight="1" x14ac:dyDescent="0.25">
      <c r="A141" s="512"/>
      <c r="B141" s="512"/>
      <c r="C141" s="512"/>
      <c r="D141" s="512"/>
      <c r="E141" s="620">
        <v>15</v>
      </c>
      <c r="F141" s="3" t="str" cm="1">
        <f t="array" aca="1" ref="F141" ca="1">OFFSET(E141,-1,1)</f>
        <v>1</v>
      </c>
      <c r="G141" s="512"/>
      <c r="H141" s="512"/>
      <c r="I141" s="621" t="s">
        <v>332</v>
      </c>
      <c r="J141" s="621"/>
      <c r="K141" s="621"/>
      <c r="L141" s="621"/>
      <c r="M141" s="621"/>
      <c r="N141" s="621"/>
      <c r="O141" s="621"/>
      <c r="P141" s="621"/>
      <c r="Q141" s="621"/>
      <c r="R141" s="621"/>
      <c r="S141" s="621"/>
      <c r="T141" s="388" t="b" cm="1">
        <f t="array" aca="1" ref="T141" ca="1">T140</f>
        <v>1</v>
      </c>
      <c r="U141" s="512"/>
      <c r="V141" s="512"/>
      <c r="W141" s="512"/>
      <c r="X141" s="2120"/>
      <c r="Y141" s="512"/>
      <c r="Z141" s="2121"/>
      <c r="AA141" s="512"/>
      <c r="AB141" s="724" t="s">
        <v>289</v>
      </c>
      <c r="AC141" s="720" t="s">
        <v>1748</v>
      </c>
      <c r="AD141" s="731" t="s">
        <v>831</v>
      </c>
      <c r="AE141" s="708">
        <f ca="1">AE142+AE143</f>
        <v>9491.2092609653009</v>
      </c>
      <c r="AF141" s="708">
        <f ca="1">AF142+AF143</f>
        <v>0</v>
      </c>
      <c r="AG141" s="708">
        <f ca="1">AG142+AG143</f>
        <v>0</v>
      </c>
      <c r="AH141" s="721">
        <f t="shared" ref="AH141:AH166" ca="1" si="9">AG141-AF141</f>
        <v>0</v>
      </c>
      <c r="AI141" s="708">
        <f ca="1">AI142+AI143</f>
        <v>0</v>
      </c>
      <c r="AJ141" s="708">
        <f ca="1">AJ142+AJ143</f>
        <v>0</v>
      </c>
      <c r="AK141" s="708">
        <f ca="1">AK142+AK143</f>
        <v>0</v>
      </c>
      <c r="AL141" s="721">
        <f t="shared" ref="AL141:AL180" ca="1" si="10">IF(AI141=0,0,(AK141-AI141)/AI141*100)</f>
        <v>0</v>
      </c>
      <c r="AM141" s="726"/>
      <c r="AN141" s="726"/>
      <c r="AO141" s="726"/>
      <c r="AP141" s="512"/>
      <c r="AQ141" s="512"/>
      <c r="AR141" s="972" t="s">
        <v>1749</v>
      </c>
      <c r="AS141" s="972"/>
      <c r="AT141" s="972"/>
      <c r="AU141" s="620"/>
      <c r="AV141" s="620"/>
    </row>
    <row r="142" spans="1:48" s="1334" customFormat="1" ht="32.25" customHeight="1" x14ac:dyDescent="0.25">
      <c r="A142" s="1210"/>
      <c r="B142" s="1210"/>
      <c r="C142" s="1210"/>
      <c r="D142" s="1210"/>
      <c r="E142" s="618">
        <v>33.75</v>
      </c>
      <c r="F142" s="3" t="str" cm="1">
        <f t="array" aca="1" ref="F142" ca="1">OFFSET(E142,-1,1)</f>
        <v>1</v>
      </c>
      <c r="G142" s="1210"/>
      <c r="H142" s="1210"/>
      <c r="I142" s="511" t="s">
        <v>512</v>
      </c>
      <c r="J142" s="511"/>
      <c r="K142" s="511"/>
      <c r="L142" s="511"/>
      <c r="M142" s="511"/>
      <c r="N142" s="511"/>
      <c r="O142" s="511"/>
      <c r="P142" s="511"/>
      <c r="Q142" s="511"/>
      <c r="R142" s="511"/>
      <c r="S142" s="511"/>
      <c r="T142" s="388" t="b" cm="1">
        <f t="array" aca="1" ref="T142" ca="1">T141</f>
        <v>1</v>
      </c>
      <c r="U142" s="1210"/>
      <c r="V142" s="1210"/>
      <c r="W142" s="1210"/>
      <c r="X142" s="2120"/>
      <c r="Y142" s="1210"/>
      <c r="Z142" s="2121"/>
      <c r="AA142" s="1210"/>
      <c r="AB142" s="727" t="s">
        <v>566</v>
      </c>
      <c r="AC142" s="732" t="s">
        <v>1750</v>
      </c>
      <c r="AD142" s="733" t="s">
        <v>831</v>
      </c>
      <c r="AE142" s="729"/>
      <c r="AF142" s="729"/>
      <c r="AG142" s="729"/>
      <c r="AH142" s="722">
        <f t="shared" si="9"/>
        <v>0</v>
      </c>
      <c r="AI142" s="729"/>
      <c r="AJ142" s="729"/>
      <c r="AK142" s="729"/>
      <c r="AL142" s="722">
        <f t="shared" si="10"/>
        <v>0</v>
      </c>
      <c r="AM142" s="723"/>
      <c r="AN142" s="723"/>
      <c r="AO142" s="723"/>
      <c r="AP142" s="1210"/>
      <c r="AQ142" s="1210"/>
      <c r="AR142" s="971" t="s">
        <v>1751</v>
      </c>
      <c r="AS142" s="971"/>
      <c r="AT142" s="971"/>
      <c r="AU142" s="968"/>
      <c r="AV142" s="968"/>
    </row>
    <row r="143" spans="1:48" s="1334" customFormat="1" ht="34.5" customHeight="1" x14ac:dyDescent="0.25">
      <c r="A143" s="1210"/>
      <c r="B143" s="1210"/>
      <c r="C143" s="1210"/>
      <c r="D143" s="1210"/>
      <c r="E143" s="618">
        <v>36</v>
      </c>
      <c r="F143" s="3" t="str" cm="1">
        <f t="array" aca="1" ref="F143" ca="1">OFFSET(E143,-1,1)</f>
        <v>1</v>
      </c>
      <c r="G143" s="1210"/>
      <c r="H143" s="1210"/>
      <c r="I143" s="511" t="s">
        <v>515</v>
      </c>
      <c r="J143" s="511"/>
      <c r="K143" s="511"/>
      <c r="L143" s="511"/>
      <c r="M143" s="511"/>
      <c r="N143" s="511"/>
      <c r="O143" s="511"/>
      <c r="P143" s="511"/>
      <c r="Q143" s="511"/>
      <c r="R143" s="511"/>
      <c r="S143" s="511"/>
      <c r="T143" s="388" t="b" cm="1">
        <f t="array" aca="1" ref="T143" ca="1">T142</f>
        <v>1</v>
      </c>
      <c r="U143" s="1210"/>
      <c r="V143" s="1210"/>
      <c r="W143" s="1210"/>
      <c r="X143" s="2120"/>
      <c r="Y143" s="1210"/>
      <c r="Z143" s="2121"/>
      <c r="AA143" s="1210"/>
      <c r="AB143" s="727" t="s">
        <v>570</v>
      </c>
      <c r="AC143" s="732" t="s">
        <v>1752</v>
      </c>
      <c r="AD143" s="733" t="s">
        <v>831</v>
      </c>
      <c r="AE143" s="734">
        <f ca="1">AE144+AE145</f>
        <v>9491.2092609653009</v>
      </c>
      <c r="AF143" s="734">
        <f ca="1">AF144+AF145</f>
        <v>0</v>
      </c>
      <c r="AG143" s="734">
        <f ca="1">AG144+AG145</f>
        <v>0</v>
      </c>
      <c r="AH143" s="722">
        <f t="shared" ca="1" si="9"/>
        <v>0</v>
      </c>
      <c r="AI143" s="734">
        <f ca="1">AI144+AI145</f>
        <v>0</v>
      </c>
      <c r="AJ143" s="734">
        <f ca="1">AJ144+AJ145</f>
        <v>0</v>
      </c>
      <c r="AK143" s="734">
        <f ca="1">AK144+AK145</f>
        <v>0</v>
      </c>
      <c r="AL143" s="722">
        <f t="shared" ca="1" si="10"/>
        <v>0</v>
      </c>
      <c r="AM143" s="723"/>
      <c r="AN143" s="723"/>
      <c r="AO143" s="723"/>
      <c r="AP143" s="1210"/>
      <c r="AQ143" s="1210"/>
      <c r="AR143" s="971" t="s">
        <v>1753</v>
      </c>
      <c r="AS143" s="971"/>
      <c r="AT143" s="971"/>
      <c r="AU143" s="968"/>
      <c r="AV143" s="968"/>
    </row>
    <row r="144" spans="1:48" s="1334" customFormat="1" ht="14.25" customHeight="1" x14ac:dyDescent="0.25">
      <c r="A144" s="1210"/>
      <c r="B144" s="1210"/>
      <c r="C144" s="1210"/>
      <c r="D144" s="1210"/>
      <c r="E144" s="618">
        <v>15</v>
      </c>
      <c r="F144" s="3" t="str" cm="1">
        <f t="array" aca="1" ref="F144" ca="1">OFFSET(E144,-1,1)</f>
        <v>1</v>
      </c>
      <c r="G144" s="501" t="s">
        <v>1119</v>
      </c>
      <c r="H144" s="1210"/>
      <c r="I144" s="511" t="s">
        <v>1754</v>
      </c>
      <c r="J144" s="511"/>
      <c r="K144" s="511"/>
      <c r="L144" s="511"/>
      <c r="M144" s="511"/>
      <c r="N144" s="511"/>
      <c r="O144" s="511"/>
      <c r="P144" s="511"/>
      <c r="Q144" s="511"/>
      <c r="R144" s="511"/>
      <c r="S144" s="511"/>
      <c r="T144" s="388" t="b" cm="1">
        <f t="array" aca="1" ref="T144" ca="1">T143</f>
        <v>1</v>
      </c>
      <c r="U144" s="1210"/>
      <c r="V144" s="1210"/>
      <c r="W144" s="1210"/>
      <c r="X144" s="2120"/>
      <c r="Y144" s="1210"/>
      <c r="Z144" s="2121"/>
      <c r="AA144" s="1210"/>
      <c r="AB144" s="727" t="s">
        <v>526</v>
      </c>
      <c r="AC144" s="728" t="s">
        <v>1755</v>
      </c>
      <c r="AD144" s="733" t="s">
        <v>831</v>
      </c>
      <c r="AE144" s="722">
        <f ca="1">SUMIFS(ФОТ!AE$25:AE$138,ФОТ!$F$25:$F$138,$F144,ФОТ!$G$25:$G$138,$G144)</f>
        <v>7289.7152541976002</v>
      </c>
      <c r="AF144" s="722">
        <f ca="1">SUMIFS(ФОТ!AF$25:AF$138,ФОТ!$F$25:$F$138,$F144,ФОТ!$G$25:$G$138,$G144)</f>
        <v>0</v>
      </c>
      <c r="AG144" s="722">
        <f ca="1">SUMIFS(ФОТ!AG$25:AG$138,ФОТ!$F$25:$F$138,$F144,ФОТ!$G$25:$G$138,$G144)</f>
        <v>0</v>
      </c>
      <c r="AH144" s="722">
        <f t="shared" ca="1" si="9"/>
        <v>0</v>
      </c>
      <c r="AI144" s="722">
        <f ca="1">SUMIFS(ФОТ!AH$25:AH$138,ФОТ!$F$25:$F$138,$F144,ФОТ!$G$25:$G$138,$G144)</f>
        <v>0</v>
      </c>
      <c r="AJ144" s="722">
        <f ca="1">SUMIFS(ФОТ!AI$25:AI$138,ФОТ!$F$25:$F$138,$F144,ФОТ!$G$25:$G$138,$G144)</f>
        <v>0</v>
      </c>
      <c r="AK144" s="722">
        <f ca="1">SUMIFS(ФОТ!AJ$25:AJ$138,ФОТ!$F$25:$F$138,$F144,ФОТ!$G$25:$G$138,$G144)</f>
        <v>0</v>
      </c>
      <c r="AL144" s="722">
        <f t="shared" ca="1" si="10"/>
        <v>0</v>
      </c>
      <c r="AM144" s="723"/>
      <c r="AN144" s="823" t="str">
        <f ca="1">IF(IFERROR(INDEX(ФОТ!$K$26:$L$138,MATCH($F144&amp;"3komm",ФОТ!$K$26:$K$138,0),2),"")=0,"",IFERROR(INDEX(ФОТ!$K$26:$L$138,MATCH($F144&amp;"3komm",ФОТ!$K$26:$K$138,0),2),""))</f>
        <v/>
      </c>
      <c r="AO144" s="723"/>
      <c r="AP144" s="1210"/>
      <c r="AQ144" s="1210"/>
      <c r="AR144" s="971" t="s">
        <v>1756</v>
      </c>
      <c r="AS144" s="971"/>
      <c r="AT144" s="971"/>
      <c r="AU144" s="968"/>
      <c r="AV144" s="968"/>
    </row>
    <row r="145" spans="1:48" s="1334" customFormat="1" ht="21.75" customHeight="1" x14ac:dyDescent="0.25">
      <c r="A145" s="1210"/>
      <c r="B145" s="1210"/>
      <c r="C145" s="1210"/>
      <c r="D145" s="1210"/>
      <c r="E145" s="618">
        <v>22.5</v>
      </c>
      <c r="F145" s="3" t="str" cm="1">
        <f t="array" aca="1" ref="F145" ca="1">OFFSET(E145,-1,1)</f>
        <v>1</v>
      </c>
      <c r="G145" s="501" t="s">
        <v>1124</v>
      </c>
      <c r="H145" s="1210"/>
      <c r="I145" s="511" t="s">
        <v>1757</v>
      </c>
      <c r="J145" s="511"/>
      <c r="K145" s="511"/>
      <c r="L145" s="511"/>
      <c r="M145" s="511"/>
      <c r="N145" s="511"/>
      <c r="O145" s="511"/>
      <c r="P145" s="511"/>
      <c r="Q145" s="511"/>
      <c r="R145" s="511"/>
      <c r="S145" s="511"/>
      <c r="T145" s="388" t="b" cm="1">
        <f t="array" aca="1" ref="T145" ca="1">T144</f>
        <v>1</v>
      </c>
      <c r="U145" s="1210"/>
      <c r="V145" s="1210"/>
      <c r="W145" s="1210"/>
      <c r="X145" s="2120"/>
      <c r="Y145" s="1210"/>
      <c r="Z145" s="2121"/>
      <c r="AA145" s="1210"/>
      <c r="AB145" s="727" t="s">
        <v>1405</v>
      </c>
      <c r="AC145" s="728" t="s">
        <v>1758</v>
      </c>
      <c r="AD145" s="733" t="s">
        <v>831</v>
      </c>
      <c r="AE145" s="722">
        <f ca="1">SUMIFS(ФОТ!AE$25:AE$138,ФОТ!$F$25:$F$138,$F145,ФОТ!$G$25:$G$138,$G145)</f>
        <v>2201.4940067676998</v>
      </c>
      <c r="AF145" s="722">
        <f ca="1">SUMIFS(ФОТ!AF$25:AF$138,ФОТ!$F$25:$F$138,$F145,ФОТ!$G$25:$G$138,$G145)</f>
        <v>0</v>
      </c>
      <c r="AG145" s="722">
        <f ca="1">SUMIFS(ФОТ!AG$25:AG$138,ФОТ!$F$25:$F$138,$F145,ФОТ!$G$25:$G$138,$G145)</f>
        <v>0</v>
      </c>
      <c r="AH145" s="722">
        <f t="shared" ca="1" si="9"/>
        <v>0</v>
      </c>
      <c r="AI145" s="722">
        <f ca="1">SUMIFS(ФОТ!AH$25:AH$138,ФОТ!$F$25:$F$138,$F145,ФОТ!$G$25:$G$138,$G145)</f>
        <v>0</v>
      </c>
      <c r="AJ145" s="722">
        <f ca="1">SUMIFS(ФОТ!AI$25:AI$138,ФОТ!$F$25:$F$138,$F145,ФОТ!$G$25:$G$138,$G145)</f>
        <v>0</v>
      </c>
      <c r="AK145" s="722">
        <f ca="1">SUMIFS(ФОТ!AJ$25:AJ$138,ФОТ!$F$25:$F$138,$F145,ФОТ!$G$25:$G$138,$G145)</f>
        <v>0</v>
      </c>
      <c r="AL145" s="722">
        <f t="shared" ca="1" si="10"/>
        <v>0</v>
      </c>
      <c r="AM145" s="723"/>
      <c r="AN145" s="823" t="str">
        <f ca="1">IF(IFERROR(INDEX(ФОТ!$K$26:$L$138,MATCH($F145&amp;"4komm",ФОТ!$K$26:$K$138,0),2),"")=0,"",IFERROR(INDEX(ФОТ!$K$26:$L$138,MATCH($F145&amp;"4komm",ФОТ!$K$26:$K$138,0),2),""))</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AO145" s="723"/>
      <c r="AP145" s="1210"/>
      <c r="AQ145" s="1210"/>
      <c r="AR145" s="971" t="s">
        <v>1759</v>
      </c>
      <c r="AS145" s="971"/>
      <c r="AT145" s="971"/>
      <c r="AU145" s="968"/>
      <c r="AV145" s="968"/>
    </row>
    <row r="146" spans="1:48" s="1481" customFormat="1" ht="14.25" customHeight="1" x14ac:dyDescent="0.25">
      <c r="A146" s="512"/>
      <c r="B146" s="512"/>
      <c r="C146" s="512"/>
      <c r="D146" s="512"/>
      <c r="E146" s="620">
        <v>15</v>
      </c>
      <c r="F146" s="3" t="str" cm="1">
        <f t="array" aca="1" ref="F146" ca="1">OFFSET(E146,-1,1)</f>
        <v>1</v>
      </c>
      <c r="G146" s="512"/>
      <c r="H146" s="512"/>
      <c r="I146" s="621" t="s">
        <v>333</v>
      </c>
      <c r="J146" s="621"/>
      <c r="K146" s="621"/>
      <c r="L146" s="621"/>
      <c r="M146" s="621"/>
      <c r="N146" s="621"/>
      <c r="O146" s="621"/>
      <c r="P146" s="621"/>
      <c r="Q146" s="621"/>
      <c r="R146" s="621"/>
      <c r="S146" s="621"/>
      <c r="T146" s="388" t="b" cm="1">
        <f t="array" aca="1" ref="T146" ca="1">T145</f>
        <v>1</v>
      </c>
      <c r="U146" s="512"/>
      <c r="V146" s="512"/>
      <c r="W146" s="512"/>
      <c r="X146" s="2120"/>
      <c r="Y146" s="512"/>
      <c r="Z146" s="2121"/>
      <c r="AA146" s="512"/>
      <c r="AB146" s="724" t="s">
        <v>329</v>
      </c>
      <c r="AC146" s="720" t="s">
        <v>1760</v>
      </c>
      <c r="AD146" s="731" t="s">
        <v>831</v>
      </c>
      <c r="AE146" s="721">
        <f ca="1">AE147+AE148+AE151+AE152+AE153+AE154+AE155</f>
        <v>9306.5487244234992</v>
      </c>
      <c r="AF146" s="721">
        <f ca="1">AF147+AF148+AF151+AF152+AF153+AF154+AF155</f>
        <v>0</v>
      </c>
      <c r="AG146" s="721">
        <f ca="1">AG147+AG148+AG151+AG152+AG153+AG154+AG155</f>
        <v>0</v>
      </c>
      <c r="AH146" s="721">
        <f t="shared" ca="1" si="9"/>
        <v>0</v>
      </c>
      <c r="AI146" s="721">
        <f ca="1">AI147+AI148+AI151+AI152+AI153+AI154+AI155</f>
        <v>0</v>
      </c>
      <c r="AJ146" s="721">
        <f ca="1">AJ147+AJ148+AJ151+AJ152+AJ153+AJ154+AJ155</f>
        <v>0</v>
      </c>
      <c r="AK146" s="721">
        <f ca="1">AK147+AK148+AK151+AK152+AK153+AK154+AK155</f>
        <v>0</v>
      </c>
      <c r="AL146" s="721">
        <f t="shared" ca="1" si="10"/>
        <v>0</v>
      </c>
      <c r="AM146" s="726"/>
      <c r="AN146" s="726"/>
      <c r="AO146" s="726"/>
      <c r="AP146" s="512"/>
      <c r="AQ146" s="512"/>
      <c r="AR146" s="972" t="s">
        <v>1761</v>
      </c>
      <c r="AS146" s="972"/>
      <c r="AT146" s="972"/>
      <c r="AU146" s="620"/>
      <c r="AV146" s="620"/>
    </row>
    <row r="147" spans="1:48" s="1334" customFormat="1" ht="21.75" customHeight="1" x14ac:dyDescent="0.25">
      <c r="A147" s="1210"/>
      <c r="B147" s="1210"/>
      <c r="C147" s="1210"/>
      <c r="D147" s="1210"/>
      <c r="E147" s="618">
        <v>22.5</v>
      </c>
      <c r="F147" s="3" t="str" cm="1">
        <f t="array" aca="1" ref="F147" ca="1">OFFSET(E147,-1,1)</f>
        <v>1</v>
      </c>
      <c r="G147" s="501" t="s">
        <v>1155</v>
      </c>
      <c r="H147" s="1210"/>
      <c r="I147" s="511" t="s">
        <v>940</v>
      </c>
      <c r="J147" s="511"/>
      <c r="K147" s="511"/>
      <c r="L147" s="511"/>
      <c r="M147" s="511"/>
      <c r="N147" s="511"/>
      <c r="O147" s="511"/>
      <c r="P147" s="511"/>
      <c r="Q147" s="511"/>
      <c r="R147" s="511"/>
      <c r="S147" s="511"/>
      <c r="T147" s="388" t="b" cm="1">
        <f t="array" aca="1" ref="T147" ca="1">T146</f>
        <v>1</v>
      </c>
      <c r="U147" s="1210"/>
      <c r="V147" s="1210"/>
      <c r="W147" s="1210"/>
      <c r="X147" s="2120"/>
      <c r="Y147" s="1210"/>
      <c r="Z147" s="2121"/>
      <c r="AA147" s="1210"/>
      <c r="AB147" s="727" t="s">
        <v>580</v>
      </c>
      <c r="AC147" s="732" t="s">
        <v>1762</v>
      </c>
      <c r="AD147" s="733" t="s">
        <v>831</v>
      </c>
      <c r="AE147" s="177">
        <f ca="1">SUMIFS(Административные!AE$25:AE$84,Административные!$F$25:$F$84,$F147,Административные!$G$25:$G$84,$G147)</f>
        <v>0</v>
      </c>
      <c r="AF147" s="177">
        <f ca="1">SUMIFS(Административные!AF$25:AF$84,Административные!$F$25:$F$84,$F147,Административные!$G$25:$G$84,$G147)</f>
        <v>0</v>
      </c>
      <c r="AG147" s="177">
        <f ca="1">SUMIFS(Административные!AG$25:AG$84,Административные!$F$25:$F$84,$F147,Административные!$G$25:$G$84,$G147)</f>
        <v>0</v>
      </c>
      <c r="AH147" s="722">
        <f t="shared" ca="1" si="9"/>
        <v>0</v>
      </c>
      <c r="AI147" s="177">
        <f ca="1">SUMIFS(Административные!AH$25:AH$84,Административные!$F$25:$F$84,$F147,Административные!$G$25:$G$84,$G147)</f>
        <v>0</v>
      </c>
      <c r="AJ147" s="177">
        <f ca="1">SUMIFS(Административные!AI$25:AI$84,Административные!$F$25:$F$84,$F147,Административные!$G$25:$G$84,$G147)</f>
        <v>0</v>
      </c>
      <c r="AK147" s="177">
        <f ca="1">SUMIFS(Административные!AJ$25:AJ$84,Административные!$F$25:$F$84,$F147,Административные!$G$25:$G$84,$G147)</f>
        <v>0</v>
      </c>
      <c r="AL147" s="722">
        <f t="shared" ca="1" si="10"/>
        <v>0</v>
      </c>
      <c r="AM147" s="723"/>
      <c r="AN147" s="823" t="str">
        <f ca="1">IF(IFERROR(INDEX(Административные!$K$26:$L$84,MATCH($F147&amp;"17komm",Административные!$K$26:$K$84,0),2),"")=0,"",IFERROR(INDEX(Административные!$K$26:$L$84,MATCH($F147&amp;"17komm",Административные!$K$26:$K$84,0),2),""))</f>
        <v/>
      </c>
      <c r="AO147" s="723"/>
      <c r="AP147" s="1210"/>
      <c r="AQ147" s="1210"/>
      <c r="AR147" s="971" t="s">
        <v>1157</v>
      </c>
      <c r="AS147" s="971"/>
      <c r="AT147" s="971"/>
      <c r="AU147" s="968"/>
      <c r="AV147" s="968"/>
    </row>
    <row r="148" spans="1:48" s="1334" customFormat="1" ht="32.25" customHeight="1" x14ac:dyDescent="0.25">
      <c r="A148" s="1210"/>
      <c r="B148" s="1210"/>
      <c r="C148" s="1210"/>
      <c r="D148" s="1210"/>
      <c r="E148" s="618">
        <v>33.75</v>
      </c>
      <c r="F148" s="3" t="str" cm="1">
        <f t="array" aca="1" ref="F148" ca="1">OFFSET(E148,-1,1)</f>
        <v>1</v>
      </c>
      <c r="G148" s="1210"/>
      <c r="H148" s="1210"/>
      <c r="I148" s="511" t="s">
        <v>942</v>
      </c>
      <c r="J148" s="511"/>
      <c r="K148" s="511"/>
      <c r="L148" s="511"/>
      <c r="M148" s="511"/>
      <c r="N148" s="511"/>
      <c r="O148" s="511"/>
      <c r="P148" s="511"/>
      <c r="Q148" s="511"/>
      <c r="R148" s="511"/>
      <c r="S148" s="511"/>
      <c r="T148" s="388" t="b" cm="1">
        <f t="array" aca="1" ref="T148" ca="1">T147</f>
        <v>1</v>
      </c>
      <c r="U148" s="1210"/>
      <c r="V148" s="1210"/>
      <c r="W148" s="1210"/>
      <c r="X148" s="2120"/>
      <c r="Y148" s="1210"/>
      <c r="Z148" s="2121"/>
      <c r="AA148" s="1210"/>
      <c r="AB148" s="727" t="s">
        <v>584</v>
      </c>
      <c r="AC148" s="732" t="s">
        <v>1763</v>
      </c>
      <c r="AD148" s="733" t="s">
        <v>831</v>
      </c>
      <c r="AE148" s="722">
        <f ca="1">AE149+AE150</f>
        <v>8503.6398699234996</v>
      </c>
      <c r="AF148" s="722">
        <f ca="1">AF149+AF150</f>
        <v>0</v>
      </c>
      <c r="AG148" s="722">
        <f ca="1">AG149+AG150</f>
        <v>0</v>
      </c>
      <c r="AH148" s="722">
        <f t="shared" ca="1" si="9"/>
        <v>0</v>
      </c>
      <c r="AI148" s="722">
        <f ca="1">AI149+AI150</f>
        <v>0</v>
      </c>
      <c r="AJ148" s="722">
        <f ca="1">AJ149+AJ150</f>
        <v>0</v>
      </c>
      <c r="AK148" s="722">
        <f ca="1">AK149+AK150</f>
        <v>0</v>
      </c>
      <c r="AL148" s="722">
        <f t="shared" ca="1" si="10"/>
        <v>0</v>
      </c>
      <c r="AM148" s="723"/>
      <c r="AN148" s="723"/>
      <c r="AO148" s="723"/>
      <c r="AP148" s="1210"/>
      <c r="AQ148" s="1210"/>
      <c r="AR148" s="971" t="s">
        <v>1764</v>
      </c>
      <c r="AS148" s="971"/>
      <c r="AT148" s="971"/>
      <c r="AU148" s="968"/>
      <c r="AV148" s="968"/>
    </row>
    <row r="149" spans="1:48" s="1334" customFormat="1" ht="21.75" customHeight="1" x14ac:dyDescent="0.25">
      <c r="A149" s="1210"/>
      <c r="B149" s="1210"/>
      <c r="C149" s="1210"/>
      <c r="D149" s="1210"/>
      <c r="E149" s="618">
        <v>22.5</v>
      </c>
      <c r="F149" s="3" t="str" cm="1">
        <f t="array" aca="1" ref="F149" ca="1">OFFSET(E149,-1,1)</f>
        <v>1</v>
      </c>
      <c r="G149" s="1140" t="s">
        <v>1127</v>
      </c>
      <c r="H149" s="1210"/>
      <c r="I149" s="511" t="s">
        <v>530</v>
      </c>
      <c r="J149" s="511"/>
      <c r="K149" s="511"/>
      <c r="L149" s="511"/>
      <c r="M149" s="511"/>
      <c r="N149" s="511"/>
      <c r="O149" s="511"/>
      <c r="P149" s="511"/>
      <c r="Q149" s="511"/>
      <c r="R149" s="511"/>
      <c r="S149" s="511"/>
      <c r="T149" s="388" t="b" cm="1">
        <f t="array" aca="1" ref="T149" ca="1">T148</f>
        <v>1</v>
      </c>
      <c r="U149" s="1210"/>
      <c r="V149" s="1210"/>
      <c r="W149" s="1210"/>
      <c r="X149" s="2120"/>
      <c r="Y149" s="1210"/>
      <c r="Z149" s="2121"/>
      <c r="AA149" s="1210"/>
      <c r="AB149" s="727" t="s">
        <v>790</v>
      </c>
      <c r="AC149" s="728" t="s">
        <v>1765</v>
      </c>
      <c r="AD149" s="733" t="s">
        <v>831</v>
      </c>
      <c r="AE149" s="722">
        <f ca="1">SUMIFS(ФОТ!AE$25:AE$138,ФОТ!$F$25:$F$138,$F149,ФОТ!$G$25:$G$138,$G149)</f>
        <v>6531.2134177600001</v>
      </c>
      <c r="AF149" s="722">
        <f ca="1">SUMIFS(ФОТ!AF$25:AF$138,ФОТ!$F$25:$F$138,$F149,ФОТ!$G$25:$G$138,$G149)</f>
        <v>0</v>
      </c>
      <c r="AG149" s="722">
        <f ca="1">SUMIFS(ФОТ!AG$25:AG$138,ФОТ!$F$25:$F$138,$F149,ФОТ!$G$25:$G$138,$G149)</f>
        <v>0</v>
      </c>
      <c r="AH149" s="722">
        <f t="shared" ca="1" si="9"/>
        <v>0</v>
      </c>
      <c r="AI149" s="722">
        <f ca="1">SUMIFS(ФОТ!AH$25:AH$138,ФОТ!$F$25:$F$138,$F149,ФОТ!$G$25:$G$138,$G149)</f>
        <v>0</v>
      </c>
      <c r="AJ149" s="722">
        <f ca="1">SUMIFS(ФОТ!AI$25:AI$138,ФОТ!$F$25:$F$138,$F149,ФОТ!$G$25:$G$138,$G149)</f>
        <v>0</v>
      </c>
      <c r="AK149" s="722">
        <f ca="1">SUMIFS(ФОТ!AJ$25:AJ$138,ФОТ!$F$25:$F$138,$F149,ФОТ!$G$25:$G$138,$G149)</f>
        <v>0</v>
      </c>
      <c r="AL149" s="722">
        <f t="shared" ca="1" si="10"/>
        <v>0</v>
      </c>
      <c r="AM149" s="723"/>
      <c r="AN149" s="823" t="str">
        <f ca="1">IF(IFERROR(INDEX(ФОТ!$K$26:$L$138,MATCH($F149&amp;"5komm",ФОТ!$K$26:$K$138,0),2),"")=0,"",IFERROR(INDEX(ФОТ!$K$26:$L$138,MATCH($F149&amp;"5komm",ФОТ!$K$26:$K$138,0),2),""))</f>
        <v/>
      </c>
      <c r="AO149" s="723"/>
      <c r="AP149" s="1210"/>
      <c r="AQ149" s="1210"/>
      <c r="AR149" s="971" t="s">
        <v>1154</v>
      </c>
      <c r="AS149" s="971"/>
      <c r="AT149" s="971"/>
      <c r="AU149" s="968"/>
      <c r="AV149" s="968"/>
    </row>
    <row r="150" spans="1:48" s="1334" customFormat="1" ht="32.25" customHeight="1" x14ac:dyDescent="0.25">
      <c r="A150" s="1210"/>
      <c r="B150" s="1210"/>
      <c r="C150" s="1210"/>
      <c r="D150" s="1210"/>
      <c r="E150" s="618">
        <v>33.75</v>
      </c>
      <c r="F150" s="3" t="str" cm="1">
        <f t="array" aca="1" ref="F150" ca="1">OFFSET(E150,-1,1)</f>
        <v>1</v>
      </c>
      <c r="G150" s="421" t="s">
        <v>1132</v>
      </c>
      <c r="H150" s="1210"/>
      <c r="I150" s="511" t="s">
        <v>535</v>
      </c>
      <c r="J150" s="511"/>
      <c r="K150" s="511"/>
      <c r="L150" s="511"/>
      <c r="M150" s="511"/>
      <c r="N150" s="511"/>
      <c r="O150" s="511"/>
      <c r="P150" s="511"/>
      <c r="Q150" s="511"/>
      <c r="R150" s="511"/>
      <c r="S150" s="511"/>
      <c r="T150" s="388" t="b" cm="1">
        <f t="array" aca="1" ref="T150" ca="1">T149</f>
        <v>1</v>
      </c>
      <c r="U150" s="1210"/>
      <c r="V150" s="1210"/>
      <c r="W150" s="1210"/>
      <c r="X150" s="2120"/>
      <c r="Y150" s="1210"/>
      <c r="Z150" s="2121"/>
      <c r="AA150" s="1210"/>
      <c r="AB150" s="727" t="s">
        <v>793</v>
      </c>
      <c r="AC150" s="728" t="s">
        <v>1766</v>
      </c>
      <c r="AD150" s="733" t="s">
        <v>831</v>
      </c>
      <c r="AE150" s="722">
        <f ca="1">SUMIFS(ФОТ!AE$25:AE$138,ФОТ!$F$25:$F$138,$F150,ФОТ!$G$25:$G$138,$G150)</f>
        <v>1972.4264521635</v>
      </c>
      <c r="AF150" s="722">
        <f ca="1">SUMIFS(ФОТ!AF$25:AF$138,ФОТ!$F$25:$F$138,$F150,ФОТ!$G$25:$G$138,$G150)</f>
        <v>0</v>
      </c>
      <c r="AG150" s="722">
        <f ca="1">SUMIFS(ФОТ!AG$25:AG$138,ФОТ!$F$25:$F$138,$F150,ФОТ!$G$25:$G$138,$G150)</f>
        <v>0</v>
      </c>
      <c r="AH150" s="722">
        <f t="shared" ca="1" si="9"/>
        <v>0</v>
      </c>
      <c r="AI150" s="722">
        <f ca="1">SUMIFS(ФОТ!AH$25:AH$138,ФОТ!$F$25:$F$138,$F150,ФОТ!$G$25:$G$138,$G150)</f>
        <v>0</v>
      </c>
      <c r="AJ150" s="722">
        <f ca="1">SUMIFS(ФОТ!AI$25:AI$138,ФОТ!$F$25:$F$138,$F150,ФОТ!$G$25:$G$138,$G150)</f>
        <v>0</v>
      </c>
      <c r="AK150" s="722">
        <f ca="1">SUMIFS(ФОТ!AJ$25:AJ$138,ФОТ!$F$25:$F$138,$F150,ФОТ!$G$25:$G$138,$G150)</f>
        <v>0</v>
      </c>
      <c r="AL150" s="722">
        <f t="shared" ca="1" si="10"/>
        <v>0</v>
      </c>
      <c r="AM150" s="723"/>
      <c r="AN150" s="823" t="str">
        <f ca="1">IF(IFERROR(INDEX(ФОТ!$K$26:$L$138,MATCH($F150&amp;"6komm",ФОТ!$K$26:$K$138,0),2),"")=0,"",IFERROR(INDEX(ФОТ!$K$26:$L$138,MATCH($F150&amp;"6komm",ФОТ!$K$26:$K$138,0),2),""))</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AO150" s="723"/>
      <c r="AP150" s="1210"/>
      <c r="AQ150" s="1210"/>
      <c r="AR150" s="971" t="s">
        <v>1767</v>
      </c>
      <c r="AS150" s="971"/>
      <c r="AT150" s="971"/>
      <c r="AU150" s="968"/>
      <c r="AV150" s="968"/>
    </row>
    <row r="151" spans="1:48" s="1334" customFormat="1" ht="32.25" customHeight="1" x14ac:dyDescent="0.25">
      <c r="A151" s="1210"/>
      <c r="B151" s="1210"/>
      <c r="C151" s="1210"/>
      <c r="D151" s="1210"/>
      <c r="E151" s="618">
        <v>33.75</v>
      </c>
      <c r="F151" s="3" t="str" cm="1">
        <f t="array" aca="1" ref="F151" ca="1">OFFSET(E151,-1,1)</f>
        <v>1</v>
      </c>
      <c r="G151" s="501" t="s">
        <v>1183</v>
      </c>
      <c r="H151" s="1210"/>
      <c r="I151" s="511" t="s">
        <v>944</v>
      </c>
      <c r="J151" s="511"/>
      <c r="K151" s="511"/>
      <c r="L151" s="511"/>
      <c r="M151" s="511"/>
      <c r="N151" s="511"/>
      <c r="O151" s="511"/>
      <c r="P151" s="511"/>
      <c r="Q151" s="511"/>
      <c r="R151" s="511"/>
      <c r="S151" s="511"/>
      <c r="T151" s="388" t="b" cm="1">
        <f t="array" aca="1" ref="T151" ca="1">T150</f>
        <v>1</v>
      </c>
      <c r="U151" s="1210"/>
      <c r="V151" s="1210"/>
      <c r="W151" s="1210"/>
      <c r="X151" s="2120"/>
      <c r="Y151" s="1210"/>
      <c r="Z151" s="2121"/>
      <c r="AA151" s="1210"/>
      <c r="AB151" s="727" t="s">
        <v>796</v>
      </c>
      <c r="AC151" s="732" t="s">
        <v>1768</v>
      </c>
      <c r="AD151" s="733" t="s">
        <v>831</v>
      </c>
      <c r="AE151" s="722">
        <f ca="1">SUMIFS(Административные!AE$25:AE$84,Административные!$F$25:$F$84,$F151,Административные!$G$25:$G$84,$G151)</f>
        <v>0</v>
      </c>
      <c r="AF151" s="722">
        <f ca="1">SUMIFS(Административные!AF$25:AF$84,Административные!$F$25:$F$84,$F151,Административные!$G$25:$G$84,$G151)</f>
        <v>0</v>
      </c>
      <c r="AG151" s="722">
        <f ca="1">SUMIFS(Административные!AG$25:AG$84,Административные!$F$25:$F$84,$F151,Административные!$G$25:$G$84,$G151)</f>
        <v>0</v>
      </c>
      <c r="AH151" s="722">
        <f t="shared" ca="1" si="9"/>
        <v>0</v>
      </c>
      <c r="AI151" s="722">
        <f ca="1">SUMIFS(Административные!AH$25:AH$84,Административные!$F$25:$F$84,$F151,Административные!$G$25:$G$84,$G151)</f>
        <v>0</v>
      </c>
      <c r="AJ151" s="722">
        <f ca="1">SUMIFS(Административные!AI$25:AI$84,Административные!$F$25:$F$84,$F151,Административные!$G$25:$G$84,$G151)</f>
        <v>0</v>
      </c>
      <c r="AK151" s="722">
        <f ca="1">SUMIFS(Административные!AJ$25:AJ$84,Административные!$F$25:$F$84,$F151,Административные!$G$25:$G$84,$G151)</f>
        <v>0</v>
      </c>
      <c r="AL151" s="722">
        <f t="shared" ca="1" si="10"/>
        <v>0</v>
      </c>
      <c r="AM151" s="723"/>
      <c r="AN151" s="823" t="str">
        <f ca="1">IF(IFERROR(INDEX(Административные!$K$26:$L$84,MATCH($F151&amp;"2komm",Административные!$K$26:$K$84,0),2),"")=0,"",IFERROR(INDEX(Административные!$K$26:$L$84,MATCH($F151&amp;"2komm",Административные!$K$26:$K$84,0),2),""))</f>
        <v/>
      </c>
      <c r="AO151" s="723"/>
      <c r="AP151" s="1210"/>
      <c r="AQ151" s="1210"/>
      <c r="AR151" s="971" t="s">
        <v>1185</v>
      </c>
      <c r="AS151" s="971"/>
      <c r="AT151" s="971"/>
      <c r="AU151" s="968"/>
      <c r="AV151" s="968"/>
    </row>
    <row r="152" spans="1:48" s="1334" customFormat="1" ht="14.25" customHeight="1" x14ac:dyDescent="0.25">
      <c r="A152" s="1210"/>
      <c r="B152" s="1210"/>
      <c r="C152" s="1210"/>
      <c r="D152" s="1210"/>
      <c r="E152" s="618">
        <v>15</v>
      </c>
      <c r="F152" s="3" t="str" cm="1">
        <f t="array" aca="1" ref="F152" ca="1">OFFSET(E152,-1,1)</f>
        <v>1</v>
      </c>
      <c r="G152" s="501" t="s">
        <v>1186</v>
      </c>
      <c r="H152" s="1210"/>
      <c r="I152" s="511" t="s">
        <v>946</v>
      </c>
      <c r="J152" s="511"/>
      <c r="K152" s="511"/>
      <c r="L152" s="511"/>
      <c r="M152" s="511"/>
      <c r="N152" s="511"/>
      <c r="O152" s="511"/>
      <c r="P152" s="511"/>
      <c r="Q152" s="511"/>
      <c r="R152" s="511"/>
      <c r="S152" s="511"/>
      <c r="T152" s="388" t="b" cm="1">
        <f t="array" aca="1" ref="T152" ca="1">T151</f>
        <v>1</v>
      </c>
      <c r="U152" s="1210"/>
      <c r="V152" s="1210"/>
      <c r="W152" s="1210"/>
      <c r="X152" s="2120"/>
      <c r="Y152" s="1210"/>
      <c r="Z152" s="2121"/>
      <c r="AA152" s="1210"/>
      <c r="AB152" s="727" t="s">
        <v>947</v>
      </c>
      <c r="AC152" s="732" t="s">
        <v>1187</v>
      </c>
      <c r="AD152" s="733" t="s">
        <v>831</v>
      </c>
      <c r="AE152" s="722">
        <f ca="1">SUMIFS(Административные!AE$25:AE$84,Административные!$F$25:$F$84,$F152,Административные!$G$25:$G$84,$G152)</f>
        <v>0</v>
      </c>
      <c r="AF152" s="722">
        <f ca="1">SUMIFS(Административные!AF$25:AF$84,Административные!$F$25:$F$84,$F152,Административные!$G$25:$G$84,$G152)</f>
        <v>0</v>
      </c>
      <c r="AG152" s="722">
        <f ca="1">SUMIFS(Административные!AG$25:AG$84,Административные!$F$25:$F$84,$F152,Административные!$G$25:$G$84,$G152)</f>
        <v>0</v>
      </c>
      <c r="AH152" s="722">
        <f t="shared" ca="1" si="9"/>
        <v>0</v>
      </c>
      <c r="AI152" s="722">
        <f ca="1">SUMIFS(Административные!AH$25:AH$84,Административные!$F$25:$F$84,$F152,Административные!$G$25:$G$84,$G152)</f>
        <v>0</v>
      </c>
      <c r="AJ152" s="722">
        <f ca="1">SUMIFS(Административные!AI$25:AI$84,Административные!$F$25:$F$84,$F152,Административные!$G$25:$G$84,$G152)</f>
        <v>0</v>
      </c>
      <c r="AK152" s="722">
        <f ca="1">SUMIFS(Административные!AJ$25:AJ$84,Административные!$F$25:$F$84,$F152,Административные!$G$25:$G$84,$G152)</f>
        <v>0</v>
      </c>
      <c r="AL152" s="722">
        <f t="shared" ca="1" si="10"/>
        <v>0</v>
      </c>
      <c r="AM152" s="723"/>
      <c r="AN152" s="823" t="str">
        <f ca="1">IF(IFERROR(INDEX(Административные!$K$26:$L$84,MATCH($F152&amp;"3komm",Административные!$K$26:$K$84,0),2),"")=0,"",IFERROR(INDEX(Административные!$K$26:$L$84,MATCH($F152&amp;"3komm",Административные!$K$26:$K$84,0),2),""))</f>
        <v/>
      </c>
      <c r="AO152" s="723"/>
      <c r="AP152" s="1210"/>
      <c r="AQ152" s="1210"/>
      <c r="AR152" s="971" t="s">
        <v>1188</v>
      </c>
      <c r="AS152" s="971"/>
      <c r="AT152" s="971"/>
      <c r="AU152" s="968"/>
      <c r="AV152" s="968"/>
    </row>
    <row r="153" spans="1:48" s="1334" customFormat="1" ht="14.25" customHeight="1" x14ac:dyDescent="0.25">
      <c r="A153" s="1210"/>
      <c r="B153" s="1210"/>
      <c r="C153" s="1210"/>
      <c r="D153" s="1210"/>
      <c r="E153" s="618">
        <v>15</v>
      </c>
      <c r="F153" s="3" t="str" cm="1">
        <f t="array" aca="1" ref="F153" ca="1">OFFSET(E153,-1,1)</f>
        <v>1</v>
      </c>
      <c r="G153" s="501" t="s">
        <v>1189</v>
      </c>
      <c r="H153" s="1210"/>
      <c r="I153" s="511" t="s">
        <v>949</v>
      </c>
      <c r="J153" s="511"/>
      <c r="K153" s="511"/>
      <c r="L153" s="511"/>
      <c r="M153" s="511"/>
      <c r="N153" s="511"/>
      <c r="O153" s="511"/>
      <c r="P153" s="511"/>
      <c r="Q153" s="511"/>
      <c r="R153" s="511"/>
      <c r="S153" s="511"/>
      <c r="T153" s="388" t="b" cm="1">
        <f t="array" aca="1" ref="T153" ca="1">T152</f>
        <v>1</v>
      </c>
      <c r="U153" s="1210"/>
      <c r="V153" s="1210"/>
      <c r="W153" s="1210"/>
      <c r="X153" s="2120"/>
      <c r="Y153" s="1210"/>
      <c r="Z153" s="2121"/>
      <c r="AA153" s="1210"/>
      <c r="AB153" s="727" t="s">
        <v>950</v>
      </c>
      <c r="AC153" s="732" t="s">
        <v>1190</v>
      </c>
      <c r="AD153" s="733" t="s">
        <v>831</v>
      </c>
      <c r="AE153" s="722">
        <f ca="1">SUMIFS(Административные!AE$25:AE$84,Административные!$F$25:$F$84,$F153,Административные!$G$25:$G$84,$G153)</f>
        <v>0</v>
      </c>
      <c r="AF153" s="722">
        <f ca="1">SUMIFS(Административные!AF$25:AF$84,Административные!$F$25:$F$84,$F153,Административные!$G$25:$G$84,$G153)</f>
        <v>0</v>
      </c>
      <c r="AG153" s="722">
        <f ca="1">SUMIFS(Административные!AG$25:AG$84,Административные!$F$25:$F$84,$F153,Административные!$G$25:$G$84,$G153)</f>
        <v>0</v>
      </c>
      <c r="AH153" s="722">
        <f t="shared" ca="1" si="9"/>
        <v>0</v>
      </c>
      <c r="AI153" s="722">
        <f ca="1">SUMIFS(Административные!AH$25:AH$84,Административные!$F$25:$F$84,$F153,Административные!$G$25:$G$84,$G153)</f>
        <v>0</v>
      </c>
      <c r="AJ153" s="722">
        <f ca="1">SUMIFS(Административные!AI$25:AI$84,Административные!$F$25:$F$84,$F153,Административные!$G$25:$G$84,$G153)</f>
        <v>0</v>
      </c>
      <c r="AK153" s="722">
        <f ca="1">SUMIFS(Административные!AJ$25:AJ$84,Административные!$F$25:$F$84,$F153,Административные!$G$25:$G$84,$G153)</f>
        <v>0</v>
      </c>
      <c r="AL153" s="722">
        <f t="shared" ca="1" si="10"/>
        <v>0</v>
      </c>
      <c r="AM153" s="723"/>
      <c r="AN153" s="823" t="str">
        <f ca="1">IF(IFERROR(INDEX(Административные!$K$26:$L$84,MATCH($F153&amp;"4komm",Административные!$K$26:$K$84,0),2),"")=0,"",IFERROR(INDEX(Административные!$K$26:$L$84,MATCH($F153&amp;"4komm",Административные!$K$26:$K$84,0),2),""))</f>
        <v/>
      </c>
      <c r="AO153" s="723"/>
      <c r="AP153" s="1210"/>
      <c r="AQ153" s="1210"/>
      <c r="AR153" s="971" t="s">
        <v>1191</v>
      </c>
      <c r="AS153" s="971"/>
      <c r="AT153" s="971"/>
      <c r="AU153" s="968"/>
      <c r="AV153" s="968"/>
    </row>
    <row r="154" spans="1:48" s="1334" customFormat="1" ht="14.25" customHeight="1" x14ac:dyDescent="0.25">
      <c r="A154" s="1210"/>
      <c r="B154" s="1210"/>
      <c r="C154" s="1210"/>
      <c r="D154" s="1210"/>
      <c r="E154" s="618">
        <v>15</v>
      </c>
      <c r="F154" s="3" t="str" cm="1">
        <f t="array" aca="1" ref="F154" ca="1">OFFSET(E154,-1,1)</f>
        <v>1</v>
      </c>
      <c r="G154" s="501" t="s">
        <v>1192</v>
      </c>
      <c r="H154" s="1210"/>
      <c r="I154" s="511" t="s">
        <v>1174</v>
      </c>
      <c r="J154" s="511"/>
      <c r="K154" s="511"/>
      <c r="L154" s="511"/>
      <c r="M154" s="511"/>
      <c r="N154" s="511"/>
      <c r="O154" s="511"/>
      <c r="P154" s="511"/>
      <c r="Q154" s="511"/>
      <c r="R154" s="511"/>
      <c r="S154" s="511"/>
      <c r="T154" s="388" t="b" cm="1">
        <f t="array" aca="1" ref="T154" ca="1">T153</f>
        <v>1</v>
      </c>
      <c r="U154" s="1210"/>
      <c r="V154" s="1210"/>
      <c r="W154" s="1210"/>
      <c r="X154" s="2120"/>
      <c r="Y154" s="1210"/>
      <c r="Z154" s="2121"/>
      <c r="AA154" s="1210"/>
      <c r="AB154" s="727" t="s">
        <v>1175</v>
      </c>
      <c r="AC154" s="732" t="s">
        <v>1193</v>
      </c>
      <c r="AD154" s="733" t="s">
        <v>831</v>
      </c>
      <c r="AE154" s="722">
        <f ca="1">SUMIFS(Административные!AE$25:AE$84,Административные!$F$25:$F$84,$F154,Административные!$G$25:$G$84,$G154)</f>
        <v>0</v>
      </c>
      <c r="AF154" s="722">
        <f ca="1">SUMIFS(Административные!AF$25:AF$84,Административные!$F$25:$F$84,$F154,Административные!$G$25:$G$84,$G154)</f>
        <v>0</v>
      </c>
      <c r="AG154" s="722">
        <f ca="1">SUMIFS(Административные!AG$25:AG$84,Административные!$F$25:$F$84,$F154,Административные!$G$25:$G$84,$G154)</f>
        <v>0</v>
      </c>
      <c r="AH154" s="722">
        <f t="shared" ca="1" si="9"/>
        <v>0</v>
      </c>
      <c r="AI154" s="722">
        <f ca="1">SUMIFS(Административные!AH$25:AH$84,Административные!$F$25:$F$84,$F154,Административные!$G$25:$G$84,$G154)</f>
        <v>0</v>
      </c>
      <c r="AJ154" s="722">
        <f ca="1">SUMIFS(Административные!AI$25:AI$84,Административные!$F$25:$F$84,$F154,Административные!$G$25:$G$84,$G154)</f>
        <v>0</v>
      </c>
      <c r="AK154" s="722">
        <f ca="1">SUMIFS(Административные!AJ$25:AJ$84,Административные!$F$25:$F$84,$F154,Административные!$G$25:$G$84,$G154)</f>
        <v>0</v>
      </c>
      <c r="AL154" s="722">
        <f t="shared" ca="1" si="10"/>
        <v>0</v>
      </c>
      <c r="AM154" s="723"/>
      <c r="AN154" s="823" t="str">
        <f ca="1">IF(IFERROR(INDEX(Административные!$K$26:$L$84,MATCH($F150&amp;"5komm",Административные!$K$26:$K$84,0),2),"")=0,"",IFERROR(INDEX(Административные!$K$26:$L$84,MATCH($F150&amp;"5komm",Административные!$K$26:$K$84,0),2),""))</f>
        <v/>
      </c>
      <c r="AO154" s="723"/>
      <c r="AP154" s="1210"/>
      <c r="AQ154" s="1210"/>
      <c r="AR154" s="971" t="s">
        <v>1769</v>
      </c>
      <c r="AS154" s="971"/>
      <c r="AT154" s="971"/>
      <c r="AU154" s="968"/>
      <c r="AV154" s="968"/>
    </row>
    <row r="155" spans="1:48" s="1334" customFormat="1" ht="14.25" customHeight="1" x14ac:dyDescent="0.25">
      <c r="A155" s="1210"/>
      <c r="B155" s="1210"/>
      <c r="C155" s="1210"/>
      <c r="D155" s="1210"/>
      <c r="E155" s="618">
        <v>15</v>
      </c>
      <c r="F155" s="3" t="str" cm="1">
        <f t="array" aca="1" ref="F155" ca="1">OFFSET(E155,-1,1)</f>
        <v>1</v>
      </c>
      <c r="G155" s="501" t="s">
        <v>1195</v>
      </c>
      <c r="H155" s="1210"/>
      <c r="I155" s="511" t="s">
        <v>1179</v>
      </c>
      <c r="J155" s="511"/>
      <c r="K155" s="511"/>
      <c r="L155" s="511"/>
      <c r="M155" s="511"/>
      <c r="N155" s="511"/>
      <c r="O155" s="511"/>
      <c r="P155" s="511"/>
      <c r="Q155" s="511"/>
      <c r="R155" s="511"/>
      <c r="S155" s="511"/>
      <c r="T155" s="388" t="b" cm="1">
        <f t="array" aca="1" ref="T155" ca="1">T154</f>
        <v>1</v>
      </c>
      <c r="U155" s="1210"/>
      <c r="V155" s="1210"/>
      <c r="W155" s="1210"/>
      <c r="X155" s="2120"/>
      <c r="Y155" s="1210"/>
      <c r="Z155" s="2121"/>
      <c r="AA155" s="1210"/>
      <c r="AB155" s="727" t="s">
        <v>1180</v>
      </c>
      <c r="AC155" s="732" t="s">
        <v>1770</v>
      </c>
      <c r="AD155" s="733" t="s">
        <v>831</v>
      </c>
      <c r="AE155" s="722">
        <f ca="1">SUMIFS(Административные!AE$25:AE$84,Административные!$F$25:$F$84,$F155,Административные!$G$25:$G$84,$G155)</f>
        <v>802.90885449999996</v>
      </c>
      <c r="AF155" s="722">
        <f ca="1">SUMIFS(Административные!AF$25:AF$84,Административные!$F$25:$F$84,$F155,Административные!$G$25:$G$84,$G155)</f>
        <v>0</v>
      </c>
      <c r="AG155" s="722">
        <f ca="1">SUMIFS(Административные!AG$25:AG$84,Административные!$F$25:$F$84,$F155,Административные!$G$25:$G$84,$G155)</f>
        <v>0</v>
      </c>
      <c r="AH155" s="722">
        <f t="shared" ca="1" si="9"/>
        <v>0</v>
      </c>
      <c r="AI155" s="722">
        <f ca="1">SUMIFS(Административные!AH$25:AH$84,Административные!$F$25:$F$84,$F155,Административные!$G$25:$G$84,$G155)</f>
        <v>0</v>
      </c>
      <c r="AJ155" s="722">
        <f ca="1">SUMIFS(Административные!AI$25:AI$84,Административные!$F$25:$F$84,$F155,Административные!$G$25:$G$84,$G155)</f>
        <v>0</v>
      </c>
      <c r="AK155" s="722">
        <f ca="1">SUMIFS(Административные!AJ$25:AJ$84,Административные!$F$25:$F$84,$F155,Административные!$G$25:$G$84,$G155)</f>
        <v>0</v>
      </c>
      <c r="AL155" s="722">
        <f t="shared" ca="1" si="10"/>
        <v>0</v>
      </c>
      <c r="AM155" s="723"/>
      <c r="AN155" s="823" t="str">
        <f ca="1">IF(IFERROR(INDEX(Административные!$K$26:$L$84,MATCH($F155&amp;"6komm",Административные!$K$26:$K$84,0),2),"")=0,"",IFERROR(INDEX(Административные!$K$26:$L$84,MATCH($F150&amp;"6komm",Административные!$K$26:$K$84,0),2),""))</f>
        <v/>
      </c>
      <c r="AO155" s="723"/>
      <c r="AP155" s="1210"/>
      <c r="AQ155" s="1210"/>
      <c r="AR155" s="971" t="s">
        <v>1771</v>
      </c>
      <c r="AS155" s="971"/>
      <c r="AT155" s="971"/>
      <c r="AU155" s="968"/>
      <c r="AV155" s="968"/>
    </row>
    <row r="156" spans="1:48" s="1334" customFormat="1" ht="14.25" customHeight="1" x14ac:dyDescent="0.25">
      <c r="A156" s="1210"/>
      <c r="B156" s="1210"/>
      <c r="C156" s="1210"/>
      <c r="D156" s="1210"/>
      <c r="E156" s="618">
        <v>15</v>
      </c>
      <c r="F156" s="3" t="str" cm="1">
        <f t="array" aca="1" ref="F156" ca="1">OFFSET(E156,-1,1)</f>
        <v>1</v>
      </c>
      <c r="G156" s="501" t="s">
        <v>1197</v>
      </c>
      <c r="H156" s="1210"/>
      <c r="I156" s="511" t="s">
        <v>1772</v>
      </c>
      <c r="J156" s="511"/>
      <c r="K156" s="511"/>
      <c r="L156" s="511"/>
      <c r="M156" s="511"/>
      <c r="N156" s="511"/>
      <c r="O156" s="511"/>
      <c r="P156" s="511"/>
      <c r="Q156" s="511"/>
      <c r="R156" s="511"/>
      <c r="S156" s="511"/>
      <c r="T156" s="388" t="b" cm="1">
        <f t="array" aca="1" ref="T156" ca="1">T155</f>
        <v>1</v>
      </c>
      <c r="U156" s="1210"/>
      <c r="V156" s="1210"/>
      <c r="W156" s="1210"/>
      <c r="X156" s="2120"/>
      <c r="Y156" s="1210"/>
      <c r="Z156" s="2121"/>
      <c r="AA156" s="1210"/>
      <c r="AB156" s="727" t="s">
        <v>1773</v>
      </c>
      <c r="AC156" s="728" t="s">
        <v>1774</v>
      </c>
      <c r="AD156" s="733" t="s">
        <v>831</v>
      </c>
      <c r="AE156" s="722">
        <f ca="1">SUMIFS(Административные!AE$25:AE$84,Административные!$F$25:$F$84,$F156,Административные!$G$25:$G$84,$G156)</f>
        <v>0</v>
      </c>
      <c r="AF156" s="722">
        <f ca="1">SUMIFS(Административные!AF$25:AF$84,Административные!$F$25:$F$84,$F156,Административные!$G$25:$G$84,$G156)</f>
        <v>0</v>
      </c>
      <c r="AG156" s="722">
        <f ca="1">SUMIFS(Административные!AG$25:AG$84,Административные!$F$25:$F$84,$F156,Административные!$G$25:$G$84,$G156)</f>
        <v>0</v>
      </c>
      <c r="AH156" s="722">
        <f t="shared" ca="1" si="9"/>
        <v>0</v>
      </c>
      <c r="AI156" s="722">
        <f ca="1">SUMIFS(Административные!AH$25:AH$84,Административные!$F$25:$F$84,$F156,Административные!$G$25:$G$84,$G156)</f>
        <v>0</v>
      </c>
      <c r="AJ156" s="722">
        <f ca="1">SUMIFS(Административные!AI$25:AI$84,Административные!$F$25:$F$84,$F156,Административные!$G$25:$G$84,$G156)</f>
        <v>0</v>
      </c>
      <c r="AK156" s="722">
        <f ca="1">SUMIFS(Административные!AJ$25:AJ$84,Административные!$F$25:$F$84,$F156,Административные!$G$25:$G$84,$G156)</f>
        <v>0</v>
      </c>
      <c r="AL156" s="722">
        <f t="shared" ca="1" si="10"/>
        <v>0</v>
      </c>
      <c r="AM156" s="723"/>
      <c r="AN156" s="823" t="str">
        <f ca="1">IF(IFERROR(INDEX(Административные!$K$26:$L$84,MATCH($F156&amp;"7komm",Административные!$K$26:$K$84,0),2),"")=0,"",IFERROR(INDEX(Административные!$K$26:$L$84,MATCH($F151&amp;"7komm",Административные!$K$26:$K$84,0),2),""))</f>
        <v/>
      </c>
      <c r="AO156" s="723"/>
      <c r="AP156" s="1210"/>
      <c r="AQ156" s="1210"/>
      <c r="AR156" s="971" t="s">
        <v>1775</v>
      </c>
      <c r="AS156" s="971"/>
      <c r="AT156" s="971"/>
      <c r="AU156" s="968"/>
      <c r="AV156" s="968"/>
    </row>
    <row r="157" spans="1:48" s="1334" customFormat="1" ht="43.5" customHeight="1" x14ac:dyDescent="0.25">
      <c r="A157" s="1210"/>
      <c r="B157" s="1210"/>
      <c r="C157" s="1210"/>
      <c r="D157" s="1210"/>
      <c r="E157" s="618">
        <v>45</v>
      </c>
      <c r="F157" s="3" t="str" cm="1">
        <f t="array" aca="1" ref="F157" ca="1">OFFSET(E157,-1,1)</f>
        <v>1</v>
      </c>
      <c r="G157" s="501" t="s">
        <v>1200</v>
      </c>
      <c r="H157" s="1210"/>
      <c r="I157" s="511" t="s">
        <v>1776</v>
      </c>
      <c r="J157" s="511"/>
      <c r="K157" s="511"/>
      <c r="L157" s="511"/>
      <c r="M157" s="511"/>
      <c r="N157" s="511"/>
      <c r="O157" s="511"/>
      <c r="P157" s="511"/>
      <c r="Q157" s="511"/>
      <c r="R157" s="511"/>
      <c r="S157" s="511"/>
      <c r="T157" s="388" t="b" cm="1">
        <f t="array" aca="1" ref="T157" ca="1">T156</f>
        <v>1</v>
      </c>
      <c r="U157" s="1210"/>
      <c r="V157" s="1210"/>
      <c r="W157" s="1210"/>
      <c r="X157" s="2120"/>
      <c r="Y157" s="1210"/>
      <c r="Z157" s="2121"/>
      <c r="AA157" s="1210"/>
      <c r="AB157" s="727" t="s">
        <v>1777</v>
      </c>
      <c r="AC157" s="682" t="s">
        <v>1201</v>
      </c>
      <c r="AD157" s="733" t="s">
        <v>831</v>
      </c>
      <c r="AE157" s="722">
        <f ca="1">SUMIFS(Административные!AE$25:AE$84,Административные!$F$25:$F$84,$F157,Административные!$G$25:$G$84,$G157)</f>
        <v>0</v>
      </c>
      <c r="AF157" s="722">
        <f ca="1">SUMIFS(Административные!AF$25:AF$84,Административные!$F$25:$F$84,$F157,Административные!$G$25:$G$84,$G157)</f>
        <v>0</v>
      </c>
      <c r="AG157" s="722">
        <f ca="1">SUMIFS(Административные!AG$25:AG$84,Административные!$F$25:$F$84,$F157,Административные!$G$25:$G$84,$G157)</f>
        <v>0</v>
      </c>
      <c r="AH157" s="722">
        <f t="shared" ca="1" si="9"/>
        <v>0</v>
      </c>
      <c r="AI157" s="722">
        <f ca="1">SUMIFS(Административные!AH$25:AH$84,Административные!$F$25:$F$84,$F157,Административные!$G$25:$G$84,$G157)</f>
        <v>0</v>
      </c>
      <c r="AJ157" s="722">
        <f ca="1">SUMIFS(Административные!AI$25:AI$84,Административные!$F$25:$F$84,$F157,Административные!$G$25:$G$84,$G157)</f>
        <v>0</v>
      </c>
      <c r="AK157" s="722">
        <f ca="1">SUMIFS(Административные!AJ$25:AJ$84,Административные!$F$25:$F$84,$F157,Административные!$G$25:$G$84,$G157)</f>
        <v>0</v>
      </c>
      <c r="AL157" s="722">
        <f t="shared" ca="1" si="10"/>
        <v>0</v>
      </c>
      <c r="AM157" s="723"/>
      <c r="AN157" s="823" t="str">
        <f ca="1">IF(IFERROR(INDEX(Административные!$K$26:$L$84,MATCH($F157&amp;"8komm",Административные!$K$26:$K$84,0),2),"")=0,"",IFERROR(INDEX(Административные!$K$26:$L$84,MATCH($F152&amp;"8komm",Административные!$K$26:$K$84,0),2),""))</f>
        <v/>
      </c>
      <c r="AO157" s="723"/>
      <c r="AP157" s="1210"/>
      <c r="AQ157" s="1210"/>
      <c r="AR157" s="971" t="s">
        <v>1778</v>
      </c>
      <c r="AS157" s="971"/>
      <c r="AT157" s="971"/>
      <c r="AU157" s="968"/>
      <c r="AV157" s="968"/>
    </row>
    <row r="158" spans="1:48" s="1334" customFormat="1" ht="14.25" customHeight="1" x14ac:dyDescent="0.25">
      <c r="A158" s="1210"/>
      <c r="B158" s="1210"/>
      <c r="C158" s="1210"/>
      <c r="D158" s="1210"/>
      <c r="E158" s="618">
        <v>15</v>
      </c>
      <c r="F158" s="3" t="str" cm="1">
        <f t="array" aca="1" ref="F158" ca="1">OFFSET(E158,-1,1)</f>
        <v>1</v>
      </c>
      <c r="G158" s="501" t="s">
        <v>1203</v>
      </c>
      <c r="H158" s="1210"/>
      <c r="I158" s="511" t="s">
        <v>1779</v>
      </c>
      <c r="J158" s="511"/>
      <c r="K158" s="511"/>
      <c r="L158" s="511"/>
      <c r="M158" s="511"/>
      <c r="N158" s="511"/>
      <c r="O158" s="511"/>
      <c r="P158" s="511"/>
      <c r="Q158" s="511"/>
      <c r="R158" s="511"/>
      <c r="S158" s="511"/>
      <c r="T158" s="388" t="b" cm="1">
        <f t="array" aca="1" ref="T158" ca="1">T157</f>
        <v>1</v>
      </c>
      <c r="U158" s="1210"/>
      <c r="V158" s="1210"/>
      <c r="W158" s="1210"/>
      <c r="X158" s="2120"/>
      <c r="Y158" s="1210"/>
      <c r="Z158" s="2121"/>
      <c r="AA158" s="1210"/>
      <c r="AB158" s="727" t="s">
        <v>1780</v>
      </c>
      <c r="AC158" s="728" t="s">
        <v>1204</v>
      </c>
      <c r="AD158" s="733" t="s">
        <v>831</v>
      </c>
      <c r="AE158" s="722">
        <f ca="1">SUMIFS(Административные!AE$25:AE$84,Административные!$F$25:$F$84,$F158,Административные!$G$25:$G$84,$G158)</f>
        <v>802.90885449999996</v>
      </c>
      <c r="AF158" s="722">
        <f ca="1">SUMIFS(Административные!AF$25:AF$84,Административные!$F$25:$F$84,$F158,Административные!$G$25:$G$84,$G158)</f>
        <v>0</v>
      </c>
      <c r="AG158" s="722">
        <f ca="1">SUMIFS(Административные!AG$25:AG$84,Административные!$F$25:$F$84,$F158,Административные!$G$25:$G$84,$G158)</f>
        <v>0</v>
      </c>
      <c r="AH158" s="722">
        <f t="shared" ca="1" si="9"/>
        <v>0</v>
      </c>
      <c r="AI158" s="722">
        <f ca="1">SUMIFS(Административные!AH$25:AH$84,Административные!$F$25:$F$84,$F158,Административные!$G$25:$G$84,$G158)</f>
        <v>0</v>
      </c>
      <c r="AJ158" s="1024">
        <f ca="1">SUMIFS(Административные!AI$25:AI$84,Административные!$F$25:$F$84,$F158,Административные!$G$25:$G$84,$G158)</f>
        <v>0</v>
      </c>
      <c r="AK158" s="1024">
        <f ca="1">SUMIFS(Административные!AJ$25:AJ$84,Административные!$F$25:$F$84,$F158,Административные!$G$25:$G$84,$G158)</f>
        <v>0</v>
      </c>
      <c r="AL158" s="722">
        <f t="shared" ca="1" si="10"/>
        <v>0</v>
      </c>
      <c r="AM158" s="723"/>
      <c r="AN158" s="823" t="str">
        <f ca="1">IF(IFERROR(INDEX(Административные!$K$26:$L$84,MATCH($F158&amp;"9komm",Административные!$K$26:$K$84,0),2),"")=0,"",IFERROR(INDEX(Административные!$K$26:$L$84,MATCH($F153&amp;"9komm",Административные!$K$26:$K$84,0),2),""))</f>
        <v>Подробное описание смотреть в комментарии</v>
      </c>
      <c r="AO158" s="723"/>
      <c r="AP158" s="1210"/>
      <c r="AQ158" s="1210"/>
      <c r="AR158" s="971" t="s">
        <v>1781</v>
      </c>
      <c r="AS158" s="971"/>
      <c r="AT158" s="971"/>
      <c r="AU158" s="968"/>
      <c r="AV158" s="968"/>
    </row>
    <row r="159" spans="1:48" s="1482" customFormat="1" ht="14.25" customHeight="1" x14ac:dyDescent="0.25">
      <c r="A159" s="512"/>
      <c r="B159" s="512" t="b">
        <f>STATUS_GO="да"</f>
        <v>1</v>
      </c>
      <c r="C159" s="512"/>
      <c r="D159" s="512"/>
      <c r="E159" s="620">
        <v>15</v>
      </c>
      <c r="F159" s="3" t="str" cm="1">
        <f t="array" aca="1" ref="F159" ca="1">OFFSET(E159,-1,1)</f>
        <v>1</v>
      </c>
      <c r="G159" s="512"/>
      <c r="H159" s="512"/>
      <c r="I159" s="621" t="s">
        <v>335</v>
      </c>
      <c r="J159" s="621"/>
      <c r="K159" s="621"/>
      <c r="L159" s="621"/>
      <c r="M159" s="621"/>
      <c r="N159" s="621"/>
      <c r="O159" s="621"/>
      <c r="P159" s="621"/>
      <c r="Q159" s="621"/>
      <c r="R159" s="621"/>
      <c r="S159" s="621"/>
      <c r="T159" s="388" t="b" cm="1">
        <f t="array" aca="1" ref="T159" ca="1">T158</f>
        <v>1</v>
      </c>
      <c r="U159" s="512"/>
      <c r="V159" s="512"/>
      <c r="W159" s="512"/>
      <c r="X159" s="2120"/>
      <c r="Y159" s="512"/>
      <c r="Z159" s="2121"/>
      <c r="AA159" s="512"/>
      <c r="AB159" s="724" t="s">
        <v>441</v>
      </c>
      <c r="AC159" s="720" t="s">
        <v>1782</v>
      </c>
      <c r="AD159" s="731" t="s">
        <v>831</v>
      </c>
      <c r="AE159" s="721">
        <f ca="1">SUMIFS('Сбытовые расходы ГО'!AE$25:AE$65,'Сбытовые расходы ГО'!$F$25:$F$65,$F159,'Сбытовые расходы ГО'!$G$25:$G$65,"l0")</f>
        <v>3833.0622513716003</v>
      </c>
      <c r="AF159" s="721">
        <f ca="1">SUMIFS('Сбытовые расходы ГО'!AF$25:AF$65,'Сбытовые расходы ГО'!$F$25:$F$65,$F159,'Сбытовые расходы ГО'!$G$25:$G$65,"l0")</f>
        <v>0</v>
      </c>
      <c r="AG159" s="721">
        <f ca="1">SUMIFS('Сбытовые расходы ГО'!AG$25:AG$65,'Сбытовые расходы ГО'!$F$25:$F$65,$F159,'Сбытовые расходы ГО'!$G$25:$G$65,"l0")</f>
        <v>0</v>
      </c>
      <c r="AH159" s="721">
        <f t="shared" ca="1" si="9"/>
        <v>0</v>
      </c>
      <c r="AI159" s="721">
        <f ca="1">SUMIFS('Сбытовые расходы ГО'!AH$25:AH$65,'Сбытовые расходы ГО'!$F$25:$F$65,$F159,'Сбытовые расходы ГО'!$G$25:$G$65,"l0")</f>
        <v>0</v>
      </c>
      <c r="AJ159" s="721">
        <f ca="1">SUMIFS('Сбытовые расходы ГО'!AI$25:AI$65,'Сбытовые расходы ГО'!$F$25:$F$65,$F159,'Сбытовые расходы ГО'!$G$25:$G$65,"l0")</f>
        <v>0</v>
      </c>
      <c r="AK159" s="721">
        <f ca="1">SUMIFS('Сбытовые расходы ГО'!AJ$25:AJ$65,'Сбытовые расходы ГО'!$F$25:$F$65,$F159,'Сбытовые расходы ГО'!$G$25:$G$65,"l0")</f>
        <v>0</v>
      </c>
      <c r="AL159" s="721">
        <f t="shared" ca="1" si="10"/>
        <v>0</v>
      </c>
      <c r="AM159" s="726"/>
      <c r="AN159" s="823"/>
      <c r="AO159" s="726"/>
      <c r="AP159" s="512"/>
      <c r="AQ159" s="512"/>
      <c r="AR159" s="972" t="s">
        <v>1783</v>
      </c>
      <c r="AS159" s="972"/>
      <c r="AT159" s="972"/>
      <c r="AU159" s="620"/>
      <c r="AV159" s="620"/>
    </row>
    <row r="160" spans="1:48" s="1483" customFormat="1" ht="14.25" customHeight="1" x14ac:dyDescent="0.25">
      <c r="A160" s="512"/>
      <c r="B160" s="512"/>
      <c r="C160" s="512"/>
      <c r="D160" s="512"/>
      <c r="E160" s="620">
        <v>15</v>
      </c>
      <c r="F160" s="3" t="str" cm="1">
        <f t="array" aca="1" ref="F160" ca="1">OFFSET(E160,-1,1)</f>
        <v>1</v>
      </c>
      <c r="G160" s="512"/>
      <c r="H160" s="512"/>
      <c r="I160" s="621" t="s">
        <v>334</v>
      </c>
      <c r="J160" s="621"/>
      <c r="K160" s="621"/>
      <c r="L160" s="621"/>
      <c r="M160" s="621"/>
      <c r="N160" s="621"/>
      <c r="O160" s="621"/>
      <c r="P160" s="621"/>
      <c r="Q160" s="621"/>
      <c r="R160" s="621"/>
      <c r="S160" s="621"/>
      <c r="T160" s="388" t="b" cm="1">
        <f t="array" aca="1" ref="T160" ca="1">T159</f>
        <v>1</v>
      </c>
      <c r="U160" s="512"/>
      <c r="V160" s="512"/>
      <c r="W160" s="512"/>
      <c r="X160" s="2120"/>
      <c r="Y160" s="512"/>
      <c r="Z160" s="2121"/>
      <c r="AA160" s="512"/>
      <c r="AB160" s="724" t="s">
        <v>444</v>
      </c>
      <c r="AC160" s="513" t="s">
        <v>1784</v>
      </c>
      <c r="AD160" s="731" t="s">
        <v>831</v>
      </c>
      <c r="AE160" s="721">
        <f ca="1">SUMIFS(Амортизация!AE$25:AE$174,Амортизация!$F$25:$F$174,$F160,Амортизация!$AC$25:$AC$174,"Сумма амортизационных отчислений")</f>
        <v>157.69999999999999</v>
      </c>
      <c r="AF160" s="721">
        <f ca="1">SUMIFS(Амортизация!AF$25:AF$174,Амортизация!$F$25:$F$174,$F160,Амортизация!$AC$25:$AC$174,"Сумма амортизационных отчислений")</f>
        <v>29649.01</v>
      </c>
      <c r="AG160" s="721">
        <f ca="1">SUMIFS(Амортизация!AG$25:AG$174,Амортизация!$F$25:$F$174,$F160,Амортизация!$AC$25:$AC$174,"Сумма амортизационных отчислений")</f>
        <v>0</v>
      </c>
      <c r="AH160" s="721">
        <f t="shared" ca="1" si="9"/>
        <v>-29649.01</v>
      </c>
      <c r="AI160" s="721">
        <f ca="1">SUMIFS(Амортизация!AH$25:AH$174,Амортизация!$F$25:$F$174,$F160,Амортизация!$AC$25:$AC$174,"Сумма амортизационных отчислений")</f>
        <v>419.6</v>
      </c>
      <c r="AJ160" s="721">
        <f ca="1">SUMIFS(Амортизация!AI$25:AI$174,Амортизация!$F$25:$F$174,$F160,Амортизация!$AC$25:$AC$174,"Сумма амортизационных отчислений")</f>
        <v>29636.22</v>
      </c>
      <c r="AK160" s="721">
        <f ca="1">SUMIFS(Амортизация!AS$25:AS$174,Амортизация!$F$25:$F$174,$F160,Амортизация!$AC$25:$AC$174,"Сумма амортизационных отчислений")</f>
        <v>1463.0234844966001</v>
      </c>
      <c r="AL160" s="721">
        <f t="shared" ca="1" si="10"/>
        <v>248.67099249204</v>
      </c>
      <c r="AM160" s="726"/>
      <c r="AN160" s="823" t="str">
        <f ca="1">IF(IFERROR(INDEX(Амортизация!$K$26:$L$174,MATCH($F160&amp;"komm",Амортизация!$K$26:$K$574,0),2),"")=0,"",IFERROR(INDEX(Амортизация!$K$26:$L$174,MATCH($F160&amp;"komm",Амортизация!$K$26:$K$574,0),2),""))</f>
        <v/>
      </c>
      <c r="AO160" s="726"/>
      <c r="AP160" s="512"/>
      <c r="AQ160" s="512"/>
      <c r="AR160" s="972" t="s">
        <v>1199</v>
      </c>
      <c r="AS160" s="972"/>
      <c r="AT160" s="972"/>
      <c r="AU160" s="620"/>
      <c r="AV160" s="620"/>
    </row>
    <row r="161" spans="1:48" s="1334" customFormat="1" ht="14.25" customHeight="1" x14ac:dyDescent="0.25">
      <c r="A161" s="1210"/>
      <c r="B161" s="1210"/>
      <c r="C161" s="1210"/>
      <c r="D161" s="1210"/>
      <c r="E161" s="618">
        <v>15</v>
      </c>
      <c r="F161" s="3" t="str" cm="1">
        <f t="array" aca="1" ref="F161" ca="1">OFFSET(E161,-1,1)</f>
        <v>1</v>
      </c>
      <c r="G161" s="1210"/>
      <c r="H161" s="1210"/>
      <c r="I161" s="511" t="s">
        <v>579</v>
      </c>
      <c r="J161" s="511"/>
      <c r="K161" s="511"/>
      <c r="L161" s="511"/>
      <c r="M161" s="511"/>
      <c r="N161" s="511"/>
      <c r="O161" s="511"/>
      <c r="P161" s="511"/>
      <c r="Q161" s="511"/>
      <c r="R161" s="511"/>
      <c r="S161" s="511"/>
      <c r="T161" s="388" t="b" cm="1">
        <f t="array" aca="1" ref="T161" ca="1">T160</f>
        <v>1</v>
      </c>
      <c r="U161" s="1210"/>
      <c r="V161" s="1210"/>
      <c r="W161" s="1210"/>
      <c r="X161" s="2120"/>
      <c r="Y161" s="1210"/>
      <c r="Z161" s="2121"/>
      <c r="AA161" s="1210"/>
      <c r="AB161" s="727" t="s">
        <v>707</v>
      </c>
      <c r="AC161" s="732" t="s">
        <v>1785</v>
      </c>
      <c r="AD161" s="733" t="s">
        <v>831</v>
      </c>
      <c r="AE161" s="729">
        <f ca="1">SUMIFS('ИП + источники'!AF$27:AF$116,'ИП + источники'!$F$27:$F$116,$F161,'ИП + источники'!$AC$27:$AC$116,"Амортизационные отчисления")+SUMIFS('ИП + источники'!AF$27:AF$116,'ИП + источники'!$F$27:$F$116,$F161,'ИП + источники'!$AC$27:$AC$116,"погашение займов и кредитов из амортизации")</f>
        <v>0</v>
      </c>
      <c r="AF161" s="729">
        <f ca="1">SUMIFS('ИП + источники'!AG$27:AG$116,'ИП + источники'!$F$27:$F$116,$F161,'ИП + источники'!$AC$27:$AC$116,"Амортизационные отчисления")+SUMIFS('ИП + источники'!AG$27:AG$116,'ИП + источники'!$F$27:$F$116,$F161,'ИП + источники'!$AC$27:$AC$116,"погашение займов и кредитов из амортизации")</f>
        <v>0</v>
      </c>
      <c r="AG161" s="729">
        <f ca="1">SUMIFS('ИП + источники'!AH$27:AH$116,'ИП + источники'!$F$27:$F$116,$F161,'ИП + источники'!$AC$27:$AC$116,"Амортизационные отчисления")+SUMIFS('ИП + источники'!AH$27:AH$116,'ИП + источники'!$F$27:$F$116,$F161,'ИП + источники'!$AC$27:$AC$116,"погашение займов и кредитов из амортизации")</f>
        <v>0</v>
      </c>
      <c r="AH161" s="722">
        <f t="shared" ca="1" si="9"/>
        <v>0</v>
      </c>
      <c r="AI161" s="729">
        <f ca="1">SUMIFS('ИП + источники'!AH$27:AH$116,'ИП + источники'!$F$27:$F$116,$F161,'ИП + источники'!$AC$27:$AC$116,"Амортизационные отчисления")+SUMIFS('ИП + источники'!AH$27:AH$116,'ИП + источники'!$F$27:$F$116,$F161,'ИП + источники'!$AC$27:$AC$116,"погашение займов и кредитов из амортизации")</f>
        <v>0</v>
      </c>
      <c r="AJ161" s="729">
        <f ca="1">SUMIFS('ИП + источники'!AI$27:AI$116,'ИП + источники'!$F$27:$F$116,$F161,'ИП + источники'!$AC$27:$AC$116,"Амортизационные отчисления")+SUMIFS('ИП + источники'!AI$27:AI$116,'ИП + источники'!$F$27:$F$116,$F161,'ИП + источники'!$AC$27:$AC$116,"погашение займов и кредитов из амортизации")</f>
        <v>0</v>
      </c>
      <c r="AK161" s="729">
        <f ca="1">SUMIFS('ИП + источники'!AJ$27:AJ$116,'ИП + источники'!$F$27:$F$116,$F161,'ИП + источники'!$AC$27:$AC$116,"Амортизационные отчисления")+SUMIFS('ИП + источники'!AJ$27:AJ$116,'ИП + источники'!$F$27:$F$116,$F161,'ИП + источники'!$AC$27:$AC$116,"погашение займов и кредитов из амортизации")</f>
        <v>261.89999999999998</v>
      </c>
      <c r="AL161" s="722">
        <f t="shared" ca="1" si="10"/>
        <v>0</v>
      </c>
      <c r="AM161" s="723"/>
      <c r="AN161" s="723"/>
      <c r="AO161" s="723"/>
      <c r="AP161" s="1210"/>
      <c r="AQ161" s="1210"/>
      <c r="AR161" s="971" t="s">
        <v>1786</v>
      </c>
      <c r="AS161" s="971"/>
      <c r="AT161" s="971"/>
      <c r="AU161" s="968"/>
      <c r="AV161" s="968"/>
    </row>
    <row r="162" spans="1:48" s="1484" customFormat="1" ht="21.75" customHeight="1" x14ac:dyDescent="0.25">
      <c r="A162" s="512"/>
      <c r="B162" s="512"/>
      <c r="C162" s="512"/>
      <c r="D162" s="512"/>
      <c r="E162" s="620">
        <v>22.5</v>
      </c>
      <c r="F162" s="3" t="str" cm="1">
        <f t="array" aca="1" ref="F162" ca="1">OFFSET(E162,-1,1)</f>
        <v>1</v>
      </c>
      <c r="G162" s="512"/>
      <c r="H162" s="512"/>
      <c r="I162" s="621" t="s">
        <v>544</v>
      </c>
      <c r="J162" s="621"/>
      <c r="K162" s="621"/>
      <c r="L162" s="621"/>
      <c r="M162" s="621"/>
      <c r="N162" s="621"/>
      <c r="O162" s="621"/>
      <c r="P162" s="621"/>
      <c r="Q162" s="621"/>
      <c r="R162" s="621"/>
      <c r="S162" s="621"/>
      <c r="T162" s="388" t="b" cm="1">
        <f t="array" aca="1" ref="T162" ca="1">T161</f>
        <v>1</v>
      </c>
      <c r="U162" s="512"/>
      <c r="V162" s="512"/>
      <c r="W162" s="512"/>
      <c r="X162" s="2120"/>
      <c r="Y162" s="512"/>
      <c r="Z162" s="2121"/>
      <c r="AA162" s="512"/>
      <c r="AB162" s="724" t="s">
        <v>446</v>
      </c>
      <c r="AC162" s="513" t="s">
        <v>1787</v>
      </c>
      <c r="AD162" s="731" t="s">
        <v>831</v>
      </c>
      <c r="AE162" s="721">
        <f ca="1">SUMIFS(Аренда!AE$25:AE$57,Аренда!$F$25:$F$57,$F162,Аренда!$G$25:$G$57,"Арендная и концессионная плата, лизинговые платежи")</f>
        <v>119.99</v>
      </c>
      <c r="AF162" s="721">
        <f ca="1">SUMIFS(Аренда!AF$25:AF$57,Аренда!$F$25:$F$57,$F162,Аренда!$G$25:$G$57,"Арендная и концессионная плата, лизинговые платежи")</f>
        <v>253.09</v>
      </c>
      <c r="AG162" s="721">
        <f ca="1">SUMIFS(Аренда!AG$25:AG$57,Аренда!$F$25:$F$57,$F162,Аренда!$G$25:$G$57,"Арендная и концессионная плата, лизинговые платежи")</f>
        <v>97.87</v>
      </c>
      <c r="AH162" s="721">
        <f t="shared" ca="1" si="9"/>
        <v>-155.22</v>
      </c>
      <c r="AI162" s="721">
        <f ca="1">SUMIFS(Аренда!AH$25:AH$57,Аренда!$F$25:$F$57,$F162,Аренда!$G$25:$G$57,"Арендная и концессионная плата, лизинговые платежи")</f>
        <v>119.99</v>
      </c>
      <c r="AJ162" s="721">
        <f ca="1">SUMIFS(Аренда!AI$25:AI$57,Аренда!$F$25:$F$57,$F162,Аренда!$G$25:$G$57,"Арендная и концессионная плата, лизинговые платежи")</f>
        <v>812.5</v>
      </c>
      <c r="AK162" s="721">
        <f ca="1">SUMIFS(Аренда!AS$25:AS$57,Аренда!$F$25:$F$57,$F162,Аренда!$G$25:$G$57,"Арендная и концессионная плата, лизинговые платежи")</f>
        <v>96.87</v>
      </c>
      <c r="AL162" s="721">
        <f t="shared" ca="1" si="10"/>
        <v>-19.268272356029662</v>
      </c>
      <c r="AM162" s="726"/>
      <c r="AN162" s="823" t="str">
        <f ca="1">IF(IFERROR(INDEX(Аренда!$K$26:$L$57,MATCH($F162&amp;"komm",Аренда!$K$26:$K$57,0),2),"")=0,"",IFERROR(INDEX(Аренда!$K$26:$L$57,MATCH($F162&amp;"komm",Аренда!$K$26:$K$57,0),2),""))</f>
        <v>Пункты 49 (3), 51, 29 Методических указаний ФСТ № 1746-э.</v>
      </c>
      <c r="AO162" s="726"/>
      <c r="AP162" s="512"/>
      <c r="AQ162" s="512"/>
      <c r="AR162" s="972" t="s">
        <v>1788</v>
      </c>
      <c r="AS162" s="972"/>
      <c r="AT162" s="972"/>
      <c r="AU162" s="620"/>
      <c r="AV162" s="620"/>
    </row>
    <row r="163" spans="1:48" s="1485" customFormat="1" ht="14.25" customHeight="1" x14ac:dyDescent="0.25">
      <c r="A163" s="512"/>
      <c r="B163" s="512"/>
      <c r="C163" s="512"/>
      <c r="D163" s="512"/>
      <c r="E163" s="620">
        <v>15</v>
      </c>
      <c r="F163" s="3" t="str" cm="1">
        <f t="array" aca="1" ref="F163" ca="1">OFFSET(E163,-1,1)</f>
        <v>1</v>
      </c>
      <c r="G163" s="512"/>
      <c r="H163" s="512"/>
      <c r="I163" s="621" t="s">
        <v>547</v>
      </c>
      <c r="J163" s="621"/>
      <c r="K163" s="621"/>
      <c r="L163" s="621"/>
      <c r="M163" s="621"/>
      <c r="N163" s="621"/>
      <c r="O163" s="621"/>
      <c r="P163" s="621"/>
      <c r="Q163" s="621"/>
      <c r="R163" s="621"/>
      <c r="S163" s="621"/>
      <c r="T163" s="388" t="b" cm="1">
        <f t="array" aca="1" ref="T163" ca="1">T162</f>
        <v>1</v>
      </c>
      <c r="U163" s="512"/>
      <c r="V163" s="512"/>
      <c r="W163" s="512"/>
      <c r="X163" s="2120"/>
      <c r="Y163" s="512"/>
      <c r="Z163" s="2121"/>
      <c r="AA163" s="512"/>
      <c r="AB163" s="724" t="s">
        <v>448</v>
      </c>
      <c r="AC163" s="513" t="s">
        <v>1789</v>
      </c>
      <c r="AD163" s="731" t="s">
        <v>831</v>
      </c>
      <c r="AE163" s="721">
        <f ca="1">SUMIFS(Налоги!AE$25:AE$69,Налоги!$F$25:$F$69,$F163,Налоги!$AC$25:$AC$69,"Налоги и платежи, относимые на указанный вид деятельности")</f>
        <v>16335.20414751</v>
      </c>
      <c r="AF163" s="721">
        <f ca="1">SUMIFS(Налоги!AF$25:AF$69,Налоги!$F$25:$F$69,$F163,Налоги!$AC$25:$AC$69,"Налоги и платежи, относимые на указанный вид деятельности")</f>
        <v>16073.75</v>
      </c>
      <c r="AG163" s="721">
        <f ca="1">SUMIFS(Налоги!AG$25:AG$69,Налоги!$F$25:$F$69,$F163,Налоги!$AC$25:$AC$69,"Налоги и платежи, относимые на указанный вид деятельности")</f>
        <v>11219.74</v>
      </c>
      <c r="AH163" s="721">
        <f t="shared" ca="1" si="9"/>
        <v>-4854.01</v>
      </c>
      <c r="AI163" s="721">
        <f ca="1">SUMIFS(Налоги!AH$25:AH$69,Налоги!$F$25:$F$69,$F163,Налоги!$AC$25:$AC$69,"Налоги и платежи, относимые на указанный вид деятельности")</f>
        <v>17591.304965691099</v>
      </c>
      <c r="AJ163" s="721">
        <f ca="1">SUMIFS(Налоги!AI$25:AI$69,Налоги!$F$25:$F$69,$F163,Налоги!$AC$25:$AC$69,"Налоги и платежи, относимые на указанный вид деятельности")</f>
        <v>26794.14</v>
      </c>
      <c r="AK163" s="721">
        <f ca="1">SUMIFS(Налоги!AS$25:AS$69,Налоги!$F$25:$F$69,$F163,Налоги!$AC$25:$AC$69,"Налоги и платежи, относимые на указанный вид деятельности")</f>
        <v>15397.36</v>
      </c>
      <c r="AL163" s="721">
        <f t="shared" ca="1" si="10"/>
        <v>-12.471757893857342</v>
      </c>
      <c r="AM163" s="726"/>
      <c r="AN163" s="823" t="str">
        <f ca="1">IF(IFERROR(INDEX(Налоги!$K$26:$L$69,MATCH($F163&amp;"komm",Налоги!$K$26:$K$69,0),2),"")=0,"",IFERROR(INDEX(Налоги!$K$26:$L$69,MATCH($F163&amp;"komm",Налоги!$K$26:$K$69,0),2),""))</f>
        <v/>
      </c>
      <c r="AO163" s="726"/>
      <c r="AP163" s="512"/>
      <c r="AQ163" s="512"/>
      <c r="AR163" s="972" t="s">
        <v>1233</v>
      </c>
      <c r="AS163" s="972"/>
      <c r="AT163" s="972"/>
      <c r="AU163" s="620"/>
      <c r="AV163" s="620"/>
    </row>
    <row r="164" spans="1:48" s="1486" customFormat="1" ht="14.25" customHeight="1" x14ac:dyDescent="0.25">
      <c r="A164" s="512"/>
      <c r="B164" s="512"/>
      <c r="C164" s="512"/>
      <c r="D164" s="512"/>
      <c r="E164" s="620">
        <v>15</v>
      </c>
      <c r="F164" s="3" t="str" cm="1">
        <f t="array" aca="1" ref="F164" ca="1">OFFSET(E164,-1,1)</f>
        <v>1</v>
      </c>
      <c r="G164" s="512"/>
      <c r="H164" s="512"/>
      <c r="I164" s="621" t="s">
        <v>591</v>
      </c>
      <c r="J164" s="621"/>
      <c r="K164" s="621"/>
      <c r="L164" s="621"/>
      <c r="M164" s="621"/>
      <c r="N164" s="621"/>
      <c r="O164" s="621"/>
      <c r="P164" s="621"/>
      <c r="Q164" s="621"/>
      <c r="R164" s="621"/>
      <c r="S164" s="621"/>
      <c r="T164" s="388" t="b" cm="1">
        <f t="array" aca="1" ref="T164" ca="1">T163</f>
        <v>1</v>
      </c>
      <c r="U164" s="512"/>
      <c r="V164" s="512"/>
      <c r="W164" s="512"/>
      <c r="X164" s="2120"/>
      <c r="Y164" s="512"/>
      <c r="Z164" s="2121"/>
      <c r="AA164" s="512"/>
      <c r="AB164" s="724" t="s">
        <v>450</v>
      </c>
      <c r="AC164" s="513" t="s">
        <v>1790</v>
      </c>
      <c r="AD164" s="514" t="s">
        <v>831</v>
      </c>
      <c r="AE164" s="708">
        <f ca="1">AE165+AE166+AE167</f>
        <v>0</v>
      </c>
      <c r="AF164" s="708">
        <f ca="1">AF165+AF166+AF167</f>
        <v>0</v>
      </c>
      <c r="AG164" s="708">
        <f ca="1">AG165+AG166+AG167</f>
        <v>0</v>
      </c>
      <c r="AH164" s="708">
        <f t="shared" ca="1" si="9"/>
        <v>0</v>
      </c>
      <c r="AI164" s="708">
        <f ca="1">AI165+AI166+AI167</f>
        <v>0</v>
      </c>
      <c r="AJ164" s="708">
        <f ca="1">AJ165+AJ166+AJ167</f>
        <v>0</v>
      </c>
      <c r="AK164" s="708">
        <f ca="1">AK165+AK166+AK167</f>
        <v>0</v>
      </c>
      <c r="AL164" s="721">
        <f t="shared" ca="1" si="10"/>
        <v>0</v>
      </c>
      <c r="AM164" s="726"/>
      <c r="AN164" s="823"/>
      <c r="AO164" s="726"/>
      <c r="AP164" s="512"/>
      <c r="AQ164" s="512"/>
      <c r="AR164" s="972" t="s">
        <v>1476</v>
      </c>
      <c r="AS164" s="972"/>
      <c r="AT164" s="972"/>
      <c r="AU164" s="620"/>
      <c r="AV164" s="620"/>
    </row>
    <row r="165" spans="1:48" s="1334" customFormat="1" ht="14.25" customHeight="1" x14ac:dyDescent="0.25">
      <c r="A165" s="1210"/>
      <c r="B165" s="1210"/>
      <c r="C165" s="1210"/>
      <c r="D165" s="1210"/>
      <c r="E165" s="618">
        <v>15</v>
      </c>
      <c r="F165" s="3" t="str" cm="1">
        <f t="array" aca="1" ref="F165" ca="1">OFFSET(E165,-1,1)</f>
        <v>1</v>
      </c>
      <c r="G165" s="1210"/>
      <c r="H165" s="1210"/>
      <c r="I165" s="511" t="s">
        <v>594</v>
      </c>
      <c r="J165" s="511"/>
      <c r="K165" s="511"/>
      <c r="L165" s="511"/>
      <c r="M165" s="511"/>
      <c r="N165" s="511"/>
      <c r="O165" s="511"/>
      <c r="P165" s="511"/>
      <c r="Q165" s="511"/>
      <c r="R165" s="511"/>
      <c r="S165" s="511"/>
      <c r="T165" s="388" t="b" cm="1">
        <f t="array" aca="1" ref="T165" ca="1">T164</f>
        <v>1</v>
      </c>
      <c r="U165" s="1210"/>
      <c r="V165" s="1210"/>
      <c r="W165" s="1210"/>
      <c r="X165" s="2120"/>
      <c r="Y165" s="1210"/>
      <c r="Z165" s="2121"/>
      <c r="AA165" s="1210"/>
      <c r="AB165" s="727" t="s">
        <v>617</v>
      </c>
      <c r="AC165" s="732" t="s">
        <v>1791</v>
      </c>
      <c r="AD165" s="733" t="s">
        <v>831</v>
      </c>
      <c r="AE165" s="729">
        <f ca="1">SUMIFS('ИП + источники'!AF$26:AF$116,'ИП + источники'!$F$26:$F$116,$F165,'ИП + источники'!$AC$26:$AC$116,"погашение займов и кредитов из нормативной прибыли")+SUMIFS('ИП + источники'!AF$26:AF$116,'ИП + источники'!$F$26:$F$116,$F165,'ИП + источники'!$AC$26:$AC$116,"уплата процентов по кредитам из нормативной прибыли")</f>
        <v>0</v>
      </c>
      <c r="AF165" s="729">
        <f ca="1">SUMIFS('ИП + источники'!AG$26:AG$116,'ИП + источники'!$F$26:$F$116,$F165,'ИП + источники'!$AC$26:$AC$116,"погашение займов и кредитов из нормативной прибыли")+SUMIFS('ИП + источники'!AG$26:AG$116,'ИП + источники'!$F$26:$F$116,$F165,'ИП + источники'!$AC$26:$AC$116,"уплата процентов по кредитам из нормативной прибыли")</f>
        <v>0</v>
      </c>
      <c r="AG165" s="729">
        <f ca="1">SUMIFS('ИП + источники'!AH$26:AH$116,'ИП + источники'!$F$26:$F$116,$F165,'ИП + источники'!$AC$26:$AC$116,"погашение займов и кредитов из нормативной прибыли")+SUMIFS('ИП + источники'!AH$26:AH$116,'ИП + источники'!$F$26:$F$116,$F165,'ИП + источники'!$AC$26:$AC$116,"уплата процентов по кредитам из нормативной прибыли")</f>
        <v>0</v>
      </c>
      <c r="AH165" s="722">
        <f t="shared" ca="1" si="9"/>
        <v>0</v>
      </c>
      <c r="AI165" s="729">
        <f ca="1">SUMIFS('ИП + источники'!AJ$26:AJ$116,'ИП + источники'!$F$26:$F$116,$F165,'ИП + источники'!$AC$26:$AC$116,"погашение займов и кредитов из нормативной прибыли")+SUMIFS('ИП + источники'!AJ$26:AJ$116,'ИП + источники'!$F$26:$F$116,$F165,'ИП + источники'!$AC$26:$AC$116,"уплата процентов по кредитам из нормативной прибыли")</f>
        <v>0</v>
      </c>
      <c r="AJ165" s="729">
        <f ca="1">SUMIFS('ИП + источники'!AK$26:AK$116,'ИП + источники'!$F$26:$F$116,$F165,'ИП + источники'!$AC$26:$AC$116,"погашение займов и кредитов из нормативной прибыли")+SUMIFS('ИП + источники'!AK$26:AK$116,'ИП + источники'!$F$26:$F$116,$F165,'ИП + источники'!$AC$26:$AC$116,"уплата процентов по кредитам из нормативной прибыли")</f>
        <v>0</v>
      </c>
      <c r="AK165" s="729">
        <f ca="1">SUMIFS('ИП + источники'!AU$26:AU$116,'ИП + источники'!$F$26:$F$116,$F165,'ИП + источники'!$AC$26:$AC$116,"погашение займов и кредитов из нормативной прибыли")+SUMIFS('ИП + источники'!AU$26:AU$116,'ИП + источники'!$F$26:$F$116,$F165,'ИП + источники'!$AC$26:$AC$116,"уплата процентов по кредитам из нормативной прибыли")</f>
        <v>0</v>
      </c>
      <c r="AL165" s="722">
        <f t="shared" ca="1" si="10"/>
        <v>0</v>
      </c>
      <c r="AM165" s="723"/>
      <c r="AN165" s="823" t="str">
        <f ca="1">IF(IFERROR(INDEX('ИП + источники'!$K$28:$L$116,MATCH($F165&amp;"1komm",'ИП + источники'!$K$28:$K$116,0),2),"")=0,"",IFERROR(INDEX('ИП + источники'!$K$28:$L$116,MATCH($F165&amp;"1komm",'ИП + источники'!$K$28:$K$116,0),2),""))</f>
        <v/>
      </c>
      <c r="AO165" s="723"/>
      <c r="AP165" s="1210"/>
      <c r="AQ165" s="1210"/>
      <c r="AR165" s="971" t="s">
        <v>1222</v>
      </c>
      <c r="AS165" s="971"/>
      <c r="AT165" s="971"/>
      <c r="AU165" s="968"/>
      <c r="AV165" s="968"/>
    </row>
    <row r="166" spans="1:48" s="1334" customFormat="1" ht="14.25" customHeight="1" x14ac:dyDescent="0.25">
      <c r="A166" s="1210"/>
      <c r="B166" s="1210"/>
      <c r="C166" s="1210"/>
      <c r="D166" s="1210"/>
      <c r="E166" s="618">
        <v>15</v>
      </c>
      <c r="F166" s="3" t="str" cm="1">
        <f t="array" aca="1" ref="F166" ca="1">OFFSET(E166,-1,1)</f>
        <v>1</v>
      </c>
      <c r="G166" s="1210"/>
      <c r="H166" s="1210"/>
      <c r="I166" s="511" t="s">
        <v>598</v>
      </c>
      <c r="J166" s="511"/>
      <c r="K166" s="511"/>
      <c r="L166" s="511"/>
      <c r="M166" s="511"/>
      <c r="N166" s="511"/>
      <c r="O166" s="511"/>
      <c r="P166" s="511"/>
      <c r="Q166" s="511"/>
      <c r="R166" s="511"/>
      <c r="S166" s="511"/>
      <c r="T166" s="388" t="b" cm="1">
        <f t="array" aca="1" ref="T166" ca="1">T165</f>
        <v>1</v>
      </c>
      <c r="U166" s="1210"/>
      <c r="V166" s="1210"/>
      <c r="W166" s="1210"/>
      <c r="X166" s="2120"/>
      <c r="Y166" s="1210"/>
      <c r="Z166" s="2121"/>
      <c r="AA166" s="1210"/>
      <c r="AB166" s="727" t="s">
        <v>634</v>
      </c>
      <c r="AC166" s="732" t="s">
        <v>1792</v>
      </c>
      <c r="AD166" s="733" t="s">
        <v>831</v>
      </c>
      <c r="AE166" s="729">
        <f ca="1">SUMIFS('ИП + источники'!AF$27:AF$116,'ИП + источники'!$F$27:$F$116,$F166,'ИП + источники'!$AC$27:$AC$116,"Прибыль на капвложения")</f>
        <v>0</v>
      </c>
      <c r="AF166" s="729">
        <f ca="1">SUMIFS('ИП + источники'!AG$27:AG$116,'ИП + источники'!$F$27:$F$116,$F166,'ИП + источники'!$AC$27:$AC$116,"Прибыль на капвложения")</f>
        <v>0</v>
      </c>
      <c r="AG166" s="729">
        <f ca="1">SUMIFS('ИП + источники'!AH$27:AH$116,'ИП + источники'!$F$27:$F$116,$F166,'ИП + источники'!$AC$27:$AC$116,"Прибыль на капвложения")</f>
        <v>0</v>
      </c>
      <c r="AH166" s="722">
        <f t="shared" ca="1" si="9"/>
        <v>0</v>
      </c>
      <c r="AI166" s="729">
        <f ca="1">SUMIFS('ИП + источники'!AJ$27:AJ$116,'ИП + источники'!$F$27:$F$116,$F166,'ИП + источники'!$AC$27:$AC$116,"Прибыль на капвложения")</f>
        <v>0</v>
      </c>
      <c r="AJ166" s="729">
        <f ca="1">SUMIFS('ИП + источники'!AK$27:AK$116,'ИП + источники'!$F$27:$F$116,$F166,'ИП + источники'!$AC$27:$AC$116,"Прибыль на капвложения")</f>
        <v>0</v>
      </c>
      <c r="AK166" s="729">
        <f ca="1">SUMIFS('ИП + источники'!AU$27:AU$116,'ИП + источники'!$F$27:$F$116,$F166,'ИП + источники'!$AC$27:$AC$116,"Прибыль на капвложения")</f>
        <v>0</v>
      </c>
      <c r="AL166" s="722">
        <f t="shared" ca="1" si="10"/>
        <v>0</v>
      </c>
      <c r="AM166" s="723"/>
      <c r="AN166" s="823" t="str">
        <f ca="1">IF(IFERROR(INDEX('ИП + источники'!$K$28:$L$116,MATCH($F166&amp;"2komm",'ИП + источники'!$K$28:$K$116,0),2),"")=0,"",IFERROR(INDEX('ИП + источники'!$K$28:$L$116,MATCH($F166&amp;"2komm",'ИП + источники'!$K$28:$K$116,0),2),""))</f>
        <v/>
      </c>
      <c r="AO166" s="723"/>
      <c r="AP166" s="1210"/>
      <c r="AQ166" s="1210"/>
      <c r="AR166" s="971" t="s">
        <v>1793</v>
      </c>
      <c r="AS166" s="971"/>
      <c r="AT166" s="971"/>
      <c r="AU166" s="968"/>
      <c r="AV166" s="968"/>
    </row>
    <row r="167" spans="1:48" s="1334" customFormat="1" ht="21.75" customHeight="1" x14ac:dyDescent="0.25">
      <c r="A167" s="1210"/>
      <c r="B167" s="1210"/>
      <c r="C167" s="1210"/>
      <c r="D167" s="1210"/>
      <c r="E167" s="618">
        <v>22.5</v>
      </c>
      <c r="F167" s="3" t="str" cm="1">
        <f t="array" aca="1" ref="F167" ca="1">OFFSET(E167,-1,1)</f>
        <v>1</v>
      </c>
      <c r="G167" s="1210"/>
      <c r="H167" s="1210"/>
      <c r="I167" s="511" t="s">
        <v>602</v>
      </c>
      <c r="J167" s="511"/>
      <c r="K167" s="511"/>
      <c r="L167" s="511"/>
      <c r="M167" s="511"/>
      <c r="N167" s="511"/>
      <c r="O167" s="511"/>
      <c r="P167" s="511"/>
      <c r="Q167" s="511"/>
      <c r="R167" s="511"/>
      <c r="S167" s="511"/>
      <c r="T167" s="388" t="b" cm="1">
        <f t="array" aca="1" ref="T167" ca="1">T166</f>
        <v>1</v>
      </c>
      <c r="U167" s="1210"/>
      <c r="V167" s="1210"/>
      <c r="W167" s="1210"/>
      <c r="X167" s="2120"/>
      <c r="Y167" s="1210"/>
      <c r="Z167" s="2121"/>
      <c r="AA167" s="1210"/>
      <c r="AB167" s="727" t="s">
        <v>646</v>
      </c>
      <c r="AC167" s="732" t="s">
        <v>1794</v>
      </c>
      <c r="AD167" s="733" t="s">
        <v>831</v>
      </c>
      <c r="AE167" s="729"/>
      <c r="AF167" s="729"/>
      <c r="AG167" s="729"/>
      <c r="AH167" s="722"/>
      <c r="AI167" s="729"/>
      <c r="AJ167" s="729"/>
      <c r="AK167" s="729"/>
      <c r="AL167" s="722">
        <f t="shared" si="10"/>
        <v>0</v>
      </c>
      <c r="AM167" s="723"/>
      <c r="AN167" s="723"/>
      <c r="AO167" s="723"/>
      <c r="AP167" s="1210"/>
      <c r="AQ167" s="1210"/>
      <c r="AR167" s="971" t="s">
        <v>1795</v>
      </c>
      <c r="AS167" s="971"/>
      <c r="AT167" s="971"/>
      <c r="AU167" s="968"/>
      <c r="AV167" s="968"/>
    </row>
    <row r="168" spans="1:48" s="1487" customFormat="1" ht="21.75" customHeight="1" x14ac:dyDescent="0.25">
      <c r="A168" s="512"/>
      <c r="B168" s="512" t="b">
        <f>STATUS_GO="да"</f>
        <v>1</v>
      </c>
      <c r="C168" s="512"/>
      <c r="D168" s="512"/>
      <c r="E168" s="620">
        <v>22.5</v>
      </c>
      <c r="F168" s="3" t="str" cm="1">
        <f t="array" aca="1" ref="F168" ca="1">OFFSET(E168,-1,1)</f>
        <v>1</v>
      </c>
      <c r="G168" s="512"/>
      <c r="H168" s="512"/>
      <c r="I168" s="621" t="s">
        <v>606</v>
      </c>
      <c r="J168" s="621"/>
      <c r="K168" s="621"/>
      <c r="L168" s="621"/>
      <c r="M168" s="621"/>
      <c r="N168" s="621"/>
      <c r="O168" s="621"/>
      <c r="P168" s="621"/>
      <c r="Q168" s="621"/>
      <c r="R168" s="621"/>
      <c r="S168" s="621"/>
      <c r="T168" s="388" t="b" cm="1">
        <f t="array" aca="1" ref="T168" ca="1">T167</f>
        <v>1</v>
      </c>
      <c r="U168" s="512"/>
      <c r="V168" s="512"/>
      <c r="W168" s="512"/>
      <c r="X168" s="2120"/>
      <c r="Y168" s="512"/>
      <c r="Z168" s="2121"/>
      <c r="AA168" s="512"/>
      <c r="AB168" s="724" t="s">
        <v>469</v>
      </c>
      <c r="AC168" s="720" t="s">
        <v>1796</v>
      </c>
      <c r="AD168" s="731" t="s">
        <v>831</v>
      </c>
      <c r="AE168" s="730"/>
      <c r="AF168" s="730"/>
      <c r="AG168" s="730"/>
      <c r="AH168" s="721">
        <f>AG168-AF168</f>
        <v>0</v>
      </c>
      <c r="AI168" s="730"/>
      <c r="AJ168" s="730"/>
      <c r="AK168" s="730"/>
      <c r="AL168" s="721">
        <f t="shared" si="10"/>
        <v>0</v>
      </c>
      <c r="AM168" s="726"/>
      <c r="AN168" s="726"/>
      <c r="AO168" s="726"/>
      <c r="AP168" s="512"/>
      <c r="AQ168" s="512"/>
      <c r="AR168" s="972" t="s">
        <v>1797</v>
      </c>
      <c r="AS168" s="972"/>
      <c r="AT168" s="972"/>
      <c r="AU168" s="620"/>
      <c r="AV168" s="620"/>
    </row>
    <row r="169" spans="1:48" s="1334" customFormat="1" ht="14.25" customHeight="1" x14ac:dyDescent="0.25">
      <c r="A169" s="1210"/>
      <c r="B169" s="1210"/>
      <c r="C169" s="1210"/>
      <c r="D169" s="1210"/>
      <c r="E169" s="618">
        <v>15</v>
      </c>
      <c r="F169" s="3" t="str" cm="1">
        <f t="array" aca="1" ref="F169" ca="1">OFFSET(E169,-1,1)</f>
        <v>1</v>
      </c>
      <c r="G169" s="1210"/>
      <c r="H169" s="1210"/>
      <c r="I169" s="511" t="s">
        <v>613</v>
      </c>
      <c r="J169" s="511"/>
      <c r="K169" s="511"/>
      <c r="L169" s="511"/>
      <c r="M169" s="511"/>
      <c r="N169" s="511"/>
      <c r="O169" s="511"/>
      <c r="P169" s="511"/>
      <c r="Q169" s="511"/>
      <c r="R169" s="511"/>
      <c r="S169" s="511"/>
      <c r="T169" s="388" t="b" cm="1">
        <f t="array" aca="1" ref="T169" ca="1">T168</f>
        <v>1</v>
      </c>
      <c r="U169" s="1210"/>
      <c r="V169" s="1210"/>
      <c r="W169" s="1210"/>
      <c r="X169" s="2120"/>
      <c r="Y169" s="1210"/>
      <c r="Z169" s="2121"/>
      <c r="AA169" s="1210"/>
      <c r="AB169" s="727" t="s">
        <v>472</v>
      </c>
      <c r="AC169" s="735" t="s">
        <v>1431</v>
      </c>
      <c r="AD169" s="733" t="s">
        <v>831</v>
      </c>
      <c r="AE169" s="729"/>
      <c r="AF169" s="729"/>
      <c r="AG169" s="729"/>
      <c r="AH169" s="722"/>
      <c r="AI169" s="1469"/>
      <c r="AJ169" s="1469"/>
      <c r="AK169" s="1469"/>
      <c r="AL169" s="722">
        <f t="shared" si="10"/>
        <v>0</v>
      </c>
      <c r="AM169" s="723"/>
      <c r="AN169" s="723"/>
      <c r="AO169" s="723"/>
      <c r="AP169" s="1210"/>
      <c r="AQ169" s="1210"/>
      <c r="AR169" s="971" t="s">
        <v>1798</v>
      </c>
      <c r="AS169" s="971"/>
      <c r="AT169" s="971"/>
      <c r="AU169" s="968"/>
      <c r="AV169" s="968"/>
    </row>
    <row r="170" spans="1:48" s="1334" customFormat="1" ht="101.25" hidden="1" customHeight="1" x14ac:dyDescent="0.25">
      <c r="A170" s="1210"/>
      <c r="B170" s="1210"/>
      <c r="C170" s="1210"/>
      <c r="D170" s="1210"/>
      <c r="E170" s="618">
        <v>0</v>
      </c>
      <c r="F170" s="3" t="str" cm="1">
        <f t="array" aca="1" ref="F170" ca="1">OFFSET(E170,-1,1)</f>
        <v>1</v>
      </c>
      <c r="G170" s="1210"/>
      <c r="H170" s="440" t="b">
        <f>ISERR(SEARCH("Водоснабжение",AB112))</f>
        <v>0</v>
      </c>
      <c r="I170" s="511" t="s">
        <v>770</v>
      </c>
      <c r="J170" s="511"/>
      <c r="K170" s="511"/>
      <c r="L170" s="511"/>
      <c r="M170" s="511"/>
      <c r="N170" s="511"/>
      <c r="O170" s="511"/>
      <c r="P170" s="511"/>
      <c r="Q170" s="511"/>
      <c r="R170" s="511"/>
      <c r="S170" s="511"/>
      <c r="T170" s="388" t="b" cm="1">
        <f t="array" aca="1" ref="T170" ca="1">T169</f>
        <v>1</v>
      </c>
      <c r="U170" s="1210"/>
      <c r="V170" s="1210"/>
      <c r="W170" s="1210"/>
      <c r="X170" s="2120"/>
      <c r="Y170" s="1210"/>
      <c r="Z170" s="2121"/>
      <c r="AA170" s="1210"/>
      <c r="AB170" s="727" t="s">
        <v>475</v>
      </c>
      <c r="AC170" s="735" t="s">
        <v>1799</v>
      </c>
      <c r="AD170" s="679" t="s">
        <v>831</v>
      </c>
      <c r="AE170" s="729"/>
      <c r="AF170" s="729"/>
      <c r="AG170" s="729"/>
      <c r="AH170" s="722">
        <f t="shared" ref="AH170:AH185" si="11">AG170-AF170</f>
        <v>0</v>
      </c>
      <c r="AI170" s="729"/>
      <c r="AJ170" s="1464"/>
      <c r="AK170" s="1464">
        <f ca="1">IFERROR(SUMIFS('Плата за негативное возд'!$AL$25:$AL$35,'Плата за негативное возд'!$F$25:$F$35,F170,'Плата за негативное возд'!$G$25:$G$35,"1"),0)</f>
        <v>0</v>
      </c>
      <c r="AL170" s="722">
        <f t="shared" si="10"/>
        <v>0</v>
      </c>
      <c r="AM170" s="1461"/>
      <c r="AN170" s="1461"/>
      <c r="AO170" s="1461"/>
      <c r="AP170" s="1210"/>
      <c r="AQ170" s="1210"/>
      <c r="AR170" s="971" t="s">
        <v>1331</v>
      </c>
      <c r="AS170" s="971"/>
      <c r="AT170" s="971"/>
      <c r="AU170" s="968"/>
      <c r="AV170" s="968"/>
    </row>
    <row r="171" spans="1:48" s="1334" customFormat="1" ht="67.5" hidden="1" customHeight="1" x14ac:dyDescent="0.25">
      <c r="A171" s="1210"/>
      <c r="B171" s="1210"/>
      <c r="C171" s="1210"/>
      <c r="D171" s="1210"/>
      <c r="E171" s="618">
        <v>0</v>
      </c>
      <c r="F171" s="3" t="str" cm="1">
        <f t="array" aca="1" ref="F171" ca="1">OFFSET(E171,-1,1)</f>
        <v>1</v>
      </c>
      <c r="G171" s="1210"/>
      <c r="H171" s="440" t="b">
        <f>ISERR(SEARCH("Водоснабжение",AB112))</f>
        <v>0</v>
      </c>
      <c r="I171" s="511" t="s">
        <v>772</v>
      </c>
      <c r="J171" s="511"/>
      <c r="K171" s="511"/>
      <c r="L171" s="511"/>
      <c r="M171" s="511"/>
      <c r="N171" s="511"/>
      <c r="O171" s="511"/>
      <c r="P171" s="511"/>
      <c r="Q171" s="511"/>
      <c r="R171" s="511"/>
      <c r="S171" s="511"/>
      <c r="T171" s="388" t="b" cm="1">
        <f t="array" aca="1" ref="T171" ca="1">T170</f>
        <v>1</v>
      </c>
      <c r="U171" s="1210"/>
      <c r="V171" s="1210"/>
      <c r="W171" s="1210"/>
      <c r="X171" s="2120"/>
      <c r="Y171" s="1210"/>
      <c r="Z171" s="2121"/>
      <c r="AA171" s="1210"/>
      <c r="AB171" s="727" t="s">
        <v>478</v>
      </c>
      <c r="AC171" s="735" t="s">
        <v>1800</v>
      </c>
      <c r="AD171" s="679" t="s">
        <v>831</v>
      </c>
      <c r="AE171" s="729"/>
      <c r="AF171" s="729"/>
      <c r="AG171" s="729"/>
      <c r="AH171" s="722">
        <f t="shared" si="11"/>
        <v>0</v>
      </c>
      <c r="AI171" s="729"/>
      <c r="AJ171" s="1464"/>
      <c r="AK171" s="1464">
        <f ca="1">IFERROR(SUMIFS('Плата за негативное возд'!$AL$25:$AL$35,'Плата за негативное возд'!$F$25:$F$35,F171,'Плата за негативное возд'!$G$25:$G$35,"2"),0)</f>
        <v>0</v>
      </c>
      <c r="AL171" s="722">
        <f t="shared" si="10"/>
        <v>0</v>
      </c>
      <c r="AM171" s="1461"/>
      <c r="AN171" s="1461"/>
      <c r="AO171" s="1461"/>
      <c r="AP171" s="1210"/>
      <c r="AQ171" s="1210"/>
      <c r="AR171" s="971" t="s">
        <v>1335</v>
      </c>
      <c r="AS171" s="971"/>
      <c r="AT171" s="971"/>
      <c r="AU171" s="968"/>
      <c r="AV171" s="968"/>
    </row>
    <row r="172" spans="1:48" s="1334" customFormat="1" ht="14.25" customHeight="1" x14ac:dyDescent="0.25">
      <c r="A172" s="1210"/>
      <c r="B172" s="1210"/>
      <c r="C172" s="1210"/>
      <c r="D172" s="1210"/>
      <c r="E172" s="618">
        <v>15</v>
      </c>
      <c r="F172" s="3" t="str" cm="1">
        <f t="array" aca="1" ref="F172" ca="1">OFFSET(E172,-1,1)</f>
        <v>1</v>
      </c>
      <c r="G172" s="1210"/>
      <c r="H172" s="1210"/>
      <c r="I172" s="511" t="s">
        <v>809</v>
      </c>
      <c r="J172" s="511"/>
      <c r="K172" s="511"/>
      <c r="L172" s="511"/>
      <c r="M172" s="511"/>
      <c r="N172" s="511"/>
      <c r="O172" s="511"/>
      <c r="P172" s="511"/>
      <c r="Q172" s="511"/>
      <c r="R172" s="511"/>
      <c r="S172" s="511"/>
      <c r="T172" s="388" t="b" cm="1">
        <f t="array" aca="1" ref="T172" ca="1">T171</f>
        <v>1</v>
      </c>
      <c r="U172" s="1210"/>
      <c r="V172" s="1210"/>
      <c r="W172" s="1210"/>
      <c r="X172" s="2120"/>
      <c r="Y172" s="1210"/>
      <c r="Z172" s="2121"/>
      <c r="AA172" s="1210"/>
      <c r="AB172" s="727" t="s">
        <v>481</v>
      </c>
      <c r="AC172" s="737" t="s">
        <v>1801</v>
      </c>
      <c r="AD172" s="733" t="s">
        <v>831</v>
      </c>
      <c r="AE172" s="729"/>
      <c r="AF172" s="729"/>
      <c r="AG172" s="729"/>
      <c r="AH172" s="722">
        <f t="shared" si="11"/>
        <v>0</v>
      </c>
      <c r="AI172" s="729"/>
      <c r="AJ172" s="729"/>
      <c r="AK172" s="729"/>
      <c r="AL172" s="722">
        <f t="shared" si="10"/>
        <v>0</v>
      </c>
      <c r="AM172" s="723"/>
      <c r="AN172" s="723"/>
      <c r="AO172" s="723"/>
      <c r="AP172" s="1210"/>
      <c r="AQ172" s="1210"/>
      <c r="AR172" s="971" t="s">
        <v>1205</v>
      </c>
      <c r="AS172" s="971"/>
      <c r="AT172" s="971"/>
      <c r="AU172" s="968"/>
      <c r="AV172" s="968"/>
    </row>
    <row r="173" spans="1:48" s="1488" customFormat="1" ht="21.75" customHeight="1" x14ac:dyDescent="0.25">
      <c r="A173" s="512"/>
      <c r="B173" s="512"/>
      <c r="C173" s="512"/>
      <c r="D173" s="512"/>
      <c r="E173" s="620">
        <v>22.5</v>
      </c>
      <c r="F173" s="3" t="str" cm="1">
        <f t="array" aca="1" ref="F173" ca="1">OFFSET(E173,-1,1)</f>
        <v>1</v>
      </c>
      <c r="G173" s="512"/>
      <c r="H173" s="512"/>
      <c r="I173" s="621" t="s">
        <v>810</v>
      </c>
      <c r="J173" s="621"/>
      <c r="K173" s="621"/>
      <c r="L173" s="621"/>
      <c r="M173" s="621"/>
      <c r="N173" s="621"/>
      <c r="O173" s="621"/>
      <c r="P173" s="621"/>
      <c r="Q173" s="621"/>
      <c r="R173" s="621"/>
      <c r="S173" s="621"/>
      <c r="T173" s="388" t="b" cm="1">
        <f t="array" aca="1" ref="T173" ca="1">T172</f>
        <v>1</v>
      </c>
      <c r="U173" s="512"/>
      <c r="V173" s="512"/>
      <c r="W173" s="512"/>
      <c r="X173" s="2120"/>
      <c r="Y173" s="512"/>
      <c r="Z173" s="2121"/>
      <c r="AA173" s="512"/>
      <c r="AB173" s="724" t="s">
        <v>1802</v>
      </c>
      <c r="AC173" s="513" t="s">
        <v>1803</v>
      </c>
      <c r="AD173" s="731" t="s">
        <v>831</v>
      </c>
      <c r="AE173" s="708">
        <f>AE174+AE175</f>
        <v>0</v>
      </c>
      <c r="AF173" s="708">
        <f>AF174+AF175</f>
        <v>0</v>
      </c>
      <c r="AG173" s="708">
        <f>AG174+AG175</f>
        <v>0</v>
      </c>
      <c r="AH173" s="721">
        <f t="shared" si="11"/>
        <v>0</v>
      </c>
      <c r="AI173" s="708">
        <f>AI174+AI175</f>
        <v>0</v>
      </c>
      <c r="AJ173" s="708">
        <f>AJ174+AJ175</f>
        <v>0</v>
      </c>
      <c r="AK173" s="708">
        <f>AK174+AK175</f>
        <v>0</v>
      </c>
      <c r="AL173" s="721">
        <f t="shared" si="10"/>
        <v>0</v>
      </c>
      <c r="AM173" s="726"/>
      <c r="AN173" s="726"/>
      <c r="AO173" s="726"/>
      <c r="AP173" s="512"/>
      <c r="AQ173" s="512"/>
      <c r="AR173" s="972" t="s">
        <v>1514</v>
      </c>
      <c r="AS173" s="972"/>
      <c r="AT173" s="972"/>
      <c r="AU173" s="620"/>
      <c r="AV173" s="620"/>
    </row>
    <row r="174" spans="1:48" s="1334" customFormat="1" ht="21.75" customHeight="1" x14ac:dyDescent="0.25">
      <c r="A174" s="1210"/>
      <c r="B174" s="1210"/>
      <c r="C174" s="1210"/>
      <c r="D174" s="1210"/>
      <c r="E174" s="618">
        <v>22.5</v>
      </c>
      <c r="F174" s="3" t="str" cm="1">
        <f t="array" aca="1" ref="F174" ca="1">OFFSET(E174,-1,1)</f>
        <v>1</v>
      </c>
      <c r="G174" s="1210"/>
      <c r="H174" s="1210"/>
      <c r="I174" s="511" t="s">
        <v>1804</v>
      </c>
      <c r="J174" s="511"/>
      <c r="K174" s="511"/>
      <c r="L174" s="511"/>
      <c r="M174" s="511"/>
      <c r="N174" s="511"/>
      <c r="O174" s="511"/>
      <c r="P174" s="511"/>
      <c r="Q174" s="511"/>
      <c r="R174" s="511"/>
      <c r="S174" s="511"/>
      <c r="T174" s="388" t="b" cm="1">
        <f t="array" aca="1" ref="T174" ca="1">T173</f>
        <v>1</v>
      </c>
      <c r="U174" s="1210"/>
      <c r="V174" s="1210"/>
      <c r="W174" s="1210"/>
      <c r="X174" s="2120"/>
      <c r="Y174" s="1210"/>
      <c r="Z174" s="2121"/>
      <c r="AA174" s="1210"/>
      <c r="AB174" s="727" t="s">
        <v>1805</v>
      </c>
      <c r="AC174" s="738" t="s">
        <v>1515</v>
      </c>
      <c r="AD174" s="733" t="s">
        <v>831</v>
      </c>
      <c r="AE174" s="729"/>
      <c r="AF174" s="729"/>
      <c r="AG174" s="729"/>
      <c r="AH174" s="722">
        <f t="shared" si="11"/>
        <v>0</v>
      </c>
      <c r="AI174" s="729"/>
      <c r="AJ174" s="729"/>
      <c r="AK174" s="729"/>
      <c r="AL174" s="722">
        <f t="shared" si="10"/>
        <v>0</v>
      </c>
      <c r="AM174" s="723"/>
      <c r="AN174" s="723"/>
      <c r="AO174" s="723"/>
      <c r="AP174" s="1210"/>
      <c r="AQ174" s="1210"/>
      <c r="AR174" s="971" t="s">
        <v>1553</v>
      </c>
      <c r="AS174" s="971"/>
      <c r="AT174" s="971"/>
      <c r="AU174" s="968"/>
      <c r="AV174" s="968"/>
    </row>
    <row r="175" spans="1:48" s="1334" customFormat="1" ht="21.75" customHeight="1" x14ac:dyDescent="0.25">
      <c r="A175" s="1210"/>
      <c r="B175" s="1210"/>
      <c r="C175" s="1210"/>
      <c r="D175" s="1210"/>
      <c r="E175" s="618">
        <v>22.5</v>
      </c>
      <c r="F175" s="3" t="str" cm="1">
        <f t="array" aca="1" ref="F175" ca="1">OFFSET(E175,-1,1)</f>
        <v>1</v>
      </c>
      <c r="G175" s="1210"/>
      <c r="H175" s="1210"/>
      <c r="I175" s="511" t="s">
        <v>1806</v>
      </c>
      <c r="J175" s="511"/>
      <c r="K175" s="511"/>
      <c r="L175" s="511"/>
      <c r="M175" s="511"/>
      <c r="N175" s="511"/>
      <c r="O175" s="511"/>
      <c r="P175" s="511"/>
      <c r="Q175" s="511"/>
      <c r="R175" s="511"/>
      <c r="S175" s="511"/>
      <c r="T175" s="388" t="b" cm="1">
        <f t="array" aca="1" ref="T175" ca="1">T174</f>
        <v>1</v>
      </c>
      <c r="U175" s="1210"/>
      <c r="V175" s="1210"/>
      <c r="W175" s="1210"/>
      <c r="X175" s="2120"/>
      <c r="Y175" s="1210"/>
      <c r="Z175" s="2121"/>
      <c r="AA175" s="1210"/>
      <c r="AB175" s="727" t="s">
        <v>1807</v>
      </c>
      <c r="AC175" s="738" t="s">
        <v>1517</v>
      </c>
      <c r="AD175" s="733" t="s">
        <v>831</v>
      </c>
      <c r="AE175" s="729"/>
      <c r="AF175" s="729"/>
      <c r="AG175" s="729"/>
      <c r="AH175" s="722">
        <f t="shared" si="11"/>
        <v>0</v>
      </c>
      <c r="AI175" s="729"/>
      <c r="AJ175" s="729"/>
      <c r="AK175" s="729"/>
      <c r="AL175" s="722">
        <f t="shared" si="10"/>
        <v>0</v>
      </c>
      <c r="AM175" s="723"/>
      <c r="AN175" s="723"/>
      <c r="AO175" s="723"/>
      <c r="AP175" s="1210"/>
      <c r="AQ175" s="1210"/>
      <c r="AR175" s="971" t="s">
        <v>1808</v>
      </c>
      <c r="AS175" s="971"/>
      <c r="AT175" s="971"/>
      <c r="AU175" s="968"/>
      <c r="AV175" s="968"/>
    </row>
    <row r="176" spans="1:48" s="1334" customFormat="1" ht="14.25" customHeight="1" x14ac:dyDescent="0.25">
      <c r="A176" s="1210"/>
      <c r="B176" s="1210"/>
      <c r="C176" s="1210"/>
      <c r="D176" s="1210"/>
      <c r="E176" s="618">
        <v>15</v>
      </c>
      <c r="F176" s="3" t="str" cm="1">
        <f t="array" aca="1" ref="F176" ca="1">OFFSET(E176,-1,1)</f>
        <v>1</v>
      </c>
      <c r="G176" s="1210"/>
      <c r="H176" s="1210"/>
      <c r="I176" s="511" t="s">
        <v>1809</v>
      </c>
      <c r="J176" s="511"/>
      <c r="K176" s="511"/>
      <c r="L176" s="511"/>
      <c r="M176" s="511"/>
      <c r="N176" s="511"/>
      <c r="O176" s="511"/>
      <c r="P176" s="511"/>
      <c r="Q176" s="511"/>
      <c r="R176" s="511"/>
      <c r="S176" s="511"/>
      <c r="T176" s="388" t="b" cm="1">
        <f t="array" aca="1" ref="T176" ca="1">T175</f>
        <v>1</v>
      </c>
      <c r="U176" s="1210"/>
      <c r="V176" s="1210"/>
      <c r="W176" s="1210"/>
      <c r="X176" s="2120"/>
      <c r="Y176" s="1210"/>
      <c r="Z176" s="2121"/>
      <c r="AA176" s="1210"/>
      <c r="AB176" s="739" t="s">
        <v>340</v>
      </c>
      <c r="AC176" s="740" t="s">
        <v>1519</v>
      </c>
      <c r="AD176" s="733" t="s">
        <v>831</v>
      </c>
      <c r="AE176" s="729"/>
      <c r="AF176" s="729"/>
      <c r="AG176" s="729"/>
      <c r="AH176" s="722">
        <f t="shared" si="11"/>
        <v>0</v>
      </c>
      <c r="AI176" s="729"/>
      <c r="AJ176" s="729"/>
      <c r="AK176" s="729"/>
      <c r="AL176" s="722">
        <f t="shared" si="10"/>
        <v>0</v>
      </c>
      <c r="AM176" s="723"/>
      <c r="AN176" s="723"/>
      <c r="AO176" s="723"/>
      <c r="AP176" s="1210"/>
      <c r="AQ176" s="1210"/>
      <c r="AR176" s="971" t="s">
        <v>1520</v>
      </c>
      <c r="AS176" s="971"/>
      <c r="AT176" s="971"/>
      <c r="AU176" s="968"/>
      <c r="AV176" s="968"/>
    </row>
    <row r="177" spans="1:48" s="1334" customFormat="1" ht="14.25" customHeight="1" x14ac:dyDescent="0.25">
      <c r="A177" s="1210"/>
      <c r="B177" s="1210"/>
      <c r="C177" s="1210"/>
      <c r="D177" s="1210"/>
      <c r="E177" s="618">
        <v>15</v>
      </c>
      <c r="F177" s="3" t="str" cm="1">
        <f t="array" aca="1" ref="F177" ca="1">OFFSET(E177,-1,1)</f>
        <v>1</v>
      </c>
      <c r="G177" s="1210"/>
      <c r="H177" s="1210"/>
      <c r="I177" s="511" t="s">
        <v>1810</v>
      </c>
      <c r="J177" s="511"/>
      <c r="K177" s="511"/>
      <c r="L177" s="511"/>
      <c r="M177" s="511"/>
      <c r="N177" s="511"/>
      <c r="O177" s="511"/>
      <c r="P177" s="511"/>
      <c r="Q177" s="511"/>
      <c r="R177" s="511"/>
      <c r="S177" s="511"/>
      <c r="T177" s="388" t="b" cm="1">
        <f t="array" aca="1" ref="T177" ca="1">T176</f>
        <v>1</v>
      </c>
      <c r="U177" s="1210"/>
      <c r="V177" s="1210"/>
      <c r="W177" s="1210"/>
      <c r="X177" s="2120"/>
      <c r="Y177" s="1210"/>
      <c r="Z177" s="2121"/>
      <c r="AA177" s="1210"/>
      <c r="AB177" s="739" t="s">
        <v>1811</v>
      </c>
      <c r="AC177" s="740" t="s">
        <v>1521</v>
      </c>
      <c r="AD177" s="733" t="s">
        <v>831</v>
      </c>
      <c r="AE177" s="729"/>
      <c r="AF177" s="729"/>
      <c r="AG177" s="729"/>
      <c r="AH177" s="722">
        <f t="shared" si="11"/>
        <v>0</v>
      </c>
      <c r="AI177" s="729"/>
      <c r="AJ177" s="729"/>
      <c r="AK177" s="729"/>
      <c r="AL177" s="722">
        <f t="shared" si="10"/>
        <v>0</v>
      </c>
      <c r="AM177" s="723"/>
      <c r="AN177" s="723"/>
      <c r="AO177" s="723"/>
      <c r="AP177" s="1210"/>
      <c r="AQ177" s="1210"/>
      <c r="AR177" s="971" t="s">
        <v>1522</v>
      </c>
      <c r="AS177" s="971"/>
      <c r="AT177" s="971"/>
      <c r="AU177" s="968"/>
      <c r="AV177" s="968"/>
    </row>
    <row r="178" spans="1:48" s="1489" customFormat="1" ht="14.25" customHeight="1" x14ac:dyDescent="0.25">
      <c r="A178" s="512"/>
      <c r="B178" s="512"/>
      <c r="C178" s="512"/>
      <c r="D178" s="512"/>
      <c r="E178" s="620">
        <v>15</v>
      </c>
      <c r="F178" s="3" t="str" cm="1">
        <f t="array" aca="1" ref="F178" ca="1">OFFSET(E178,-1,1)</f>
        <v>1</v>
      </c>
      <c r="G178" s="512"/>
      <c r="H178" s="512"/>
      <c r="I178" s="621" t="s">
        <v>1812</v>
      </c>
      <c r="J178" s="621"/>
      <c r="K178" s="621"/>
      <c r="L178" s="621"/>
      <c r="M178" s="621"/>
      <c r="N178" s="621"/>
      <c r="O178" s="621"/>
      <c r="P178" s="621"/>
      <c r="Q178" s="621"/>
      <c r="R178" s="621"/>
      <c r="S178" s="621"/>
      <c r="T178" s="388" t="b" cm="1">
        <f t="array" aca="1" ref="T178" ca="1">T177</f>
        <v>1</v>
      </c>
      <c r="U178" s="512"/>
      <c r="V178" s="512"/>
      <c r="W178" s="512"/>
      <c r="X178" s="2120"/>
      <c r="Y178" s="512"/>
      <c r="Z178" s="2121"/>
      <c r="AA178" s="512"/>
      <c r="AB178" s="724" t="s">
        <v>1813</v>
      </c>
      <c r="AC178" s="513" t="s">
        <v>1814</v>
      </c>
      <c r="AD178" s="731" t="s">
        <v>831</v>
      </c>
      <c r="AE178" s="708">
        <f ca="1">AE113+AE141+AE146+AE159+AE160+AE162+AE163+AE164+AE168+AE169-AE170-AE171+AE172-AE173+AE176+AE177</f>
        <v>168653.50391621949</v>
      </c>
      <c r="AF178" s="708">
        <f ca="1">AF113+AF141+AF146+AF159+AF160+AF162+AF163+AF164+AF168+AF169-AF170-AF171+AF172-AF173+AF176+AF177</f>
        <v>150047.24</v>
      </c>
      <c r="AG178" s="708">
        <f ca="1">AG113+AG141+AG146+AG159+AG160+AG162+AG163+AG164+AG168+AG169-AG170-AG171+AG172-AG173+AG176+AG177</f>
        <v>114056.06000000001</v>
      </c>
      <c r="AH178" s="721">
        <f t="shared" ca="1" si="11"/>
        <v>-35991.179999999978</v>
      </c>
      <c r="AI178" s="708">
        <f ca="1">AI113+AI141+AI146+AI159+AI160+AI162+AI163+AI164+AI168+AI169-AI170-AI171+AI172-AI173+AI176+AI177</f>
        <v>121060.82468605702</v>
      </c>
      <c r="AJ178" s="708">
        <f ca="1">AJ113+AJ141+AJ146+AJ159+AJ160+AJ162+AJ163+AJ164+AJ168+AJ169-AJ170-AJ171+AJ172-AJ173+AJ176+AJ177</f>
        <v>179504.40000000002</v>
      </c>
      <c r="AK178" s="708">
        <f ca="1">AK113+AK141+AK146+AK159+AK160+AK162+AK163+AK164+AK168+AK169-AK170-AK171+AK172-AK173+AK176+AK177</f>
        <v>131446.63348449662</v>
      </c>
      <c r="AL178" s="721">
        <f t="shared" ca="1" si="10"/>
        <v>8.5790005357825425</v>
      </c>
      <c r="AM178" s="726"/>
      <c r="AN178" s="726"/>
      <c r="AO178" s="726"/>
      <c r="AP178" s="512"/>
      <c r="AQ178" s="512"/>
      <c r="AR178" s="972" t="s">
        <v>1815</v>
      </c>
      <c r="AS178" s="972"/>
      <c r="AT178" s="972"/>
      <c r="AU178" s="620"/>
      <c r="AV178" s="620"/>
    </row>
    <row r="179" spans="1:48" s="1334" customFormat="1" ht="15" hidden="1" customHeight="1" x14ac:dyDescent="0.25">
      <c r="A179" s="1210"/>
      <c r="B179" s="501" t="b">
        <f>G112="двухставочный"</f>
        <v>0</v>
      </c>
      <c r="C179" s="1210"/>
      <c r="D179" s="1210"/>
      <c r="E179" s="618">
        <v>0</v>
      </c>
      <c r="F179" s="3" t="str" cm="1">
        <f t="array" aca="1" ref="F179" ca="1">OFFSET(E179,-1,1)</f>
        <v>1</v>
      </c>
      <c r="G179" s="1210"/>
      <c r="H179" s="1210"/>
      <c r="I179" s="511" t="s">
        <v>1816</v>
      </c>
      <c r="J179" s="511"/>
      <c r="K179" s="511"/>
      <c r="L179" s="511"/>
      <c r="M179" s="511"/>
      <c r="N179" s="511"/>
      <c r="O179" s="511"/>
      <c r="P179" s="511"/>
      <c r="Q179" s="511"/>
      <c r="R179" s="511"/>
      <c r="S179" s="511"/>
      <c r="T179" s="388" t="b" cm="1">
        <f t="array" aca="1" ref="T179" ca="1">T178</f>
        <v>1</v>
      </c>
      <c r="U179" s="1210"/>
      <c r="V179" s="1210"/>
      <c r="W179" s="1210"/>
      <c r="X179" s="2120"/>
      <c r="Y179" s="1210"/>
      <c r="Z179" s="2121"/>
      <c r="AA179" s="1210"/>
      <c r="AB179" s="727" t="s">
        <v>1817</v>
      </c>
      <c r="AC179" s="738" t="s">
        <v>1818</v>
      </c>
      <c r="AD179" s="733" t="s">
        <v>831</v>
      </c>
      <c r="AE179" s="729"/>
      <c r="AF179" s="729"/>
      <c r="AG179" s="729"/>
      <c r="AH179" s="722">
        <f t="shared" si="11"/>
        <v>0</v>
      </c>
      <c r="AI179" s="729"/>
      <c r="AJ179" s="1464"/>
      <c r="AK179" s="1464"/>
      <c r="AL179" s="722">
        <f t="shared" si="10"/>
        <v>0</v>
      </c>
      <c r="AM179" s="1461"/>
      <c r="AN179" s="1461"/>
      <c r="AO179" s="1461"/>
      <c r="AP179" s="1210"/>
      <c r="AQ179" s="1210"/>
      <c r="AR179" s="971" t="s">
        <v>1819</v>
      </c>
      <c r="AS179" s="971"/>
      <c r="AT179" s="971"/>
      <c r="AU179" s="968"/>
      <c r="AV179" s="968"/>
    </row>
    <row r="180" spans="1:48" s="1334" customFormat="1" ht="15" hidden="1" customHeight="1" x14ac:dyDescent="0.25">
      <c r="A180" s="1210"/>
      <c r="B180" s="501" t="b">
        <f>G112="двухставочный"</f>
        <v>0</v>
      </c>
      <c r="C180" s="1210"/>
      <c r="D180" s="1210"/>
      <c r="E180" s="618">
        <v>0</v>
      </c>
      <c r="F180" s="3" t="str" cm="1">
        <f t="array" aca="1" ref="F180" ca="1">OFFSET(E180,-1,1)</f>
        <v>1</v>
      </c>
      <c r="G180" s="1210"/>
      <c r="H180" s="1210"/>
      <c r="I180" s="511" t="s">
        <v>1820</v>
      </c>
      <c r="J180" s="511"/>
      <c r="K180" s="511"/>
      <c r="L180" s="511"/>
      <c r="M180" s="511"/>
      <c r="N180" s="511"/>
      <c r="O180" s="511"/>
      <c r="P180" s="511"/>
      <c r="Q180" s="511"/>
      <c r="R180" s="511"/>
      <c r="S180" s="511"/>
      <c r="T180" s="388" t="b" cm="1">
        <f t="array" aca="1" ref="T180" ca="1">T179</f>
        <v>1</v>
      </c>
      <c r="U180" s="1210"/>
      <c r="V180" s="1210"/>
      <c r="W180" s="1210"/>
      <c r="X180" s="2120"/>
      <c r="Y180" s="1210"/>
      <c r="Z180" s="2121"/>
      <c r="AA180" s="1210"/>
      <c r="AB180" s="727" t="s">
        <v>1821</v>
      </c>
      <c r="AC180" s="738" t="s">
        <v>1822</v>
      </c>
      <c r="AD180" s="733" t="s">
        <v>831</v>
      </c>
      <c r="AE180" s="729"/>
      <c r="AF180" s="729"/>
      <c r="AG180" s="729"/>
      <c r="AH180" s="722">
        <f t="shared" si="11"/>
        <v>0</v>
      </c>
      <c r="AI180" s="729"/>
      <c r="AJ180" s="1464"/>
      <c r="AK180" s="1464"/>
      <c r="AL180" s="722">
        <f t="shared" si="10"/>
        <v>0</v>
      </c>
      <c r="AM180" s="1461"/>
      <c r="AN180" s="1461"/>
      <c r="AO180" s="1461"/>
      <c r="AP180" s="1210"/>
      <c r="AQ180" s="1210"/>
      <c r="AR180" s="971" t="s">
        <v>1823</v>
      </c>
      <c r="AS180" s="971"/>
      <c r="AT180" s="971"/>
      <c r="AU180" s="968"/>
      <c r="AV180" s="968"/>
    </row>
    <row r="181" spans="1:48" s="1490" customFormat="1" ht="14.25" customHeight="1" x14ac:dyDescent="0.25">
      <c r="A181" s="512"/>
      <c r="B181" s="512"/>
      <c r="C181" s="512"/>
      <c r="D181" s="512"/>
      <c r="E181" s="620">
        <v>15</v>
      </c>
      <c r="F181" s="3" t="str" cm="1">
        <f t="array" aca="1" ref="F181" ca="1">OFFSET(E181,-1,1)</f>
        <v>1</v>
      </c>
      <c r="G181" s="502" t="s">
        <v>1597</v>
      </c>
      <c r="H181" s="512"/>
      <c r="I181" s="621" t="s">
        <v>1824</v>
      </c>
      <c r="J181" s="621"/>
      <c r="K181" s="621"/>
      <c r="L181" s="621"/>
      <c r="M181" s="621"/>
      <c r="N181" s="621"/>
      <c r="O181" s="621"/>
      <c r="P181" s="621"/>
      <c r="Q181" s="621"/>
      <c r="R181" s="621"/>
      <c r="S181" s="621"/>
      <c r="T181" s="388" t="b" cm="1">
        <f t="array" aca="1" ref="T181" ca="1">T180</f>
        <v>1</v>
      </c>
      <c r="U181" s="512"/>
      <c r="V181" s="512"/>
      <c r="W181" s="512"/>
      <c r="X181" s="2120"/>
      <c r="Y181" s="512"/>
      <c r="Z181" s="2121"/>
      <c r="AA181" s="512"/>
      <c r="AB181" s="724" t="s">
        <v>1825</v>
      </c>
      <c r="AC181" s="513" t="s">
        <v>1826</v>
      </c>
      <c r="AD181" s="731" t="s">
        <v>563</v>
      </c>
      <c r="AE181" s="741">
        <f ca="1">SUMIFS(Баланс!AE$26:AE$300,Баланс!$F$26:$F$300,$F181,Баланс!$G$26:$G$300,"ПО")</f>
        <v>4526.2517653333998</v>
      </c>
      <c r="AF181" s="741">
        <f ca="1">SUMIFS(Баланс!AF$26:AF$300,Баланс!$F$26:$F$300,$F181,Баланс!$G$26:$G$300,"ПО")</f>
        <v>4334.1180000000004</v>
      </c>
      <c r="AG181" s="741">
        <f ca="1">SUMIFS(Баланс!AG$26:AG$300,Баланс!$F$26:$F$300,$F181,Баланс!$G$26:$G$300,"ПО")</f>
        <v>4334.1180000000004</v>
      </c>
      <c r="AH181" s="741">
        <f t="shared" ca="1" si="11"/>
        <v>0</v>
      </c>
      <c r="AI181" s="741">
        <f ca="1">SUMIFS(Баланс!AH$26:AH$300,Баланс!$F$26:$F$300,$F181,Баланс!$G$26:$G$300,"ПО")</f>
        <v>4526.2517653333998</v>
      </c>
      <c r="AJ181" s="741">
        <f ca="1">SUMIFS(Баланс!AI$26:AI$300,Баланс!$F$26:$F$300,$F181,Баланс!$G$26:$G$300,"ПО")</f>
        <v>4334.1180000000004</v>
      </c>
      <c r="AK181" s="741">
        <f ca="1">SUMIFS(Баланс!AS$26:AS$300,Баланс!$F$26:$F$300,$F181,Баланс!$G$26:$G$300,"ПО")</f>
        <v>4336.8803100000005</v>
      </c>
      <c r="AL181" s="742"/>
      <c r="AM181" s="726"/>
      <c r="AN181" s="726"/>
      <c r="AO181" s="726"/>
      <c r="AP181" s="512"/>
      <c r="AQ181" s="512"/>
      <c r="AR181" s="972" t="s">
        <v>1827</v>
      </c>
      <c r="AS181" s="972"/>
      <c r="AT181" s="972"/>
      <c r="AU181" s="620"/>
      <c r="AV181" s="620"/>
    </row>
    <row r="182" spans="1:48" s="1334" customFormat="1" ht="14.25" customHeight="1" x14ac:dyDescent="0.25">
      <c r="A182" s="1210"/>
      <c r="B182" s="1210"/>
      <c r="C182" s="1210"/>
      <c r="D182" s="1210"/>
      <c r="E182" s="618">
        <v>15</v>
      </c>
      <c r="F182" s="3" t="str" cm="1">
        <f t="array" aca="1" ref="F182" ca="1">OFFSET(E182,-1,1)</f>
        <v>1</v>
      </c>
      <c r="G182" s="502" t="s">
        <v>1624</v>
      </c>
      <c r="H182" s="1210"/>
      <c r="I182" s="511" t="s">
        <v>1828</v>
      </c>
      <c r="J182" s="511"/>
      <c r="K182" s="511"/>
      <c r="L182" s="511"/>
      <c r="M182" s="511"/>
      <c r="N182" s="511"/>
      <c r="O182" s="511"/>
      <c r="P182" s="511"/>
      <c r="Q182" s="511"/>
      <c r="R182" s="511"/>
      <c r="S182" s="511"/>
      <c r="T182" s="388" t="b" cm="1">
        <f t="array" aca="1" ref="T182" ca="1">T181</f>
        <v>1</v>
      </c>
      <c r="U182" s="1210"/>
      <c r="V182" s="1210"/>
      <c r="W182" s="1210"/>
      <c r="X182" s="2120"/>
      <c r="Y182" s="1210"/>
      <c r="Z182" s="2121"/>
      <c r="AA182" s="1210"/>
      <c r="AB182" s="727" t="s">
        <v>1829</v>
      </c>
      <c r="AC182" s="1019" t="s">
        <v>1830</v>
      </c>
      <c r="AD182" s="733" t="s">
        <v>563</v>
      </c>
      <c r="AE182" s="743">
        <f ca="1">AE181/2</f>
        <v>2263.1258826666999</v>
      </c>
      <c r="AF182" s="743">
        <f ca="1">AF181/2</f>
        <v>2167.0590000000002</v>
      </c>
      <c r="AG182" s="743">
        <f ca="1">AG181/2</f>
        <v>2167.0590000000002</v>
      </c>
      <c r="AH182" s="744">
        <f t="shared" ca="1" si="11"/>
        <v>0</v>
      </c>
      <c r="AI182" s="743">
        <f ca="1">AI181/2</f>
        <v>2263.1258826666999</v>
      </c>
      <c r="AJ182" s="743">
        <f ca="1">IF(god=2026,AJ181/12*9,AJ181/2)</f>
        <v>3250.5885000000003</v>
      </c>
      <c r="AK182" s="743">
        <f ca="1">IF(god=2026,AK181/12*9,AK181/2)</f>
        <v>3252.6602325000003</v>
      </c>
      <c r="AL182" s="736"/>
      <c r="AM182" s="723"/>
      <c r="AN182" s="723"/>
      <c r="AO182" s="723"/>
      <c r="AP182" s="1210"/>
      <c r="AQ182" s="1210"/>
      <c r="AR182" s="971" t="s">
        <v>1831</v>
      </c>
      <c r="AS182" s="971"/>
      <c r="AT182" s="971"/>
      <c r="AU182" s="968"/>
      <c r="AV182" s="968"/>
    </row>
    <row r="183" spans="1:48" s="1334" customFormat="1" ht="14.25" customHeight="1" x14ac:dyDescent="0.25">
      <c r="A183" s="1210"/>
      <c r="B183" s="1210"/>
      <c r="C183" s="1210"/>
      <c r="D183" s="1210"/>
      <c r="E183" s="618">
        <v>15</v>
      </c>
      <c r="F183" s="3" t="str" cm="1">
        <f t="array" aca="1" ref="F183" ca="1">OFFSET(E183,-1,1)</f>
        <v>1</v>
      </c>
      <c r="G183" s="502" t="s">
        <v>1585</v>
      </c>
      <c r="H183" s="1210"/>
      <c r="I183" s="511" t="s">
        <v>1832</v>
      </c>
      <c r="J183" s="511"/>
      <c r="K183" s="511"/>
      <c r="L183" s="511"/>
      <c r="M183" s="511"/>
      <c r="N183" s="511"/>
      <c r="O183" s="511"/>
      <c r="P183" s="511"/>
      <c r="Q183" s="511"/>
      <c r="R183" s="511"/>
      <c r="S183" s="511"/>
      <c r="T183" s="388" t="b" cm="1">
        <f t="array" aca="1" ref="T183" ca="1">T182</f>
        <v>1</v>
      </c>
      <c r="U183" s="1210"/>
      <c r="V183" s="1210"/>
      <c r="W183" s="1210"/>
      <c r="X183" s="2120"/>
      <c r="Y183" s="1210"/>
      <c r="Z183" s="2121"/>
      <c r="AA183" s="1210"/>
      <c r="AB183" s="727" t="s">
        <v>1833</v>
      </c>
      <c r="AC183" s="1019" t="s">
        <v>1834</v>
      </c>
      <c r="AD183" s="733" t="s">
        <v>1588</v>
      </c>
      <c r="AE183" s="729"/>
      <c r="AF183" s="729"/>
      <c r="AG183" s="729"/>
      <c r="AH183" s="722">
        <f t="shared" si="11"/>
        <v>0</v>
      </c>
      <c r="AI183" s="729"/>
      <c r="AJ183" s="729"/>
      <c r="AK183" s="729"/>
      <c r="AL183" s="736"/>
      <c r="AM183" s="723"/>
      <c r="AN183" s="723"/>
      <c r="AO183" s="723"/>
      <c r="AP183" s="1210"/>
      <c r="AQ183" s="1210"/>
      <c r="AR183" s="971" t="s">
        <v>1835</v>
      </c>
      <c r="AS183" s="971"/>
      <c r="AT183" s="971"/>
      <c r="AU183" s="968"/>
      <c r="AV183" s="968"/>
    </row>
    <row r="184" spans="1:48" s="1334" customFormat="1" ht="14.25" customHeight="1" x14ac:dyDescent="0.25">
      <c r="A184" s="1210"/>
      <c r="B184" s="1210"/>
      <c r="C184" s="1210"/>
      <c r="D184" s="1210"/>
      <c r="E184" s="618">
        <v>15</v>
      </c>
      <c r="F184" s="3" t="str" cm="1">
        <f t="array" aca="1" ref="F184" ca="1">OFFSET(E184,-1,1)</f>
        <v>1</v>
      </c>
      <c r="G184" s="502" t="s">
        <v>1637</v>
      </c>
      <c r="H184" s="1210"/>
      <c r="I184" s="511" t="s">
        <v>1836</v>
      </c>
      <c r="J184" s="511"/>
      <c r="K184" s="511"/>
      <c r="L184" s="511"/>
      <c r="M184" s="511"/>
      <c r="N184" s="511"/>
      <c r="O184" s="511"/>
      <c r="P184" s="511"/>
      <c r="Q184" s="511"/>
      <c r="R184" s="511"/>
      <c r="S184" s="511"/>
      <c r="T184" s="388" t="b" cm="1">
        <f t="array" aca="1" ref="T184" ca="1">T183</f>
        <v>1</v>
      </c>
      <c r="U184" s="1210"/>
      <c r="V184" s="1210"/>
      <c r="W184" s="1210"/>
      <c r="X184" s="2120"/>
      <c r="Y184" s="1210"/>
      <c r="Z184" s="2121"/>
      <c r="AA184" s="1210"/>
      <c r="AB184" s="727" t="s">
        <v>1837</v>
      </c>
      <c r="AC184" s="1019" t="s">
        <v>1838</v>
      </c>
      <c r="AD184" s="733" t="s">
        <v>563</v>
      </c>
      <c r="AE184" s="744">
        <f ca="1">AE181-AE182</f>
        <v>2263.1258826666999</v>
      </c>
      <c r="AF184" s="744">
        <f ca="1">AF181-AF182</f>
        <v>2167.0590000000002</v>
      </c>
      <c r="AG184" s="744">
        <f ca="1">AG181-AG182</f>
        <v>2167.0590000000002</v>
      </c>
      <c r="AH184" s="744">
        <f t="shared" ca="1" si="11"/>
        <v>0</v>
      </c>
      <c r="AI184" s="744">
        <f ca="1">AI181-AI182</f>
        <v>2263.1258826666999</v>
      </c>
      <c r="AJ184" s="744">
        <f ca="1">AJ181-AJ182</f>
        <v>1083.5295000000001</v>
      </c>
      <c r="AK184" s="744">
        <f ca="1">AK181-AK182</f>
        <v>1084.2200775000001</v>
      </c>
      <c r="AL184" s="736"/>
      <c r="AM184" s="723"/>
      <c r="AN184" s="723"/>
      <c r="AO184" s="723"/>
      <c r="AP184" s="1210"/>
      <c r="AQ184" s="1210"/>
      <c r="AR184" s="971" t="s">
        <v>1839</v>
      </c>
      <c r="AS184" s="971"/>
      <c r="AT184" s="971"/>
      <c r="AU184" s="968"/>
      <c r="AV184" s="968"/>
    </row>
    <row r="185" spans="1:48" s="1334" customFormat="1" ht="14.25" customHeight="1" x14ac:dyDescent="0.25">
      <c r="A185" s="1210"/>
      <c r="B185" s="1210"/>
      <c r="C185" s="1210"/>
      <c r="D185" s="1210"/>
      <c r="E185" s="618">
        <v>15</v>
      </c>
      <c r="F185" s="3" t="str" cm="1">
        <f t="array" aca="1" ref="F185" ca="1">OFFSET(E185,-1,1)</f>
        <v>1</v>
      </c>
      <c r="G185" s="502" t="s">
        <v>1590</v>
      </c>
      <c r="H185" s="1210"/>
      <c r="I185" s="511" t="s">
        <v>1840</v>
      </c>
      <c r="J185" s="511"/>
      <c r="K185" s="511"/>
      <c r="L185" s="511"/>
      <c r="M185" s="511"/>
      <c r="N185" s="511"/>
      <c r="O185" s="511"/>
      <c r="P185" s="511"/>
      <c r="Q185" s="511"/>
      <c r="R185" s="511"/>
      <c r="S185" s="511"/>
      <c r="T185" s="388" t="b" cm="1">
        <f t="array" aca="1" ref="T185" ca="1">T184</f>
        <v>1</v>
      </c>
      <c r="U185" s="1210"/>
      <c r="V185" s="1210"/>
      <c r="W185" s="1210"/>
      <c r="X185" s="2120"/>
      <c r="Y185" s="1210"/>
      <c r="Z185" s="2121"/>
      <c r="AA185" s="1210"/>
      <c r="AB185" s="727" t="s">
        <v>1841</v>
      </c>
      <c r="AC185" s="1019" t="s">
        <v>1842</v>
      </c>
      <c r="AD185" s="733" t="s">
        <v>1588</v>
      </c>
      <c r="AE185" s="729">
        <f ca="1">IF(AE184=0,0,(AE178-AE182*AE183)/AE184)</f>
        <v>74.522369793009787</v>
      </c>
      <c r="AF185" s="729">
        <f ca="1">IF(AF184=0,0,(AF178-AF182*AF183)/AF184)</f>
        <v>69.240034535284906</v>
      </c>
      <c r="AG185" s="729">
        <f ca="1">IF(AG184=0,0,(AG178-AG182*AG183)/AG184)</f>
        <v>52.631728070163298</v>
      </c>
      <c r="AH185" s="722">
        <f t="shared" ca="1" si="11"/>
        <v>-16.608306465121608</v>
      </c>
      <c r="AI185" s="729">
        <f ca="1">IF(AI184=0,0,(AI178-AI182*AI183)/AI184)</f>
        <v>53.49274895102517</v>
      </c>
      <c r="AJ185" s="729">
        <f ca="1">IF(AJ184=0,0,(AJ178-AJ182*AJ183)/AJ184)</f>
        <v>165.66637087407403</v>
      </c>
      <c r="AK185" s="729">
        <f ca="1">IF(AK184=0,0,(AK178-AK182*AK183)/AK184)</f>
        <v>121.23611821281423</v>
      </c>
      <c r="AL185" s="736"/>
      <c r="AM185" s="723"/>
      <c r="AN185" s="723"/>
      <c r="AO185" s="723"/>
      <c r="AP185" s="1210"/>
      <c r="AQ185" s="1210"/>
      <c r="AR185" s="971" t="s">
        <v>1843</v>
      </c>
      <c r="AS185" s="971"/>
      <c r="AT185" s="971"/>
      <c r="AU185" s="968"/>
      <c r="AV185" s="968"/>
    </row>
    <row r="186" spans="1:48" s="1334" customFormat="1" ht="14.25" customHeight="1" x14ac:dyDescent="0.25">
      <c r="A186" s="1210"/>
      <c r="B186" s="1210"/>
      <c r="C186" s="1210"/>
      <c r="D186" s="1210"/>
      <c r="E186" s="618">
        <v>15</v>
      </c>
      <c r="F186" s="3" t="str" cm="1">
        <f t="array" aca="1" ref="F186" ca="1">OFFSET(E186,-1,1)</f>
        <v>1</v>
      </c>
      <c r="G186" s="502"/>
      <c r="H186" s="1210"/>
      <c r="I186" s="511" t="s">
        <v>1844</v>
      </c>
      <c r="J186" s="511"/>
      <c r="K186" s="511"/>
      <c r="L186" s="511"/>
      <c r="M186" s="511"/>
      <c r="N186" s="511"/>
      <c r="O186" s="511"/>
      <c r="P186" s="511"/>
      <c r="Q186" s="511"/>
      <c r="R186" s="511"/>
      <c r="S186" s="511"/>
      <c r="T186" s="388" t="b" cm="1">
        <f t="array" aca="1" ref="T186" ca="1">T185</f>
        <v>1</v>
      </c>
      <c r="U186" s="1210"/>
      <c r="V186" s="1210"/>
      <c r="W186" s="1210"/>
      <c r="X186" s="2120"/>
      <c r="Y186" s="1210"/>
      <c r="Z186" s="2121"/>
      <c r="AA186" s="1210"/>
      <c r="AB186" s="727" t="s">
        <v>1845</v>
      </c>
      <c r="AC186" s="1019" t="s">
        <v>1846</v>
      </c>
      <c r="AD186" s="733" t="s">
        <v>490</v>
      </c>
      <c r="AE186" s="722">
        <f>IF(AE183=0,0,AE185/AE183*100)</f>
        <v>0</v>
      </c>
      <c r="AF186" s="722">
        <f>IF(AF183=0,0,AF185/AF183*100)</f>
        <v>0</v>
      </c>
      <c r="AG186" s="722">
        <f>IF(AG183=0,0,AG185/AG183*100)</f>
        <v>0</v>
      </c>
      <c r="AH186" s="736"/>
      <c r="AI186" s="722">
        <f>IF(AI183=0,0,AI185/AI183*100)</f>
        <v>0</v>
      </c>
      <c r="AJ186" s="722">
        <f>IF(AJ183=0,0,AJ185/AJ183*100)</f>
        <v>0</v>
      </c>
      <c r="AK186" s="722">
        <f>IF(AK183=0,0,AK185/AK183*100)</f>
        <v>0</v>
      </c>
      <c r="AL186" s="736"/>
      <c r="AM186" s="723"/>
      <c r="AN186" s="723"/>
      <c r="AO186" s="723"/>
      <c r="AP186" s="1210"/>
      <c r="AQ186" s="1210"/>
      <c r="AR186" s="971" t="s">
        <v>1847</v>
      </c>
      <c r="AS186" s="971"/>
      <c r="AT186" s="971"/>
      <c r="AU186" s="968"/>
      <c r="AV186" s="968"/>
    </row>
    <row r="187" spans="1:48" s="1334" customFormat="1" ht="14.25" customHeight="1" x14ac:dyDescent="0.25">
      <c r="A187" s="1210"/>
      <c r="B187" s="1210"/>
      <c r="C187" s="1210"/>
      <c r="D187" s="1210"/>
      <c r="E187" s="618">
        <v>15</v>
      </c>
      <c r="F187" s="3" t="str" cm="1">
        <f t="array" aca="1" ref="F187" ca="1">OFFSET(E187,-1,1)</f>
        <v>1</v>
      </c>
      <c r="G187" s="502"/>
      <c r="H187" s="1210"/>
      <c r="I187" s="511" t="s">
        <v>1848</v>
      </c>
      <c r="J187" s="511"/>
      <c r="K187" s="511"/>
      <c r="L187" s="511"/>
      <c r="M187" s="511"/>
      <c r="N187" s="511"/>
      <c r="O187" s="511"/>
      <c r="P187" s="511"/>
      <c r="Q187" s="511"/>
      <c r="R187" s="511"/>
      <c r="S187" s="511"/>
      <c r="T187" s="388" t="b" cm="1">
        <f t="array" aca="1" ref="T187" ca="1">T186</f>
        <v>1</v>
      </c>
      <c r="U187" s="1210"/>
      <c r="V187" s="1210"/>
      <c r="W187" s="1210"/>
      <c r="X187" s="2120"/>
      <c r="Y187" s="1210"/>
      <c r="Z187" s="2121"/>
      <c r="AA187" s="1210"/>
      <c r="AB187" s="727" t="s">
        <v>1849</v>
      </c>
      <c r="AC187" s="1019" t="s">
        <v>1850</v>
      </c>
      <c r="AD187" s="733" t="s">
        <v>1588</v>
      </c>
      <c r="AE187" s="729">
        <f ca="1">IF(AE181=0,0,AE178/AE181)</f>
        <v>37.261184896504894</v>
      </c>
      <c r="AF187" s="729">
        <f ca="1">IF(AF181=0,0,AF178/AF181)</f>
        <v>34.620017267642453</v>
      </c>
      <c r="AG187" s="729">
        <f ca="1">IF(AG181=0,0,AG178/AG181)</f>
        <v>26.315864035081649</v>
      </c>
      <c r="AH187" s="722">
        <f ca="1">AG187-AF187</f>
        <v>-8.3041532325608038</v>
      </c>
      <c r="AI187" s="729">
        <f ca="1">IF(AI181=0,0,AI178/AI181)</f>
        <v>26.746374475512585</v>
      </c>
      <c r="AJ187" s="729">
        <f ca="1">IF(AJ181=0,0,AJ178/AJ181)</f>
        <v>41.416592718518508</v>
      </c>
      <c r="AK187" s="729">
        <f ca="1">IF(AK181=0,0,AK178/AK181)</f>
        <v>30.309029553203558</v>
      </c>
      <c r="AL187" s="736"/>
      <c r="AM187" s="723"/>
      <c r="AN187" s="723"/>
      <c r="AO187" s="723"/>
      <c r="AP187" s="1210"/>
      <c r="AQ187" s="1210"/>
      <c r="AR187" s="971" t="s">
        <v>1851</v>
      </c>
      <c r="AS187" s="971"/>
      <c r="AT187" s="971"/>
      <c r="AU187" s="968"/>
      <c r="AV187" s="968"/>
    </row>
    <row r="188" spans="1:48" s="1491" customFormat="1" ht="14.25" customHeight="1" x14ac:dyDescent="0.25">
      <c r="A188" s="512"/>
      <c r="B188" s="512"/>
      <c r="C188" s="512"/>
      <c r="D188" s="512"/>
      <c r="E188" s="620">
        <v>15</v>
      </c>
      <c r="F188" s="3" t="str" cm="1">
        <f t="array" aca="1" ref="F188" ca="1">OFFSET(E188,-1,1)</f>
        <v>1</v>
      </c>
      <c r="G188" s="623"/>
      <c r="H188" s="512"/>
      <c r="I188" s="621" t="s">
        <v>1852</v>
      </c>
      <c r="J188" s="621"/>
      <c r="K188" s="621"/>
      <c r="L188" s="621"/>
      <c r="M188" s="621"/>
      <c r="N188" s="621"/>
      <c r="O188" s="621"/>
      <c r="P188" s="621"/>
      <c r="Q188" s="621"/>
      <c r="R188" s="621"/>
      <c r="S188" s="621"/>
      <c r="T188" s="388" t="b" cm="1">
        <f t="array" aca="1" ref="T188" ca="1">T187</f>
        <v>1</v>
      </c>
      <c r="U188" s="512"/>
      <c r="V188" s="512"/>
      <c r="W188" s="512"/>
      <c r="X188" s="2120"/>
      <c r="Y188" s="512"/>
      <c r="Z188" s="2121"/>
      <c r="AA188" s="512"/>
      <c r="AB188" s="724" t="s">
        <v>1853</v>
      </c>
      <c r="AC188" s="131" t="s">
        <v>1854</v>
      </c>
      <c r="AD188" s="731" t="s">
        <v>831</v>
      </c>
      <c r="AE188" s="1141">
        <f ca="1">IF(AE181=0,0,AE178/AE181*AE189)</f>
        <v>81465.404064110029</v>
      </c>
      <c r="AF188" s="1141">
        <f ca="1">IF(AF181=0,0,AF178/AF181*AF189)</f>
        <v>65761.345960197665</v>
      </c>
      <c r="AG188" s="1141">
        <f ca="1">IF(AG181=0,0,AG178/AG181*AG189)</f>
        <v>49987.457420190221</v>
      </c>
      <c r="AH188" s="708">
        <f ca="1">AH190*AH191+AH192*AH193</f>
        <v>0</v>
      </c>
      <c r="AI188" s="1141">
        <f ca="1">IF(AI181=0,0,AI178/AI181*AI189)</f>
        <v>58476.514097704217</v>
      </c>
      <c r="AJ188" s="1141">
        <f ca="1">IF(AJ181=0,0,AJ178/AJ181*AJ189)</f>
        <v>78671.563367494848</v>
      </c>
      <c r="AK188" s="1141">
        <f ca="1">IF(AK181=0,0,AK178/AK181*AK189)</f>
        <v>57572.543561758575</v>
      </c>
      <c r="AL188" s="721">
        <f ca="1">IF(AI188=0,0,(AK188-AI188)/AI188*100)</f>
        <v>-1.5458693971314064</v>
      </c>
      <c r="AM188" s="726"/>
      <c r="AN188" s="726"/>
      <c r="AO188" s="726"/>
      <c r="AP188" s="512"/>
      <c r="AQ188" s="512"/>
      <c r="AR188" s="972" t="s">
        <v>1855</v>
      </c>
      <c r="AS188" s="972"/>
      <c r="AT188" s="972"/>
      <c r="AU188" s="620"/>
      <c r="AV188" s="620"/>
    </row>
    <row r="189" spans="1:48" s="1492" customFormat="1" ht="14.25" customHeight="1" x14ac:dyDescent="0.25">
      <c r="A189" s="512"/>
      <c r="B189" s="512"/>
      <c r="C189" s="512"/>
      <c r="D189" s="512"/>
      <c r="E189" s="620">
        <v>15</v>
      </c>
      <c r="F189" s="3" t="str" cm="1">
        <f t="array" aca="1" ref="F189" ca="1">OFFSET(E189,-1,1)</f>
        <v>1</v>
      </c>
      <c r="G189" s="502" t="s">
        <v>1610</v>
      </c>
      <c r="H189" s="512"/>
      <c r="I189" s="621" t="s">
        <v>1856</v>
      </c>
      <c r="J189" s="621"/>
      <c r="K189" s="621"/>
      <c r="L189" s="621"/>
      <c r="M189" s="621"/>
      <c r="N189" s="621"/>
      <c r="O189" s="621"/>
      <c r="P189" s="621"/>
      <c r="Q189" s="621"/>
      <c r="R189" s="621"/>
      <c r="S189" s="621"/>
      <c r="T189" s="388" t="b" cm="1">
        <f t="array" aca="1" ref="T189" ca="1">T188</f>
        <v>1</v>
      </c>
      <c r="U189" s="512"/>
      <c r="V189" s="512"/>
      <c r="W189" s="512"/>
      <c r="X189" s="2120"/>
      <c r="Y189" s="512"/>
      <c r="Z189" s="2121"/>
      <c r="AA189" s="512"/>
      <c r="AB189" s="724" t="s">
        <v>1857</v>
      </c>
      <c r="AC189" s="131" t="s">
        <v>1858</v>
      </c>
      <c r="AD189" s="731" t="s">
        <v>563</v>
      </c>
      <c r="AE189" s="741">
        <f ca="1">SUMIFS(Баланс!AE$26:AE$300,Баланс!$F$26:$F$300,$F189,Баланс!$G$26:$G$300,"население")</f>
        <v>2186.3342320000002</v>
      </c>
      <c r="AF189" s="741">
        <f ca="1">SUMIFS(Баланс!AF$26:AF$300,Баланс!$F$26:$F$300,$F189,Баланс!$G$26:$G$300,"население")</f>
        <v>1899.518</v>
      </c>
      <c r="AG189" s="741">
        <f ca="1">SUMIFS(Баланс!AG$26:AG$300,Баланс!$F$26:$F$300,$F189,Баланс!$G$26:$G$300,"население")</f>
        <v>1899.518</v>
      </c>
      <c r="AH189" s="741">
        <f t="shared" ref="AH189:AH196" ca="1" si="12">AG189-AF189</f>
        <v>0</v>
      </c>
      <c r="AI189" s="741">
        <f ca="1">SUMIFS(Баланс!AH$26:AH$300,Баланс!$F$26:$F$300,$F189,Баланс!$G$26:$G$300,"население")</f>
        <v>2186.3342320000002</v>
      </c>
      <c r="AJ189" s="741">
        <f ca="1">SUMIFS(Баланс!AI$26:AI$300,Баланс!$F$26:$F$300,$F189,Баланс!$G$26:$G$300,"население")</f>
        <v>1899.518</v>
      </c>
      <c r="AK189" s="741">
        <f ca="1">SUMIFS(Баланс!AS$26:AS$300,Баланс!$F$26:$F$300,$F189,Баланс!$G$26:$G$300,"население")</f>
        <v>1899.5178800000001</v>
      </c>
      <c r="AL189" s="742"/>
      <c r="AM189" s="726"/>
      <c r="AN189" s="726"/>
      <c r="AO189" s="726"/>
      <c r="AP189" s="512"/>
      <c r="AQ189" s="512"/>
      <c r="AR189" s="972" t="s">
        <v>1859</v>
      </c>
      <c r="AS189" s="972"/>
      <c r="AT189" s="972"/>
      <c r="AU189" s="620"/>
      <c r="AV189" s="620"/>
    </row>
    <row r="190" spans="1:48" s="1334" customFormat="1" ht="14.25" customHeight="1" x14ac:dyDescent="0.25">
      <c r="A190" s="1210"/>
      <c r="B190" s="1210"/>
      <c r="C190" s="1210"/>
      <c r="D190" s="1210"/>
      <c r="E190" s="618">
        <v>15</v>
      </c>
      <c r="F190" s="3" t="str" cm="1">
        <f t="array" aca="1" ref="F190" ca="1">OFFSET(E190,-1,1)</f>
        <v>1</v>
      </c>
      <c r="G190" s="502" t="s">
        <v>1644</v>
      </c>
      <c r="H190" s="1210"/>
      <c r="I190" s="511" t="s">
        <v>1860</v>
      </c>
      <c r="J190" s="511"/>
      <c r="K190" s="511"/>
      <c r="L190" s="511"/>
      <c r="M190" s="511"/>
      <c r="N190" s="511"/>
      <c r="O190" s="511"/>
      <c r="P190" s="511"/>
      <c r="Q190" s="511"/>
      <c r="R190" s="511"/>
      <c r="S190" s="511"/>
      <c r="T190" s="388" t="b" cm="1">
        <f t="array" aca="1" ref="T190" ca="1">T189</f>
        <v>1</v>
      </c>
      <c r="U190" s="1210"/>
      <c r="V190" s="1210"/>
      <c r="W190" s="1210"/>
      <c r="X190" s="2120"/>
      <c r="Y190" s="1210"/>
      <c r="Z190" s="2121"/>
      <c r="AA190" s="1210"/>
      <c r="AB190" s="727" t="s">
        <v>1861</v>
      </c>
      <c r="AC190" s="1019" t="s">
        <v>1862</v>
      </c>
      <c r="AD190" s="733" t="s">
        <v>563</v>
      </c>
      <c r="AE190" s="743">
        <f ca="1">AE189/2</f>
        <v>1093.1671160000001</v>
      </c>
      <c r="AF190" s="743">
        <f ca="1">AF189/2</f>
        <v>949.75900000000001</v>
      </c>
      <c r="AG190" s="743">
        <f ca="1">AG189/2</f>
        <v>949.75900000000001</v>
      </c>
      <c r="AH190" s="744">
        <f t="shared" ca="1" si="12"/>
        <v>0</v>
      </c>
      <c r="AI190" s="743">
        <f ca="1">AI189/2</f>
        <v>1093.1671160000001</v>
      </c>
      <c r="AJ190" s="743">
        <f ca="1">IF(god=2026,AJ189/12*9,AJ189/2)</f>
        <v>1424.6385</v>
      </c>
      <c r="AK190" s="743">
        <f ca="1">IF(god=2026,AK189/12*9,AK189/2)</f>
        <v>1424.63841</v>
      </c>
      <c r="AL190" s="736"/>
      <c r="AM190" s="723"/>
      <c r="AN190" s="723"/>
      <c r="AO190" s="723"/>
      <c r="AP190" s="1210"/>
      <c r="AQ190" s="1210"/>
      <c r="AR190" s="971" t="s">
        <v>1863</v>
      </c>
      <c r="AS190" s="971"/>
      <c r="AT190" s="971"/>
      <c r="AU190" s="968"/>
      <c r="AV190" s="968"/>
    </row>
    <row r="191" spans="1:48" s="1334" customFormat="1" ht="14.25" customHeight="1" x14ac:dyDescent="0.25">
      <c r="A191" s="1210"/>
      <c r="B191" s="1210"/>
      <c r="C191" s="1210"/>
      <c r="D191" s="1210"/>
      <c r="E191" s="618">
        <v>15</v>
      </c>
      <c r="F191" s="3" t="str" cm="1">
        <f t="array" aca="1" ref="F191" ca="1">OFFSET(E191,-1,1)</f>
        <v>1</v>
      </c>
      <c r="G191" s="502" t="s">
        <v>1600</v>
      </c>
      <c r="H191" s="1210"/>
      <c r="I191" s="511" t="s">
        <v>1864</v>
      </c>
      <c r="J191" s="511"/>
      <c r="K191" s="511"/>
      <c r="L191" s="511"/>
      <c r="M191" s="511"/>
      <c r="N191" s="511"/>
      <c r="O191" s="511"/>
      <c r="P191" s="511"/>
      <c r="Q191" s="511"/>
      <c r="R191" s="511"/>
      <c r="S191" s="511"/>
      <c r="T191" s="388" t="b" cm="1">
        <f t="array" aca="1" ref="T191" ca="1">T190</f>
        <v>1</v>
      </c>
      <c r="U191" s="1210"/>
      <c r="V191" s="1210"/>
      <c r="W191" s="1210"/>
      <c r="X191" s="2120"/>
      <c r="Y191" s="1210"/>
      <c r="Z191" s="2121"/>
      <c r="AA191" s="1210"/>
      <c r="AB191" s="727" t="s">
        <v>1865</v>
      </c>
      <c r="AC191" s="1019" t="s">
        <v>1866</v>
      </c>
      <c r="AD191" s="733" t="s">
        <v>1588</v>
      </c>
      <c r="AE191" s="1265">
        <f ca="1">IF(AE189=0,0,AE183*(1+Сценарии!AE$26))</f>
        <v>0</v>
      </c>
      <c r="AF191" s="1265">
        <f ca="1">IF(AF189=0,0,AF183*(1+Сценарии!AF$26))</f>
        <v>0</v>
      </c>
      <c r="AG191" s="1265">
        <f ca="1">IF(AG189=0,0,AG183*(1+Сценарии!AG$26))</f>
        <v>0</v>
      </c>
      <c r="AH191" s="722">
        <f t="shared" ca="1" si="12"/>
        <v>0</v>
      </c>
      <c r="AI191" s="1265">
        <f ca="1">IF(AI189=0,0,AI183*(1+Сценарии!AI$26))</f>
        <v>0</v>
      </c>
      <c r="AJ191" s="1265">
        <f ca="1">IF(AJ189=0,0,AJ183*(1+Сценарии!AJ$26))</f>
        <v>0</v>
      </c>
      <c r="AK191" s="1265">
        <f ca="1">IF(AK189=0,0,AK183*(1+Сценарии!AK$26))</f>
        <v>0</v>
      </c>
      <c r="AL191" s="736"/>
      <c r="AM191" s="723"/>
      <c r="AN191" s="723"/>
      <c r="AO191" s="723"/>
      <c r="AP191" s="1210"/>
      <c r="AQ191" s="1210"/>
      <c r="AR191" s="971" t="s">
        <v>1867</v>
      </c>
      <c r="AS191" s="971"/>
      <c r="AT191" s="971"/>
      <c r="AU191" s="968"/>
      <c r="AV191" s="968"/>
    </row>
    <row r="192" spans="1:48" s="1334" customFormat="1" ht="14.25" customHeight="1" x14ac:dyDescent="0.25">
      <c r="A192" s="1210"/>
      <c r="B192" s="1210"/>
      <c r="C192" s="1210"/>
      <c r="D192" s="1210"/>
      <c r="E192" s="618">
        <v>15</v>
      </c>
      <c r="F192" s="3" t="str" cm="1">
        <f t="array" aca="1" ref="F192" ca="1">OFFSET(E192,-1,1)</f>
        <v>1</v>
      </c>
      <c r="G192" s="502" t="s">
        <v>1651</v>
      </c>
      <c r="H192" s="1210"/>
      <c r="I192" s="511" t="s">
        <v>1868</v>
      </c>
      <c r="J192" s="511"/>
      <c r="K192" s="511"/>
      <c r="L192" s="511"/>
      <c r="M192" s="511"/>
      <c r="N192" s="511"/>
      <c r="O192" s="511"/>
      <c r="P192" s="511"/>
      <c r="Q192" s="511"/>
      <c r="R192" s="511"/>
      <c r="S192" s="511"/>
      <c r="T192" s="388" t="b" cm="1">
        <f t="array" aca="1" ref="T192" ca="1">T191</f>
        <v>1</v>
      </c>
      <c r="U192" s="1210"/>
      <c r="V192" s="1210"/>
      <c r="W192" s="1210"/>
      <c r="X192" s="2120"/>
      <c r="Y192" s="1210"/>
      <c r="Z192" s="2121"/>
      <c r="AA192" s="1210"/>
      <c r="AB192" s="727" t="s">
        <v>1869</v>
      </c>
      <c r="AC192" s="1019" t="s">
        <v>1838</v>
      </c>
      <c r="AD192" s="733" t="s">
        <v>563</v>
      </c>
      <c r="AE192" s="744">
        <f ca="1">AE189-AE190</f>
        <v>1093.1671160000001</v>
      </c>
      <c r="AF192" s="744">
        <f ca="1">AF189-AF190</f>
        <v>949.75900000000001</v>
      </c>
      <c r="AG192" s="744">
        <f ca="1">AG189-AG190</f>
        <v>949.75900000000001</v>
      </c>
      <c r="AH192" s="744">
        <f t="shared" ca="1" si="12"/>
        <v>0</v>
      </c>
      <c r="AI192" s="744">
        <f ca="1">AI189-AI190</f>
        <v>1093.1671160000001</v>
      </c>
      <c r="AJ192" s="744">
        <f ca="1">AJ189-AJ190</f>
        <v>474.87950000000001</v>
      </c>
      <c r="AK192" s="744">
        <f ca="1">AK189-AK190</f>
        <v>474.87947000000008</v>
      </c>
      <c r="AL192" s="736"/>
      <c r="AM192" s="723"/>
      <c r="AN192" s="723"/>
      <c r="AO192" s="723"/>
      <c r="AP192" s="1210"/>
      <c r="AQ192" s="1210"/>
      <c r="AR192" s="971" t="s">
        <v>1870</v>
      </c>
      <c r="AS192" s="971"/>
      <c r="AT192" s="971"/>
      <c r="AU192" s="968"/>
      <c r="AV192" s="968"/>
    </row>
    <row r="193" spans="1:48" s="1334" customFormat="1" ht="14.25" customHeight="1" x14ac:dyDescent="0.25">
      <c r="A193" s="1210"/>
      <c r="B193" s="1210"/>
      <c r="C193" s="1210"/>
      <c r="D193" s="1210"/>
      <c r="E193" s="618">
        <v>15</v>
      </c>
      <c r="F193" s="3" t="str" cm="1">
        <f t="array" aca="1" ref="F193" ca="1">OFFSET(E193,-1,1)</f>
        <v>1</v>
      </c>
      <c r="G193" s="502" t="s">
        <v>1604</v>
      </c>
      <c r="H193" s="1210"/>
      <c r="I193" s="511" t="s">
        <v>1871</v>
      </c>
      <c r="J193" s="511"/>
      <c r="K193" s="511"/>
      <c r="L193" s="511"/>
      <c r="M193" s="511"/>
      <c r="N193" s="511"/>
      <c r="O193" s="511"/>
      <c r="P193" s="511"/>
      <c r="Q193" s="511"/>
      <c r="R193" s="511"/>
      <c r="S193" s="511"/>
      <c r="T193" s="388" t="b" cm="1">
        <f t="array" aca="1" ref="T193" ca="1">T192</f>
        <v>1</v>
      </c>
      <c r="U193" s="1210"/>
      <c r="V193" s="1210"/>
      <c r="W193" s="1210"/>
      <c r="X193" s="2120"/>
      <c r="Y193" s="1210"/>
      <c r="Z193" s="2121"/>
      <c r="AA193" s="1210"/>
      <c r="AB193" s="727" t="s">
        <v>1872</v>
      </c>
      <c r="AC193" s="1019" t="s">
        <v>1873</v>
      </c>
      <c r="AD193" s="733" t="s">
        <v>1588</v>
      </c>
      <c r="AE193" s="729">
        <f ca="1">IF(AE189=0,0,AE185*(1+Сценарии!AE$26))</f>
        <v>74.522369793009787</v>
      </c>
      <c r="AF193" s="729">
        <f ca="1">IF(AF189=0,0,AF185*(1+Сценарии!AF$26))</f>
        <v>69.240034535284906</v>
      </c>
      <c r="AG193" s="729">
        <f ca="1">IF(AG189=0,0,AG185*(1+Сценарии!AG$26))</f>
        <v>52.631728070163298</v>
      </c>
      <c r="AH193" s="722">
        <f t="shared" ca="1" si="12"/>
        <v>-16.608306465121608</v>
      </c>
      <c r="AI193" s="729">
        <f ca="1">IF(AI189=0,0,AI185*(1+Сценарии!AI$26))</f>
        <v>53.49274895102517</v>
      </c>
      <c r="AJ193" s="729">
        <f ca="1">IF(AJ189=0,0,AJ185*(1+Сценарии!AJ$26))</f>
        <v>165.66637087407403</v>
      </c>
      <c r="AK193" s="729">
        <f ca="1">IF(AK189=0,0,AK185*(1+Сценарии!AK$26))</f>
        <v>121.23611821281423</v>
      </c>
      <c r="AL193" s="736"/>
      <c r="AM193" s="723"/>
      <c r="AN193" s="723"/>
      <c r="AO193" s="723"/>
      <c r="AP193" s="1210"/>
      <c r="AQ193" s="1210"/>
      <c r="AR193" s="971" t="s">
        <v>1874</v>
      </c>
      <c r="AS193" s="971"/>
      <c r="AT193" s="971"/>
      <c r="AU193" s="968"/>
      <c r="AV193" s="968"/>
    </row>
    <row r="194" spans="1:48" s="1334" customFormat="1" ht="14.25" customHeight="1" x14ac:dyDescent="0.25">
      <c r="A194" s="1210"/>
      <c r="B194" s="1210"/>
      <c r="C194" s="1210"/>
      <c r="D194" s="1210"/>
      <c r="E194" s="618">
        <v>15</v>
      </c>
      <c r="F194" s="3" t="str" cm="1">
        <f t="array" aca="1" ref="F194" ca="1">OFFSET(E194,-1,1)</f>
        <v>1</v>
      </c>
      <c r="G194" s="502"/>
      <c r="H194" s="1210"/>
      <c r="I194" s="511"/>
      <c r="J194" s="511"/>
      <c r="K194" s="511"/>
      <c r="L194" s="511"/>
      <c r="M194" s="511"/>
      <c r="N194" s="511"/>
      <c r="O194" s="511"/>
      <c r="P194" s="511"/>
      <c r="Q194" s="511"/>
      <c r="R194" s="511"/>
      <c r="S194" s="511"/>
      <c r="T194" s="388" t="b" cm="1">
        <f t="array" aca="1" ref="T194" ca="1">T193</f>
        <v>1</v>
      </c>
      <c r="U194" s="1210"/>
      <c r="V194" s="1210"/>
      <c r="W194" s="1210"/>
      <c r="X194" s="2120"/>
      <c r="Y194" s="1210"/>
      <c r="Z194" s="2121"/>
      <c r="AA194" s="1210"/>
      <c r="AB194" s="137" t="s">
        <v>1875</v>
      </c>
      <c r="AC194" s="131" t="s">
        <v>1876</v>
      </c>
      <c r="AD194" s="130" t="s">
        <v>831</v>
      </c>
      <c r="AE194" s="729"/>
      <c r="AF194" s="729"/>
      <c r="AG194" s="729"/>
      <c r="AH194" s="722">
        <f t="shared" si="12"/>
        <v>0</v>
      </c>
      <c r="AI194" s="729"/>
      <c r="AJ194" s="729"/>
      <c r="AK194" s="729"/>
      <c r="AL194" s="736"/>
      <c r="AM194" s="723"/>
      <c r="AN194" s="723"/>
      <c r="AO194" s="723"/>
      <c r="AP194" s="1210"/>
      <c r="AQ194" s="1210"/>
      <c r="AR194" s="971" t="s">
        <v>1877</v>
      </c>
      <c r="AS194" s="971"/>
      <c r="AT194" s="971"/>
      <c r="AU194" s="968"/>
      <c r="AV194" s="968"/>
    </row>
    <row r="195" spans="1:48" s="1334" customFormat="1" ht="21.75" customHeight="1" x14ac:dyDescent="0.25">
      <c r="A195" s="1210"/>
      <c r="B195" s="1210"/>
      <c r="C195" s="1210"/>
      <c r="D195" s="1210"/>
      <c r="E195" s="618">
        <v>22.5</v>
      </c>
      <c r="F195" s="3" t="str" cm="1">
        <f t="array" aca="1" ref="F195" ca="1">OFFSET(E195,-1,1)</f>
        <v>1</v>
      </c>
      <c r="G195" s="502"/>
      <c r="H195" s="1210"/>
      <c r="I195" s="511"/>
      <c r="J195" s="511"/>
      <c r="K195" s="511"/>
      <c r="L195" s="511"/>
      <c r="M195" s="511"/>
      <c r="N195" s="511"/>
      <c r="O195" s="511"/>
      <c r="P195" s="511"/>
      <c r="Q195" s="511"/>
      <c r="R195" s="511"/>
      <c r="S195" s="511"/>
      <c r="T195" s="388" t="b" cm="1">
        <f t="array" aca="1" ref="T195" ca="1">T194</f>
        <v>1</v>
      </c>
      <c r="U195" s="1210"/>
      <c r="V195" s="1210"/>
      <c r="W195" s="1210"/>
      <c r="X195" s="2120"/>
      <c r="Y195" s="1210"/>
      <c r="Z195" s="2121"/>
      <c r="AA195" s="1210"/>
      <c r="AB195" s="217" t="s">
        <v>1878</v>
      </c>
      <c r="AC195" s="682" t="s">
        <v>1879</v>
      </c>
      <c r="AD195" s="218" t="s">
        <v>831</v>
      </c>
      <c r="AE195" s="729"/>
      <c r="AF195" s="729"/>
      <c r="AG195" s="729"/>
      <c r="AH195" s="722">
        <f t="shared" si="12"/>
        <v>0</v>
      </c>
      <c r="AI195" s="729"/>
      <c r="AJ195" s="729"/>
      <c r="AK195" s="729"/>
      <c r="AL195" s="736"/>
      <c r="AM195" s="723"/>
      <c r="AN195" s="723"/>
      <c r="AO195" s="723"/>
      <c r="AP195" s="1210"/>
      <c r="AQ195" s="1210"/>
      <c r="AR195" s="971" t="s">
        <v>1880</v>
      </c>
      <c r="AS195" s="971"/>
      <c r="AT195" s="971"/>
      <c r="AU195" s="968"/>
      <c r="AV195" s="968"/>
    </row>
    <row r="196" spans="1:48" s="1334" customFormat="1" ht="69.75" customHeight="1" x14ac:dyDescent="0.25">
      <c r="A196" s="1210"/>
      <c r="B196" s="1210"/>
      <c r="C196" s="1210"/>
      <c r="D196" s="1210"/>
      <c r="E196" s="618">
        <v>72</v>
      </c>
      <c r="F196" s="3" t="str" cm="1">
        <f t="array" aca="1" ref="F196" ca="1">OFFSET(E196,-1,1)</f>
        <v>1</v>
      </c>
      <c r="G196" s="502"/>
      <c r="H196" s="1210"/>
      <c r="I196" s="511"/>
      <c r="J196" s="511"/>
      <c r="K196" s="511"/>
      <c r="L196" s="511"/>
      <c r="M196" s="511"/>
      <c r="N196" s="511"/>
      <c r="O196" s="511"/>
      <c r="P196" s="511"/>
      <c r="Q196" s="511"/>
      <c r="R196" s="511"/>
      <c r="S196" s="511"/>
      <c r="T196" s="388" t="b" cm="1">
        <f t="array" aca="1" ref="T196" ca="1">T195</f>
        <v>1</v>
      </c>
      <c r="U196" s="1210"/>
      <c r="V196" s="1210"/>
      <c r="W196" s="1210"/>
      <c r="X196" s="2120"/>
      <c r="Y196" s="1210"/>
      <c r="Z196" s="2121"/>
      <c r="AA196" s="1210"/>
      <c r="AB196" s="217" t="s">
        <v>1881</v>
      </c>
      <c r="AC196" s="682" t="s">
        <v>1882</v>
      </c>
      <c r="AD196" s="218" t="s">
        <v>831</v>
      </c>
      <c r="AE196" s="729"/>
      <c r="AF196" s="729"/>
      <c r="AG196" s="729"/>
      <c r="AH196" s="722">
        <f t="shared" si="12"/>
        <v>0</v>
      </c>
      <c r="AI196" s="729"/>
      <c r="AJ196" s="729"/>
      <c r="AK196" s="729"/>
      <c r="AL196" s="736"/>
      <c r="AM196" s="723"/>
      <c r="AN196" s="723"/>
      <c r="AO196" s="723"/>
      <c r="AP196" s="1210"/>
      <c r="AQ196" s="1210"/>
      <c r="AR196" s="971" t="s">
        <v>1883</v>
      </c>
      <c r="AS196" s="971"/>
      <c r="AT196" s="971"/>
      <c r="AU196" s="968"/>
      <c r="AV196" s="968"/>
    </row>
    <row r="197" spans="1:48" s="1334" customFormat="1" ht="14.25" customHeight="1" x14ac:dyDescent="0.25">
      <c r="A197" s="1210"/>
      <c r="B197" s="1210"/>
      <c r="C197" s="1210"/>
      <c r="D197" s="1210"/>
      <c r="E197" s="618">
        <v>15</v>
      </c>
      <c r="F197" s="503" t="str" cm="1">
        <f t="array" ref="F197">X197</f>
        <v>2</v>
      </c>
      <c r="G197" s="619" t="str" cm="1">
        <f t="array" ref="G197">INDEX('Общие сведения'!$AK$185:$AK$228,MATCH($X197,'Общие сведения'!$Z$185:$Z$228,0))</f>
        <v>одноставочный</v>
      </c>
      <c r="H197" s="1210"/>
      <c r="I197" s="1210"/>
      <c r="J197" s="1210"/>
      <c r="K197" s="1210"/>
      <c r="L197" s="1210"/>
      <c r="M197" s="1210"/>
      <c r="N197" s="1210"/>
      <c r="O197" s="1210"/>
      <c r="P197" s="1210"/>
      <c r="Q197" s="1210"/>
      <c r="R197" s="1210"/>
      <c r="S197" s="1210"/>
      <c r="T197" s="388" t="b">
        <f>X197&gt;0</f>
        <v>1</v>
      </c>
      <c r="U197" s="1210"/>
      <c r="V197" s="617" t="str" cm="1">
        <f t="array" ref="V197">ТМ!$AD$141</f>
        <v>Тариф 2 (Водоотведение) - тариф на водоотведение</v>
      </c>
      <c r="W197" s="1210"/>
      <c r="X197" s="2120" t="s">
        <v>289</v>
      </c>
      <c r="Y197" s="1210"/>
      <c r="Z197" s="2121"/>
      <c r="AA197" s="1210"/>
      <c r="AB197" s="1134" t="str" cm="1">
        <f t="array" ref="AB197">ТМ!$AD$141</f>
        <v>Тариф 2 (Водоотведение) - тариф на водоотведение</v>
      </c>
      <c r="AC197" s="510"/>
      <c r="AD197" s="510"/>
      <c r="AE197" s="510"/>
      <c r="AF197" s="510"/>
      <c r="AG197" s="510"/>
      <c r="AH197" s="510"/>
      <c r="AI197" s="510"/>
      <c r="AJ197" s="510"/>
      <c r="AK197" s="510"/>
      <c r="AL197" s="510"/>
      <c r="AM197" s="510"/>
      <c r="AN197" s="510"/>
      <c r="AO197" s="510"/>
      <c r="AP197" s="1210"/>
      <c r="AQ197" s="1210"/>
      <c r="AR197" s="971"/>
      <c r="AS197" s="971"/>
      <c r="AT197" s="971"/>
      <c r="AU197" s="968"/>
      <c r="AV197" s="968"/>
    </row>
    <row r="198" spans="1:48" s="1334" customFormat="1" ht="14.25" customHeight="1" x14ac:dyDescent="0.25">
      <c r="A198" s="1210"/>
      <c r="B198" s="1210"/>
      <c r="C198" s="1210"/>
      <c r="D198" s="1210"/>
      <c r="E198" s="618">
        <v>15</v>
      </c>
      <c r="F198" s="3" t="str" cm="1">
        <f t="array" aca="1" ref="F198" ca="1">OFFSET(E198,-1,1)</f>
        <v>2</v>
      </c>
      <c r="G198" s="1210"/>
      <c r="H198" s="1210"/>
      <c r="I198" s="511" t="s">
        <v>331</v>
      </c>
      <c r="J198" s="511"/>
      <c r="K198" s="511"/>
      <c r="L198" s="511"/>
      <c r="M198" s="511"/>
      <c r="N198" s="511"/>
      <c r="O198" s="511"/>
      <c r="P198" s="511"/>
      <c r="Q198" s="511"/>
      <c r="R198" s="511"/>
      <c r="S198" s="511"/>
      <c r="T198" s="388" t="b" cm="1">
        <f t="array" ref="T198">T197</f>
        <v>1</v>
      </c>
      <c r="U198" s="1210"/>
      <c r="V198" s="1210"/>
      <c r="W198" s="1210"/>
      <c r="X198" s="2120"/>
      <c r="Y198" s="1210"/>
      <c r="Z198" s="2121"/>
      <c r="AA198" s="1210"/>
      <c r="AB198" s="719" t="s">
        <v>282</v>
      </c>
      <c r="AC198" s="720" t="s">
        <v>1680</v>
      </c>
      <c r="AD198" s="679" t="s">
        <v>831</v>
      </c>
      <c r="AE198" s="721">
        <f ca="1">AE199+AE203+AE213+AE214+AE217+AE218+AE219</f>
        <v>69850.005389054495</v>
      </c>
      <c r="AF198" s="721">
        <f ca="1">AF199+AF203+AF213+AF214+AF217+AF218+AF219</f>
        <v>27513.290000000005</v>
      </c>
      <c r="AG198" s="721">
        <f ca="1">AG199+AG203+AG213+AG214+AG217+AG218+AG219</f>
        <v>26262.19461392389</v>
      </c>
      <c r="AH198" s="721">
        <f t="shared" ref="AH198:AH224" ca="1" si="13">AG198-AF198</f>
        <v>-1251.0953860761147</v>
      </c>
      <c r="AI198" s="721">
        <f ca="1">AI199+AI203+AI213+AI214+AI217+AI218+AI219</f>
        <v>27790.370602324005</v>
      </c>
      <c r="AJ198" s="721">
        <f ca="1">AJ199+AJ203+AJ213+AJ214+AJ217+AJ218+AJ219</f>
        <v>31139.120000000003</v>
      </c>
      <c r="AK198" s="721">
        <f ca="1">AK199+AK203+AK213+AK214+AK217+AK218+AK219</f>
        <v>32890.78</v>
      </c>
      <c r="AL198" s="722">
        <f t="shared" ref="AL198:AL224" ca="1" si="14">IF(AI198=0,0,(AK198-AI198)/AI198*100)</f>
        <v>18.353153582088126</v>
      </c>
      <c r="AM198" s="723"/>
      <c r="AN198" s="823"/>
      <c r="AO198" s="723"/>
      <c r="AP198" s="1210"/>
      <c r="AQ198" s="1210"/>
      <c r="AR198" s="971" t="s">
        <v>549</v>
      </c>
      <c r="AS198" s="971"/>
      <c r="AT198" s="971"/>
      <c r="AU198" s="968"/>
      <c r="AV198" s="968"/>
    </row>
    <row r="199" spans="1:48" s="1493" customFormat="1" ht="21.75" customHeight="1" x14ac:dyDescent="0.25">
      <c r="A199" s="512"/>
      <c r="B199" s="512"/>
      <c r="C199" s="512"/>
      <c r="D199" s="512"/>
      <c r="E199" s="620">
        <v>22.5</v>
      </c>
      <c r="F199" s="3" t="str" cm="1">
        <f t="array" aca="1" ref="F199" ca="1">OFFSET(E199,-1,1)</f>
        <v>2</v>
      </c>
      <c r="G199" s="512"/>
      <c r="H199" s="512"/>
      <c r="I199" s="621" t="s">
        <v>494</v>
      </c>
      <c r="J199" s="621"/>
      <c r="K199" s="621"/>
      <c r="L199" s="621"/>
      <c r="M199" s="621"/>
      <c r="N199" s="621"/>
      <c r="O199" s="621"/>
      <c r="P199" s="621"/>
      <c r="Q199" s="621"/>
      <c r="R199" s="621"/>
      <c r="S199" s="621"/>
      <c r="T199" s="388" t="b" cm="1">
        <f t="array" ref="T199">T198</f>
        <v>1</v>
      </c>
      <c r="U199" s="512"/>
      <c r="V199" s="512"/>
      <c r="W199" s="512"/>
      <c r="X199" s="2120"/>
      <c r="Y199" s="512"/>
      <c r="Z199" s="2121"/>
      <c r="AA199" s="512"/>
      <c r="AB199" s="724" t="s">
        <v>910</v>
      </c>
      <c r="AC199" s="725" t="s">
        <v>1681</v>
      </c>
      <c r="AD199" s="514" t="s">
        <v>831</v>
      </c>
      <c r="AE199" s="721">
        <f ca="1">SUM(AE200:AE202)</f>
        <v>1205.73</v>
      </c>
      <c r="AF199" s="721">
        <f ca="1">SUM(AF200:AF202)</f>
        <v>1124.97</v>
      </c>
      <c r="AG199" s="721">
        <f ca="1">SUM(AG200:AG202)</f>
        <v>1111.6199999999999</v>
      </c>
      <c r="AH199" s="721">
        <f t="shared" ca="1" si="13"/>
        <v>-13.350000000000136</v>
      </c>
      <c r="AI199" s="721">
        <f ca="1">SUM(AI200:AI202)</f>
        <v>1376.150995297</v>
      </c>
      <c r="AJ199" s="721">
        <f ca="1">SUM(AJ200:AJ202)</f>
        <v>1436.24</v>
      </c>
      <c r="AK199" s="721">
        <f ca="1">SUM(AK200:AK202)</f>
        <v>1137.17</v>
      </c>
      <c r="AL199" s="721">
        <f t="shared" ca="1" si="14"/>
        <v>-17.365899244611832</v>
      </c>
      <c r="AM199" s="726"/>
      <c r="AN199" s="726"/>
      <c r="AO199" s="726"/>
      <c r="AP199" s="512"/>
      <c r="AQ199" s="512"/>
      <c r="AR199" s="972" t="s">
        <v>1682</v>
      </c>
      <c r="AS199" s="972"/>
      <c r="AT199" s="972"/>
      <c r="AU199" s="620"/>
      <c r="AV199" s="620"/>
    </row>
    <row r="200" spans="1:48" s="1334" customFormat="1" ht="14.25" customHeight="1" x14ac:dyDescent="0.25">
      <c r="A200" s="1210"/>
      <c r="B200" s="1210"/>
      <c r="C200" s="1210"/>
      <c r="D200" s="1210"/>
      <c r="E200" s="618">
        <v>15</v>
      </c>
      <c r="F200" s="3" t="str" cm="1">
        <f t="array" aca="1" ref="F200" ca="1">OFFSET(E200,-1,1)</f>
        <v>2</v>
      </c>
      <c r="G200" s="1210"/>
      <c r="H200" s="1210"/>
      <c r="I200" s="511" t="s">
        <v>1016</v>
      </c>
      <c r="J200" s="511"/>
      <c r="K200" s="511"/>
      <c r="L200" s="511"/>
      <c r="M200" s="511"/>
      <c r="N200" s="511"/>
      <c r="O200" s="511"/>
      <c r="P200" s="511"/>
      <c r="Q200" s="511"/>
      <c r="R200" s="511"/>
      <c r="S200" s="511"/>
      <c r="T200" s="388" t="b" cm="1">
        <f t="array" ref="T200">T199</f>
        <v>1</v>
      </c>
      <c r="U200" s="1210"/>
      <c r="V200" s="1210"/>
      <c r="W200" s="1210"/>
      <c r="X200" s="2120"/>
      <c r="Y200" s="1210"/>
      <c r="Z200" s="2121"/>
      <c r="AA200" s="1210"/>
      <c r="AB200" s="727" t="s">
        <v>1017</v>
      </c>
      <c r="AC200" s="728" t="s">
        <v>1683</v>
      </c>
      <c r="AD200" s="679" t="s">
        <v>831</v>
      </c>
      <c r="AE200" s="722">
        <f ca="1">SUMIFS('Сырье и материалы'!AE$25:AE$46,'Сырье и материалы'!$F$25:$F$46,$F200,'Сырье и материалы'!$AC$25:$AC$46,"Всего по тарифу")</f>
        <v>1205.73</v>
      </c>
      <c r="AF200" s="722">
        <f ca="1">SUMIFS('Сырье и материалы'!AF$25:AF$46,'Сырье и материалы'!$F$25:$F$46,$F200,'Сырье и материалы'!$AC$25:$AC$46,"Всего по тарифу")</f>
        <v>1124.97</v>
      </c>
      <c r="AG200" s="722">
        <f ca="1">SUMIFS('Сырье и материалы'!AG$25:AG$46,'Сырье и материалы'!$F$25:$F$46,$F200,'Сырье и материалы'!$AC$25:$AC$46,"Всего по тарифу")</f>
        <v>1111.6199999999999</v>
      </c>
      <c r="AH200" s="722">
        <f t="shared" ca="1" si="13"/>
        <v>-13.350000000000136</v>
      </c>
      <c r="AI200" s="722">
        <f ca="1">SUMIFS('Сырье и материалы'!AH$25:AH$46,'Сырье и материалы'!$F$25:$F$46,$F200,'Сырье и материалы'!$AC$25:$AC$46,"Всего по тарифу")</f>
        <v>1376.150995297</v>
      </c>
      <c r="AJ200" s="722">
        <f ca="1">SUMIFS('Сырье и материалы'!AI$25:AI$46,'Сырье и материалы'!$F$25:$F$46,$F200,'Сырье и материалы'!$AC$25:$AC$46,"Всего по тарифу")</f>
        <v>1436.24</v>
      </c>
      <c r="AK200" s="722">
        <f ca="1">SUMIFS('Сырье и материалы'!AS$25:AS$46,'Сырье и материалы'!$F$25:$F$46,$F200,'Сырье и материалы'!$AC$25:$AC$46,"Всего по тарифу")</f>
        <v>1137.17</v>
      </c>
      <c r="AL200" s="722">
        <f t="shared" ca="1" si="14"/>
        <v>-17.365899244611832</v>
      </c>
      <c r="AM200" s="723"/>
      <c r="AN200" s="823" t="str">
        <f ca="1">IF(IFERROR(INDEX('Сырье и материалы'!$K$26:$L$46,MATCH($F200&amp;"komm",'Сырье и материалы'!$K$26:$K$46,0),2),"")=0,"",IFERROR(INDEX('Сырье и материалы'!$K$26:$L$46,MATCH($F200&amp;"komm",'Сырье и материалы'!$K$26:$K$46,0),2),""))</f>
        <v>Согласно п. 49.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Неподконтрольные расходы включают в себя: 10) расходы на реагенты. (пп. 10 введен Приказом ФАС России от 08.10.2020 N 976/20)</v>
      </c>
      <c r="AO200" s="723"/>
      <c r="AP200" s="1210"/>
      <c r="AQ200" s="1210"/>
      <c r="AR200" s="971" t="s">
        <v>1684</v>
      </c>
      <c r="AS200" s="971"/>
      <c r="AT200" s="971"/>
      <c r="AU200" s="968"/>
      <c r="AV200" s="968"/>
    </row>
    <row r="201" spans="1:48" s="1334" customFormat="1" ht="14.25" customHeight="1" x14ac:dyDescent="0.25">
      <c r="A201" s="1210"/>
      <c r="B201" s="1210"/>
      <c r="C201" s="1210"/>
      <c r="D201" s="1210"/>
      <c r="E201" s="618">
        <v>15</v>
      </c>
      <c r="F201" s="3" t="str" cm="1">
        <f t="array" aca="1" ref="F201" ca="1">OFFSET(E201,-1,1)</f>
        <v>2</v>
      </c>
      <c r="G201" s="1210"/>
      <c r="H201" s="1210"/>
      <c r="I201" s="511" t="s">
        <v>1020</v>
      </c>
      <c r="J201" s="511"/>
      <c r="K201" s="511"/>
      <c r="L201" s="511"/>
      <c r="M201" s="511"/>
      <c r="N201" s="511"/>
      <c r="O201" s="511"/>
      <c r="P201" s="511"/>
      <c r="Q201" s="511"/>
      <c r="R201" s="511"/>
      <c r="S201" s="511"/>
      <c r="T201" s="388" t="b" cm="1">
        <f t="array" ref="T201">T200</f>
        <v>1</v>
      </c>
      <c r="U201" s="1210"/>
      <c r="V201" s="1210"/>
      <c r="W201" s="1210"/>
      <c r="X201" s="2120"/>
      <c r="Y201" s="1210"/>
      <c r="Z201" s="2121"/>
      <c r="AA201" s="1210"/>
      <c r="AB201" s="727" t="s">
        <v>1021</v>
      </c>
      <c r="AC201" s="728" t="s">
        <v>1685</v>
      </c>
      <c r="AD201" s="679" t="s">
        <v>831</v>
      </c>
      <c r="AE201" s="729"/>
      <c r="AF201" s="729"/>
      <c r="AG201" s="729"/>
      <c r="AH201" s="722">
        <f t="shared" si="13"/>
        <v>0</v>
      </c>
      <c r="AI201" s="729"/>
      <c r="AJ201" s="729"/>
      <c r="AK201" s="729"/>
      <c r="AL201" s="722">
        <f t="shared" si="14"/>
        <v>0</v>
      </c>
      <c r="AM201" s="723"/>
      <c r="AN201" s="723"/>
      <c r="AO201" s="723"/>
      <c r="AP201" s="1210"/>
      <c r="AQ201" s="1210"/>
      <c r="AR201" s="971" t="s">
        <v>1686</v>
      </c>
      <c r="AS201" s="971"/>
      <c r="AT201" s="971"/>
      <c r="AU201" s="968"/>
      <c r="AV201" s="968"/>
    </row>
    <row r="202" spans="1:48" s="1334" customFormat="1" ht="14.25" customHeight="1" x14ac:dyDescent="0.25">
      <c r="A202" s="1210"/>
      <c r="B202" s="1210"/>
      <c r="C202" s="1210"/>
      <c r="D202" s="1210"/>
      <c r="E202" s="618">
        <v>15</v>
      </c>
      <c r="F202" s="3" t="str" cm="1">
        <f t="array" aca="1" ref="F202" ca="1">OFFSET(E202,-1,1)</f>
        <v>2</v>
      </c>
      <c r="G202" s="1210"/>
      <c r="H202" s="1210"/>
      <c r="I202" s="511" t="s">
        <v>1276</v>
      </c>
      <c r="J202" s="511"/>
      <c r="K202" s="511"/>
      <c r="L202" s="511"/>
      <c r="M202" s="511"/>
      <c r="N202" s="511"/>
      <c r="O202" s="511"/>
      <c r="P202" s="511"/>
      <c r="Q202" s="511"/>
      <c r="R202" s="511"/>
      <c r="S202" s="511"/>
      <c r="T202" s="388" t="b" cm="1">
        <f t="array" ref="T202">T201</f>
        <v>1</v>
      </c>
      <c r="U202" s="1210"/>
      <c r="V202" s="1210"/>
      <c r="W202" s="1210"/>
      <c r="X202" s="2120"/>
      <c r="Y202" s="1210"/>
      <c r="Z202" s="2121"/>
      <c r="AA202" s="1210"/>
      <c r="AB202" s="727" t="s">
        <v>1277</v>
      </c>
      <c r="AC202" s="728" t="s">
        <v>1687</v>
      </c>
      <c r="AD202" s="679" t="s">
        <v>831</v>
      </c>
      <c r="AE202" s="729"/>
      <c r="AF202" s="729"/>
      <c r="AG202" s="729"/>
      <c r="AH202" s="722">
        <f t="shared" si="13"/>
        <v>0</v>
      </c>
      <c r="AI202" s="729"/>
      <c r="AJ202" s="729"/>
      <c r="AK202" s="729"/>
      <c r="AL202" s="722">
        <f t="shared" si="14"/>
        <v>0</v>
      </c>
      <c r="AM202" s="723"/>
      <c r="AN202" s="723"/>
      <c r="AO202" s="723"/>
      <c r="AP202" s="1210"/>
      <c r="AQ202" s="1210"/>
      <c r="AR202" s="971" t="s">
        <v>1688</v>
      </c>
      <c r="AS202" s="971"/>
      <c r="AT202" s="971"/>
      <c r="AU202" s="968"/>
      <c r="AV202" s="968"/>
    </row>
    <row r="203" spans="1:48" s="1494" customFormat="1" ht="21.75" customHeight="1" x14ac:dyDescent="0.25">
      <c r="A203" s="512"/>
      <c r="B203" s="512"/>
      <c r="C203" s="512"/>
      <c r="D203" s="512"/>
      <c r="E203" s="620">
        <v>22.5</v>
      </c>
      <c r="F203" s="3" t="str" cm="1">
        <f t="array" aca="1" ref="F203" ca="1">OFFSET(E203,-1,1)</f>
        <v>2</v>
      </c>
      <c r="G203" s="512"/>
      <c r="H203" s="512"/>
      <c r="I203" s="621" t="s">
        <v>498</v>
      </c>
      <c r="J203" s="621"/>
      <c r="K203" s="621"/>
      <c r="L203" s="621"/>
      <c r="M203" s="621"/>
      <c r="N203" s="621"/>
      <c r="O203" s="621"/>
      <c r="P203" s="621"/>
      <c r="Q203" s="621"/>
      <c r="R203" s="621"/>
      <c r="S203" s="621"/>
      <c r="T203" s="388" t="b" cm="1">
        <f t="array" ref="T203">T202</f>
        <v>1</v>
      </c>
      <c r="U203" s="512"/>
      <c r="V203" s="512"/>
      <c r="W203" s="512"/>
      <c r="X203" s="2120"/>
      <c r="Y203" s="512"/>
      <c r="Z203" s="2121"/>
      <c r="AA203" s="512"/>
      <c r="AB203" s="724" t="s">
        <v>913</v>
      </c>
      <c r="AC203" s="725" t="s">
        <v>1689</v>
      </c>
      <c r="AD203" s="514" t="s">
        <v>831</v>
      </c>
      <c r="AE203" s="721">
        <f ca="1">SUM(AE204:AE212)</f>
        <v>25180.380940921998</v>
      </c>
      <c r="AF203" s="721">
        <f ca="1">SUM(AF204:AF212)</f>
        <v>26388.320000000003</v>
      </c>
      <c r="AG203" s="721">
        <f ca="1">SUM(AG204:AG212)</f>
        <v>25150.574613923891</v>
      </c>
      <c r="AH203" s="721">
        <f t="shared" ca="1" si="13"/>
        <v>-1237.7453860761125</v>
      </c>
      <c r="AI203" s="721">
        <f ca="1">SUM(AI204:AI212)</f>
        <v>26414.219607027004</v>
      </c>
      <c r="AJ203" s="721">
        <f ca="1">SUM(AJ204:AJ212)</f>
        <v>29702.880000000001</v>
      </c>
      <c r="AK203" s="721">
        <f ca="1">SUM(AK204:AK212)</f>
        <v>31753.609999999997</v>
      </c>
      <c r="AL203" s="721">
        <f t="shared" ca="1" si="14"/>
        <v>20.214075874316382</v>
      </c>
      <c r="AM203" s="726"/>
      <c r="AN203" s="726"/>
      <c r="AO203" s="726"/>
      <c r="AP203" s="512"/>
      <c r="AQ203" s="512"/>
      <c r="AR203" s="972" t="s">
        <v>1690</v>
      </c>
      <c r="AS203" s="972"/>
      <c r="AT203" s="972"/>
      <c r="AU203" s="620"/>
      <c r="AV203" s="620"/>
    </row>
    <row r="204" spans="1:48" s="1334" customFormat="1" ht="14.25" customHeight="1" x14ac:dyDescent="0.25">
      <c r="A204" s="1210"/>
      <c r="B204" s="1210"/>
      <c r="C204" s="1210"/>
      <c r="D204" s="1210"/>
      <c r="E204" s="618">
        <v>15</v>
      </c>
      <c r="F204" s="3" t="str" cm="1">
        <f t="array" aca="1" ref="F204" ca="1">OFFSET(E204,-1,1)</f>
        <v>2</v>
      </c>
      <c r="G204" s="1210"/>
      <c r="H204" s="1210"/>
      <c r="I204" s="511" t="s">
        <v>1301</v>
      </c>
      <c r="J204" s="511"/>
      <c r="K204" s="511"/>
      <c r="L204" s="511"/>
      <c r="M204" s="511"/>
      <c r="N204" s="511"/>
      <c r="O204" s="511"/>
      <c r="P204" s="511"/>
      <c r="Q204" s="511"/>
      <c r="R204" s="511"/>
      <c r="S204" s="511"/>
      <c r="T204" s="388" t="b" cm="1">
        <f t="array" ref="T204">T203</f>
        <v>1</v>
      </c>
      <c r="U204" s="1210"/>
      <c r="V204" s="1210"/>
      <c r="W204" s="1210"/>
      <c r="X204" s="2120"/>
      <c r="Y204" s="1210"/>
      <c r="Z204" s="2121"/>
      <c r="AA204" s="1210"/>
      <c r="AB204" s="727" t="s">
        <v>1302</v>
      </c>
      <c r="AC204" s="728" t="s">
        <v>1691</v>
      </c>
      <c r="AD204" s="679" t="s">
        <v>831</v>
      </c>
      <c r="AE204" s="722">
        <f ca="1">SUMIFS(ЭЭ!AE$25:AE$117,ЭЭ!$F$25:$F$117,$F204,ЭЭ!$AC$25:$AC$117,"Всего по тарифу")</f>
        <v>24354.220940921998</v>
      </c>
      <c r="AF204" s="722">
        <f ca="1">SUMIFS(ЭЭ!AF$25:AF$117,ЭЭ!$F$25:$F$117,$F204,ЭЭ!$AC$25:$AC$117,"Всего по тарифу")</f>
        <v>25759.190000000002</v>
      </c>
      <c r="AG204" s="722">
        <f ca="1">SUMIFS(ЭЭ!AG$25:AG$117,ЭЭ!$F$25:$F$117,$F204,ЭЭ!$AC$25:$AC$117,"Всего по тарифу")</f>
        <v>24612.294613923892</v>
      </c>
      <c r="AH204" s="722">
        <f t="shared" ca="1" si="13"/>
        <v>-1146.8953860761103</v>
      </c>
      <c r="AI204" s="722">
        <f ca="1">SUMIFS(ЭЭ!AH$25:AH$117,ЭЭ!$F$25:$F$117,$F204,ЭЭ!$AC$25:$AC$117,"Всего по тарифу")</f>
        <v>25547.577767027004</v>
      </c>
      <c r="AJ204" s="722">
        <f ca="1">SUMIFS(ЭЭ!AI$25:AI$117,ЭЭ!$F$25:$F$117,$F204,ЭЭ!$AC$25:$AC$117,"Всего по тарифу")</f>
        <v>28102.23</v>
      </c>
      <c r="AK204" s="722">
        <f ca="1">SUMIFS(ЭЭ!AS$25:AS$117,ЭЭ!$F$25:$F$117,$F204,ЭЭ!$AC$25:$AC$117,"Всего по тарифу")</f>
        <v>31057.649999999998</v>
      </c>
      <c r="AL204" s="722">
        <f t="shared" ca="1" si="14"/>
        <v>21.567885156159782</v>
      </c>
      <c r="AM204" s="723"/>
      <c r="AN204" s="823" t="str">
        <f ca="1">IF(IFERROR(INDEX(ЭЭ!$K$26:$L$117,MATCH($F204&amp;"komm",ЭЭ!$K$26:$K$117,0),2),"")=0,"",IFERROR(INDEX(ЭЭ!$K$26:$L$117,MATCH($F204&amp;"komm",ЭЭ!$K$26:$K$117,0),2),""))</f>
        <v>Скорректированная величина расходов на приобретение энергетических ресурсов, холодной воды на год i долгосрочного периода регулирования, определялась  в соответствии с формулой (39.1) Методических указаний № 1746-э.</v>
      </c>
      <c r="AO204" s="723"/>
      <c r="AP204" s="1210"/>
      <c r="AQ204" s="1210"/>
      <c r="AR204" s="971" t="s">
        <v>1692</v>
      </c>
      <c r="AS204" s="971"/>
      <c r="AT204" s="971"/>
      <c r="AU204" s="968"/>
      <c r="AV204" s="968"/>
    </row>
    <row r="205" spans="1:48" s="1334" customFormat="1" ht="14.25" customHeight="1" x14ac:dyDescent="0.25">
      <c r="A205" s="1210"/>
      <c r="B205" s="1210"/>
      <c r="C205" s="1210"/>
      <c r="D205" s="1210"/>
      <c r="E205" s="618">
        <v>15</v>
      </c>
      <c r="F205" s="3" t="str" cm="1">
        <f t="array" aca="1" ref="F205" ca="1">OFFSET(E205,-1,1)</f>
        <v>2</v>
      </c>
      <c r="G205" s="501" t="s">
        <v>1092</v>
      </c>
      <c r="H205" s="1210"/>
      <c r="I205" s="511" t="s">
        <v>1304</v>
      </c>
      <c r="J205" s="511"/>
      <c r="K205" s="511"/>
      <c r="L205" s="511"/>
      <c r="M205" s="511"/>
      <c r="N205" s="511"/>
      <c r="O205" s="511"/>
      <c r="P205" s="511"/>
      <c r="Q205" s="511"/>
      <c r="R205" s="511"/>
      <c r="S205" s="511"/>
      <c r="T205" s="388" t="b" cm="1">
        <f t="array" ref="T205">T204</f>
        <v>1</v>
      </c>
      <c r="U205" s="1210"/>
      <c r="V205" s="1210"/>
      <c r="W205" s="1210"/>
      <c r="X205" s="2120"/>
      <c r="Y205" s="1210"/>
      <c r="Z205" s="2121"/>
      <c r="AA205" s="1210"/>
      <c r="AB205" s="727" t="s">
        <v>1305</v>
      </c>
      <c r="AC205" s="728" t="s">
        <v>1693</v>
      </c>
      <c r="AD205" s="679" t="s">
        <v>831</v>
      </c>
      <c r="AE205" s="722">
        <f ca="1">SUMIFS(Покупка!AE$25:AE$117,Покупка!$F$25:$F$117,$F205,Покупка!$AC$25:$AC$117,$G205)</f>
        <v>826.16</v>
      </c>
      <c r="AF205" s="722">
        <f ca="1">SUMIFS(Покупка!AF$25:AF$117,Покупка!$F$25:$F$117,$F205,Покупка!$AC$25:$AC$117,$G205)</f>
        <v>629.13</v>
      </c>
      <c r="AG205" s="722">
        <f ca="1">SUMIFS(Покупка!AG$25:AG$117,Покупка!$F$25:$F$117,$F205,Покупка!$AC$25:$AC$117,$G205)</f>
        <v>538.28</v>
      </c>
      <c r="AH205" s="722">
        <f t="shared" ca="1" si="13"/>
        <v>-90.850000000000023</v>
      </c>
      <c r="AI205" s="722">
        <f ca="1">SUMIFS(Покупка!AH$25:AH$117,Покупка!$F$25:$F$117,$F205,Покупка!$AC$25:$AC$117,$G205)</f>
        <v>866.64184</v>
      </c>
      <c r="AJ205" s="722">
        <f ca="1">SUMIFS(Покупка!AI$25:AI$117,Покупка!$F$25:$F$117,$F205,Покупка!$AC$25:$AC$117,$G205)</f>
        <v>1600.65</v>
      </c>
      <c r="AK205" s="722">
        <f ca="1">SUMIFS(Покупка!AS$25:AS$117,Покупка!$F$25:$F$117,$F205,Покупка!$AC$25:$AC$117,$G205)</f>
        <v>695.96</v>
      </c>
      <c r="AL205" s="722">
        <f t="shared" ca="1" si="14"/>
        <v>-19.69462263672845</v>
      </c>
      <c r="AM205" s="723"/>
      <c r="AN205" s="823" t="str">
        <f ca="1">IF(IFERROR(INDEX(Покупка!$K$26:$L$117,MATCH($F205&amp;"6komm",Покупка!$K$26:$K$117,0),2),"")=0,"",IFERROR(INDEX(Покупка!$K$26:$L$117,MATCH($F205&amp;"6komm",Покупка!$K$26:$K$117,0),2),""))</f>
        <v>учтено на 2026 год по расчету регулятора  по факту 2024 года в доле на водоотведение 0,06: объемы учтены на основании представленных счет фактур: тепло 2436,85 Гкал, горячая вода - 295,85 м3, тарифы на 2024 год учтены в соответствии с постановлениями РЭК Кузбасса для ООО "ТеплоРесурс" от 19.12.2024 № 721, от 24.07.2025 №216 без НДС: на 9 мес. на уровне установленного постановлением тарифа на 2 пол 2025 года, на 3 мес. 2026 года учтено на уровне 9 мес. 2026 с ИПЦ МИнэкономразвития России на 2026 год 105,1%: тепло 1 пол 2026 - 4292,87 руб/Гкал, 2 пол - 4511,806 руб/Гкал, на горячую воду с неизолированными стояками без полотенцесушителей на 1 полугодие - 318,33 руб./м3., 2 полугодие 334,57 руб./м3, на 1 полугодие для горячей воды   с неизолированными стояками+полотенцесущитель, тариф применен в размере 338,77 руб./м3</v>
      </c>
      <c r="AO205" s="723"/>
      <c r="AP205" s="1210"/>
      <c r="AQ205" s="1210"/>
      <c r="AR205" s="971" t="s">
        <v>1093</v>
      </c>
      <c r="AS205" s="971"/>
      <c r="AT205" s="971"/>
      <c r="AU205" s="968"/>
      <c r="AV205" s="968"/>
    </row>
    <row r="206" spans="1:48" s="1334" customFormat="1" ht="14.25" customHeight="1" x14ac:dyDescent="0.25">
      <c r="A206" s="1210"/>
      <c r="B206" s="1210"/>
      <c r="C206" s="1210"/>
      <c r="D206" s="1210"/>
      <c r="E206" s="618">
        <v>15</v>
      </c>
      <c r="F206" s="3" t="str" cm="1">
        <f t="array" aca="1" ref="F206" ca="1">OFFSET(E206,-1,1)</f>
        <v>2</v>
      </c>
      <c r="G206" s="501" t="s">
        <v>1094</v>
      </c>
      <c r="H206" s="1210"/>
      <c r="I206" s="511" t="s">
        <v>1308</v>
      </c>
      <c r="J206" s="511"/>
      <c r="K206" s="511"/>
      <c r="L206" s="511"/>
      <c r="M206" s="511"/>
      <c r="N206" s="511"/>
      <c r="O206" s="511"/>
      <c r="P206" s="511"/>
      <c r="Q206" s="511"/>
      <c r="R206" s="511"/>
      <c r="S206" s="511"/>
      <c r="T206" s="388" t="b" cm="1">
        <f t="array" ref="T206">T205</f>
        <v>1</v>
      </c>
      <c r="U206" s="1210"/>
      <c r="V206" s="1210"/>
      <c r="W206" s="1210"/>
      <c r="X206" s="2120"/>
      <c r="Y206" s="1210"/>
      <c r="Z206" s="2121"/>
      <c r="AA206" s="1210"/>
      <c r="AB206" s="727" t="s">
        <v>1309</v>
      </c>
      <c r="AC206" s="728" t="s">
        <v>1694</v>
      </c>
      <c r="AD206" s="679" t="s">
        <v>831</v>
      </c>
      <c r="AE206" s="722">
        <f ca="1">SUMIFS(Покупка!AE$25:AE$117,Покупка!$F$25:$F$117,$F206,Покупка!$AC$25:$AC$117,$G206)</f>
        <v>0</v>
      </c>
      <c r="AF206" s="722">
        <f ca="1">SUMIFS(Покупка!AF$25:AF$117,Покупка!$F$25:$F$117,$F206,Покупка!$AC$25:$AC$117,$G206)</f>
        <v>0</v>
      </c>
      <c r="AG206" s="722">
        <f ca="1">SUMIFS(Покупка!AG$25:AG$117,Покупка!$F$25:$F$117,$F206,Покупка!$AC$25:$AC$117,$G206)</f>
        <v>0</v>
      </c>
      <c r="AH206" s="722">
        <f t="shared" ca="1" si="13"/>
        <v>0</v>
      </c>
      <c r="AI206" s="722">
        <f ca="1">SUMIFS(Покупка!AH$25:AH$117,Покупка!$F$25:$F$117,$F206,Покупка!$AC$25:$AC$117,$G206)</f>
        <v>0</v>
      </c>
      <c r="AJ206" s="722">
        <f ca="1">SUMIFS(Покупка!AI$25:AI$117,Покупка!$F$25:$F$117,$F206,Покупка!$AC$25:$AC$117,$G206)</f>
        <v>0</v>
      </c>
      <c r="AK206" s="722">
        <f ca="1">SUMIFS(Покупка!AS$25:AS$117,Покупка!$F$25:$F$117,$F206,Покупка!$AC$25:$AC$117,$G206)</f>
        <v>0</v>
      </c>
      <c r="AL206" s="722">
        <f t="shared" ca="1" si="14"/>
        <v>0</v>
      </c>
      <c r="AM206" s="723"/>
      <c r="AN206" s="823" t="str">
        <f ca="1">IF(IFERROR(INDEX(Покупка!$K$26:$L$117,MATCH($F206&amp;"7komm",Покупка!$K$26:$K$117,0),2),"")=0,"",IFERROR(INDEX(Покупка!$K$26:$L$117,MATCH($F206&amp;"7komm",Покупка!$K$26:$K$117,0),2),""))</f>
        <v/>
      </c>
      <c r="AO206" s="723"/>
      <c r="AP206" s="1210"/>
      <c r="AQ206" s="1210"/>
      <c r="AR206" s="971" t="s">
        <v>1095</v>
      </c>
      <c r="AS206" s="971"/>
      <c r="AT206" s="971"/>
      <c r="AU206" s="968"/>
      <c r="AV206" s="968"/>
    </row>
    <row r="207" spans="1:48" s="1334" customFormat="1" ht="14.25" customHeight="1" x14ac:dyDescent="0.25">
      <c r="A207" s="1210"/>
      <c r="B207" s="1210"/>
      <c r="C207" s="1210"/>
      <c r="D207" s="1210"/>
      <c r="E207" s="618">
        <v>15</v>
      </c>
      <c r="F207" s="3" t="str" cm="1">
        <f t="array" aca="1" ref="F207" ca="1">OFFSET(E207,-1,1)</f>
        <v>2</v>
      </c>
      <c r="G207" s="672" t="s">
        <v>1098</v>
      </c>
      <c r="H207" s="1210"/>
      <c r="I207" s="511" t="s">
        <v>1469</v>
      </c>
      <c r="J207" s="511"/>
      <c r="K207" s="511"/>
      <c r="L207" s="511"/>
      <c r="M207" s="511"/>
      <c r="N207" s="511"/>
      <c r="O207" s="511"/>
      <c r="P207" s="511"/>
      <c r="Q207" s="511"/>
      <c r="R207" s="511"/>
      <c r="S207" s="511"/>
      <c r="T207" s="388" t="b" cm="1">
        <f t="array" ref="T207">T206</f>
        <v>1</v>
      </c>
      <c r="U207" s="1210"/>
      <c r="V207" s="1210"/>
      <c r="W207" s="1210"/>
      <c r="X207" s="2120"/>
      <c r="Y207" s="1210"/>
      <c r="Z207" s="2121"/>
      <c r="AA207" s="1210"/>
      <c r="AB207" s="727" t="s">
        <v>1695</v>
      </c>
      <c r="AC207" s="728" t="s">
        <v>1696</v>
      </c>
      <c r="AD207" s="679" t="s">
        <v>831</v>
      </c>
      <c r="AE207" s="722">
        <f ca="1">SUMIFS(Покупка!AE$25:AE$117,Покупка!$F$25:$F$117,$F207,Покупка!$AC$25:$AC$117,$G207)</f>
        <v>0</v>
      </c>
      <c r="AF207" s="722">
        <f ca="1">SUMIFS(Покупка!AF$25:AF$117,Покупка!$F$25:$F$117,$F207,Покупка!$AC$25:$AC$117,$G207)</f>
        <v>0</v>
      </c>
      <c r="AG207" s="722">
        <f ca="1">SUMIFS(Покупка!AG$25:AG$117,Покупка!$F$25:$F$117,$F207,Покупка!$AC$25:$AC$117,$G207)</f>
        <v>0</v>
      </c>
      <c r="AH207" s="722">
        <f t="shared" ca="1" si="13"/>
        <v>0</v>
      </c>
      <c r="AI207" s="722">
        <f ca="1">SUMIFS(Покупка!AH$25:AH$117,Покупка!$F$25:$F$117,$F207,Покупка!$AC$25:$AC$117,$G207)</f>
        <v>0</v>
      </c>
      <c r="AJ207" s="722">
        <f ca="1">SUMIFS(Покупка!AI$25:AI$117,Покупка!$F$25:$F$117,$F207,Покупка!$AC$25:$AC$117,$G207)</f>
        <v>0</v>
      </c>
      <c r="AK207" s="722">
        <f ca="1">SUMIFS(Покупка!AS$25:AS$117,Покупка!$F$25:$F$117,$F207,Покупка!$AC$25:$AC$117,$G207)</f>
        <v>0</v>
      </c>
      <c r="AL207" s="722">
        <f t="shared" ca="1" si="14"/>
        <v>0</v>
      </c>
      <c r="AM207" s="723"/>
      <c r="AN207" s="823" t="str">
        <f ca="1">IF(IFERROR(INDEX(Покупка!$K$26:$L$117,MATCH($F207&amp;"9komm",Покупка!$K$26:$K$117,0),2),"")=0,"",IFERROR(INDEX(Покупка!$K$26:$L$117,MATCH($F207&amp;"9komm",Покупка!$K$26:$K$117,0),2),""))</f>
        <v/>
      </c>
      <c r="AO207" s="723"/>
      <c r="AP207" s="1210"/>
      <c r="AQ207" s="1210"/>
      <c r="AR207" s="971" t="s">
        <v>1099</v>
      </c>
      <c r="AS207" s="971"/>
      <c r="AT207" s="971"/>
      <c r="AU207" s="968"/>
      <c r="AV207" s="968"/>
    </row>
    <row r="208" spans="1:48" s="1334" customFormat="1" ht="14.25" customHeight="1" x14ac:dyDescent="0.25">
      <c r="A208" s="1210"/>
      <c r="B208" s="1210"/>
      <c r="C208" s="1210"/>
      <c r="D208" s="1210"/>
      <c r="E208" s="618">
        <v>15</v>
      </c>
      <c r="F208" s="3" t="str" cm="1">
        <f t="array" aca="1" ref="F208" ca="1">OFFSET(E208,-1,1)</f>
        <v>2</v>
      </c>
      <c r="G208" s="501" t="s">
        <v>1060</v>
      </c>
      <c r="H208" s="1210"/>
      <c r="I208" s="511" t="s">
        <v>1473</v>
      </c>
      <c r="J208" s="511"/>
      <c r="K208" s="511"/>
      <c r="L208" s="511"/>
      <c r="M208" s="511"/>
      <c r="N208" s="511"/>
      <c r="O208" s="511"/>
      <c r="P208" s="511"/>
      <c r="Q208" s="511"/>
      <c r="R208" s="511"/>
      <c r="S208" s="511"/>
      <c r="T208" s="388" t="b" cm="1">
        <f t="array" ref="T208">T207</f>
        <v>1</v>
      </c>
      <c r="U208" s="1210"/>
      <c r="V208" s="1210"/>
      <c r="W208" s="1210"/>
      <c r="X208" s="2120"/>
      <c r="Y208" s="1210"/>
      <c r="Z208" s="2121"/>
      <c r="AA208" s="1210"/>
      <c r="AB208" s="727" t="s">
        <v>1697</v>
      </c>
      <c r="AC208" s="728" t="s">
        <v>1698</v>
      </c>
      <c r="AD208" s="679" t="s">
        <v>831</v>
      </c>
      <c r="AE208" s="722">
        <f ca="1">SUMIFS(Покупка!AE$25:AE$117,Покупка!$F$25:$F$117,$F208,Покупка!$AC$25:$AC$117,$G208)</f>
        <v>0</v>
      </c>
      <c r="AF208" s="722">
        <f ca="1">SUMIFS(Покупка!AF$25:AF$117,Покупка!$F$25:$F$117,$F208,Покупка!$AC$25:$AC$117,$G208)</f>
        <v>0</v>
      </c>
      <c r="AG208" s="722">
        <f ca="1">SUMIFS(Покупка!AG$25:AG$117,Покупка!$F$25:$F$117,$F208,Покупка!$AC$25:$AC$117,$G208)</f>
        <v>0</v>
      </c>
      <c r="AH208" s="722">
        <f t="shared" ca="1" si="13"/>
        <v>0</v>
      </c>
      <c r="AI208" s="722">
        <f ca="1">SUMIFS(Покупка!AH$25:AH$117,Покупка!$F$25:$F$117,$F208,Покупка!$AC$25:$AC$117,$G208)</f>
        <v>0</v>
      </c>
      <c r="AJ208" s="722">
        <f ca="1">SUMIFS(Покупка!AI$25:AI$117,Покупка!$F$25:$F$117,$F208,Покупка!$AC$25:$AC$117,$G208)</f>
        <v>0</v>
      </c>
      <c r="AK208" s="722">
        <f ca="1">SUMIFS(Покупка!AS$25:AS$117,Покупка!$F$25:$F$117,$F208,Покупка!$AC$25:$AC$117,$G208)</f>
        <v>0</v>
      </c>
      <c r="AL208" s="722">
        <f t="shared" ca="1" si="14"/>
        <v>0</v>
      </c>
      <c r="AM208" s="723"/>
      <c r="AN208" s="823" t="str">
        <f ca="1">IF(IFERROR(INDEX(Покупка!$K$26:$L$117,MATCH($F208&amp;"1komm",Покупка!$K$26:$K$117,0),2),"")=0,"",IFERROR(INDEX(Покупка!$K$26:$L$117,MATCH($F208&amp;"1komm",Покупка!$K$26:$K$117,0),2),""))</f>
        <v/>
      </c>
      <c r="AO208" s="723"/>
      <c r="AP208" s="1210"/>
      <c r="AQ208" s="1210"/>
      <c r="AR208" s="971" t="s">
        <v>1699</v>
      </c>
      <c r="AS208" s="971"/>
      <c r="AT208" s="971"/>
      <c r="AU208" s="968"/>
      <c r="AV208" s="968"/>
    </row>
    <row r="209" spans="1:48" s="1334" customFormat="1" ht="14.25" customHeight="1" x14ac:dyDescent="0.25">
      <c r="A209" s="1210"/>
      <c r="B209" s="1210"/>
      <c r="C209" s="1210"/>
      <c r="D209" s="1210"/>
      <c r="E209" s="618">
        <v>15</v>
      </c>
      <c r="F209" s="3" t="str" cm="1">
        <f t="array" aca="1" ref="F209" ca="1">OFFSET(E209,-1,1)</f>
        <v>2</v>
      </c>
      <c r="G209" s="501" t="s">
        <v>1069</v>
      </c>
      <c r="H209" s="1210"/>
      <c r="I209" s="511" t="s">
        <v>1478</v>
      </c>
      <c r="J209" s="511"/>
      <c r="K209" s="511"/>
      <c r="L209" s="511"/>
      <c r="M209" s="511"/>
      <c r="N209" s="511"/>
      <c r="O209" s="511"/>
      <c r="P209" s="511"/>
      <c r="Q209" s="511"/>
      <c r="R209" s="511"/>
      <c r="S209" s="511"/>
      <c r="T209" s="388" t="b" cm="1">
        <f t="array" ref="T209">T208</f>
        <v>1</v>
      </c>
      <c r="U209" s="1210"/>
      <c r="V209" s="1210"/>
      <c r="W209" s="1210"/>
      <c r="X209" s="2120"/>
      <c r="Y209" s="1210"/>
      <c r="Z209" s="2121"/>
      <c r="AA209" s="1210"/>
      <c r="AB209" s="727" t="s">
        <v>1700</v>
      </c>
      <c r="AC209" s="728" t="s">
        <v>1701</v>
      </c>
      <c r="AD209" s="679" t="s">
        <v>831</v>
      </c>
      <c r="AE209" s="722">
        <f ca="1">SUMIFS(Покупка!AE$25:AE$117,Покупка!$F$25:$F$117,$F209,Покупка!$AC$25:$AC$117,$G209)</f>
        <v>0</v>
      </c>
      <c r="AF209" s="722">
        <f ca="1">SUMIFS(Покупка!AF$25:AF$117,Покупка!$F$25:$F$117,$F209,Покупка!$AC$25:$AC$117,$G209)</f>
        <v>0</v>
      </c>
      <c r="AG209" s="722">
        <f ca="1">SUMIFS(Покупка!AG$25:AG$117,Покупка!$F$25:$F$117,$F209,Покупка!$AC$25:$AC$117,$G209)</f>
        <v>0</v>
      </c>
      <c r="AH209" s="722">
        <f t="shared" ca="1" si="13"/>
        <v>0</v>
      </c>
      <c r="AI209" s="722">
        <f ca="1">SUMIFS(Покупка!AH$25:AH$117,Покупка!$F$25:$F$117,$F209,Покупка!$AC$25:$AC$117,$G209)</f>
        <v>0</v>
      </c>
      <c r="AJ209" s="722">
        <f ca="1">SUMIFS(Покупка!AI$25:AI$117,Покупка!$F$25:$F$117,$F209,Покупка!$AC$25:$AC$117,$G209)</f>
        <v>0</v>
      </c>
      <c r="AK209" s="722">
        <f ca="1">SUMIFS(Покупка!AS$25:AS$117,Покупка!$F$25:$F$117,$F209,Покупка!$AC$25:$AC$117,$G209)</f>
        <v>0</v>
      </c>
      <c r="AL209" s="722">
        <f t="shared" ca="1" si="14"/>
        <v>0</v>
      </c>
      <c r="AM209" s="723"/>
      <c r="AN209" s="823" t="str">
        <f ca="1">IF(IFERROR(INDEX(Покупка!$K$26:$L$117,MATCH($F209&amp;"2komm",Покупка!$K$26:$K$117,0),2),"")=0,"",IFERROR(INDEX(Покупка!$K$26:$L$117,MATCH($F209&amp;"2komm",Покупка!$K$26:$K$117,0),2),""))</f>
        <v/>
      </c>
      <c r="AO209" s="723"/>
      <c r="AP209" s="1210"/>
      <c r="AQ209" s="1210"/>
      <c r="AR209" s="971" t="s">
        <v>1702</v>
      </c>
      <c r="AS209" s="971"/>
      <c r="AT209" s="971"/>
      <c r="AU209" s="968"/>
      <c r="AV209" s="968"/>
    </row>
    <row r="210" spans="1:48" s="1334" customFormat="1" ht="14.25" customHeight="1" x14ac:dyDescent="0.25">
      <c r="A210" s="1210"/>
      <c r="B210" s="1210"/>
      <c r="C210" s="1210"/>
      <c r="D210" s="1210"/>
      <c r="E210" s="618">
        <v>15</v>
      </c>
      <c r="F210" s="3" t="str" cm="1">
        <f t="array" aca="1" ref="F210" ca="1">OFFSET(E210,-1,1)</f>
        <v>2</v>
      </c>
      <c r="G210" s="501" t="s">
        <v>1074</v>
      </c>
      <c r="H210" s="1210"/>
      <c r="I210" s="511" t="s">
        <v>1487</v>
      </c>
      <c r="J210" s="511"/>
      <c r="K210" s="511"/>
      <c r="L210" s="511"/>
      <c r="M210" s="511"/>
      <c r="N210" s="511"/>
      <c r="O210" s="511"/>
      <c r="P210" s="511"/>
      <c r="Q210" s="511"/>
      <c r="R210" s="511"/>
      <c r="S210" s="511"/>
      <c r="T210" s="388" t="b" cm="1">
        <f t="array" ref="T210">T209</f>
        <v>1</v>
      </c>
      <c r="U210" s="1210"/>
      <c r="V210" s="1210"/>
      <c r="W210" s="1210"/>
      <c r="X210" s="2120"/>
      <c r="Y210" s="1210"/>
      <c r="Z210" s="2121"/>
      <c r="AA210" s="1210"/>
      <c r="AB210" s="727" t="s">
        <v>1703</v>
      </c>
      <c r="AC210" s="728" t="s">
        <v>1704</v>
      </c>
      <c r="AD210" s="679" t="s">
        <v>831</v>
      </c>
      <c r="AE210" s="722">
        <f ca="1">SUMIFS(Покупка!AE$25:AE$117,Покупка!$F$25:$F$117,$F210,Покупка!$AC$25:$AC$117,$G210)</f>
        <v>0</v>
      </c>
      <c r="AF210" s="722">
        <f ca="1">SUMIFS(Покупка!AF$25:AF$117,Покупка!$F$25:$F$117,$F210,Покупка!$AC$25:$AC$117,$G210)</f>
        <v>0</v>
      </c>
      <c r="AG210" s="722">
        <f ca="1">SUMIFS(Покупка!AG$25:AG$117,Покупка!$F$25:$F$117,$F210,Покупка!$AC$25:$AC$117,$G210)</f>
        <v>0</v>
      </c>
      <c r="AH210" s="722">
        <f t="shared" ca="1" si="13"/>
        <v>0</v>
      </c>
      <c r="AI210" s="722">
        <f ca="1">SUMIFS(Покупка!AH$25:AH$117,Покупка!$F$25:$F$117,$F210,Покупка!$AC$25:$AC$117,$G210)</f>
        <v>0</v>
      </c>
      <c r="AJ210" s="722">
        <f ca="1">SUMIFS(Покупка!AI$25:AI$117,Покупка!$F$25:$F$117,$F210,Покупка!$AC$25:$AC$117,$G210)</f>
        <v>0</v>
      </c>
      <c r="AK210" s="722">
        <f ca="1">SUMIFS(Покупка!AS$25:AS$117,Покупка!$F$25:$F$117,$F210,Покупка!$AC$25:$AC$117,$G210)</f>
        <v>0</v>
      </c>
      <c r="AL210" s="722">
        <f t="shared" ca="1" si="14"/>
        <v>0</v>
      </c>
      <c r="AM210" s="723"/>
      <c r="AN210" s="823" t="str">
        <f ca="1">IF(IFERROR(INDEX(Покупка!$K$26:$L$117,MATCH($F210&amp;"3komm",Покупка!$K$26:$K$117,0),2),"")=0,"",IFERROR(INDEX(Покупка!$K$26:$L$117,MATCH($F210&amp;"3komm",Покупка!$K$26:$K$117,0),2),""))</f>
        <v/>
      </c>
      <c r="AO210" s="723"/>
      <c r="AP210" s="1210"/>
      <c r="AQ210" s="1210"/>
      <c r="AR210" s="971" t="s">
        <v>1705</v>
      </c>
      <c r="AS210" s="971"/>
      <c r="AT210" s="971"/>
      <c r="AU210" s="968"/>
      <c r="AV210" s="968"/>
    </row>
    <row r="211" spans="1:48" s="1334" customFormat="1" ht="14.25" customHeight="1" x14ac:dyDescent="0.25">
      <c r="A211" s="1210"/>
      <c r="B211" s="1210"/>
      <c r="C211" s="1210"/>
      <c r="D211" s="1210"/>
      <c r="E211" s="618">
        <v>15</v>
      </c>
      <c r="F211" s="3" t="str" cm="1">
        <f t="array" aca="1" ref="F211" ca="1">OFFSET(E211,-1,1)</f>
        <v>2</v>
      </c>
      <c r="G211" s="501" t="s">
        <v>1080</v>
      </c>
      <c r="H211" s="1210"/>
      <c r="I211" s="511" t="s">
        <v>1492</v>
      </c>
      <c r="J211" s="511"/>
      <c r="K211" s="511"/>
      <c r="L211" s="511"/>
      <c r="M211" s="511"/>
      <c r="N211" s="511"/>
      <c r="O211" s="511"/>
      <c r="P211" s="511"/>
      <c r="Q211" s="511"/>
      <c r="R211" s="511"/>
      <c r="S211" s="511"/>
      <c r="T211" s="388" t="b" cm="1">
        <f t="array" ref="T211">T210</f>
        <v>1</v>
      </c>
      <c r="U211" s="1210"/>
      <c r="V211" s="1210"/>
      <c r="W211" s="1210"/>
      <c r="X211" s="2120"/>
      <c r="Y211" s="1210"/>
      <c r="Z211" s="2121"/>
      <c r="AA211" s="1210"/>
      <c r="AB211" s="727" t="s">
        <v>1706</v>
      </c>
      <c r="AC211" s="728" t="s">
        <v>1707</v>
      </c>
      <c r="AD211" s="679" t="s">
        <v>831</v>
      </c>
      <c r="AE211" s="722">
        <f ca="1">SUMIFS(Покупка!AE$25:AE$117,Покупка!$F$25:$F$117,$F211,Покупка!$AC$25:$AC$117,$G211)</f>
        <v>0</v>
      </c>
      <c r="AF211" s="722">
        <f ca="1">SUMIFS(Покупка!AF$25:AF$117,Покупка!$F$25:$F$117,$F211,Покупка!$AC$25:$AC$117,$G211)</f>
        <v>0</v>
      </c>
      <c r="AG211" s="722">
        <f ca="1">SUMIFS(Покупка!AG$25:AG$117,Покупка!$F$25:$F$117,$F211,Покупка!$AC$25:$AC$117,$G211)</f>
        <v>0</v>
      </c>
      <c r="AH211" s="722">
        <f t="shared" ca="1" si="13"/>
        <v>0</v>
      </c>
      <c r="AI211" s="722">
        <f ca="1">SUMIFS(Покупка!AH$25:AH$117,Покупка!$F$25:$F$117,$F211,Покупка!$AC$25:$AC$117,$G211)</f>
        <v>0</v>
      </c>
      <c r="AJ211" s="722">
        <f ca="1">SUMIFS(Покупка!AI$25:AI$117,Покупка!$F$25:$F$117,$F211,Покупка!$AC$25:$AC$117,$G211)</f>
        <v>0</v>
      </c>
      <c r="AK211" s="722">
        <f ca="1">SUMIFS(Покупка!AS$25:AS$117,Покупка!$F$25:$F$117,$F211,Покупка!$AC$25:$AC$117,$G211)</f>
        <v>0</v>
      </c>
      <c r="AL211" s="722">
        <f t="shared" ca="1" si="14"/>
        <v>0</v>
      </c>
      <c r="AM211" s="723"/>
      <c r="AN211" s="823" t="str">
        <f ca="1">IF(IFERROR(INDEX(Покупка!$K$26:$L$117,MATCH($F211&amp;"4komm",Покупка!$K$26:$K$117,0),2),"")=0,"",IFERROR(INDEX(Покупка!$K$26:$L$117,MATCH($F211&amp;"4komm",Покупка!$K$26:$K$117,0),2),""))</f>
        <v/>
      </c>
      <c r="AO211" s="723"/>
      <c r="AP211" s="1210"/>
      <c r="AQ211" s="1210"/>
      <c r="AR211" s="971" t="s">
        <v>1708</v>
      </c>
      <c r="AS211" s="971"/>
      <c r="AT211" s="971"/>
      <c r="AU211" s="968"/>
      <c r="AV211" s="968"/>
    </row>
    <row r="212" spans="1:48" s="1334" customFormat="1" ht="14.25" customHeight="1" x14ac:dyDescent="0.25">
      <c r="A212" s="1210"/>
      <c r="B212" s="1210"/>
      <c r="C212" s="1210"/>
      <c r="D212" s="1210"/>
      <c r="E212" s="618">
        <v>15</v>
      </c>
      <c r="F212" s="3" t="str" cm="1">
        <f t="array" aca="1" ref="F212" ca="1">OFFSET(E212,-1,1)</f>
        <v>2</v>
      </c>
      <c r="G212" s="501" t="s">
        <v>1086</v>
      </c>
      <c r="H212" s="1210"/>
      <c r="I212" s="511" t="s">
        <v>1502</v>
      </c>
      <c r="J212" s="511"/>
      <c r="K212" s="511"/>
      <c r="L212" s="511"/>
      <c r="M212" s="511"/>
      <c r="N212" s="511"/>
      <c r="O212" s="511"/>
      <c r="P212" s="511"/>
      <c r="Q212" s="511"/>
      <c r="R212" s="511"/>
      <c r="S212" s="511"/>
      <c r="T212" s="388" t="b" cm="1">
        <f t="array" ref="T212">T211</f>
        <v>1</v>
      </c>
      <c r="U212" s="1210"/>
      <c r="V212" s="1210"/>
      <c r="W212" s="1210"/>
      <c r="X212" s="2120"/>
      <c r="Y212" s="1210"/>
      <c r="Z212" s="2121"/>
      <c r="AA212" s="1210"/>
      <c r="AB212" s="727" t="s">
        <v>1709</v>
      </c>
      <c r="AC212" s="728" t="s">
        <v>1710</v>
      </c>
      <c r="AD212" s="679" t="s">
        <v>831</v>
      </c>
      <c r="AE212" s="722">
        <f ca="1">SUMIFS(Покупка!AE$25:AE$117,Покупка!$F$25:$F$117,$F212,Покупка!$AC$25:$AC$117,$G212)</f>
        <v>0</v>
      </c>
      <c r="AF212" s="722">
        <f ca="1">SUMIFS(Покупка!AF$25:AF$117,Покупка!$F$25:$F$117,$F212,Покупка!$AC$25:$AC$117,$G212)</f>
        <v>0</v>
      </c>
      <c r="AG212" s="722">
        <f ca="1">SUMIFS(Покупка!AG$25:AG$117,Покупка!$F$25:$F$117,$F212,Покупка!$AC$25:$AC$117,$G212)</f>
        <v>0</v>
      </c>
      <c r="AH212" s="722">
        <f t="shared" ca="1" si="13"/>
        <v>0</v>
      </c>
      <c r="AI212" s="722">
        <f ca="1">SUMIFS(Покупка!AH$25:AH$117,Покупка!$F$25:$F$117,$F212,Покупка!$AC$25:$AC$117,$G212)</f>
        <v>0</v>
      </c>
      <c r="AJ212" s="722">
        <f ca="1">SUMIFS(Покупка!AI$25:AI$117,Покупка!$F$25:$F$117,$F212,Покупка!$AC$25:$AC$117,$G212)</f>
        <v>0</v>
      </c>
      <c r="AK212" s="722">
        <f ca="1">SUMIFS(Покупка!AS$25:AS$117,Покупка!$F$25:$F$117,$F212,Покупка!$AC$25:$AC$117,$G212)</f>
        <v>0</v>
      </c>
      <c r="AL212" s="722">
        <f t="shared" ca="1" si="14"/>
        <v>0</v>
      </c>
      <c r="AM212" s="723"/>
      <c r="AN212" s="823" t="str">
        <f ca="1">IF(IFERROR(INDEX(Покупка!$K$26:$L$117,MATCH($F212&amp;"5komm",Покупка!$K$26:$K$117,0),2),"")=0,"",IFERROR(INDEX(Покупка!$K$26:$L$117,MATCH($F212&amp;"5komm",Покупка!$K$26:$K$117,0),2),""))</f>
        <v/>
      </c>
      <c r="AO212" s="723"/>
      <c r="AP212" s="1210"/>
      <c r="AQ212" s="1210"/>
      <c r="AR212" s="971" t="s">
        <v>1711</v>
      </c>
      <c r="AS212" s="971"/>
      <c r="AT212" s="971"/>
      <c r="AU212" s="968"/>
      <c r="AV212" s="968"/>
    </row>
    <row r="213" spans="1:48" s="1495" customFormat="1" ht="43.5" customHeight="1" x14ac:dyDescent="0.25">
      <c r="A213" s="512"/>
      <c r="B213" s="512"/>
      <c r="C213" s="512"/>
      <c r="D213" s="512"/>
      <c r="E213" s="620">
        <v>45</v>
      </c>
      <c r="F213" s="3" t="str" cm="1">
        <f t="array" aca="1" ref="F213" ca="1">OFFSET(E213,-1,1)</f>
        <v>2</v>
      </c>
      <c r="G213" s="512"/>
      <c r="H213" s="512"/>
      <c r="I213" s="621" t="s">
        <v>501</v>
      </c>
      <c r="J213" s="621"/>
      <c r="K213" s="621"/>
      <c r="L213" s="621"/>
      <c r="M213" s="621"/>
      <c r="N213" s="621"/>
      <c r="O213" s="621"/>
      <c r="P213" s="621"/>
      <c r="Q213" s="621"/>
      <c r="R213" s="621"/>
      <c r="S213" s="621"/>
      <c r="T213" s="388" t="b" cm="1">
        <f t="array" ref="T213">T212</f>
        <v>1</v>
      </c>
      <c r="U213" s="512"/>
      <c r="V213" s="512"/>
      <c r="W213" s="512"/>
      <c r="X213" s="2120"/>
      <c r="Y213" s="512"/>
      <c r="Z213" s="2121"/>
      <c r="AA213" s="512"/>
      <c r="AB213" s="724" t="s">
        <v>916</v>
      </c>
      <c r="AC213" s="725" t="s">
        <v>1712</v>
      </c>
      <c r="AD213" s="514" t="s">
        <v>831</v>
      </c>
      <c r="AE213" s="730"/>
      <c r="AF213" s="730"/>
      <c r="AG213" s="730"/>
      <c r="AH213" s="721">
        <f t="shared" si="13"/>
        <v>0</v>
      </c>
      <c r="AI213" s="730"/>
      <c r="AJ213" s="730"/>
      <c r="AK213" s="730"/>
      <c r="AL213" s="721">
        <f t="shared" si="14"/>
        <v>0</v>
      </c>
      <c r="AM213" s="726"/>
      <c r="AN213" s="726"/>
      <c r="AO213" s="726"/>
      <c r="AP213" s="512"/>
      <c r="AQ213" s="512"/>
      <c r="AR213" s="972" t="s">
        <v>1713</v>
      </c>
      <c r="AS213" s="972"/>
      <c r="AT213" s="972"/>
      <c r="AU213" s="620"/>
      <c r="AV213" s="620"/>
    </row>
    <row r="214" spans="1:48" s="1496" customFormat="1" ht="43.5" customHeight="1" x14ac:dyDescent="0.25">
      <c r="A214" s="512"/>
      <c r="B214" s="512"/>
      <c r="C214" s="512"/>
      <c r="D214" s="512"/>
      <c r="E214" s="620">
        <v>45</v>
      </c>
      <c r="F214" s="3" t="str" cm="1">
        <f t="array" aca="1" ref="F214" ca="1">OFFSET(E214,-1,1)</f>
        <v>2</v>
      </c>
      <c r="G214" s="512"/>
      <c r="H214" s="512"/>
      <c r="I214" s="621" t="s">
        <v>505</v>
      </c>
      <c r="J214" s="621"/>
      <c r="K214" s="621"/>
      <c r="L214" s="621"/>
      <c r="M214" s="621"/>
      <c r="N214" s="621"/>
      <c r="O214" s="621"/>
      <c r="P214" s="621"/>
      <c r="Q214" s="621"/>
      <c r="R214" s="621"/>
      <c r="S214" s="621"/>
      <c r="T214" s="388" t="b" cm="1">
        <f t="array" ref="T214">T213</f>
        <v>1</v>
      </c>
      <c r="U214" s="512"/>
      <c r="V214" s="512"/>
      <c r="W214" s="512"/>
      <c r="X214" s="2120"/>
      <c r="Y214" s="512"/>
      <c r="Z214" s="2121"/>
      <c r="AA214" s="512"/>
      <c r="AB214" s="724" t="s">
        <v>919</v>
      </c>
      <c r="AC214" s="725" t="s">
        <v>1714</v>
      </c>
      <c r="AD214" s="514" t="s">
        <v>831</v>
      </c>
      <c r="AE214" s="721">
        <f ca="1">AE215+AE216</f>
        <v>43463.894448132502</v>
      </c>
      <c r="AF214" s="721">
        <f ca="1">AF215+AF216</f>
        <v>0</v>
      </c>
      <c r="AG214" s="721">
        <f ca="1">AG215+AG216</f>
        <v>0</v>
      </c>
      <c r="AH214" s="721">
        <f t="shared" ca="1" si="13"/>
        <v>0</v>
      </c>
      <c r="AI214" s="721">
        <f ca="1">AI215+AI216</f>
        <v>0</v>
      </c>
      <c r="AJ214" s="721">
        <f ca="1">AJ215+AJ216</f>
        <v>0</v>
      </c>
      <c r="AK214" s="721">
        <f ca="1">AK215+AK216</f>
        <v>0</v>
      </c>
      <c r="AL214" s="721">
        <f t="shared" ca="1" si="14"/>
        <v>0</v>
      </c>
      <c r="AM214" s="726"/>
      <c r="AN214" s="726"/>
      <c r="AO214" s="726"/>
      <c r="AP214" s="512"/>
      <c r="AQ214" s="512"/>
      <c r="AR214" s="972" t="s">
        <v>1715</v>
      </c>
      <c r="AS214" s="972"/>
      <c r="AT214" s="972"/>
      <c r="AU214" s="620"/>
      <c r="AV214" s="620"/>
    </row>
    <row r="215" spans="1:48" s="1334" customFormat="1" ht="14.25" customHeight="1" x14ac:dyDescent="0.25">
      <c r="A215" s="1210"/>
      <c r="B215" s="1210"/>
      <c r="C215" s="1210"/>
      <c r="D215" s="1210"/>
      <c r="E215" s="618">
        <v>15</v>
      </c>
      <c r="F215" s="3" t="str" cm="1">
        <f t="array" aca="1" ref="F215" ca="1">OFFSET(E215,-1,1)</f>
        <v>2</v>
      </c>
      <c r="G215" s="622" t="s">
        <v>1104</v>
      </c>
      <c r="H215" s="1210"/>
      <c r="I215" s="511" t="s">
        <v>1328</v>
      </c>
      <c r="J215" s="511"/>
      <c r="K215" s="511"/>
      <c r="L215" s="511"/>
      <c r="M215" s="511"/>
      <c r="N215" s="511"/>
      <c r="O215" s="511"/>
      <c r="P215" s="621"/>
      <c r="Q215" s="511"/>
      <c r="R215" s="511"/>
      <c r="S215" s="511"/>
      <c r="T215" s="388" t="b" cm="1">
        <f t="array" ref="T215">T214</f>
        <v>1</v>
      </c>
      <c r="U215" s="1210"/>
      <c r="V215" s="1210"/>
      <c r="W215" s="1210"/>
      <c r="X215" s="2120"/>
      <c r="Y215" s="1210"/>
      <c r="Z215" s="2121"/>
      <c r="AA215" s="1210"/>
      <c r="AB215" s="727" t="s">
        <v>1033</v>
      </c>
      <c r="AC215" s="728" t="s">
        <v>1716</v>
      </c>
      <c r="AD215" s="679" t="s">
        <v>831</v>
      </c>
      <c r="AE215" s="722">
        <f ca="1">SUMIFS(ФОТ!AE$25:AE$138,ФОТ!$F$25:$F$138,$F215,ФОТ!$G$25:$G$138,$G215)</f>
        <v>33382.407410239997</v>
      </c>
      <c r="AF215" s="722">
        <f ca="1">SUMIFS(ФОТ!AF$25:AF$138,ФОТ!$F$25:$F$138,$F215,ФОТ!$G$25:$G$138,$G215)</f>
        <v>0</v>
      </c>
      <c r="AG215" s="722">
        <f ca="1">SUMIFS(ФОТ!AG$25:AG$138,ФОТ!$F$25:$F$138,$F215,ФОТ!$G$25:$G$138,$G215)</f>
        <v>0</v>
      </c>
      <c r="AH215" s="722">
        <f t="shared" ca="1" si="13"/>
        <v>0</v>
      </c>
      <c r="AI215" s="722">
        <f ca="1">SUMIFS(ФОТ!AH$25:AH$138,ФОТ!$F$25:$F$138,$F215,ФОТ!$G$25:$G$138,$G215)</f>
        <v>0</v>
      </c>
      <c r="AJ215" s="722">
        <f ca="1">SUMIFS(ФОТ!AI$25:AI$138,ФОТ!$F$25:$F$138,$F215,ФОТ!$G$25:$G$138,$G215)</f>
        <v>0</v>
      </c>
      <c r="AK215" s="722">
        <f ca="1">SUMIFS(ФОТ!AJ$25:AJ$138,ФОТ!$F$25:$F$138,$F215,ФОТ!$G$25:$G$138,$G215)</f>
        <v>0</v>
      </c>
      <c r="AL215" s="722">
        <f t="shared" ca="1" si="14"/>
        <v>0</v>
      </c>
      <c r="AM215" s="723"/>
      <c r="AN215" s="823" t="str">
        <f ca="1">IF(IFERROR(INDEX(ФОТ!$K$26:$L$138,MATCH($F215&amp;"1komm",ФОТ!$K$26:$K$138,0),2),"")=0,"",IFERROR(INDEX(ФОТ!$K$26:$L$138,MATCH($F215&amp;"1komm",ФОТ!$K$26:$K$138,0),2),""))</f>
        <v/>
      </c>
      <c r="AO215" s="723"/>
      <c r="AP215" s="1210"/>
      <c r="AQ215" s="1210"/>
      <c r="AR215" s="971" t="s">
        <v>1717</v>
      </c>
      <c r="AS215" s="971"/>
      <c r="AT215" s="971"/>
      <c r="AU215" s="968"/>
      <c r="AV215" s="968"/>
    </row>
    <row r="216" spans="1:48" s="1334" customFormat="1" ht="21.75" customHeight="1" x14ac:dyDescent="0.25">
      <c r="A216" s="1210"/>
      <c r="B216" s="1210"/>
      <c r="C216" s="1210"/>
      <c r="D216" s="1210"/>
      <c r="E216" s="618">
        <v>22.5</v>
      </c>
      <c r="F216" s="3" t="str" cm="1">
        <f t="array" aca="1" ref="F216" ca="1">OFFSET(E216,-1,1)</f>
        <v>2</v>
      </c>
      <c r="G216" s="622" t="s">
        <v>1116</v>
      </c>
      <c r="H216" s="1210"/>
      <c r="I216" s="511" t="s">
        <v>1329</v>
      </c>
      <c r="J216" s="511"/>
      <c r="K216" s="511"/>
      <c r="L216" s="511"/>
      <c r="M216" s="511"/>
      <c r="N216" s="511"/>
      <c r="O216" s="511"/>
      <c r="P216" s="621"/>
      <c r="Q216" s="511"/>
      <c r="R216" s="511"/>
      <c r="S216" s="511"/>
      <c r="T216" s="388" t="b" cm="1">
        <f t="array" ref="T216">T215</f>
        <v>1</v>
      </c>
      <c r="U216" s="1210"/>
      <c r="V216" s="1210"/>
      <c r="W216" s="1210"/>
      <c r="X216" s="2120"/>
      <c r="Y216" s="1210"/>
      <c r="Z216" s="2121"/>
      <c r="AA216" s="1210"/>
      <c r="AB216" s="727" t="s">
        <v>1036</v>
      </c>
      <c r="AC216" s="728" t="s">
        <v>1718</v>
      </c>
      <c r="AD216" s="679" t="s">
        <v>831</v>
      </c>
      <c r="AE216" s="722">
        <f ca="1">SUMIFS(ФОТ!AE$25:AE$138,ФОТ!$F$25:$F$138,$F216,ФОТ!$G$25:$G$138,$G216)</f>
        <v>10081.487037892501</v>
      </c>
      <c r="AF216" s="722">
        <f ca="1">SUMIFS(ФОТ!AF$25:AF$138,ФОТ!$F$25:$F$138,$F216,ФОТ!$G$25:$G$138,$G216)</f>
        <v>0</v>
      </c>
      <c r="AG216" s="722">
        <f ca="1">SUMIFS(ФОТ!AG$25:AG$138,ФОТ!$F$25:$F$138,$F216,ФОТ!$G$25:$G$138,$G216)</f>
        <v>0</v>
      </c>
      <c r="AH216" s="722">
        <f t="shared" ca="1" si="13"/>
        <v>0</v>
      </c>
      <c r="AI216" s="722">
        <f ca="1">SUMIFS(ФОТ!AH$25:AH$138,ФОТ!$F$25:$F$138,$F216,ФОТ!$G$25:$G$138,$G216)</f>
        <v>0</v>
      </c>
      <c r="AJ216" s="722">
        <f ca="1">SUMIFS(ФОТ!AI$25:AI$138,ФОТ!$F$25:$F$138,$F216,ФОТ!$G$25:$G$138,$G216)</f>
        <v>0</v>
      </c>
      <c r="AK216" s="722">
        <f ca="1">SUMIFS(ФОТ!AJ$25:AJ$138,ФОТ!$F$25:$F$138,$F216,ФОТ!$G$25:$G$138,$G216)</f>
        <v>0</v>
      </c>
      <c r="AL216" s="722">
        <f t="shared" ca="1" si="14"/>
        <v>0</v>
      </c>
      <c r="AM216" s="723"/>
      <c r="AN216" s="823" t="str">
        <f ca="1">IF(IFERROR(INDEX(ФОТ!$K$26:$L$138,MATCH($F216&amp;"2komm",ФОТ!$K$26:$K$138,0),2),"")=0,"",IFERROR(INDEX(ФОТ!$K$26:$L$138,MATCH($F216&amp;"2komm",ФОТ!$K$26:$K$138,0),2),""))</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AO216" s="723"/>
      <c r="AP216" s="1210"/>
      <c r="AQ216" s="1210"/>
      <c r="AR216" s="971" t="s">
        <v>1719</v>
      </c>
      <c r="AS216" s="971"/>
      <c r="AT216" s="971"/>
      <c r="AU216" s="968"/>
      <c r="AV216" s="968"/>
    </row>
    <row r="217" spans="1:48" s="1497" customFormat="1" ht="14.25" customHeight="1" x14ac:dyDescent="0.25">
      <c r="A217" s="512"/>
      <c r="B217" s="512"/>
      <c r="C217" s="512"/>
      <c r="D217" s="512"/>
      <c r="E217" s="620">
        <v>15</v>
      </c>
      <c r="F217" s="3" t="str" cm="1">
        <f t="array" aca="1" ref="F217" ca="1">OFFSET(E217,-1,1)</f>
        <v>2</v>
      </c>
      <c r="G217" s="512"/>
      <c r="H217" s="512"/>
      <c r="I217" s="621" t="s">
        <v>922</v>
      </c>
      <c r="J217" s="621"/>
      <c r="K217" s="621"/>
      <c r="L217" s="621"/>
      <c r="M217" s="621"/>
      <c r="N217" s="621"/>
      <c r="O217" s="621"/>
      <c r="P217" s="621"/>
      <c r="Q217" s="621"/>
      <c r="R217" s="621"/>
      <c r="S217" s="621"/>
      <c r="T217" s="388" t="b" cm="1">
        <f t="array" ref="T217">T216</f>
        <v>1</v>
      </c>
      <c r="U217" s="512"/>
      <c r="V217" s="512"/>
      <c r="W217" s="512"/>
      <c r="X217" s="2120"/>
      <c r="Y217" s="512"/>
      <c r="Z217" s="2121"/>
      <c r="AA217" s="512"/>
      <c r="AB217" s="724" t="s">
        <v>923</v>
      </c>
      <c r="AC217" s="725" t="s">
        <v>1720</v>
      </c>
      <c r="AD217" s="514" t="s">
        <v>831</v>
      </c>
      <c r="AE217" s="730"/>
      <c r="AF217" s="730"/>
      <c r="AG217" s="730"/>
      <c r="AH217" s="721">
        <f t="shared" si="13"/>
        <v>0</v>
      </c>
      <c r="AI217" s="730"/>
      <c r="AJ217" s="730"/>
      <c r="AK217" s="730"/>
      <c r="AL217" s="721">
        <f t="shared" si="14"/>
        <v>0</v>
      </c>
      <c r="AM217" s="726"/>
      <c r="AN217" s="726"/>
      <c r="AO217" s="726"/>
      <c r="AP217" s="512"/>
      <c r="AQ217" s="512"/>
      <c r="AR217" s="972" t="s">
        <v>1307</v>
      </c>
      <c r="AS217" s="972"/>
      <c r="AT217" s="972"/>
      <c r="AU217" s="620"/>
      <c r="AV217" s="620"/>
    </row>
    <row r="218" spans="1:48" s="1498" customFormat="1" ht="14.25" customHeight="1" x14ac:dyDescent="0.25">
      <c r="A218" s="512"/>
      <c r="B218" s="512"/>
      <c r="C218" s="512"/>
      <c r="D218" s="512"/>
      <c r="E218" s="620">
        <v>15</v>
      </c>
      <c r="F218" s="3" t="str" cm="1">
        <f t="array" aca="1" ref="F218" ca="1">OFFSET(E218,-1,1)</f>
        <v>2</v>
      </c>
      <c r="G218" s="512"/>
      <c r="H218" s="512"/>
      <c r="I218" s="621" t="s">
        <v>1721</v>
      </c>
      <c r="J218" s="621"/>
      <c r="K218" s="621"/>
      <c r="L218" s="621"/>
      <c r="M218" s="621"/>
      <c r="N218" s="621"/>
      <c r="O218" s="621"/>
      <c r="P218" s="621"/>
      <c r="Q218" s="621"/>
      <c r="R218" s="621"/>
      <c r="S218" s="621"/>
      <c r="T218" s="388" t="b" cm="1">
        <f t="array" ref="T218">T217</f>
        <v>1</v>
      </c>
      <c r="U218" s="512"/>
      <c r="V218" s="512"/>
      <c r="W218" s="512"/>
      <c r="X218" s="2120"/>
      <c r="Y218" s="512"/>
      <c r="Z218" s="2121"/>
      <c r="AA218" s="512"/>
      <c r="AB218" s="724" t="s">
        <v>1722</v>
      </c>
      <c r="AC218" s="725" t="s">
        <v>1723</v>
      </c>
      <c r="AD218" s="514" t="s">
        <v>831</v>
      </c>
      <c r="AE218" s="730"/>
      <c r="AF218" s="730"/>
      <c r="AG218" s="730"/>
      <c r="AH218" s="721">
        <f t="shared" si="13"/>
        <v>0</v>
      </c>
      <c r="AI218" s="730"/>
      <c r="AJ218" s="730"/>
      <c r="AK218" s="730"/>
      <c r="AL218" s="721">
        <f t="shared" si="14"/>
        <v>0</v>
      </c>
      <c r="AM218" s="726"/>
      <c r="AN218" s="726"/>
      <c r="AO218" s="726"/>
      <c r="AP218" s="512"/>
      <c r="AQ218" s="512"/>
      <c r="AR218" s="972" t="s">
        <v>1724</v>
      </c>
      <c r="AS218" s="972"/>
      <c r="AT218" s="972"/>
      <c r="AU218" s="620"/>
      <c r="AV218" s="620"/>
    </row>
    <row r="219" spans="1:48" s="1499" customFormat="1" ht="14.25" customHeight="1" x14ac:dyDescent="0.25">
      <c r="A219" s="512"/>
      <c r="B219" s="512"/>
      <c r="C219" s="512"/>
      <c r="D219" s="512"/>
      <c r="E219" s="620">
        <v>15</v>
      </c>
      <c r="F219" s="3" t="str" cm="1">
        <f t="array" aca="1" ref="F219" ca="1">OFFSET(E219,-1,1)</f>
        <v>2</v>
      </c>
      <c r="G219" s="512"/>
      <c r="H219" s="512"/>
      <c r="I219" s="621" t="s">
        <v>1725</v>
      </c>
      <c r="J219" s="621"/>
      <c r="K219" s="621"/>
      <c r="L219" s="621"/>
      <c r="M219" s="621"/>
      <c r="N219" s="621"/>
      <c r="O219" s="621"/>
      <c r="P219" s="621"/>
      <c r="Q219" s="621"/>
      <c r="R219" s="621"/>
      <c r="S219" s="621"/>
      <c r="T219" s="388" t="b" cm="1">
        <f t="array" ref="T219">T218</f>
        <v>1</v>
      </c>
      <c r="U219" s="512"/>
      <c r="V219" s="512"/>
      <c r="W219" s="512"/>
      <c r="X219" s="2120"/>
      <c r="Y219" s="512"/>
      <c r="Z219" s="2121"/>
      <c r="AA219" s="512"/>
      <c r="AB219" s="724" t="s">
        <v>1726</v>
      </c>
      <c r="AC219" s="725" t="s">
        <v>1727</v>
      </c>
      <c r="AD219" s="514" t="s">
        <v>831</v>
      </c>
      <c r="AE219" s="721">
        <f>SUM(AE220:AE225)</f>
        <v>0</v>
      </c>
      <c r="AF219" s="721">
        <f>SUM(AF220:AF225)</f>
        <v>0</v>
      </c>
      <c r="AG219" s="721">
        <f>SUM(AG220:AG225)</f>
        <v>0</v>
      </c>
      <c r="AH219" s="721">
        <f t="shared" si="13"/>
        <v>0</v>
      </c>
      <c r="AI219" s="721">
        <f>SUM(AI220:AI225)</f>
        <v>0</v>
      </c>
      <c r="AJ219" s="721">
        <f>SUM(AJ220:AJ225)</f>
        <v>0</v>
      </c>
      <c r="AK219" s="721">
        <f>SUM(AK220:AK225)</f>
        <v>0</v>
      </c>
      <c r="AL219" s="721">
        <f t="shared" si="14"/>
        <v>0</v>
      </c>
      <c r="AM219" s="726"/>
      <c r="AN219" s="726"/>
      <c r="AO219" s="726"/>
      <c r="AP219" s="512"/>
      <c r="AQ219" s="512"/>
      <c r="AR219" s="972" t="s">
        <v>1728</v>
      </c>
      <c r="AS219" s="972"/>
      <c r="AT219" s="972"/>
      <c r="AU219" s="620"/>
      <c r="AV219" s="620"/>
    </row>
    <row r="220" spans="1:48" s="1334" customFormat="1" ht="14.25" customHeight="1" x14ac:dyDescent="0.25">
      <c r="A220" s="1210"/>
      <c r="B220" s="1210"/>
      <c r="C220" s="1210"/>
      <c r="D220" s="1210"/>
      <c r="E220" s="618">
        <v>15</v>
      </c>
      <c r="F220" s="3" t="str" cm="1">
        <f t="array" aca="1" ref="F220" ca="1">OFFSET(E220,-1,1)</f>
        <v>2</v>
      </c>
      <c r="G220" s="1210"/>
      <c r="H220" s="1210"/>
      <c r="I220" s="511" t="s">
        <v>1725</v>
      </c>
      <c r="J220" s="895" t="s">
        <v>1729</v>
      </c>
      <c r="K220" s="1210"/>
      <c r="L220" s="511"/>
      <c r="M220" s="511"/>
      <c r="N220" s="511"/>
      <c r="O220" s="511"/>
      <c r="P220" s="511"/>
      <c r="Q220" s="511"/>
      <c r="R220" s="511"/>
      <c r="S220" s="511"/>
      <c r="T220" s="388" t="b" cm="1">
        <f t="array" ref="T220">T219</f>
        <v>1</v>
      </c>
      <c r="U220" s="1210"/>
      <c r="V220" s="1210"/>
      <c r="W220" s="1210"/>
      <c r="X220" s="2120"/>
      <c r="Y220" s="1210"/>
      <c r="Z220" s="2121"/>
      <c r="AA220" s="1210"/>
      <c r="AB220" s="727" t="s">
        <v>1730</v>
      </c>
      <c r="AC220" s="728" t="s">
        <v>1731</v>
      </c>
      <c r="AD220" s="679" t="s">
        <v>831</v>
      </c>
      <c r="AE220" s="729"/>
      <c r="AF220" s="729"/>
      <c r="AG220" s="729"/>
      <c r="AH220" s="722">
        <f t="shared" si="13"/>
        <v>0</v>
      </c>
      <c r="AI220" s="729"/>
      <c r="AJ220" s="729"/>
      <c r="AK220" s="729"/>
      <c r="AL220" s="722">
        <f t="shared" si="14"/>
        <v>0</v>
      </c>
      <c r="AM220" s="723"/>
      <c r="AN220" s="723"/>
      <c r="AO220" s="723"/>
      <c r="AP220" s="1210"/>
      <c r="AQ220" s="1210"/>
      <c r="AR220" s="971" t="s">
        <v>1732</v>
      </c>
      <c r="AS220" s="971"/>
      <c r="AT220" s="971"/>
      <c r="AU220" s="968"/>
      <c r="AV220" s="968"/>
    </row>
    <row r="221" spans="1:48" s="1334" customFormat="1" ht="14.25" customHeight="1" x14ac:dyDescent="0.25">
      <c r="A221" s="1210"/>
      <c r="B221" s="1210"/>
      <c r="C221" s="1210"/>
      <c r="D221" s="1210"/>
      <c r="E221" s="618">
        <v>15</v>
      </c>
      <c r="F221" s="3" t="str" cm="1">
        <f t="array" aca="1" ref="F221" ca="1">OFFSET(E221,-1,1)</f>
        <v>2</v>
      </c>
      <c r="G221" s="1210"/>
      <c r="H221" s="1210"/>
      <c r="I221" s="511" t="s">
        <v>1725</v>
      </c>
      <c r="J221" s="895" t="s">
        <v>1733</v>
      </c>
      <c r="K221" s="1210"/>
      <c r="L221" s="511"/>
      <c r="M221" s="511"/>
      <c r="N221" s="511"/>
      <c r="O221" s="511"/>
      <c r="P221" s="511"/>
      <c r="Q221" s="511"/>
      <c r="R221" s="511"/>
      <c r="S221" s="511"/>
      <c r="T221" s="388" t="b" cm="1">
        <f t="array" ref="T221">T220</f>
        <v>1</v>
      </c>
      <c r="U221" s="1210"/>
      <c r="V221" s="1210"/>
      <c r="W221" s="1210"/>
      <c r="X221" s="2120"/>
      <c r="Y221" s="1210"/>
      <c r="Z221" s="2121"/>
      <c r="AA221" s="1210"/>
      <c r="AB221" s="727" t="s">
        <v>1734</v>
      </c>
      <c r="AC221" s="728" t="s">
        <v>1735</v>
      </c>
      <c r="AD221" s="679" t="s">
        <v>831</v>
      </c>
      <c r="AE221" s="729"/>
      <c r="AF221" s="729"/>
      <c r="AG221" s="729"/>
      <c r="AH221" s="722">
        <f t="shared" si="13"/>
        <v>0</v>
      </c>
      <c r="AI221" s="729"/>
      <c r="AJ221" s="729"/>
      <c r="AK221" s="729"/>
      <c r="AL221" s="722">
        <f t="shared" si="14"/>
        <v>0</v>
      </c>
      <c r="AM221" s="723"/>
      <c r="AN221" s="723"/>
      <c r="AO221" s="723"/>
      <c r="AP221" s="1210"/>
      <c r="AQ221" s="1210"/>
      <c r="AR221" s="971" t="s">
        <v>1736</v>
      </c>
      <c r="AS221" s="971"/>
      <c r="AT221" s="971"/>
      <c r="AU221" s="968"/>
      <c r="AV221" s="968"/>
    </row>
    <row r="222" spans="1:48" s="1334" customFormat="1" ht="14.25" customHeight="1" x14ac:dyDescent="0.25">
      <c r="A222" s="1210"/>
      <c r="B222" s="1210"/>
      <c r="C222" s="1210"/>
      <c r="D222" s="1210"/>
      <c r="E222" s="618">
        <v>15</v>
      </c>
      <c r="F222" s="3" t="str" cm="1">
        <f t="array" aca="1" ref="F222" ca="1">OFFSET(E222,-1,1)</f>
        <v>2</v>
      </c>
      <c r="G222" s="1210"/>
      <c r="H222" s="1210"/>
      <c r="I222" s="511" t="s">
        <v>1725</v>
      </c>
      <c r="J222" s="895" t="s">
        <v>1737</v>
      </c>
      <c r="K222" s="1210"/>
      <c r="L222" s="511"/>
      <c r="M222" s="511"/>
      <c r="N222" s="511"/>
      <c r="O222" s="511"/>
      <c r="P222" s="511"/>
      <c r="Q222" s="511"/>
      <c r="R222" s="511"/>
      <c r="S222" s="511"/>
      <c r="T222" s="388" t="b" cm="1">
        <f t="array" ref="T222">T221</f>
        <v>1</v>
      </c>
      <c r="U222" s="1210"/>
      <c r="V222" s="1210"/>
      <c r="W222" s="1210"/>
      <c r="X222" s="2120"/>
      <c r="Y222" s="1210"/>
      <c r="Z222" s="2121"/>
      <c r="AA222" s="1210"/>
      <c r="AB222" s="727" t="s">
        <v>1738</v>
      </c>
      <c r="AC222" s="728" t="s">
        <v>1739</v>
      </c>
      <c r="AD222" s="679" t="s">
        <v>831</v>
      </c>
      <c r="AE222" s="729"/>
      <c r="AF222" s="729"/>
      <c r="AG222" s="729"/>
      <c r="AH222" s="722">
        <f t="shared" si="13"/>
        <v>0</v>
      </c>
      <c r="AI222" s="729"/>
      <c r="AJ222" s="729"/>
      <c r="AK222" s="729"/>
      <c r="AL222" s="722">
        <f t="shared" si="14"/>
        <v>0</v>
      </c>
      <c r="AM222" s="723"/>
      <c r="AN222" s="723"/>
      <c r="AO222" s="723"/>
      <c r="AP222" s="1210"/>
      <c r="AQ222" s="1210"/>
      <c r="AR222" s="971" t="s">
        <v>1740</v>
      </c>
      <c r="AS222" s="971"/>
      <c r="AT222" s="971"/>
      <c r="AU222" s="968"/>
      <c r="AV222" s="968"/>
    </row>
    <row r="223" spans="1:48" s="1334" customFormat="1" ht="14.25" customHeight="1" x14ac:dyDescent="0.25">
      <c r="A223" s="1210"/>
      <c r="B223" s="1210"/>
      <c r="C223" s="1210"/>
      <c r="D223" s="1210"/>
      <c r="E223" s="618">
        <v>15</v>
      </c>
      <c r="F223" s="3" t="str" cm="1">
        <f t="array" aca="1" ref="F223" ca="1">OFFSET(E223,-1,1)</f>
        <v>2</v>
      </c>
      <c r="G223" s="1210"/>
      <c r="H223" s="1210"/>
      <c r="I223" s="511" t="s">
        <v>1725</v>
      </c>
      <c r="J223" s="895" t="s">
        <v>1741</v>
      </c>
      <c r="K223" s="1210"/>
      <c r="L223" s="511"/>
      <c r="M223" s="511"/>
      <c r="N223" s="511"/>
      <c r="O223" s="511"/>
      <c r="P223" s="511"/>
      <c r="Q223" s="511"/>
      <c r="R223" s="511"/>
      <c r="S223" s="511"/>
      <c r="T223" s="388" t="b" cm="1">
        <f t="array" ref="T223">T222</f>
        <v>1</v>
      </c>
      <c r="U223" s="1210"/>
      <c r="V223" s="1210"/>
      <c r="W223" s="1210"/>
      <c r="X223" s="2120"/>
      <c r="Y223" s="1210"/>
      <c r="Z223" s="2121"/>
      <c r="AA223" s="1210"/>
      <c r="AB223" s="727" t="s">
        <v>1742</v>
      </c>
      <c r="AC223" s="728" t="s">
        <v>1743</v>
      </c>
      <c r="AD223" s="679" t="s">
        <v>831</v>
      </c>
      <c r="AE223" s="729"/>
      <c r="AF223" s="729"/>
      <c r="AG223" s="729"/>
      <c r="AH223" s="722">
        <f t="shared" si="13"/>
        <v>0</v>
      </c>
      <c r="AI223" s="729"/>
      <c r="AJ223" s="729"/>
      <c r="AK223" s="729"/>
      <c r="AL223" s="722">
        <f t="shared" si="14"/>
        <v>0</v>
      </c>
      <c r="AM223" s="723"/>
      <c r="AN223" s="723"/>
      <c r="AO223" s="723"/>
      <c r="AP223" s="1210"/>
      <c r="AQ223" s="1210"/>
      <c r="AR223" s="971" t="s">
        <v>1744</v>
      </c>
      <c r="AS223" s="971"/>
      <c r="AT223" s="971"/>
      <c r="AU223" s="968"/>
      <c r="AV223" s="968"/>
    </row>
    <row r="224" spans="1:48" s="1334" customFormat="1" ht="14.25" hidden="1" customHeight="1" x14ac:dyDescent="0.25">
      <c r="A224" s="1210"/>
      <c r="B224" s="1210"/>
      <c r="C224" s="1210"/>
      <c r="D224" s="1210"/>
      <c r="E224" s="618">
        <v>15</v>
      </c>
      <c r="F224" s="3" t="str" cm="1">
        <f t="array" aca="1" ref="F224" ca="1">OFFSET(E224,-1,1)</f>
        <v>2</v>
      </c>
      <c r="G224" s="1210"/>
      <c r="H224" s="1210"/>
      <c r="I224" s="511" t="s">
        <v>1725</v>
      </c>
      <c r="J224" s="501" cm="1">
        <f t="array" ref="J224">AC224</f>
        <v>0</v>
      </c>
      <c r="K224" s="1210"/>
      <c r="L224" s="511"/>
      <c r="M224" s="511"/>
      <c r="N224" s="511"/>
      <c r="O224" s="511"/>
      <c r="P224" s="511"/>
      <c r="Q224" s="511"/>
      <c r="R224" s="511"/>
      <c r="S224" s="511"/>
      <c r="T224" s="388" t="b">
        <f ca="1">AND(F224&gt;0,Y224&gt;4)</f>
        <v>0</v>
      </c>
      <c r="U224" s="1210"/>
      <c r="V224" s="1210"/>
      <c r="W224" s="677" t="s">
        <v>172</v>
      </c>
      <c r="X224" s="2120"/>
      <c r="Y224" s="501">
        <v>4</v>
      </c>
      <c r="Z224" s="2121"/>
      <c r="AA224" s="1135" t="s">
        <v>173</v>
      </c>
      <c r="AB224" s="624" t="str">
        <f>"1.7."&amp;Y224</f>
        <v>1.7.4</v>
      </c>
      <c r="AC224" s="1466"/>
      <c r="AD224" s="679" t="s">
        <v>831</v>
      </c>
      <c r="AE224" s="729"/>
      <c r="AF224" s="729"/>
      <c r="AG224" s="729"/>
      <c r="AH224" s="722">
        <f t="shared" si="13"/>
        <v>0</v>
      </c>
      <c r="AI224" s="729"/>
      <c r="AJ224" s="1467"/>
      <c r="AK224" s="1467"/>
      <c r="AL224" s="722">
        <f t="shared" si="14"/>
        <v>0</v>
      </c>
      <c r="AM224" s="1468"/>
      <c r="AN224" s="1468"/>
      <c r="AO224" s="1468"/>
      <c r="AP224" s="1210"/>
      <c r="AQ224" s="1210"/>
      <c r="AR224" s="971" t="s">
        <v>1745</v>
      </c>
      <c r="AS224" s="971" t="s">
        <v>1746</v>
      </c>
      <c r="AT224" s="969" cm="1">
        <f t="array" ref="AT224">AC224</f>
        <v>0</v>
      </c>
      <c r="AU224" s="968"/>
      <c r="AV224" s="618" t="b">
        <v>1</v>
      </c>
    </row>
    <row r="225" spans="1:48" s="1334" customFormat="1" ht="14.25" customHeight="1" x14ac:dyDescent="0.25">
      <c r="A225" s="1210"/>
      <c r="B225" s="1210"/>
      <c r="C225" s="1210"/>
      <c r="D225" s="1210"/>
      <c r="E225" s="618">
        <v>15</v>
      </c>
      <c r="F225" s="3" t="str" cm="1">
        <f t="array" aca="1" ref="F225" ca="1">OFFSET(E225,-1,1)</f>
        <v>2</v>
      </c>
      <c r="G225" s="1210"/>
      <c r="H225" s="1210"/>
      <c r="I225" s="619"/>
      <c r="J225" s="619" t="s">
        <v>1747</v>
      </c>
      <c r="K225" s="619"/>
      <c r="L225" s="619"/>
      <c r="M225" s="619"/>
      <c r="N225" s="619"/>
      <c r="O225" s="619"/>
      <c r="P225" s="619"/>
      <c r="Q225" s="619"/>
      <c r="R225" s="619"/>
      <c r="S225" s="619"/>
      <c r="T225" s="388" t="b">
        <f ca="1">F225&gt;0</f>
        <v>1</v>
      </c>
      <c r="U225" s="1210"/>
      <c r="V225" s="1210"/>
      <c r="W225" s="748" t="s">
        <v>396</v>
      </c>
      <c r="X225" s="2120"/>
      <c r="Y225" s="1210"/>
      <c r="Z225" s="2121"/>
      <c r="AA225" s="1210"/>
      <c r="AB225" s="1136"/>
      <c r="AC225" s="1137" t="s">
        <v>176</v>
      </c>
      <c r="AD225" s="1138"/>
      <c r="AE225" s="1138"/>
      <c r="AF225" s="1138"/>
      <c r="AG225" s="1138"/>
      <c r="AH225" s="1138"/>
      <c r="AI225" s="1138"/>
      <c r="AJ225" s="1138"/>
      <c r="AK225" s="1138"/>
      <c r="AL225" s="1138"/>
      <c r="AM225" s="1138"/>
      <c r="AN225" s="1138"/>
      <c r="AO225" s="1139"/>
      <c r="AP225" s="1210"/>
      <c r="AQ225" s="1210"/>
      <c r="AR225" s="971"/>
      <c r="AS225" s="971"/>
      <c r="AT225" s="971"/>
      <c r="AU225" s="968" t="s">
        <v>1746</v>
      </c>
      <c r="AV225" s="968"/>
    </row>
    <row r="226" spans="1:48" s="1500" customFormat="1" ht="14.25" customHeight="1" x14ac:dyDescent="0.25">
      <c r="A226" s="512"/>
      <c r="B226" s="512"/>
      <c r="C226" s="512"/>
      <c r="D226" s="512"/>
      <c r="E226" s="620">
        <v>15</v>
      </c>
      <c r="F226" s="3" t="str" cm="1">
        <f t="array" aca="1" ref="F226" ca="1">OFFSET(E226,-1,1)</f>
        <v>2</v>
      </c>
      <c r="G226" s="512"/>
      <c r="H226" s="512"/>
      <c r="I226" s="621" t="s">
        <v>332</v>
      </c>
      <c r="J226" s="621"/>
      <c r="K226" s="621"/>
      <c r="L226" s="621"/>
      <c r="M226" s="621"/>
      <c r="N226" s="621"/>
      <c r="O226" s="621"/>
      <c r="P226" s="621"/>
      <c r="Q226" s="621"/>
      <c r="R226" s="621"/>
      <c r="S226" s="621"/>
      <c r="T226" s="388" t="b" cm="1">
        <f t="array" aca="1" ref="T226" ca="1">T225</f>
        <v>1</v>
      </c>
      <c r="U226" s="512"/>
      <c r="V226" s="512"/>
      <c r="W226" s="512"/>
      <c r="X226" s="2120"/>
      <c r="Y226" s="512"/>
      <c r="Z226" s="2121"/>
      <c r="AA226" s="512"/>
      <c r="AB226" s="724" t="s">
        <v>289</v>
      </c>
      <c r="AC226" s="720" t="s">
        <v>1748</v>
      </c>
      <c r="AD226" s="731" t="s">
        <v>831</v>
      </c>
      <c r="AE226" s="708">
        <f ca="1">AE227+AE228</f>
        <v>9491.6245618207995</v>
      </c>
      <c r="AF226" s="708">
        <f ca="1">AF227+AF228</f>
        <v>0</v>
      </c>
      <c r="AG226" s="708">
        <f ca="1">AG227+AG228</f>
        <v>0</v>
      </c>
      <c r="AH226" s="721">
        <f t="shared" ref="AH226:AH251" ca="1" si="15">AG226-AF226</f>
        <v>0</v>
      </c>
      <c r="AI226" s="708">
        <f ca="1">AI227+AI228</f>
        <v>0</v>
      </c>
      <c r="AJ226" s="708">
        <f ca="1">AJ227+AJ228</f>
        <v>0</v>
      </c>
      <c r="AK226" s="708">
        <f ca="1">AK227+AK228</f>
        <v>0</v>
      </c>
      <c r="AL226" s="721">
        <f t="shared" ref="AL226:AL265" ca="1" si="16">IF(AI226=0,0,(AK226-AI226)/AI226*100)</f>
        <v>0</v>
      </c>
      <c r="AM226" s="726"/>
      <c r="AN226" s="726"/>
      <c r="AO226" s="726"/>
      <c r="AP226" s="512"/>
      <c r="AQ226" s="512"/>
      <c r="AR226" s="972" t="s">
        <v>1749</v>
      </c>
      <c r="AS226" s="972"/>
      <c r="AT226" s="972"/>
      <c r="AU226" s="620"/>
      <c r="AV226" s="620"/>
    </row>
    <row r="227" spans="1:48" s="1334" customFormat="1" ht="32.25" customHeight="1" x14ac:dyDescent="0.25">
      <c r="A227" s="1210"/>
      <c r="B227" s="1210"/>
      <c r="C227" s="1210"/>
      <c r="D227" s="1210"/>
      <c r="E227" s="618">
        <v>33.75</v>
      </c>
      <c r="F227" s="3" t="str" cm="1">
        <f t="array" aca="1" ref="F227" ca="1">OFFSET(E227,-1,1)</f>
        <v>2</v>
      </c>
      <c r="G227" s="1210"/>
      <c r="H227" s="1210"/>
      <c r="I227" s="511" t="s">
        <v>512</v>
      </c>
      <c r="J227" s="511"/>
      <c r="K227" s="511"/>
      <c r="L227" s="511"/>
      <c r="M227" s="511"/>
      <c r="N227" s="511"/>
      <c r="O227" s="511"/>
      <c r="P227" s="511"/>
      <c r="Q227" s="511"/>
      <c r="R227" s="511"/>
      <c r="S227" s="511"/>
      <c r="T227" s="388" t="b" cm="1">
        <f t="array" aca="1" ref="T227" ca="1">T226</f>
        <v>1</v>
      </c>
      <c r="U227" s="1210"/>
      <c r="V227" s="1210"/>
      <c r="W227" s="1210"/>
      <c r="X227" s="2120"/>
      <c r="Y227" s="1210"/>
      <c r="Z227" s="2121"/>
      <c r="AA227" s="1210"/>
      <c r="AB227" s="727" t="s">
        <v>566</v>
      </c>
      <c r="AC227" s="732" t="s">
        <v>1750</v>
      </c>
      <c r="AD227" s="733" t="s">
        <v>831</v>
      </c>
      <c r="AE227" s="729"/>
      <c r="AF227" s="729"/>
      <c r="AG227" s="729"/>
      <c r="AH227" s="722">
        <f t="shared" si="15"/>
        <v>0</v>
      </c>
      <c r="AI227" s="729"/>
      <c r="AJ227" s="729"/>
      <c r="AK227" s="729"/>
      <c r="AL227" s="722">
        <f t="shared" si="16"/>
        <v>0</v>
      </c>
      <c r="AM227" s="723"/>
      <c r="AN227" s="723"/>
      <c r="AO227" s="723"/>
      <c r="AP227" s="1210"/>
      <c r="AQ227" s="1210"/>
      <c r="AR227" s="971" t="s">
        <v>1751</v>
      </c>
      <c r="AS227" s="971"/>
      <c r="AT227" s="971"/>
      <c r="AU227" s="968"/>
      <c r="AV227" s="968"/>
    </row>
    <row r="228" spans="1:48" s="1334" customFormat="1" ht="34.5" customHeight="1" x14ac:dyDescent="0.25">
      <c r="A228" s="1210"/>
      <c r="B228" s="1210"/>
      <c r="C228" s="1210"/>
      <c r="D228" s="1210"/>
      <c r="E228" s="618">
        <v>36</v>
      </c>
      <c r="F228" s="3" t="str" cm="1">
        <f t="array" aca="1" ref="F228" ca="1">OFFSET(E228,-1,1)</f>
        <v>2</v>
      </c>
      <c r="G228" s="1210"/>
      <c r="H228" s="1210"/>
      <c r="I228" s="511" t="s">
        <v>515</v>
      </c>
      <c r="J228" s="511"/>
      <c r="K228" s="511"/>
      <c r="L228" s="511"/>
      <c r="M228" s="511"/>
      <c r="N228" s="511"/>
      <c r="O228" s="511"/>
      <c r="P228" s="511"/>
      <c r="Q228" s="511"/>
      <c r="R228" s="511"/>
      <c r="S228" s="511"/>
      <c r="T228" s="388" t="b" cm="1">
        <f t="array" aca="1" ref="T228" ca="1">T227</f>
        <v>1</v>
      </c>
      <c r="U228" s="1210"/>
      <c r="V228" s="1210"/>
      <c r="W228" s="1210"/>
      <c r="X228" s="2120"/>
      <c r="Y228" s="1210"/>
      <c r="Z228" s="2121"/>
      <c r="AA228" s="1210"/>
      <c r="AB228" s="727" t="s">
        <v>570</v>
      </c>
      <c r="AC228" s="732" t="s">
        <v>1752</v>
      </c>
      <c r="AD228" s="733" t="s">
        <v>831</v>
      </c>
      <c r="AE228" s="734">
        <f ca="1">AE229+AE230</f>
        <v>9491.6245618207995</v>
      </c>
      <c r="AF228" s="734">
        <f ca="1">AF229+AF230</f>
        <v>0</v>
      </c>
      <c r="AG228" s="734">
        <f ca="1">AG229+AG230</f>
        <v>0</v>
      </c>
      <c r="AH228" s="722">
        <f t="shared" ca="1" si="15"/>
        <v>0</v>
      </c>
      <c r="AI228" s="734">
        <f ca="1">AI229+AI230</f>
        <v>0</v>
      </c>
      <c r="AJ228" s="734">
        <f ca="1">AJ229+AJ230</f>
        <v>0</v>
      </c>
      <c r="AK228" s="734">
        <f ca="1">AK229+AK230</f>
        <v>0</v>
      </c>
      <c r="AL228" s="722">
        <f t="shared" ca="1" si="16"/>
        <v>0</v>
      </c>
      <c r="AM228" s="723"/>
      <c r="AN228" s="723"/>
      <c r="AO228" s="723"/>
      <c r="AP228" s="1210"/>
      <c r="AQ228" s="1210"/>
      <c r="AR228" s="971" t="s">
        <v>1753</v>
      </c>
      <c r="AS228" s="971"/>
      <c r="AT228" s="971"/>
      <c r="AU228" s="968"/>
      <c r="AV228" s="968"/>
    </row>
    <row r="229" spans="1:48" s="1334" customFormat="1" ht="14.25" customHeight="1" x14ac:dyDescent="0.25">
      <c r="A229" s="1210"/>
      <c r="B229" s="1210"/>
      <c r="C229" s="1210"/>
      <c r="D229" s="1210"/>
      <c r="E229" s="618">
        <v>15</v>
      </c>
      <c r="F229" s="3" t="str" cm="1">
        <f t="array" aca="1" ref="F229" ca="1">OFFSET(E229,-1,1)</f>
        <v>2</v>
      </c>
      <c r="G229" s="501" t="s">
        <v>1119</v>
      </c>
      <c r="H229" s="1210"/>
      <c r="I229" s="511" t="s">
        <v>1754</v>
      </c>
      <c r="J229" s="511"/>
      <c r="K229" s="511"/>
      <c r="L229" s="511"/>
      <c r="M229" s="511"/>
      <c r="N229" s="511"/>
      <c r="O229" s="511"/>
      <c r="P229" s="511"/>
      <c r="Q229" s="511"/>
      <c r="R229" s="511"/>
      <c r="S229" s="511"/>
      <c r="T229" s="388" t="b" cm="1">
        <f t="array" aca="1" ref="T229" ca="1">T228</f>
        <v>1</v>
      </c>
      <c r="U229" s="1210"/>
      <c r="V229" s="1210"/>
      <c r="W229" s="1210"/>
      <c r="X229" s="2120"/>
      <c r="Y229" s="1210"/>
      <c r="Z229" s="2121"/>
      <c r="AA229" s="1210"/>
      <c r="AB229" s="727" t="s">
        <v>526</v>
      </c>
      <c r="AC229" s="728" t="s">
        <v>1755</v>
      </c>
      <c r="AD229" s="733" t="s">
        <v>831</v>
      </c>
      <c r="AE229" s="722">
        <f ca="1">SUMIFS(ФОТ!AE$25:AE$138,ФОТ!$F$25:$F$138,$F229,ФОТ!$G$25:$G$138,$G229)</f>
        <v>7290.0342256688</v>
      </c>
      <c r="AF229" s="722">
        <f ca="1">SUMIFS(ФОТ!AF$25:AF$138,ФОТ!$F$25:$F$138,$F229,ФОТ!$G$25:$G$138,$G229)</f>
        <v>0</v>
      </c>
      <c r="AG229" s="722">
        <f ca="1">SUMIFS(ФОТ!AG$25:AG$138,ФОТ!$F$25:$F$138,$F229,ФОТ!$G$25:$G$138,$G229)</f>
        <v>0</v>
      </c>
      <c r="AH229" s="722">
        <f t="shared" ca="1" si="15"/>
        <v>0</v>
      </c>
      <c r="AI229" s="722">
        <f ca="1">SUMIFS(ФОТ!AH$25:AH$138,ФОТ!$F$25:$F$138,$F229,ФОТ!$G$25:$G$138,$G229)</f>
        <v>0</v>
      </c>
      <c r="AJ229" s="722">
        <f ca="1">SUMIFS(ФОТ!AI$25:AI$138,ФОТ!$F$25:$F$138,$F229,ФОТ!$G$25:$G$138,$G229)</f>
        <v>0</v>
      </c>
      <c r="AK229" s="722">
        <f ca="1">SUMIFS(ФОТ!AJ$25:AJ$138,ФОТ!$F$25:$F$138,$F229,ФОТ!$G$25:$G$138,$G229)</f>
        <v>0</v>
      </c>
      <c r="AL229" s="722">
        <f t="shared" ca="1" si="16"/>
        <v>0</v>
      </c>
      <c r="AM229" s="723"/>
      <c r="AN229" s="823" t="str">
        <f ca="1">IF(IFERROR(INDEX(ФОТ!$K$26:$L$138,MATCH($F229&amp;"3komm",ФОТ!$K$26:$K$138,0),2),"")=0,"",IFERROR(INDEX(ФОТ!$K$26:$L$138,MATCH($F229&amp;"3komm",ФОТ!$K$26:$K$138,0),2),""))</f>
        <v/>
      </c>
      <c r="AO229" s="723"/>
      <c r="AP229" s="1210"/>
      <c r="AQ229" s="1210"/>
      <c r="AR229" s="971" t="s">
        <v>1756</v>
      </c>
      <c r="AS229" s="971"/>
      <c r="AT229" s="971"/>
      <c r="AU229" s="968"/>
      <c r="AV229" s="968"/>
    </row>
    <row r="230" spans="1:48" s="1334" customFormat="1" ht="21.75" customHeight="1" x14ac:dyDescent="0.25">
      <c r="A230" s="1210"/>
      <c r="B230" s="1210"/>
      <c r="C230" s="1210"/>
      <c r="D230" s="1210"/>
      <c r="E230" s="618">
        <v>22.5</v>
      </c>
      <c r="F230" s="3" t="str" cm="1">
        <f t="array" aca="1" ref="F230" ca="1">OFFSET(E230,-1,1)</f>
        <v>2</v>
      </c>
      <c r="G230" s="501" t="s">
        <v>1124</v>
      </c>
      <c r="H230" s="1210"/>
      <c r="I230" s="511" t="s">
        <v>1757</v>
      </c>
      <c r="J230" s="511"/>
      <c r="K230" s="511"/>
      <c r="L230" s="511"/>
      <c r="M230" s="511"/>
      <c r="N230" s="511"/>
      <c r="O230" s="511"/>
      <c r="P230" s="511"/>
      <c r="Q230" s="511"/>
      <c r="R230" s="511"/>
      <c r="S230" s="511"/>
      <c r="T230" s="388" t="b" cm="1">
        <f t="array" aca="1" ref="T230" ca="1">T229</f>
        <v>1</v>
      </c>
      <c r="U230" s="1210"/>
      <c r="V230" s="1210"/>
      <c r="W230" s="1210"/>
      <c r="X230" s="2120"/>
      <c r="Y230" s="1210"/>
      <c r="Z230" s="2121"/>
      <c r="AA230" s="1210"/>
      <c r="AB230" s="727" t="s">
        <v>1405</v>
      </c>
      <c r="AC230" s="728" t="s">
        <v>1758</v>
      </c>
      <c r="AD230" s="733" t="s">
        <v>831</v>
      </c>
      <c r="AE230" s="722">
        <f ca="1">SUMIFS(ФОТ!AE$25:AE$138,ФОТ!$F$25:$F$138,$F230,ФОТ!$G$25:$G$138,$G230)</f>
        <v>2201.590336152</v>
      </c>
      <c r="AF230" s="722">
        <f ca="1">SUMIFS(ФОТ!AF$25:AF$138,ФОТ!$F$25:$F$138,$F230,ФОТ!$G$25:$G$138,$G230)</f>
        <v>0</v>
      </c>
      <c r="AG230" s="722">
        <f ca="1">SUMIFS(ФОТ!AG$25:AG$138,ФОТ!$F$25:$F$138,$F230,ФОТ!$G$25:$G$138,$G230)</f>
        <v>0</v>
      </c>
      <c r="AH230" s="722">
        <f t="shared" ca="1" si="15"/>
        <v>0</v>
      </c>
      <c r="AI230" s="722">
        <f ca="1">SUMIFS(ФОТ!AH$25:AH$138,ФОТ!$F$25:$F$138,$F230,ФОТ!$G$25:$G$138,$G230)</f>
        <v>0</v>
      </c>
      <c r="AJ230" s="722">
        <f ca="1">SUMIFS(ФОТ!AI$25:AI$138,ФОТ!$F$25:$F$138,$F230,ФОТ!$G$25:$G$138,$G230)</f>
        <v>0</v>
      </c>
      <c r="AK230" s="722">
        <f ca="1">SUMIFS(ФОТ!AJ$25:AJ$138,ФОТ!$F$25:$F$138,$F230,ФОТ!$G$25:$G$138,$G230)</f>
        <v>0</v>
      </c>
      <c r="AL230" s="722">
        <f t="shared" ca="1" si="16"/>
        <v>0</v>
      </c>
      <c r="AM230" s="723"/>
      <c r="AN230" s="823" t="str">
        <f ca="1">IF(IFERROR(INDEX(ФОТ!$K$26:$L$138,MATCH($F230&amp;"4komm",ФОТ!$K$26:$K$138,0),2),"")=0,"",IFERROR(INDEX(ФОТ!$K$26:$L$138,MATCH($F230&amp;"4komm",ФОТ!$K$26:$K$138,0),2),""))</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AO230" s="723"/>
      <c r="AP230" s="1210"/>
      <c r="AQ230" s="1210"/>
      <c r="AR230" s="971" t="s">
        <v>1759</v>
      </c>
      <c r="AS230" s="971"/>
      <c r="AT230" s="971"/>
      <c r="AU230" s="968"/>
      <c r="AV230" s="968"/>
    </row>
    <row r="231" spans="1:48" s="1501" customFormat="1" ht="14.25" customHeight="1" x14ac:dyDescent="0.25">
      <c r="A231" s="512"/>
      <c r="B231" s="512"/>
      <c r="C231" s="512"/>
      <c r="D231" s="512"/>
      <c r="E231" s="620">
        <v>15</v>
      </c>
      <c r="F231" s="3" t="str" cm="1">
        <f t="array" aca="1" ref="F231" ca="1">OFFSET(E231,-1,1)</f>
        <v>2</v>
      </c>
      <c r="G231" s="512"/>
      <c r="H231" s="512"/>
      <c r="I231" s="621" t="s">
        <v>333</v>
      </c>
      <c r="J231" s="621"/>
      <c r="K231" s="621"/>
      <c r="L231" s="621"/>
      <c r="M231" s="621"/>
      <c r="N231" s="621"/>
      <c r="O231" s="621"/>
      <c r="P231" s="621"/>
      <c r="Q231" s="621"/>
      <c r="R231" s="621"/>
      <c r="S231" s="621"/>
      <c r="T231" s="388" t="b" cm="1">
        <f t="array" aca="1" ref="T231" ca="1">T230</f>
        <v>1</v>
      </c>
      <c r="U231" s="512"/>
      <c r="V231" s="512"/>
      <c r="W231" s="512"/>
      <c r="X231" s="2120"/>
      <c r="Y231" s="512"/>
      <c r="Z231" s="2121"/>
      <c r="AA231" s="512"/>
      <c r="AB231" s="724" t="s">
        <v>329</v>
      </c>
      <c r="AC231" s="720" t="s">
        <v>1760</v>
      </c>
      <c r="AD231" s="731" t="s">
        <v>831</v>
      </c>
      <c r="AE231" s="721">
        <f ca="1">AE232+AE233+AE236+AE237+AE238+AE239+AE240</f>
        <v>11111.801299130901</v>
      </c>
      <c r="AF231" s="721">
        <f ca="1">AF232+AF233+AF236+AF237+AF238+AF239+AF240</f>
        <v>0</v>
      </c>
      <c r="AG231" s="721">
        <f ca="1">AG232+AG233+AG236+AG237+AG238+AG239+AG240</f>
        <v>0</v>
      </c>
      <c r="AH231" s="721">
        <f t="shared" ca="1" si="15"/>
        <v>0</v>
      </c>
      <c r="AI231" s="721">
        <f ca="1">AI232+AI233+AI236+AI237+AI238+AI239+AI240</f>
        <v>0</v>
      </c>
      <c r="AJ231" s="721">
        <f ca="1">AJ232+AJ233+AJ236+AJ237+AJ238+AJ239+AJ240</f>
        <v>0</v>
      </c>
      <c r="AK231" s="721">
        <f ca="1">AK232+AK233+AK236+AK237+AK238+AK239+AK240</f>
        <v>0</v>
      </c>
      <c r="AL231" s="721">
        <f t="shared" ca="1" si="16"/>
        <v>0</v>
      </c>
      <c r="AM231" s="726"/>
      <c r="AN231" s="726"/>
      <c r="AO231" s="726"/>
      <c r="AP231" s="512"/>
      <c r="AQ231" s="512"/>
      <c r="AR231" s="972" t="s">
        <v>1761</v>
      </c>
      <c r="AS231" s="972"/>
      <c r="AT231" s="972"/>
      <c r="AU231" s="620"/>
      <c r="AV231" s="620"/>
    </row>
    <row r="232" spans="1:48" s="1334" customFormat="1" ht="21.75" customHeight="1" x14ac:dyDescent="0.25">
      <c r="A232" s="1210"/>
      <c r="B232" s="1210"/>
      <c r="C232" s="1210"/>
      <c r="D232" s="1210"/>
      <c r="E232" s="618">
        <v>22.5</v>
      </c>
      <c r="F232" s="3" t="str" cm="1">
        <f t="array" aca="1" ref="F232" ca="1">OFFSET(E232,-1,1)</f>
        <v>2</v>
      </c>
      <c r="G232" s="501" t="s">
        <v>1155</v>
      </c>
      <c r="H232" s="1210"/>
      <c r="I232" s="511" t="s">
        <v>940</v>
      </c>
      <c r="J232" s="511"/>
      <c r="K232" s="511"/>
      <c r="L232" s="511"/>
      <c r="M232" s="511"/>
      <c r="N232" s="511"/>
      <c r="O232" s="511"/>
      <c r="P232" s="511"/>
      <c r="Q232" s="511"/>
      <c r="R232" s="511"/>
      <c r="S232" s="511"/>
      <c r="T232" s="388" t="b" cm="1">
        <f t="array" aca="1" ref="T232" ca="1">T231</f>
        <v>1</v>
      </c>
      <c r="U232" s="1210"/>
      <c r="V232" s="1210"/>
      <c r="W232" s="1210"/>
      <c r="X232" s="2120"/>
      <c r="Y232" s="1210"/>
      <c r="Z232" s="2121"/>
      <c r="AA232" s="1210"/>
      <c r="AB232" s="727" t="s">
        <v>580</v>
      </c>
      <c r="AC232" s="732" t="s">
        <v>1762</v>
      </c>
      <c r="AD232" s="733" t="s">
        <v>831</v>
      </c>
      <c r="AE232" s="177">
        <f ca="1">SUMIFS(Административные!AE$25:AE$84,Административные!$F$25:$F$84,$F232,Административные!$G$25:$G$84,$G232)</f>
        <v>0</v>
      </c>
      <c r="AF232" s="177">
        <f ca="1">SUMIFS(Административные!AF$25:AF$84,Административные!$F$25:$F$84,$F232,Административные!$G$25:$G$84,$G232)</f>
        <v>0</v>
      </c>
      <c r="AG232" s="177">
        <f ca="1">SUMIFS(Административные!AG$25:AG$84,Административные!$F$25:$F$84,$F232,Административные!$G$25:$G$84,$G232)</f>
        <v>0</v>
      </c>
      <c r="AH232" s="722">
        <f t="shared" ca="1" si="15"/>
        <v>0</v>
      </c>
      <c r="AI232" s="177">
        <f ca="1">SUMIFS(Административные!AH$25:AH$84,Административные!$F$25:$F$84,$F232,Административные!$G$25:$G$84,$G232)</f>
        <v>0</v>
      </c>
      <c r="AJ232" s="177">
        <f ca="1">SUMIFS(Административные!AI$25:AI$84,Административные!$F$25:$F$84,$F232,Административные!$G$25:$G$84,$G232)</f>
        <v>0</v>
      </c>
      <c r="AK232" s="177">
        <f ca="1">SUMIFS(Административные!AJ$25:AJ$84,Административные!$F$25:$F$84,$F232,Административные!$G$25:$G$84,$G232)</f>
        <v>0</v>
      </c>
      <c r="AL232" s="722">
        <f t="shared" ca="1" si="16"/>
        <v>0</v>
      </c>
      <c r="AM232" s="723"/>
      <c r="AN232" s="823" t="str">
        <f ca="1">IF(IFERROR(INDEX(Административные!$K$26:$L$84,MATCH($F232&amp;"17komm",Административные!$K$26:$K$84,0),2),"")=0,"",IFERROR(INDEX(Административные!$K$26:$L$84,MATCH($F232&amp;"17komm",Административные!$K$26:$K$84,0),2),""))</f>
        <v/>
      </c>
      <c r="AO232" s="723"/>
      <c r="AP232" s="1210"/>
      <c r="AQ232" s="1210"/>
      <c r="AR232" s="971" t="s">
        <v>1157</v>
      </c>
      <c r="AS232" s="971"/>
      <c r="AT232" s="971"/>
      <c r="AU232" s="968"/>
      <c r="AV232" s="968"/>
    </row>
    <row r="233" spans="1:48" s="1334" customFormat="1" ht="32.25" customHeight="1" x14ac:dyDescent="0.25">
      <c r="A233" s="1210"/>
      <c r="B233" s="1210"/>
      <c r="C233" s="1210"/>
      <c r="D233" s="1210"/>
      <c r="E233" s="618">
        <v>33.75</v>
      </c>
      <c r="F233" s="3" t="str" cm="1">
        <f t="array" aca="1" ref="F233" ca="1">OFFSET(E233,-1,1)</f>
        <v>2</v>
      </c>
      <c r="G233" s="1210"/>
      <c r="H233" s="1210"/>
      <c r="I233" s="511" t="s">
        <v>942</v>
      </c>
      <c r="J233" s="511"/>
      <c r="K233" s="511"/>
      <c r="L233" s="511"/>
      <c r="M233" s="511"/>
      <c r="N233" s="511"/>
      <c r="O233" s="511"/>
      <c r="P233" s="511"/>
      <c r="Q233" s="511"/>
      <c r="R233" s="511"/>
      <c r="S233" s="511"/>
      <c r="T233" s="388" t="b" cm="1">
        <f t="array" aca="1" ref="T233" ca="1">T232</f>
        <v>1</v>
      </c>
      <c r="U233" s="1210"/>
      <c r="V233" s="1210"/>
      <c r="W233" s="1210"/>
      <c r="X233" s="2120"/>
      <c r="Y233" s="1210"/>
      <c r="Z233" s="2121"/>
      <c r="AA233" s="1210"/>
      <c r="AB233" s="727" t="s">
        <v>584</v>
      </c>
      <c r="AC233" s="732" t="s">
        <v>1763</v>
      </c>
      <c r="AD233" s="733" t="s">
        <v>831</v>
      </c>
      <c r="AE233" s="722">
        <f ca="1">AE234+AE235</f>
        <v>10308.3601568909</v>
      </c>
      <c r="AF233" s="722">
        <f ca="1">AF234+AF235</f>
        <v>0</v>
      </c>
      <c r="AG233" s="722">
        <f ca="1">AG234+AG235</f>
        <v>0</v>
      </c>
      <c r="AH233" s="722">
        <f t="shared" ca="1" si="15"/>
        <v>0</v>
      </c>
      <c r="AI233" s="722">
        <f ca="1">AI234+AI235</f>
        <v>0</v>
      </c>
      <c r="AJ233" s="722">
        <f ca="1">AJ234+AJ235</f>
        <v>0</v>
      </c>
      <c r="AK233" s="722">
        <f ca="1">AK234+AK235</f>
        <v>0</v>
      </c>
      <c r="AL233" s="722">
        <f t="shared" ca="1" si="16"/>
        <v>0</v>
      </c>
      <c r="AM233" s="723"/>
      <c r="AN233" s="723"/>
      <c r="AO233" s="723"/>
      <c r="AP233" s="1210"/>
      <c r="AQ233" s="1210"/>
      <c r="AR233" s="971" t="s">
        <v>1764</v>
      </c>
      <c r="AS233" s="971"/>
      <c r="AT233" s="971"/>
      <c r="AU233" s="968"/>
      <c r="AV233" s="968"/>
    </row>
    <row r="234" spans="1:48" s="1334" customFormat="1" ht="21.75" customHeight="1" x14ac:dyDescent="0.25">
      <c r="A234" s="1210"/>
      <c r="B234" s="1210"/>
      <c r="C234" s="1210"/>
      <c r="D234" s="1210"/>
      <c r="E234" s="618">
        <v>22.5</v>
      </c>
      <c r="F234" s="3" t="str" cm="1">
        <f t="array" aca="1" ref="F234" ca="1">OFFSET(E234,-1,1)</f>
        <v>2</v>
      </c>
      <c r="G234" s="1140" t="s">
        <v>1127</v>
      </c>
      <c r="H234" s="1210"/>
      <c r="I234" s="511" t="s">
        <v>530</v>
      </c>
      <c r="J234" s="511"/>
      <c r="K234" s="511"/>
      <c r="L234" s="511"/>
      <c r="M234" s="511"/>
      <c r="N234" s="511"/>
      <c r="O234" s="511"/>
      <c r="P234" s="511"/>
      <c r="Q234" s="511"/>
      <c r="R234" s="511"/>
      <c r="S234" s="511"/>
      <c r="T234" s="388" t="b" cm="1">
        <f t="array" aca="1" ref="T234" ca="1">T233</f>
        <v>1</v>
      </c>
      <c r="U234" s="1210"/>
      <c r="V234" s="1210"/>
      <c r="W234" s="1210"/>
      <c r="X234" s="2120"/>
      <c r="Y234" s="1210"/>
      <c r="Z234" s="2121"/>
      <c r="AA234" s="1210"/>
      <c r="AB234" s="727" t="s">
        <v>790</v>
      </c>
      <c r="AC234" s="728" t="s">
        <v>1765</v>
      </c>
      <c r="AD234" s="733" t="s">
        <v>831</v>
      </c>
      <c r="AE234" s="722">
        <f ca="1">SUMIFS(ФОТ!AE$25:AE$138,ФОТ!$F$25:$F$138,$F234,ФОТ!$G$25:$G$138,$G234)</f>
        <v>7917.3273094400001</v>
      </c>
      <c r="AF234" s="722">
        <f ca="1">SUMIFS(ФОТ!AF$25:AF$138,ФОТ!$F$25:$F$138,$F234,ФОТ!$G$25:$G$138,$G234)</f>
        <v>0</v>
      </c>
      <c r="AG234" s="722">
        <f ca="1">SUMIFS(ФОТ!AG$25:AG$138,ФОТ!$F$25:$F$138,$F234,ФОТ!$G$25:$G$138,$G234)</f>
        <v>0</v>
      </c>
      <c r="AH234" s="722">
        <f t="shared" ca="1" si="15"/>
        <v>0</v>
      </c>
      <c r="AI234" s="722">
        <f ca="1">SUMIFS(ФОТ!AH$25:AH$138,ФОТ!$F$25:$F$138,$F234,ФОТ!$G$25:$G$138,$G234)</f>
        <v>0</v>
      </c>
      <c r="AJ234" s="722">
        <f ca="1">SUMIFS(ФОТ!AI$25:AI$138,ФОТ!$F$25:$F$138,$F234,ФОТ!$G$25:$G$138,$G234)</f>
        <v>0</v>
      </c>
      <c r="AK234" s="722">
        <f ca="1">SUMIFS(ФОТ!AJ$25:AJ$138,ФОТ!$F$25:$F$138,$F234,ФОТ!$G$25:$G$138,$G234)</f>
        <v>0</v>
      </c>
      <c r="AL234" s="722">
        <f t="shared" ca="1" si="16"/>
        <v>0</v>
      </c>
      <c r="AM234" s="723"/>
      <c r="AN234" s="823" t="str">
        <f ca="1">IF(IFERROR(INDEX(ФОТ!$K$26:$L$138,MATCH($F234&amp;"5komm",ФОТ!$K$26:$K$138,0),2),"")=0,"",IFERROR(INDEX(ФОТ!$K$26:$L$138,MATCH($F234&amp;"5komm",ФОТ!$K$26:$K$138,0),2),""))</f>
        <v/>
      </c>
      <c r="AO234" s="723"/>
      <c r="AP234" s="1210"/>
      <c r="AQ234" s="1210"/>
      <c r="AR234" s="971" t="s">
        <v>1154</v>
      </c>
      <c r="AS234" s="971"/>
      <c r="AT234" s="971"/>
      <c r="AU234" s="968"/>
      <c r="AV234" s="968"/>
    </row>
    <row r="235" spans="1:48" s="1334" customFormat="1" ht="32.25" customHeight="1" x14ac:dyDescent="0.25">
      <c r="A235" s="1210"/>
      <c r="B235" s="1210"/>
      <c r="C235" s="1210"/>
      <c r="D235" s="1210"/>
      <c r="E235" s="618">
        <v>33.75</v>
      </c>
      <c r="F235" s="3" t="str" cm="1">
        <f t="array" aca="1" ref="F235" ca="1">OFFSET(E235,-1,1)</f>
        <v>2</v>
      </c>
      <c r="G235" s="421" t="s">
        <v>1132</v>
      </c>
      <c r="H235" s="1210"/>
      <c r="I235" s="511" t="s">
        <v>535</v>
      </c>
      <c r="J235" s="511"/>
      <c r="K235" s="511"/>
      <c r="L235" s="511"/>
      <c r="M235" s="511"/>
      <c r="N235" s="511"/>
      <c r="O235" s="511"/>
      <c r="P235" s="511"/>
      <c r="Q235" s="511"/>
      <c r="R235" s="511"/>
      <c r="S235" s="511"/>
      <c r="T235" s="388" t="b" cm="1">
        <f t="array" aca="1" ref="T235" ca="1">T234</f>
        <v>1</v>
      </c>
      <c r="U235" s="1210"/>
      <c r="V235" s="1210"/>
      <c r="W235" s="1210"/>
      <c r="X235" s="2120"/>
      <c r="Y235" s="1210"/>
      <c r="Z235" s="2121"/>
      <c r="AA235" s="1210"/>
      <c r="AB235" s="727" t="s">
        <v>793</v>
      </c>
      <c r="AC235" s="728" t="s">
        <v>1766</v>
      </c>
      <c r="AD235" s="733" t="s">
        <v>831</v>
      </c>
      <c r="AE235" s="722">
        <f ca="1">SUMIFS(ФОТ!AE$25:AE$138,ФОТ!$F$25:$F$138,$F235,ФОТ!$G$25:$G$138,$G235)</f>
        <v>2391.0328474509001</v>
      </c>
      <c r="AF235" s="722">
        <f ca="1">SUMIFS(ФОТ!AF$25:AF$138,ФОТ!$F$25:$F$138,$F235,ФОТ!$G$25:$G$138,$G235)</f>
        <v>0</v>
      </c>
      <c r="AG235" s="722">
        <f ca="1">SUMIFS(ФОТ!AG$25:AG$138,ФОТ!$F$25:$F$138,$F235,ФОТ!$G$25:$G$138,$G235)</f>
        <v>0</v>
      </c>
      <c r="AH235" s="722">
        <f t="shared" ca="1" si="15"/>
        <v>0</v>
      </c>
      <c r="AI235" s="722">
        <f ca="1">SUMIFS(ФОТ!AH$25:AH$138,ФОТ!$F$25:$F$138,$F235,ФОТ!$G$25:$G$138,$G235)</f>
        <v>0</v>
      </c>
      <c r="AJ235" s="722">
        <f ca="1">SUMIFS(ФОТ!AI$25:AI$138,ФОТ!$F$25:$F$138,$F235,ФОТ!$G$25:$G$138,$G235)</f>
        <v>0</v>
      </c>
      <c r="AK235" s="722">
        <f ca="1">SUMIFS(ФОТ!AJ$25:AJ$138,ФОТ!$F$25:$F$138,$F235,ФОТ!$G$25:$G$138,$G235)</f>
        <v>0</v>
      </c>
      <c r="AL235" s="722">
        <f t="shared" ca="1" si="16"/>
        <v>0</v>
      </c>
      <c r="AM235" s="723"/>
      <c r="AN235" s="823" t="str">
        <f ca="1">IF(IFERROR(INDEX(ФОТ!$K$26:$L$138,MATCH($F235&amp;"6komm",ФОТ!$K$26:$K$138,0),2),"")=0,"",IFERROR(INDEX(ФОТ!$K$26:$L$138,MATCH($F235&amp;"6komm",ФОТ!$K$26:$K$138,0),2),""))</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AO235" s="723"/>
      <c r="AP235" s="1210"/>
      <c r="AQ235" s="1210"/>
      <c r="AR235" s="971" t="s">
        <v>1767</v>
      </c>
      <c r="AS235" s="971"/>
      <c r="AT235" s="971"/>
      <c r="AU235" s="968"/>
      <c r="AV235" s="968"/>
    </row>
    <row r="236" spans="1:48" s="1334" customFormat="1" ht="32.25" customHeight="1" x14ac:dyDescent="0.25">
      <c r="A236" s="1210"/>
      <c r="B236" s="1210"/>
      <c r="C236" s="1210"/>
      <c r="D236" s="1210"/>
      <c r="E236" s="618">
        <v>33.75</v>
      </c>
      <c r="F236" s="3" t="str" cm="1">
        <f t="array" aca="1" ref="F236" ca="1">OFFSET(E236,-1,1)</f>
        <v>2</v>
      </c>
      <c r="G236" s="501" t="s">
        <v>1183</v>
      </c>
      <c r="H236" s="1210"/>
      <c r="I236" s="511" t="s">
        <v>944</v>
      </c>
      <c r="J236" s="511"/>
      <c r="K236" s="511"/>
      <c r="L236" s="511"/>
      <c r="M236" s="511"/>
      <c r="N236" s="511"/>
      <c r="O236" s="511"/>
      <c r="P236" s="511"/>
      <c r="Q236" s="511"/>
      <c r="R236" s="511"/>
      <c r="S236" s="511"/>
      <c r="T236" s="388" t="b" cm="1">
        <f t="array" aca="1" ref="T236" ca="1">T235</f>
        <v>1</v>
      </c>
      <c r="U236" s="1210"/>
      <c r="V236" s="1210"/>
      <c r="W236" s="1210"/>
      <c r="X236" s="2120"/>
      <c r="Y236" s="1210"/>
      <c r="Z236" s="2121"/>
      <c r="AA236" s="1210"/>
      <c r="AB236" s="727" t="s">
        <v>796</v>
      </c>
      <c r="AC236" s="732" t="s">
        <v>1768</v>
      </c>
      <c r="AD236" s="733" t="s">
        <v>831</v>
      </c>
      <c r="AE236" s="722">
        <f ca="1">SUMIFS(Административные!AE$25:AE$84,Административные!$F$25:$F$84,$F236,Административные!$G$25:$G$84,$G236)</f>
        <v>0</v>
      </c>
      <c r="AF236" s="722">
        <f ca="1">SUMIFS(Административные!AF$25:AF$84,Административные!$F$25:$F$84,$F236,Административные!$G$25:$G$84,$G236)</f>
        <v>0</v>
      </c>
      <c r="AG236" s="722">
        <f ca="1">SUMIFS(Административные!AG$25:AG$84,Административные!$F$25:$F$84,$F236,Административные!$G$25:$G$84,$G236)</f>
        <v>0</v>
      </c>
      <c r="AH236" s="722">
        <f t="shared" ca="1" si="15"/>
        <v>0</v>
      </c>
      <c r="AI236" s="722">
        <f ca="1">SUMIFS(Административные!AH$25:AH$84,Административные!$F$25:$F$84,$F236,Административные!$G$25:$G$84,$G236)</f>
        <v>0</v>
      </c>
      <c r="AJ236" s="722">
        <f ca="1">SUMIFS(Административные!AI$25:AI$84,Административные!$F$25:$F$84,$F236,Административные!$G$25:$G$84,$G236)</f>
        <v>0</v>
      </c>
      <c r="AK236" s="722">
        <f ca="1">SUMIFS(Административные!AJ$25:AJ$84,Административные!$F$25:$F$84,$F236,Административные!$G$25:$G$84,$G236)</f>
        <v>0</v>
      </c>
      <c r="AL236" s="722">
        <f t="shared" ca="1" si="16"/>
        <v>0</v>
      </c>
      <c r="AM236" s="723"/>
      <c r="AN236" s="823" t="str">
        <f ca="1">IF(IFERROR(INDEX(Административные!$K$26:$L$84,MATCH($F236&amp;"2komm",Административные!$K$26:$K$84,0),2),"")=0,"",IFERROR(INDEX(Административные!$K$26:$L$84,MATCH($F236&amp;"2komm",Административные!$K$26:$K$84,0),2),""))</f>
        <v/>
      </c>
      <c r="AO236" s="723"/>
      <c r="AP236" s="1210"/>
      <c r="AQ236" s="1210"/>
      <c r="AR236" s="971" t="s">
        <v>1185</v>
      </c>
      <c r="AS236" s="971"/>
      <c r="AT236" s="971"/>
      <c r="AU236" s="968"/>
      <c r="AV236" s="968"/>
    </row>
    <row r="237" spans="1:48" s="1334" customFormat="1" ht="14.25" customHeight="1" x14ac:dyDescent="0.25">
      <c r="A237" s="1210"/>
      <c r="B237" s="1210"/>
      <c r="C237" s="1210"/>
      <c r="D237" s="1210"/>
      <c r="E237" s="618">
        <v>15</v>
      </c>
      <c r="F237" s="3" t="str" cm="1">
        <f t="array" aca="1" ref="F237" ca="1">OFFSET(E237,-1,1)</f>
        <v>2</v>
      </c>
      <c r="G237" s="501" t="s">
        <v>1186</v>
      </c>
      <c r="H237" s="1210"/>
      <c r="I237" s="511" t="s">
        <v>946</v>
      </c>
      <c r="J237" s="511"/>
      <c r="K237" s="511"/>
      <c r="L237" s="511"/>
      <c r="M237" s="511"/>
      <c r="N237" s="511"/>
      <c r="O237" s="511"/>
      <c r="P237" s="511"/>
      <c r="Q237" s="511"/>
      <c r="R237" s="511"/>
      <c r="S237" s="511"/>
      <c r="T237" s="388" t="b" cm="1">
        <f t="array" aca="1" ref="T237" ca="1">T236</f>
        <v>1</v>
      </c>
      <c r="U237" s="1210"/>
      <c r="V237" s="1210"/>
      <c r="W237" s="1210"/>
      <c r="X237" s="2120"/>
      <c r="Y237" s="1210"/>
      <c r="Z237" s="2121"/>
      <c r="AA237" s="1210"/>
      <c r="AB237" s="727" t="s">
        <v>947</v>
      </c>
      <c r="AC237" s="732" t="s">
        <v>1187</v>
      </c>
      <c r="AD237" s="733" t="s">
        <v>831</v>
      </c>
      <c r="AE237" s="722">
        <f ca="1">SUMIFS(Административные!AE$25:AE$84,Административные!$F$25:$F$84,$F237,Административные!$G$25:$G$84,$G237)</f>
        <v>0</v>
      </c>
      <c r="AF237" s="722">
        <f ca="1">SUMIFS(Административные!AF$25:AF$84,Административные!$F$25:$F$84,$F237,Административные!$G$25:$G$84,$G237)</f>
        <v>0</v>
      </c>
      <c r="AG237" s="722">
        <f ca="1">SUMIFS(Административные!AG$25:AG$84,Административные!$F$25:$F$84,$F237,Административные!$G$25:$G$84,$G237)</f>
        <v>0</v>
      </c>
      <c r="AH237" s="722">
        <f t="shared" ca="1" si="15"/>
        <v>0</v>
      </c>
      <c r="AI237" s="722">
        <f ca="1">SUMIFS(Административные!AH$25:AH$84,Административные!$F$25:$F$84,$F237,Административные!$G$25:$G$84,$G237)</f>
        <v>0</v>
      </c>
      <c r="AJ237" s="722">
        <f ca="1">SUMIFS(Административные!AI$25:AI$84,Административные!$F$25:$F$84,$F237,Административные!$G$25:$G$84,$G237)</f>
        <v>0</v>
      </c>
      <c r="AK237" s="722">
        <f ca="1">SUMIFS(Административные!AJ$25:AJ$84,Административные!$F$25:$F$84,$F237,Административные!$G$25:$G$84,$G237)</f>
        <v>0</v>
      </c>
      <c r="AL237" s="722">
        <f t="shared" ca="1" si="16"/>
        <v>0</v>
      </c>
      <c r="AM237" s="723"/>
      <c r="AN237" s="823" t="str">
        <f ca="1">IF(IFERROR(INDEX(Административные!$K$26:$L$84,MATCH($F237&amp;"3komm",Административные!$K$26:$K$84,0),2),"")=0,"",IFERROR(INDEX(Административные!$K$26:$L$84,MATCH($F237&amp;"3komm",Административные!$K$26:$K$84,0),2),""))</f>
        <v/>
      </c>
      <c r="AO237" s="723"/>
      <c r="AP237" s="1210"/>
      <c r="AQ237" s="1210"/>
      <c r="AR237" s="971" t="s">
        <v>1188</v>
      </c>
      <c r="AS237" s="971"/>
      <c r="AT237" s="971"/>
      <c r="AU237" s="968"/>
      <c r="AV237" s="968"/>
    </row>
    <row r="238" spans="1:48" s="1334" customFormat="1" ht="14.25" customHeight="1" x14ac:dyDescent="0.25">
      <c r="A238" s="1210"/>
      <c r="B238" s="1210"/>
      <c r="C238" s="1210"/>
      <c r="D238" s="1210"/>
      <c r="E238" s="618">
        <v>15</v>
      </c>
      <c r="F238" s="3" t="str" cm="1">
        <f t="array" aca="1" ref="F238" ca="1">OFFSET(E238,-1,1)</f>
        <v>2</v>
      </c>
      <c r="G238" s="501" t="s">
        <v>1189</v>
      </c>
      <c r="H238" s="1210"/>
      <c r="I238" s="511" t="s">
        <v>949</v>
      </c>
      <c r="J238" s="511"/>
      <c r="K238" s="511"/>
      <c r="L238" s="511"/>
      <c r="M238" s="511"/>
      <c r="N238" s="511"/>
      <c r="O238" s="511"/>
      <c r="P238" s="511"/>
      <c r="Q238" s="511"/>
      <c r="R238" s="511"/>
      <c r="S238" s="511"/>
      <c r="T238" s="388" t="b" cm="1">
        <f t="array" aca="1" ref="T238" ca="1">T237</f>
        <v>1</v>
      </c>
      <c r="U238" s="1210"/>
      <c r="V238" s="1210"/>
      <c r="W238" s="1210"/>
      <c r="X238" s="2120"/>
      <c r="Y238" s="1210"/>
      <c r="Z238" s="2121"/>
      <c r="AA238" s="1210"/>
      <c r="AB238" s="727" t="s">
        <v>950</v>
      </c>
      <c r="AC238" s="732" t="s">
        <v>1190</v>
      </c>
      <c r="AD238" s="733" t="s">
        <v>831</v>
      </c>
      <c r="AE238" s="722">
        <f ca="1">SUMIFS(Административные!AE$25:AE$84,Административные!$F$25:$F$84,$F238,Административные!$G$25:$G$84,$G238)</f>
        <v>0</v>
      </c>
      <c r="AF238" s="722">
        <f ca="1">SUMIFS(Административные!AF$25:AF$84,Административные!$F$25:$F$84,$F238,Административные!$G$25:$G$84,$G238)</f>
        <v>0</v>
      </c>
      <c r="AG238" s="722">
        <f ca="1">SUMIFS(Административные!AG$25:AG$84,Административные!$F$25:$F$84,$F238,Административные!$G$25:$G$84,$G238)</f>
        <v>0</v>
      </c>
      <c r="AH238" s="722">
        <f t="shared" ca="1" si="15"/>
        <v>0</v>
      </c>
      <c r="AI238" s="722">
        <f ca="1">SUMIFS(Административные!AH$25:AH$84,Административные!$F$25:$F$84,$F238,Административные!$G$25:$G$84,$G238)</f>
        <v>0</v>
      </c>
      <c r="AJ238" s="722">
        <f ca="1">SUMIFS(Административные!AI$25:AI$84,Административные!$F$25:$F$84,$F238,Административные!$G$25:$G$84,$G238)</f>
        <v>0</v>
      </c>
      <c r="AK238" s="722">
        <f ca="1">SUMIFS(Административные!AJ$25:AJ$84,Административные!$F$25:$F$84,$F238,Административные!$G$25:$G$84,$G238)</f>
        <v>0</v>
      </c>
      <c r="AL238" s="722">
        <f t="shared" ca="1" si="16"/>
        <v>0</v>
      </c>
      <c r="AM238" s="723"/>
      <c r="AN238" s="823" t="str">
        <f ca="1">IF(IFERROR(INDEX(Административные!$K$26:$L$84,MATCH($F238&amp;"4komm",Административные!$K$26:$K$84,0),2),"")=0,"",IFERROR(INDEX(Административные!$K$26:$L$84,MATCH($F238&amp;"4komm",Административные!$K$26:$K$84,0),2),""))</f>
        <v/>
      </c>
      <c r="AO238" s="723"/>
      <c r="AP238" s="1210"/>
      <c r="AQ238" s="1210"/>
      <c r="AR238" s="971" t="s">
        <v>1191</v>
      </c>
      <c r="AS238" s="971"/>
      <c r="AT238" s="971"/>
      <c r="AU238" s="968"/>
      <c r="AV238" s="968"/>
    </row>
    <row r="239" spans="1:48" s="1334" customFormat="1" ht="14.25" customHeight="1" x14ac:dyDescent="0.25">
      <c r="A239" s="1210"/>
      <c r="B239" s="1210"/>
      <c r="C239" s="1210"/>
      <c r="D239" s="1210"/>
      <c r="E239" s="618">
        <v>15</v>
      </c>
      <c r="F239" s="3" t="str" cm="1">
        <f t="array" aca="1" ref="F239" ca="1">OFFSET(E239,-1,1)</f>
        <v>2</v>
      </c>
      <c r="G239" s="501" t="s">
        <v>1192</v>
      </c>
      <c r="H239" s="1210"/>
      <c r="I239" s="511" t="s">
        <v>1174</v>
      </c>
      <c r="J239" s="511"/>
      <c r="K239" s="511"/>
      <c r="L239" s="511"/>
      <c r="M239" s="511"/>
      <c r="N239" s="511"/>
      <c r="O239" s="511"/>
      <c r="P239" s="511"/>
      <c r="Q239" s="511"/>
      <c r="R239" s="511"/>
      <c r="S239" s="511"/>
      <c r="T239" s="388" t="b" cm="1">
        <f t="array" aca="1" ref="T239" ca="1">T238</f>
        <v>1</v>
      </c>
      <c r="U239" s="1210"/>
      <c r="V239" s="1210"/>
      <c r="W239" s="1210"/>
      <c r="X239" s="2120"/>
      <c r="Y239" s="1210"/>
      <c r="Z239" s="2121"/>
      <c r="AA239" s="1210"/>
      <c r="AB239" s="727" t="s">
        <v>1175</v>
      </c>
      <c r="AC239" s="732" t="s">
        <v>1193</v>
      </c>
      <c r="AD239" s="733" t="s">
        <v>831</v>
      </c>
      <c r="AE239" s="722">
        <f ca="1">SUMIFS(Административные!AE$25:AE$84,Административные!$F$25:$F$84,$F239,Административные!$G$25:$G$84,$G239)</f>
        <v>0</v>
      </c>
      <c r="AF239" s="722">
        <f ca="1">SUMIFS(Административные!AF$25:AF$84,Административные!$F$25:$F$84,$F239,Административные!$G$25:$G$84,$G239)</f>
        <v>0</v>
      </c>
      <c r="AG239" s="722">
        <f ca="1">SUMIFS(Административные!AG$25:AG$84,Административные!$F$25:$F$84,$F239,Административные!$G$25:$G$84,$G239)</f>
        <v>0</v>
      </c>
      <c r="AH239" s="722">
        <f t="shared" ca="1" si="15"/>
        <v>0</v>
      </c>
      <c r="AI239" s="722">
        <f ca="1">SUMIFS(Административные!AH$25:AH$84,Административные!$F$25:$F$84,$F239,Административные!$G$25:$G$84,$G239)</f>
        <v>0</v>
      </c>
      <c r="AJ239" s="722">
        <f ca="1">SUMIFS(Административные!AI$25:AI$84,Административные!$F$25:$F$84,$F239,Административные!$G$25:$G$84,$G239)</f>
        <v>0</v>
      </c>
      <c r="AK239" s="722">
        <f ca="1">SUMIFS(Административные!AJ$25:AJ$84,Административные!$F$25:$F$84,$F239,Административные!$G$25:$G$84,$G239)</f>
        <v>0</v>
      </c>
      <c r="AL239" s="722">
        <f t="shared" ca="1" si="16"/>
        <v>0</v>
      </c>
      <c r="AM239" s="723"/>
      <c r="AN239" s="823" t="str">
        <f ca="1">IF(IFERROR(INDEX(Административные!$K$26:$L$84,MATCH($F235&amp;"5komm",Административные!$K$26:$K$84,0),2),"")=0,"",IFERROR(INDEX(Административные!$K$26:$L$84,MATCH($F235&amp;"5komm",Административные!$K$26:$K$84,0),2),""))</f>
        <v/>
      </c>
      <c r="AO239" s="723"/>
      <c r="AP239" s="1210"/>
      <c r="AQ239" s="1210"/>
      <c r="AR239" s="971" t="s">
        <v>1769</v>
      </c>
      <c r="AS239" s="971"/>
      <c r="AT239" s="971"/>
      <c r="AU239" s="968"/>
      <c r="AV239" s="968"/>
    </row>
    <row r="240" spans="1:48" s="1334" customFormat="1" ht="14.25" customHeight="1" x14ac:dyDescent="0.25">
      <c r="A240" s="1210"/>
      <c r="B240" s="1210"/>
      <c r="C240" s="1210"/>
      <c r="D240" s="1210"/>
      <c r="E240" s="618">
        <v>15</v>
      </c>
      <c r="F240" s="3" t="str" cm="1">
        <f t="array" aca="1" ref="F240" ca="1">OFFSET(E240,-1,1)</f>
        <v>2</v>
      </c>
      <c r="G240" s="501" t="s">
        <v>1195</v>
      </c>
      <c r="H240" s="1210"/>
      <c r="I240" s="511" t="s">
        <v>1179</v>
      </c>
      <c r="J240" s="511"/>
      <c r="K240" s="511"/>
      <c r="L240" s="511"/>
      <c r="M240" s="511"/>
      <c r="N240" s="511"/>
      <c r="O240" s="511"/>
      <c r="P240" s="511"/>
      <c r="Q240" s="511"/>
      <c r="R240" s="511"/>
      <c r="S240" s="511"/>
      <c r="T240" s="388" t="b" cm="1">
        <f t="array" aca="1" ref="T240" ca="1">T239</f>
        <v>1</v>
      </c>
      <c r="U240" s="1210"/>
      <c r="V240" s="1210"/>
      <c r="W240" s="1210"/>
      <c r="X240" s="2120"/>
      <c r="Y240" s="1210"/>
      <c r="Z240" s="2121"/>
      <c r="AA240" s="1210"/>
      <c r="AB240" s="727" t="s">
        <v>1180</v>
      </c>
      <c r="AC240" s="732" t="s">
        <v>1770</v>
      </c>
      <c r="AD240" s="733" t="s">
        <v>831</v>
      </c>
      <c r="AE240" s="722">
        <f ca="1">SUMIFS(Административные!AE$25:AE$84,Административные!$F$25:$F$84,$F240,Административные!$G$25:$G$84,$G240)</f>
        <v>803.44114223999998</v>
      </c>
      <c r="AF240" s="722">
        <f ca="1">SUMIFS(Административные!AF$25:AF$84,Административные!$F$25:$F$84,$F240,Административные!$G$25:$G$84,$G240)</f>
        <v>0</v>
      </c>
      <c r="AG240" s="722">
        <f ca="1">SUMIFS(Административные!AG$25:AG$84,Административные!$F$25:$F$84,$F240,Административные!$G$25:$G$84,$G240)</f>
        <v>0</v>
      </c>
      <c r="AH240" s="722">
        <f t="shared" ca="1" si="15"/>
        <v>0</v>
      </c>
      <c r="AI240" s="722">
        <f ca="1">SUMIFS(Административные!AH$25:AH$84,Административные!$F$25:$F$84,$F240,Административные!$G$25:$G$84,$G240)</f>
        <v>0</v>
      </c>
      <c r="AJ240" s="722">
        <f ca="1">SUMIFS(Административные!AI$25:AI$84,Административные!$F$25:$F$84,$F240,Административные!$G$25:$G$84,$G240)</f>
        <v>0</v>
      </c>
      <c r="AK240" s="722">
        <f ca="1">SUMIFS(Административные!AJ$25:AJ$84,Административные!$F$25:$F$84,$F240,Административные!$G$25:$G$84,$G240)</f>
        <v>0</v>
      </c>
      <c r="AL240" s="722">
        <f t="shared" ca="1" si="16"/>
        <v>0</v>
      </c>
      <c r="AM240" s="723"/>
      <c r="AN240" s="823" t="str">
        <f ca="1">IF(IFERROR(INDEX(Административные!$K$26:$L$84,MATCH($F240&amp;"6komm",Административные!$K$26:$K$84,0),2),"")=0,"",IFERROR(INDEX(Административные!$K$26:$L$84,MATCH($F235&amp;"6komm",Административные!$K$26:$K$84,0),2),""))</f>
        <v/>
      </c>
      <c r="AO240" s="723"/>
      <c r="AP240" s="1210"/>
      <c r="AQ240" s="1210"/>
      <c r="AR240" s="971" t="s">
        <v>1771</v>
      </c>
      <c r="AS240" s="971"/>
      <c r="AT240" s="971"/>
      <c r="AU240" s="968"/>
      <c r="AV240" s="968"/>
    </row>
    <row r="241" spans="1:48" s="1334" customFormat="1" ht="14.25" customHeight="1" x14ac:dyDescent="0.25">
      <c r="A241" s="1210"/>
      <c r="B241" s="1210"/>
      <c r="C241" s="1210"/>
      <c r="D241" s="1210"/>
      <c r="E241" s="618">
        <v>15</v>
      </c>
      <c r="F241" s="3" t="str" cm="1">
        <f t="array" aca="1" ref="F241" ca="1">OFFSET(E241,-1,1)</f>
        <v>2</v>
      </c>
      <c r="G241" s="501" t="s">
        <v>1197</v>
      </c>
      <c r="H241" s="1210"/>
      <c r="I241" s="511" t="s">
        <v>1772</v>
      </c>
      <c r="J241" s="511"/>
      <c r="K241" s="511"/>
      <c r="L241" s="511"/>
      <c r="M241" s="511"/>
      <c r="N241" s="511"/>
      <c r="O241" s="511"/>
      <c r="P241" s="511"/>
      <c r="Q241" s="511"/>
      <c r="R241" s="511"/>
      <c r="S241" s="511"/>
      <c r="T241" s="388" t="b" cm="1">
        <f t="array" aca="1" ref="T241" ca="1">T240</f>
        <v>1</v>
      </c>
      <c r="U241" s="1210"/>
      <c r="V241" s="1210"/>
      <c r="W241" s="1210"/>
      <c r="X241" s="2120"/>
      <c r="Y241" s="1210"/>
      <c r="Z241" s="2121"/>
      <c r="AA241" s="1210"/>
      <c r="AB241" s="727" t="s">
        <v>1773</v>
      </c>
      <c r="AC241" s="728" t="s">
        <v>1774</v>
      </c>
      <c r="AD241" s="733" t="s">
        <v>831</v>
      </c>
      <c r="AE241" s="722">
        <f ca="1">SUMIFS(Административные!AE$25:AE$84,Административные!$F$25:$F$84,$F241,Административные!$G$25:$G$84,$G241)</f>
        <v>0</v>
      </c>
      <c r="AF241" s="722">
        <f ca="1">SUMIFS(Административные!AF$25:AF$84,Административные!$F$25:$F$84,$F241,Административные!$G$25:$G$84,$G241)</f>
        <v>0</v>
      </c>
      <c r="AG241" s="722">
        <f ca="1">SUMIFS(Административные!AG$25:AG$84,Административные!$F$25:$F$84,$F241,Административные!$G$25:$G$84,$G241)</f>
        <v>0</v>
      </c>
      <c r="AH241" s="722">
        <f t="shared" ca="1" si="15"/>
        <v>0</v>
      </c>
      <c r="AI241" s="722">
        <f ca="1">SUMIFS(Административные!AH$25:AH$84,Административные!$F$25:$F$84,$F241,Административные!$G$25:$G$84,$G241)</f>
        <v>0</v>
      </c>
      <c r="AJ241" s="722">
        <f ca="1">SUMIFS(Административные!AI$25:AI$84,Административные!$F$25:$F$84,$F241,Административные!$G$25:$G$84,$G241)</f>
        <v>0</v>
      </c>
      <c r="AK241" s="722">
        <f ca="1">SUMIFS(Административные!AJ$25:AJ$84,Административные!$F$25:$F$84,$F241,Административные!$G$25:$G$84,$G241)</f>
        <v>0</v>
      </c>
      <c r="AL241" s="722">
        <f t="shared" ca="1" si="16"/>
        <v>0</v>
      </c>
      <c r="AM241" s="723"/>
      <c r="AN241" s="823" t="str">
        <f ca="1">IF(IFERROR(INDEX(Административные!$K$26:$L$84,MATCH($F241&amp;"7komm",Административные!$K$26:$K$84,0),2),"")=0,"",IFERROR(INDEX(Административные!$K$26:$L$84,MATCH($F236&amp;"7komm",Административные!$K$26:$K$84,0),2),""))</f>
        <v/>
      </c>
      <c r="AO241" s="723"/>
      <c r="AP241" s="1210"/>
      <c r="AQ241" s="1210"/>
      <c r="AR241" s="971" t="s">
        <v>1775</v>
      </c>
      <c r="AS241" s="971"/>
      <c r="AT241" s="971"/>
      <c r="AU241" s="968"/>
      <c r="AV241" s="968"/>
    </row>
    <row r="242" spans="1:48" s="1334" customFormat="1" ht="43.5" customHeight="1" x14ac:dyDescent="0.25">
      <c r="A242" s="1210"/>
      <c r="B242" s="1210"/>
      <c r="C242" s="1210"/>
      <c r="D242" s="1210"/>
      <c r="E242" s="618">
        <v>45</v>
      </c>
      <c r="F242" s="3" t="str" cm="1">
        <f t="array" aca="1" ref="F242" ca="1">OFFSET(E242,-1,1)</f>
        <v>2</v>
      </c>
      <c r="G242" s="501" t="s">
        <v>1200</v>
      </c>
      <c r="H242" s="1210"/>
      <c r="I242" s="511" t="s">
        <v>1776</v>
      </c>
      <c r="J242" s="511"/>
      <c r="K242" s="511"/>
      <c r="L242" s="511"/>
      <c r="M242" s="511"/>
      <c r="N242" s="511"/>
      <c r="O242" s="511"/>
      <c r="P242" s="511"/>
      <c r="Q242" s="511"/>
      <c r="R242" s="511"/>
      <c r="S242" s="511"/>
      <c r="T242" s="388" t="b" cm="1">
        <f t="array" aca="1" ref="T242" ca="1">T241</f>
        <v>1</v>
      </c>
      <c r="U242" s="1210"/>
      <c r="V242" s="1210"/>
      <c r="W242" s="1210"/>
      <c r="X242" s="2120"/>
      <c r="Y242" s="1210"/>
      <c r="Z242" s="2121"/>
      <c r="AA242" s="1210"/>
      <c r="AB242" s="727" t="s">
        <v>1777</v>
      </c>
      <c r="AC242" s="682" t="s">
        <v>1201</v>
      </c>
      <c r="AD242" s="733" t="s">
        <v>831</v>
      </c>
      <c r="AE242" s="722">
        <f ca="1">SUMIFS(Административные!AE$25:AE$84,Административные!$F$25:$F$84,$F242,Административные!$G$25:$G$84,$G242)</f>
        <v>0</v>
      </c>
      <c r="AF242" s="722">
        <f ca="1">SUMIFS(Административные!AF$25:AF$84,Административные!$F$25:$F$84,$F242,Административные!$G$25:$G$84,$G242)</f>
        <v>0</v>
      </c>
      <c r="AG242" s="722">
        <f ca="1">SUMIFS(Административные!AG$25:AG$84,Административные!$F$25:$F$84,$F242,Административные!$G$25:$G$84,$G242)</f>
        <v>0</v>
      </c>
      <c r="AH242" s="722">
        <f t="shared" ca="1" si="15"/>
        <v>0</v>
      </c>
      <c r="AI242" s="722">
        <f ca="1">SUMIFS(Административные!AH$25:AH$84,Административные!$F$25:$F$84,$F242,Административные!$G$25:$G$84,$G242)</f>
        <v>0</v>
      </c>
      <c r="AJ242" s="722">
        <f ca="1">SUMIFS(Административные!AI$25:AI$84,Административные!$F$25:$F$84,$F242,Административные!$G$25:$G$84,$G242)</f>
        <v>0</v>
      </c>
      <c r="AK242" s="722">
        <f ca="1">SUMIFS(Административные!AJ$25:AJ$84,Административные!$F$25:$F$84,$F242,Административные!$G$25:$G$84,$G242)</f>
        <v>0</v>
      </c>
      <c r="AL242" s="722">
        <f t="shared" ca="1" si="16"/>
        <v>0</v>
      </c>
      <c r="AM242" s="723"/>
      <c r="AN242" s="823" t="str">
        <f ca="1">IF(IFERROR(INDEX(Административные!$K$26:$L$84,MATCH($F242&amp;"8komm",Административные!$K$26:$K$84,0),2),"")=0,"",IFERROR(INDEX(Административные!$K$26:$L$84,MATCH($F237&amp;"8komm",Административные!$K$26:$K$84,0),2),""))</f>
        <v/>
      </c>
      <c r="AO242" s="723"/>
      <c r="AP242" s="1210"/>
      <c r="AQ242" s="1210"/>
      <c r="AR242" s="971" t="s">
        <v>1778</v>
      </c>
      <c r="AS242" s="971"/>
      <c r="AT242" s="971"/>
      <c r="AU242" s="968"/>
      <c r="AV242" s="968"/>
    </row>
    <row r="243" spans="1:48" s="1334" customFormat="1" ht="14.25" customHeight="1" x14ac:dyDescent="0.25">
      <c r="A243" s="1210"/>
      <c r="B243" s="1210"/>
      <c r="C243" s="1210"/>
      <c r="D243" s="1210"/>
      <c r="E243" s="618">
        <v>15</v>
      </c>
      <c r="F243" s="3" t="str" cm="1">
        <f t="array" aca="1" ref="F243" ca="1">OFFSET(E243,-1,1)</f>
        <v>2</v>
      </c>
      <c r="G243" s="501" t="s">
        <v>1203</v>
      </c>
      <c r="H243" s="1210"/>
      <c r="I243" s="511" t="s">
        <v>1779</v>
      </c>
      <c r="J243" s="511"/>
      <c r="K243" s="511"/>
      <c r="L243" s="511"/>
      <c r="M243" s="511"/>
      <c r="N243" s="511"/>
      <c r="O243" s="511"/>
      <c r="P243" s="511"/>
      <c r="Q243" s="511"/>
      <c r="R243" s="511"/>
      <c r="S243" s="511"/>
      <c r="T243" s="388" t="b" cm="1">
        <f t="array" aca="1" ref="T243" ca="1">T242</f>
        <v>1</v>
      </c>
      <c r="U243" s="1210"/>
      <c r="V243" s="1210"/>
      <c r="W243" s="1210"/>
      <c r="X243" s="2120"/>
      <c r="Y243" s="1210"/>
      <c r="Z243" s="2121"/>
      <c r="AA243" s="1210"/>
      <c r="AB243" s="727" t="s">
        <v>1780</v>
      </c>
      <c r="AC243" s="728" t="s">
        <v>1204</v>
      </c>
      <c r="AD243" s="733" t="s">
        <v>831</v>
      </c>
      <c r="AE243" s="722">
        <f ca="1">SUMIFS(Административные!AE$25:AE$84,Административные!$F$25:$F$84,$F243,Административные!$G$25:$G$84,$G243)</f>
        <v>803.44114223999998</v>
      </c>
      <c r="AF243" s="722">
        <f ca="1">SUMIFS(Административные!AF$25:AF$84,Административные!$F$25:$F$84,$F243,Административные!$G$25:$G$84,$G243)</f>
        <v>0</v>
      </c>
      <c r="AG243" s="722">
        <f ca="1">SUMIFS(Административные!AG$25:AG$84,Административные!$F$25:$F$84,$F243,Административные!$G$25:$G$84,$G243)</f>
        <v>0</v>
      </c>
      <c r="AH243" s="722">
        <f t="shared" ca="1" si="15"/>
        <v>0</v>
      </c>
      <c r="AI243" s="722">
        <f ca="1">SUMIFS(Административные!AH$25:AH$84,Административные!$F$25:$F$84,$F243,Административные!$G$25:$G$84,$G243)</f>
        <v>0</v>
      </c>
      <c r="AJ243" s="1024">
        <f ca="1">SUMIFS(Административные!AI$25:AI$84,Административные!$F$25:$F$84,$F243,Административные!$G$25:$G$84,$G243)</f>
        <v>0</v>
      </c>
      <c r="AK243" s="1024">
        <f ca="1">SUMIFS(Административные!AJ$25:AJ$84,Административные!$F$25:$F$84,$F243,Административные!$G$25:$G$84,$G243)</f>
        <v>0</v>
      </c>
      <c r="AL243" s="722">
        <f t="shared" ca="1" si="16"/>
        <v>0</v>
      </c>
      <c r="AM243" s="723"/>
      <c r="AN243" s="823" t="str">
        <f ca="1">IF(IFERROR(INDEX(Административные!$K$26:$L$84,MATCH($F243&amp;"9komm",Административные!$K$26:$K$84,0),2),"")=0,"",IFERROR(INDEX(Административные!$K$26:$L$84,MATCH($F238&amp;"9komm",Административные!$K$26:$K$84,0),2),""))</f>
        <v>Подробное описание смотреть в комментарии</v>
      </c>
      <c r="AO243" s="723"/>
      <c r="AP243" s="1210"/>
      <c r="AQ243" s="1210"/>
      <c r="AR243" s="971" t="s">
        <v>1781</v>
      </c>
      <c r="AS243" s="971"/>
      <c r="AT243" s="971"/>
      <c r="AU243" s="968"/>
      <c r="AV243" s="968"/>
    </row>
    <row r="244" spans="1:48" s="1502" customFormat="1" ht="14.25" customHeight="1" x14ac:dyDescent="0.25">
      <c r="A244" s="512"/>
      <c r="B244" s="512" t="b">
        <f>STATUS_GO="да"</f>
        <v>1</v>
      </c>
      <c r="C244" s="512"/>
      <c r="D244" s="512"/>
      <c r="E244" s="620">
        <v>15</v>
      </c>
      <c r="F244" s="3" t="str" cm="1">
        <f t="array" aca="1" ref="F244" ca="1">OFFSET(E244,-1,1)</f>
        <v>2</v>
      </c>
      <c r="G244" s="512"/>
      <c r="H244" s="512"/>
      <c r="I244" s="621" t="s">
        <v>335</v>
      </c>
      <c r="J244" s="621"/>
      <c r="K244" s="621"/>
      <c r="L244" s="621"/>
      <c r="M244" s="621"/>
      <c r="N244" s="621"/>
      <c r="O244" s="621"/>
      <c r="P244" s="621"/>
      <c r="Q244" s="621"/>
      <c r="R244" s="621"/>
      <c r="S244" s="621"/>
      <c r="T244" s="388" t="b" cm="1">
        <f t="array" aca="1" ref="T244" ca="1">T243</f>
        <v>1</v>
      </c>
      <c r="U244" s="512"/>
      <c r="V244" s="512"/>
      <c r="W244" s="512"/>
      <c r="X244" s="2120"/>
      <c r="Y244" s="512"/>
      <c r="Z244" s="2121"/>
      <c r="AA244" s="512"/>
      <c r="AB244" s="724" t="s">
        <v>441</v>
      </c>
      <c r="AC244" s="720" t="s">
        <v>1782</v>
      </c>
      <c r="AD244" s="731" t="s">
        <v>831</v>
      </c>
      <c r="AE244" s="721">
        <f ca="1">SUMIFS('Сбытовые расходы ГО'!AE$25:AE$65,'Сбытовые расходы ГО'!$F$25:$F$65,$F244,'Сбытовые расходы ГО'!$G$25:$G$65,"l0")</f>
        <v>4753.6013594519009</v>
      </c>
      <c r="AF244" s="721">
        <f ca="1">SUMIFS('Сбытовые расходы ГО'!AF$25:AF$65,'Сбытовые расходы ГО'!$F$25:$F$65,$F244,'Сбытовые расходы ГО'!$G$25:$G$65,"l0")</f>
        <v>0</v>
      </c>
      <c r="AG244" s="721">
        <f ca="1">SUMIFS('Сбытовые расходы ГО'!AG$25:AG$65,'Сбытовые расходы ГО'!$F$25:$F$65,$F244,'Сбытовые расходы ГО'!$G$25:$G$65,"l0")</f>
        <v>0</v>
      </c>
      <c r="AH244" s="721">
        <f t="shared" ca="1" si="15"/>
        <v>0</v>
      </c>
      <c r="AI244" s="721">
        <f ca="1">SUMIFS('Сбытовые расходы ГО'!AH$25:AH$65,'Сбытовые расходы ГО'!$F$25:$F$65,$F244,'Сбытовые расходы ГО'!$G$25:$G$65,"l0")</f>
        <v>0</v>
      </c>
      <c r="AJ244" s="721">
        <f ca="1">SUMIFS('Сбытовые расходы ГО'!AI$25:AI$65,'Сбытовые расходы ГО'!$F$25:$F$65,$F244,'Сбытовые расходы ГО'!$G$25:$G$65,"l0")</f>
        <v>0</v>
      </c>
      <c r="AK244" s="721">
        <f ca="1">SUMIFS('Сбытовые расходы ГО'!AJ$25:AJ$65,'Сбытовые расходы ГО'!$F$25:$F$65,$F244,'Сбытовые расходы ГО'!$G$25:$G$65,"l0")</f>
        <v>0</v>
      </c>
      <c r="AL244" s="721">
        <f t="shared" ca="1" si="16"/>
        <v>0</v>
      </c>
      <c r="AM244" s="726"/>
      <c r="AN244" s="823"/>
      <c r="AO244" s="726"/>
      <c r="AP244" s="512"/>
      <c r="AQ244" s="512"/>
      <c r="AR244" s="972" t="s">
        <v>1783</v>
      </c>
      <c r="AS244" s="972"/>
      <c r="AT244" s="972"/>
      <c r="AU244" s="620"/>
      <c r="AV244" s="620"/>
    </row>
    <row r="245" spans="1:48" s="1503" customFormat="1" ht="14.25" customHeight="1" x14ac:dyDescent="0.25">
      <c r="A245" s="512"/>
      <c r="B245" s="512"/>
      <c r="C245" s="512"/>
      <c r="D245" s="512"/>
      <c r="E245" s="620">
        <v>15</v>
      </c>
      <c r="F245" s="3" t="str" cm="1">
        <f t="array" aca="1" ref="F245" ca="1">OFFSET(E245,-1,1)</f>
        <v>2</v>
      </c>
      <c r="G245" s="512"/>
      <c r="H245" s="512"/>
      <c r="I245" s="621" t="s">
        <v>334</v>
      </c>
      <c r="J245" s="621"/>
      <c r="K245" s="621"/>
      <c r="L245" s="621"/>
      <c r="M245" s="621"/>
      <c r="N245" s="621"/>
      <c r="O245" s="621"/>
      <c r="P245" s="621"/>
      <c r="Q245" s="621"/>
      <c r="R245" s="621"/>
      <c r="S245" s="621"/>
      <c r="T245" s="388" t="b" cm="1">
        <f t="array" aca="1" ref="T245" ca="1">T244</f>
        <v>1</v>
      </c>
      <c r="U245" s="512"/>
      <c r="V245" s="512"/>
      <c r="W245" s="512"/>
      <c r="X245" s="2120"/>
      <c r="Y245" s="512"/>
      <c r="Z245" s="2121"/>
      <c r="AA245" s="512"/>
      <c r="AB245" s="724" t="s">
        <v>444</v>
      </c>
      <c r="AC245" s="513" t="s">
        <v>1784</v>
      </c>
      <c r="AD245" s="731" t="s">
        <v>831</v>
      </c>
      <c r="AE245" s="721">
        <f ca="1">SUMIFS(Амортизация!AE$25:AE$174,Амортизация!$F$25:$F$174,$F245,Амортизация!$AC$25:$AC$174,"Сумма амортизационных отчислений")</f>
        <v>0</v>
      </c>
      <c r="AF245" s="721">
        <f ca="1">SUMIFS(Амортизация!AF$25:AF$174,Амортизация!$F$25:$F$174,$F245,Амортизация!$AC$25:$AC$174,"Сумма амортизационных отчислений")</f>
        <v>3343.79</v>
      </c>
      <c r="AG245" s="721">
        <f ca="1">SUMIFS(Амортизация!AG$25:AG$174,Амортизация!$F$25:$F$174,$F245,Амортизация!$AC$25:$AC$174,"Сумма амортизационных отчислений")</f>
        <v>0</v>
      </c>
      <c r="AH245" s="721">
        <f t="shared" ca="1" si="15"/>
        <v>-3343.79</v>
      </c>
      <c r="AI245" s="721">
        <f ca="1">SUMIFS(Амортизация!AH$25:AH$174,Амортизация!$F$25:$F$174,$F245,Амортизация!$AC$25:$AC$174,"Сумма амортизационных отчислений")</f>
        <v>440.67124999999999</v>
      </c>
      <c r="AJ245" s="721">
        <f ca="1">SUMIFS(Амортизация!AI$25:AI$174,Амортизация!$F$25:$F$174,$F245,Амортизация!$AC$25:$AC$174,"Сумма амортизационных отчислений")</f>
        <v>3356.58</v>
      </c>
      <c r="AK245" s="721">
        <f ca="1">SUMIFS(Амортизация!AS$25:AS$174,Амортизация!$F$25:$F$174,$F245,Амортизация!$AC$25:$AC$174,"Сумма амортизационных отчислений")</f>
        <v>708.72</v>
      </c>
      <c r="AL245" s="721">
        <f t="shared" ca="1" si="16"/>
        <v>60.827374147961791</v>
      </c>
      <c r="AM245" s="726"/>
      <c r="AN245" s="823" t="str">
        <f ca="1">IF(IFERROR(INDEX(Амортизация!$K$26:$L$174,MATCH($F245&amp;"komm",Амортизация!$K$26:$K$574,0),2),"")=0,"",IFERROR(INDEX(Амортизация!$K$26:$L$174,MATCH($F245&amp;"komm",Амортизация!$K$26:$K$574,0),2),""))</f>
        <v/>
      </c>
      <c r="AO245" s="726"/>
      <c r="AP245" s="512"/>
      <c r="AQ245" s="512"/>
      <c r="AR245" s="972" t="s">
        <v>1199</v>
      </c>
      <c r="AS245" s="972"/>
      <c r="AT245" s="972"/>
      <c r="AU245" s="620"/>
      <c r="AV245" s="620"/>
    </row>
    <row r="246" spans="1:48" s="1334" customFormat="1" ht="14.25" customHeight="1" x14ac:dyDescent="0.25">
      <c r="A246" s="1210"/>
      <c r="B246" s="1210"/>
      <c r="C246" s="1210"/>
      <c r="D246" s="1210"/>
      <c r="E246" s="618">
        <v>15</v>
      </c>
      <c r="F246" s="3" t="str" cm="1">
        <f t="array" aca="1" ref="F246" ca="1">OFFSET(E246,-1,1)</f>
        <v>2</v>
      </c>
      <c r="G246" s="1210"/>
      <c r="H246" s="1210"/>
      <c r="I246" s="511" t="s">
        <v>579</v>
      </c>
      <c r="J246" s="511"/>
      <c r="K246" s="511"/>
      <c r="L246" s="511"/>
      <c r="M246" s="511"/>
      <c r="N246" s="511"/>
      <c r="O246" s="511"/>
      <c r="P246" s="511"/>
      <c r="Q246" s="511"/>
      <c r="R246" s="511"/>
      <c r="S246" s="511"/>
      <c r="T246" s="388" t="b" cm="1">
        <f t="array" aca="1" ref="T246" ca="1">T245</f>
        <v>1</v>
      </c>
      <c r="U246" s="1210"/>
      <c r="V246" s="1210"/>
      <c r="W246" s="1210"/>
      <c r="X246" s="2120"/>
      <c r="Y246" s="1210"/>
      <c r="Z246" s="2121"/>
      <c r="AA246" s="1210"/>
      <c r="AB246" s="727" t="s">
        <v>707</v>
      </c>
      <c r="AC246" s="732" t="s">
        <v>1785</v>
      </c>
      <c r="AD246" s="733" t="s">
        <v>831</v>
      </c>
      <c r="AE246" s="729">
        <f ca="1">SUMIFS('ИП + источники'!AF$27:AF$116,'ИП + источники'!$F$27:$F$116,$F246,'ИП + источники'!$AC$27:$AC$116,"Амортизационные отчисления")+SUMIFS('ИП + источники'!AF$27:AF$116,'ИП + источники'!$F$27:$F$116,$F246,'ИП + источники'!$AC$27:$AC$116,"погашение займов и кредитов из амортизации")</f>
        <v>0</v>
      </c>
      <c r="AF246" s="729">
        <f ca="1">SUMIFS('ИП + источники'!AG$27:AG$116,'ИП + источники'!$F$27:$F$116,$F246,'ИП + источники'!$AC$27:$AC$116,"Амортизационные отчисления")+SUMIFS('ИП + источники'!AG$27:AG$116,'ИП + источники'!$F$27:$F$116,$F246,'ИП + источники'!$AC$27:$AC$116,"погашение займов и кредитов из амортизации")</f>
        <v>0</v>
      </c>
      <c r="AG246" s="729">
        <f ca="1">SUMIFS('ИП + источники'!AH$27:AH$116,'ИП + источники'!$F$27:$F$116,$F246,'ИП + источники'!$AC$27:$AC$116,"Амортизационные отчисления")+SUMIFS('ИП + источники'!AH$27:AH$116,'ИП + источники'!$F$27:$F$116,$F246,'ИП + источники'!$AC$27:$AC$116,"погашение займов и кредитов из амортизации")</f>
        <v>0</v>
      </c>
      <c r="AH246" s="722">
        <f t="shared" ca="1" si="15"/>
        <v>0</v>
      </c>
      <c r="AI246" s="729">
        <f ca="1">SUMIFS('ИП + источники'!AH$27:AH$116,'ИП + источники'!$F$27:$F$116,$F246,'ИП + источники'!$AC$27:$AC$116,"Амортизационные отчисления")+SUMIFS('ИП + источники'!AH$27:AH$116,'ИП + источники'!$F$27:$F$116,$F246,'ИП + источники'!$AC$27:$AC$116,"погашение займов и кредитов из амортизации")</f>
        <v>0</v>
      </c>
      <c r="AJ246" s="729">
        <f ca="1">SUMIFS('ИП + источники'!AI$27:AI$116,'ИП + источники'!$F$27:$F$116,$F246,'ИП + источники'!$AC$27:$AC$116,"Амортизационные отчисления")+SUMIFS('ИП + источники'!AI$27:AI$116,'ИП + источники'!$F$27:$F$116,$F246,'ИП + источники'!$AC$27:$AC$116,"погашение займов и кредитов из амортизации")</f>
        <v>0</v>
      </c>
      <c r="AK246" s="729">
        <f ca="1">SUMIFS('ИП + источники'!AJ$27:AJ$116,'ИП + источники'!$F$27:$F$116,$F246,'ИП + источники'!$AC$27:$AC$116,"Амортизационные отчисления")+SUMIFS('ИП + источники'!AJ$27:AJ$116,'ИП + источники'!$F$27:$F$116,$F246,'ИП + источники'!$AC$27:$AC$116,"погашение займов и кредитов из амортизации")</f>
        <v>440.67124999999999</v>
      </c>
      <c r="AL246" s="722">
        <f t="shared" ca="1" si="16"/>
        <v>0</v>
      </c>
      <c r="AM246" s="723"/>
      <c r="AN246" s="723"/>
      <c r="AO246" s="723"/>
      <c r="AP246" s="1210"/>
      <c r="AQ246" s="1210"/>
      <c r="AR246" s="971" t="s">
        <v>1786</v>
      </c>
      <c r="AS246" s="971"/>
      <c r="AT246" s="971"/>
      <c r="AU246" s="968"/>
      <c r="AV246" s="968"/>
    </row>
    <row r="247" spans="1:48" s="1504" customFormat="1" ht="21.75" customHeight="1" x14ac:dyDescent="0.25">
      <c r="A247" s="512"/>
      <c r="B247" s="512"/>
      <c r="C247" s="512"/>
      <c r="D247" s="512"/>
      <c r="E247" s="620">
        <v>22.5</v>
      </c>
      <c r="F247" s="3" t="str" cm="1">
        <f t="array" aca="1" ref="F247" ca="1">OFFSET(E247,-1,1)</f>
        <v>2</v>
      </c>
      <c r="G247" s="512"/>
      <c r="H247" s="512"/>
      <c r="I247" s="621" t="s">
        <v>544</v>
      </c>
      <c r="J247" s="621"/>
      <c r="K247" s="621"/>
      <c r="L247" s="621"/>
      <c r="M247" s="621"/>
      <c r="N247" s="621"/>
      <c r="O247" s="621"/>
      <c r="P247" s="621"/>
      <c r="Q247" s="621"/>
      <c r="R247" s="621"/>
      <c r="S247" s="621"/>
      <c r="T247" s="388" t="b" cm="1">
        <f t="array" aca="1" ref="T247" ca="1">T246</f>
        <v>1</v>
      </c>
      <c r="U247" s="512"/>
      <c r="V247" s="512"/>
      <c r="W247" s="512"/>
      <c r="X247" s="2120"/>
      <c r="Y247" s="512"/>
      <c r="Z247" s="2121"/>
      <c r="AA247" s="512"/>
      <c r="AB247" s="724" t="s">
        <v>446</v>
      </c>
      <c r="AC247" s="513" t="s">
        <v>1787</v>
      </c>
      <c r="AD247" s="731" t="s">
        <v>831</v>
      </c>
      <c r="AE247" s="721">
        <f ca="1">SUMIFS(Аренда!AE$25:AE$57,Аренда!$F$25:$F$57,$F247,Аренда!$G$25:$G$57,"Арендная и концессионная плата, лизинговые платежи")</f>
        <v>349.46</v>
      </c>
      <c r="AF247" s="721">
        <f ca="1">SUMIFS(Аренда!AF$25:AF$57,Аренда!$F$25:$F$57,$F247,Аренда!$G$25:$G$57,"Арендная и концессионная плата, лизинговые платежи")</f>
        <v>186.42</v>
      </c>
      <c r="AG247" s="721">
        <f ca="1">SUMIFS(Аренда!AG$25:AG$57,Аренда!$F$25:$F$57,$F247,Аренда!$G$25:$G$57,"Арендная и концессионная плата, лизинговые платежи")</f>
        <v>110.07</v>
      </c>
      <c r="AH247" s="721">
        <f t="shared" ca="1" si="15"/>
        <v>-76.349999999999994</v>
      </c>
      <c r="AI247" s="721">
        <f ca="1">SUMIFS(Аренда!AH$25:AH$57,Аренда!$F$25:$F$57,$F247,Аренда!$G$25:$G$57,"Арендная и концессионная плата, лизинговые платежи")</f>
        <v>349.46</v>
      </c>
      <c r="AJ247" s="721">
        <f ca="1">SUMIFS(Аренда!AI$25:AI$57,Аренда!$F$25:$F$57,$F247,Аренда!$G$25:$G$57,"Арендная и концессионная плата, лизинговые платежи")</f>
        <v>1047.17</v>
      </c>
      <c r="AK247" s="721">
        <f ca="1">SUMIFS(Аренда!AS$25:AS$57,Аренда!$F$25:$F$57,$F247,Аренда!$G$25:$G$57,"Арендная и концессионная плата, лизинговые платежи")</f>
        <v>109.64</v>
      </c>
      <c r="AL247" s="721">
        <f t="shared" ca="1" si="16"/>
        <v>-68.625879929033374</v>
      </c>
      <c r="AM247" s="726"/>
      <c r="AN247" s="823" t="str">
        <f ca="1">IF(IFERROR(INDEX(Аренда!$K$26:$L$57,MATCH($F247&amp;"komm",Аренда!$K$26:$K$57,0),2),"")=0,"",IFERROR(INDEX(Аренда!$K$26:$L$57,MATCH($F247&amp;"komm",Аренда!$K$26:$K$57,0),2),""))</f>
        <v>Пункты 49 (3), 51, 29 Методических указаний ФСТ № 1746-э.</v>
      </c>
      <c r="AO247" s="726"/>
      <c r="AP247" s="512"/>
      <c r="AQ247" s="512"/>
      <c r="AR247" s="972" t="s">
        <v>1788</v>
      </c>
      <c r="AS247" s="972"/>
      <c r="AT247" s="972"/>
      <c r="AU247" s="620"/>
      <c r="AV247" s="620"/>
    </row>
    <row r="248" spans="1:48" s="1505" customFormat="1" ht="14.25" customHeight="1" x14ac:dyDescent="0.25">
      <c r="A248" s="512"/>
      <c r="B248" s="512"/>
      <c r="C248" s="512"/>
      <c r="D248" s="512"/>
      <c r="E248" s="620">
        <v>15</v>
      </c>
      <c r="F248" s="3" t="str" cm="1">
        <f t="array" aca="1" ref="F248" ca="1">OFFSET(E248,-1,1)</f>
        <v>2</v>
      </c>
      <c r="G248" s="512"/>
      <c r="H248" s="512"/>
      <c r="I248" s="621" t="s">
        <v>547</v>
      </c>
      <c r="J248" s="621"/>
      <c r="K248" s="621"/>
      <c r="L248" s="621"/>
      <c r="M248" s="621"/>
      <c r="N248" s="621"/>
      <c r="O248" s="621"/>
      <c r="P248" s="621"/>
      <c r="Q248" s="621"/>
      <c r="R248" s="621"/>
      <c r="S248" s="621"/>
      <c r="T248" s="388" t="b" cm="1">
        <f t="array" aca="1" ref="T248" ca="1">T247</f>
        <v>1</v>
      </c>
      <c r="U248" s="512"/>
      <c r="V248" s="512"/>
      <c r="W248" s="512"/>
      <c r="X248" s="2120"/>
      <c r="Y248" s="512"/>
      <c r="Z248" s="2121"/>
      <c r="AA248" s="512"/>
      <c r="AB248" s="724" t="s">
        <v>448</v>
      </c>
      <c r="AC248" s="513" t="s">
        <v>1789</v>
      </c>
      <c r="AD248" s="731" t="s">
        <v>831</v>
      </c>
      <c r="AE248" s="721">
        <f ca="1">SUMIFS(Налоги!AE$25:AE$69,Налоги!$F$25:$F$69,$F248,Налоги!$AC$25:$AC$69,"Налоги и платежи, относимые на указанный вид деятельности")</f>
        <v>465.75152397400001</v>
      </c>
      <c r="AF248" s="721">
        <f ca="1">SUMIFS(Налоги!AF$25:AF$69,Налоги!$F$25:$F$69,$F248,Налоги!$AC$25:$AC$69,"Налоги и платежи, относимые на указанный вид деятельности")</f>
        <v>370.29</v>
      </c>
      <c r="AG248" s="721">
        <f ca="1">SUMIFS(Налоги!AG$25:AG$69,Налоги!$F$25:$F$69,$F248,Налоги!$AC$25:$AC$69,"Налоги и платежи, относимые на указанный вид деятельности")</f>
        <v>370.29</v>
      </c>
      <c r="AH248" s="721">
        <f t="shared" ca="1" si="15"/>
        <v>0</v>
      </c>
      <c r="AI248" s="721">
        <f ca="1">SUMIFS(Налоги!AH$25:AH$69,Налоги!$F$25:$F$69,$F248,Налоги!$AC$25:$AC$69,"Налоги и платежи, относимые на указанный вид деятельности")</f>
        <v>478.2137354683</v>
      </c>
      <c r="AJ248" s="721">
        <f ca="1">SUMIFS(Налоги!AI$25:AI$69,Налоги!$F$25:$F$69,$F248,Налоги!$AC$25:$AC$69,"Налоги и платежи, относимые на указанный вид деятельности")</f>
        <v>1023.22</v>
      </c>
      <c r="AK248" s="721">
        <f ca="1">SUMIFS(Налоги!AS$25:AS$69,Налоги!$F$25:$F$69,$F248,Налоги!$AC$25:$AC$69,"Налоги и платежи, относимые на указанный вид деятельности")</f>
        <v>505.21000000000004</v>
      </c>
      <c r="AL248" s="721">
        <f t="shared" ca="1" si="16"/>
        <v>5.6452298479598086</v>
      </c>
      <c r="AM248" s="726"/>
      <c r="AN248" s="823" t="str">
        <f ca="1">IF(IFERROR(INDEX(Налоги!$K$26:$L$69,MATCH($F248&amp;"komm",Налоги!$K$26:$K$69,0),2),"")=0,"",IFERROR(INDEX(Налоги!$K$26:$L$69,MATCH($F248&amp;"komm",Налоги!$K$26:$K$69,0),2),""))</f>
        <v/>
      </c>
      <c r="AO248" s="726"/>
      <c r="AP248" s="512"/>
      <c r="AQ248" s="512"/>
      <c r="AR248" s="972" t="s">
        <v>1233</v>
      </c>
      <c r="AS248" s="972"/>
      <c r="AT248" s="972"/>
      <c r="AU248" s="620"/>
      <c r="AV248" s="620"/>
    </row>
    <row r="249" spans="1:48" s="1506" customFormat="1" ht="14.25" customHeight="1" x14ac:dyDescent="0.25">
      <c r="A249" s="512"/>
      <c r="B249" s="512"/>
      <c r="C249" s="512"/>
      <c r="D249" s="512"/>
      <c r="E249" s="620">
        <v>15</v>
      </c>
      <c r="F249" s="3" t="str" cm="1">
        <f t="array" aca="1" ref="F249" ca="1">OFFSET(E249,-1,1)</f>
        <v>2</v>
      </c>
      <c r="G249" s="512"/>
      <c r="H249" s="512"/>
      <c r="I249" s="621" t="s">
        <v>591</v>
      </c>
      <c r="J249" s="621"/>
      <c r="K249" s="621"/>
      <c r="L249" s="621"/>
      <c r="M249" s="621"/>
      <c r="N249" s="621"/>
      <c r="O249" s="621"/>
      <c r="P249" s="621"/>
      <c r="Q249" s="621"/>
      <c r="R249" s="621"/>
      <c r="S249" s="621"/>
      <c r="T249" s="388" t="b" cm="1">
        <f t="array" aca="1" ref="T249" ca="1">T248</f>
        <v>1</v>
      </c>
      <c r="U249" s="512"/>
      <c r="V249" s="512"/>
      <c r="W249" s="512"/>
      <c r="X249" s="2120"/>
      <c r="Y249" s="512"/>
      <c r="Z249" s="2121"/>
      <c r="AA249" s="512"/>
      <c r="AB249" s="724" t="s">
        <v>450</v>
      </c>
      <c r="AC249" s="513" t="s">
        <v>1790</v>
      </c>
      <c r="AD249" s="514" t="s">
        <v>831</v>
      </c>
      <c r="AE249" s="708">
        <f ca="1">AE250+AE251+AE252</f>
        <v>0</v>
      </c>
      <c r="AF249" s="708">
        <f ca="1">AF250+AF251+AF252</f>
        <v>0</v>
      </c>
      <c r="AG249" s="708">
        <f ca="1">AG250+AG251+AG252</f>
        <v>0</v>
      </c>
      <c r="AH249" s="708">
        <f t="shared" ca="1" si="15"/>
        <v>0</v>
      </c>
      <c r="AI249" s="708">
        <f ca="1">AI250+AI251+AI252</f>
        <v>0</v>
      </c>
      <c r="AJ249" s="708">
        <f ca="1">AJ250+AJ251+AJ252</f>
        <v>0</v>
      </c>
      <c r="AK249" s="708">
        <f ca="1">AK250+AK251+AK252</f>
        <v>0</v>
      </c>
      <c r="AL249" s="721">
        <f t="shared" ca="1" si="16"/>
        <v>0</v>
      </c>
      <c r="AM249" s="726"/>
      <c r="AN249" s="823"/>
      <c r="AO249" s="726"/>
      <c r="AP249" s="512"/>
      <c r="AQ249" s="512"/>
      <c r="AR249" s="972" t="s">
        <v>1476</v>
      </c>
      <c r="AS249" s="972"/>
      <c r="AT249" s="972"/>
      <c r="AU249" s="620"/>
      <c r="AV249" s="620"/>
    </row>
    <row r="250" spans="1:48" s="1334" customFormat="1" ht="14.25" customHeight="1" x14ac:dyDescent="0.25">
      <c r="A250" s="1210"/>
      <c r="B250" s="1210"/>
      <c r="C250" s="1210"/>
      <c r="D250" s="1210"/>
      <c r="E250" s="618">
        <v>15</v>
      </c>
      <c r="F250" s="3" t="str" cm="1">
        <f t="array" aca="1" ref="F250" ca="1">OFFSET(E250,-1,1)</f>
        <v>2</v>
      </c>
      <c r="G250" s="1210"/>
      <c r="H250" s="1210"/>
      <c r="I250" s="511" t="s">
        <v>594</v>
      </c>
      <c r="J250" s="511"/>
      <c r="K250" s="511"/>
      <c r="L250" s="511"/>
      <c r="M250" s="511"/>
      <c r="N250" s="511"/>
      <c r="O250" s="511"/>
      <c r="P250" s="511"/>
      <c r="Q250" s="511"/>
      <c r="R250" s="511"/>
      <c r="S250" s="511"/>
      <c r="T250" s="388" t="b" cm="1">
        <f t="array" aca="1" ref="T250" ca="1">T249</f>
        <v>1</v>
      </c>
      <c r="U250" s="1210"/>
      <c r="V250" s="1210"/>
      <c r="W250" s="1210"/>
      <c r="X250" s="2120"/>
      <c r="Y250" s="1210"/>
      <c r="Z250" s="2121"/>
      <c r="AA250" s="1210"/>
      <c r="AB250" s="727" t="s">
        <v>617</v>
      </c>
      <c r="AC250" s="732" t="s">
        <v>1791</v>
      </c>
      <c r="AD250" s="733" t="s">
        <v>831</v>
      </c>
      <c r="AE250" s="729">
        <f ca="1">SUMIFS('ИП + источники'!AF$26:AF$116,'ИП + источники'!$F$26:$F$116,$F250,'ИП + источники'!$AC$26:$AC$116,"погашение займов и кредитов из нормативной прибыли")+SUMIFS('ИП + источники'!AF$26:AF$116,'ИП + источники'!$F$26:$F$116,$F250,'ИП + источники'!$AC$26:$AC$116,"уплата процентов по кредитам из нормативной прибыли")</f>
        <v>0</v>
      </c>
      <c r="AF250" s="729">
        <f ca="1">SUMIFS('ИП + источники'!AG$26:AG$116,'ИП + источники'!$F$26:$F$116,$F250,'ИП + источники'!$AC$26:$AC$116,"погашение займов и кредитов из нормативной прибыли")+SUMIFS('ИП + источники'!AG$26:AG$116,'ИП + источники'!$F$26:$F$116,$F250,'ИП + источники'!$AC$26:$AC$116,"уплата процентов по кредитам из нормативной прибыли")</f>
        <v>0</v>
      </c>
      <c r="AG250" s="729">
        <f ca="1">SUMIFS('ИП + источники'!AH$26:AH$116,'ИП + источники'!$F$26:$F$116,$F250,'ИП + источники'!$AC$26:$AC$116,"погашение займов и кредитов из нормативной прибыли")+SUMIFS('ИП + источники'!AH$26:AH$116,'ИП + источники'!$F$26:$F$116,$F250,'ИП + источники'!$AC$26:$AC$116,"уплата процентов по кредитам из нормативной прибыли")</f>
        <v>0</v>
      </c>
      <c r="AH250" s="722">
        <f t="shared" ca="1" si="15"/>
        <v>0</v>
      </c>
      <c r="AI250" s="729">
        <f ca="1">SUMIFS('ИП + источники'!AJ$26:AJ$116,'ИП + источники'!$F$26:$F$116,$F250,'ИП + источники'!$AC$26:$AC$116,"погашение займов и кредитов из нормативной прибыли")+SUMIFS('ИП + источники'!AJ$26:AJ$116,'ИП + источники'!$F$26:$F$116,$F250,'ИП + источники'!$AC$26:$AC$116,"уплата процентов по кредитам из нормативной прибыли")</f>
        <v>0</v>
      </c>
      <c r="AJ250" s="729">
        <f ca="1">SUMIFS('ИП + источники'!AK$26:AK$116,'ИП + источники'!$F$26:$F$116,$F250,'ИП + источники'!$AC$26:$AC$116,"погашение займов и кредитов из нормативной прибыли")+SUMIFS('ИП + источники'!AK$26:AK$116,'ИП + источники'!$F$26:$F$116,$F250,'ИП + источники'!$AC$26:$AC$116,"уплата процентов по кредитам из нормативной прибыли")</f>
        <v>0</v>
      </c>
      <c r="AK250" s="729">
        <f ca="1">SUMIFS('ИП + источники'!AU$26:AU$116,'ИП + источники'!$F$26:$F$116,$F250,'ИП + источники'!$AC$26:$AC$116,"погашение займов и кредитов из нормативной прибыли")+SUMIFS('ИП + источники'!AU$26:AU$116,'ИП + источники'!$F$26:$F$116,$F250,'ИП + источники'!$AC$26:$AC$116,"уплата процентов по кредитам из нормативной прибыли")</f>
        <v>0</v>
      </c>
      <c r="AL250" s="722">
        <f t="shared" ca="1" si="16"/>
        <v>0</v>
      </c>
      <c r="AM250" s="723"/>
      <c r="AN250" s="823" t="str">
        <f ca="1">IF(IFERROR(INDEX('ИП + источники'!$K$28:$L$116,MATCH($F250&amp;"1komm",'ИП + источники'!$K$28:$K$116,0),2),"")=0,"",IFERROR(INDEX('ИП + источники'!$K$28:$L$116,MATCH($F250&amp;"1komm",'ИП + источники'!$K$28:$K$116,0),2),""))</f>
        <v/>
      </c>
      <c r="AO250" s="723"/>
      <c r="AP250" s="1210"/>
      <c r="AQ250" s="1210"/>
      <c r="AR250" s="971" t="s">
        <v>1222</v>
      </c>
      <c r="AS250" s="971"/>
      <c r="AT250" s="971"/>
      <c r="AU250" s="968"/>
      <c r="AV250" s="968"/>
    </row>
    <row r="251" spans="1:48" s="1334" customFormat="1" ht="14.25" customHeight="1" x14ac:dyDescent="0.25">
      <c r="A251" s="1210"/>
      <c r="B251" s="1210"/>
      <c r="C251" s="1210"/>
      <c r="D251" s="1210"/>
      <c r="E251" s="618">
        <v>15</v>
      </c>
      <c r="F251" s="3" t="str" cm="1">
        <f t="array" aca="1" ref="F251" ca="1">OFFSET(E251,-1,1)</f>
        <v>2</v>
      </c>
      <c r="G251" s="1210"/>
      <c r="H251" s="1210"/>
      <c r="I251" s="511" t="s">
        <v>598</v>
      </c>
      <c r="J251" s="511"/>
      <c r="K251" s="511"/>
      <c r="L251" s="511"/>
      <c r="M251" s="511"/>
      <c r="N251" s="511"/>
      <c r="O251" s="511"/>
      <c r="P251" s="511"/>
      <c r="Q251" s="511"/>
      <c r="R251" s="511"/>
      <c r="S251" s="511"/>
      <c r="T251" s="388" t="b" cm="1">
        <f t="array" aca="1" ref="T251" ca="1">T250</f>
        <v>1</v>
      </c>
      <c r="U251" s="1210"/>
      <c r="V251" s="1210"/>
      <c r="W251" s="1210"/>
      <c r="X251" s="2120"/>
      <c r="Y251" s="1210"/>
      <c r="Z251" s="2121"/>
      <c r="AA251" s="1210"/>
      <c r="AB251" s="727" t="s">
        <v>634</v>
      </c>
      <c r="AC251" s="732" t="s">
        <v>1792</v>
      </c>
      <c r="AD251" s="733" t="s">
        <v>831</v>
      </c>
      <c r="AE251" s="729">
        <f ca="1">SUMIFS('ИП + источники'!AF$27:AF$116,'ИП + источники'!$F$27:$F$116,$F251,'ИП + источники'!$AC$27:$AC$116,"Прибыль на капвложения")</f>
        <v>0</v>
      </c>
      <c r="AF251" s="729">
        <f ca="1">SUMIFS('ИП + источники'!AG$27:AG$116,'ИП + источники'!$F$27:$F$116,$F251,'ИП + источники'!$AC$27:$AC$116,"Прибыль на капвложения")</f>
        <v>0</v>
      </c>
      <c r="AG251" s="729">
        <f ca="1">SUMIFS('ИП + источники'!AH$27:AH$116,'ИП + источники'!$F$27:$F$116,$F251,'ИП + источники'!$AC$27:$AC$116,"Прибыль на капвложения")</f>
        <v>0</v>
      </c>
      <c r="AH251" s="722">
        <f t="shared" ca="1" si="15"/>
        <v>0</v>
      </c>
      <c r="AI251" s="729">
        <f ca="1">SUMIFS('ИП + источники'!AJ$27:AJ$116,'ИП + источники'!$F$27:$F$116,$F251,'ИП + источники'!$AC$27:$AC$116,"Прибыль на капвложения")</f>
        <v>0</v>
      </c>
      <c r="AJ251" s="729">
        <f ca="1">SUMIFS('ИП + источники'!AK$27:AK$116,'ИП + источники'!$F$27:$F$116,$F251,'ИП + источники'!$AC$27:$AC$116,"Прибыль на капвложения")</f>
        <v>0</v>
      </c>
      <c r="AK251" s="729">
        <f ca="1">SUMIFS('ИП + источники'!AU$27:AU$116,'ИП + источники'!$F$27:$F$116,$F251,'ИП + источники'!$AC$27:$AC$116,"Прибыль на капвложения")</f>
        <v>0</v>
      </c>
      <c r="AL251" s="722">
        <f t="shared" ca="1" si="16"/>
        <v>0</v>
      </c>
      <c r="AM251" s="723"/>
      <c r="AN251" s="823" t="str">
        <f ca="1">IF(IFERROR(INDEX('ИП + источники'!$K$28:$L$116,MATCH($F251&amp;"2komm",'ИП + источники'!$K$28:$K$116,0),2),"")=0,"",IFERROR(INDEX('ИП + источники'!$K$28:$L$116,MATCH($F251&amp;"2komm",'ИП + источники'!$K$28:$K$116,0),2),""))</f>
        <v/>
      </c>
      <c r="AO251" s="723"/>
      <c r="AP251" s="1210"/>
      <c r="AQ251" s="1210"/>
      <c r="AR251" s="971" t="s">
        <v>1793</v>
      </c>
      <c r="AS251" s="971"/>
      <c r="AT251" s="971"/>
      <c r="AU251" s="968"/>
      <c r="AV251" s="968"/>
    </row>
    <row r="252" spans="1:48" s="1334" customFormat="1" ht="21.75" customHeight="1" x14ac:dyDescent="0.25">
      <c r="A252" s="1210"/>
      <c r="B252" s="1210"/>
      <c r="C252" s="1210"/>
      <c r="D252" s="1210"/>
      <c r="E252" s="618">
        <v>22.5</v>
      </c>
      <c r="F252" s="3" t="str" cm="1">
        <f t="array" aca="1" ref="F252" ca="1">OFFSET(E252,-1,1)</f>
        <v>2</v>
      </c>
      <c r="G252" s="1210"/>
      <c r="H252" s="1210"/>
      <c r="I252" s="511" t="s">
        <v>602</v>
      </c>
      <c r="J252" s="511"/>
      <c r="K252" s="511"/>
      <c r="L252" s="511"/>
      <c r="M252" s="511"/>
      <c r="N252" s="511"/>
      <c r="O252" s="511"/>
      <c r="P252" s="511"/>
      <c r="Q252" s="511"/>
      <c r="R252" s="511"/>
      <c r="S252" s="511"/>
      <c r="T252" s="388" t="b" cm="1">
        <f t="array" aca="1" ref="T252" ca="1">T251</f>
        <v>1</v>
      </c>
      <c r="U252" s="1210"/>
      <c r="V252" s="1210"/>
      <c r="W252" s="1210"/>
      <c r="X252" s="2120"/>
      <c r="Y252" s="1210"/>
      <c r="Z252" s="2121"/>
      <c r="AA252" s="1210"/>
      <c r="AB252" s="727" t="s">
        <v>646</v>
      </c>
      <c r="AC252" s="732" t="s">
        <v>1794</v>
      </c>
      <c r="AD252" s="733" t="s">
        <v>831</v>
      </c>
      <c r="AE252" s="729"/>
      <c r="AF252" s="729"/>
      <c r="AG252" s="729"/>
      <c r="AH252" s="722"/>
      <c r="AI252" s="729"/>
      <c r="AJ252" s="729"/>
      <c r="AK252" s="729"/>
      <c r="AL252" s="722">
        <f t="shared" si="16"/>
        <v>0</v>
      </c>
      <c r="AM252" s="723"/>
      <c r="AN252" s="723"/>
      <c r="AO252" s="723"/>
      <c r="AP252" s="1210"/>
      <c r="AQ252" s="1210"/>
      <c r="AR252" s="971" t="s">
        <v>1795</v>
      </c>
      <c r="AS252" s="971"/>
      <c r="AT252" s="971"/>
      <c r="AU252" s="968"/>
      <c r="AV252" s="968"/>
    </row>
    <row r="253" spans="1:48" s="1507" customFormat="1" ht="21.75" customHeight="1" x14ac:dyDescent="0.25">
      <c r="A253" s="512"/>
      <c r="B253" s="512" t="b">
        <f>STATUS_GO="да"</f>
        <v>1</v>
      </c>
      <c r="C253" s="512"/>
      <c r="D253" s="512"/>
      <c r="E253" s="620">
        <v>22.5</v>
      </c>
      <c r="F253" s="3" t="str" cm="1">
        <f t="array" aca="1" ref="F253" ca="1">OFFSET(E253,-1,1)</f>
        <v>2</v>
      </c>
      <c r="G253" s="512"/>
      <c r="H253" s="512"/>
      <c r="I253" s="621" t="s">
        <v>606</v>
      </c>
      <c r="J253" s="621"/>
      <c r="K253" s="621"/>
      <c r="L253" s="621"/>
      <c r="M253" s="621"/>
      <c r="N253" s="621"/>
      <c r="O253" s="621"/>
      <c r="P253" s="621"/>
      <c r="Q253" s="621"/>
      <c r="R253" s="621"/>
      <c r="S253" s="621"/>
      <c r="T253" s="388" t="b" cm="1">
        <f t="array" aca="1" ref="T253" ca="1">T252</f>
        <v>1</v>
      </c>
      <c r="U253" s="512"/>
      <c r="V253" s="512"/>
      <c r="W253" s="512"/>
      <c r="X253" s="2120"/>
      <c r="Y253" s="512"/>
      <c r="Z253" s="2121"/>
      <c r="AA253" s="512"/>
      <c r="AB253" s="724" t="s">
        <v>469</v>
      </c>
      <c r="AC253" s="720" t="s">
        <v>1796</v>
      </c>
      <c r="AD253" s="731" t="s">
        <v>831</v>
      </c>
      <c r="AE253" s="730"/>
      <c r="AF253" s="730"/>
      <c r="AG253" s="730"/>
      <c r="AH253" s="721">
        <f>AG253-AF253</f>
        <v>0</v>
      </c>
      <c r="AI253" s="730"/>
      <c r="AJ253" s="730"/>
      <c r="AK253" s="730"/>
      <c r="AL253" s="721">
        <f t="shared" si="16"/>
        <v>0</v>
      </c>
      <c r="AM253" s="726"/>
      <c r="AN253" s="726"/>
      <c r="AO253" s="726"/>
      <c r="AP253" s="512"/>
      <c r="AQ253" s="512"/>
      <c r="AR253" s="972" t="s">
        <v>1797</v>
      </c>
      <c r="AS253" s="972"/>
      <c r="AT253" s="972"/>
      <c r="AU253" s="620"/>
      <c r="AV253" s="620"/>
    </row>
    <row r="254" spans="1:48" s="1334" customFormat="1" ht="14.25" customHeight="1" x14ac:dyDescent="0.25">
      <c r="A254" s="1210"/>
      <c r="B254" s="1210"/>
      <c r="C254" s="1210"/>
      <c r="D254" s="1210"/>
      <c r="E254" s="618">
        <v>15</v>
      </c>
      <c r="F254" s="3" t="str" cm="1">
        <f t="array" aca="1" ref="F254" ca="1">OFFSET(E254,-1,1)</f>
        <v>2</v>
      </c>
      <c r="G254" s="1210"/>
      <c r="H254" s="1210"/>
      <c r="I254" s="511" t="s">
        <v>613</v>
      </c>
      <c r="J254" s="511"/>
      <c r="K254" s="511"/>
      <c r="L254" s="511"/>
      <c r="M254" s="511"/>
      <c r="N254" s="511"/>
      <c r="O254" s="511"/>
      <c r="P254" s="511"/>
      <c r="Q254" s="511"/>
      <c r="R254" s="511"/>
      <c r="S254" s="511"/>
      <c r="T254" s="388" t="b" cm="1">
        <f t="array" aca="1" ref="T254" ca="1">T253</f>
        <v>1</v>
      </c>
      <c r="U254" s="1210"/>
      <c r="V254" s="1210"/>
      <c r="W254" s="1210"/>
      <c r="X254" s="2120"/>
      <c r="Y254" s="1210"/>
      <c r="Z254" s="2121"/>
      <c r="AA254" s="1210"/>
      <c r="AB254" s="727" t="s">
        <v>472</v>
      </c>
      <c r="AC254" s="735" t="s">
        <v>1431</v>
      </c>
      <c r="AD254" s="733" t="s">
        <v>831</v>
      </c>
      <c r="AE254" s="729"/>
      <c r="AF254" s="729"/>
      <c r="AG254" s="729"/>
      <c r="AH254" s="722"/>
      <c r="AI254" s="1469"/>
      <c r="AJ254" s="1469"/>
      <c r="AK254" s="1469"/>
      <c r="AL254" s="722">
        <f t="shared" si="16"/>
        <v>0</v>
      </c>
      <c r="AM254" s="723"/>
      <c r="AN254" s="723"/>
      <c r="AO254" s="723"/>
      <c r="AP254" s="1210"/>
      <c r="AQ254" s="1210"/>
      <c r="AR254" s="971" t="s">
        <v>1798</v>
      </c>
      <c r="AS254" s="971"/>
      <c r="AT254" s="971"/>
      <c r="AU254" s="968"/>
      <c r="AV254" s="968"/>
    </row>
    <row r="255" spans="1:48" s="1334" customFormat="1" ht="101.25" hidden="1" customHeight="1" x14ac:dyDescent="0.25">
      <c r="A255" s="1210"/>
      <c r="B255" s="1210"/>
      <c r="C255" s="1210"/>
      <c r="D255" s="1210"/>
      <c r="E255" s="618">
        <v>0</v>
      </c>
      <c r="F255" s="3" t="str" cm="1">
        <f t="array" aca="1" ref="F255" ca="1">OFFSET(E255,-1,1)</f>
        <v>2</v>
      </c>
      <c r="G255" s="1210"/>
      <c r="H255" s="440" t="b">
        <f>ISERR(SEARCH("Водоснабжение",AB197))</f>
        <v>1</v>
      </c>
      <c r="I255" s="511" t="s">
        <v>770</v>
      </c>
      <c r="J255" s="511"/>
      <c r="K255" s="511"/>
      <c r="L255" s="511"/>
      <c r="M255" s="511"/>
      <c r="N255" s="511"/>
      <c r="O255" s="511"/>
      <c r="P255" s="511"/>
      <c r="Q255" s="511"/>
      <c r="R255" s="511"/>
      <c r="S255" s="511"/>
      <c r="T255" s="388" t="b" cm="1">
        <f t="array" aca="1" ref="T255" ca="1">T254</f>
        <v>1</v>
      </c>
      <c r="U255" s="1210"/>
      <c r="V255" s="1210"/>
      <c r="W255" s="1210"/>
      <c r="X255" s="2120"/>
      <c r="Y255" s="1210"/>
      <c r="Z255" s="2121"/>
      <c r="AA255" s="1210"/>
      <c r="AB255" s="727" t="s">
        <v>475</v>
      </c>
      <c r="AC255" s="735" t="s">
        <v>1799</v>
      </c>
      <c r="AD255" s="679" t="s">
        <v>831</v>
      </c>
      <c r="AE255" s="729"/>
      <c r="AF255" s="729"/>
      <c r="AG255" s="729"/>
      <c r="AH255" s="722">
        <f t="shared" ref="AH255:AH270" si="17">AG255-AF255</f>
        <v>0</v>
      </c>
      <c r="AI255" s="729"/>
      <c r="AJ255" s="1464"/>
      <c r="AK255" s="1464">
        <f ca="1">IFERROR(SUMIFS('Плата за негативное возд'!$AL$25:$AL$35,'Плата за негативное возд'!$F$25:$F$35,F255,'Плата за негативное возд'!$G$25:$G$35,"1"),0)</f>
        <v>15759.841990000001</v>
      </c>
      <c r="AL255" s="722">
        <f t="shared" si="16"/>
        <v>0</v>
      </c>
      <c r="AM255" s="1461"/>
      <c r="AN255" s="1461"/>
      <c r="AO255" s="1461"/>
      <c r="AP255" s="1210"/>
      <c r="AQ255" s="1210"/>
      <c r="AR255" s="971" t="s">
        <v>1331</v>
      </c>
      <c r="AS255" s="971"/>
      <c r="AT255" s="971"/>
      <c r="AU255" s="968"/>
      <c r="AV255" s="968"/>
    </row>
    <row r="256" spans="1:48" s="1334" customFormat="1" ht="67.5" hidden="1" customHeight="1" x14ac:dyDescent="0.25">
      <c r="A256" s="1210"/>
      <c r="B256" s="1210"/>
      <c r="C256" s="1210"/>
      <c r="D256" s="1210"/>
      <c r="E256" s="618">
        <v>0</v>
      </c>
      <c r="F256" s="3" t="str" cm="1">
        <f t="array" aca="1" ref="F256" ca="1">OFFSET(E256,-1,1)</f>
        <v>2</v>
      </c>
      <c r="G256" s="1210"/>
      <c r="H256" s="440" t="b">
        <f>ISERR(SEARCH("Водоснабжение",AB197))</f>
        <v>1</v>
      </c>
      <c r="I256" s="511" t="s">
        <v>772</v>
      </c>
      <c r="J256" s="511"/>
      <c r="K256" s="511"/>
      <c r="L256" s="511"/>
      <c r="M256" s="511"/>
      <c r="N256" s="511"/>
      <c r="O256" s="511"/>
      <c r="P256" s="511"/>
      <c r="Q256" s="511"/>
      <c r="R256" s="511"/>
      <c r="S256" s="511"/>
      <c r="T256" s="388" t="b" cm="1">
        <f t="array" aca="1" ref="T256" ca="1">T255</f>
        <v>1</v>
      </c>
      <c r="U256" s="1210"/>
      <c r="V256" s="1210"/>
      <c r="W256" s="1210"/>
      <c r="X256" s="2120"/>
      <c r="Y256" s="1210"/>
      <c r="Z256" s="2121"/>
      <c r="AA256" s="1210"/>
      <c r="AB256" s="727" t="s">
        <v>478</v>
      </c>
      <c r="AC256" s="735" t="s">
        <v>1800</v>
      </c>
      <c r="AD256" s="679" t="s">
        <v>831</v>
      </c>
      <c r="AE256" s="729"/>
      <c r="AF256" s="729"/>
      <c r="AG256" s="729"/>
      <c r="AH256" s="722">
        <f t="shared" si="17"/>
        <v>0</v>
      </c>
      <c r="AI256" s="729"/>
      <c r="AJ256" s="1464"/>
      <c r="AK256" s="1464">
        <f ca="1">IFERROR(SUMIFS('Плата за негативное возд'!$AL$25:$AL$35,'Плата за негативное возд'!$F$25:$F$35,F256,'Плата за негативное возд'!$G$25:$G$35,"2"),0)</f>
        <v>3931.6792299999997</v>
      </c>
      <c r="AL256" s="722">
        <f t="shared" si="16"/>
        <v>0</v>
      </c>
      <c r="AM256" s="1461"/>
      <c r="AN256" s="1461"/>
      <c r="AO256" s="1461"/>
      <c r="AP256" s="1210"/>
      <c r="AQ256" s="1210"/>
      <c r="AR256" s="971" t="s">
        <v>1335</v>
      </c>
      <c r="AS256" s="971"/>
      <c r="AT256" s="971"/>
      <c r="AU256" s="968"/>
      <c r="AV256" s="968"/>
    </row>
    <row r="257" spans="1:48" s="1334" customFormat="1" ht="14.25" customHeight="1" x14ac:dyDescent="0.25">
      <c r="A257" s="1210"/>
      <c r="B257" s="1210"/>
      <c r="C257" s="1210"/>
      <c r="D257" s="1210"/>
      <c r="E257" s="618">
        <v>15</v>
      </c>
      <c r="F257" s="3" t="str" cm="1">
        <f t="array" aca="1" ref="F257" ca="1">OFFSET(E257,-1,1)</f>
        <v>2</v>
      </c>
      <c r="G257" s="1210"/>
      <c r="H257" s="1210"/>
      <c r="I257" s="511" t="s">
        <v>809</v>
      </c>
      <c r="J257" s="511"/>
      <c r="K257" s="511"/>
      <c r="L257" s="511"/>
      <c r="M257" s="511"/>
      <c r="N257" s="511"/>
      <c r="O257" s="511"/>
      <c r="P257" s="511"/>
      <c r="Q257" s="511"/>
      <c r="R257" s="511"/>
      <c r="S257" s="511"/>
      <c r="T257" s="388" t="b" cm="1">
        <f t="array" aca="1" ref="T257" ca="1">T256</f>
        <v>1</v>
      </c>
      <c r="U257" s="1210"/>
      <c r="V257" s="1210"/>
      <c r="W257" s="1210"/>
      <c r="X257" s="2120"/>
      <c r="Y257" s="1210"/>
      <c r="Z257" s="2121"/>
      <c r="AA257" s="1210"/>
      <c r="AB257" s="727" t="s">
        <v>481</v>
      </c>
      <c r="AC257" s="737" t="s">
        <v>1801</v>
      </c>
      <c r="AD257" s="733" t="s">
        <v>831</v>
      </c>
      <c r="AE257" s="729"/>
      <c r="AF257" s="729"/>
      <c r="AG257" s="729"/>
      <c r="AH257" s="722">
        <f t="shared" si="17"/>
        <v>0</v>
      </c>
      <c r="AI257" s="729"/>
      <c r="AJ257" s="729"/>
      <c r="AK257" s="729"/>
      <c r="AL257" s="722">
        <f t="shared" si="16"/>
        <v>0</v>
      </c>
      <c r="AM257" s="723"/>
      <c r="AN257" s="723"/>
      <c r="AO257" s="723"/>
      <c r="AP257" s="1210"/>
      <c r="AQ257" s="1210"/>
      <c r="AR257" s="971" t="s">
        <v>1205</v>
      </c>
      <c r="AS257" s="971"/>
      <c r="AT257" s="971"/>
      <c r="AU257" s="968"/>
      <c r="AV257" s="968"/>
    </row>
    <row r="258" spans="1:48" s="1508" customFormat="1" ht="21.75" customHeight="1" x14ac:dyDescent="0.25">
      <c r="A258" s="512"/>
      <c r="B258" s="512"/>
      <c r="C258" s="512"/>
      <c r="D258" s="512"/>
      <c r="E258" s="620">
        <v>22.5</v>
      </c>
      <c r="F258" s="3" t="str" cm="1">
        <f t="array" aca="1" ref="F258" ca="1">OFFSET(E258,-1,1)</f>
        <v>2</v>
      </c>
      <c r="G258" s="512"/>
      <c r="H258" s="512"/>
      <c r="I258" s="621" t="s">
        <v>810</v>
      </c>
      <c r="J258" s="621"/>
      <c r="K258" s="621"/>
      <c r="L258" s="621"/>
      <c r="M258" s="621"/>
      <c r="N258" s="621"/>
      <c r="O258" s="621"/>
      <c r="P258" s="621"/>
      <c r="Q258" s="621"/>
      <c r="R258" s="621"/>
      <c r="S258" s="621"/>
      <c r="T258" s="388" t="b" cm="1">
        <f t="array" aca="1" ref="T258" ca="1">T257</f>
        <v>1</v>
      </c>
      <c r="U258" s="512"/>
      <c r="V258" s="512"/>
      <c r="W258" s="512"/>
      <c r="X258" s="2120"/>
      <c r="Y258" s="512"/>
      <c r="Z258" s="2121"/>
      <c r="AA258" s="512"/>
      <c r="AB258" s="724" t="s">
        <v>1802</v>
      </c>
      <c r="AC258" s="513" t="s">
        <v>1803</v>
      </c>
      <c r="AD258" s="731" t="s">
        <v>831</v>
      </c>
      <c r="AE258" s="708">
        <f>AE259+AE260</f>
        <v>0</v>
      </c>
      <c r="AF258" s="708">
        <f>AF259+AF260</f>
        <v>0</v>
      </c>
      <c r="AG258" s="708">
        <f>AG259+AG260</f>
        <v>0</v>
      </c>
      <c r="AH258" s="721">
        <f t="shared" si="17"/>
        <v>0</v>
      </c>
      <c r="AI258" s="708">
        <f>AI259+AI260</f>
        <v>0</v>
      </c>
      <c r="AJ258" s="708">
        <f>AJ259+AJ260</f>
        <v>0</v>
      </c>
      <c r="AK258" s="708">
        <f>AK259+AK260</f>
        <v>0</v>
      </c>
      <c r="AL258" s="721">
        <f t="shared" si="16"/>
        <v>0</v>
      </c>
      <c r="AM258" s="726"/>
      <c r="AN258" s="726"/>
      <c r="AO258" s="726"/>
      <c r="AP258" s="512"/>
      <c r="AQ258" s="512"/>
      <c r="AR258" s="972" t="s">
        <v>1514</v>
      </c>
      <c r="AS258" s="972"/>
      <c r="AT258" s="972"/>
      <c r="AU258" s="620"/>
      <c r="AV258" s="620"/>
    </row>
    <row r="259" spans="1:48" s="1334" customFormat="1" ht="21.75" customHeight="1" x14ac:dyDescent="0.25">
      <c r="A259" s="1210"/>
      <c r="B259" s="1210"/>
      <c r="C259" s="1210"/>
      <c r="D259" s="1210"/>
      <c r="E259" s="618">
        <v>22.5</v>
      </c>
      <c r="F259" s="3" t="str" cm="1">
        <f t="array" aca="1" ref="F259" ca="1">OFFSET(E259,-1,1)</f>
        <v>2</v>
      </c>
      <c r="G259" s="1210"/>
      <c r="H259" s="1210"/>
      <c r="I259" s="511" t="s">
        <v>1804</v>
      </c>
      <c r="J259" s="511"/>
      <c r="K259" s="511"/>
      <c r="L259" s="511"/>
      <c r="M259" s="511"/>
      <c r="N259" s="511"/>
      <c r="O259" s="511"/>
      <c r="P259" s="511"/>
      <c r="Q259" s="511"/>
      <c r="R259" s="511"/>
      <c r="S259" s="511"/>
      <c r="T259" s="388" t="b" cm="1">
        <f t="array" aca="1" ref="T259" ca="1">T258</f>
        <v>1</v>
      </c>
      <c r="U259" s="1210"/>
      <c r="V259" s="1210"/>
      <c r="W259" s="1210"/>
      <c r="X259" s="2120"/>
      <c r="Y259" s="1210"/>
      <c r="Z259" s="2121"/>
      <c r="AA259" s="1210"/>
      <c r="AB259" s="727" t="s">
        <v>1805</v>
      </c>
      <c r="AC259" s="738" t="s">
        <v>1515</v>
      </c>
      <c r="AD259" s="733" t="s">
        <v>831</v>
      </c>
      <c r="AE259" s="729"/>
      <c r="AF259" s="729"/>
      <c r="AG259" s="729"/>
      <c r="AH259" s="722">
        <f t="shared" si="17"/>
        <v>0</v>
      </c>
      <c r="AI259" s="729"/>
      <c r="AJ259" s="729"/>
      <c r="AK259" s="729"/>
      <c r="AL259" s="722">
        <f t="shared" si="16"/>
        <v>0</v>
      </c>
      <c r="AM259" s="723"/>
      <c r="AN259" s="723"/>
      <c r="AO259" s="723"/>
      <c r="AP259" s="1210"/>
      <c r="AQ259" s="1210"/>
      <c r="AR259" s="971" t="s">
        <v>1553</v>
      </c>
      <c r="AS259" s="971"/>
      <c r="AT259" s="971"/>
      <c r="AU259" s="968"/>
      <c r="AV259" s="968"/>
    </row>
    <row r="260" spans="1:48" s="1334" customFormat="1" ht="21.75" customHeight="1" x14ac:dyDescent="0.25">
      <c r="A260" s="1210"/>
      <c r="B260" s="1210"/>
      <c r="C260" s="1210"/>
      <c r="D260" s="1210"/>
      <c r="E260" s="618">
        <v>22.5</v>
      </c>
      <c r="F260" s="3" t="str" cm="1">
        <f t="array" aca="1" ref="F260" ca="1">OFFSET(E260,-1,1)</f>
        <v>2</v>
      </c>
      <c r="G260" s="1210"/>
      <c r="H260" s="1210"/>
      <c r="I260" s="511" t="s">
        <v>1806</v>
      </c>
      <c r="J260" s="511"/>
      <c r="K260" s="511"/>
      <c r="L260" s="511"/>
      <c r="M260" s="511"/>
      <c r="N260" s="511"/>
      <c r="O260" s="511"/>
      <c r="P260" s="511"/>
      <c r="Q260" s="511"/>
      <c r="R260" s="511"/>
      <c r="S260" s="511"/>
      <c r="T260" s="388" t="b" cm="1">
        <f t="array" aca="1" ref="T260" ca="1">T259</f>
        <v>1</v>
      </c>
      <c r="U260" s="1210"/>
      <c r="V260" s="1210"/>
      <c r="W260" s="1210"/>
      <c r="X260" s="2120"/>
      <c r="Y260" s="1210"/>
      <c r="Z260" s="2121"/>
      <c r="AA260" s="1210"/>
      <c r="AB260" s="727" t="s">
        <v>1807</v>
      </c>
      <c r="AC260" s="738" t="s">
        <v>1517</v>
      </c>
      <c r="AD260" s="733" t="s">
        <v>831</v>
      </c>
      <c r="AE260" s="729"/>
      <c r="AF260" s="729"/>
      <c r="AG260" s="729"/>
      <c r="AH260" s="722">
        <f t="shared" si="17"/>
        <v>0</v>
      </c>
      <c r="AI260" s="729"/>
      <c r="AJ260" s="729"/>
      <c r="AK260" s="729"/>
      <c r="AL260" s="722">
        <f t="shared" si="16"/>
        <v>0</v>
      </c>
      <c r="AM260" s="723"/>
      <c r="AN260" s="723"/>
      <c r="AO260" s="723"/>
      <c r="AP260" s="1210"/>
      <c r="AQ260" s="1210"/>
      <c r="AR260" s="971" t="s">
        <v>1808</v>
      </c>
      <c r="AS260" s="971"/>
      <c r="AT260" s="971"/>
      <c r="AU260" s="968"/>
      <c r="AV260" s="968"/>
    </row>
    <row r="261" spans="1:48" s="1334" customFormat="1" ht="14.25" customHeight="1" x14ac:dyDescent="0.25">
      <c r="A261" s="1210"/>
      <c r="B261" s="1210"/>
      <c r="C261" s="1210"/>
      <c r="D261" s="1210"/>
      <c r="E261" s="618">
        <v>15</v>
      </c>
      <c r="F261" s="3" t="str" cm="1">
        <f t="array" aca="1" ref="F261" ca="1">OFFSET(E261,-1,1)</f>
        <v>2</v>
      </c>
      <c r="G261" s="1210"/>
      <c r="H261" s="1210"/>
      <c r="I261" s="511" t="s">
        <v>1809</v>
      </c>
      <c r="J261" s="511"/>
      <c r="K261" s="511"/>
      <c r="L261" s="511"/>
      <c r="M261" s="511"/>
      <c r="N261" s="511"/>
      <c r="O261" s="511"/>
      <c r="P261" s="511"/>
      <c r="Q261" s="511"/>
      <c r="R261" s="511"/>
      <c r="S261" s="511"/>
      <c r="T261" s="388" t="b" cm="1">
        <f t="array" aca="1" ref="T261" ca="1">T260</f>
        <v>1</v>
      </c>
      <c r="U261" s="1210"/>
      <c r="V261" s="1210"/>
      <c r="W261" s="1210"/>
      <c r="X261" s="2120"/>
      <c r="Y261" s="1210"/>
      <c r="Z261" s="2121"/>
      <c r="AA261" s="1210"/>
      <c r="AB261" s="739" t="s">
        <v>340</v>
      </c>
      <c r="AC261" s="740" t="s">
        <v>1519</v>
      </c>
      <c r="AD261" s="733" t="s">
        <v>831</v>
      </c>
      <c r="AE261" s="729"/>
      <c r="AF261" s="729"/>
      <c r="AG261" s="729"/>
      <c r="AH261" s="722">
        <f t="shared" si="17"/>
        <v>0</v>
      </c>
      <c r="AI261" s="729"/>
      <c r="AJ261" s="729"/>
      <c r="AK261" s="729"/>
      <c r="AL261" s="722">
        <f t="shared" si="16"/>
        <v>0</v>
      </c>
      <c r="AM261" s="723"/>
      <c r="AN261" s="723"/>
      <c r="AO261" s="723"/>
      <c r="AP261" s="1210"/>
      <c r="AQ261" s="1210"/>
      <c r="AR261" s="971" t="s">
        <v>1520</v>
      </c>
      <c r="AS261" s="971"/>
      <c r="AT261" s="971"/>
      <c r="AU261" s="968"/>
      <c r="AV261" s="968"/>
    </row>
    <row r="262" spans="1:48" s="1334" customFormat="1" ht="14.25" customHeight="1" x14ac:dyDescent="0.25">
      <c r="A262" s="1210"/>
      <c r="B262" s="1210"/>
      <c r="C262" s="1210"/>
      <c r="D262" s="1210"/>
      <c r="E262" s="618">
        <v>15</v>
      </c>
      <c r="F262" s="3" t="str" cm="1">
        <f t="array" aca="1" ref="F262" ca="1">OFFSET(E262,-1,1)</f>
        <v>2</v>
      </c>
      <c r="G262" s="1210"/>
      <c r="H262" s="1210"/>
      <c r="I262" s="511" t="s">
        <v>1810</v>
      </c>
      <c r="J262" s="511"/>
      <c r="K262" s="511"/>
      <c r="L262" s="511"/>
      <c r="M262" s="511"/>
      <c r="N262" s="511"/>
      <c r="O262" s="511"/>
      <c r="P262" s="511"/>
      <c r="Q262" s="511"/>
      <c r="R262" s="511"/>
      <c r="S262" s="511"/>
      <c r="T262" s="388" t="b" cm="1">
        <f t="array" aca="1" ref="T262" ca="1">T261</f>
        <v>1</v>
      </c>
      <c r="U262" s="1210"/>
      <c r="V262" s="1210"/>
      <c r="W262" s="1210"/>
      <c r="X262" s="2120"/>
      <c r="Y262" s="1210"/>
      <c r="Z262" s="2121"/>
      <c r="AA262" s="1210"/>
      <c r="AB262" s="739" t="s">
        <v>1811</v>
      </c>
      <c r="AC262" s="740" t="s">
        <v>1521</v>
      </c>
      <c r="AD262" s="733" t="s">
        <v>831</v>
      </c>
      <c r="AE262" s="729"/>
      <c r="AF262" s="729"/>
      <c r="AG262" s="729"/>
      <c r="AH262" s="722">
        <f t="shared" si="17"/>
        <v>0</v>
      </c>
      <c r="AI262" s="729"/>
      <c r="AJ262" s="729"/>
      <c r="AK262" s="729"/>
      <c r="AL262" s="722">
        <f t="shared" si="16"/>
        <v>0</v>
      </c>
      <c r="AM262" s="723"/>
      <c r="AN262" s="723"/>
      <c r="AO262" s="723"/>
      <c r="AP262" s="1210"/>
      <c r="AQ262" s="1210"/>
      <c r="AR262" s="971" t="s">
        <v>1522</v>
      </c>
      <c r="AS262" s="971"/>
      <c r="AT262" s="971"/>
      <c r="AU262" s="968"/>
      <c r="AV262" s="968"/>
    </row>
    <row r="263" spans="1:48" s="1509" customFormat="1" ht="14.25" customHeight="1" x14ac:dyDescent="0.25">
      <c r="A263" s="512"/>
      <c r="B263" s="512"/>
      <c r="C263" s="512"/>
      <c r="D263" s="512"/>
      <c r="E263" s="620">
        <v>15</v>
      </c>
      <c r="F263" s="3" t="str" cm="1">
        <f t="array" aca="1" ref="F263" ca="1">OFFSET(E263,-1,1)</f>
        <v>2</v>
      </c>
      <c r="G263" s="512"/>
      <c r="H263" s="512"/>
      <c r="I263" s="621" t="s">
        <v>1812</v>
      </c>
      <c r="J263" s="621"/>
      <c r="K263" s="621"/>
      <c r="L263" s="621"/>
      <c r="M263" s="621"/>
      <c r="N263" s="621"/>
      <c r="O263" s="621"/>
      <c r="P263" s="621"/>
      <c r="Q263" s="621"/>
      <c r="R263" s="621"/>
      <c r="S263" s="621"/>
      <c r="T263" s="388" t="b" cm="1">
        <f t="array" aca="1" ref="T263" ca="1">T262</f>
        <v>1</v>
      </c>
      <c r="U263" s="512"/>
      <c r="V263" s="512"/>
      <c r="W263" s="512"/>
      <c r="X263" s="2120"/>
      <c r="Y263" s="512"/>
      <c r="Z263" s="2121"/>
      <c r="AA263" s="512"/>
      <c r="AB263" s="724" t="s">
        <v>1813</v>
      </c>
      <c r="AC263" s="513" t="s">
        <v>1814</v>
      </c>
      <c r="AD263" s="731" t="s">
        <v>831</v>
      </c>
      <c r="AE263" s="708">
        <f ca="1">AE198+AE226+AE231+AE244+AE245+AE247+AE248+AE249+AE253+AE254-AE255-AE256+AE257-AE258+AE261+AE262</f>
        <v>96022.244133432105</v>
      </c>
      <c r="AF263" s="708">
        <f ca="1">AF198+AF226+AF231+AF244+AF245+AF247+AF248+AF249+AF253+AF254-AF255-AF256+AF257-AF258+AF261+AF262</f>
        <v>31413.790000000005</v>
      </c>
      <c r="AG263" s="708">
        <f ca="1">AG198+AG226+AG231+AG244+AG245+AG247+AG248+AG249+AG253+AG254-AG255-AG256+AG257-AG258+AG261+AG262</f>
        <v>26742.55461392389</v>
      </c>
      <c r="AH263" s="721">
        <f t="shared" ca="1" si="17"/>
        <v>-4671.2353860761141</v>
      </c>
      <c r="AI263" s="708">
        <f ca="1">AI198+AI226+AI231+AI244+AI245+AI247+AI248+AI249+AI253+AI254-AI255-AI256+AI257-AI258+AI261+AI262</f>
        <v>29058.715587792303</v>
      </c>
      <c r="AJ263" s="708">
        <f ca="1">AJ198+AJ226+AJ231+AJ244+AJ245+AJ247+AJ248+AJ249+AJ253+AJ254-AJ255-AJ256+AJ257-AJ258+AJ261+AJ262</f>
        <v>36566.090000000004</v>
      </c>
      <c r="AK263" s="708">
        <f ca="1">AK198+AK226+AK231+AK244+AK245+AK247+AK248+AK249+AK253+AK254-AK255-AK256+AK257-AK258+AK261+AK262</f>
        <v>14522.828779999998</v>
      </c>
      <c r="AL263" s="721">
        <f t="shared" ca="1" si="16"/>
        <v>-50.022468349904969</v>
      </c>
      <c r="AM263" s="726"/>
      <c r="AN263" s="726"/>
      <c r="AO263" s="726"/>
      <c r="AP263" s="512"/>
      <c r="AQ263" s="512"/>
      <c r="AR263" s="972" t="s">
        <v>1815</v>
      </c>
      <c r="AS263" s="972"/>
      <c r="AT263" s="972"/>
      <c r="AU263" s="620"/>
      <c r="AV263" s="620"/>
    </row>
    <row r="264" spans="1:48" s="1334" customFormat="1" ht="15" hidden="1" customHeight="1" x14ac:dyDescent="0.25">
      <c r="A264" s="1210"/>
      <c r="B264" s="501" t="b">
        <f>G197="двухставочный"</f>
        <v>0</v>
      </c>
      <c r="C264" s="1210"/>
      <c r="D264" s="1210"/>
      <c r="E264" s="618">
        <v>0</v>
      </c>
      <c r="F264" s="3" t="str" cm="1">
        <f t="array" aca="1" ref="F264" ca="1">OFFSET(E264,-1,1)</f>
        <v>2</v>
      </c>
      <c r="G264" s="1210"/>
      <c r="H264" s="1210"/>
      <c r="I264" s="511" t="s">
        <v>1816</v>
      </c>
      <c r="J264" s="511"/>
      <c r="K264" s="511"/>
      <c r="L264" s="511"/>
      <c r="M264" s="511"/>
      <c r="N264" s="511"/>
      <c r="O264" s="511"/>
      <c r="P264" s="511"/>
      <c r="Q264" s="511"/>
      <c r="R264" s="511"/>
      <c r="S264" s="511"/>
      <c r="T264" s="388" t="b" cm="1">
        <f t="array" aca="1" ref="T264" ca="1">T263</f>
        <v>1</v>
      </c>
      <c r="U264" s="1210"/>
      <c r="V264" s="1210"/>
      <c r="W264" s="1210"/>
      <c r="X264" s="2120"/>
      <c r="Y264" s="1210"/>
      <c r="Z264" s="2121"/>
      <c r="AA264" s="1210"/>
      <c r="AB264" s="727" t="s">
        <v>1817</v>
      </c>
      <c r="AC264" s="738" t="s">
        <v>1818</v>
      </c>
      <c r="AD264" s="733" t="s">
        <v>831</v>
      </c>
      <c r="AE264" s="729"/>
      <c r="AF264" s="729"/>
      <c r="AG264" s="729"/>
      <c r="AH264" s="722">
        <f t="shared" si="17"/>
        <v>0</v>
      </c>
      <c r="AI264" s="729"/>
      <c r="AJ264" s="1464"/>
      <c r="AK264" s="1464"/>
      <c r="AL264" s="722">
        <f t="shared" si="16"/>
        <v>0</v>
      </c>
      <c r="AM264" s="1461"/>
      <c r="AN264" s="1461"/>
      <c r="AO264" s="1461"/>
      <c r="AP264" s="1210"/>
      <c r="AQ264" s="1210"/>
      <c r="AR264" s="971" t="s">
        <v>1819</v>
      </c>
      <c r="AS264" s="971"/>
      <c r="AT264" s="971"/>
      <c r="AU264" s="968"/>
      <c r="AV264" s="968"/>
    </row>
    <row r="265" spans="1:48" s="1334" customFormat="1" ht="15" hidden="1" customHeight="1" x14ac:dyDescent="0.25">
      <c r="A265" s="1210"/>
      <c r="B265" s="501" t="b">
        <f>G197="двухставочный"</f>
        <v>0</v>
      </c>
      <c r="C265" s="1210"/>
      <c r="D265" s="1210"/>
      <c r="E265" s="618">
        <v>0</v>
      </c>
      <c r="F265" s="3" t="str" cm="1">
        <f t="array" aca="1" ref="F265" ca="1">OFFSET(E265,-1,1)</f>
        <v>2</v>
      </c>
      <c r="G265" s="1210"/>
      <c r="H265" s="1210"/>
      <c r="I265" s="511" t="s">
        <v>1820</v>
      </c>
      <c r="J265" s="511"/>
      <c r="K265" s="511"/>
      <c r="L265" s="511"/>
      <c r="M265" s="511"/>
      <c r="N265" s="511"/>
      <c r="O265" s="511"/>
      <c r="P265" s="511"/>
      <c r="Q265" s="511"/>
      <c r="R265" s="511"/>
      <c r="S265" s="511"/>
      <c r="T265" s="388" t="b" cm="1">
        <f t="array" aca="1" ref="T265" ca="1">T264</f>
        <v>1</v>
      </c>
      <c r="U265" s="1210"/>
      <c r="V265" s="1210"/>
      <c r="W265" s="1210"/>
      <c r="X265" s="2120"/>
      <c r="Y265" s="1210"/>
      <c r="Z265" s="2121"/>
      <c r="AA265" s="1210"/>
      <c r="AB265" s="727" t="s">
        <v>1821</v>
      </c>
      <c r="AC265" s="738" t="s">
        <v>1822</v>
      </c>
      <c r="AD265" s="733" t="s">
        <v>831</v>
      </c>
      <c r="AE265" s="729"/>
      <c r="AF265" s="729"/>
      <c r="AG265" s="729"/>
      <c r="AH265" s="722">
        <f t="shared" si="17"/>
        <v>0</v>
      </c>
      <c r="AI265" s="729"/>
      <c r="AJ265" s="1464"/>
      <c r="AK265" s="1464"/>
      <c r="AL265" s="722">
        <f t="shared" si="16"/>
        <v>0</v>
      </c>
      <c r="AM265" s="1461"/>
      <c r="AN265" s="1461"/>
      <c r="AO265" s="1461"/>
      <c r="AP265" s="1210"/>
      <c r="AQ265" s="1210"/>
      <c r="AR265" s="971" t="s">
        <v>1823</v>
      </c>
      <c r="AS265" s="971"/>
      <c r="AT265" s="971"/>
      <c r="AU265" s="968"/>
      <c r="AV265" s="968"/>
    </row>
    <row r="266" spans="1:48" s="1510" customFormat="1" ht="14.25" customHeight="1" x14ac:dyDescent="0.25">
      <c r="A266" s="512"/>
      <c r="B266" s="512"/>
      <c r="C266" s="512"/>
      <c r="D266" s="512"/>
      <c r="E266" s="620">
        <v>15</v>
      </c>
      <c r="F266" s="3" t="str" cm="1">
        <f t="array" aca="1" ref="F266" ca="1">OFFSET(E266,-1,1)</f>
        <v>2</v>
      </c>
      <c r="G266" s="502" t="s">
        <v>1597</v>
      </c>
      <c r="H266" s="512"/>
      <c r="I266" s="621" t="s">
        <v>1824</v>
      </c>
      <c r="J266" s="621"/>
      <c r="K266" s="621"/>
      <c r="L266" s="621"/>
      <c r="M266" s="621"/>
      <c r="N266" s="621"/>
      <c r="O266" s="621"/>
      <c r="P266" s="621"/>
      <c r="Q266" s="621"/>
      <c r="R266" s="621"/>
      <c r="S266" s="621"/>
      <c r="T266" s="388" t="b" cm="1">
        <f t="array" aca="1" ref="T266" ca="1">T265</f>
        <v>1</v>
      </c>
      <c r="U266" s="512"/>
      <c r="V266" s="512"/>
      <c r="W266" s="512"/>
      <c r="X266" s="2120"/>
      <c r="Y266" s="512"/>
      <c r="Z266" s="2121"/>
      <c r="AA266" s="512"/>
      <c r="AB266" s="724" t="s">
        <v>1825</v>
      </c>
      <c r="AC266" s="513" t="s">
        <v>1826</v>
      </c>
      <c r="AD266" s="731" t="s">
        <v>563</v>
      </c>
      <c r="AE266" s="741">
        <f ca="1">SUMIFS(Баланс!AE$26:AE$300,Баланс!$F$26:$F$300,$F266,Баланс!$G$26:$G$300,"ПО")</f>
        <v>2881.4542799999999</v>
      </c>
      <c r="AF266" s="741">
        <f ca="1">SUMIFS(Баланс!AF$26:AF$300,Баланс!$F$26:$F$300,$F266,Баланс!$G$26:$G$300,"ПО")</f>
        <v>2636.9479999999999</v>
      </c>
      <c r="AG266" s="741">
        <f ca="1">SUMIFS(Баланс!AG$26:AG$300,Баланс!$F$26:$F$300,$F266,Баланс!$G$26:$G$300,"ПО")</f>
        <v>2636.9479999999999</v>
      </c>
      <c r="AH266" s="741">
        <f t="shared" ca="1" si="17"/>
        <v>0</v>
      </c>
      <c r="AI266" s="741">
        <f ca="1">SUMIFS(Баланс!AH$26:AH$300,Баланс!$F$26:$F$300,$F266,Баланс!$G$26:$G$300,"ПО")</f>
        <v>2881.4542799999999</v>
      </c>
      <c r="AJ266" s="741">
        <f ca="1">SUMIFS(Баланс!AI$26:AI$300,Баланс!$F$26:$F$300,$F266,Баланс!$G$26:$G$300,"ПО")</f>
        <v>2636.9479999999999</v>
      </c>
      <c r="AK266" s="741">
        <f ca="1">SUMIFS(Баланс!AS$26:AS$300,Баланс!$F$26:$F$300,$F266,Баланс!$G$26:$G$300,"ПО")</f>
        <v>2451.4411899999996</v>
      </c>
      <c r="AL266" s="742"/>
      <c r="AM266" s="726"/>
      <c r="AN266" s="726"/>
      <c r="AO266" s="726"/>
      <c r="AP266" s="512"/>
      <c r="AQ266" s="512"/>
      <c r="AR266" s="972" t="s">
        <v>1827</v>
      </c>
      <c r="AS266" s="972"/>
      <c r="AT266" s="972"/>
      <c r="AU266" s="620"/>
      <c r="AV266" s="620"/>
    </row>
    <row r="267" spans="1:48" s="1334" customFormat="1" ht="14.25" customHeight="1" x14ac:dyDescent="0.25">
      <c r="A267" s="1210"/>
      <c r="B267" s="1210"/>
      <c r="C267" s="1210"/>
      <c r="D267" s="1210"/>
      <c r="E267" s="618">
        <v>15</v>
      </c>
      <c r="F267" s="3" t="str" cm="1">
        <f t="array" aca="1" ref="F267" ca="1">OFFSET(E267,-1,1)</f>
        <v>2</v>
      </c>
      <c r="G267" s="502" t="s">
        <v>1624</v>
      </c>
      <c r="H267" s="1210"/>
      <c r="I267" s="511" t="s">
        <v>1828</v>
      </c>
      <c r="J267" s="511"/>
      <c r="K267" s="511"/>
      <c r="L267" s="511"/>
      <c r="M267" s="511"/>
      <c r="N267" s="511"/>
      <c r="O267" s="511"/>
      <c r="P267" s="511"/>
      <c r="Q267" s="511"/>
      <c r="R267" s="511"/>
      <c r="S267" s="511"/>
      <c r="T267" s="388" t="b" cm="1">
        <f t="array" aca="1" ref="T267" ca="1">T266</f>
        <v>1</v>
      </c>
      <c r="U267" s="1210"/>
      <c r="V267" s="1210"/>
      <c r="W267" s="1210"/>
      <c r="X267" s="2120"/>
      <c r="Y267" s="1210"/>
      <c r="Z267" s="2121"/>
      <c r="AA267" s="1210"/>
      <c r="AB267" s="727" t="s">
        <v>1829</v>
      </c>
      <c r="AC267" s="1019" t="s">
        <v>1830</v>
      </c>
      <c r="AD267" s="733" t="s">
        <v>563</v>
      </c>
      <c r="AE267" s="743">
        <f ca="1">AE266/2</f>
        <v>1440.72714</v>
      </c>
      <c r="AF267" s="743">
        <f ca="1">AF266/2</f>
        <v>1318.4739999999999</v>
      </c>
      <c r="AG267" s="743">
        <f ca="1">AG266/2</f>
        <v>1318.4739999999999</v>
      </c>
      <c r="AH267" s="744">
        <f t="shared" ca="1" si="17"/>
        <v>0</v>
      </c>
      <c r="AI267" s="743">
        <f ca="1">AI266/2</f>
        <v>1440.72714</v>
      </c>
      <c r="AJ267" s="743">
        <f ca="1">IF(god=2026,AJ266/12*9,AJ266/2)</f>
        <v>1977.711</v>
      </c>
      <c r="AK267" s="743">
        <f ca="1">IF(god=2026,AK266/12*9,AK266/2)</f>
        <v>1838.5808924999997</v>
      </c>
      <c r="AL267" s="736"/>
      <c r="AM267" s="723"/>
      <c r="AN267" s="723"/>
      <c r="AO267" s="723"/>
      <c r="AP267" s="1210"/>
      <c r="AQ267" s="1210"/>
      <c r="AR267" s="971" t="s">
        <v>1831</v>
      </c>
      <c r="AS267" s="971"/>
      <c r="AT267" s="971"/>
      <c r="AU267" s="968"/>
      <c r="AV267" s="968"/>
    </row>
    <row r="268" spans="1:48" s="1334" customFormat="1" ht="14.25" customHeight="1" x14ac:dyDescent="0.25">
      <c r="A268" s="1210"/>
      <c r="B268" s="1210"/>
      <c r="C268" s="1210"/>
      <c r="D268" s="1210"/>
      <c r="E268" s="618">
        <v>15</v>
      </c>
      <c r="F268" s="3" t="str" cm="1">
        <f t="array" aca="1" ref="F268" ca="1">OFFSET(E268,-1,1)</f>
        <v>2</v>
      </c>
      <c r="G268" s="502" t="s">
        <v>1585</v>
      </c>
      <c r="H268" s="1210"/>
      <c r="I268" s="511" t="s">
        <v>1832</v>
      </c>
      <c r="J268" s="511"/>
      <c r="K268" s="511"/>
      <c r="L268" s="511"/>
      <c r="M268" s="511"/>
      <c r="N268" s="511"/>
      <c r="O268" s="511"/>
      <c r="P268" s="511"/>
      <c r="Q268" s="511"/>
      <c r="R268" s="511"/>
      <c r="S268" s="511"/>
      <c r="T268" s="388" t="b" cm="1">
        <f t="array" aca="1" ref="T268" ca="1">T267</f>
        <v>1</v>
      </c>
      <c r="U268" s="1210"/>
      <c r="V268" s="1210"/>
      <c r="W268" s="1210"/>
      <c r="X268" s="2120"/>
      <c r="Y268" s="1210"/>
      <c r="Z268" s="2121"/>
      <c r="AA268" s="1210"/>
      <c r="AB268" s="727" t="s">
        <v>1833</v>
      </c>
      <c r="AC268" s="1019" t="s">
        <v>1834</v>
      </c>
      <c r="AD268" s="733" t="s">
        <v>1588</v>
      </c>
      <c r="AE268" s="729"/>
      <c r="AF268" s="729"/>
      <c r="AG268" s="729"/>
      <c r="AH268" s="722">
        <f t="shared" si="17"/>
        <v>0</v>
      </c>
      <c r="AI268" s="729"/>
      <c r="AJ268" s="729"/>
      <c r="AK268" s="729"/>
      <c r="AL268" s="736"/>
      <c r="AM268" s="723"/>
      <c r="AN268" s="723"/>
      <c r="AO268" s="723"/>
      <c r="AP268" s="1210"/>
      <c r="AQ268" s="1210"/>
      <c r="AR268" s="971" t="s">
        <v>1835</v>
      </c>
      <c r="AS268" s="971"/>
      <c r="AT268" s="971"/>
      <c r="AU268" s="968"/>
      <c r="AV268" s="968"/>
    </row>
    <row r="269" spans="1:48" s="1334" customFormat="1" ht="14.25" customHeight="1" x14ac:dyDescent="0.25">
      <c r="A269" s="1210"/>
      <c r="B269" s="1210"/>
      <c r="C269" s="1210"/>
      <c r="D269" s="1210"/>
      <c r="E269" s="618">
        <v>15</v>
      </c>
      <c r="F269" s="3" t="str" cm="1">
        <f t="array" aca="1" ref="F269" ca="1">OFFSET(E269,-1,1)</f>
        <v>2</v>
      </c>
      <c r="G269" s="502" t="s">
        <v>1637</v>
      </c>
      <c r="H269" s="1210"/>
      <c r="I269" s="511" t="s">
        <v>1836</v>
      </c>
      <c r="J269" s="511"/>
      <c r="K269" s="511"/>
      <c r="L269" s="511"/>
      <c r="M269" s="511"/>
      <c r="N269" s="511"/>
      <c r="O269" s="511"/>
      <c r="P269" s="511"/>
      <c r="Q269" s="511"/>
      <c r="R269" s="511"/>
      <c r="S269" s="511"/>
      <c r="T269" s="388" t="b" cm="1">
        <f t="array" aca="1" ref="T269" ca="1">T268</f>
        <v>1</v>
      </c>
      <c r="U269" s="1210"/>
      <c r="V269" s="1210"/>
      <c r="W269" s="1210"/>
      <c r="X269" s="2120"/>
      <c r="Y269" s="1210"/>
      <c r="Z269" s="2121"/>
      <c r="AA269" s="1210"/>
      <c r="AB269" s="727" t="s">
        <v>1837</v>
      </c>
      <c r="AC269" s="1019" t="s">
        <v>1838</v>
      </c>
      <c r="AD269" s="733" t="s">
        <v>563</v>
      </c>
      <c r="AE269" s="744">
        <f ca="1">AE266-AE267</f>
        <v>1440.72714</v>
      </c>
      <c r="AF269" s="744">
        <f ca="1">AF266-AF267</f>
        <v>1318.4739999999999</v>
      </c>
      <c r="AG269" s="744">
        <f ca="1">AG266-AG267</f>
        <v>1318.4739999999999</v>
      </c>
      <c r="AH269" s="744">
        <f t="shared" ca="1" si="17"/>
        <v>0</v>
      </c>
      <c r="AI269" s="744">
        <f ca="1">AI266-AI267</f>
        <v>1440.72714</v>
      </c>
      <c r="AJ269" s="744">
        <f ca="1">AJ266-AJ267</f>
        <v>659.23699999999985</v>
      </c>
      <c r="AK269" s="744">
        <f ca="1">AK266-AK267</f>
        <v>612.86029749999989</v>
      </c>
      <c r="AL269" s="736"/>
      <c r="AM269" s="723"/>
      <c r="AN269" s="723"/>
      <c r="AO269" s="723"/>
      <c r="AP269" s="1210"/>
      <c r="AQ269" s="1210"/>
      <c r="AR269" s="971" t="s">
        <v>1839</v>
      </c>
      <c r="AS269" s="971"/>
      <c r="AT269" s="971"/>
      <c r="AU269" s="968"/>
      <c r="AV269" s="968"/>
    </row>
    <row r="270" spans="1:48" s="1334" customFormat="1" ht="14.25" customHeight="1" x14ac:dyDescent="0.25">
      <c r="A270" s="1210"/>
      <c r="B270" s="1210"/>
      <c r="C270" s="1210"/>
      <c r="D270" s="1210"/>
      <c r="E270" s="618">
        <v>15</v>
      </c>
      <c r="F270" s="3" t="str" cm="1">
        <f t="array" aca="1" ref="F270" ca="1">OFFSET(E270,-1,1)</f>
        <v>2</v>
      </c>
      <c r="G270" s="502" t="s">
        <v>1590</v>
      </c>
      <c r="H270" s="1210"/>
      <c r="I270" s="511" t="s">
        <v>1840</v>
      </c>
      <c r="J270" s="511"/>
      <c r="K270" s="511"/>
      <c r="L270" s="511"/>
      <c r="M270" s="511"/>
      <c r="N270" s="511"/>
      <c r="O270" s="511"/>
      <c r="P270" s="511"/>
      <c r="Q270" s="511"/>
      <c r="R270" s="511"/>
      <c r="S270" s="511"/>
      <c r="T270" s="388" t="b" cm="1">
        <f t="array" aca="1" ref="T270" ca="1">T269</f>
        <v>1</v>
      </c>
      <c r="U270" s="1210"/>
      <c r="V270" s="1210"/>
      <c r="W270" s="1210"/>
      <c r="X270" s="2120"/>
      <c r="Y270" s="1210"/>
      <c r="Z270" s="2121"/>
      <c r="AA270" s="1210"/>
      <c r="AB270" s="727" t="s">
        <v>1841</v>
      </c>
      <c r="AC270" s="1019" t="s">
        <v>1842</v>
      </c>
      <c r="AD270" s="733" t="s">
        <v>1588</v>
      </c>
      <c r="AE270" s="729">
        <f ca="1">IF(AE269=0,0,(AE263-AE267*AE268)/AE269)</f>
        <v>66.648459286629461</v>
      </c>
      <c r="AF270" s="729">
        <f ca="1">IF(AF269=0,0,(AF263-AF267*AF268)/AF269)</f>
        <v>23.825869907180579</v>
      </c>
      <c r="AG270" s="729">
        <f ca="1">IF(AG269=0,0,(AG263-AG267*AG268)/AG269)</f>
        <v>20.282959401492857</v>
      </c>
      <c r="AH270" s="722">
        <f t="shared" ca="1" si="17"/>
        <v>-3.5429105056877219</v>
      </c>
      <c r="AI270" s="729">
        <f ca="1">IF(AI269=0,0,(AI263-AI267*AI268)/AI269)</f>
        <v>20.169478856206112</v>
      </c>
      <c r="AJ270" s="729">
        <f ca="1">IF(AJ269=0,0,(AJ263-AJ267*AJ268)/AJ269)</f>
        <v>55.467290215810117</v>
      </c>
      <c r="AK270" s="729">
        <f ca="1">IF(AK269=0,0,(AK263-AK267*AK268)/AK269)</f>
        <v>23.696801439483036</v>
      </c>
      <c r="AL270" s="736"/>
      <c r="AM270" s="723"/>
      <c r="AN270" s="723"/>
      <c r="AO270" s="723"/>
      <c r="AP270" s="1210"/>
      <c r="AQ270" s="1210"/>
      <c r="AR270" s="971" t="s">
        <v>1843</v>
      </c>
      <c r="AS270" s="971"/>
      <c r="AT270" s="971"/>
      <c r="AU270" s="968"/>
      <c r="AV270" s="968"/>
    </row>
    <row r="271" spans="1:48" s="1334" customFormat="1" ht="14.25" customHeight="1" x14ac:dyDescent="0.25">
      <c r="A271" s="1210"/>
      <c r="B271" s="1210"/>
      <c r="C271" s="1210"/>
      <c r="D271" s="1210"/>
      <c r="E271" s="618">
        <v>15</v>
      </c>
      <c r="F271" s="3" t="str" cm="1">
        <f t="array" aca="1" ref="F271" ca="1">OFFSET(E271,-1,1)</f>
        <v>2</v>
      </c>
      <c r="G271" s="502"/>
      <c r="H271" s="1210"/>
      <c r="I271" s="511" t="s">
        <v>1844</v>
      </c>
      <c r="J271" s="511"/>
      <c r="K271" s="511"/>
      <c r="L271" s="511"/>
      <c r="M271" s="511"/>
      <c r="N271" s="511"/>
      <c r="O271" s="511"/>
      <c r="P271" s="511"/>
      <c r="Q271" s="511"/>
      <c r="R271" s="511"/>
      <c r="S271" s="511"/>
      <c r="T271" s="388" t="b" cm="1">
        <f t="array" aca="1" ref="T271" ca="1">T270</f>
        <v>1</v>
      </c>
      <c r="U271" s="1210"/>
      <c r="V271" s="1210"/>
      <c r="W271" s="1210"/>
      <c r="X271" s="2120"/>
      <c r="Y271" s="1210"/>
      <c r="Z271" s="2121"/>
      <c r="AA271" s="1210"/>
      <c r="AB271" s="727" t="s">
        <v>1845</v>
      </c>
      <c r="AC271" s="1019" t="s">
        <v>1846</v>
      </c>
      <c r="AD271" s="733" t="s">
        <v>490</v>
      </c>
      <c r="AE271" s="722">
        <f>IF(AE268=0,0,AE270/AE268*100)</f>
        <v>0</v>
      </c>
      <c r="AF271" s="722">
        <f>IF(AF268=0,0,AF270/AF268*100)</f>
        <v>0</v>
      </c>
      <c r="AG271" s="722">
        <f>IF(AG268=0,0,AG270/AG268*100)</f>
        <v>0</v>
      </c>
      <c r="AH271" s="736"/>
      <c r="AI271" s="722">
        <f>IF(AI268=0,0,AI270/AI268*100)</f>
        <v>0</v>
      </c>
      <c r="AJ271" s="722">
        <f>IF(AJ268=0,0,AJ270/AJ268*100)</f>
        <v>0</v>
      </c>
      <c r="AK271" s="722">
        <f>IF(AK268=0,0,AK270/AK268*100)</f>
        <v>0</v>
      </c>
      <c r="AL271" s="736"/>
      <c r="AM271" s="723"/>
      <c r="AN271" s="723"/>
      <c r="AO271" s="723"/>
      <c r="AP271" s="1210"/>
      <c r="AQ271" s="1210"/>
      <c r="AR271" s="971" t="s">
        <v>1847</v>
      </c>
      <c r="AS271" s="971"/>
      <c r="AT271" s="971"/>
      <c r="AU271" s="968"/>
      <c r="AV271" s="968"/>
    </row>
    <row r="272" spans="1:48" s="1334" customFormat="1" ht="14.25" customHeight="1" x14ac:dyDescent="0.25">
      <c r="A272" s="1210"/>
      <c r="B272" s="1210"/>
      <c r="C272" s="1210"/>
      <c r="D272" s="1210"/>
      <c r="E272" s="618">
        <v>15</v>
      </c>
      <c r="F272" s="3" t="str" cm="1">
        <f t="array" aca="1" ref="F272" ca="1">OFFSET(E272,-1,1)</f>
        <v>2</v>
      </c>
      <c r="G272" s="502"/>
      <c r="H272" s="1210"/>
      <c r="I272" s="511" t="s">
        <v>1848</v>
      </c>
      <c r="J272" s="511"/>
      <c r="K272" s="511"/>
      <c r="L272" s="511"/>
      <c r="M272" s="511"/>
      <c r="N272" s="511"/>
      <c r="O272" s="511"/>
      <c r="P272" s="511"/>
      <c r="Q272" s="511"/>
      <c r="R272" s="511"/>
      <c r="S272" s="511"/>
      <c r="T272" s="388" t="b" cm="1">
        <f t="array" aca="1" ref="T272" ca="1">T271</f>
        <v>1</v>
      </c>
      <c r="U272" s="1210"/>
      <c r="V272" s="1210"/>
      <c r="W272" s="1210"/>
      <c r="X272" s="2120"/>
      <c r="Y272" s="1210"/>
      <c r="Z272" s="2121"/>
      <c r="AA272" s="1210"/>
      <c r="AB272" s="727" t="s">
        <v>1849</v>
      </c>
      <c r="AC272" s="1019" t="s">
        <v>1850</v>
      </c>
      <c r="AD272" s="733" t="s">
        <v>1588</v>
      </c>
      <c r="AE272" s="729">
        <f ca="1">IF(AE266=0,0,AE263/AE266)</f>
        <v>33.32422964331473</v>
      </c>
      <c r="AF272" s="729">
        <f ca="1">IF(AF266=0,0,AF263/AF266)</f>
        <v>11.912934953590289</v>
      </c>
      <c r="AG272" s="729">
        <f ca="1">IF(AG266=0,0,AG263/AG266)</f>
        <v>10.141479700746428</v>
      </c>
      <c r="AH272" s="722">
        <f ca="1">AG272-AF272</f>
        <v>-1.771455252843861</v>
      </c>
      <c r="AI272" s="729">
        <f ca="1">IF(AI266=0,0,AI263/AI266)</f>
        <v>10.084739428103056</v>
      </c>
      <c r="AJ272" s="729">
        <f ca="1">IF(AJ266=0,0,AJ263/AJ266)</f>
        <v>13.866822553952526</v>
      </c>
      <c r="AK272" s="729">
        <f ca="1">IF(AK266=0,0,AK263/AK266)</f>
        <v>5.9242003598707589</v>
      </c>
      <c r="AL272" s="736"/>
      <c r="AM272" s="723"/>
      <c r="AN272" s="723"/>
      <c r="AO272" s="723"/>
      <c r="AP272" s="1210"/>
      <c r="AQ272" s="1210"/>
      <c r="AR272" s="971" t="s">
        <v>1851</v>
      </c>
      <c r="AS272" s="971"/>
      <c r="AT272" s="971"/>
      <c r="AU272" s="968"/>
      <c r="AV272" s="968"/>
    </row>
    <row r="273" spans="1:48" s="1511" customFormat="1" ht="14.25" customHeight="1" x14ac:dyDescent="0.25">
      <c r="A273" s="512"/>
      <c r="B273" s="512"/>
      <c r="C273" s="512"/>
      <c r="D273" s="512"/>
      <c r="E273" s="620">
        <v>15</v>
      </c>
      <c r="F273" s="3" t="str" cm="1">
        <f t="array" aca="1" ref="F273" ca="1">OFFSET(E273,-1,1)</f>
        <v>2</v>
      </c>
      <c r="G273" s="623"/>
      <c r="H273" s="512"/>
      <c r="I273" s="621" t="s">
        <v>1852</v>
      </c>
      <c r="J273" s="621"/>
      <c r="K273" s="621"/>
      <c r="L273" s="621"/>
      <c r="M273" s="621"/>
      <c r="N273" s="621"/>
      <c r="O273" s="621"/>
      <c r="P273" s="621"/>
      <c r="Q273" s="621"/>
      <c r="R273" s="621"/>
      <c r="S273" s="621"/>
      <c r="T273" s="388" t="b" cm="1">
        <f t="array" aca="1" ref="T273" ca="1">T272</f>
        <v>1</v>
      </c>
      <c r="U273" s="512"/>
      <c r="V273" s="512"/>
      <c r="W273" s="512"/>
      <c r="X273" s="2120"/>
      <c r="Y273" s="512"/>
      <c r="Z273" s="2121"/>
      <c r="AA273" s="512"/>
      <c r="AB273" s="724" t="s">
        <v>1853</v>
      </c>
      <c r="AC273" s="131" t="s">
        <v>1854</v>
      </c>
      <c r="AD273" s="731" t="s">
        <v>831</v>
      </c>
      <c r="AE273" s="1141">
        <f ca="1">IF(AE266=0,0,AE263/AE266*AE274)</f>
        <v>68353.675113381221</v>
      </c>
      <c r="AF273" s="1141">
        <f ca="1">IF(AF266=0,0,AF263/AF266*AF274)</f>
        <v>17879.766683795056</v>
      </c>
      <c r="AG273" s="1141">
        <f ca="1">IF(AG266=0,0,AG263/AG266*AG274)</f>
        <v>15221.04263845929</v>
      </c>
      <c r="AH273" s="708">
        <f ca="1">AH275*AH276+AH277*AH278</f>
        <v>0</v>
      </c>
      <c r="AI273" s="1141">
        <f ca="1">IF(AI266=0,0,AI263/AI266*AI274)</f>
        <v>20685.519510874889</v>
      </c>
      <c r="AJ273" s="1141">
        <f ca="1">IF(AJ266=0,0,AJ263/AJ266*AJ274)</f>
        <v>20812.297966550726</v>
      </c>
      <c r="AK273" s="1141">
        <f ca="1">IF(AK266=0,0,AK263/AK266*AK274)</f>
        <v>8454.443928446628</v>
      </c>
      <c r="AL273" s="721">
        <f ca="1">IF(AI273=0,0,(AK273-AI273)/AI273*100)</f>
        <v>-59.128684566022535</v>
      </c>
      <c r="AM273" s="726"/>
      <c r="AN273" s="726"/>
      <c r="AO273" s="726"/>
      <c r="AP273" s="512"/>
      <c r="AQ273" s="512"/>
      <c r="AR273" s="972" t="s">
        <v>1855</v>
      </c>
      <c r="AS273" s="972"/>
      <c r="AT273" s="972"/>
      <c r="AU273" s="620"/>
      <c r="AV273" s="620"/>
    </row>
    <row r="274" spans="1:48" s="1512" customFormat="1" ht="14.25" customHeight="1" x14ac:dyDescent="0.25">
      <c r="A274" s="512"/>
      <c r="B274" s="512"/>
      <c r="C274" s="512"/>
      <c r="D274" s="512"/>
      <c r="E274" s="620">
        <v>15</v>
      </c>
      <c r="F274" s="3" t="str" cm="1">
        <f t="array" aca="1" ref="F274" ca="1">OFFSET(E274,-1,1)</f>
        <v>2</v>
      </c>
      <c r="G274" s="502" t="s">
        <v>1610</v>
      </c>
      <c r="H274" s="512"/>
      <c r="I274" s="621" t="s">
        <v>1856</v>
      </c>
      <c r="J274" s="621"/>
      <c r="K274" s="621"/>
      <c r="L274" s="621"/>
      <c r="M274" s="621"/>
      <c r="N274" s="621"/>
      <c r="O274" s="621"/>
      <c r="P274" s="621"/>
      <c r="Q274" s="621"/>
      <c r="R274" s="621"/>
      <c r="S274" s="621"/>
      <c r="T274" s="388" t="b" cm="1">
        <f t="array" aca="1" ref="T274" ca="1">T273</f>
        <v>1</v>
      </c>
      <c r="U274" s="512"/>
      <c r="V274" s="512"/>
      <c r="W274" s="512"/>
      <c r="X274" s="2120"/>
      <c r="Y274" s="512"/>
      <c r="Z274" s="2121"/>
      <c r="AA274" s="512"/>
      <c r="AB274" s="724" t="s">
        <v>1857</v>
      </c>
      <c r="AC274" s="131" t="s">
        <v>1858</v>
      </c>
      <c r="AD274" s="731" t="s">
        <v>563</v>
      </c>
      <c r="AE274" s="741">
        <f ca="1">SUMIFS(Баланс!AE$26:AE$300,Баланс!$F$26:$F$300,$F274,Баланс!$G$26:$G$300,"население")</f>
        <v>2051.1704500000001</v>
      </c>
      <c r="AF274" s="741">
        <f ca="1">SUMIFS(Баланс!AF$26:AF$300,Баланс!$F$26:$F$300,$F274,Баланс!$G$26:$G$300,"население")</f>
        <v>1500.87</v>
      </c>
      <c r="AG274" s="741">
        <f ca="1">SUMIFS(Баланс!AG$26:AG$300,Баланс!$F$26:$F$300,$F274,Баланс!$G$26:$G$300,"население")</f>
        <v>1500.87</v>
      </c>
      <c r="AH274" s="741">
        <f t="shared" ref="AH274:AH281" ca="1" si="18">AG274-AF274</f>
        <v>0</v>
      </c>
      <c r="AI274" s="741">
        <f ca="1">SUMIFS(Баланс!AH$26:AH$300,Баланс!$F$26:$F$300,$F274,Баланс!$G$26:$G$300,"население")</f>
        <v>2051.1704500000001</v>
      </c>
      <c r="AJ274" s="741">
        <f ca="1">SUMIFS(Баланс!AI$26:AI$300,Баланс!$F$26:$F$300,$F274,Баланс!$G$26:$G$300,"население")</f>
        <v>1500.87</v>
      </c>
      <c r="AK274" s="741">
        <f ca="1">SUMIFS(Баланс!AS$26:AS$300,Баланс!$F$26:$F$300,$F274,Баланс!$G$26:$G$300,"население")</f>
        <v>1427.1029699999999</v>
      </c>
      <c r="AL274" s="742"/>
      <c r="AM274" s="726"/>
      <c r="AN274" s="726"/>
      <c r="AO274" s="726"/>
      <c r="AP274" s="512"/>
      <c r="AQ274" s="512"/>
      <c r="AR274" s="972" t="s">
        <v>1859</v>
      </c>
      <c r="AS274" s="972"/>
      <c r="AT274" s="972"/>
      <c r="AU274" s="620"/>
      <c r="AV274" s="620"/>
    </row>
    <row r="275" spans="1:48" s="1334" customFormat="1" ht="14.25" customHeight="1" x14ac:dyDescent="0.25">
      <c r="A275" s="1210"/>
      <c r="B275" s="1210"/>
      <c r="C275" s="1210"/>
      <c r="D275" s="1210"/>
      <c r="E275" s="618">
        <v>15</v>
      </c>
      <c r="F275" s="3" t="str" cm="1">
        <f t="array" aca="1" ref="F275" ca="1">OFFSET(E275,-1,1)</f>
        <v>2</v>
      </c>
      <c r="G275" s="502" t="s">
        <v>1644</v>
      </c>
      <c r="H275" s="1210"/>
      <c r="I275" s="511" t="s">
        <v>1860</v>
      </c>
      <c r="J275" s="511"/>
      <c r="K275" s="511"/>
      <c r="L275" s="511"/>
      <c r="M275" s="511"/>
      <c r="N275" s="511"/>
      <c r="O275" s="511"/>
      <c r="P275" s="511"/>
      <c r="Q275" s="511"/>
      <c r="R275" s="511"/>
      <c r="S275" s="511"/>
      <c r="T275" s="388" t="b" cm="1">
        <f t="array" aca="1" ref="T275" ca="1">T274</f>
        <v>1</v>
      </c>
      <c r="U275" s="1210"/>
      <c r="V275" s="1210"/>
      <c r="W275" s="1210"/>
      <c r="X275" s="2120"/>
      <c r="Y275" s="1210"/>
      <c r="Z275" s="2121"/>
      <c r="AA275" s="1210"/>
      <c r="AB275" s="727" t="s">
        <v>1861</v>
      </c>
      <c r="AC275" s="1019" t="s">
        <v>1862</v>
      </c>
      <c r="AD275" s="733" t="s">
        <v>563</v>
      </c>
      <c r="AE275" s="743">
        <f ca="1">AE274/2</f>
        <v>1025.585225</v>
      </c>
      <c r="AF275" s="743">
        <f ca="1">AF274/2</f>
        <v>750.43499999999995</v>
      </c>
      <c r="AG275" s="743">
        <f ca="1">AG274/2</f>
        <v>750.43499999999995</v>
      </c>
      <c r="AH275" s="744">
        <f t="shared" ca="1" si="18"/>
        <v>0</v>
      </c>
      <c r="AI275" s="743">
        <f ca="1">AI274/2</f>
        <v>1025.585225</v>
      </c>
      <c r="AJ275" s="743">
        <f ca="1">IF(god=2026,AJ274/12*9,AJ274/2)</f>
        <v>1125.6524999999999</v>
      </c>
      <c r="AK275" s="743">
        <f ca="1">IF(god=2026,AK274/12*9,AK274/2)</f>
        <v>1070.3272274999999</v>
      </c>
      <c r="AL275" s="736"/>
      <c r="AM275" s="723"/>
      <c r="AN275" s="723"/>
      <c r="AO275" s="723"/>
      <c r="AP275" s="1210"/>
      <c r="AQ275" s="1210"/>
      <c r="AR275" s="971" t="s">
        <v>1863</v>
      </c>
      <c r="AS275" s="971"/>
      <c r="AT275" s="971"/>
      <c r="AU275" s="968"/>
      <c r="AV275" s="968"/>
    </row>
    <row r="276" spans="1:48" s="1334" customFormat="1" ht="14.25" customHeight="1" x14ac:dyDescent="0.25">
      <c r="A276" s="1210"/>
      <c r="B276" s="1210"/>
      <c r="C276" s="1210"/>
      <c r="D276" s="1210"/>
      <c r="E276" s="618">
        <v>15</v>
      </c>
      <c r="F276" s="3" t="str" cm="1">
        <f t="array" aca="1" ref="F276" ca="1">OFFSET(E276,-1,1)</f>
        <v>2</v>
      </c>
      <c r="G276" s="502" t="s">
        <v>1600</v>
      </c>
      <c r="H276" s="1210"/>
      <c r="I276" s="511" t="s">
        <v>1864</v>
      </c>
      <c r="J276" s="511"/>
      <c r="K276" s="511"/>
      <c r="L276" s="511"/>
      <c r="M276" s="511"/>
      <c r="N276" s="511"/>
      <c r="O276" s="511"/>
      <c r="P276" s="511"/>
      <c r="Q276" s="511"/>
      <c r="R276" s="511"/>
      <c r="S276" s="511"/>
      <c r="T276" s="388" t="b" cm="1">
        <f t="array" aca="1" ref="T276" ca="1">T275</f>
        <v>1</v>
      </c>
      <c r="U276" s="1210"/>
      <c r="V276" s="1210"/>
      <c r="W276" s="1210"/>
      <c r="X276" s="2120"/>
      <c r="Y276" s="1210"/>
      <c r="Z276" s="2121"/>
      <c r="AA276" s="1210"/>
      <c r="AB276" s="727" t="s">
        <v>1865</v>
      </c>
      <c r="AC276" s="1019" t="s">
        <v>1866</v>
      </c>
      <c r="AD276" s="733" t="s">
        <v>1588</v>
      </c>
      <c r="AE276" s="1265">
        <f ca="1">IF(AE274=0,0,AE268*(1+Сценарии!AE$26))</f>
        <v>0</v>
      </c>
      <c r="AF276" s="1265">
        <f ca="1">IF(AF274=0,0,AF268*(1+Сценарии!AF$26))</f>
        <v>0</v>
      </c>
      <c r="AG276" s="1265">
        <f ca="1">IF(AG274=0,0,AG268*(1+Сценарии!AG$26))</f>
        <v>0</v>
      </c>
      <c r="AH276" s="722">
        <f t="shared" ca="1" si="18"/>
        <v>0</v>
      </c>
      <c r="AI276" s="1265">
        <f ca="1">IF(AI274=0,0,AI268*(1+Сценарии!AI$26))</f>
        <v>0</v>
      </c>
      <c r="AJ276" s="1265">
        <f ca="1">IF(AJ274=0,0,AJ268*(1+Сценарии!AJ$26))</f>
        <v>0</v>
      </c>
      <c r="AK276" s="1265">
        <f ca="1">IF(AK274=0,0,AK268*(1+Сценарии!AK$26))</f>
        <v>0</v>
      </c>
      <c r="AL276" s="736"/>
      <c r="AM276" s="723"/>
      <c r="AN276" s="723"/>
      <c r="AO276" s="723"/>
      <c r="AP276" s="1210"/>
      <c r="AQ276" s="1210"/>
      <c r="AR276" s="971" t="s">
        <v>1867</v>
      </c>
      <c r="AS276" s="971"/>
      <c r="AT276" s="971"/>
      <c r="AU276" s="968"/>
      <c r="AV276" s="968"/>
    </row>
    <row r="277" spans="1:48" s="1334" customFormat="1" ht="14.25" customHeight="1" x14ac:dyDescent="0.25">
      <c r="A277" s="1210"/>
      <c r="B277" s="1210"/>
      <c r="C277" s="1210"/>
      <c r="D277" s="1210"/>
      <c r="E277" s="618">
        <v>15</v>
      </c>
      <c r="F277" s="3" t="str" cm="1">
        <f t="array" aca="1" ref="F277" ca="1">OFFSET(E277,-1,1)</f>
        <v>2</v>
      </c>
      <c r="G277" s="502" t="s">
        <v>1651</v>
      </c>
      <c r="H277" s="1210"/>
      <c r="I277" s="511" t="s">
        <v>1868</v>
      </c>
      <c r="J277" s="511"/>
      <c r="K277" s="511"/>
      <c r="L277" s="511"/>
      <c r="M277" s="511"/>
      <c r="N277" s="511"/>
      <c r="O277" s="511"/>
      <c r="P277" s="511"/>
      <c r="Q277" s="511"/>
      <c r="R277" s="511"/>
      <c r="S277" s="511"/>
      <c r="T277" s="388" t="b" cm="1">
        <f t="array" aca="1" ref="T277" ca="1">T276</f>
        <v>1</v>
      </c>
      <c r="U277" s="1210"/>
      <c r="V277" s="1210"/>
      <c r="W277" s="1210"/>
      <c r="X277" s="2120"/>
      <c r="Y277" s="1210"/>
      <c r="Z277" s="2121"/>
      <c r="AA277" s="1210"/>
      <c r="AB277" s="727" t="s">
        <v>1869</v>
      </c>
      <c r="AC277" s="1019" t="s">
        <v>1838</v>
      </c>
      <c r="AD277" s="733" t="s">
        <v>563</v>
      </c>
      <c r="AE277" s="744">
        <f ca="1">AE274-AE275</f>
        <v>1025.585225</v>
      </c>
      <c r="AF277" s="744">
        <f ca="1">AF274-AF275</f>
        <v>750.43499999999995</v>
      </c>
      <c r="AG277" s="744">
        <f ca="1">AG274-AG275</f>
        <v>750.43499999999995</v>
      </c>
      <c r="AH277" s="744">
        <f t="shared" ca="1" si="18"/>
        <v>0</v>
      </c>
      <c r="AI277" s="744">
        <f ca="1">AI274-AI275</f>
        <v>1025.585225</v>
      </c>
      <c r="AJ277" s="744">
        <f ca="1">AJ274-AJ275</f>
        <v>375.21749999999997</v>
      </c>
      <c r="AK277" s="744">
        <f ca="1">AK274-AK275</f>
        <v>356.77574249999998</v>
      </c>
      <c r="AL277" s="736"/>
      <c r="AM277" s="723"/>
      <c r="AN277" s="723"/>
      <c r="AO277" s="723"/>
      <c r="AP277" s="1210"/>
      <c r="AQ277" s="1210"/>
      <c r="AR277" s="971" t="s">
        <v>1870</v>
      </c>
      <c r="AS277" s="971"/>
      <c r="AT277" s="971"/>
      <c r="AU277" s="968"/>
      <c r="AV277" s="968"/>
    </row>
    <row r="278" spans="1:48" s="1334" customFormat="1" ht="14.25" customHeight="1" x14ac:dyDescent="0.25">
      <c r="A278" s="1210"/>
      <c r="B278" s="1210"/>
      <c r="C278" s="1210"/>
      <c r="D278" s="1210"/>
      <c r="E278" s="618">
        <v>15</v>
      </c>
      <c r="F278" s="3" t="str" cm="1">
        <f t="array" aca="1" ref="F278" ca="1">OFFSET(E278,-1,1)</f>
        <v>2</v>
      </c>
      <c r="G278" s="502" t="s">
        <v>1604</v>
      </c>
      <c r="H278" s="1210"/>
      <c r="I278" s="511" t="s">
        <v>1871</v>
      </c>
      <c r="J278" s="511"/>
      <c r="K278" s="511"/>
      <c r="L278" s="511"/>
      <c r="M278" s="511"/>
      <c r="N278" s="511"/>
      <c r="O278" s="511"/>
      <c r="P278" s="511"/>
      <c r="Q278" s="511"/>
      <c r="R278" s="511"/>
      <c r="S278" s="511"/>
      <c r="T278" s="388" t="b" cm="1">
        <f t="array" aca="1" ref="T278" ca="1">T277</f>
        <v>1</v>
      </c>
      <c r="U278" s="1210"/>
      <c r="V278" s="1210"/>
      <c r="W278" s="1210"/>
      <c r="X278" s="2120"/>
      <c r="Y278" s="1210"/>
      <c r="Z278" s="2121"/>
      <c r="AA278" s="1210"/>
      <c r="AB278" s="727" t="s">
        <v>1872</v>
      </c>
      <c r="AC278" s="1019" t="s">
        <v>1873</v>
      </c>
      <c r="AD278" s="733" t="s">
        <v>1588</v>
      </c>
      <c r="AE278" s="729">
        <f ca="1">IF(AE274=0,0,AE270*(1+Сценарии!AE$26))</f>
        <v>66.648459286629461</v>
      </c>
      <c r="AF278" s="729">
        <f ca="1">IF(AF274=0,0,AF270*(1+Сценарии!AF$26))</f>
        <v>23.825869907180579</v>
      </c>
      <c r="AG278" s="729">
        <f ca="1">IF(AG274=0,0,AG270*(1+Сценарии!AG$26))</f>
        <v>20.282959401492857</v>
      </c>
      <c r="AH278" s="722">
        <f t="shared" ca="1" si="18"/>
        <v>-3.5429105056877219</v>
      </c>
      <c r="AI278" s="729">
        <f ca="1">IF(AI274=0,0,AI270*(1+Сценарии!AI$26))</f>
        <v>20.169478856206112</v>
      </c>
      <c r="AJ278" s="729">
        <f ca="1">IF(AJ274=0,0,AJ270*(1+Сценарии!AJ$26))</f>
        <v>55.467290215810117</v>
      </c>
      <c r="AK278" s="729">
        <f ca="1">IF(AK274=0,0,AK270*(1+Сценарии!AK$26))</f>
        <v>23.696801439483036</v>
      </c>
      <c r="AL278" s="736"/>
      <c r="AM278" s="723"/>
      <c r="AN278" s="723"/>
      <c r="AO278" s="723"/>
      <c r="AP278" s="1210"/>
      <c r="AQ278" s="1210"/>
      <c r="AR278" s="971" t="s">
        <v>1874</v>
      </c>
      <c r="AS278" s="971"/>
      <c r="AT278" s="971"/>
      <c r="AU278" s="968"/>
      <c r="AV278" s="968"/>
    </row>
    <row r="279" spans="1:48" s="1334" customFormat="1" ht="14.25" customHeight="1" x14ac:dyDescent="0.25">
      <c r="A279" s="1210"/>
      <c r="B279" s="1210"/>
      <c r="C279" s="1210"/>
      <c r="D279" s="1210"/>
      <c r="E279" s="618">
        <v>15</v>
      </c>
      <c r="F279" s="3" t="str" cm="1">
        <f t="array" aca="1" ref="F279" ca="1">OFFSET(E279,-1,1)</f>
        <v>2</v>
      </c>
      <c r="G279" s="502"/>
      <c r="H279" s="1210"/>
      <c r="I279" s="511"/>
      <c r="J279" s="511"/>
      <c r="K279" s="511"/>
      <c r="L279" s="511"/>
      <c r="M279" s="511"/>
      <c r="N279" s="511"/>
      <c r="O279" s="511"/>
      <c r="P279" s="511"/>
      <c r="Q279" s="511"/>
      <c r="R279" s="511"/>
      <c r="S279" s="511"/>
      <c r="T279" s="388" t="b" cm="1">
        <f t="array" aca="1" ref="T279" ca="1">T278</f>
        <v>1</v>
      </c>
      <c r="U279" s="1210"/>
      <c r="V279" s="1210"/>
      <c r="W279" s="1210"/>
      <c r="X279" s="2120"/>
      <c r="Y279" s="1210"/>
      <c r="Z279" s="2121"/>
      <c r="AA279" s="1210"/>
      <c r="AB279" s="137" t="s">
        <v>1875</v>
      </c>
      <c r="AC279" s="131" t="s">
        <v>1876</v>
      </c>
      <c r="AD279" s="130" t="s">
        <v>831</v>
      </c>
      <c r="AE279" s="729"/>
      <c r="AF279" s="729"/>
      <c r="AG279" s="729"/>
      <c r="AH279" s="722">
        <f t="shared" si="18"/>
        <v>0</v>
      </c>
      <c r="AI279" s="729"/>
      <c r="AJ279" s="729"/>
      <c r="AK279" s="729"/>
      <c r="AL279" s="736"/>
      <c r="AM279" s="723"/>
      <c r="AN279" s="723"/>
      <c r="AO279" s="723"/>
      <c r="AP279" s="1210"/>
      <c r="AQ279" s="1210"/>
      <c r="AR279" s="971" t="s">
        <v>1877</v>
      </c>
      <c r="AS279" s="971"/>
      <c r="AT279" s="971"/>
      <c r="AU279" s="968"/>
      <c r="AV279" s="968"/>
    </row>
    <row r="280" spans="1:48" s="1334" customFormat="1" ht="21.75" customHeight="1" x14ac:dyDescent="0.25">
      <c r="A280" s="1210"/>
      <c r="B280" s="1210"/>
      <c r="C280" s="1210"/>
      <c r="D280" s="1210"/>
      <c r="E280" s="618">
        <v>22.5</v>
      </c>
      <c r="F280" s="3" t="str" cm="1">
        <f t="array" aca="1" ref="F280" ca="1">OFFSET(E280,-1,1)</f>
        <v>2</v>
      </c>
      <c r="G280" s="502"/>
      <c r="H280" s="1210"/>
      <c r="I280" s="511"/>
      <c r="J280" s="511"/>
      <c r="K280" s="511"/>
      <c r="L280" s="511"/>
      <c r="M280" s="511"/>
      <c r="N280" s="511"/>
      <c r="O280" s="511"/>
      <c r="P280" s="511"/>
      <c r="Q280" s="511"/>
      <c r="R280" s="511"/>
      <c r="S280" s="511"/>
      <c r="T280" s="388" t="b" cm="1">
        <f t="array" aca="1" ref="T280" ca="1">T279</f>
        <v>1</v>
      </c>
      <c r="U280" s="1210"/>
      <c r="V280" s="1210"/>
      <c r="W280" s="1210"/>
      <c r="X280" s="2120"/>
      <c r="Y280" s="1210"/>
      <c r="Z280" s="2121"/>
      <c r="AA280" s="1210"/>
      <c r="AB280" s="217" t="s">
        <v>1878</v>
      </c>
      <c r="AC280" s="682" t="s">
        <v>1879</v>
      </c>
      <c r="AD280" s="218" t="s">
        <v>831</v>
      </c>
      <c r="AE280" s="729"/>
      <c r="AF280" s="729"/>
      <c r="AG280" s="729"/>
      <c r="AH280" s="722">
        <f t="shared" si="18"/>
        <v>0</v>
      </c>
      <c r="AI280" s="729"/>
      <c r="AJ280" s="729"/>
      <c r="AK280" s="729"/>
      <c r="AL280" s="736"/>
      <c r="AM280" s="723"/>
      <c r="AN280" s="723"/>
      <c r="AO280" s="723"/>
      <c r="AP280" s="1210"/>
      <c r="AQ280" s="1210"/>
      <c r="AR280" s="971" t="s">
        <v>1880</v>
      </c>
      <c r="AS280" s="971"/>
      <c r="AT280" s="971"/>
      <c r="AU280" s="968"/>
      <c r="AV280" s="968"/>
    </row>
    <row r="281" spans="1:48" s="1334" customFormat="1" ht="69.75" customHeight="1" x14ac:dyDescent="0.25">
      <c r="A281" s="1210"/>
      <c r="B281" s="1210"/>
      <c r="C281" s="1210"/>
      <c r="D281" s="1210"/>
      <c r="E281" s="618">
        <v>72</v>
      </c>
      <c r="F281" s="3" t="str" cm="1">
        <f t="array" aca="1" ref="F281" ca="1">OFFSET(E281,-1,1)</f>
        <v>2</v>
      </c>
      <c r="G281" s="502"/>
      <c r="H281" s="1210"/>
      <c r="I281" s="511"/>
      <c r="J281" s="511"/>
      <c r="K281" s="511"/>
      <c r="L281" s="511"/>
      <c r="M281" s="511"/>
      <c r="N281" s="511"/>
      <c r="O281" s="511"/>
      <c r="P281" s="511"/>
      <c r="Q281" s="511"/>
      <c r="R281" s="511"/>
      <c r="S281" s="511"/>
      <c r="T281" s="388" t="b" cm="1">
        <f t="array" aca="1" ref="T281" ca="1">T280</f>
        <v>1</v>
      </c>
      <c r="U281" s="1210"/>
      <c r="V281" s="1210"/>
      <c r="W281" s="1210"/>
      <c r="X281" s="2120"/>
      <c r="Y281" s="1210"/>
      <c r="Z281" s="2121"/>
      <c r="AA281" s="1210"/>
      <c r="AB281" s="217" t="s">
        <v>1881</v>
      </c>
      <c r="AC281" s="682" t="s">
        <v>1882</v>
      </c>
      <c r="AD281" s="218" t="s">
        <v>831</v>
      </c>
      <c r="AE281" s="729"/>
      <c r="AF281" s="729"/>
      <c r="AG281" s="729"/>
      <c r="AH281" s="722">
        <f t="shared" si="18"/>
        <v>0</v>
      </c>
      <c r="AI281" s="729"/>
      <c r="AJ281" s="729"/>
      <c r="AK281" s="729"/>
      <c r="AL281" s="736"/>
      <c r="AM281" s="723"/>
      <c r="AN281" s="723"/>
      <c r="AO281" s="723"/>
      <c r="AP281" s="1210"/>
      <c r="AQ281" s="1210"/>
      <c r="AR281" s="971" t="s">
        <v>1883</v>
      </c>
      <c r="AS281" s="971"/>
      <c r="AT281" s="971"/>
      <c r="AU281" s="968"/>
      <c r="AV281" s="968"/>
    </row>
    <row r="282" spans="1:48" ht="10.7" customHeight="1" x14ac:dyDescent="0.25">
      <c r="E282" s="618">
        <v>11</v>
      </c>
      <c r="U282" s="617" t="s">
        <v>176</v>
      </c>
      <c r="V282" s="1142" t="s">
        <v>1884</v>
      </c>
      <c r="AB282" s="515"/>
      <c r="AC282" s="516"/>
      <c r="AD282" s="515"/>
      <c r="AE282" s="502"/>
      <c r="AF282" s="502"/>
      <c r="AG282" s="502"/>
      <c r="AH282" s="502"/>
      <c r="AI282" s="502"/>
      <c r="AJ282" s="502"/>
      <c r="AK282" s="502"/>
      <c r="AL282" s="502"/>
      <c r="AM282" s="502"/>
      <c r="AN282" s="502"/>
      <c r="AO282" s="502"/>
    </row>
    <row r="283" spans="1:48" ht="14.65" customHeight="1" x14ac:dyDescent="0.25">
      <c r="E283" s="618">
        <v>15</v>
      </c>
      <c r="AB283" s="2035" t="s">
        <v>402</v>
      </c>
      <c r="AC283" s="2035"/>
      <c r="AD283" s="2035"/>
      <c r="AE283" s="2035"/>
      <c r="AF283" s="2035"/>
      <c r="AG283" s="2035"/>
      <c r="AH283" s="2035"/>
      <c r="AI283" s="2035"/>
      <c r="AJ283" s="2035"/>
      <c r="AK283" s="2035"/>
      <c r="AL283" s="2035"/>
      <c r="AM283" s="2035"/>
      <c r="AN283" s="2035"/>
      <c r="AO283" s="2035"/>
    </row>
    <row r="284" spans="1:48" ht="14.65" customHeight="1" x14ac:dyDescent="0.25">
      <c r="E284" s="618">
        <v>15</v>
      </c>
      <c r="AA284" s="1143"/>
      <c r="AB284" s="2104"/>
      <c r="AC284" s="2107"/>
      <c r="AD284" s="2107"/>
      <c r="AE284" s="2107"/>
      <c r="AF284" s="2107"/>
      <c r="AG284" s="2107"/>
      <c r="AH284" s="2107"/>
      <c r="AI284" s="2107"/>
      <c r="AJ284" s="2107"/>
      <c r="AK284" s="2107"/>
      <c r="AL284" s="2107"/>
      <c r="AM284" s="2107"/>
      <c r="AN284" s="2107"/>
      <c r="AO284" s="2107"/>
    </row>
    <row r="285" spans="1:48" ht="14.65" hidden="1" customHeight="1" x14ac:dyDescent="0.25">
      <c r="E285" s="618">
        <v>15</v>
      </c>
      <c r="T285" s="388" t="b">
        <f>ROW(W285)&gt;ROW(W$285)</f>
        <v>0</v>
      </c>
      <c r="W285" s="677" t="s">
        <v>172</v>
      </c>
      <c r="X285" s="41"/>
      <c r="Y285" s="41"/>
      <c r="Z285" s="41"/>
      <c r="AA285" s="586" t="s">
        <v>173</v>
      </c>
      <c r="AB285" s="2072"/>
      <c r="AC285" s="2073"/>
      <c r="AD285" s="2073"/>
      <c r="AE285" s="2074"/>
      <c r="AF285" s="2074"/>
      <c r="AG285" s="2074"/>
      <c r="AH285" s="2074"/>
      <c r="AI285" s="2074"/>
      <c r="AJ285" s="2073"/>
      <c r="AK285" s="2073"/>
      <c r="AL285" s="2073"/>
      <c r="AM285" s="2073"/>
      <c r="AN285" s="2073"/>
      <c r="AO285" s="2075"/>
    </row>
    <row r="286" spans="1:48" ht="14.65" customHeight="1" x14ac:dyDescent="0.25">
      <c r="E286" s="618">
        <v>15</v>
      </c>
      <c r="W286" s="748" t="s">
        <v>403</v>
      </c>
      <c r="X286" s="41"/>
      <c r="Y286" s="41"/>
      <c r="Z286" s="41"/>
      <c r="AA286" s="41"/>
      <c r="AB286" s="589"/>
      <c r="AC286" s="590" t="s">
        <v>404</v>
      </c>
      <c r="AD286" s="517"/>
      <c r="AE286" s="517"/>
      <c r="AF286" s="517"/>
      <c r="AG286" s="517"/>
      <c r="AH286" s="517"/>
      <c r="AI286" s="517"/>
      <c r="AJ286" s="517"/>
      <c r="AK286" s="517"/>
      <c r="AL286" s="517"/>
      <c r="AM286" s="517"/>
      <c r="AN286" s="517"/>
      <c r="AO286" s="518"/>
    </row>
    <row r="287" spans="1:48" ht="10.7" customHeight="1" x14ac:dyDescent="0.25">
      <c r="E287" s="618">
        <v>11</v>
      </c>
      <c r="AP287" s="617"/>
    </row>
  </sheetData>
  <sheetProtection formatColumns="0" formatRows="0" insertRows="0" deleteColumns="0" deleteRows="0" sort="0" autoFilter="0"/>
  <mergeCells count="16">
    <mergeCell ref="X27:X111"/>
    <mergeCell ref="Z27:Z111"/>
    <mergeCell ref="AB285:AO285"/>
    <mergeCell ref="AO24:AO25"/>
    <mergeCell ref="AB283:AO283"/>
    <mergeCell ref="AB284:AO284"/>
    <mergeCell ref="AB24:AB25"/>
    <mergeCell ref="AC24:AC25"/>
    <mergeCell ref="AD24:AD25"/>
    <mergeCell ref="AL24:AL25"/>
    <mergeCell ref="AM24:AM25"/>
    <mergeCell ref="AN24:AN25"/>
    <mergeCell ref="X112:X196"/>
    <mergeCell ref="Z112:Z196"/>
    <mergeCell ref="X197:X281"/>
    <mergeCell ref="Z197:Z281"/>
  </mergeCells>
  <dataValidations count="2">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G201:AG203 AG213:AG214 AG228 AG233 AG252:AG262 AG264:AG265 AG267:AG272 AG275:AG281 AF105:AF111 AF116:AF118 AF128:AF129 AF143 AF148 AF167:AF177 AF179:AF180 AF182:AF187 AF190:AF196 AF201:AF203 AF213:AF214 AF228 AF233 AF252:AF262 AF264:AF265 AF267:AF272 AF275:AF281 AE105:AE111 AE116:AE118 AE128:AE129 AE143 AE148 AE167:AE177 AE179:AE180 AE182:AE187 AE190:AE196 AE201:AE203 AE213:AE214 AE228 AE233 AE252:AE262 AE264:AE265 AE267:AE272 AE275:AE281 AE31:AG33 AE63:AG63 AI97:AK102 AE97:AG102 AI31:AK33 AE94:AG95 AI94:AK95 AK105:AK111 AK116:AK118 AK128:AK129 AK143 AK148 AK167:AK177 AK179:AK180 AK182:AK187 AK190:AK196 AK201:AK203 AK213:AK214 AK228 AK233 AK252:AK262 AK264:AK265 AK267:AK272 AK275:AK281 AJ105:AJ111 AJ116:AJ118 AJ128:AJ129 AJ143 AJ148 AJ167:AJ177 AJ179:AJ180 AJ182:AJ187 AJ190:AJ196 AJ201:AJ203 AJ213:AJ214 AJ228 AJ233 AJ252:AJ262 AJ264:AJ265 AJ267:AJ272 AJ275:AJ281 AI105:AI111 AI116:AI118 AI128:AI129 AI143 AI148 AI167:AI177 AI179:AI180 AI182:AI187 AI190:AI196 AI201:AI203 AI213:AI214 AI228 AI233 AI252:AI262 AI264:AI265 AI267:AI272 AI275:AI281" xr:uid="{00000000-0002-0000-1B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M54:AO54 AM139 AN139 AO139 AM224 AN224 AO224" xr:uid="{00000000-0002-0000-1B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8BE87-7728-F217-46F2-B8BB37141528}">
  <sheetPr>
    <tabColor rgb="FF92D050"/>
    <outlinePr summaryBelow="0" summaryRight="0"/>
    <pageSetUpPr fitToPage="1"/>
  </sheetPr>
  <dimension ref="A1:BW464"/>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x14ac:dyDescent="0.15"/>
  <cols>
    <col min="1" max="1" width="9.5703125" style="1184" hidden="1" customWidth="1"/>
    <col min="2" max="2" width="8.5703125" style="887" hidden="1" customWidth="1"/>
    <col min="3" max="4" width="3.5703125" style="1184" hidden="1" customWidth="1"/>
    <col min="5" max="5" width="3.5703125" style="888" hidden="1" customWidth="1"/>
    <col min="6" max="6" width="3.5703125" style="1184" hidden="1" customWidth="1"/>
    <col min="7" max="7" width="5.42578125" style="1184" hidden="1" customWidth="1"/>
    <col min="8" max="8" width="15.42578125" style="1184" hidden="1" customWidth="1"/>
    <col min="9" max="10" width="3.5703125" style="1184" hidden="1" customWidth="1"/>
    <col min="11" max="11" width="7.28515625" style="1184" hidden="1" customWidth="1"/>
    <col min="12" max="12" width="6.5703125" style="1184" hidden="1" customWidth="1"/>
    <col min="13" max="18" width="3.5703125" style="1184" hidden="1" customWidth="1"/>
    <col min="19" max="19" width="6.7109375" style="1184" hidden="1" customWidth="1"/>
    <col min="20" max="20" width="10.42578125" style="1184" hidden="1" customWidth="1"/>
    <col min="21" max="21" width="5.85546875" style="1184" hidden="1" customWidth="1"/>
    <col min="22" max="23" width="6.140625" style="1184" hidden="1" customWidth="1"/>
    <col min="24" max="24" width="5.7109375" style="1184" hidden="1" customWidth="1"/>
    <col min="25" max="25" width="5.5703125" style="1184" hidden="1" customWidth="1"/>
    <col min="26" max="26" width="5.28515625" style="1184" hidden="1" customWidth="1"/>
    <col min="27" max="27" width="3" style="1184" customWidth="1"/>
    <col min="28" max="28" width="11" style="515" customWidth="1"/>
    <col min="29" max="29" width="75" style="890" customWidth="1"/>
    <col min="30" max="30" width="12" style="515" customWidth="1"/>
    <col min="31" max="33" width="12.5703125" style="1184" customWidth="1"/>
    <col min="34" max="34" width="21" style="1184" customWidth="1"/>
    <col min="35" max="36" width="12.5703125" style="1184" customWidth="1"/>
    <col min="37" max="45" width="12.5703125" style="1184" hidden="1" customWidth="1"/>
    <col min="46" max="46" width="12.5703125" style="1184" customWidth="1"/>
    <col min="47" max="55" width="12.5703125" style="1184" hidden="1" customWidth="1"/>
    <col min="56" max="56" width="12.5703125" style="1184" customWidth="1"/>
    <col min="57" max="65" width="12.5703125" style="1184" hidden="1" customWidth="1"/>
    <col min="66" max="67" width="20" style="1184" customWidth="1"/>
    <col min="68" max="68" width="42" style="1184" customWidth="1"/>
    <col min="69" max="69" width="3" style="1184" customWidth="1"/>
    <col min="70" max="70" width="9.140625" style="1184" hidden="1"/>
    <col min="71" max="73" width="9.140625" style="973" hidden="1"/>
    <col min="74" max="75" width="9.140625" style="888" hidden="1"/>
  </cols>
  <sheetData>
    <row r="1" spans="1:75" ht="11.25" hidden="1" customHeight="1" x14ac:dyDescent="0.15">
      <c r="E1" s="77"/>
      <c r="F1" s="77" t="s">
        <v>319</v>
      </c>
      <c r="I1" s="77" t="s">
        <v>1885</v>
      </c>
      <c r="J1" s="77" t="s">
        <v>354</v>
      </c>
      <c r="K1" s="77" t="s">
        <v>1886</v>
      </c>
      <c r="L1" s="886" t="s">
        <v>1887</v>
      </c>
      <c r="M1" s="77" t="s">
        <v>1888</v>
      </c>
      <c r="R1" s="4"/>
      <c r="T1" s="388" t="s">
        <v>92</v>
      </c>
      <c r="U1" s="388" t="s">
        <v>97</v>
      </c>
      <c r="V1" s="388" t="s">
        <v>93</v>
      </c>
      <c r="W1" s="388" t="s">
        <v>94</v>
      </c>
      <c r="X1" s="388" t="s">
        <v>95</v>
      </c>
      <c r="Y1" s="390" t="s">
        <v>321</v>
      </c>
      <c r="Z1" s="388" t="s">
        <v>99</v>
      </c>
      <c r="AA1" s="389" t="s">
        <v>96</v>
      </c>
      <c r="AB1" s="337"/>
      <c r="AC1" s="389" t="s">
        <v>98</v>
      </c>
      <c r="AJ1" s="4"/>
      <c r="BS1" s="973" t="s">
        <v>322</v>
      </c>
      <c r="BT1" s="973" t="s">
        <v>323</v>
      </c>
      <c r="BU1" s="973" t="s">
        <v>324</v>
      </c>
      <c r="BV1" s="626" t="s">
        <v>327</v>
      </c>
      <c r="BW1" s="626" t="s">
        <v>328</v>
      </c>
    </row>
    <row r="2" spans="1:75" s="887" customFormat="1" ht="11.25" hidden="1" customHeight="1" x14ac:dyDescent="0.15">
      <c r="B2" s="367" t="s">
        <v>18</v>
      </c>
      <c r="AC2" s="355"/>
      <c r="AJ2" s="368" t="b">
        <f t="shared" ref="AJ2:BM2" si="0">AJ6&lt;=last_year_vis</f>
        <v>1</v>
      </c>
      <c r="AK2" s="368" t="b">
        <f t="shared" si="0"/>
        <v>0</v>
      </c>
      <c r="AL2" s="368" t="b">
        <f t="shared" si="0"/>
        <v>0</v>
      </c>
      <c r="AM2" s="368" t="b">
        <f t="shared" si="0"/>
        <v>0</v>
      </c>
      <c r="AN2" s="368" t="b">
        <f t="shared" si="0"/>
        <v>0</v>
      </c>
      <c r="AO2" s="368" t="b">
        <f t="shared" si="0"/>
        <v>0</v>
      </c>
      <c r="AP2" s="368" t="b">
        <f t="shared" si="0"/>
        <v>0</v>
      </c>
      <c r="AQ2" s="368" t="b">
        <f t="shared" si="0"/>
        <v>0</v>
      </c>
      <c r="AR2" s="368" t="b">
        <f t="shared" si="0"/>
        <v>0</v>
      </c>
      <c r="AS2" s="368" t="b">
        <f t="shared" si="0"/>
        <v>0</v>
      </c>
      <c r="AT2" s="368" t="b">
        <f t="shared" si="0"/>
        <v>1</v>
      </c>
      <c r="AU2" s="368" t="b">
        <f t="shared" si="0"/>
        <v>0</v>
      </c>
      <c r="AV2" s="368" t="b">
        <f t="shared" si="0"/>
        <v>0</v>
      </c>
      <c r="AW2" s="368" t="b">
        <f t="shared" si="0"/>
        <v>0</v>
      </c>
      <c r="AX2" s="368" t="b">
        <f t="shared" si="0"/>
        <v>0</v>
      </c>
      <c r="AY2" s="368" t="b">
        <f t="shared" si="0"/>
        <v>0</v>
      </c>
      <c r="AZ2" s="368" t="b">
        <f t="shared" si="0"/>
        <v>0</v>
      </c>
      <c r="BA2" s="368" t="b">
        <f t="shared" si="0"/>
        <v>0</v>
      </c>
      <c r="BB2" s="368" t="b">
        <f t="shared" si="0"/>
        <v>0</v>
      </c>
      <c r="BC2" s="368" t="b">
        <f t="shared" si="0"/>
        <v>0</v>
      </c>
      <c r="BD2" s="368" t="b">
        <f t="shared" si="0"/>
        <v>1</v>
      </c>
      <c r="BE2" s="368" t="b">
        <f t="shared" si="0"/>
        <v>0</v>
      </c>
      <c r="BF2" s="368" t="b">
        <f t="shared" si="0"/>
        <v>0</v>
      </c>
      <c r="BG2" s="368" t="b">
        <f t="shared" si="0"/>
        <v>0</v>
      </c>
      <c r="BH2" s="368" t="b">
        <f t="shared" si="0"/>
        <v>0</v>
      </c>
      <c r="BI2" s="368" t="b">
        <f t="shared" si="0"/>
        <v>0</v>
      </c>
      <c r="BJ2" s="368" t="b">
        <f t="shared" si="0"/>
        <v>0</v>
      </c>
      <c r="BK2" s="368" t="b">
        <f t="shared" si="0"/>
        <v>0</v>
      </c>
      <c r="BL2" s="368" t="b">
        <f t="shared" si="0"/>
        <v>0</v>
      </c>
      <c r="BM2" s="368" t="b">
        <f t="shared" si="0"/>
        <v>0</v>
      </c>
      <c r="BS2" s="974"/>
      <c r="BT2" s="974"/>
      <c r="BU2" s="974"/>
      <c r="BV2" s="546"/>
      <c r="BW2" s="546"/>
    </row>
    <row r="3" spans="1:75" ht="11.25" hidden="1" customHeight="1" x14ac:dyDescent="0.15">
      <c r="E3" s="77"/>
    </row>
    <row r="4" spans="1:75" ht="11.25" hidden="1" customHeight="1" x14ac:dyDescent="0.15">
      <c r="E4" s="77"/>
    </row>
    <row r="5" spans="1:75" s="888" customFormat="1" ht="11.25" hidden="1" customHeight="1" x14ac:dyDescent="0.15">
      <c r="A5" s="77"/>
      <c r="B5" s="354"/>
      <c r="C5" s="77"/>
      <c r="D5" s="77"/>
      <c r="E5" s="626" t="s">
        <v>19</v>
      </c>
      <c r="AA5" s="626">
        <v>3</v>
      </c>
      <c r="AB5" s="631">
        <v>11</v>
      </c>
      <c r="AC5" s="627">
        <v>75</v>
      </c>
      <c r="AD5" s="631">
        <v>12</v>
      </c>
      <c r="AE5" s="626">
        <v>12.57</v>
      </c>
      <c r="AF5" s="626">
        <v>12.57</v>
      </c>
      <c r="AG5" s="626">
        <v>12.57</v>
      </c>
      <c r="AH5" s="626">
        <v>21</v>
      </c>
      <c r="AI5" s="626">
        <v>12.57</v>
      </c>
      <c r="AJ5" s="626">
        <v>12.57</v>
      </c>
      <c r="AK5" s="626">
        <v>12.57</v>
      </c>
      <c r="AL5" s="626">
        <v>12.57</v>
      </c>
      <c r="AM5" s="626">
        <v>12.57</v>
      </c>
      <c r="AN5" s="626">
        <v>12.57</v>
      </c>
      <c r="AO5" s="626">
        <v>12.57</v>
      </c>
      <c r="AP5" s="626">
        <v>12.57</v>
      </c>
      <c r="AQ5" s="626">
        <v>12.57</v>
      </c>
      <c r="AR5" s="626">
        <v>12.57</v>
      </c>
      <c r="AS5" s="626">
        <v>12.57</v>
      </c>
      <c r="AT5" s="626">
        <v>12.57</v>
      </c>
      <c r="AU5" s="626">
        <v>12.57</v>
      </c>
      <c r="AV5" s="626">
        <v>12.57</v>
      </c>
      <c r="AW5" s="626">
        <v>12.57</v>
      </c>
      <c r="AX5" s="626">
        <v>12.57</v>
      </c>
      <c r="AY5" s="626">
        <v>12.57</v>
      </c>
      <c r="AZ5" s="626">
        <v>12.57</v>
      </c>
      <c r="BA5" s="626">
        <v>12.57</v>
      </c>
      <c r="BB5" s="626">
        <v>12.57</v>
      </c>
      <c r="BC5" s="626">
        <v>12.57</v>
      </c>
      <c r="BD5" s="626">
        <v>12.57</v>
      </c>
      <c r="BE5" s="626">
        <v>12.57</v>
      </c>
      <c r="BF5" s="626">
        <v>12.57</v>
      </c>
      <c r="BG5" s="626">
        <v>12.57</v>
      </c>
      <c r="BH5" s="626">
        <v>12.57</v>
      </c>
      <c r="BI5" s="626">
        <v>12.57</v>
      </c>
      <c r="BJ5" s="626">
        <v>12.57</v>
      </c>
      <c r="BK5" s="626">
        <v>12.57</v>
      </c>
      <c r="BL5" s="626">
        <v>12.57</v>
      </c>
      <c r="BM5" s="626">
        <v>12.57</v>
      </c>
      <c r="BN5" s="626">
        <v>20</v>
      </c>
      <c r="BO5" s="626">
        <v>20</v>
      </c>
      <c r="BP5" s="626">
        <v>42</v>
      </c>
      <c r="BQ5" s="626">
        <v>3</v>
      </c>
      <c r="BS5" s="973"/>
      <c r="BT5" s="973"/>
      <c r="BU5" s="973"/>
    </row>
    <row r="6" spans="1:75" ht="11.25" hidden="1" customHeight="1" x14ac:dyDescent="0.15">
      <c r="A6" s="77" t="s">
        <v>357</v>
      </c>
      <c r="AE6" s="77">
        <f>god-2</f>
        <v>2024</v>
      </c>
      <c r="AF6" s="77">
        <f>god-2</f>
        <v>2024</v>
      </c>
      <c r="AG6" s="77">
        <f>god-2</f>
        <v>2024</v>
      </c>
      <c r="AH6" s="77">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x14ac:dyDescent="0.15">
      <c r="A7" s="77" t="s">
        <v>358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x14ac:dyDescent="0.15">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973" customFormat="1" ht="11.25" hidden="1" customHeight="1" x14ac:dyDescent="0.25">
      <c r="A9" s="906" t="s">
        <v>362</v>
      </c>
      <c r="B9" s="969"/>
      <c r="C9" s="969"/>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70" cm="1">
        <f t="array" ref="AE9">AE6</f>
        <v>2024</v>
      </c>
      <c r="AF9" s="970" cm="1">
        <f t="array" ref="AF9">AF6</f>
        <v>2024</v>
      </c>
      <c r="AG9" s="970" cm="1">
        <f t="array" ref="AG9">AG6</f>
        <v>2024</v>
      </c>
      <c r="AH9" s="970" cm="1">
        <f t="array" ref="AH9">AH6</f>
        <v>2024</v>
      </c>
      <c r="AI9" s="970" cm="1">
        <f t="array" ref="AI9">AI6</f>
        <v>2025</v>
      </c>
      <c r="AJ9" s="970" cm="1">
        <f t="array" ref="AJ9">AJ6</f>
        <v>2026</v>
      </c>
      <c r="AK9" s="970" cm="1">
        <f t="array" ref="AK9">AK6</f>
        <v>2027</v>
      </c>
      <c r="AL9" s="970" cm="1">
        <f t="array" ref="AL9">AL6</f>
        <v>2028</v>
      </c>
      <c r="AM9" s="970" cm="1">
        <f t="array" ref="AM9">AM6</f>
        <v>2029</v>
      </c>
      <c r="AN9" s="970" cm="1">
        <f t="array" ref="AN9">AN6</f>
        <v>2030</v>
      </c>
      <c r="AO9" s="970" cm="1">
        <f t="array" ref="AO9">AO6</f>
        <v>2031</v>
      </c>
      <c r="AP9" s="970" cm="1">
        <f t="array" ref="AP9">AP6</f>
        <v>2032</v>
      </c>
      <c r="AQ9" s="970" cm="1">
        <f t="array" ref="AQ9">AQ6</f>
        <v>2033</v>
      </c>
      <c r="AR9" s="970" cm="1">
        <f t="array" ref="AR9">AR6</f>
        <v>2034</v>
      </c>
      <c r="AS9" s="970" cm="1">
        <f t="array" ref="AS9">AS6</f>
        <v>2035</v>
      </c>
      <c r="AT9" s="970" cm="1">
        <f t="array" ref="AT9">AT6</f>
        <v>2026</v>
      </c>
      <c r="AU9" s="970" cm="1">
        <f t="array" ref="AU9">AU6</f>
        <v>2027</v>
      </c>
      <c r="AV9" s="970" cm="1">
        <f t="array" ref="AV9">AV6</f>
        <v>2028</v>
      </c>
      <c r="AW9" s="970" cm="1">
        <f t="array" ref="AW9">AW6</f>
        <v>2029</v>
      </c>
      <c r="AX9" s="970" cm="1">
        <f t="array" ref="AX9">AX6</f>
        <v>2030</v>
      </c>
      <c r="AY9" s="970" cm="1">
        <f t="array" ref="AY9">AY6</f>
        <v>2031</v>
      </c>
      <c r="AZ9" s="970" cm="1">
        <f t="array" ref="AZ9">AZ6</f>
        <v>2032</v>
      </c>
      <c r="BA9" s="970" cm="1">
        <f t="array" ref="BA9">BA6</f>
        <v>2033</v>
      </c>
      <c r="BB9" s="970" cm="1">
        <f t="array" ref="BB9">BB6</f>
        <v>2034</v>
      </c>
      <c r="BC9" s="970" cm="1">
        <f t="array" ref="BC9">BC6</f>
        <v>2035</v>
      </c>
      <c r="BD9" s="970" cm="1">
        <f t="array" ref="BD9">BD6</f>
        <v>2026</v>
      </c>
      <c r="BE9" s="970" cm="1">
        <f t="array" ref="BE9">BE6</f>
        <v>2027</v>
      </c>
      <c r="BF9" s="970" cm="1">
        <f t="array" ref="BF9">BF6</f>
        <v>2028</v>
      </c>
      <c r="BG9" s="970" cm="1">
        <f t="array" ref="BG9">BG6</f>
        <v>2029</v>
      </c>
      <c r="BH9" s="970" cm="1">
        <f t="array" ref="BH9">BH6</f>
        <v>2030</v>
      </c>
      <c r="BI9" s="970" cm="1">
        <f t="array" ref="BI9">BI6</f>
        <v>2031</v>
      </c>
      <c r="BJ9" s="970" cm="1">
        <f t="array" ref="BJ9">BJ6</f>
        <v>2032</v>
      </c>
      <c r="BK9" s="970" cm="1">
        <f t="array" ref="BK9">BK6</f>
        <v>2033</v>
      </c>
      <c r="BL9" s="970" cm="1">
        <f t="array" ref="BL9">BL6</f>
        <v>2034</v>
      </c>
      <c r="BM9" s="970" cm="1">
        <f t="array" ref="BM9">BM6</f>
        <v>2035</v>
      </c>
      <c r="BV9" s="626"/>
      <c r="BW9" s="626"/>
    </row>
    <row r="10" spans="1:75" s="973" customFormat="1" ht="11.25" hidden="1" customHeight="1" x14ac:dyDescent="0.25">
      <c r="A10" s="906" t="s">
        <v>363</v>
      </c>
      <c r="B10" s="969"/>
      <c r="C10" s="969"/>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70" t="str" cm="1">
        <f t="array" ref="AE10">AE25</f>
        <v>Принято органом регулирования</v>
      </c>
      <c r="AF10" s="970" t="str" cm="1">
        <f t="array" ref="AF10">AF25</f>
        <v>Факт по данным организации</v>
      </c>
      <c r="AG10" s="970" t="str" cm="1">
        <f t="array" ref="AG10">AG25</f>
        <v>Факт, принятый органом регулирования</v>
      </c>
      <c r="AH10" s="970" t="str" cm="1">
        <f t="array" ref="AH10">AH25</f>
        <v>отклонение факта по данным организации к факту принятому органом регулирования</v>
      </c>
      <c r="AI10" s="970" t="str" cm="1">
        <f t="array" ref="AI10">AI25</f>
        <v>Принято органом регулирования</v>
      </c>
      <c r="AJ10" s="970" t="str" cm="1">
        <f t="array" ref="AJ10">AJ25</f>
        <v>Предложение организации</v>
      </c>
      <c r="AK10" s="970" t="str" cm="1">
        <f t="array" ref="AK10">AK25</f>
        <v>Предложение организации</v>
      </c>
      <c r="AL10" s="970" t="str" cm="1">
        <f t="array" ref="AL10">AL25</f>
        <v>Предложение организации</v>
      </c>
      <c r="AM10" s="970" t="str" cm="1">
        <f t="array" ref="AM10">AM25</f>
        <v>Предложение организации</v>
      </c>
      <c r="AN10" s="970" t="str" cm="1">
        <f t="array" ref="AN10">AN25</f>
        <v>Предложение организации</v>
      </c>
      <c r="AO10" s="970" t="str" cm="1">
        <f t="array" ref="AO10">AO25</f>
        <v>Предложение организации</v>
      </c>
      <c r="AP10" s="970" t="str" cm="1">
        <f t="array" ref="AP10">AP25</f>
        <v>Предложение организации</v>
      </c>
      <c r="AQ10" s="970" t="str" cm="1">
        <f t="array" ref="AQ10">AQ25</f>
        <v>Предложение организации</v>
      </c>
      <c r="AR10" s="970" t="str" cm="1">
        <f t="array" ref="AR10">AR25</f>
        <v>Предложение организации</v>
      </c>
      <c r="AS10" s="970" t="str" cm="1">
        <f t="array" ref="AS10">AS25</f>
        <v>Предложение организации</v>
      </c>
      <c r="AT10" s="970" t="str" cm="1">
        <f t="array" ref="AT10">AT25</f>
        <v>Принято органом регулирования</v>
      </c>
      <c r="AU10" s="970" t="str" cm="1">
        <f t="array" ref="AU10">AU25</f>
        <v>Принято органом регулирования</v>
      </c>
      <c r="AV10" s="970" t="str" cm="1">
        <f t="array" ref="AV10">AV25</f>
        <v>Принято органом регулирования</v>
      </c>
      <c r="AW10" s="970" t="str" cm="1">
        <f t="array" ref="AW10">AW25</f>
        <v>Принято органом регулирования</v>
      </c>
      <c r="AX10" s="970" t="str" cm="1">
        <f t="array" ref="AX10">AX25</f>
        <v>Принято органом регулирования</v>
      </c>
      <c r="AY10" s="970" t="str" cm="1">
        <f t="array" ref="AY10">AY25</f>
        <v>Принято органом регулирования</v>
      </c>
      <c r="AZ10" s="970" t="str" cm="1">
        <f t="array" ref="AZ10">AZ25</f>
        <v>Принято органом регулирования</v>
      </c>
      <c r="BA10" s="970" t="str" cm="1">
        <f t="array" ref="BA10">BA25</f>
        <v>Принято органом регулирования</v>
      </c>
      <c r="BB10" s="970" t="str" cm="1">
        <f t="array" ref="BB10">BB25</f>
        <v>Принято органом регулирования</v>
      </c>
      <c r="BC10" s="970" t="str" cm="1">
        <f t="array" ref="BC10">BC25</f>
        <v>Принято органом регулирования</v>
      </c>
      <c r="BD10" s="97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70" cm="1">
        <f t="array" ref="BE10">BE25</f>
        <v>0</v>
      </c>
      <c r="BF10" s="970" cm="1">
        <f t="array" ref="BF10">BF25</f>
        <v>0</v>
      </c>
      <c r="BG10" s="970" cm="1">
        <f t="array" ref="BG10">BG25</f>
        <v>0</v>
      </c>
      <c r="BH10" s="970" cm="1">
        <f t="array" ref="BH10">BH25</f>
        <v>0</v>
      </c>
      <c r="BI10" s="970" cm="1">
        <f t="array" ref="BI10">BI25</f>
        <v>0</v>
      </c>
      <c r="BJ10" s="970" cm="1">
        <f t="array" ref="BJ10">BJ25</f>
        <v>0</v>
      </c>
      <c r="BK10" s="970" cm="1">
        <f t="array" ref="BK10">BK25</f>
        <v>0</v>
      </c>
      <c r="BL10" s="970" cm="1">
        <f t="array" ref="BL10">BL25</f>
        <v>0</v>
      </c>
      <c r="BM10" s="970" cm="1">
        <f t="array" ref="BM10">BM25</f>
        <v>0</v>
      </c>
      <c r="BV10" s="626"/>
      <c r="BW10" s="626"/>
    </row>
    <row r="11" spans="1:75" s="973" customFormat="1" ht="11.25" hidden="1" customHeight="1" x14ac:dyDescent="0.25">
      <c r="A11" s="906" t="s">
        <v>364</v>
      </c>
      <c r="B11" s="969"/>
      <c r="C11" s="969"/>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70"/>
      <c r="BN11" s="973" t="str" cm="1">
        <f t="array" ref="BN11">BN24</f>
        <v>Указание на подтверждающие документы / URL-ссылка на копии подтверждающих документов</v>
      </c>
      <c r="BO11" s="973" t="str" cm="1">
        <f t="array" ref="BO11">BO24</f>
        <v>Ссылка на правовую норму (основание для принятия показателя в расчет тарифа)</v>
      </c>
      <c r="BP11" s="973"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26"/>
      <c r="BW11" s="626"/>
    </row>
    <row r="12" spans="1:75" s="973" customFormat="1" ht="11.25" hidden="1" customHeight="1" x14ac:dyDescent="0.25">
      <c r="A12" s="971" t="s">
        <v>337</v>
      </c>
      <c r="B12" s="969"/>
      <c r="C12" s="969"/>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71" t="s">
        <v>324</v>
      </c>
      <c r="AD12" s="969"/>
      <c r="AE12" s="970"/>
      <c r="BV12" s="626"/>
      <c r="BW12" s="626"/>
    </row>
    <row r="13" spans="1:75" ht="11.25" hidden="1" customHeight="1" x14ac:dyDescent="0.15">
      <c r="A13" s="77" t="s">
        <v>1674</v>
      </c>
      <c r="BN13" s="77" t="str" cm="1">
        <f t="array" ref="BN13">BN24</f>
        <v>Указание на подтверждающие документы / URL-ссылка на копии подтверждающих документов</v>
      </c>
      <c r="BO13" s="77" t="str" cm="1">
        <f t="array" ref="BO13">BO24</f>
        <v>Ссылка на правовую норму (основание для принятия показателя в расчет тарифа)</v>
      </c>
      <c r="BP13" s="77"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x14ac:dyDescent="0.15">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x14ac:dyDescent="0.15">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x14ac:dyDescent="0.15">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x14ac:dyDescent="0.15"/>
    <row r="18" spans="1:75" ht="11.25" hidden="1" customHeight="1" x14ac:dyDescent="0.15">
      <c r="A18" s="77" t="s">
        <v>365</v>
      </c>
      <c r="AC18" s="76" t="s">
        <v>366</v>
      </c>
    </row>
    <row r="19" spans="1:75" ht="11.25" hidden="1" customHeight="1" x14ac:dyDescent="0.15"/>
    <row r="20" spans="1:75" ht="11.25" hidden="1" customHeight="1" x14ac:dyDescent="0.15"/>
    <row r="21" spans="1:75" ht="14.65" customHeight="1" x14ac:dyDescent="0.15">
      <c r="E21" s="626">
        <v>15</v>
      </c>
      <c r="AA21" s="347"/>
      <c r="AB21" s="77"/>
      <c r="AC21" s="3" t="str" cm="1">
        <f t="array" ref="AC21">tpl_title</f>
        <v>Кемеровская область / 2026 / ООО "Чистая вода" (ИНН:4246023100, КПП:424601001) / ДПР: 2024-2032</v>
      </c>
      <c r="AD21" s="77"/>
    </row>
    <row r="22" spans="1:75" s="1205" customFormat="1" ht="19.5" customHeight="1" x14ac:dyDescent="0.15">
      <c r="B22" s="354"/>
      <c r="E22" s="545">
        <v>20</v>
      </c>
      <c r="AB22" s="235" t="s">
        <v>79</v>
      </c>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S22" s="975"/>
      <c r="BT22" s="975"/>
      <c r="BU22" s="975"/>
      <c r="BV22" s="545"/>
      <c r="BW22" s="545"/>
    </row>
    <row r="23" spans="1:75" s="1205" customFormat="1" ht="10.15" customHeight="1" x14ac:dyDescent="0.15">
      <c r="B23" s="354"/>
      <c r="E23" s="545">
        <v>10.5</v>
      </c>
      <c r="AB23" s="885"/>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S23" s="975"/>
      <c r="BT23" s="975"/>
      <c r="BU23" s="975"/>
      <c r="BV23" s="545"/>
      <c r="BW23" s="545"/>
    </row>
    <row r="24" spans="1:75" s="890" customFormat="1" ht="24.2" customHeight="1" x14ac:dyDescent="0.15">
      <c r="B24" s="355"/>
      <c r="E24" s="627">
        <v>24.75</v>
      </c>
      <c r="AB24" s="2038" t="s">
        <v>21</v>
      </c>
      <c r="AC24" s="2038" t="s">
        <v>366</v>
      </c>
      <c r="AD24" s="2038" t="s">
        <v>367</v>
      </c>
      <c r="AE24" s="10" t="str">
        <f>god-2&amp;" год"</f>
        <v>2024 год</v>
      </c>
      <c r="AF24" s="1028" t="str">
        <f>god-2&amp;" год"</f>
        <v>2024 год</v>
      </c>
      <c r="AG24" s="10" t="str">
        <f>god-2&amp;" год"</f>
        <v>2024 год</v>
      </c>
      <c r="AH24" s="10" t="str">
        <f>god-2&amp;" год"</f>
        <v>2024 год</v>
      </c>
      <c r="AI24" s="10" t="str">
        <f>god-1&amp;" год"</f>
        <v>2025 год</v>
      </c>
      <c r="AJ24" s="1026" t="str">
        <f>god&amp;" год"</f>
        <v>2026 год</v>
      </c>
      <c r="AK24" s="1026" t="str">
        <f>god+1&amp;" год"</f>
        <v>2027 год</v>
      </c>
      <c r="AL24" s="1026" t="str">
        <f>god+2&amp;" год"</f>
        <v>2028 год</v>
      </c>
      <c r="AM24" s="1026" t="str">
        <f>god+3&amp;" год"</f>
        <v>2029 год</v>
      </c>
      <c r="AN24" s="1026" t="str">
        <f>god+4&amp;" год"</f>
        <v>2030 год</v>
      </c>
      <c r="AO24" s="1026" t="str">
        <f>god+5&amp;" год"</f>
        <v>2031 год</v>
      </c>
      <c r="AP24" s="1026" t="str">
        <f>god+6&amp;" год"</f>
        <v>2032 год</v>
      </c>
      <c r="AQ24" s="1026" t="str">
        <f>god+7&amp;" год"</f>
        <v>2033 год</v>
      </c>
      <c r="AR24" s="1026" t="str">
        <f>god+8&amp;" год"</f>
        <v>2034 год</v>
      </c>
      <c r="AS24" s="1026"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2060" t="s">
        <v>1677</v>
      </c>
      <c r="BO24" s="2060" t="s">
        <v>558</v>
      </c>
      <c r="BP24" s="2060" t="s">
        <v>1678</v>
      </c>
      <c r="BS24" s="976"/>
      <c r="BT24" s="976"/>
      <c r="BU24" s="976"/>
      <c r="BV24" s="627"/>
      <c r="BW24" s="627"/>
    </row>
    <row r="25" spans="1:75" s="890" customFormat="1" ht="48.95" customHeight="1" x14ac:dyDescent="0.15">
      <c r="B25" s="355"/>
      <c r="E25" s="627">
        <v>50.25</v>
      </c>
      <c r="AB25" s="2038"/>
      <c r="AC25" s="2038"/>
      <c r="AD25" s="2038"/>
      <c r="AE25" s="10" t="s">
        <v>359</v>
      </c>
      <c r="AF25" s="1028" t="s">
        <v>484</v>
      </c>
      <c r="AG25" s="10" t="s">
        <v>485</v>
      </c>
      <c r="AH25" s="10" t="s">
        <v>1679</v>
      </c>
      <c r="AI25" s="10" t="s">
        <v>359</v>
      </c>
      <c r="AJ25" s="1030" t="s">
        <v>360</v>
      </c>
      <c r="AK25" s="1030" t="s">
        <v>360</v>
      </c>
      <c r="AL25" s="1030" t="s">
        <v>360</v>
      </c>
      <c r="AM25" s="1030" t="s">
        <v>360</v>
      </c>
      <c r="AN25" s="1030" t="s">
        <v>360</v>
      </c>
      <c r="AO25" s="1030" t="s">
        <v>360</v>
      </c>
      <c r="AP25" s="1030" t="s">
        <v>360</v>
      </c>
      <c r="AQ25" s="1030" t="s">
        <v>360</v>
      </c>
      <c r="AR25" s="1030" t="s">
        <v>360</v>
      </c>
      <c r="AS25" s="1030" t="s">
        <v>360</v>
      </c>
      <c r="AT25" s="276" t="s">
        <v>359</v>
      </c>
      <c r="AU25" s="276" t="s">
        <v>359</v>
      </c>
      <c r="AV25" s="276" t="s">
        <v>359</v>
      </c>
      <c r="AW25" s="276" t="s">
        <v>359</v>
      </c>
      <c r="AX25" s="276" t="s">
        <v>359</v>
      </c>
      <c r="AY25" s="276" t="s">
        <v>359</v>
      </c>
      <c r="AZ25" s="276" t="s">
        <v>359</v>
      </c>
      <c r="BA25" s="276" t="s">
        <v>359</v>
      </c>
      <c r="BB25" s="276" t="s">
        <v>359</v>
      </c>
      <c r="BC25" s="276" t="s">
        <v>359</v>
      </c>
      <c r="BD25" s="2060" t="s">
        <v>1676</v>
      </c>
      <c r="BE25" s="2060"/>
      <c r="BF25" s="2060"/>
      <c r="BG25" s="2060"/>
      <c r="BH25" s="2060"/>
      <c r="BI25" s="2060"/>
      <c r="BJ25" s="2060"/>
      <c r="BK25" s="2060"/>
      <c r="BL25" s="2060"/>
      <c r="BM25" s="2060"/>
      <c r="BN25" s="2060"/>
      <c r="BO25" s="2060"/>
      <c r="BP25" s="2060"/>
      <c r="BS25" s="976"/>
      <c r="BT25" s="976"/>
      <c r="BU25" s="976"/>
      <c r="BV25" s="627"/>
      <c r="BW25" s="627"/>
    </row>
    <row r="26" spans="1:75" s="1334" customFormat="1" ht="11.25" customHeight="1" x14ac:dyDescent="0.15">
      <c r="B26" s="352"/>
      <c r="E26" s="595" t="s">
        <v>370</v>
      </c>
      <c r="F26" s="91" t="s">
        <v>1889</v>
      </c>
      <c r="T26"/>
      <c r="AB26" s="422"/>
      <c r="AC26" s="19"/>
      <c r="AD26" s="19"/>
      <c r="AE26" s="19"/>
      <c r="AF26" s="19"/>
      <c r="AQ26" s="20"/>
      <c r="BS26" s="913"/>
      <c r="BT26" s="913"/>
      <c r="BU26" s="913"/>
      <c r="BV26" s="548"/>
      <c r="BW26" s="548"/>
    </row>
    <row r="27" spans="1:75" s="1217" customFormat="1" ht="14.65" hidden="1" customHeight="1" x14ac:dyDescent="0.15">
      <c r="B27" s="350"/>
      <c r="C27" s="348"/>
      <c r="D27" s="348"/>
      <c r="E27" s="543">
        <v>15</v>
      </c>
      <c r="F27" s="416" cm="1">
        <f t="array" ref="F27">X27</f>
        <v>0</v>
      </c>
      <c r="G27" s="416" cm="1">
        <f t="array" ref="G27">INDEX('Общие сведения'!$AK$185:$AK$228,MATCH($X27,'Общие сведения'!$Z$185:$Z$228,0))</f>
        <v>0</v>
      </c>
      <c r="H27" s="348"/>
      <c r="I27" s="416"/>
      <c r="J27" s="348"/>
      <c r="K27" s="348"/>
      <c r="L27" s="891"/>
      <c r="M27" s="348"/>
      <c r="N27" s="348"/>
      <c r="O27" s="348"/>
      <c r="P27" s="348"/>
      <c r="Q27" s="348"/>
      <c r="R27" s="348"/>
      <c r="S27" s="348" cm="1">
        <f t="array" ref="S27">INDEX('Общие сведения'!$AE$185:$AE$228,MATCH($X27,'Общие сведения'!$Z$185:$Z$228,0))</f>
        <v>0</v>
      </c>
      <c r="T27" s="388" t="b">
        <f>X27&gt;0</f>
        <v>0</v>
      </c>
      <c r="U27" s="348"/>
      <c r="V27" s="348" t="s">
        <v>271</v>
      </c>
      <c r="W27" s="348"/>
      <c r="X27" s="2066">
        <v>0</v>
      </c>
      <c r="Z27" s="2012"/>
      <c r="AB27" s="297" t="str" cm="1">
        <f t="array" ref="AB27">INDEX('Общие сведения'!$AG$185:$AG$228,MATCH($X27,'Общие сведения'!$Z$185:$Z$228,0))</f>
        <v xml:space="preserve">Тариф 0 () - </v>
      </c>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S27" s="906"/>
      <c r="BT27" s="906"/>
      <c r="BU27" s="906"/>
      <c r="BV27" s="542"/>
      <c r="BW27" s="542"/>
    </row>
    <row r="28" spans="1:75" s="80" customFormat="1" ht="20.45" hidden="1" customHeight="1" x14ac:dyDescent="0.15">
      <c r="B28" s="356"/>
      <c r="C28" s="774"/>
      <c r="D28" s="774"/>
      <c r="E28" s="775">
        <v>21</v>
      </c>
      <c r="F28" s="3" cm="1">
        <f t="array" aca="1" ref="F28" ca="1">OFFSET(E28,-1,1)</f>
        <v>0</v>
      </c>
      <c r="G28" s="774"/>
      <c r="H28" s="31"/>
      <c r="I28" s="31" t="s">
        <v>331</v>
      </c>
      <c r="J28" s="774"/>
      <c r="K28" s="293" t="s">
        <v>331</v>
      </c>
      <c r="L28" s="892"/>
      <c r="M28" s="774"/>
      <c r="N28" s="774"/>
      <c r="O28" s="774"/>
      <c r="P28" s="774"/>
      <c r="Q28" s="774"/>
      <c r="R28" s="774"/>
      <c r="S28" s="774"/>
      <c r="T28" s="388" t="b" cm="1">
        <f t="array" ref="T28">T27</f>
        <v>0</v>
      </c>
      <c r="U28" s="774"/>
      <c r="V28" s="774"/>
      <c r="W28" s="774"/>
      <c r="X28" s="2066"/>
      <c r="Z28" s="2012"/>
      <c r="AB28" s="153" t="s">
        <v>282</v>
      </c>
      <c r="AC28" s="131" t="s">
        <v>1890</v>
      </c>
      <c r="AD28" s="153" t="s">
        <v>831</v>
      </c>
      <c r="AE28" s="698">
        <f ca="1">SUM(AE30,AE47,AE53,AE73,AE74,AE75)</f>
        <v>0</v>
      </c>
      <c r="AF28" s="698">
        <f ca="1">SUM(AF30,AF47,AF53,AF73,AF74,AF75)</f>
        <v>0</v>
      </c>
      <c r="AG28" s="698">
        <f ca="1">SUM(AG30,AG47,AG53,AG73,AG74,AG75)</f>
        <v>0</v>
      </c>
      <c r="AH28" s="698">
        <f t="shared" ref="AH28:AH59" ca="1" si="2">AG28-AF28</f>
        <v>0</v>
      </c>
      <c r="AI28" s="698">
        <f ca="1">SUM(AI30,AI47,AI53,AI73,AI74,AI75)</f>
        <v>0</v>
      </c>
      <c r="AJ28" s="698">
        <f ca="1">SUM(AJ30,AJ47,AJ53,AJ73,AJ74,AJ75)</f>
        <v>0</v>
      </c>
      <c r="AK28" s="1144">
        <f t="shared" ref="AK28:AS28" ca="1" si="3">AJ28*AK29</f>
        <v>0</v>
      </c>
      <c r="AL28" s="1144">
        <f t="shared" ca="1" si="3"/>
        <v>0</v>
      </c>
      <c r="AM28" s="1144">
        <f t="shared" ca="1" si="3"/>
        <v>0</v>
      </c>
      <c r="AN28" s="1144">
        <f t="shared" ca="1" si="3"/>
        <v>0</v>
      </c>
      <c r="AO28" s="1144">
        <f t="shared" ca="1" si="3"/>
        <v>0</v>
      </c>
      <c r="AP28" s="1144">
        <f t="shared" ca="1" si="3"/>
        <v>0</v>
      </c>
      <c r="AQ28" s="1144">
        <f t="shared" ca="1" si="3"/>
        <v>0</v>
      </c>
      <c r="AR28" s="1144">
        <f t="shared" ca="1" si="3"/>
        <v>0</v>
      </c>
      <c r="AS28" s="1144">
        <f t="shared" ca="1" si="3"/>
        <v>0</v>
      </c>
      <c r="AT28" s="698">
        <f ca="1">SUM(AT30,AT47,AT53,AT73,AT74,AT75)</f>
        <v>0</v>
      </c>
      <c r="AU28" s="1144">
        <f t="shared" ref="AU28:BC28" ca="1" si="4">AT28*AU29</f>
        <v>0</v>
      </c>
      <c r="AV28" s="1144">
        <f t="shared" ca="1" si="4"/>
        <v>0</v>
      </c>
      <c r="AW28" s="1144">
        <f t="shared" ca="1" si="4"/>
        <v>0</v>
      </c>
      <c r="AX28" s="1144">
        <f t="shared" ca="1" si="4"/>
        <v>0</v>
      </c>
      <c r="AY28" s="1144">
        <f t="shared" ca="1" si="4"/>
        <v>0</v>
      </c>
      <c r="AZ28" s="1144">
        <f t="shared" ca="1" si="4"/>
        <v>0</v>
      </c>
      <c r="BA28" s="1144">
        <f t="shared" ca="1" si="4"/>
        <v>0</v>
      </c>
      <c r="BB28" s="1144">
        <f t="shared" ca="1" si="4"/>
        <v>0</v>
      </c>
      <c r="BC28" s="1144">
        <f t="shared" ca="1" si="4"/>
        <v>0</v>
      </c>
      <c r="BD28" s="698">
        <f t="shared" ref="BD28:BD59" ca="1" si="5">IF(AI28=0,0,(AT28-AI28)/AI28*100)</f>
        <v>0</v>
      </c>
      <c r="BE28" s="698">
        <f t="shared" ref="BE28:BM28" ca="1" si="6">IF(AT28=0,0,(AU28-AT28)/AT28*100)</f>
        <v>0</v>
      </c>
      <c r="BF28" s="698">
        <f t="shared" ca="1" si="6"/>
        <v>0</v>
      </c>
      <c r="BG28" s="698">
        <f t="shared" ca="1" si="6"/>
        <v>0</v>
      </c>
      <c r="BH28" s="698">
        <f t="shared" ca="1" si="6"/>
        <v>0</v>
      </c>
      <c r="BI28" s="698">
        <f t="shared" ca="1" si="6"/>
        <v>0</v>
      </c>
      <c r="BJ28" s="698">
        <f t="shared" ca="1" si="6"/>
        <v>0</v>
      </c>
      <c r="BK28" s="698">
        <f t="shared" ca="1" si="6"/>
        <v>0</v>
      </c>
      <c r="BL28" s="698">
        <f t="shared" ca="1" si="6"/>
        <v>0</v>
      </c>
      <c r="BM28" s="698">
        <f t="shared" ca="1" si="6"/>
        <v>0</v>
      </c>
      <c r="BN28" s="1145"/>
      <c r="BO28" s="1145"/>
      <c r="BP28" s="1145"/>
      <c r="BQ28" s="79"/>
      <c r="BS28" s="977" t="s">
        <v>555</v>
      </c>
      <c r="BT28" s="977"/>
      <c r="BU28" s="977"/>
      <c r="BV28" s="628"/>
      <c r="BW28" s="628"/>
    </row>
    <row r="29" spans="1:75" ht="14.65" hidden="1" customHeight="1" x14ac:dyDescent="0.15">
      <c r="C29" s="26"/>
      <c r="D29" s="26"/>
      <c r="E29" s="545">
        <v>15</v>
      </c>
      <c r="F29" s="3" cm="1">
        <f t="array" aca="1" ref="F29" ca="1">OFFSET(E29,-1,1)</f>
        <v>0</v>
      </c>
      <c r="G29" s="26"/>
      <c r="H29" s="776"/>
      <c r="I29" s="776" t="s">
        <v>494</v>
      </c>
      <c r="J29" s="26"/>
      <c r="K29" s="294" t="s">
        <v>494</v>
      </c>
      <c r="L29" s="889"/>
      <c r="M29" s="26"/>
      <c r="N29" s="26"/>
      <c r="O29" s="26"/>
      <c r="P29" s="26"/>
      <c r="Q29" s="26"/>
      <c r="R29" s="26"/>
      <c r="S29" s="26"/>
      <c r="T29" s="388" t="b" cm="1">
        <f t="array" ref="T29">T28</f>
        <v>0</v>
      </c>
      <c r="U29" s="26"/>
      <c r="V29" s="26"/>
      <c r="W29" s="26"/>
      <c r="X29" s="2066"/>
      <c r="Z29" s="2012"/>
      <c r="AB29" s="218" t="s">
        <v>910</v>
      </c>
      <c r="AC29" s="682" t="s">
        <v>1891</v>
      </c>
      <c r="AD29" s="218"/>
      <c r="AE29" s="1146"/>
      <c r="AF29" s="1146"/>
      <c r="AG29" s="1146"/>
      <c r="AH29" s="1021">
        <f t="shared" si="2"/>
        <v>0</v>
      </c>
      <c r="AI29" s="1146"/>
      <c r="AJ29" s="1513"/>
      <c r="AK29" s="1146">
        <f ca="1">SUMIFS(INDEX(Сценарии!$AE$25:$BF$109,,MATCH(AK$8,Сценарии!$AE$8:$BF$8,0)),Сценарии!$F$25:$F$109,$F29,Сценарии!$G$25:$G$109,"ИОР")</f>
        <v>1</v>
      </c>
      <c r="AL29" s="1146">
        <f ca="1">SUMIFS(INDEX(Сценарии!$AE$25:$BF$109,,MATCH(AL$8,Сценарии!$AE$8:$BF$8,0)),Сценарии!$F$25:$F$109,$F29,Сценарии!$G$25:$G$109,"ИОР")</f>
        <v>1</v>
      </c>
      <c r="AM29" s="1146">
        <f ca="1">SUMIFS(INDEX(Сценарии!$AE$25:$BF$109,,MATCH(AM$8,Сценарии!$AE$8:$BF$8,0)),Сценарии!$F$25:$F$109,$F29,Сценарии!$G$25:$G$109,"ИОР")</f>
        <v>1</v>
      </c>
      <c r="AN29" s="1146">
        <f ca="1">SUMIFS(INDEX(Сценарии!$AE$25:$BF$109,,MATCH(AN$8,Сценарии!$AE$8:$BF$8,0)),Сценарии!$F$25:$F$109,$F29,Сценарии!$G$25:$G$109,"ИОР")</f>
        <v>1</v>
      </c>
      <c r="AO29" s="1146">
        <f ca="1">SUMIFS(INDEX(Сценарии!$AE$25:$BF$109,,MATCH(AO$8,Сценарии!$AE$8:$BF$8,0)),Сценарии!$F$25:$F$109,$F29,Сценарии!$G$25:$G$109,"ИОР")</f>
        <v>1</v>
      </c>
      <c r="AP29" s="1146">
        <f ca="1">SUMIFS(INDEX(Сценарии!$AE$25:$BF$109,,MATCH(AP$8,Сценарии!$AE$8:$BF$8,0)),Сценарии!$F$25:$F$109,$F29,Сценарии!$G$25:$G$109,"ИОР")</f>
        <v>1</v>
      </c>
      <c r="AQ29" s="1146">
        <f ca="1">SUMIFS(INDEX(Сценарии!$AE$25:$BF$109,,MATCH(AQ$8,Сценарии!$AE$8:$BF$8,0)),Сценарии!$F$25:$F$109,$F29,Сценарии!$G$25:$G$109,"ИОР")</f>
        <v>1</v>
      </c>
      <c r="AR29" s="1146">
        <f ca="1">SUMIFS(INDEX(Сценарии!$AE$25:$BF$109,,MATCH(AR$8,Сценарии!$AE$8:$BF$8,0)),Сценарии!$F$25:$F$109,$F29,Сценарии!$G$25:$G$109,"ИОР")</f>
        <v>1</v>
      </c>
      <c r="AS29" s="1146">
        <f ca="1">SUMIFS(INDEX(Сценарии!$AE$25:$BF$109,,MATCH(AS$8,Сценарии!$AE$8:$BF$8,0)),Сценарии!$F$25:$F$109,$F29,Сценарии!$G$25:$G$109,"ИОР")</f>
        <v>1</v>
      </c>
      <c r="AT29" s="1513"/>
      <c r="AU29" s="1146">
        <f ca="1">SUMIFS(INDEX(Сценарии!$AE$25:$BF$109,,MATCH(AU$8,Сценарии!$AE$8:$BF$8,0)),Сценарии!$F$25:$F$109,$F29,Сценарии!$G$25:$G$109,"ИОР")</f>
        <v>1</v>
      </c>
      <c r="AV29" s="1146">
        <f ca="1">SUMIFS(INDEX(Сценарии!$AE$25:$BF$109,,MATCH(AV$8,Сценарии!$AE$8:$BF$8,0)),Сценарии!$F$25:$F$109,$F29,Сценарии!$G$25:$G$109,"ИОР")</f>
        <v>1</v>
      </c>
      <c r="AW29" s="1146">
        <f ca="1">SUMIFS(INDEX(Сценарии!$AE$25:$BF$109,,MATCH(AW$8,Сценарии!$AE$8:$BF$8,0)),Сценарии!$F$25:$F$109,$F29,Сценарии!$G$25:$G$109,"ИОР")</f>
        <v>1</v>
      </c>
      <c r="AX29" s="1146">
        <f ca="1">SUMIFS(INDEX(Сценарии!$AE$25:$BF$109,,MATCH(AX$8,Сценарии!$AE$8:$BF$8,0)),Сценарии!$F$25:$F$109,$F29,Сценарии!$G$25:$G$109,"ИОР")</f>
        <v>1</v>
      </c>
      <c r="AY29" s="1146">
        <f ca="1">SUMIFS(INDEX(Сценарии!$AE$25:$BF$109,,MATCH(AY$8,Сценарии!$AE$8:$BF$8,0)),Сценарии!$F$25:$F$109,$F29,Сценарии!$G$25:$G$109,"ИОР")</f>
        <v>1</v>
      </c>
      <c r="AZ29" s="1146">
        <f ca="1">SUMIFS(INDEX(Сценарии!$AE$25:$BF$109,,MATCH(AZ$8,Сценарии!$AE$8:$BF$8,0)),Сценарии!$F$25:$F$109,$F29,Сценарии!$G$25:$G$109,"ИОР")</f>
        <v>1</v>
      </c>
      <c r="BA29" s="1146">
        <f ca="1">SUMIFS(INDEX(Сценарии!$AE$25:$BF$109,,MATCH(BA$8,Сценарии!$AE$8:$BF$8,0)),Сценарии!$F$25:$F$109,$F29,Сценарии!$G$25:$G$109,"ИОР")</f>
        <v>1</v>
      </c>
      <c r="BB29" s="1146">
        <f ca="1">SUMIFS(INDEX(Сценарии!$AE$25:$BF$109,,MATCH(BB$8,Сценарии!$AE$8:$BF$8,0)),Сценарии!$F$25:$F$109,$F29,Сценарии!$G$25:$G$109,"ИОР")</f>
        <v>1</v>
      </c>
      <c r="BC29" s="1146">
        <f ca="1">SUMIFS(INDEX(Сценарии!$AE$25:$BF$109,,MATCH(BC$8,Сценарии!$AE$8:$BF$8,0)),Сценарии!$F$25:$F$109,$F29,Сценарии!$G$25:$G$109,"ИОР")</f>
        <v>1</v>
      </c>
      <c r="BD29" s="1022">
        <f t="shared" si="5"/>
        <v>0</v>
      </c>
      <c r="BE29" s="1023"/>
      <c r="BF29" s="1023"/>
      <c r="BG29" s="1023"/>
      <c r="BH29" s="1023"/>
      <c r="BI29" s="1023"/>
      <c r="BJ29" s="1023"/>
      <c r="BK29" s="1023"/>
      <c r="BL29" s="1023"/>
      <c r="BM29" s="1023"/>
      <c r="BN29" s="1145"/>
      <c r="BO29" s="1145"/>
      <c r="BP29" s="1145"/>
      <c r="BS29" s="973" t="s">
        <v>1892</v>
      </c>
    </row>
    <row r="30" spans="1:75" s="79" customFormat="1" ht="20.45" hidden="1" customHeight="1" x14ac:dyDescent="0.25">
      <c r="B30" s="356"/>
      <c r="C30" s="777"/>
      <c r="D30" s="777"/>
      <c r="E30" s="778">
        <v>21</v>
      </c>
      <c r="F30" s="3" cm="1">
        <f t="array" aca="1" ref="F30" ca="1">OFFSET(E30,-1,1)</f>
        <v>0</v>
      </c>
      <c r="G30" s="777"/>
      <c r="H30" s="31"/>
      <c r="I30" s="31" t="s">
        <v>498</v>
      </c>
      <c r="J30" s="777"/>
      <c r="K30" s="293" t="s">
        <v>498</v>
      </c>
      <c r="L30" s="893" t="s">
        <v>331</v>
      </c>
      <c r="M30" s="777"/>
      <c r="N30" s="777"/>
      <c r="O30" s="777"/>
      <c r="P30" s="777"/>
      <c r="Q30" s="777"/>
      <c r="R30" s="777"/>
      <c r="S30" s="777"/>
      <c r="T30" s="388" t="b" cm="1">
        <f t="array" ref="T30">T29</f>
        <v>0</v>
      </c>
      <c r="U30" s="777"/>
      <c r="V30" s="777"/>
      <c r="W30" s="777"/>
      <c r="X30" s="2066"/>
      <c r="Z30" s="2012"/>
      <c r="AB30" s="153" t="s">
        <v>913</v>
      </c>
      <c r="AC30" s="277" t="s">
        <v>1680</v>
      </c>
      <c r="AD30" s="153" t="s">
        <v>831</v>
      </c>
      <c r="AE30" s="698">
        <f ca="1">SUM(AE31,AE34,AE35,AE38,AE39)</f>
        <v>0</v>
      </c>
      <c r="AF30" s="698">
        <f ca="1">SUM(AF31,AF34,AF35,AF38,AF39)</f>
        <v>0</v>
      </c>
      <c r="AG30" s="698">
        <f ca="1">SUM(AG31,AG34,AG35,AG38,AG39)</f>
        <v>0</v>
      </c>
      <c r="AH30" s="698">
        <f t="shared" ca="1" si="2"/>
        <v>0</v>
      </c>
      <c r="AI30" s="698">
        <f ca="1">SUM(AI31,AI34,AI35,AI38,AI39)</f>
        <v>0</v>
      </c>
      <c r="AJ30" s="698">
        <f ca="1">SUM(AJ31,AJ34,AJ35,AJ38,AJ39)</f>
        <v>0</v>
      </c>
      <c r="AK30" s="135"/>
      <c r="AL30" s="135"/>
      <c r="AM30" s="135"/>
      <c r="AN30" s="135"/>
      <c r="AO30" s="135"/>
      <c r="AP30" s="135"/>
      <c r="AQ30" s="135"/>
      <c r="AR30" s="135"/>
      <c r="AS30" s="135"/>
      <c r="AT30" s="698">
        <f ca="1">SUM(AT31,AT34,AT35,AT38,AT39)</f>
        <v>0</v>
      </c>
      <c r="AU30" s="135"/>
      <c r="AV30" s="135"/>
      <c r="AW30" s="135"/>
      <c r="AX30" s="135"/>
      <c r="AY30" s="135"/>
      <c r="AZ30" s="135"/>
      <c r="BA30" s="135"/>
      <c r="BB30" s="135"/>
      <c r="BC30" s="135"/>
      <c r="BD30" s="698">
        <f t="shared" ca="1" si="5"/>
        <v>0</v>
      </c>
      <c r="BE30" s="135"/>
      <c r="BF30" s="135"/>
      <c r="BG30" s="135"/>
      <c r="BH30" s="135"/>
      <c r="BI30" s="135"/>
      <c r="BJ30" s="135"/>
      <c r="BK30" s="135"/>
      <c r="BL30" s="135"/>
      <c r="BM30" s="135"/>
      <c r="BN30" s="1147"/>
      <c r="BO30" s="1147"/>
      <c r="BP30" s="1147"/>
      <c r="BS30" s="971" t="s">
        <v>549</v>
      </c>
      <c r="BT30" s="978"/>
      <c r="BU30" s="978"/>
      <c r="BV30" s="629"/>
      <c r="BW30" s="629"/>
    </row>
    <row r="31" spans="1:75" ht="14.65" hidden="1" customHeight="1" x14ac:dyDescent="0.25">
      <c r="C31" s="26"/>
      <c r="D31" s="26"/>
      <c r="E31" s="545">
        <v>15</v>
      </c>
      <c r="F31" s="3" cm="1">
        <f t="array" aca="1" ref="F31" ca="1">OFFSET(E31,-1,1)</f>
        <v>0</v>
      </c>
      <c r="G31" s="26"/>
      <c r="H31" s="776"/>
      <c r="I31" s="776" t="s">
        <v>1301</v>
      </c>
      <c r="J31" s="26"/>
      <c r="K31" s="294" t="s">
        <v>1301</v>
      </c>
      <c r="L31" s="889" t="s">
        <v>494</v>
      </c>
      <c r="M31" s="26"/>
      <c r="N31" s="26"/>
      <c r="O31" s="26"/>
      <c r="P31" s="26"/>
      <c r="Q31" s="26"/>
      <c r="R31" s="26"/>
      <c r="S31" s="26"/>
      <c r="T31" s="388" t="b" cm="1">
        <f t="array" ref="T31">T30</f>
        <v>0</v>
      </c>
      <c r="U31" s="26"/>
      <c r="V31" s="26"/>
      <c r="W31" s="26"/>
      <c r="X31" s="2066"/>
      <c r="Z31" s="2012"/>
      <c r="AB31" s="218" t="s">
        <v>1302</v>
      </c>
      <c r="AC31" s="685" t="s">
        <v>1893</v>
      </c>
      <c r="AD31" s="686" t="s">
        <v>831</v>
      </c>
      <c r="AE31" s="1022">
        <f>SUM(AE32,AE33)</f>
        <v>0</v>
      </c>
      <c r="AF31" s="1022">
        <f>SUM(AF32,AF33)</f>
        <v>0</v>
      </c>
      <c r="AG31" s="1022">
        <f>SUM(AG32,AG33)</f>
        <v>0</v>
      </c>
      <c r="AH31" s="1022">
        <f t="shared" si="2"/>
        <v>0</v>
      </c>
      <c r="AI31" s="1022">
        <f>SUM(AI32,AI33)</f>
        <v>0</v>
      </c>
      <c r="AJ31" s="1022">
        <f>SUM(AJ32,AJ33)</f>
        <v>0</v>
      </c>
      <c r="AK31" s="1023"/>
      <c r="AL31" s="1023"/>
      <c r="AM31" s="1023"/>
      <c r="AN31" s="1023"/>
      <c r="AO31" s="1023"/>
      <c r="AP31" s="1023"/>
      <c r="AQ31" s="1023"/>
      <c r="AR31" s="1023"/>
      <c r="AS31" s="1023"/>
      <c r="AT31" s="1022">
        <f>SUM(AT32,AT33)</f>
        <v>0</v>
      </c>
      <c r="AU31" s="1023"/>
      <c r="AV31" s="1023"/>
      <c r="AW31" s="1023"/>
      <c r="AX31" s="1023"/>
      <c r="AY31" s="1023"/>
      <c r="AZ31" s="1023"/>
      <c r="BA31" s="1023"/>
      <c r="BB31" s="1023"/>
      <c r="BC31" s="1023"/>
      <c r="BD31" s="1022">
        <f t="shared" si="5"/>
        <v>0</v>
      </c>
      <c r="BE31" s="1023"/>
      <c r="BF31" s="1023"/>
      <c r="BG31" s="1023"/>
      <c r="BH31" s="1023"/>
      <c r="BI31" s="1023"/>
      <c r="BJ31" s="1023"/>
      <c r="BK31" s="1023"/>
      <c r="BL31" s="1023"/>
      <c r="BM31" s="1023"/>
      <c r="BN31" s="1145"/>
      <c r="BO31" s="1145"/>
      <c r="BP31" s="1145"/>
      <c r="BQ31" s="29"/>
      <c r="BS31" s="972" t="s">
        <v>1682</v>
      </c>
    </row>
    <row r="32" spans="1:75" ht="14.65" hidden="1" customHeight="1" x14ac:dyDescent="0.25">
      <c r="C32" s="26"/>
      <c r="D32" s="26"/>
      <c r="E32" s="545">
        <v>15</v>
      </c>
      <c r="F32" s="3" cm="1">
        <f t="array" aca="1" ref="F32" ca="1">OFFSET(E32,-1,1)</f>
        <v>0</v>
      </c>
      <c r="G32" s="26"/>
      <c r="H32" s="776"/>
      <c r="I32" s="776" t="s">
        <v>1894</v>
      </c>
      <c r="J32" s="26"/>
      <c r="K32" s="294" t="s">
        <v>1894</v>
      </c>
      <c r="L32" s="889" t="s">
        <v>1020</v>
      </c>
      <c r="M32" s="26"/>
      <c r="N32" s="26"/>
      <c r="O32" s="26"/>
      <c r="P32" s="26"/>
      <c r="Q32" s="26"/>
      <c r="R32" s="26"/>
      <c r="S32" s="26"/>
      <c r="T32" s="388" t="b" cm="1">
        <f t="array" ref="T32">T31</f>
        <v>0</v>
      </c>
      <c r="U32" s="26"/>
      <c r="V32" s="26"/>
      <c r="W32" s="26"/>
      <c r="X32" s="2066"/>
      <c r="Z32" s="2012"/>
      <c r="AB32" s="218" t="s">
        <v>1895</v>
      </c>
      <c r="AC32" s="688" t="s">
        <v>1685</v>
      </c>
      <c r="AD32" s="686" t="s">
        <v>831</v>
      </c>
      <c r="AE32" s="1148"/>
      <c r="AF32" s="1148"/>
      <c r="AG32" s="1148"/>
      <c r="AH32" s="1022">
        <f t="shared" si="2"/>
        <v>0</v>
      </c>
      <c r="AI32" s="1148"/>
      <c r="AJ32" s="1514"/>
      <c r="AK32" s="1023"/>
      <c r="AL32" s="1023"/>
      <c r="AM32" s="1023"/>
      <c r="AN32" s="1023"/>
      <c r="AO32" s="1023"/>
      <c r="AP32" s="1023"/>
      <c r="AQ32" s="1023"/>
      <c r="AR32" s="1023"/>
      <c r="AS32" s="1023"/>
      <c r="AT32" s="1514"/>
      <c r="AU32" s="1023"/>
      <c r="AV32" s="1023"/>
      <c r="AW32" s="1023"/>
      <c r="AX32" s="1023"/>
      <c r="AY32" s="1023"/>
      <c r="AZ32" s="1023"/>
      <c r="BA32" s="1023"/>
      <c r="BB32" s="1023"/>
      <c r="BC32" s="1023"/>
      <c r="BD32" s="1022">
        <f t="shared" si="5"/>
        <v>0</v>
      </c>
      <c r="BE32" s="1023"/>
      <c r="BF32" s="1023"/>
      <c r="BG32" s="1023"/>
      <c r="BH32" s="1023"/>
      <c r="BI32" s="1023"/>
      <c r="BJ32" s="1023"/>
      <c r="BK32" s="1023"/>
      <c r="BL32" s="1023"/>
      <c r="BM32" s="1023"/>
      <c r="BN32" s="1145"/>
      <c r="BO32" s="1145"/>
      <c r="BP32" s="1145"/>
      <c r="BS32" s="971" t="s">
        <v>1686</v>
      </c>
    </row>
    <row r="33" spans="2:75" ht="14.65" hidden="1" customHeight="1" x14ac:dyDescent="0.25">
      <c r="C33" s="26"/>
      <c r="D33" s="26"/>
      <c r="E33" s="545">
        <v>15</v>
      </c>
      <c r="F33" s="3" cm="1">
        <f t="array" aca="1" ref="F33" ca="1">OFFSET(E33,-1,1)</f>
        <v>0</v>
      </c>
      <c r="G33" s="26"/>
      <c r="H33" s="776"/>
      <c r="I33" s="776" t="s">
        <v>1896</v>
      </c>
      <c r="J33" s="26"/>
      <c r="K33" s="294" t="s">
        <v>1896</v>
      </c>
      <c r="L33" s="889" t="s">
        <v>1276</v>
      </c>
      <c r="M33" s="26"/>
      <c r="N33" s="26"/>
      <c r="O33" s="26"/>
      <c r="P33" s="26"/>
      <c r="Q33" s="26"/>
      <c r="R33" s="26"/>
      <c r="S33" s="26"/>
      <c r="T33" s="388" t="b" cm="1">
        <f t="array" ref="T33">T32</f>
        <v>0</v>
      </c>
      <c r="U33" s="26"/>
      <c r="V33" s="26"/>
      <c r="W33" s="26"/>
      <c r="X33" s="2066"/>
      <c r="Z33" s="2012"/>
      <c r="AB33" s="218" t="s">
        <v>1897</v>
      </c>
      <c r="AC33" s="688" t="s">
        <v>1687</v>
      </c>
      <c r="AD33" s="686" t="s">
        <v>831</v>
      </c>
      <c r="AE33" s="1148"/>
      <c r="AF33" s="1148"/>
      <c r="AG33" s="1148"/>
      <c r="AH33" s="1022">
        <f t="shared" si="2"/>
        <v>0</v>
      </c>
      <c r="AI33" s="1148"/>
      <c r="AJ33" s="1514"/>
      <c r="AK33" s="1023"/>
      <c r="AL33" s="1023"/>
      <c r="AM33" s="1023"/>
      <c r="AN33" s="1023"/>
      <c r="AO33" s="1023"/>
      <c r="AP33" s="1023"/>
      <c r="AQ33" s="1023"/>
      <c r="AR33" s="1023"/>
      <c r="AS33" s="1023"/>
      <c r="AT33" s="1514"/>
      <c r="AU33" s="1023"/>
      <c r="AV33" s="1023"/>
      <c r="AW33" s="1023"/>
      <c r="AX33" s="1023"/>
      <c r="AY33" s="1023"/>
      <c r="AZ33" s="1023"/>
      <c r="BA33" s="1023"/>
      <c r="BB33" s="1023"/>
      <c r="BC33" s="1023"/>
      <c r="BD33" s="1022">
        <f t="shared" si="5"/>
        <v>0</v>
      </c>
      <c r="BE33" s="1023"/>
      <c r="BF33" s="1023"/>
      <c r="BG33" s="1023"/>
      <c r="BH33" s="1023"/>
      <c r="BI33" s="1023"/>
      <c r="BJ33" s="1023"/>
      <c r="BK33" s="1023"/>
      <c r="BL33" s="1023"/>
      <c r="BM33" s="1023"/>
      <c r="BN33" s="1145"/>
      <c r="BO33" s="1145"/>
      <c r="BP33" s="1145"/>
      <c r="BS33" s="971" t="s">
        <v>1688</v>
      </c>
    </row>
    <row r="34" spans="2:75" ht="21.95" hidden="1" customHeight="1" x14ac:dyDescent="0.25">
      <c r="C34" s="26"/>
      <c r="D34" s="26"/>
      <c r="E34" s="545">
        <v>22.5</v>
      </c>
      <c r="F34" s="3" cm="1">
        <f t="array" aca="1" ref="F34" ca="1">OFFSET(E34,-1,1)</f>
        <v>0</v>
      </c>
      <c r="G34" s="26"/>
      <c r="H34" s="776"/>
      <c r="I34" s="776" t="s">
        <v>1304</v>
      </c>
      <c r="J34" s="26"/>
      <c r="K34" s="294" t="s">
        <v>1304</v>
      </c>
      <c r="L34" s="889" t="s">
        <v>501</v>
      </c>
      <c r="M34" s="26"/>
      <c r="N34" s="26"/>
      <c r="O34" s="26"/>
      <c r="P34" s="26"/>
      <c r="Q34" s="26"/>
      <c r="R34" s="26"/>
      <c r="S34" s="26"/>
      <c r="T34" s="388" t="b" cm="1">
        <f t="array" ref="T34">T33</f>
        <v>0</v>
      </c>
      <c r="U34" s="26"/>
      <c r="V34" s="26"/>
      <c r="W34" s="26"/>
      <c r="X34" s="2066"/>
      <c r="Z34" s="2012"/>
      <c r="AB34" s="218" t="s">
        <v>1305</v>
      </c>
      <c r="AC34" s="685" t="s">
        <v>1898</v>
      </c>
      <c r="AD34" s="686" t="s">
        <v>831</v>
      </c>
      <c r="AE34" s="1148"/>
      <c r="AF34" s="1148"/>
      <c r="AG34" s="1148"/>
      <c r="AH34" s="1022">
        <f t="shared" si="2"/>
        <v>0</v>
      </c>
      <c r="AI34" s="1148"/>
      <c r="AJ34" s="1514"/>
      <c r="AK34" s="1023"/>
      <c r="AL34" s="1023"/>
      <c r="AM34" s="1023"/>
      <c r="AN34" s="1023"/>
      <c r="AO34" s="1023"/>
      <c r="AP34" s="1023"/>
      <c r="AQ34" s="1023"/>
      <c r="AR34" s="1023"/>
      <c r="AS34" s="1023"/>
      <c r="AT34" s="1514"/>
      <c r="AU34" s="1023"/>
      <c r="AV34" s="1023"/>
      <c r="AW34" s="1023"/>
      <c r="AX34" s="1023"/>
      <c r="AY34" s="1023"/>
      <c r="AZ34" s="1023"/>
      <c r="BA34" s="1023"/>
      <c r="BB34" s="1023"/>
      <c r="BC34" s="1023"/>
      <c r="BD34" s="1022">
        <f t="shared" si="5"/>
        <v>0</v>
      </c>
      <c r="BE34" s="1023"/>
      <c r="BF34" s="1023"/>
      <c r="BG34" s="1023"/>
      <c r="BH34" s="1023"/>
      <c r="BI34" s="1023"/>
      <c r="BJ34" s="1023"/>
      <c r="BK34" s="1023"/>
      <c r="BL34" s="1023"/>
      <c r="BM34" s="1023"/>
      <c r="BN34" s="1145"/>
      <c r="BO34" s="1145"/>
      <c r="BP34" s="1145"/>
      <c r="BS34" s="972" t="s">
        <v>1713</v>
      </c>
    </row>
    <row r="35" spans="2:75" ht="21.95" hidden="1" customHeight="1" x14ac:dyDescent="0.25">
      <c r="C35" s="26"/>
      <c r="D35" s="26"/>
      <c r="E35" s="545">
        <v>22.5</v>
      </c>
      <c r="F35" s="3" cm="1">
        <f t="array" aca="1" ref="F35" ca="1">OFFSET(E35,-1,1)</f>
        <v>0</v>
      </c>
      <c r="G35" s="26"/>
      <c r="H35" s="776"/>
      <c r="I35" s="776" t="s">
        <v>1308</v>
      </c>
      <c r="J35" s="26"/>
      <c r="K35" s="294" t="s">
        <v>1308</v>
      </c>
      <c r="L35" s="889" t="s">
        <v>505</v>
      </c>
      <c r="M35" s="26"/>
      <c r="N35" s="26"/>
      <c r="O35" s="26"/>
      <c r="P35" s="26"/>
      <c r="Q35" s="26"/>
      <c r="R35" s="26"/>
      <c r="S35" s="26"/>
      <c r="T35" s="388" t="b" cm="1">
        <f t="array" ref="T35">T34</f>
        <v>0</v>
      </c>
      <c r="U35" s="26"/>
      <c r="V35" s="26"/>
      <c r="W35" s="26"/>
      <c r="X35" s="2066"/>
      <c r="Z35" s="2012"/>
      <c r="AB35" s="218" t="s">
        <v>1309</v>
      </c>
      <c r="AC35" s="685" t="s">
        <v>1899</v>
      </c>
      <c r="AD35" s="686" t="s">
        <v>831</v>
      </c>
      <c r="AE35" s="1024">
        <f ca="1">AE36+AE37</f>
        <v>0</v>
      </c>
      <c r="AF35" s="1024">
        <f ca="1">AF36+AF37</f>
        <v>0</v>
      </c>
      <c r="AG35" s="1024">
        <f ca="1">AG36+AG37</f>
        <v>0</v>
      </c>
      <c r="AH35" s="1022">
        <f t="shared" ca="1" si="2"/>
        <v>0</v>
      </c>
      <c r="AI35" s="1024">
        <f ca="1">AI36+AI37</f>
        <v>0</v>
      </c>
      <c r="AJ35" s="1024">
        <f ca="1">AJ36+AJ37</f>
        <v>0</v>
      </c>
      <c r="AK35" s="1023"/>
      <c r="AL35" s="1023"/>
      <c r="AM35" s="1023"/>
      <c r="AN35" s="1023"/>
      <c r="AO35" s="1023"/>
      <c r="AP35" s="1023"/>
      <c r="AQ35" s="1023"/>
      <c r="AR35" s="1023"/>
      <c r="AS35" s="1023"/>
      <c r="AT35" s="1024">
        <f ca="1">AT36+AT37</f>
        <v>0</v>
      </c>
      <c r="AU35" s="1023"/>
      <c r="AV35" s="1023"/>
      <c r="AW35" s="1023"/>
      <c r="AX35" s="1023"/>
      <c r="AY35" s="1023"/>
      <c r="AZ35" s="1023"/>
      <c r="BA35" s="1023"/>
      <c r="BB35" s="1023"/>
      <c r="BC35" s="1023"/>
      <c r="BD35" s="1022">
        <f t="shared" ca="1" si="5"/>
        <v>0</v>
      </c>
      <c r="BE35" s="1023"/>
      <c r="BF35" s="1023"/>
      <c r="BG35" s="1023"/>
      <c r="BH35" s="1023"/>
      <c r="BI35" s="1023"/>
      <c r="BJ35" s="1023"/>
      <c r="BK35" s="1023"/>
      <c r="BL35" s="1023"/>
      <c r="BM35" s="1023"/>
      <c r="BN35" s="1145"/>
      <c r="BO35" s="1145"/>
      <c r="BP35" s="1145"/>
      <c r="BS35" s="972" t="s">
        <v>1900</v>
      </c>
    </row>
    <row r="36" spans="2:75" ht="14.65" hidden="1" customHeight="1" x14ac:dyDescent="0.25">
      <c r="C36" s="26"/>
      <c r="D36" s="26"/>
      <c r="E36" s="545">
        <v>15</v>
      </c>
      <c r="F36" s="3" cm="1">
        <f t="array" aca="1" ref="F36" ca="1">OFFSET(E36,-1,1)</f>
        <v>0</v>
      </c>
      <c r="G36" s="290" t="s">
        <v>1104</v>
      </c>
      <c r="H36" s="776"/>
      <c r="I36" s="776" t="s">
        <v>1454</v>
      </c>
      <c r="J36" s="26"/>
      <c r="K36" s="294" t="s">
        <v>1454</v>
      </c>
      <c r="L36" s="889" t="s">
        <v>1328</v>
      </c>
      <c r="M36" s="26"/>
      <c r="N36" s="26"/>
      <c r="O36" s="26"/>
      <c r="P36" s="26"/>
      <c r="Q36" s="26"/>
      <c r="R36" s="26"/>
      <c r="S36" s="26"/>
      <c r="T36" s="388" t="b" cm="1">
        <f t="array" ref="T36">T35</f>
        <v>0</v>
      </c>
      <c r="U36" s="26"/>
      <c r="V36" s="26"/>
      <c r="W36" s="26"/>
      <c r="X36" s="2066"/>
      <c r="Z36" s="2012"/>
      <c r="AB36" s="218" t="s">
        <v>1901</v>
      </c>
      <c r="AC36" s="688" t="s">
        <v>1716</v>
      </c>
      <c r="AD36" s="686" t="s">
        <v>831</v>
      </c>
      <c r="AE36" s="1022">
        <f ca="1">SUMIFS(ФОТ!AE$25:AE$138,ФОТ!$F$25:$F$138,$F36,ФОТ!$G$25:$G$138,$G36)</f>
        <v>0</v>
      </c>
      <c r="AF36" s="1022">
        <f ca="1">SUMIFS(ФОТ!AF$25:AF$138,ФОТ!$F$25:$F$138,$F36,ФОТ!$G$25:$G$138,$G36)</f>
        <v>0</v>
      </c>
      <c r="AG36" s="1022">
        <f ca="1">SUMIFS(ФОТ!AG$25:AG$138,ФОТ!$F$25:$F$138,$F36,ФОТ!$G$25:$G$138,$G36)</f>
        <v>0</v>
      </c>
      <c r="AH36" s="1022">
        <f t="shared" ca="1" si="2"/>
        <v>0</v>
      </c>
      <c r="AI36" s="1022">
        <f ca="1">SUMIFS(ФОТ!AH$25:AH$138,ФОТ!$F$25:$F$138,$F36,ФОТ!$G$25:$G$138,$G36)</f>
        <v>0</v>
      </c>
      <c r="AJ36" s="1022">
        <f ca="1">SUMIFS(ФОТ!AI$25:AI$138,ФОТ!$F$25:$F$138,$F36,ФОТ!$G$25:$G$138,$G36)</f>
        <v>0</v>
      </c>
      <c r="AK36" s="1023"/>
      <c r="AL36" s="1023"/>
      <c r="AM36" s="1023"/>
      <c r="AN36" s="1023"/>
      <c r="AO36" s="1023"/>
      <c r="AP36" s="1023"/>
      <c r="AQ36" s="1023"/>
      <c r="AR36" s="1023"/>
      <c r="AS36" s="1023"/>
      <c r="AT36" s="1022">
        <f ca="1">SUMIFS(ФОТ!AJ$25:AJ$138,ФОТ!$F$25:$F$138,$F36,ФОТ!$G$25:$G$138,$G36)</f>
        <v>0</v>
      </c>
      <c r="AU36" s="1023"/>
      <c r="AV36" s="1023"/>
      <c r="AW36" s="1023"/>
      <c r="AX36" s="1023"/>
      <c r="AY36" s="1023"/>
      <c r="AZ36" s="1023"/>
      <c r="BA36" s="1023"/>
      <c r="BB36" s="1023"/>
      <c r="BC36" s="1023"/>
      <c r="BD36" s="1022">
        <f t="shared" ca="1" si="5"/>
        <v>0</v>
      </c>
      <c r="BE36" s="1023"/>
      <c r="BF36" s="1023"/>
      <c r="BG36" s="1023"/>
      <c r="BH36" s="1023"/>
      <c r="BI36" s="1023"/>
      <c r="BJ36" s="1023"/>
      <c r="BK36" s="1023"/>
      <c r="BL36" s="1023"/>
      <c r="BM36" s="1023"/>
      <c r="BN36" s="1145"/>
      <c r="BO36" s="1149" t="str">
        <f ca="1">IF(IFERROR(INDEX(ФОТ!$K$26:$L$138,MATCH($F36&amp;"1komm",ФОТ!$K$26:$K$138,0),2),"")=0,"",IFERROR(INDEX(ФОТ!$K$26:$L$138,MATCH($F36&amp;"1komm",ФОТ!$K$26:$K$138,0),2),""))</f>
        <v/>
      </c>
      <c r="BP36" s="1145"/>
      <c r="BS36" s="971" t="s">
        <v>1717</v>
      </c>
    </row>
    <row r="37" spans="2:75" ht="21.95" hidden="1" customHeight="1" x14ac:dyDescent="0.25">
      <c r="C37" s="26"/>
      <c r="D37" s="26"/>
      <c r="E37" s="545">
        <v>22.5</v>
      </c>
      <c r="F37" s="3" cm="1">
        <f t="array" aca="1" ref="F37" ca="1">OFFSET(E37,-1,1)</f>
        <v>0</v>
      </c>
      <c r="G37" s="290" t="s">
        <v>1116</v>
      </c>
      <c r="H37" s="776"/>
      <c r="I37" s="776" t="s">
        <v>1458</v>
      </c>
      <c r="J37" s="26"/>
      <c r="K37" s="294" t="s">
        <v>1458</v>
      </c>
      <c r="L37" s="889" t="s">
        <v>1329</v>
      </c>
      <c r="M37" s="26"/>
      <c r="N37" s="26"/>
      <c r="O37" s="26"/>
      <c r="P37" s="26"/>
      <c r="Q37" s="26"/>
      <c r="R37" s="26"/>
      <c r="S37" s="26"/>
      <c r="T37" s="388" t="b" cm="1">
        <f t="array" ref="T37">T36</f>
        <v>0</v>
      </c>
      <c r="U37" s="26"/>
      <c r="V37" s="26"/>
      <c r="W37" s="26"/>
      <c r="X37" s="2066"/>
      <c r="Z37" s="2012"/>
      <c r="AB37" s="218" t="s">
        <v>1902</v>
      </c>
      <c r="AC37" s="688" t="s">
        <v>1903</v>
      </c>
      <c r="AD37" s="686" t="s">
        <v>831</v>
      </c>
      <c r="AE37" s="1022">
        <f ca="1">SUMIFS(ФОТ!AE$25:AE$138,ФОТ!$F$25:$F$138,$F37,ФОТ!$G$25:$G$138,$G37)</f>
        <v>0</v>
      </c>
      <c r="AF37" s="1022">
        <f ca="1">SUMIFS(ФОТ!AF$25:AF$138,ФОТ!$F$25:$F$138,$F37,ФОТ!$G$25:$G$138,$G37)</f>
        <v>0</v>
      </c>
      <c r="AG37" s="1022">
        <f ca="1">SUMIFS(ФОТ!AG$25:AG$138,ФОТ!$F$25:$F$138,$F37,ФОТ!$G$25:$G$138,$G37)</f>
        <v>0</v>
      </c>
      <c r="AH37" s="1022">
        <f t="shared" ca="1" si="2"/>
        <v>0</v>
      </c>
      <c r="AI37" s="1022">
        <f ca="1">SUMIFS(ФОТ!AH$25:AH$138,ФОТ!$F$25:$F$138,$F37,ФОТ!$G$25:$G$138,$G37)</f>
        <v>0</v>
      </c>
      <c r="AJ37" s="1022">
        <f ca="1">SUMIFS(ФОТ!AI$25:AI$138,ФОТ!$F$25:$F$138,$F37,ФОТ!$G$25:$G$138,$G37)</f>
        <v>0</v>
      </c>
      <c r="AK37" s="1023"/>
      <c r="AL37" s="1023"/>
      <c r="AM37" s="1023"/>
      <c r="AN37" s="1023"/>
      <c r="AO37" s="1023"/>
      <c r="AP37" s="1023"/>
      <c r="AQ37" s="1023"/>
      <c r="AR37" s="1023"/>
      <c r="AS37" s="1023"/>
      <c r="AT37" s="1022">
        <f ca="1">SUMIFS(ФОТ!AJ$25:AJ$138,ФОТ!$F$25:$F$138,$F37,ФОТ!$G$25:$G$138,$G37)</f>
        <v>0</v>
      </c>
      <c r="AU37" s="1023"/>
      <c r="AV37" s="1023"/>
      <c r="AW37" s="1023"/>
      <c r="AX37" s="1023"/>
      <c r="AY37" s="1023"/>
      <c r="AZ37" s="1023"/>
      <c r="BA37" s="1023"/>
      <c r="BB37" s="1023"/>
      <c r="BC37" s="1023"/>
      <c r="BD37" s="1022">
        <f t="shared" ca="1" si="5"/>
        <v>0</v>
      </c>
      <c r="BE37" s="1023"/>
      <c r="BF37" s="1023"/>
      <c r="BG37" s="1023"/>
      <c r="BH37" s="1023"/>
      <c r="BI37" s="1023"/>
      <c r="BJ37" s="1023"/>
      <c r="BK37" s="1023"/>
      <c r="BL37" s="1023"/>
      <c r="BM37" s="1023"/>
      <c r="BN37" s="1145"/>
      <c r="BO37" s="1149" t="str">
        <f ca="1">IF(IFERROR(INDEX(ФОТ!$K$26:$L$138,MATCH($F37&amp;"2komm",ФОТ!$K$26:$K$138,0),2),"")=0,"",IFERROR(INDEX(ФОТ!$K$26:$L$138,MATCH($F37&amp;"2komm",ФОТ!$K$26:$K$138,0),2),""))</f>
        <v/>
      </c>
      <c r="BP37" s="1145"/>
      <c r="BS37" s="971" t="s">
        <v>1719</v>
      </c>
    </row>
    <row r="38" spans="2:75" ht="14.65" hidden="1" customHeight="1" x14ac:dyDescent="0.25">
      <c r="C38" s="26"/>
      <c r="D38" s="26"/>
      <c r="E38" s="545">
        <v>15</v>
      </c>
      <c r="F38" s="3" cm="1">
        <f t="array" aca="1" ref="F38" ca="1">OFFSET(E38,-1,1)</f>
        <v>0</v>
      </c>
      <c r="G38" s="26"/>
      <c r="H38" s="776"/>
      <c r="I38" s="776" t="s">
        <v>1469</v>
      </c>
      <c r="J38" s="26"/>
      <c r="K38" s="294" t="s">
        <v>1469</v>
      </c>
      <c r="L38" s="889" t="s">
        <v>1721</v>
      </c>
      <c r="M38" s="26"/>
      <c r="N38" s="26"/>
      <c r="O38" s="26"/>
      <c r="P38" s="26"/>
      <c r="Q38" s="26"/>
      <c r="R38" s="26"/>
      <c r="S38" s="26"/>
      <c r="T38" s="388" t="b" cm="1">
        <f t="array" ref="T38">T37</f>
        <v>0</v>
      </c>
      <c r="U38" s="26"/>
      <c r="V38" s="26"/>
      <c r="W38" s="26"/>
      <c r="X38" s="2066"/>
      <c r="Z38" s="2012"/>
      <c r="AB38" s="218" t="s">
        <v>1695</v>
      </c>
      <c r="AC38" s="685" t="s">
        <v>1904</v>
      </c>
      <c r="AD38" s="686" t="s">
        <v>831</v>
      </c>
      <c r="AE38" s="1148"/>
      <c r="AF38" s="1148"/>
      <c r="AG38" s="1148"/>
      <c r="AH38" s="1022">
        <f t="shared" si="2"/>
        <v>0</v>
      </c>
      <c r="AI38" s="1148"/>
      <c r="AJ38" s="1514"/>
      <c r="AK38" s="1023"/>
      <c r="AL38" s="1023"/>
      <c r="AM38" s="1023"/>
      <c r="AN38" s="1023"/>
      <c r="AO38" s="1023"/>
      <c r="AP38" s="1023"/>
      <c r="AQ38" s="1023"/>
      <c r="AR38" s="1023"/>
      <c r="AS38" s="1023"/>
      <c r="AT38" s="1514"/>
      <c r="AU38" s="1023"/>
      <c r="AV38" s="1023"/>
      <c r="AW38" s="1023"/>
      <c r="AX38" s="1023"/>
      <c r="AY38" s="1023"/>
      <c r="AZ38" s="1023"/>
      <c r="BA38" s="1023"/>
      <c r="BB38" s="1023"/>
      <c r="BC38" s="1023"/>
      <c r="BD38" s="1022">
        <f t="shared" si="5"/>
        <v>0</v>
      </c>
      <c r="BE38" s="1023"/>
      <c r="BF38" s="1023"/>
      <c r="BG38" s="1023"/>
      <c r="BH38" s="1023"/>
      <c r="BI38" s="1023"/>
      <c r="BJ38" s="1023"/>
      <c r="BK38" s="1023"/>
      <c r="BL38" s="1023"/>
      <c r="BM38" s="1023"/>
      <c r="BN38" s="1145"/>
      <c r="BO38" s="1145"/>
      <c r="BP38" s="1145"/>
      <c r="BS38" s="972" t="s">
        <v>1724</v>
      </c>
    </row>
    <row r="39" spans="2:75" ht="14.65" hidden="1" customHeight="1" x14ac:dyDescent="0.25">
      <c r="C39" s="26"/>
      <c r="D39" s="26"/>
      <c r="E39" s="545">
        <v>15</v>
      </c>
      <c r="F39" s="3" cm="1">
        <f t="array" aca="1" ref="F39" ca="1">OFFSET(E39,-1,1)</f>
        <v>0</v>
      </c>
      <c r="G39" s="26"/>
      <c r="H39" s="776"/>
      <c r="I39" s="776" t="s">
        <v>1473</v>
      </c>
      <c r="J39" s="26"/>
      <c r="K39" s="294" t="s">
        <v>1473</v>
      </c>
      <c r="L39" s="889" t="s">
        <v>1725</v>
      </c>
      <c r="N39" s="26"/>
      <c r="O39" s="26"/>
      <c r="P39" s="26"/>
      <c r="Q39" s="26"/>
      <c r="R39" s="26"/>
      <c r="S39" s="26"/>
      <c r="T39" s="388" t="b" cm="1">
        <f t="array" ref="T39">T38</f>
        <v>0</v>
      </c>
      <c r="U39" s="26"/>
      <c r="V39" s="26"/>
      <c r="W39" s="26"/>
      <c r="X39" s="2066"/>
      <c r="Z39" s="2012"/>
      <c r="AB39" s="218" t="s">
        <v>1697</v>
      </c>
      <c r="AC39" s="685" t="s">
        <v>1905</v>
      </c>
      <c r="AD39" s="218" t="s">
        <v>831</v>
      </c>
      <c r="AE39" s="1024">
        <f>SUM(AE40:AE46)</f>
        <v>0</v>
      </c>
      <c r="AF39" s="1024">
        <f>SUM(AF40:AF46)</f>
        <v>0</v>
      </c>
      <c r="AG39" s="1024">
        <f>SUM(AG40:AG46)</f>
        <v>0</v>
      </c>
      <c r="AH39" s="1022">
        <f t="shared" si="2"/>
        <v>0</v>
      </c>
      <c r="AI39" s="1024">
        <f>SUM(AI40:AI46)</f>
        <v>0</v>
      </c>
      <c r="AJ39" s="1024">
        <f>SUM(AJ40:AJ46)</f>
        <v>0</v>
      </c>
      <c r="AK39" s="1023"/>
      <c r="AL39" s="1023"/>
      <c r="AM39" s="1023"/>
      <c r="AN39" s="1023"/>
      <c r="AO39" s="1023"/>
      <c r="AP39" s="1023"/>
      <c r="AQ39" s="1023"/>
      <c r="AR39" s="1023"/>
      <c r="AS39" s="1023"/>
      <c r="AT39" s="1024">
        <f>SUM(AT40:AT46)</f>
        <v>0</v>
      </c>
      <c r="AU39" s="1023"/>
      <c r="AV39" s="1023"/>
      <c r="AW39" s="1023"/>
      <c r="AX39" s="1023"/>
      <c r="AY39" s="1023"/>
      <c r="AZ39" s="1023"/>
      <c r="BA39" s="1023"/>
      <c r="BB39" s="1023"/>
      <c r="BC39" s="1023"/>
      <c r="BD39" s="1022">
        <f t="shared" si="5"/>
        <v>0</v>
      </c>
      <c r="BE39" s="1023"/>
      <c r="BF39" s="1023"/>
      <c r="BG39" s="1023"/>
      <c r="BH39" s="1023"/>
      <c r="BI39" s="1023"/>
      <c r="BJ39" s="1023"/>
      <c r="BK39" s="1023"/>
      <c r="BL39" s="1023"/>
      <c r="BM39" s="1023"/>
      <c r="BN39" s="1145"/>
      <c r="BO39" s="1145"/>
      <c r="BP39" s="1145"/>
      <c r="BS39" s="972" t="s">
        <v>1906</v>
      </c>
    </row>
    <row r="40" spans="2:75" ht="14.65" hidden="1" customHeight="1" x14ac:dyDescent="0.25">
      <c r="C40" s="26"/>
      <c r="D40" s="26"/>
      <c r="E40" s="545">
        <v>15</v>
      </c>
      <c r="F40" s="3" cm="1">
        <f t="array" aca="1" ref="F40" ca="1">OFFSET(E40,-1,1)</f>
        <v>0</v>
      </c>
      <c r="G40" s="26"/>
      <c r="H40" s="776"/>
      <c r="I40" s="776" t="s">
        <v>1907</v>
      </c>
      <c r="J40" s="26"/>
      <c r="K40" s="294" t="s">
        <v>1907</v>
      </c>
      <c r="L40" s="889" t="s">
        <v>1725</v>
      </c>
      <c r="M40" s="26" t="s">
        <v>1733</v>
      </c>
      <c r="N40" s="26"/>
      <c r="O40" s="26"/>
      <c r="P40" s="26"/>
      <c r="Q40" s="26"/>
      <c r="R40" s="26"/>
      <c r="S40" s="26"/>
      <c r="T40" s="388" t="b" cm="1">
        <f t="array" ref="T40">T39</f>
        <v>0</v>
      </c>
      <c r="U40" s="26"/>
      <c r="V40" s="26"/>
      <c r="W40" s="26"/>
      <c r="X40" s="2066"/>
      <c r="Z40" s="2012"/>
      <c r="AB40" s="218" t="s">
        <v>1908</v>
      </c>
      <c r="AC40" s="688" t="s">
        <v>1909</v>
      </c>
      <c r="AD40" s="218" t="s">
        <v>831</v>
      </c>
      <c r="AE40" s="1148"/>
      <c r="AF40" s="1148"/>
      <c r="AG40" s="1148"/>
      <c r="AH40" s="1022">
        <f t="shared" si="2"/>
        <v>0</v>
      </c>
      <c r="AI40" s="1148"/>
      <c r="AJ40" s="1514"/>
      <c r="AK40" s="1023"/>
      <c r="AL40" s="1023"/>
      <c r="AM40" s="1023"/>
      <c r="AN40" s="1023"/>
      <c r="AO40" s="1023"/>
      <c r="AP40" s="1023"/>
      <c r="AQ40" s="1023"/>
      <c r="AR40" s="1023"/>
      <c r="AS40" s="1023"/>
      <c r="AT40" s="1514"/>
      <c r="AU40" s="1023"/>
      <c r="AV40" s="1023"/>
      <c r="AW40" s="1023"/>
      <c r="AX40" s="1023"/>
      <c r="AY40" s="1023"/>
      <c r="AZ40" s="1023"/>
      <c r="BA40" s="1023"/>
      <c r="BB40" s="1023"/>
      <c r="BC40" s="1023"/>
      <c r="BD40" s="1022">
        <f t="shared" si="5"/>
        <v>0</v>
      </c>
      <c r="BE40" s="1023"/>
      <c r="BF40" s="1023"/>
      <c r="BG40" s="1023"/>
      <c r="BH40" s="1023"/>
      <c r="BI40" s="1023"/>
      <c r="BJ40" s="1023"/>
      <c r="BK40" s="1023"/>
      <c r="BL40" s="1023"/>
      <c r="BM40" s="1023"/>
      <c r="BN40" s="1145"/>
      <c r="BO40" s="1145"/>
      <c r="BP40" s="1145"/>
      <c r="BS40" s="971" t="s">
        <v>1736</v>
      </c>
    </row>
    <row r="41" spans="2:75" ht="21.95" hidden="1" customHeight="1" x14ac:dyDescent="0.15">
      <c r="C41" s="26"/>
      <c r="D41" s="26"/>
      <c r="E41" s="545">
        <v>22.5</v>
      </c>
      <c r="F41" s="3" cm="1">
        <f t="array" aca="1" ref="F41" ca="1">OFFSET(E41,-1,1)</f>
        <v>0</v>
      </c>
      <c r="G41" s="26"/>
      <c r="H41" s="776"/>
      <c r="I41" s="776" t="s">
        <v>1910</v>
      </c>
      <c r="J41" s="26"/>
      <c r="K41" s="294" t="s">
        <v>1910</v>
      </c>
      <c r="L41" s="889" t="s">
        <v>1725</v>
      </c>
      <c r="M41" s="26" t="s">
        <v>1729</v>
      </c>
      <c r="N41" s="26"/>
      <c r="O41" s="26"/>
      <c r="P41" s="26"/>
      <c r="Q41" s="26"/>
      <c r="R41" s="26"/>
      <c r="S41" s="26"/>
      <c r="T41" s="388" t="b" cm="1">
        <f t="array" ref="T41">T40</f>
        <v>0</v>
      </c>
      <c r="U41" s="26"/>
      <c r="V41" s="26"/>
      <c r="W41" s="26"/>
      <c r="X41" s="2066"/>
      <c r="Z41" s="2012"/>
      <c r="AB41" s="218" t="s">
        <v>1911</v>
      </c>
      <c r="AC41" s="688" t="s">
        <v>1912</v>
      </c>
      <c r="AD41" s="218" t="s">
        <v>831</v>
      </c>
      <c r="AE41" s="1148"/>
      <c r="AF41" s="1148"/>
      <c r="AG41" s="1148"/>
      <c r="AH41" s="1022">
        <f t="shared" si="2"/>
        <v>0</v>
      </c>
      <c r="AI41" s="1148"/>
      <c r="AJ41" s="1514"/>
      <c r="AK41" s="1023"/>
      <c r="AL41" s="1023"/>
      <c r="AM41" s="1023"/>
      <c r="AN41" s="1023"/>
      <c r="AO41" s="1023"/>
      <c r="AP41" s="1023"/>
      <c r="AQ41" s="1023"/>
      <c r="AR41" s="1023"/>
      <c r="AS41" s="1023"/>
      <c r="AT41" s="1514"/>
      <c r="AU41" s="1023"/>
      <c r="AV41" s="1023"/>
      <c r="AW41" s="1023"/>
      <c r="AX41" s="1023"/>
      <c r="AY41" s="1023"/>
      <c r="AZ41" s="1023"/>
      <c r="BA41" s="1023"/>
      <c r="BB41" s="1023"/>
      <c r="BC41" s="1023"/>
      <c r="BD41" s="1022">
        <f t="shared" si="5"/>
        <v>0</v>
      </c>
      <c r="BE41" s="1023"/>
      <c r="BF41" s="1023"/>
      <c r="BG41" s="1023"/>
      <c r="BH41" s="1023"/>
      <c r="BI41" s="1023"/>
      <c r="BJ41" s="1023"/>
      <c r="BK41" s="1023"/>
      <c r="BL41" s="1023"/>
      <c r="BM41" s="1023"/>
      <c r="BN41" s="1145"/>
      <c r="BO41" s="1145"/>
      <c r="BP41" s="1145"/>
      <c r="BS41" s="973" t="s">
        <v>1913</v>
      </c>
    </row>
    <row r="42" spans="2:75" ht="21.95" hidden="1" customHeight="1" x14ac:dyDescent="0.15">
      <c r="C42" s="26"/>
      <c r="D42" s="26"/>
      <c r="E42" s="545">
        <v>22.5</v>
      </c>
      <c r="F42" s="3" cm="1">
        <f t="array" aca="1" ref="F42" ca="1">OFFSET(E42,-1,1)</f>
        <v>0</v>
      </c>
      <c r="G42" s="26"/>
      <c r="H42" s="776"/>
      <c r="I42" s="776" t="s">
        <v>1914</v>
      </c>
      <c r="J42" s="26"/>
      <c r="K42" s="294" t="s">
        <v>1914</v>
      </c>
      <c r="N42" s="26"/>
      <c r="O42" s="26"/>
      <c r="P42" s="26"/>
      <c r="Q42" s="26"/>
      <c r="R42" s="26"/>
      <c r="S42" s="26"/>
      <c r="T42" s="388" t="b" cm="1">
        <f t="array" ref="T42">T41</f>
        <v>0</v>
      </c>
      <c r="U42" s="26"/>
      <c r="V42" s="26"/>
      <c r="W42" s="26"/>
      <c r="X42" s="2066"/>
      <c r="Z42" s="2012"/>
      <c r="AB42" s="218" t="s">
        <v>1915</v>
      </c>
      <c r="AC42" s="689" t="s">
        <v>1916</v>
      </c>
      <c r="AD42" s="218" t="s">
        <v>831</v>
      </c>
      <c r="AE42" s="1148"/>
      <c r="AF42" s="1148"/>
      <c r="AG42" s="1148"/>
      <c r="AH42" s="1022">
        <f t="shared" si="2"/>
        <v>0</v>
      </c>
      <c r="AI42" s="1148"/>
      <c r="AJ42" s="1514"/>
      <c r="AK42" s="1023"/>
      <c r="AL42" s="1023"/>
      <c r="AM42" s="1023"/>
      <c r="AN42" s="1023"/>
      <c r="AO42" s="1023"/>
      <c r="AP42" s="1023"/>
      <c r="AQ42" s="1023"/>
      <c r="AR42" s="1023"/>
      <c r="AS42" s="1023"/>
      <c r="AT42" s="1514"/>
      <c r="AU42" s="1023"/>
      <c r="AV42" s="1023"/>
      <c r="AW42" s="1023"/>
      <c r="AX42" s="1023"/>
      <c r="AY42" s="1023"/>
      <c r="AZ42" s="1023"/>
      <c r="BA42" s="1023"/>
      <c r="BB42" s="1023"/>
      <c r="BC42" s="1023"/>
      <c r="BD42" s="1022">
        <f t="shared" si="5"/>
        <v>0</v>
      </c>
      <c r="BE42" s="1023"/>
      <c r="BF42" s="1023"/>
      <c r="BG42" s="1023"/>
      <c r="BH42" s="1023"/>
      <c r="BI42" s="1023"/>
      <c r="BJ42" s="1023"/>
      <c r="BK42" s="1023"/>
      <c r="BL42" s="1023"/>
      <c r="BM42" s="1023"/>
      <c r="BN42" s="1145"/>
      <c r="BO42" s="1145"/>
      <c r="BP42" s="1145"/>
      <c r="BS42" s="973" t="s">
        <v>1917</v>
      </c>
    </row>
    <row r="43" spans="2:75" ht="21.95" hidden="1" customHeight="1" x14ac:dyDescent="0.15">
      <c r="C43" s="26"/>
      <c r="D43" s="26"/>
      <c r="E43" s="545">
        <v>22.5</v>
      </c>
      <c r="F43" s="3" cm="1">
        <f t="array" aca="1" ref="F43" ca="1">OFFSET(E43,-1,1)</f>
        <v>0</v>
      </c>
      <c r="G43" s="26"/>
      <c r="H43" s="776"/>
      <c r="I43" s="776" t="s">
        <v>1918</v>
      </c>
      <c r="J43" s="26"/>
      <c r="K43" s="294" t="s">
        <v>1918</v>
      </c>
      <c r="L43" s="889"/>
      <c r="N43" s="26"/>
      <c r="O43" s="26"/>
      <c r="P43" s="26"/>
      <c r="Q43" s="26"/>
      <c r="R43" s="26"/>
      <c r="S43" s="26"/>
      <c r="T43" s="388" t="b" cm="1">
        <f t="array" ref="T43">T42</f>
        <v>0</v>
      </c>
      <c r="U43" s="26"/>
      <c r="V43" s="26"/>
      <c r="W43" s="26"/>
      <c r="X43" s="2066"/>
      <c r="Z43" s="2012"/>
      <c r="AB43" s="218" t="s">
        <v>1919</v>
      </c>
      <c r="AC43" s="689" t="s">
        <v>1920</v>
      </c>
      <c r="AD43" s="218" t="s">
        <v>831</v>
      </c>
      <c r="AE43" s="1148"/>
      <c r="AF43" s="1148"/>
      <c r="AG43" s="1148"/>
      <c r="AH43" s="1022">
        <f t="shared" si="2"/>
        <v>0</v>
      </c>
      <c r="AI43" s="1148"/>
      <c r="AJ43" s="1514"/>
      <c r="AK43" s="1023"/>
      <c r="AL43" s="1023"/>
      <c r="AM43" s="1023"/>
      <c r="AN43" s="1023"/>
      <c r="AO43" s="1023"/>
      <c r="AP43" s="1023"/>
      <c r="AQ43" s="1023"/>
      <c r="AR43" s="1023"/>
      <c r="AS43" s="1023"/>
      <c r="AT43" s="1514"/>
      <c r="AU43" s="1023"/>
      <c r="AV43" s="1023"/>
      <c r="AW43" s="1023"/>
      <c r="AX43" s="1023"/>
      <c r="AY43" s="1023"/>
      <c r="AZ43" s="1023"/>
      <c r="BA43" s="1023"/>
      <c r="BB43" s="1023"/>
      <c r="BC43" s="1023"/>
      <c r="BD43" s="1022">
        <f t="shared" si="5"/>
        <v>0</v>
      </c>
      <c r="BE43" s="1023"/>
      <c r="BF43" s="1023"/>
      <c r="BG43" s="1023"/>
      <c r="BH43" s="1023"/>
      <c r="BI43" s="1023"/>
      <c r="BJ43" s="1023"/>
      <c r="BK43" s="1023"/>
      <c r="BL43" s="1023"/>
      <c r="BM43" s="1023"/>
      <c r="BN43" s="1145"/>
      <c r="BO43" s="1145"/>
      <c r="BP43" s="1145"/>
      <c r="BS43" s="973" t="s">
        <v>1921</v>
      </c>
    </row>
    <row r="44" spans="2:75" ht="43.9" hidden="1" customHeight="1" x14ac:dyDescent="0.15">
      <c r="C44" s="26"/>
      <c r="D44" s="26"/>
      <c r="E44" s="545">
        <v>45</v>
      </c>
      <c r="F44" s="3" cm="1">
        <f t="array" aca="1" ref="F44" ca="1">OFFSET(E44,-1,1)</f>
        <v>0</v>
      </c>
      <c r="G44" s="26"/>
      <c r="H44" s="776"/>
      <c r="I44" s="776" t="s">
        <v>1922</v>
      </c>
      <c r="J44" s="26"/>
      <c r="K44" s="294" t="s">
        <v>1922</v>
      </c>
      <c r="L44" s="889" t="s">
        <v>1725</v>
      </c>
      <c r="M44" s="26" t="s">
        <v>1737</v>
      </c>
      <c r="N44" s="26"/>
      <c r="O44" s="26"/>
      <c r="P44" s="26"/>
      <c r="Q44" s="26"/>
      <c r="R44" s="26"/>
      <c r="S44" s="26"/>
      <c r="T44" s="388" t="b" cm="1">
        <f t="array" ref="T44">T43</f>
        <v>0</v>
      </c>
      <c r="U44" s="26"/>
      <c r="V44" s="26"/>
      <c r="W44" s="26"/>
      <c r="X44" s="2066"/>
      <c r="Z44" s="2012"/>
      <c r="AB44" s="218" t="s">
        <v>1923</v>
      </c>
      <c r="AC44" s="688" t="s">
        <v>1924</v>
      </c>
      <c r="AD44" s="218" t="s">
        <v>831</v>
      </c>
      <c r="AE44" s="1148"/>
      <c r="AF44" s="1148"/>
      <c r="AG44" s="1148"/>
      <c r="AH44" s="1022">
        <f t="shared" si="2"/>
        <v>0</v>
      </c>
      <c r="AI44" s="1148"/>
      <c r="AJ44" s="1514"/>
      <c r="AK44" s="1023"/>
      <c r="AL44" s="1023"/>
      <c r="AM44" s="1023"/>
      <c r="AN44" s="1023"/>
      <c r="AO44" s="1023"/>
      <c r="AP44" s="1023"/>
      <c r="AQ44" s="1023"/>
      <c r="AR44" s="1023"/>
      <c r="AS44" s="1023"/>
      <c r="AT44" s="1514"/>
      <c r="AU44" s="1023"/>
      <c r="AV44" s="1023"/>
      <c r="AW44" s="1023"/>
      <c r="AX44" s="1023"/>
      <c r="AY44" s="1023"/>
      <c r="AZ44" s="1023"/>
      <c r="BA44" s="1023"/>
      <c r="BB44" s="1023"/>
      <c r="BC44" s="1023"/>
      <c r="BD44" s="1022">
        <f t="shared" si="5"/>
        <v>0</v>
      </c>
      <c r="BE44" s="1023"/>
      <c r="BF44" s="1023"/>
      <c r="BG44" s="1023"/>
      <c r="BH44" s="1023"/>
      <c r="BI44" s="1023"/>
      <c r="BJ44" s="1023"/>
      <c r="BK44" s="1023"/>
      <c r="BL44" s="1023"/>
      <c r="BM44" s="1023"/>
      <c r="BN44" s="1145"/>
      <c r="BO44" s="1145"/>
      <c r="BP44" s="1145"/>
      <c r="BS44" s="973" t="s">
        <v>1740</v>
      </c>
    </row>
    <row r="45" spans="2:75" ht="14.65" hidden="1" customHeight="1" x14ac:dyDescent="0.15">
      <c r="C45" s="26"/>
      <c r="D45" s="26"/>
      <c r="E45" s="545">
        <v>15</v>
      </c>
      <c r="F45" s="3" cm="1">
        <f t="array" aca="1" ref="F45" ca="1">OFFSET(E45,-1,1)</f>
        <v>0</v>
      </c>
      <c r="G45" s="26"/>
      <c r="H45" s="776"/>
      <c r="I45" s="776" t="s">
        <v>1925</v>
      </c>
      <c r="J45" s="26"/>
      <c r="K45" s="294" t="s">
        <v>1925</v>
      </c>
      <c r="L45" s="889" t="s">
        <v>1725</v>
      </c>
      <c r="M45" s="26" t="s">
        <v>1741</v>
      </c>
      <c r="N45" s="26"/>
      <c r="O45" s="26"/>
      <c r="P45" s="26"/>
      <c r="Q45" s="26"/>
      <c r="R45" s="26"/>
      <c r="S45" s="26"/>
      <c r="T45" s="388" t="b" cm="1">
        <f t="array" ref="T45">T44</f>
        <v>0</v>
      </c>
      <c r="U45" s="26"/>
      <c r="V45" s="26"/>
      <c r="W45" s="26"/>
      <c r="X45" s="2066"/>
      <c r="Z45" s="2012"/>
      <c r="AB45" s="218" t="s">
        <v>1926</v>
      </c>
      <c r="AC45" s="688" t="s">
        <v>1743</v>
      </c>
      <c r="AD45" s="218" t="s">
        <v>831</v>
      </c>
      <c r="AE45" s="1148"/>
      <c r="AF45" s="1148"/>
      <c r="AG45" s="1148"/>
      <c r="AH45" s="1022">
        <f t="shared" si="2"/>
        <v>0</v>
      </c>
      <c r="AI45" s="1148"/>
      <c r="AJ45" s="1514"/>
      <c r="AK45" s="1023"/>
      <c r="AL45" s="1023"/>
      <c r="AM45" s="1023"/>
      <c r="AN45" s="1023"/>
      <c r="AO45" s="1023"/>
      <c r="AP45" s="1023"/>
      <c r="AQ45" s="1023"/>
      <c r="AR45" s="1023"/>
      <c r="AS45" s="1023"/>
      <c r="AT45" s="1514"/>
      <c r="AU45" s="1023"/>
      <c r="AV45" s="1023"/>
      <c r="AW45" s="1023"/>
      <c r="AX45" s="1023"/>
      <c r="AY45" s="1023"/>
      <c r="AZ45" s="1023"/>
      <c r="BA45" s="1023"/>
      <c r="BB45" s="1023"/>
      <c r="BC45" s="1023"/>
      <c r="BD45" s="1022">
        <f t="shared" si="5"/>
        <v>0</v>
      </c>
      <c r="BE45" s="1023"/>
      <c r="BF45" s="1023"/>
      <c r="BG45" s="1023"/>
      <c r="BH45" s="1023"/>
      <c r="BI45" s="1023"/>
      <c r="BJ45" s="1023"/>
      <c r="BK45" s="1023"/>
      <c r="BL45" s="1023"/>
      <c r="BM45" s="1023"/>
      <c r="BN45" s="1145"/>
      <c r="BO45" s="1145"/>
      <c r="BP45" s="1145"/>
      <c r="BS45" s="973" t="s">
        <v>1744</v>
      </c>
    </row>
    <row r="46" spans="2:75" ht="14.65" hidden="1" customHeight="1" x14ac:dyDescent="0.15">
      <c r="C46" s="26"/>
      <c r="D46" s="26"/>
      <c r="E46" s="545">
        <v>15</v>
      </c>
      <c r="F46" s="3" cm="1">
        <f t="array" aca="1" ref="F46" ca="1">OFFSET(E46,-1,1)</f>
        <v>0</v>
      </c>
      <c r="G46" s="26"/>
      <c r="H46" s="776"/>
      <c r="I46" s="776" t="s">
        <v>1927</v>
      </c>
      <c r="J46" s="26"/>
      <c r="K46" s="294" t="s">
        <v>1927</v>
      </c>
      <c r="L46" s="889"/>
      <c r="M46" s="26"/>
      <c r="N46" s="26"/>
      <c r="O46" s="26"/>
      <c r="P46" s="26"/>
      <c r="Q46" s="26"/>
      <c r="R46" s="26"/>
      <c r="S46" s="26"/>
      <c r="T46" s="388" t="b" cm="1">
        <f t="array" ref="T46">T45</f>
        <v>0</v>
      </c>
      <c r="U46" s="26"/>
      <c r="V46" s="26"/>
      <c r="W46" s="26"/>
      <c r="X46" s="2066"/>
      <c r="Z46" s="2012"/>
      <c r="AB46" s="218" t="s">
        <v>1928</v>
      </c>
      <c r="AC46" s="688" t="s">
        <v>1929</v>
      </c>
      <c r="AD46" s="218" t="s">
        <v>831</v>
      </c>
      <c r="AE46" s="1148"/>
      <c r="AF46" s="1148"/>
      <c r="AG46" s="1148"/>
      <c r="AH46" s="1022">
        <f t="shared" si="2"/>
        <v>0</v>
      </c>
      <c r="AI46" s="1148"/>
      <c r="AJ46" s="1263"/>
      <c r="AK46" s="1023"/>
      <c r="AL46" s="1023"/>
      <c r="AM46" s="1023"/>
      <c r="AN46" s="1023"/>
      <c r="AO46" s="1023"/>
      <c r="AP46" s="1023"/>
      <c r="AQ46" s="1023"/>
      <c r="AR46" s="1023"/>
      <c r="AS46" s="1023"/>
      <c r="AT46" s="1327"/>
      <c r="AU46" s="1023"/>
      <c r="AV46" s="1023"/>
      <c r="AW46" s="1023"/>
      <c r="AX46" s="1023"/>
      <c r="AY46" s="1023"/>
      <c r="AZ46" s="1023"/>
      <c r="BA46" s="1023"/>
      <c r="BB46" s="1023"/>
      <c r="BC46" s="1023"/>
      <c r="BD46" s="1022">
        <f t="shared" si="5"/>
        <v>0</v>
      </c>
      <c r="BE46" s="1023"/>
      <c r="BF46" s="1023"/>
      <c r="BG46" s="1023"/>
      <c r="BH46" s="1023"/>
      <c r="BI46" s="1023"/>
      <c r="BJ46" s="1023"/>
      <c r="BK46" s="1023"/>
      <c r="BL46" s="1023"/>
      <c r="BM46" s="1023"/>
      <c r="BN46" s="1145"/>
      <c r="BO46" s="1145"/>
      <c r="BP46" s="1145"/>
      <c r="BS46" s="973" t="s">
        <v>1728</v>
      </c>
    </row>
    <row r="47" spans="2:75" s="623" customFormat="1" ht="20.45" hidden="1" customHeight="1" x14ac:dyDescent="0.25">
      <c r="B47" s="357"/>
      <c r="C47" s="28"/>
      <c r="D47" s="28"/>
      <c r="E47" s="745">
        <v>21</v>
      </c>
      <c r="F47" s="3" cm="1">
        <f t="array" aca="1" ref="F47" ca="1">OFFSET(E47,-1,1)</f>
        <v>0</v>
      </c>
      <c r="G47" s="28"/>
      <c r="H47" s="776"/>
      <c r="I47" s="776" t="s">
        <v>501</v>
      </c>
      <c r="J47" s="28"/>
      <c r="K47" s="294" t="s">
        <v>501</v>
      </c>
      <c r="L47" s="894"/>
      <c r="M47" s="28"/>
      <c r="N47" s="28"/>
      <c r="O47" s="28"/>
      <c r="P47" s="28"/>
      <c r="Q47" s="28"/>
      <c r="R47" s="28"/>
      <c r="S47" s="28"/>
      <c r="T47" s="388" t="b" cm="1">
        <f t="array" ref="T47">T46</f>
        <v>0</v>
      </c>
      <c r="U47" s="28"/>
      <c r="V47" s="28"/>
      <c r="W47" s="28"/>
      <c r="X47" s="2066"/>
      <c r="Z47" s="2012"/>
      <c r="AB47" s="130" t="s">
        <v>916</v>
      </c>
      <c r="AC47" s="277" t="s">
        <v>1748</v>
      </c>
      <c r="AD47" s="130" t="s">
        <v>831</v>
      </c>
      <c r="AE47" s="132">
        <f ca="1">AE48+AE49+AE50</f>
        <v>0</v>
      </c>
      <c r="AF47" s="132">
        <f ca="1">AF48+AF49+AF50</f>
        <v>0</v>
      </c>
      <c r="AG47" s="132">
        <f ca="1">AG48+AG49+AG50</f>
        <v>0</v>
      </c>
      <c r="AH47" s="698">
        <f t="shared" ca="1" si="2"/>
        <v>0</v>
      </c>
      <c r="AI47" s="132">
        <f ca="1">AI48+AI49+AI50</f>
        <v>0</v>
      </c>
      <c r="AJ47" s="132">
        <f ca="1">AJ48+AJ49+AJ50</f>
        <v>0</v>
      </c>
      <c r="AK47" s="135"/>
      <c r="AL47" s="135"/>
      <c r="AM47" s="135"/>
      <c r="AN47" s="135"/>
      <c r="AO47" s="135"/>
      <c r="AP47" s="135"/>
      <c r="AQ47" s="135"/>
      <c r="AR47" s="135"/>
      <c r="AS47" s="135"/>
      <c r="AT47" s="132">
        <f ca="1">AT48+AT49+AT50</f>
        <v>0</v>
      </c>
      <c r="AU47" s="135"/>
      <c r="AV47" s="135"/>
      <c r="AW47" s="135"/>
      <c r="AX47" s="135"/>
      <c r="AY47" s="135"/>
      <c r="AZ47" s="135"/>
      <c r="BA47" s="135"/>
      <c r="BB47" s="135"/>
      <c r="BC47" s="135"/>
      <c r="BD47" s="698">
        <f t="shared" ca="1" si="5"/>
        <v>0</v>
      </c>
      <c r="BE47" s="135"/>
      <c r="BF47" s="135"/>
      <c r="BG47" s="135"/>
      <c r="BH47" s="135"/>
      <c r="BI47" s="135"/>
      <c r="BJ47" s="135"/>
      <c r="BK47" s="135"/>
      <c r="BL47" s="135"/>
      <c r="BM47" s="135"/>
      <c r="BN47" s="1147"/>
      <c r="BO47" s="1147"/>
      <c r="BP47" s="1147"/>
      <c r="BS47" s="972" t="s">
        <v>1749</v>
      </c>
      <c r="BT47" s="979"/>
      <c r="BU47" s="979"/>
      <c r="BV47" s="630"/>
      <c r="BW47" s="630"/>
    </row>
    <row r="48" spans="2:75" ht="21.95" hidden="1" customHeight="1" x14ac:dyDescent="0.25">
      <c r="C48" s="26"/>
      <c r="D48" s="26"/>
      <c r="E48" s="545">
        <v>22.5</v>
      </c>
      <c r="F48" s="3" cm="1">
        <f t="array" aca="1" ref="F48" ca="1">OFFSET(E48,-1,1)</f>
        <v>0</v>
      </c>
      <c r="G48" s="26"/>
      <c r="H48" s="776"/>
      <c r="I48" s="776" t="s">
        <v>1314</v>
      </c>
      <c r="J48" s="26"/>
      <c r="K48" s="294" t="s">
        <v>1314</v>
      </c>
      <c r="L48" s="889"/>
      <c r="M48" s="26"/>
      <c r="N48" s="26"/>
      <c r="O48" s="26"/>
      <c r="P48" s="26"/>
      <c r="Q48" s="26"/>
      <c r="R48" s="26"/>
      <c r="S48" s="26"/>
      <c r="T48" s="388" t="b" cm="1">
        <f t="array" ref="T48">T47</f>
        <v>0</v>
      </c>
      <c r="U48" s="26"/>
      <c r="V48" s="26"/>
      <c r="W48" s="26"/>
      <c r="X48" s="2066"/>
      <c r="Z48" s="2012"/>
      <c r="AB48" s="218" t="s">
        <v>1315</v>
      </c>
      <c r="AC48" s="685" t="s">
        <v>1930</v>
      </c>
      <c r="AD48" s="218" t="s">
        <v>831</v>
      </c>
      <c r="AE48" s="1148"/>
      <c r="AF48" s="1148"/>
      <c r="AG48" s="1148"/>
      <c r="AH48" s="1022">
        <f t="shared" si="2"/>
        <v>0</v>
      </c>
      <c r="AI48" s="1148"/>
      <c r="AJ48" s="1514"/>
      <c r="AK48" s="1023"/>
      <c r="AL48" s="1023"/>
      <c r="AM48" s="1023"/>
      <c r="AN48" s="1023"/>
      <c r="AO48" s="1023"/>
      <c r="AP48" s="1023"/>
      <c r="AQ48" s="1023"/>
      <c r="AR48" s="1023"/>
      <c r="AS48" s="1023"/>
      <c r="AT48" s="1514"/>
      <c r="AU48" s="1023"/>
      <c r="AV48" s="1023"/>
      <c r="AW48" s="1023"/>
      <c r="AX48" s="1023"/>
      <c r="AY48" s="1023"/>
      <c r="AZ48" s="1023"/>
      <c r="BA48" s="1023"/>
      <c r="BB48" s="1023"/>
      <c r="BC48" s="1023"/>
      <c r="BD48" s="1022">
        <f t="shared" si="5"/>
        <v>0</v>
      </c>
      <c r="BE48" s="1023"/>
      <c r="BF48" s="1023"/>
      <c r="BG48" s="1023"/>
      <c r="BH48" s="1023"/>
      <c r="BI48" s="1023"/>
      <c r="BJ48" s="1023"/>
      <c r="BK48" s="1023"/>
      <c r="BL48" s="1023"/>
      <c r="BM48" s="1023"/>
      <c r="BN48" s="1145"/>
      <c r="BO48" s="1145"/>
      <c r="BP48" s="1145"/>
      <c r="BS48" s="971" t="s">
        <v>1751</v>
      </c>
    </row>
    <row r="49" spans="2:75" ht="21.95" hidden="1" customHeight="1" x14ac:dyDescent="0.15">
      <c r="C49" s="26"/>
      <c r="D49" s="26"/>
      <c r="E49" s="545">
        <v>22.5</v>
      </c>
      <c r="F49" s="3" cm="1">
        <f t="array" aca="1" ref="F49" ca="1">OFFSET(E49,-1,1)</f>
        <v>0</v>
      </c>
      <c r="G49" s="26"/>
      <c r="H49" s="776"/>
      <c r="I49" s="776" t="s">
        <v>1318</v>
      </c>
      <c r="J49" s="26"/>
      <c r="K49" s="294" t="s">
        <v>1318</v>
      </c>
      <c r="L49" s="889"/>
      <c r="M49" s="26"/>
      <c r="N49" s="26"/>
      <c r="O49" s="26"/>
      <c r="P49" s="26"/>
      <c r="Q49" s="26"/>
      <c r="R49" s="26"/>
      <c r="S49" s="26"/>
      <c r="T49" s="388" t="b" cm="1">
        <f t="array" ref="T49">T48</f>
        <v>0</v>
      </c>
      <c r="U49" s="26"/>
      <c r="V49" s="26"/>
      <c r="W49" s="26"/>
      <c r="X49" s="2066"/>
      <c r="Z49" s="2012"/>
      <c r="AB49" s="218" t="s">
        <v>1319</v>
      </c>
      <c r="AC49" s="685" t="s">
        <v>1931</v>
      </c>
      <c r="AD49" s="218" t="s">
        <v>831</v>
      </c>
      <c r="AE49" s="1148"/>
      <c r="AF49" s="1148"/>
      <c r="AG49" s="1148"/>
      <c r="AH49" s="1022">
        <f t="shared" si="2"/>
        <v>0</v>
      </c>
      <c r="AI49" s="1148"/>
      <c r="AJ49" s="1514"/>
      <c r="AK49" s="1023"/>
      <c r="AL49" s="1023"/>
      <c r="AM49" s="1023"/>
      <c r="AN49" s="1023"/>
      <c r="AO49" s="1023"/>
      <c r="AP49" s="1023"/>
      <c r="AQ49" s="1023"/>
      <c r="AR49" s="1023"/>
      <c r="AS49" s="1023"/>
      <c r="AT49" s="1514"/>
      <c r="AU49" s="1023"/>
      <c r="AV49" s="1023"/>
      <c r="AW49" s="1023"/>
      <c r="AX49" s="1023"/>
      <c r="AY49" s="1023"/>
      <c r="AZ49" s="1023"/>
      <c r="BA49" s="1023"/>
      <c r="BB49" s="1023"/>
      <c r="BC49" s="1023"/>
      <c r="BD49" s="1022">
        <f t="shared" si="5"/>
        <v>0</v>
      </c>
      <c r="BE49" s="1023"/>
      <c r="BF49" s="1023"/>
      <c r="BG49" s="1023"/>
      <c r="BH49" s="1023"/>
      <c r="BI49" s="1023"/>
      <c r="BJ49" s="1023"/>
      <c r="BK49" s="1023"/>
      <c r="BL49" s="1023"/>
      <c r="BM49" s="1023"/>
      <c r="BN49" s="1145"/>
      <c r="BO49" s="1145"/>
      <c r="BP49" s="1145"/>
      <c r="BS49" s="973" t="s">
        <v>1932</v>
      </c>
    </row>
    <row r="50" spans="2:75" ht="21.95" hidden="1" customHeight="1" x14ac:dyDescent="0.25">
      <c r="C50" s="26"/>
      <c r="D50" s="26"/>
      <c r="E50" s="545">
        <v>22.5</v>
      </c>
      <c r="F50" s="3" cm="1">
        <f t="array" aca="1" ref="F50" ca="1">OFFSET(E50,-1,1)</f>
        <v>0</v>
      </c>
      <c r="G50" s="26"/>
      <c r="H50" s="776"/>
      <c r="I50" s="776" t="s">
        <v>1322</v>
      </c>
      <c r="J50" s="26"/>
      <c r="K50" s="294" t="s">
        <v>1322</v>
      </c>
      <c r="L50" s="889" t="s">
        <v>515</v>
      </c>
      <c r="M50" s="26"/>
      <c r="N50" s="26"/>
      <c r="O50" s="26"/>
      <c r="P50" s="26"/>
      <c r="Q50" s="26"/>
      <c r="R50" s="26"/>
      <c r="S50" s="26"/>
      <c r="T50" s="388" t="b" cm="1">
        <f t="array" ref="T50">T49</f>
        <v>0</v>
      </c>
      <c r="U50" s="26"/>
      <c r="V50" s="26"/>
      <c r="W50" s="26"/>
      <c r="X50" s="2066"/>
      <c r="Z50" s="2012"/>
      <c r="AB50" s="218" t="s">
        <v>1323</v>
      </c>
      <c r="AC50" s="685" t="s">
        <v>1933</v>
      </c>
      <c r="AD50" s="218" t="s">
        <v>831</v>
      </c>
      <c r="AE50" s="1024">
        <f ca="1">AE51+AE52</f>
        <v>0</v>
      </c>
      <c r="AF50" s="1024">
        <f ca="1">AF51+AF52</f>
        <v>0</v>
      </c>
      <c r="AG50" s="1024">
        <f ca="1">AG51+AG52</f>
        <v>0</v>
      </c>
      <c r="AH50" s="1022">
        <f t="shared" ca="1" si="2"/>
        <v>0</v>
      </c>
      <c r="AI50" s="1024">
        <f ca="1">AI51+AI52</f>
        <v>0</v>
      </c>
      <c r="AJ50" s="1024">
        <f ca="1">AJ51+AJ52</f>
        <v>0</v>
      </c>
      <c r="AK50" s="1023"/>
      <c r="AL50" s="1023"/>
      <c r="AM50" s="1023"/>
      <c r="AN50" s="1023"/>
      <c r="AO50" s="1023"/>
      <c r="AP50" s="1023"/>
      <c r="AQ50" s="1023"/>
      <c r="AR50" s="1023"/>
      <c r="AS50" s="1023"/>
      <c r="AT50" s="1024">
        <f ca="1">AT51+AT52</f>
        <v>0</v>
      </c>
      <c r="AU50" s="1023"/>
      <c r="AV50" s="1023"/>
      <c r="AW50" s="1023"/>
      <c r="AX50" s="1023"/>
      <c r="AY50" s="1023"/>
      <c r="AZ50" s="1023"/>
      <c r="BA50" s="1023"/>
      <c r="BB50" s="1023"/>
      <c r="BC50" s="1023"/>
      <c r="BD50" s="1022">
        <f t="shared" ca="1" si="5"/>
        <v>0</v>
      </c>
      <c r="BE50" s="1023"/>
      <c r="BF50" s="1023"/>
      <c r="BG50" s="1023"/>
      <c r="BH50" s="1023"/>
      <c r="BI50" s="1023"/>
      <c r="BJ50" s="1023"/>
      <c r="BK50" s="1023"/>
      <c r="BL50" s="1023"/>
      <c r="BM50" s="1023"/>
      <c r="BN50" s="1145"/>
      <c r="BO50" s="1145"/>
      <c r="BP50" s="1145"/>
      <c r="BS50" s="971" t="s">
        <v>1753</v>
      </c>
    </row>
    <row r="51" spans="2:75" ht="14.65" hidden="1" customHeight="1" x14ac:dyDescent="0.25">
      <c r="C51" s="26"/>
      <c r="D51" s="26"/>
      <c r="E51" s="545">
        <v>15</v>
      </c>
      <c r="F51" s="3" cm="1">
        <f t="array" aca="1" ref="F51" ca="1">OFFSET(E51,-1,1)</f>
        <v>0</v>
      </c>
      <c r="G51" s="767" t="s">
        <v>1119</v>
      </c>
      <c r="H51" s="776"/>
      <c r="I51" s="776" t="s">
        <v>1934</v>
      </c>
      <c r="J51" s="26"/>
      <c r="K51" s="294" t="s">
        <v>1934</v>
      </c>
      <c r="L51" s="889" t="s">
        <v>1754</v>
      </c>
      <c r="M51" s="26"/>
      <c r="N51" s="26"/>
      <c r="O51" s="26"/>
      <c r="P51" s="26"/>
      <c r="Q51" s="26"/>
      <c r="R51" s="26"/>
      <c r="S51" s="26"/>
      <c r="T51" s="388" t="b" cm="1">
        <f t="array" ref="T51">T50</f>
        <v>0</v>
      </c>
      <c r="U51" s="26"/>
      <c r="V51" s="26"/>
      <c r="W51" s="26"/>
      <c r="X51" s="2066"/>
      <c r="Z51" s="2012"/>
      <c r="AB51" s="218" t="s">
        <v>1935</v>
      </c>
      <c r="AC51" s="688" t="s">
        <v>1755</v>
      </c>
      <c r="AD51" s="218" t="s">
        <v>831</v>
      </c>
      <c r="AE51" s="1022">
        <f ca="1">SUMIFS(ФОТ!AE$25:AE$138,ФОТ!$F$25:$F$138,$F51,ФОТ!$G$25:$G$138,$G51)</f>
        <v>0</v>
      </c>
      <c r="AF51" s="1022">
        <f ca="1">SUMIFS(ФОТ!AF$25:AF$138,ФОТ!$F$25:$F$138,$F51,ФОТ!$G$25:$G$138,$G51)</f>
        <v>0</v>
      </c>
      <c r="AG51" s="1022">
        <f ca="1">SUMIFS(ФОТ!AG$25:AG$138,ФОТ!$F$25:$F$138,$F51,ФОТ!$G$25:$G$138,$G51)</f>
        <v>0</v>
      </c>
      <c r="AH51" s="1022">
        <f t="shared" ca="1" si="2"/>
        <v>0</v>
      </c>
      <c r="AI51" s="1022">
        <f ca="1">SUMIFS(ФОТ!AH$25:AH$138,ФОТ!$F$25:$F$138,$F51,ФОТ!$G$25:$G$138,$G51)</f>
        <v>0</v>
      </c>
      <c r="AJ51" s="1022">
        <f ca="1">SUMIFS(ФОТ!AI$25:AI$138,ФОТ!$F$25:$F$138,$F51,ФОТ!$G$25:$G$138,$G51)</f>
        <v>0</v>
      </c>
      <c r="AK51" s="1023"/>
      <c r="AL51" s="1023"/>
      <c r="AM51" s="1023"/>
      <c r="AN51" s="1023"/>
      <c r="AO51" s="1023"/>
      <c r="AP51" s="1023"/>
      <c r="AQ51" s="1023"/>
      <c r="AR51" s="1023"/>
      <c r="AS51" s="1023"/>
      <c r="AT51" s="1022">
        <f ca="1">SUMIFS(ФОТ!AJ$25:AJ$138,ФОТ!$F$25:$F$138,$F51,ФОТ!$G$25:$G$138,$G51)</f>
        <v>0</v>
      </c>
      <c r="AU51" s="1023"/>
      <c r="AV51" s="1023"/>
      <c r="AW51" s="1023"/>
      <c r="AX51" s="1023"/>
      <c r="AY51" s="1023"/>
      <c r="AZ51" s="1023"/>
      <c r="BA51" s="1023"/>
      <c r="BB51" s="1023"/>
      <c r="BC51" s="1023"/>
      <c r="BD51" s="1022">
        <f t="shared" ca="1" si="5"/>
        <v>0</v>
      </c>
      <c r="BE51" s="1023"/>
      <c r="BF51" s="1023"/>
      <c r="BG51" s="1023"/>
      <c r="BH51" s="1023"/>
      <c r="BI51" s="1023"/>
      <c r="BJ51" s="1023"/>
      <c r="BK51" s="1023"/>
      <c r="BL51" s="1023"/>
      <c r="BM51" s="1023"/>
      <c r="BN51" s="1145"/>
      <c r="BO51" s="1149" t="str">
        <f ca="1">IF(IFERROR(INDEX(ФОТ!$K$26:$L$138,MATCH($F51&amp;"3komm",ФОТ!$K$26:$K$138,0),2),"")=0,"",IFERROR(INDEX(ФОТ!$K$26:$L$138,MATCH($F51&amp;"3komm",ФОТ!$K$26:$K$138,0),2),""))</f>
        <v/>
      </c>
      <c r="BP51" s="1145"/>
      <c r="BS51" s="971" t="s">
        <v>1756</v>
      </c>
    </row>
    <row r="52" spans="2:75" ht="21.95" hidden="1" customHeight="1" x14ac:dyDescent="0.25">
      <c r="C52" s="26"/>
      <c r="D52" s="26"/>
      <c r="E52" s="545">
        <v>22.5</v>
      </c>
      <c r="F52" s="3" cm="1">
        <f t="array" aca="1" ref="F52" ca="1">OFFSET(E52,-1,1)</f>
        <v>0</v>
      </c>
      <c r="G52" s="767" t="s">
        <v>1124</v>
      </c>
      <c r="H52" s="776"/>
      <c r="I52" s="776" t="s">
        <v>1936</v>
      </c>
      <c r="J52" s="26"/>
      <c r="K52" s="294" t="s">
        <v>1936</v>
      </c>
      <c r="L52" s="889" t="s">
        <v>1757</v>
      </c>
      <c r="M52" s="26"/>
      <c r="N52" s="26"/>
      <c r="O52" s="26"/>
      <c r="P52" s="26"/>
      <c r="Q52" s="26"/>
      <c r="R52" s="26"/>
      <c r="S52" s="26"/>
      <c r="T52" s="388" t="b" cm="1">
        <f t="array" ref="T52">T51</f>
        <v>0</v>
      </c>
      <c r="U52" s="26"/>
      <c r="V52" s="26"/>
      <c r="W52" s="26"/>
      <c r="X52" s="2066"/>
      <c r="Z52" s="2012"/>
      <c r="AB52" s="218" t="s">
        <v>1937</v>
      </c>
      <c r="AC52" s="688" t="s">
        <v>1938</v>
      </c>
      <c r="AD52" s="218" t="s">
        <v>831</v>
      </c>
      <c r="AE52" s="1022">
        <f ca="1">SUMIFS(ФОТ!AE$25:AE$138,ФОТ!$F$25:$F$138,$F52,ФОТ!$G$25:$G$138,$G52)</f>
        <v>0</v>
      </c>
      <c r="AF52" s="1022">
        <f ca="1">SUMIFS(ФОТ!AF$25:AF$138,ФОТ!$F$25:$F$138,$F52,ФОТ!$G$25:$G$138,$G52)</f>
        <v>0</v>
      </c>
      <c r="AG52" s="1022">
        <f ca="1">SUMIFS(ФОТ!AG$25:AG$138,ФОТ!$F$25:$F$138,$F52,ФОТ!$G$25:$G$138,$G52)</f>
        <v>0</v>
      </c>
      <c r="AH52" s="1022">
        <f t="shared" ca="1" si="2"/>
        <v>0</v>
      </c>
      <c r="AI52" s="1022">
        <f ca="1">SUMIFS(ФОТ!AH$25:AH$138,ФОТ!$F$25:$F$138,$F52,ФОТ!$G$25:$G$138,$G52)</f>
        <v>0</v>
      </c>
      <c r="AJ52" s="1022">
        <f ca="1">SUMIFS(ФОТ!AI$25:AI$138,ФОТ!$F$25:$F$138,$F52,ФОТ!$G$25:$G$138,$G52)</f>
        <v>0</v>
      </c>
      <c r="AK52" s="1023"/>
      <c r="AL52" s="1023"/>
      <c r="AM52" s="1023"/>
      <c r="AN52" s="1023"/>
      <c r="AO52" s="1023"/>
      <c r="AP52" s="1023"/>
      <c r="AQ52" s="1023"/>
      <c r="AR52" s="1023"/>
      <c r="AS52" s="1023"/>
      <c r="AT52" s="1022">
        <f ca="1">SUMIFS(ФОТ!AJ$25:AJ$138,ФОТ!$F$25:$F$138,$F52,ФОТ!$G$25:$G$138,$G52)</f>
        <v>0</v>
      </c>
      <c r="AU52" s="1023"/>
      <c r="AV52" s="1023"/>
      <c r="AW52" s="1023"/>
      <c r="AX52" s="1023"/>
      <c r="AY52" s="1023"/>
      <c r="AZ52" s="1023"/>
      <c r="BA52" s="1023"/>
      <c r="BB52" s="1023"/>
      <c r="BC52" s="1023"/>
      <c r="BD52" s="1022">
        <f t="shared" ca="1" si="5"/>
        <v>0</v>
      </c>
      <c r="BE52" s="1023"/>
      <c r="BF52" s="1023"/>
      <c r="BG52" s="1023"/>
      <c r="BH52" s="1023"/>
      <c r="BI52" s="1023"/>
      <c r="BJ52" s="1023"/>
      <c r="BK52" s="1023"/>
      <c r="BL52" s="1023"/>
      <c r="BM52" s="1023"/>
      <c r="BN52" s="1145"/>
      <c r="BO52" s="1149" t="str">
        <f ca="1">IF(IFERROR(INDEX(ФОТ!$K$26:$L$138,MATCH($F52&amp;"4komm",ФОТ!$K$26:$K$138,0),2),"")=0,"",IFERROR(INDEX(ФОТ!$K$26:$L$138,MATCH($F52&amp;"4komm",ФОТ!$K$26:$K$138,0),2),""))</f>
        <v/>
      </c>
      <c r="BP52" s="1145"/>
      <c r="BS52" s="971" t="s">
        <v>1759</v>
      </c>
    </row>
    <row r="53" spans="2:75" s="623" customFormat="1" ht="20.45" hidden="1" customHeight="1" x14ac:dyDescent="0.25">
      <c r="B53" s="357"/>
      <c r="C53" s="28"/>
      <c r="D53" s="28"/>
      <c r="E53" s="745">
        <v>21</v>
      </c>
      <c r="F53" s="3" cm="1">
        <f t="array" aca="1" ref="F53" ca="1">OFFSET(E53,-1,1)</f>
        <v>0</v>
      </c>
      <c r="G53" s="28"/>
      <c r="H53" s="776"/>
      <c r="I53" s="776" t="s">
        <v>505</v>
      </c>
      <c r="J53" s="28"/>
      <c r="K53" s="294" t="s">
        <v>505</v>
      </c>
      <c r="L53" s="894" t="s">
        <v>333</v>
      </c>
      <c r="M53" s="28"/>
      <c r="N53" s="28"/>
      <c r="O53" s="28"/>
      <c r="P53" s="28"/>
      <c r="Q53" s="28"/>
      <c r="R53" s="28"/>
      <c r="S53" s="28"/>
      <c r="T53" s="388" t="b" cm="1">
        <f t="array" ref="T53">T52</f>
        <v>0</v>
      </c>
      <c r="U53" s="28"/>
      <c r="V53" s="28"/>
      <c r="W53" s="28"/>
      <c r="X53" s="2066"/>
      <c r="Z53" s="2012"/>
      <c r="AB53" s="130" t="s">
        <v>919</v>
      </c>
      <c r="AC53" s="277" t="s">
        <v>1939</v>
      </c>
      <c r="AD53" s="130" t="s">
        <v>831</v>
      </c>
      <c r="AE53" s="132">
        <f ca="1">AE54+AE62+AE65+AE66+AE67+AE68+AE69</f>
        <v>0</v>
      </c>
      <c r="AF53" s="132">
        <f ca="1">AF54+AF62+AF65+AF66+AF67+AF68+AF69</f>
        <v>0</v>
      </c>
      <c r="AG53" s="132">
        <f ca="1">AG54+AG62+AG65+AG66+AG67+AG68+AG69</f>
        <v>0</v>
      </c>
      <c r="AH53" s="698">
        <f t="shared" ca="1" si="2"/>
        <v>0</v>
      </c>
      <c r="AI53" s="132">
        <f ca="1">AI54+AI62+AI65+AI66+AI67+AI68+AI69</f>
        <v>0</v>
      </c>
      <c r="AJ53" s="132">
        <f ca="1">AJ54+AJ62+AJ65+AJ66+AJ67+AJ68+AJ69</f>
        <v>0</v>
      </c>
      <c r="AK53" s="135"/>
      <c r="AL53" s="135"/>
      <c r="AM53" s="135"/>
      <c r="AN53" s="135"/>
      <c r="AO53" s="135"/>
      <c r="AP53" s="135"/>
      <c r="AQ53" s="135"/>
      <c r="AR53" s="135"/>
      <c r="AS53" s="135"/>
      <c r="AT53" s="132">
        <f ca="1">AT54+AT62+AT65+AT66+AT67+AT68+AT69</f>
        <v>0</v>
      </c>
      <c r="AU53" s="135"/>
      <c r="AV53" s="135"/>
      <c r="AW53" s="135"/>
      <c r="AX53" s="135"/>
      <c r="AY53" s="135"/>
      <c r="AZ53" s="135"/>
      <c r="BA53" s="135"/>
      <c r="BB53" s="135"/>
      <c r="BC53" s="135"/>
      <c r="BD53" s="698">
        <f t="shared" ca="1" si="5"/>
        <v>0</v>
      </c>
      <c r="BE53" s="135"/>
      <c r="BF53" s="135"/>
      <c r="BG53" s="135"/>
      <c r="BH53" s="135"/>
      <c r="BI53" s="135"/>
      <c r="BJ53" s="135"/>
      <c r="BK53" s="135"/>
      <c r="BL53" s="135"/>
      <c r="BM53" s="135"/>
      <c r="BN53" s="1147"/>
      <c r="BO53" s="1147"/>
      <c r="BP53" s="1147"/>
      <c r="BS53" s="972" t="s">
        <v>1761</v>
      </c>
      <c r="BT53" s="979"/>
      <c r="BU53" s="979"/>
      <c r="BV53" s="630"/>
      <c r="BW53" s="630"/>
    </row>
    <row r="54" spans="2:75" ht="21.95" hidden="1" customHeight="1" x14ac:dyDescent="0.25">
      <c r="C54" s="26"/>
      <c r="D54" s="26"/>
      <c r="E54" s="545">
        <v>22.5</v>
      </c>
      <c r="F54" s="3" cm="1">
        <f t="array" aca="1" ref="F54" ca="1">OFFSET(E54,-1,1)</f>
        <v>0</v>
      </c>
      <c r="G54" s="26" t="s">
        <v>1155</v>
      </c>
      <c r="H54" s="776"/>
      <c r="I54" s="776" t="s">
        <v>1328</v>
      </c>
      <c r="J54" s="26"/>
      <c r="K54" s="294" t="s">
        <v>1328</v>
      </c>
      <c r="L54" s="889" t="s">
        <v>940</v>
      </c>
      <c r="M54" s="26"/>
      <c r="N54" s="26"/>
      <c r="O54" s="26"/>
      <c r="P54" s="26"/>
      <c r="Q54" s="26"/>
      <c r="R54" s="26"/>
      <c r="S54" s="26"/>
      <c r="T54" s="388" t="b" cm="1">
        <f t="array" ref="T54">T53</f>
        <v>0</v>
      </c>
      <c r="U54" s="26"/>
      <c r="V54" s="26"/>
      <c r="W54" s="26"/>
      <c r="X54" s="2066"/>
      <c r="Z54" s="2012"/>
      <c r="AB54" s="218" t="s">
        <v>1033</v>
      </c>
      <c r="AC54" s="685" t="s">
        <v>1940</v>
      </c>
      <c r="AD54" s="218" t="s">
        <v>831</v>
      </c>
      <c r="AE54" s="1022">
        <f ca="1">SUMIFS(Административные!AE$25:AE$84,Административные!$F$25:$F$84,$F54,Административные!$G$25:$G$84,$G54)</f>
        <v>0</v>
      </c>
      <c r="AF54" s="1022">
        <f ca="1">SUMIFS(Административные!AF$25:AF$84,Административные!$F$25:$F$84,$F54,Административные!$G$25:$G$84,$G54)</f>
        <v>0</v>
      </c>
      <c r="AG54" s="1022">
        <f ca="1">SUMIFS(Административные!AG$25:AG$84,Административные!$F$25:$F$84,$F54,Административные!$G$25:$G$84,$G54)</f>
        <v>0</v>
      </c>
      <c r="AH54" s="1022">
        <f t="shared" ca="1" si="2"/>
        <v>0</v>
      </c>
      <c r="AI54" s="1022">
        <f ca="1">SUMIFS(Административные!AH$25:AH$84,Административные!$F$25:$F$84,$F54,Административные!$G$25:$G$84,$G54)</f>
        <v>0</v>
      </c>
      <c r="AJ54" s="1022">
        <f ca="1">SUMIFS(Административные!AI$25:AI$84,Административные!$F$25:$F$84,$F54,Административные!$G$25:$G$84,$G54)</f>
        <v>0</v>
      </c>
      <c r="AK54" s="1023"/>
      <c r="AL54" s="1023"/>
      <c r="AM54" s="1023"/>
      <c r="AN54" s="1023"/>
      <c r="AO54" s="1023"/>
      <c r="AP54" s="1023"/>
      <c r="AQ54" s="1023"/>
      <c r="AR54" s="1023"/>
      <c r="AS54" s="1023"/>
      <c r="AT54" s="1022">
        <f ca="1">SUMIFS(Административные!AJ$25:AJ$84,Административные!$F$25:$F$84,$F54,Административные!$G$25:$G$84,$G54)</f>
        <v>0</v>
      </c>
      <c r="AU54" s="1023"/>
      <c r="AV54" s="1023"/>
      <c r="AW54" s="1023"/>
      <c r="AX54" s="1023"/>
      <c r="AY54" s="1023"/>
      <c r="AZ54" s="1023"/>
      <c r="BA54" s="1023"/>
      <c r="BB54" s="1023"/>
      <c r="BC54" s="1023"/>
      <c r="BD54" s="1022">
        <f t="shared" ca="1" si="5"/>
        <v>0</v>
      </c>
      <c r="BE54" s="1023"/>
      <c r="BF54" s="1023"/>
      <c r="BG54" s="1023"/>
      <c r="BH54" s="1023"/>
      <c r="BI54" s="1023"/>
      <c r="BJ54" s="1023"/>
      <c r="BK54" s="1023"/>
      <c r="BL54" s="1023"/>
      <c r="BM54" s="1023"/>
      <c r="BN54" s="1145"/>
      <c r="BO54" s="1149" t="str">
        <f ca="1">IF(IFERROR(INDEX(Административные!$K$26:$L$84,MATCH($F54&amp;"17komm",Административные!$K$26:$K$84,0),2),"")=0,"",IFERROR(INDEX(Административные!$K$26:$L$84,MATCH($F54&amp;"17komm",Административные!$K$26:$K$84,0),2),""))</f>
        <v/>
      </c>
      <c r="BP54" s="1145"/>
      <c r="BS54" s="971" t="s">
        <v>1157</v>
      </c>
    </row>
    <row r="55" spans="2:75" ht="14.65" hidden="1" customHeight="1" x14ac:dyDescent="0.15">
      <c r="C55" s="26"/>
      <c r="D55" s="26"/>
      <c r="E55" s="545">
        <v>15</v>
      </c>
      <c r="F55" s="3" cm="1">
        <f t="array" aca="1" ref="F55" ca="1">OFFSET(E55,-1,1)</f>
        <v>0</v>
      </c>
      <c r="G55" s="26" t="s">
        <v>1158</v>
      </c>
      <c r="H55" s="776"/>
      <c r="I55" s="776" t="s">
        <v>1941</v>
      </c>
      <c r="J55" s="26"/>
      <c r="K55" s="294" t="s">
        <v>1941</v>
      </c>
      <c r="L55" s="889"/>
      <c r="M55" s="26"/>
      <c r="N55" s="26"/>
      <c r="O55" s="26"/>
      <c r="P55" s="26"/>
      <c r="Q55" s="26"/>
      <c r="R55" s="26"/>
      <c r="S55" s="26"/>
      <c r="T55" s="388" t="b" cm="1">
        <f t="array" ref="T55">T54</f>
        <v>0</v>
      </c>
      <c r="U55" s="26"/>
      <c r="V55" s="26"/>
      <c r="W55" s="26"/>
      <c r="X55" s="2066"/>
      <c r="Z55" s="2012"/>
      <c r="AB55" s="218" t="s">
        <v>1942</v>
      </c>
      <c r="AC55" s="688" t="s">
        <v>1159</v>
      </c>
      <c r="AD55" s="218" t="s">
        <v>831</v>
      </c>
      <c r="AE55" s="1022">
        <f ca="1">SUMIFS(Административные!AE$25:AE$84,Административные!$F$25:$F$84,$F55,Административные!$G$25:$G$84,$G55)</f>
        <v>0</v>
      </c>
      <c r="AF55" s="1022">
        <f ca="1">SUMIFS(Административные!AF$25:AF$84,Административные!$F$25:$F$84,$F55,Административные!$G$25:$G$84,$G55)</f>
        <v>0</v>
      </c>
      <c r="AG55" s="1022">
        <f ca="1">SUMIFS(Административные!AG$25:AG$84,Административные!$F$25:$F$84,$F55,Административные!$G$25:$G$84,$G55)</f>
        <v>0</v>
      </c>
      <c r="AH55" s="1022">
        <f t="shared" ca="1" si="2"/>
        <v>0</v>
      </c>
      <c r="AI55" s="1022">
        <f ca="1">SUMIFS(Административные!AH$25:AH$84,Административные!$F$25:$F$84,$F55,Административные!$G$25:$G$84,$G55)</f>
        <v>0</v>
      </c>
      <c r="AJ55" s="1022">
        <f ca="1">SUMIFS(Административные!AI$25:AI$84,Административные!$F$25:$F$84,$F55,Административные!$G$25:$G$84,$G55)</f>
        <v>0</v>
      </c>
      <c r="AK55" s="1023"/>
      <c r="AL55" s="1023"/>
      <c r="AM55" s="1023"/>
      <c r="AN55" s="1023"/>
      <c r="AO55" s="1023"/>
      <c r="AP55" s="1023"/>
      <c r="AQ55" s="1023"/>
      <c r="AR55" s="1023"/>
      <c r="AS55" s="1023"/>
      <c r="AT55" s="1022">
        <f ca="1">SUMIFS(Административные!AJ$25:AJ$84,Административные!$F$25:$F$84,$F55,Административные!$G$25:$G$84,$G55)</f>
        <v>0</v>
      </c>
      <c r="AU55" s="1023"/>
      <c r="AV55" s="1023"/>
      <c r="AW55" s="1023"/>
      <c r="AX55" s="1023"/>
      <c r="AY55" s="1023"/>
      <c r="AZ55" s="1023"/>
      <c r="BA55" s="1023"/>
      <c r="BB55" s="1023"/>
      <c r="BC55" s="1023"/>
      <c r="BD55" s="1022">
        <f t="shared" ca="1" si="5"/>
        <v>0</v>
      </c>
      <c r="BE55" s="1023"/>
      <c r="BF55" s="1023"/>
      <c r="BG55" s="1023"/>
      <c r="BH55" s="1023"/>
      <c r="BI55" s="1023"/>
      <c r="BJ55" s="1023"/>
      <c r="BK55" s="1023"/>
      <c r="BL55" s="1023"/>
      <c r="BM55" s="1023"/>
      <c r="BN55" s="1145"/>
      <c r="BO55" s="1149" t="str">
        <f ca="1">IF(IFERROR(INDEX(Административные!$K$26:$L$84,MATCH($F55&amp;"18komm",Административные!$K$26:$K$84,0),2),"")=0,"",IFERROR(INDEX(Административные!$K$26:$L$84,MATCH($F55&amp;"18komm",Административные!$K$26:$K$84,0),2),""))</f>
        <v/>
      </c>
      <c r="BP55" s="1145"/>
      <c r="BS55" s="973" t="s">
        <v>1160</v>
      </c>
    </row>
    <row r="56" spans="2:75" ht="14.65" hidden="1" customHeight="1" x14ac:dyDescent="0.15">
      <c r="C56" s="26"/>
      <c r="D56" s="26"/>
      <c r="E56" s="545">
        <v>15</v>
      </c>
      <c r="F56" s="3" cm="1">
        <f t="array" aca="1" ref="F56" ca="1">OFFSET(E56,-1,1)</f>
        <v>0</v>
      </c>
      <c r="G56" s="26" t="s">
        <v>1161</v>
      </c>
      <c r="H56" s="776"/>
      <c r="I56" s="776" t="s">
        <v>1943</v>
      </c>
      <c r="J56" s="26"/>
      <c r="K56" s="294" t="s">
        <v>1943</v>
      </c>
      <c r="L56" s="889"/>
      <c r="M56" s="26"/>
      <c r="N56" s="26"/>
      <c r="O56" s="26"/>
      <c r="P56" s="26"/>
      <c r="Q56" s="26"/>
      <c r="R56" s="26"/>
      <c r="S56" s="26"/>
      <c r="T56" s="388" t="b" cm="1">
        <f t="array" ref="T56">T55</f>
        <v>0</v>
      </c>
      <c r="U56" s="26"/>
      <c r="V56" s="26"/>
      <c r="W56" s="26"/>
      <c r="X56" s="2066"/>
      <c r="Z56" s="2012"/>
      <c r="AB56" s="218" t="s">
        <v>1944</v>
      </c>
      <c r="AC56" s="688" t="s">
        <v>1162</v>
      </c>
      <c r="AD56" s="218" t="s">
        <v>831</v>
      </c>
      <c r="AE56" s="1022">
        <f ca="1">SUMIFS(Административные!AE$25:AE$84,Административные!$F$25:$F$84,$F56,Административные!$G$25:$G$84,$G56)</f>
        <v>0</v>
      </c>
      <c r="AF56" s="1022">
        <f ca="1">SUMIFS(Административные!AF$25:AF$84,Административные!$F$25:$F$84,$F56,Административные!$G$25:$G$84,$G56)</f>
        <v>0</v>
      </c>
      <c r="AG56" s="1022">
        <f ca="1">SUMIFS(Административные!AG$25:AG$84,Административные!$F$25:$F$84,$F56,Административные!$G$25:$G$84,$G56)</f>
        <v>0</v>
      </c>
      <c r="AH56" s="1022">
        <f t="shared" ca="1" si="2"/>
        <v>0</v>
      </c>
      <c r="AI56" s="1022">
        <f ca="1">SUMIFS(Административные!AH$25:AH$84,Административные!$F$25:$F$84,$F56,Административные!$G$25:$G$84,$G56)</f>
        <v>0</v>
      </c>
      <c r="AJ56" s="1022">
        <f ca="1">SUMIFS(Административные!AI$25:AI$84,Административные!$F$25:$F$84,$F56,Административные!$G$25:$G$84,$G56)</f>
        <v>0</v>
      </c>
      <c r="AK56" s="1023"/>
      <c r="AL56" s="1023"/>
      <c r="AM56" s="1023"/>
      <c r="AN56" s="1023"/>
      <c r="AO56" s="1023"/>
      <c r="AP56" s="1023"/>
      <c r="AQ56" s="1023"/>
      <c r="AR56" s="1023"/>
      <c r="AS56" s="1023"/>
      <c r="AT56" s="1022">
        <f ca="1">SUMIFS(Административные!AJ$25:AJ$84,Административные!$F$25:$F$84,$F56,Административные!$G$25:$G$84,$G56)</f>
        <v>0</v>
      </c>
      <c r="AU56" s="1023"/>
      <c r="AV56" s="1023"/>
      <c r="AW56" s="1023"/>
      <c r="AX56" s="1023"/>
      <c r="AY56" s="1023"/>
      <c r="AZ56" s="1023"/>
      <c r="BA56" s="1023"/>
      <c r="BB56" s="1023"/>
      <c r="BC56" s="1023"/>
      <c r="BD56" s="1022">
        <f t="shared" ca="1" si="5"/>
        <v>0</v>
      </c>
      <c r="BE56" s="1023"/>
      <c r="BF56" s="1023"/>
      <c r="BG56" s="1023"/>
      <c r="BH56" s="1023"/>
      <c r="BI56" s="1023"/>
      <c r="BJ56" s="1023"/>
      <c r="BK56" s="1023"/>
      <c r="BL56" s="1023"/>
      <c r="BM56" s="1023"/>
      <c r="BN56" s="1145"/>
      <c r="BO56" s="1149" t="str">
        <f ca="1">IF(IFERROR(INDEX(Административные!$K$26:$L$84,MATCH($F56&amp;"11komm",Административные!$K$26:$K$84,0),2),"")=0,"",IFERROR(INDEX(Административные!$K$26:$L$84,MATCH($F56&amp;"11komm",Административные!$K$26:$K$84,0),2),""))</f>
        <v/>
      </c>
      <c r="BP56" s="1145"/>
      <c r="BS56" s="973" t="s">
        <v>1163</v>
      </c>
    </row>
    <row r="57" spans="2:75" ht="14.65" hidden="1" customHeight="1" x14ac:dyDescent="0.15">
      <c r="C57" s="26"/>
      <c r="D57" s="26"/>
      <c r="E57" s="545">
        <v>15</v>
      </c>
      <c r="F57" s="3" cm="1">
        <f t="array" aca="1" ref="F57" ca="1">OFFSET(E57,-1,1)</f>
        <v>0</v>
      </c>
      <c r="G57" s="26" t="s">
        <v>1164</v>
      </c>
      <c r="H57" s="776"/>
      <c r="I57" s="776" t="s">
        <v>1945</v>
      </c>
      <c r="J57" s="26"/>
      <c r="K57" s="294" t="s">
        <v>1945</v>
      </c>
      <c r="L57" s="889"/>
      <c r="M57" s="26"/>
      <c r="N57" s="26"/>
      <c r="O57" s="26"/>
      <c r="P57" s="26"/>
      <c r="Q57" s="26"/>
      <c r="R57" s="26"/>
      <c r="S57" s="26"/>
      <c r="T57" s="388" t="b" cm="1">
        <f t="array" ref="T57">T56</f>
        <v>0</v>
      </c>
      <c r="U57" s="26"/>
      <c r="V57" s="26"/>
      <c r="W57" s="26"/>
      <c r="X57" s="2066"/>
      <c r="Z57" s="2012"/>
      <c r="AB57" s="218" t="s">
        <v>1946</v>
      </c>
      <c r="AC57" s="688" t="s">
        <v>1165</v>
      </c>
      <c r="AD57" s="218" t="s">
        <v>831</v>
      </c>
      <c r="AE57" s="1022">
        <f ca="1">SUMIFS(Административные!AE$25:AE$84,Административные!$F$25:$F$84,$F57,Административные!$G$25:$G$84,$G57)</f>
        <v>0</v>
      </c>
      <c r="AF57" s="1022">
        <f ca="1">SUMIFS(Административные!AF$25:AF$84,Административные!$F$25:$F$84,$F57,Административные!$G$25:$G$84,$G57)</f>
        <v>0</v>
      </c>
      <c r="AG57" s="1022">
        <f ca="1">SUMIFS(Административные!AG$25:AG$84,Административные!$F$25:$F$84,$F57,Административные!$G$25:$G$84,$G57)</f>
        <v>0</v>
      </c>
      <c r="AH57" s="1022">
        <f t="shared" ca="1" si="2"/>
        <v>0</v>
      </c>
      <c r="AI57" s="1022">
        <f ca="1">SUMIFS(Административные!AH$25:AH$84,Административные!$F$25:$F$84,$F57,Административные!$G$25:$G$84,$G57)</f>
        <v>0</v>
      </c>
      <c r="AJ57" s="1022">
        <f ca="1">SUMIFS(Административные!AI$25:AI$84,Административные!$F$25:$F$84,$F57,Административные!$G$25:$G$84,$G57)</f>
        <v>0</v>
      </c>
      <c r="AK57" s="1023"/>
      <c r="AL57" s="1023"/>
      <c r="AM57" s="1023"/>
      <c r="AN57" s="1023"/>
      <c r="AO57" s="1023"/>
      <c r="AP57" s="1023"/>
      <c r="AQ57" s="1023"/>
      <c r="AR57" s="1023"/>
      <c r="AS57" s="1023"/>
      <c r="AT57" s="1022">
        <f ca="1">SUMIFS(Административные!AJ$25:AJ$84,Административные!$F$25:$F$84,$F57,Административные!$G$25:$G$84,$G57)</f>
        <v>0</v>
      </c>
      <c r="AU57" s="1023"/>
      <c r="AV57" s="1023"/>
      <c r="AW57" s="1023"/>
      <c r="AX57" s="1023"/>
      <c r="AY57" s="1023"/>
      <c r="AZ57" s="1023"/>
      <c r="BA57" s="1023"/>
      <c r="BB57" s="1023"/>
      <c r="BC57" s="1023"/>
      <c r="BD57" s="1022">
        <f t="shared" ca="1" si="5"/>
        <v>0</v>
      </c>
      <c r="BE57" s="1023"/>
      <c r="BF57" s="1023"/>
      <c r="BG57" s="1023"/>
      <c r="BH57" s="1023"/>
      <c r="BI57" s="1023"/>
      <c r="BJ57" s="1023"/>
      <c r="BK57" s="1023"/>
      <c r="BL57" s="1023"/>
      <c r="BM57" s="1023"/>
      <c r="BN57" s="1145"/>
      <c r="BO57" s="1149" t="str">
        <f ca="1">IF(IFERROR(INDEX(Административные!$K$26:$L$84,MATCH($F57&amp;"12komm",Административные!$K$26:$K$84,0),2),"")=0,"",IFERROR(INDEX(Административные!$K$26:$L$84,MATCH($F57&amp;"12komm",Административные!$K$26:$K$84,0),2),""))</f>
        <v/>
      </c>
      <c r="BP57" s="1145"/>
      <c r="BS57" s="973" t="s">
        <v>1166</v>
      </c>
    </row>
    <row r="58" spans="2:75" ht="14.65" hidden="1" customHeight="1" x14ac:dyDescent="0.15">
      <c r="C58" s="26"/>
      <c r="D58" s="26"/>
      <c r="E58" s="545">
        <v>15</v>
      </c>
      <c r="F58" s="3" cm="1">
        <f t="array" aca="1" ref="F58" ca="1">OFFSET(E58,-1,1)</f>
        <v>0</v>
      </c>
      <c r="G58" s="26" t="s">
        <v>1167</v>
      </c>
      <c r="H58" s="776"/>
      <c r="I58" s="776" t="s">
        <v>1947</v>
      </c>
      <c r="J58" s="26"/>
      <c r="K58" s="294" t="s">
        <v>1947</v>
      </c>
      <c r="L58" s="889"/>
      <c r="M58" s="26"/>
      <c r="N58" s="26"/>
      <c r="O58" s="26"/>
      <c r="P58" s="26"/>
      <c r="Q58" s="26"/>
      <c r="R58" s="26"/>
      <c r="S58" s="26"/>
      <c r="T58" s="388" t="b" cm="1">
        <f t="array" ref="T58">T57</f>
        <v>0</v>
      </c>
      <c r="U58" s="26"/>
      <c r="V58" s="26"/>
      <c r="W58" s="26"/>
      <c r="X58" s="2066"/>
      <c r="Z58" s="2012"/>
      <c r="AB58" s="218" t="s">
        <v>1948</v>
      </c>
      <c r="AC58" s="688" t="s">
        <v>1168</v>
      </c>
      <c r="AD58" s="218" t="s">
        <v>831</v>
      </c>
      <c r="AE58" s="1022">
        <f ca="1">SUMIFS(Административные!AE$25:AE$84,Административные!$F$25:$F$84,$F58,Административные!$G$25:$G$84,$G58)</f>
        <v>0</v>
      </c>
      <c r="AF58" s="1022">
        <f ca="1">SUMIFS(Административные!AF$25:AF$84,Административные!$F$25:$F$84,$F58,Административные!$G$25:$G$84,$G58)</f>
        <v>0</v>
      </c>
      <c r="AG58" s="1022">
        <f ca="1">SUMIFS(Административные!AG$25:AG$84,Административные!$F$25:$F$84,$F58,Административные!$G$25:$G$84,$G58)</f>
        <v>0</v>
      </c>
      <c r="AH58" s="1022">
        <f t="shared" ca="1" si="2"/>
        <v>0</v>
      </c>
      <c r="AI58" s="1022">
        <f ca="1">SUMIFS(Административные!AH$25:AH$84,Административные!$F$25:$F$84,$F58,Административные!$G$25:$G$84,$G58)</f>
        <v>0</v>
      </c>
      <c r="AJ58" s="1022">
        <f ca="1">SUMIFS(Административные!AI$25:AI$84,Административные!$F$25:$F$84,$F58,Административные!$G$25:$G$84,$G58)</f>
        <v>0</v>
      </c>
      <c r="AK58" s="1023"/>
      <c r="AL58" s="1023"/>
      <c r="AM58" s="1023"/>
      <c r="AN58" s="1023"/>
      <c r="AO58" s="1023"/>
      <c r="AP58" s="1023"/>
      <c r="AQ58" s="1023"/>
      <c r="AR58" s="1023"/>
      <c r="AS58" s="1023"/>
      <c r="AT58" s="1022">
        <f ca="1">SUMIFS(Административные!AJ$25:AJ$84,Административные!$F$25:$F$84,$F58,Административные!$G$25:$G$84,$G58)</f>
        <v>0</v>
      </c>
      <c r="AU58" s="1023"/>
      <c r="AV58" s="1023"/>
      <c r="AW58" s="1023"/>
      <c r="AX58" s="1023"/>
      <c r="AY58" s="1023"/>
      <c r="AZ58" s="1023"/>
      <c r="BA58" s="1023"/>
      <c r="BB58" s="1023"/>
      <c r="BC58" s="1023"/>
      <c r="BD58" s="1022">
        <f t="shared" ca="1" si="5"/>
        <v>0</v>
      </c>
      <c r="BE58" s="1023"/>
      <c r="BF58" s="1023"/>
      <c r="BG58" s="1023"/>
      <c r="BH58" s="1023"/>
      <c r="BI58" s="1023"/>
      <c r="BJ58" s="1023"/>
      <c r="BK58" s="1023"/>
      <c r="BL58" s="1023"/>
      <c r="BM58" s="1023"/>
      <c r="BN58" s="1145"/>
      <c r="BO58" s="1149" t="str">
        <f ca="1">IF(IFERROR(INDEX(Административные!$K$26:$L$84,MATCH($F58&amp;"13komm",Административные!$K$26:$K$84,0),2),"")=0,"",IFERROR(INDEX(Административные!$K$26:$L$84,MATCH($F58&amp;"13komm",Административные!$K$26:$K$84,0),2),""))</f>
        <v/>
      </c>
      <c r="BP58" s="1145"/>
      <c r="BS58" s="973" t="s">
        <v>1169</v>
      </c>
    </row>
    <row r="59" spans="2:75" ht="14.65" hidden="1" customHeight="1" x14ac:dyDescent="0.15">
      <c r="C59" s="26"/>
      <c r="D59" s="26"/>
      <c r="E59" s="545">
        <v>15</v>
      </c>
      <c r="F59" s="3" cm="1">
        <f t="array" aca="1" ref="F59" ca="1">OFFSET(E59,-1,1)</f>
        <v>0</v>
      </c>
      <c r="G59" s="26" t="s">
        <v>1170</v>
      </c>
      <c r="H59" s="776"/>
      <c r="I59" s="776" t="s">
        <v>1949</v>
      </c>
      <c r="J59" s="26"/>
      <c r="K59" s="294" t="s">
        <v>1949</v>
      </c>
      <c r="L59" s="889"/>
      <c r="M59" s="26"/>
      <c r="N59" s="26"/>
      <c r="O59" s="26"/>
      <c r="P59" s="26"/>
      <c r="Q59" s="26"/>
      <c r="R59" s="26"/>
      <c r="S59" s="26"/>
      <c r="T59" s="388" t="b" cm="1">
        <f t="array" ref="T59">T58</f>
        <v>0</v>
      </c>
      <c r="U59" s="26"/>
      <c r="V59" s="26"/>
      <c r="W59" s="26"/>
      <c r="X59" s="2066"/>
      <c r="Z59" s="2012"/>
      <c r="AB59" s="218" t="s">
        <v>1950</v>
      </c>
      <c r="AC59" s="688" t="s">
        <v>1171</v>
      </c>
      <c r="AD59" s="218" t="s">
        <v>831</v>
      </c>
      <c r="AE59" s="707">
        <f ca="1">SUMIFS(Административные!AE$25:AE$84,Административные!$F$25:$F$84,$F59,Административные!$G$25:$G$84,$G59)</f>
        <v>0</v>
      </c>
      <c r="AF59" s="707">
        <f ca="1">SUMIFS(Административные!AF$25:AF$84,Административные!$F$25:$F$84,$F59,Административные!$G$25:$G$84,$G59)</f>
        <v>0</v>
      </c>
      <c r="AG59" s="707">
        <f ca="1">SUMIFS(Административные!AG$25:AG$84,Административные!$F$25:$F$84,$F59,Административные!$G$25:$G$84,$G59)</f>
        <v>0</v>
      </c>
      <c r="AH59" s="687">
        <f t="shared" ca="1" si="2"/>
        <v>0</v>
      </c>
      <c r="AI59" s="707">
        <f ca="1">SUMIFS(Административные!AH$25:AH$84,Административные!$F$25:$F$84,$F59,Административные!$G$25:$G$84,$G59)</f>
        <v>0</v>
      </c>
      <c r="AJ59" s="707">
        <f ca="1">SUMIFS(Административные!AI$25:AI$84,Административные!$F$25:$F$84,$F59,Административные!$G$25:$G$84,$G59)</f>
        <v>0</v>
      </c>
      <c r="AK59" s="683"/>
      <c r="AL59" s="683"/>
      <c r="AM59" s="683"/>
      <c r="AN59" s="683"/>
      <c r="AO59" s="683"/>
      <c r="AP59" s="683"/>
      <c r="AQ59" s="683"/>
      <c r="AR59" s="683"/>
      <c r="AS59" s="683"/>
      <c r="AT59" s="707">
        <f ca="1">SUMIFS(Административные!AJ$25:AJ$84,Административные!$F$25:$F$84,$F59,Административные!$G$25:$G$84,$G59)</f>
        <v>0</v>
      </c>
      <c r="AU59" s="1023"/>
      <c r="AV59" s="1023"/>
      <c r="AW59" s="1023"/>
      <c r="AX59" s="1023"/>
      <c r="AY59" s="1023"/>
      <c r="AZ59" s="1023"/>
      <c r="BA59" s="1023"/>
      <c r="BB59" s="1023"/>
      <c r="BC59" s="1023"/>
      <c r="BD59" s="1022">
        <f t="shared" ca="1" si="5"/>
        <v>0</v>
      </c>
      <c r="BE59" s="1023"/>
      <c r="BF59" s="1023"/>
      <c r="BG59" s="1023"/>
      <c r="BH59" s="1023"/>
      <c r="BI59" s="1023"/>
      <c r="BJ59" s="1023"/>
      <c r="BK59" s="1023"/>
      <c r="BL59" s="1023"/>
      <c r="BM59" s="1023"/>
      <c r="BN59" s="1145"/>
      <c r="BO59" s="1149" t="str">
        <f ca="1">IF(IFERROR(INDEX(Административные!$K$26:$L$84,MATCH($F59&amp;"14komm",Административные!$K$26:$K$84,0),2),"")=0,"",IFERROR(INDEX(Административные!$K$26:$L$84,MATCH($F59&amp;"14komm",Административные!$K$26:$K$84,0),2),""))</f>
        <v/>
      </c>
      <c r="BP59" s="1145"/>
      <c r="BS59" s="973" t="s">
        <v>1951</v>
      </c>
    </row>
    <row r="60" spans="2:75" ht="14.65" hidden="1" customHeight="1" x14ac:dyDescent="0.15">
      <c r="C60" s="26"/>
      <c r="D60" s="26"/>
      <c r="E60" s="545">
        <v>15</v>
      </c>
      <c r="F60" s="3" cm="1">
        <f t="array" aca="1" ref="F60" ca="1">OFFSET(E60,-1,1)</f>
        <v>0</v>
      </c>
      <c r="G60" s="26" t="s">
        <v>1173</v>
      </c>
      <c r="H60" s="776"/>
      <c r="I60" s="776" t="s">
        <v>1952</v>
      </c>
      <c r="J60" s="26"/>
      <c r="K60" s="294" t="s">
        <v>1952</v>
      </c>
      <c r="L60" s="889"/>
      <c r="M60" s="26"/>
      <c r="N60" s="26"/>
      <c r="O60" s="26"/>
      <c r="P60" s="26"/>
      <c r="Q60" s="26"/>
      <c r="R60" s="26"/>
      <c r="S60" s="26"/>
      <c r="T60" s="388" t="b" cm="1">
        <f t="array" ref="T60">T59</f>
        <v>0</v>
      </c>
      <c r="U60" s="26"/>
      <c r="V60" s="26"/>
      <c r="W60" s="26"/>
      <c r="X60" s="2066"/>
      <c r="Z60" s="2012"/>
      <c r="AB60" s="218" t="s">
        <v>1953</v>
      </c>
      <c r="AC60" s="688" t="s">
        <v>1176</v>
      </c>
      <c r="AD60" s="218" t="s">
        <v>831</v>
      </c>
      <c r="AE60" s="1022">
        <f ca="1">SUMIFS(Административные!AE$25:AE$84,Административные!$F$25:$F$84,$F60,Административные!$G$25:$G$84,$G60)</f>
        <v>0</v>
      </c>
      <c r="AF60" s="1022">
        <f ca="1">SUMIFS(Административные!AF$25:AF$84,Административные!$F$25:$F$84,$F60,Административные!$G$25:$G$84,$G60)</f>
        <v>0</v>
      </c>
      <c r="AG60" s="1022">
        <f ca="1">SUMIFS(Административные!AG$25:AG$84,Административные!$F$25:$F$84,$F60,Административные!$G$25:$G$84,$G60)</f>
        <v>0</v>
      </c>
      <c r="AH60" s="1022">
        <f t="shared" ref="AH60:AH91" ca="1" si="7">AG60-AF60</f>
        <v>0</v>
      </c>
      <c r="AI60" s="1022">
        <f ca="1">SUMIFS(Административные!AH$25:AH$84,Административные!$F$25:$F$84,$F60,Административные!$G$25:$G$84,$G60)</f>
        <v>0</v>
      </c>
      <c r="AJ60" s="1022">
        <f ca="1">SUMIFS(Административные!AI$25:AI$84,Административные!$F$25:$F$84,$F60,Административные!$G$25:$G$84,$G60)</f>
        <v>0</v>
      </c>
      <c r="AK60" s="1023"/>
      <c r="AL60" s="1023"/>
      <c r="AM60" s="1023"/>
      <c r="AN60" s="1023"/>
      <c r="AO60" s="1023"/>
      <c r="AP60" s="1023"/>
      <c r="AQ60" s="1023"/>
      <c r="AR60" s="1023"/>
      <c r="AS60" s="1023"/>
      <c r="AT60" s="1022">
        <f ca="1">SUMIFS(Административные!AJ$25:AJ$84,Административные!$F$25:$F$84,$F60,Административные!$G$25:$G$84,$G60)</f>
        <v>0</v>
      </c>
      <c r="AU60" s="1023"/>
      <c r="AV60" s="1023"/>
      <c r="AW60" s="1023"/>
      <c r="AX60" s="1023"/>
      <c r="AY60" s="1023"/>
      <c r="AZ60" s="1023"/>
      <c r="BA60" s="1023"/>
      <c r="BB60" s="1023"/>
      <c r="BC60" s="1023"/>
      <c r="BD60" s="1022">
        <f t="shared" ref="BD60:BD76" ca="1" si="8">IF(AI60=0,0,(AT60-AI60)/AI60*100)</f>
        <v>0</v>
      </c>
      <c r="BE60" s="1023"/>
      <c r="BF60" s="1023"/>
      <c r="BG60" s="1023"/>
      <c r="BH60" s="1023"/>
      <c r="BI60" s="1023"/>
      <c r="BJ60" s="1023"/>
      <c r="BK60" s="1023"/>
      <c r="BL60" s="1023"/>
      <c r="BM60" s="1023"/>
      <c r="BN60" s="1145"/>
      <c r="BO60" s="1149" t="str">
        <f ca="1">IF(IFERROR(INDEX(Административные!$K$26:$L$84,MATCH($F60&amp;"15komm",Административные!$K$26:$K$84,0),2),"")=0,"",IFERROR(INDEX(Административные!$K$26:$L$84,MATCH($F60&amp;"15komm",Административные!$K$26:$K$84,0),2),""))</f>
        <v/>
      </c>
      <c r="BP60" s="1145"/>
      <c r="BS60" s="973" t="s">
        <v>1177</v>
      </c>
    </row>
    <row r="61" spans="2:75" ht="14.65" hidden="1" customHeight="1" x14ac:dyDescent="0.15">
      <c r="C61" s="26"/>
      <c r="D61" s="26"/>
      <c r="E61" s="545">
        <v>15</v>
      </c>
      <c r="F61" s="3" cm="1">
        <f t="array" aca="1" ref="F61" ca="1">OFFSET(E61,-1,1)</f>
        <v>0</v>
      </c>
      <c r="G61" s="26" t="s">
        <v>1178</v>
      </c>
      <c r="H61" s="776"/>
      <c r="I61" s="776" t="s">
        <v>1954</v>
      </c>
      <c r="J61" s="26"/>
      <c r="K61" s="294" t="s">
        <v>1954</v>
      </c>
      <c r="L61" s="889"/>
      <c r="M61" s="26"/>
      <c r="N61" s="26"/>
      <c r="O61" s="26"/>
      <c r="P61" s="26"/>
      <c r="Q61" s="26"/>
      <c r="R61" s="26"/>
      <c r="S61" s="26"/>
      <c r="T61" s="388" t="b" cm="1">
        <f t="array" ref="T61">T60</f>
        <v>0</v>
      </c>
      <c r="U61" s="26"/>
      <c r="V61" s="26"/>
      <c r="W61" s="26"/>
      <c r="X61" s="2066"/>
      <c r="Z61" s="2012"/>
      <c r="AB61" s="218" t="s">
        <v>1955</v>
      </c>
      <c r="AC61" s="688" t="s">
        <v>1181</v>
      </c>
      <c r="AD61" s="218" t="s">
        <v>831</v>
      </c>
      <c r="AE61" s="1022">
        <f ca="1">SUMIFS(Административные!AE$25:AE$84,Административные!$F$25:$F$84,$F61,Административные!$G$25:$G$84,$G61)</f>
        <v>0</v>
      </c>
      <c r="AF61" s="1022">
        <f ca="1">SUMIFS(Административные!AF$25:AF$84,Административные!$F$25:$F$84,$F61,Административные!$G$25:$G$84,$G61)</f>
        <v>0</v>
      </c>
      <c r="AG61" s="1022">
        <f ca="1">SUMIFS(Административные!AG$25:AG$84,Административные!$F$25:$F$84,$F61,Административные!$G$25:$G$84,$G61)</f>
        <v>0</v>
      </c>
      <c r="AH61" s="1022">
        <f t="shared" ca="1" si="7"/>
        <v>0</v>
      </c>
      <c r="AI61" s="1022">
        <f ca="1">SUMIFS(Административные!AH$25:AH$84,Административные!$F$25:$F$84,$F61,Административные!$G$25:$G$84,$G61)</f>
        <v>0</v>
      </c>
      <c r="AJ61" s="1022">
        <f ca="1">SUMIFS(Административные!AI$25:AI$84,Административные!$F$25:$F$84,$F61,Административные!$G$25:$G$84,$G61)</f>
        <v>0</v>
      </c>
      <c r="AK61" s="1023"/>
      <c r="AL61" s="1023"/>
      <c r="AM61" s="1023"/>
      <c r="AN61" s="1023"/>
      <c r="AO61" s="1023"/>
      <c r="AP61" s="1023"/>
      <c r="AQ61" s="1023"/>
      <c r="AR61" s="1023"/>
      <c r="AS61" s="1023"/>
      <c r="AT61" s="1022">
        <f ca="1">SUMIFS(Административные!AJ$25:AJ$84,Административные!$F$25:$F$84,$F61,Административные!$G$25:$G$84,$G61)</f>
        <v>0</v>
      </c>
      <c r="AU61" s="1023"/>
      <c r="AV61" s="1023"/>
      <c r="AW61" s="1023"/>
      <c r="AX61" s="1023"/>
      <c r="AY61" s="1023"/>
      <c r="AZ61" s="1023"/>
      <c r="BA61" s="1023"/>
      <c r="BB61" s="1023"/>
      <c r="BC61" s="1023"/>
      <c r="BD61" s="1022">
        <f t="shared" ca="1" si="8"/>
        <v>0</v>
      </c>
      <c r="BE61" s="1023"/>
      <c r="BF61" s="1023"/>
      <c r="BG61" s="1023"/>
      <c r="BH61" s="1023"/>
      <c r="BI61" s="1023"/>
      <c r="BJ61" s="1023"/>
      <c r="BK61" s="1023"/>
      <c r="BL61" s="1023"/>
      <c r="BM61" s="1023"/>
      <c r="BN61" s="1145"/>
      <c r="BO61" s="1149" t="str">
        <f ca="1">IF(IFERROR(INDEX(Административные!$K$26:$L$84,MATCH($F61&amp;"16komm",Административные!$K$26:$K$84,0),2),"")=0,"",IFERROR(INDEX(Административные!$K$26:$L$84,MATCH($F61&amp;"16komm",Административные!$K$26:$K$84,0),2),""))</f>
        <v/>
      </c>
      <c r="BP61" s="1145"/>
      <c r="BS61" s="973" t="s">
        <v>1956</v>
      </c>
    </row>
    <row r="62" spans="2:75" ht="21.95" hidden="1" customHeight="1" x14ac:dyDescent="0.25">
      <c r="C62" s="26"/>
      <c r="D62" s="26"/>
      <c r="E62" s="545">
        <v>22.5</v>
      </c>
      <c r="F62" s="3" cm="1">
        <f t="array" aca="1" ref="F62" ca="1">OFFSET(E62,-1,1)</f>
        <v>0</v>
      </c>
      <c r="G62" s="26"/>
      <c r="H62" s="776"/>
      <c r="I62" s="776" t="s">
        <v>1329</v>
      </c>
      <c r="J62" s="26"/>
      <c r="K62" s="294" t="s">
        <v>1329</v>
      </c>
      <c r="L62" s="889" t="s">
        <v>942</v>
      </c>
      <c r="M62" s="26"/>
      <c r="N62" s="26"/>
      <c r="O62" s="26"/>
      <c r="P62" s="26"/>
      <c r="Q62" s="26"/>
      <c r="R62" s="26"/>
      <c r="S62" s="26"/>
      <c r="T62" s="388" t="b" cm="1">
        <f t="array" ref="T62">T61</f>
        <v>0</v>
      </c>
      <c r="U62" s="26"/>
      <c r="V62" s="26"/>
      <c r="W62" s="26"/>
      <c r="X62" s="2066"/>
      <c r="Z62" s="2012"/>
      <c r="AB62" s="218" t="s">
        <v>1036</v>
      </c>
      <c r="AC62" s="685" t="s">
        <v>1957</v>
      </c>
      <c r="AD62" s="218" t="s">
        <v>831</v>
      </c>
      <c r="AE62" s="1024">
        <f ca="1">AE63+AE64</f>
        <v>0</v>
      </c>
      <c r="AF62" s="1024">
        <f ca="1">AF63+AF64</f>
        <v>0</v>
      </c>
      <c r="AG62" s="1024">
        <f ca="1">AG63+AG64</f>
        <v>0</v>
      </c>
      <c r="AH62" s="1022">
        <f t="shared" ca="1" si="7"/>
        <v>0</v>
      </c>
      <c r="AI62" s="1024">
        <f ca="1">AI63+AI64</f>
        <v>0</v>
      </c>
      <c r="AJ62" s="1024">
        <f ca="1">AJ63+AJ64</f>
        <v>0</v>
      </c>
      <c r="AK62" s="1023"/>
      <c r="AL62" s="1023"/>
      <c r="AM62" s="1023"/>
      <c r="AN62" s="1023"/>
      <c r="AO62" s="1023"/>
      <c r="AP62" s="1023"/>
      <c r="AQ62" s="1023"/>
      <c r="AR62" s="1023"/>
      <c r="AS62" s="1023"/>
      <c r="AT62" s="1024">
        <f ca="1">AT63+AT64</f>
        <v>0</v>
      </c>
      <c r="AU62" s="1023"/>
      <c r="AV62" s="1023"/>
      <c r="AW62" s="1023"/>
      <c r="AX62" s="1023"/>
      <c r="AY62" s="1023"/>
      <c r="AZ62" s="1023"/>
      <c r="BA62" s="1023"/>
      <c r="BB62" s="1023"/>
      <c r="BC62" s="1023"/>
      <c r="BD62" s="1022">
        <f t="shared" ca="1" si="8"/>
        <v>0</v>
      </c>
      <c r="BE62" s="1023"/>
      <c r="BF62" s="1023"/>
      <c r="BG62" s="1023"/>
      <c r="BH62" s="1023"/>
      <c r="BI62" s="1023"/>
      <c r="BJ62" s="1023"/>
      <c r="BK62" s="1023"/>
      <c r="BL62" s="1023"/>
      <c r="BM62" s="1023"/>
      <c r="BN62" s="1145"/>
      <c r="BO62" s="1145"/>
      <c r="BP62" s="1145"/>
      <c r="BS62" s="971" t="s">
        <v>1764</v>
      </c>
    </row>
    <row r="63" spans="2:75" ht="14.65" hidden="1" customHeight="1" x14ac:dyDescent="0.25">
      <c r="C63" s="26"/>
      <c r="D63" s="26"/>
      <c r="E63" s="545">
        <v>15</v>
      </c>
      <c r="F63" s="3" cm="1">
        <f t="array" aca="1" ref="F63" ca="1">OFFSET(E63,-1,1)</f>
        <v>0</v>
      </c>
      <c r="G63" s="26" t="s">
        <v>1127</v>
      </c>
      <c r="H63" s="776"/>
      <c r="I63" s="776" t="s">
        <v>1958</v>
      </c>
      <c r="J63" s="26"/>
      <c r="K63" s="294" t="s">
        <v>1958</v>
      </c>
      <c r="L63" s="889" t="s">
        <v>530</v>
      </c>
      <c r="M63" s="26"/>
      <c r="N63" s="26"/>
      <c r="O63" s="26"/>
      <c r="P63" s="26"/>
      <c r="Q63" s="26"/>
      <c r="R63" s="26"/>
      <c r="S63" s="26"/>
      <c r="T63" s="388" t="b" cm="1">
        <f t="array" ref="T63">T62</f>
        <v>0</v>
      </c>
      <c r="U63" s="26"/>
      <c r="V63" s="26"/>
      <c r="W63" s="26"/>
      <c r="X63" s="2066"/>
      <c r="Z63" s="2012"/>
      <c r="AB63" s="218" t="s">
        <v>1959</v>
      </c>
      <c r="AC63" s="688" t="s">
        <v>1765</v>
      </c>
      <c r="AD63" s="691" t="s">
        <v>831</v>
      </c>
      <c r="AE63" s="1022">
        <f ca="1">SUMIFS(ФОТ!AE$25:AE$138,ФОТ!$F$25:$F$138,$F63,ФОТ!$G$25:$G$138,$G63)</f>
        <v>0</v>
      </c>
      <c r="AF63" s="1022">
        <f ca="1">SUMIFS(ФОТ!AF$25:AF$138,ФОТ!$F$25:$F$138,$F63,ФОТ!$G$25:$G$138,$G63)</f>
        <v>0</v>
      </c>
      <c r="AG63" s="1022">
        <f ca="1">SUMIFS(ФОТ!AG$25:AG$138,ФОТ!$F$25:$F$138,$F63,ФОТ!$G$25:$G$138,$G63)</f>
        <v>0</v>
      </c>
      <c r="AH63" s="1022">
        <f t="shared" ca="1" si="7"/>
        <v>0</v>
      </c>
      <c r="AI63" s="1022">
        <f ca="1">SUMIFS(ФОТ!AH$25:AH$138,ФОТ!$F$25:$F$138,$F63,ФОТ!$G$25:$G$138,$G63)</f>
        <v>0</v>
      </c>
      <c r="AJ63" s="1022">
        <f ca="1">SUMIFS(ФОТ!AI$25:AI$138,ФОТ!$F$25:$F$138,$F63,ФОТ!$G$25:$G$138,$G63)</f>
        <v>0</v>
      </c>
      <c r="AK63" s="1023"/>
      <c r="AL63" s="1023"/>
      <c r="AM63" s="1023"/>
      <c r="AN63" s="1023"/>
      <c r="AO63" s="1023"/>
      <c r="AP63" s="1023"/>
      <c r="AQ63" s="1023"/>
      <c r="AR63" s="1023"/>
      <c r="AS63" s="1023"/>
      <c r="AT63" s="1022">
        <f ca="1">SUMIFS(ФОТ!AJ$25:AJ$138,ФОТ!$F$25:$F$138,$F63,ФОТ!$G$25:$G$138,$G63)</f>
        <v>0</v>
      </c>
      <c r="AU63" s="1023"/>
      <c r="AV63" s="1023"/>
      <c r="AW63" s="1023"/>
      <c r="AX63" s="1023"/>
      <c r="AY63" s="1023"/>
      <c r="AZ63" s="1023"/>
      <c r="BA63" s="1023"/>
      <c r="BB63" s="1023"/>
      <c r="BC63" s="1023"/>
      <c r="BD63" s="1022">
        <f t="shared" ca="1" si="8"/>
        <v>0</v>
      </c>
      <c r="BE63" s="1023"/>
      <c r="BF63" s="1023"/>
      <c r="BG63" s="1023"/>
      <c r="BH63" s="1023"/>
      <c r="BI63" s="1023"/>
      <c r="BJ63" s="1023"/>
      <c r="BK63" s="1023"/>
      <c r="BL63" s="1023"/>
      <c r="BM63" s="1023"/>
      <c r="BN63" s="1145"/>
      <c r="BO63" s="1149" t="str">
        <f ca="1">IF(IFERROR(INDEX(ФОТ!$K$26:$L$138,MATCH($F63&amp;"5komm",ФОТ!$K$26:$K$138,0),2),"")=0,"",IFERROR(INDEX(ФОТ!$K$26:$L$138,MATCH($F63&amp;"5komm",ФОТ!$K$26:$K$138,0),2),""))</f>
        <v/>
      </c>
      <c r="BP63" s="1145"/>
      <c r="BS63" s="971" t="s">
        <v>1154</v>
      </c>
    </row>
    <row r="64" spans="2:75" ht="21.95" hidden="1" customHeight="1" x14ac:dyDescent="0.25">
      <c r="C64" s="26"/>
      <c r="D64" s="26"/>
      <c r="E64" s="545">
        <v>22.5</v>
      </c>
      <c r="F64" s="3" cm="1">
        <f t="array" aca="1" ref="F64" ca="1">OFFSET(E64,-1,1)</f>
        <v>0</v>
      </c>
      <c r="G64" s="26" t="s">
        <v>1132</v>
      </c>
      <c r="H64" s="776"/>
      <c r="I64" s="776" t="s">
        <v>1960</v>
      </c>
      <c r="J64" s="26"/>
      <c r="K64" s="294" t="s">
        <v>1960</v>
      </c>
      <c r="L64" s="889" t="s">
        <v>535</v>
      </c>
      <c r="M64" s="26"/>
      <c r="N64" s="26"/>
      <c r="O64" s="26"/>
      <c r="P64" s="26"/>
      <c r="Q64" s="26"/>
      <c r="R64" s="26"/>
      <c r="S64" s="26"/>
      <c r="T64" s="388" t="b" cm="1">
        <f t="array" ref="T64">T63</f>
        <v>0</v>
      </c>
      <c r="U64" s="26"/>
      <c r="V64" s="26"/>
      <c r="W64" s="26"/>
      <c r="X64" s="2066"/>
      <c r="Z64" s="2012"/>
      <c r="AB64" s="218" t="s">
        <v>1961</v>
      </c>
      <c r="AC64" s="688" t="s">
        <v>1962</v>
      </c>
      <c r="AD64" s="218" t="s">
        <v>831</v>
      </c>
      <c r="AE64" s="1022">
        <f ca="1">SUMIFS(ФОТ!AE$25:AE$138,ФОТ!$F$25:$F$138,$F64,ФОТ!$G$25:$G$138,$G64)</f>
        <v>0</v>
      </c>
      <c r="AF64" s="1022">
        <f ca="1">SUMIFS(ФОТ!AF$25:AF$138,ФОТ!$F$25:$F$138,$F64,ФОТ!$G$25:$G$138,$G64)</f>
        <v>0</v>
      </c>
      <c r="AG64" s="1022">
        <f ca="1">SUMIFS(ФОТ!AG$25:AG$138,ФОТ!$F$25:$F$138,$F64,ФОТ!$G$25:$G$138,$G64)</f>
        <v>0</v>
      </c>
      <c r="AH64" s="1022">
        <f t="shared" ca="1" si="7"/>
        <v>0</v>
      </c>
      <c r="AI64" s="1022">
        <f ca="1">SUMIFS(ФОТ!AH$25:AH$138,ФОТ!$F$25:$F$138,$F64,ФОТ!$G$25:$G$138,$G64)</f>
        <v>0</v>
      </c>
      <c r="AJ64" s="1022">
        <f ca="1">SUMIFS(ФОТ!AI$25:AI$138,ФОТ!$F$25:$F$138,$F64,ФОТ!$G$25:$G$138,$G64)</f>
        <v>0</v>
      </c>
      <c r="AK64" s="1023"/>
      <c r="AL64" s="1023"/>
      <c r="AM64" s="1023"/>
      <c r="AN64" s="1023"/>
      <c r="AO64" s="1023"/>
      <c r="AP64" s="1023"/>
      <c r="AQ64" s="1023"/>
      <c r="AR64" s="1023"/>
      <c r="AS64" s="1023"/>
      <c r="AT64" s="1022">
        <f ca="1">SUMIFS(ФОТ!AJ$25:AJ$138,ФОТ!$F$25:$F$138,$F64,ФОТ!$G$25:$G$138,$G64)</f>
        <v>0</v>
      </c>
      <c r="AU64" s="1023"/>
      <c r="AV64" s="1023"/>
      <c r="AW64" s="1023"/>
      <c r="AX64" s="1023"/>
      <c r="AY64" s="1023"/>
      <c r="AZ64" s="1023"/>
      <c r="BA64" s="1023"/>
      <c r="BB64" s="1023"/>
      <c r="BC64" s="1023"/>
      <c r="BD64" s="1022">
        <f t="shared" ca="1" si="8"/>
        <v>0</v>
      </c>
      <c r="BE64" s="1023"/>
      <c r="BF64" s="1023"/>
      <c r="BG64" s="1023"/>
      <c r="BH64" s="1023"/>
      <c r="BI64" s="1023"/>
      <c r="BJ64" s="1023"/>
      <c r="BK64" s="1023"/>
      <c r="BL64" s="1023"/>
      <c r="BM64" s="1023"/>
      <c r="BN64" s="1145"/>
      <c r="BO64" s="1149" t="str">
        <f ca="1">IF(IFERROR(INDEX(ФОТ!$K$26:$L$138,MATCH($F64&amp;"6komm",ФОТ!$K$26:$K$138,0),2),"")=0,"",IFERROR(INDEX(ФОТ!$K$26:$L$138,MATCH($F64&amp;"6komm",ФОТ!$K$26:$K$138,0),2),""))</f>
        <v/>
      </c>
      <c r="BP64" s="1145"/>
      <c r="BS64" s="971" t="s">
        <v>1767</v>
      </c>
    </row>
    <row r="65" spans="2:75" ht="32.85" hidden="1" customHeight="1" x14ac:dyDescent="0.25">
      <c r="C65" s="26"/>
      <c r="D65" s="26"/>
      <c r="E65" s="545">
        <v>33.75</v>
      </c>
      <c r="F65" s="3" cm="1">
        <f t="array" aca="1" ref="F65" ca="1">OFFSET(E65,-1,1)</f>
        <v>0</v>
      </c>
      <c r="G65" s="767" t="s">
        <v>1183</v>
      </c>
      <c r="H65" s="776"/>
      <c r="I65" s="776" t="s">
        <v>1332</v>
      </c>
      <c r="J65" s="26"/>
      <c r="K65" s="294" t="s">
        <v>1332</v>
      </c>
      <c r="L65" s="889" t="s">
        <v>944</v>
      </c>
      <c r="M65" s="26"/>
      <c r="N65" s="26"/>
      <c r="O65" s="26"/>
      <c r="P65" s="26"/>
      <c r="Q65" s="26"/>
      <c r="R65" s="26"/>
      <c r="S65" s="26"/>
      <c r="T65" s="388" t="b" cm="1">
        <f t="array" ref="T65">T64</f>
        <v>0</v>
      </c>
      <c r="U65" s="26"/>
      <c r="V65" s="26"/>
      <c r="W65" s="26"/>
      <c r="X65" s="2066"/>
      <c r="Z65" s="2012"/>
      <c r="AB65" s="218" t="s">
        <v>1333</v>
      </c>
      <c r="AC65" s="685" t="s">
        <v>1963</v>
      </c>
      <c r="AD65" s="218" t="s">
        <v>831</v>
      </c>
      <c r="AE65" s="1022">
        <f ca="1">SUMIFS(Административные!AE$25:AE$84,Административные!$F$25:$F$84,$F65,Административные!$G$25:$G$84,$G65)</f>
        <v>0</v>
      </c>
      <c r="AF65" s="1022">
        <f ca="1">SUMIFS(Административные!AF$25:AF$84,Административные!$F$25:$F$84,$F65,Административные!$G$25:$G$84,$G65)</f>
        <v>0</v>
      </c>
      <c r="AG65" s="1022">
        <f ca="1">SUMIFS(Административные!AG$25:AG$84,Административные!$F$25:$F$84,$F65,Административные!$G$25:$G$84,$G65)</f>
        <v>0</v>
      </c>
      <c r="AH65" s="1022">
        <f t="shared" ca="1" si="7"/>
        <v>0</v>
      </c>
      <c r="AI65" s="1022">
        <f ca="1">SUMIFS(Административные!AH$25:AH$84,Административные!$F$25:$F$84,$F65,Административные!$G$25:$G$84,$G65)</f>
        <v>0</v>
      </c>
      <c r="AJ65" s="1022">
        <f ca="1">SUMIFS(Административные!AI$25:AI$84,Административные!$F$25:$F$84,$F65,Административные!$G$25:$G$84,$G65)</f>
        <v>0</v>
      </c>
      <c r="AK65" s="1023"/>
      <c r="AL65" s="1023"/>
      <c r="AM65" s="1023"/>
      <c r="AN65" s="1023"/>
      <c r="AO65" s="1023"/>
      <c r="AP65" s="1023"/>
      <c r="AQ65" s="1023"/>
      <c r="AR65" s="1023"/>
      <c r="AS65" s="1023"/>
      <c r="AT65" s="1022">
        <f ca="1">SUMIFS(Административные!AJ$25:AJ$84,Административные!$F$25:$F$84,$F65,Административные!$G$25:$G$84,$G65)</f>
        <v>0</v>
      </c>
      <c r="AU65" s="1023"/>
      <c r="AV65" s="1023"/>
      <c r="AW65" s="1023"/>
      <c r="AX65" s="1023"/>
      <c r="AY65" s="1023"/>
      <c r="AZ65" s="1023"/>
      <c r="BA65" s="1023"/>
      <c r="BB65" s="1023"/>
      <c r="BC65" s="1023"/>
      <c r="BD65" s="1022">
        <f t="shared" ca="1" si="8"/>
        <v>0</v>
      </c>
      <c r="BE65" s="1023"/>
      <c r="BF65" s="1023"/>
      <c r="BG65" s="1023"/>
      <c r="BH65" s="1023"/>
      <c r="BI65" s="1023"/>
      <c r="BJ65" s="1023"/>
      <c r="BK65" s="1023"/>
      <c r="BL65" s="1023"/>
      <c r="BM65" s="1023"/>
      <c r="BN65" s="1145"/>
      <c r="BO65" s="1149" t="str">
        <f ca="1">IF(IFERROR(INDEX(Административные!$K$26:$L$84,MATCH($F65&amp;"2komm",Административные!$K$26:$K$84,0),2),"")=0,"",IFERROR(INDEX(Административные!$K$26:$L$84,MATCH($F65&amp;"2komm",Административные!$K$26:$K$84,0),2),""))</f>
        <v/>
      </c>
      <c r="BP65" s="1145"/>
      <c r="BS65" s="971" t="s">
        <v>1185</v>
      </c>
    </row>
    <row r="66" spans="2:75" ht="14.65" hidden="1" customHeight="1" x14ac:dyDescent="0.25">
      <c r="C66" s="26"/>
      <c r="D66" s="26"/>
      <c r="E66" s="545">
        <v>15</v>
      </c>
      <c r="F66" s="3" cm="1">
        <f t="array" aca="1" ref="F66" ca="1">OFFSET(E66,-1,1)</f>
        <v>0</v>
      </c>
      <c r="G66" s="767" t="s">
        <v>1186</v>
      </c>
      <c r="H66" s="776"/>
      <c r="I66" s="776" t="s">
        <v>1336</v>
      </c>
      <c r="J66" s="26"/>
      <c r="K66" s="294" t="s">
        <v>1336</v>
      </c>
      <c r="L66" s="889" t="s">
        <v>946</v>
      </c>
      <c r="M66" s="26"/>
      <c r="N66" s="26"/>
      <c r="O66" s="26"/>
      <c r="P66" s="26"/>
      <c r="Q66" s="26"/>
      <c r="R66" s="26"/>
      <c r="S66" s="26"/>
      <c r="T66" s="388" t="b" cm="1">
        <f t="array" ref="T66">T65</f>
        <v>0</v>
      </c>
      <c r="U66" s="26"/>
      <c r="V66" s="26"/>
      <c r="W66" s="26"/>
      <c r="X66" s="2066"/>
      <c r="Z66" s="2012"/>
      <c r="AB66" s="218" t="s">
        <v>1337</v>
      </c>
      <c r="AC66" s="685" t="s">
        <v>1964</v>
      </c>
      <c r="AD66" s="218" t="s">
        <v>831</v>
      </c>
      <c r="AE66" s="1022">
        <f ca="1">SUMIFS(Административные!AE$25:AE$84,Административные!$F$25:$F$84,$F66,Административные!$G$25:$G$84,$G66)</f>
        <v>0</v>
      </c>
      <c r="AF66" s="1022">
        <f ca="1">SUMIFS(Административные!AF$25:AF$84,Административные!$F$25:$F$84,$F66,Административные!$G$25:$G$84,$G66)</f>
        <v>0</v>
      </c>
      <c r="AG66" s="1022">
        <f ca="1">SUMIFS(Административные!AG$25:AG$84,Административные!$F$25:$F$84,$F66,Административные!$G$25:$G$84,$G66)</f>
        <v>0</v>
      </c>
      <c r="AH66" s="1022">
        <f t="shared" ca="1" si="7"/>
        <v>0</v>
      </c>
      <c r="AI66" s="1022">
        <f ca="1">SUMIFS(Административные!AH$25:AH$84,Административные!$F$25:$F$84,$F66,Административные!$G$25:$G$84,$G66)</f>
        <v>0</v>
      </c>
      <c r="AJ66" s="1022">
        <f ca="1">SUMIFS(Административные!AI$25:AI$84,Административные!$F$25:$F$84,$F66,Административные!$G$25:$G$84,$G66)</f>
        <v>0</v>
      </c>
      <c r="AK66" s="1023"/>
      <c r="AL66" s="1023"/>
      <c r="AM66" s="1023"/>
      <c r="AN66" s="1023"/>
      <c r="AO66" s="1023"/>
      <c r="AP66" s="1023"/>
      <c r="AQ66" s="1023"/>
      <c r="AR66" s="1023"/>
      <c r="AS66" s="1023"/>
      <c r="AT66" s="1022">
        <f ca="1">SUMIFS(Административные!AJ$25:AJ$84,Административные!$F$25:$F$84,$F66,Административные!$G$25:$G$84,$G66)</f>
        <v>0</v>
      </c>
      <c r="AU66" s="1023"/>
      <c r="AV66" s="1023"/>
      <c r="AW66" s="1023"/>
      <c r="AX66" s="1023"/>
      <c r="AY66" s="1023"/>
      <c r="AZ66" s="1023"/>
      <c r="BA66" s="1023"/>
      <c r="BB66" s="1023"/>
      <c r="BC66" s="1023"/>
      <c r="BD66" s="1022">
        <f t="shared" ca="1" si="8"/>
        <v>0</v>
      </c>
      <c r="BE66" s="1023"/>
      <c r="BF66" s="1023"/>
      <c r="BG66" s="1023"/>
      <c r="BH66" s="1023"/>
      <c r="BI66" s="1023"/>
      <c r="BJ66" s="1023"/>
      <c r="BK66" s="1023"/>
      <c r="BL66" s="1023"/>
      <c r="BM66" s="1023"/>
      <c r="BN66" s="1145"/>
      <c r="BO66" s="1149" t="str">
        <f ca="1">IF(IFERROR(INDEX(Административные!$K$26:$L$84,MATCH($F66&amp;"3komm",Административные!$K$26:$K$84,0),2),"")=0,"",IFERROR(INDEX(Административные!$K$26:$L$84,MATCH($F66&amp;"3komm",Административные!$K$26:$K$84,0),2),""))</f>
        <v/>
      </c>
      <c r="BP66" s="1145"/>
      <c r="BS66" s="971" t="s">
        <v>1188</v>
      </c>
    </row>
    <row r="67" spans="2:75" ht="14.65" hidden="1" customHeight="1" x14ac:dyDescent="0.25">
      <c r="C67" s="26"/>
      <c r="D67" s="26"/>
      <c r="E67" s="545">
        <v>15</v>
      </c>
      <c r="F67" s="3" cm="1">
        <f t="array" aca="1" ref="F67" ca="1">OFFSET(E67,-1,1)</f>
        <v>0</v>
      </c>
      <c r="G67" s="767" t="s">
        <v>1189</v>
      </c>
      <c r="H67" s="776"/>
      <c r="I67" s="776" t="s">
        <v>1965</v>
      </c>
      <c r="J67" s="26"/>
      <c r="K67" s="294" t="s">
        <v>1965</v>
      </c>
      <c r="L67" s="889" t="s">
        <v>949</v>
      </c>
      <c r="M67" s="26"/>
      <c r="N67" s="26"/>
      <c r="O67" s="26"/>
      <c r="P67" s="26"/>
      <c r="Q67" s="26"/>
      <c r="R67" s="26"/>
      <c r="S67" s="26"/>
      <c r="T67" s="388" t="b" cm="1">
        <f t="array" ref="T67">T66</f>
        <v>0</v>
      </c>
      <c r="U67" s="26"/>
      <c r="V67" s="26"/>
      <c r="W67" s="26"/>
      <c r="X67" s="2066"/>
      <c r="Z67" s="2012"/>
      <c r="AB67" s="218" t="s">
        <v>1966</v>
      </c>
      <c r="AC67" s="685" t="s">
        <v>1967</v>
      </c>
      <c r="AD67" s="218" t="s">
        <v>831</v>
      </c>
      <c r="AE67" s="1022">
        <f ca="1">SUMIFS(Административные!AE$25:AE$84,Административные!$F$25:$F$84,$F67,Административные!$G$25:$G$84,$G67)</f>
        <v>0</v>
      </c>
      <c r="AF67" s="1022">
        <f ca="1">SUMIFS(Административные!AF$25:AF$84,Административные!$F$25:$F$84,$F67,Административные!$G$25:$G$84,$G67)</f>
        <v>0</v>
      </c>
      <c r="AG67" s="1022">
        <f ca="1">SUMIFS(Административные!AG$25:AG$84,Административные!$F$25:$F$84,$F67,Административные!$G$25:$G$84,$G67)</f>
        <v>0</v>
      </c>
      <c r="AH67" s="1022">
        <f t="shared" ca="1" si="7"/>
        <v>0</v>
      </c>
      <c r="AI67" s="1022">
        <f ca="1">SUMIFS(Административные!AH$25:AH$84,Административные!$F$25:$F$84,$F67,Административные!$G$25:$G$84,$G67)</f>
        <v>0</v>
      </c>
      <c r="AJ67" s="1022">
        <f ca="1">SUMIFS(Административные!AI$25:AI$84,Административные!$F$25:$F$84,$F67,Административные!$G$25:$G$84,$G67)</f>
        <v>0</v>
      </c>
      <c r="AK67" s="1023"/>
      <c r="AL67" s="1023"/>
      <c r="AM67" s="1023"/>
      <c r="AN67" s="1023"/>
      <c r="AO67" s="1023"/>
      <c r="AP67" s="1023"/>
      <c r="AQ67" s="1023"/>
      <c r="AR67" s="1023"/>
      <c r="AS67" s="1023"/>
      <c r="AT67" s="1022">
        <f ca="1">SUMIFS(Административные!AJ$25:AJ$84,Административные!$F$25:$F$84,$F67,Административные!$G$25:$G$84,$G67)</f>
        <v>0</v>
      </c>
      <c r="AU67" s="1023"/>
      <c r="AV67" s="1023"/>
      <c r="AW67" s="1023"/>
      <c r="AX67" s="1023"/>
      <c r="AY67" s="1023"/>
      <c r="AZ67" s="1023"/>
      <c r="BA67" s="1023"/>
      <c r="BB67" s="1023"/>
      <c r="BC67" s="1023"/>
      <c r="BD67" s="1022">
        <f t="shared" ca="1" si="8"/>
        <v>0</v>
      </c>
      <c r="BE67" s="1023"/>
      <c r="BF67" s="1023"/>
      <c r="BG67" s="1023"/>
      <c r="BH67" s="1023"/>
      <c r="BI67" s="1023"/>
      <c r="BJ67" s="1023"/>
      <c r="BK67" s="1023"/>
      <c r="BL67" s="1023"/>
      <c r="BM67" s="1023"/>
      <c r="BN67" s="1145"/>
      <c r="BO67" s="1149" t="str">
        <f ca="1">IF(IFERROR(INDEX(Административные!$K$26:$L$84,MATCH($F67&amp;"4komm",Административные!$K$26:$K$84,0),2),"")=0,"",IFERROR(INDEX(Административные!$K$26:$L$84,MATCH($F67&amp;"4komm",Административные!$K$26:$K$84,0),2),""))</f>
        <v/>
      </c>
      <c r="BP67" s="1145"/>
      <c r="BS67" s="971" t="s">
        <v>1191</v>
      </c>
    </row>
    <row r="68" spans="2:75" ht="14.65" hidden="1" customHeight="1" x14ac:dyDescent="0.25">
      <c r="C68" s="26"/>
      <c r="D68" s="26"/>
      <c r="E68" s="545">
        <v>15</v>
      </c>
      <c r="F68" s="3" cm="1">
        <f t="array" aca="1" ref="F68" ca="1">OFFSET(E68,-1,1)</f>
        <v>0</v>
      </c>
      <c r="G68" s="767" t="s">
        <v>1192</v>
      </c>
      <c r="H68" s="776"/>
      <c r="I68" s="776" t="s">
        <v>1968</v>
      </c>
      <c r="J68" s="26"/>
      <c r="K68" s="294" t="s">
        <v>1968</v>
      </c>
      <c r="L68" s="889" t="s">
        <v>1174</v>
      </c>
      <c r="M68" s="26"/>
      <c r="N68" s="26"/>
      <c r="O68" s="26"/>
      <c r="P68" s="26"/>
      <c r="Q68" s="26"/>
      <c r="R68" s="26"/>
      <c r="S68" s="26"/>
      <c r="T68" s="388" t="b" cm="1">
        <f t="array" ref="T68">T67</f>
        <v>0</v>
      </c>
      <c r="U68" s="26"/>
      <c r="V68" s="26"/>
      <c r="W68" s="26"/>
      <c r="X68" s="2066"/>
      <c r="Z68" s="2012"/>
      <c r="AB68" s="218" t="s">
        <v>1969</v>
      </c>
      <c r="AC68" s="685" t="s">
        <v>1970</v>
      </c>
      <c r="AD68" s="218" t="s">
        <v>831</v>
      </c>
      <c r="AE68" s="1022">
        <f ca="1">SUMIFS(Административные!AE$25:AE$84,Административные!$F$25:$F$84,$F68,Административные!$G$25:$G$84,$G68)</f>
        <v>0</v>
      </c>
      <c r="AF68" s="1022">
        <f ca="1">SUMIFS(Административные!AF$25:AF$84,Административные!$F$25:$F$84,$F68,Административные!$G$25:$G$84,$G68)</f>
        <v>0</v>
      </c>
      <c r="AG68" s="1022">
        <f ca="1">SUMIFS(Административные!AG$25:AG$84,Административные!$F$25:$F$84,$F68,Административные!$G$25:$G$84,$G68)</f>
        <v>0</v>
      </c>
      <c r="AH68" s="1022">
        <f t="shared" ca="1" si="7"/>
        <v>0</v>
      </c>
      <c r="AI68" s="1022">
        <f ca="1">SUMIFS(Административные!AH$25:AH$84,Административные!$F$25:$F$84,$F68,Административные!$G$25:$G$84,$G68)</f>
        <v>0</v>
      </c>
      <c r="AJ68" s="1022">
        <f ca="1">SUMIFS(Административные!AI$25:AI$84,Административные!$F$25:$F$84,$F68,Административные!$G$25:$G$84,$G68)</f>
        <v>0</v>
      </c>
      <c r="AK68" s="1023"/>
      <c r="AL68" s="1023"/>
      <c r="AM68" s="1023"/>
      <c r="AN68" s="1023"/>
      <c r="AO68" s="1023"/>
      <c r="AP68" s="1023"/>
      <c r="AQ68" s="1023"/>
      <c r="AR68" s="1023"/>
      <c r="AS68" s="1023"/>
      <c r="AT68" s="1022">
        <f ca="1">SUMIFS(Административные!AJ$25:AJ$84,Административные!$F$25:$F$84,$F68,Административные!$G$25:$G$84,$G68)</f>
        <v>0</v>
      </c>
      <c r="AU68" s="1023"/>
      <c r="AV68" s="1023"/>
      <c r="AW68" s="1023"/>
      <c r="AX68" s="1023"/>
      <c r="AY68" s="1023"/>
      <c r="AZ68" s="1023"/>
      <c r="BA68" s="1023"/>
      <c r="BB68" s="1023"/>
      <c r="BC68" s="1023"/>
      <c r="BD68" s="1022">
        <f t="shared" ca="1" si="8"/>
        <v>0</v>
      </c>
      <c r="BE68" s="1023"/>
      <c r="BF68" s="1023"/>
      <c r="BG68" s="1023"/>
      <c r="BH68" s="1023"/>
      <c r="BI68" s="1023"/>
      <c r="BJ68" s="1023"/>
      <c r="BK68" s="1023"/>
      <c r="BL68" s="1023"/>
      <c r="BM68" s="1023"/>
      <c r="BN68" s="1145"/>
      <c r="BO68" s="1149" t="str">
        <f ca="1">IF(IFERROR(INDEX(Административные!$K$26:$L$84,MATCH($F68&amp;"5komm",Административные!$K$26:$K$84,0),2),"")=0,"",IFERROR(INDEX(Административные!$K$26:$L$84,MATCH($F68&amp;"5komm",Административные!$K$26:$K$84,0),2),""))</f>
        <v/>
      </c>
      <c r="BP68" s="1145"/>
      <c r="BS68" s="971" t="s">
        <v>1769</v>
      </c>
    </row>
    <row r="69" spans="2:75" ht="14.65" hidden="1" customHeight="1" x14ac:dyDescent="0.25">
      <c r="C69" s="26"/>
      <c r="D69" s="26"/>
      <c r="E69" s="545">
        <v>15</v>
      </c>
      <c r="F69" s="3" cm="1">
        <f t="array" aca="1" ref="F69" ca="1">OFFSET(E69,-1,1)</f>
        <v>0</v>
      </c>
      <c r="G69" s="767" t="s">
        <v>1195</v>
      </c>
      <c r="H69" s="776"/>
      <c r="I69" s="776" t="s">
        <v>1971</v>
      </c>
      <c r="J69" s="26"/>
      <c r="K69" s="294" t="s">
        <v>1971</v>
      </c>
      <c r="L69" s="889" t="s">
        <v>1179</v>
      </c>
      <c r="M69" s="26"/>
      <c r="N69" s="26"/>
      <c r="O69" s="26"/>
      <c r="P69" s="26"/>
      <c r="Q69" s="26"/>
      <c r="R69" s="26"/>
      <c r="S69" s="26"/>
      <c r="T69" s="388" t="b" cm="1">
        <f t="array" ref="T69">T68</f>
        <v>0</v>
      </c>
      <c r="U69" s="26"/>
      <c r="V69" s="26"/>
      <c r="W69" s="26"/>
      <c r="X69" s="2066"/>
      <c r="Z69" s="2012"/>
      <c r="AB69" s="218" t="s">
        <v>1972</v>
      </c>
      <c r="AC69" s="685" t="s">
        <v>1973</v>
      </c>
      <c r="AD69" s="218" t="s">
        <v>831</v>
      </c>
      <c r="AE69" s="1022">
        <f ca="1">SUMIFS(Административные!AE$25:AE$84,Административные!$F$25:$F$84,$F69,Административные!$G$25:$G$84,$G69)</f>
        <v>0</v>
      </c>
      <c r="AF69" s="1022">
        <f ca="1">SUMIFS(Административные!AF$25:AF$84,Административные!$F$25:$F$84,$F69,Административные!$G$25:$G$84,$G69)</f>
        <v>0</v>
      </c>
      <c r="AG69" s="1022">
        <f ca="1">SUMIFS(Административные!AG$25:AG$84,Административные!$F$25:$F$84,$F69,Административные!$G$25:$G$84,$G69)</f>
        <v>0</v>
      </c>
      <c r="AH69" s="1022">
        <f t="shared" ca="1" si="7"/>
        <v>0</v>
      </c>
      <c r="AI69" s="1022">
        <f ca="1">SUMIFS(Административные!AH$25:AH$84,Административные!$F$25:$F$84,$F69,Административные!$G$25:$G$84,$G69)</f>
        <v>0</v>
      </c>
      <c r="AJ69" s="1022">
        <f ca="1">SUMIFS(Административные!AI$25:AI$84,Административные!$F$25:$F$84,$F69,Административные!$G$25:$G$84,$G69)</f>
        <v>0</v>
      </c>
      <c r="AK69" s="1023"/>
      <c r="AL69" s="1023"/>
      <c r="AM69" s="1023"/>
      <c r="AN69" s="1023"/>
      <c r="AO69" s="1023"/>
      <c r="AP69" s="1023"/>
      <c r="AQ69" s="1023"/>
      <c r="AR69" s="1023"/>
      <c r="AS69" s="1023"/>
      <c r="AT69" s="1022">
        <f ca="1">SUMIFS(Административные!AJ$25:AJ$84,Административные!$F$25:$F$84,$F69,Административные!$G$25:$G$84,$G69)</f>
        <v>0</v>
      </c>
      <c r="AU69" s="1023"/>
      <c r="AV69" s="1023"/>
      <c r="AW69" s="1023"/>
      <c r="AX69" s="1023"/>
      <c r="AY69" s="1023"/>
      <c r="AZ69" s="1023"/>
      <c r="BA69" s="1023"/>
      <c r="BB69" s="1023"/>
      <c r="BC69" s="1023"/>
      <c r="BD69" s="1022">
        <f t="shared" ca="1" si="8"/>
        <v>0</v>
      </c>
      <c r="BE69" s="1023"/>
      <c r="BF69" s="1023"/>
      <c r="BG69" s="1023"/>
      <c r="BH69" s="1023"/>
      <c r="BI69" s="1023"/>
      <c r="BJ69" s="1023"/>
      <c r="BK69" s="1023"/>
      <c r="BL69" s="1023"/>
      <c r="BM69" s="1023"/>
      <c r="BN69" s="1145"/>
      <c r="BO69" s="1149" t="str">
        <f ca="1">IF(IFERROR(INDEX(Административные!$K$26:$L$84,MATCH($F69&amp;"6komm",Административные!$K$26:$K$84,0),2),"")=0,"",IFERROR(INDEX(Административные!$K$26:$L$84,MATCH($F69&amp;"6komm",Административные!$K$26:$K$84,0),2),""))</f>
        <v/>
      </c>
      <c r="BP69" s="1145"/>
      <c r="BS69" s="971" t="s">
        <v>1771</v>
      </c>
    </row>
    <row r="70" spans="2:75" ht="14.65" hidden="1" customHeight="1" x14ac:dyDescent="0.25">
      <c r="C70" s="26"/>
      <c r="D70" s="26"/>
      <c r="E70" s="545">
        <v>15</v>
      </c>
      <c r="F70" s="3" cm="1">
        <f t="array" aca="1" ref="F70" ca="1">OFFSET(E70,-1,1)</f>
        <v>0</v>
      </c>
      <c r="G70" s="767" t="s">
        <v>1197</v>
      </c>
      <c r="H70" s="776"/>
      <c r="I70" s="776" t="s">
        <v>1974</v>
      </c>
      <c r="J70" s="26"/>
      <c r="K70" s="294" t="s">
        <v>1974</v>
      </c>
      <c r="L70" s="889" t="s">
        <v>1772</v>
      </c>
      <c r="M70" s="26"/>
      <c r="N70" s="26"/>
      <c r="O70" s="26"/>
      <c r="P70" s="26"/>
      <c r="Q70" s="26"/>
      <c r="R70" s="26"/>
      <c r="S70" s="26"/>
      <c r="T70" s="388" t="b" cm="1">
        <f t="array" ref="T70">T69</f>
        <v>0</v>
      </c>
      <c r="U70" s="26"/>
      <c r="V70" s="26"/>
      <c r="W70" s="26"/>
      <c r="X70" s="2066"/>
      <c r="Z70" s="2012"/>
      <c r="AB70" s="218" t="s">
        <v>1975</v>
      </c>
      <c r="AC70" s="688" t="s">
        <v>1774</v>
      </c>
      <c r="AD70" s="218" t="s">
        <v>831</v>
      </c>
      <c r="AE70" s="1022">
        <f ca="1">SUMIFS(Административные!AE$25:AE$84,Административные!$F$25:$F$84,$F70,Административные!$G$25:$G$84,$G70)</f>
        <v>0</v>
      </c>
      <c r="AF70" s="1022">
        <f ca="1">SUMIFS(Административные!AF$25:AF$84,Административные!$F$25:$F$84,$F70,Административные!$G$25:$G$84,$G70)</f>
        <v>0</v>
      </c>
      <c r="AG70" s="1022">
        <f ca="1">SUMIFS(Административные!AG$25:AG$84,Административные!$F$25:$F$84,$F70,Административные!$G$25:$G$84,$G70)</f>
        <v>0</v>
      </c>
      <c r="AH70" s="1022">
        <f t="shared" ca="1" si="7"/>
        <v>0</v>
      </c>
      <c r="AI70" s="1022">
        <f ca="1">SUMIFS(Административные!AH$25:AH$84,Административные!$F$25:$F$84,$F70,Административные!$G$25:$G$84,$G70)</f>
        <v>0</v>
      </c>
      <c r="AJ70" s="1022">
        <f ca="1">SUMIFS(Административные!AI$25:AI$84,Административные!$F$25:$F$84,$F70,Административные!$G$25:$G$84,$G70)</f>
        <v>0</v>
      </c>
      <c r="AK70" s="1023"/>
      <c r="AL70" s="1023"/>
      <c r="AM70" s="1023"/>
      <c r="AN70" s="1023"/>
      <c r="AO70" s="1023"/>
      <c r="AP70" s="1023"/>
      <c r="AQ70" s="1023"/>
      <c r="AR70" s="1023"/>
      <c r="AS70" s="1023"/>
      <c r="AT70" s="1022">
        <f ca="1">SUMIFS(Административные!AJ$25:AJ$84,Административные!$F$25:$F$84,$F70,Административные!$G$25:$G$84,$G70)</f>
        <v>0</v>
      </c>
      <c r="AU70" s="1023"/>
      <c r="AV70" s="1023"/>
      <c r="AW70" s="1023"/>
      <c r="AX70" s="1023"/>
      <c r="AY70" s="1023"/>
      <c r="AZ70" s="1023"/>
      <c r="BA70" s="1023"/>
      <c r="BB70" s="1023"/>
      <c r="BC70" s="1023"/>
      <c r="BD70" s="1022">
        <f t="shared" ca="1" si="8"/>
        <v>0</v>
      </c>
      <c r="BE70" s="1023"/>
      <c r="BF70" s="1023"/>
      <c r="BG70" s="1023"/>
      <c r="BH70" s="1023"/>
      <c r="BI70" s="1023"/>
      <c r="BJ70" s="1023"/>
      <c r="BK70" s="1023"/>
      <c r="BL70" s="1023"/>
      <c r="BM70" s="1023"/>
      <c r="BN70" s="1145"/>
      <c r="BO70" s="1149" t="str">
        <f ca="1">IF(IFERROR(INDEX(Административные!$K$26:$L$84,MATCH($F70&amp;"7komm",Административные!$K$26:$K$84,0),2),"")=0,"",IFERROR(INDEX(Административные!$K$26:$L$84,MATCH($F70&amp;"7komm",Административные!$K$26:$K$84,0),2),""))</f>
        <v/>
      </c>
      <c r="BP70" s="1145"/>
      <c r="BS70" s="971" t="s">
        <v>1775</v>
      </c>
    </row>
    <row r="71" spans="2:75" ht="14.65" hidden="1" customHeight="1" x14ac:dyDescent="0.25">
      <c r="C71" s="26"/>
      <c r="D71" s="26"/>
      <c r="E71" s="545">
        <v>15</v>
      </c>
      <c r="F71" s="3" cm="1">
        <f t="array" aca="1" ref="F71" ca="1">OFFSET(E71,-1,1)</f>
        <v>0</v>
      </c>
      <c r="G71" s="767" t="s">
        <v>1200</v>
      </c>
      <c r="H71" s="776"/>
      <c r="I71" s="776" t="s">
        <v>1976</v>
      </c>
      <c r="J71" s="26"/>
      <c r="K71" s="294" t="s">
        <v>1976</v>
      </c>
      <c r="L71" s="889" t="s">
        <v>1776</v>
      </c>
      <c r="M71" s="26"/>
      <c r="N71" s="26"/>
      <c r="O71" s="26"/>
      <c r="P71" s="26"/>
      <c r="Q71" s="26"/>
      <c r="R71" s="26"/>
      <c r="S71" s="26"/>
      <c r="T71" s="388" t="b" cm="1">
        <f t="array" ref="T71">T70</f>
        <v>0</v>
      </c>
      <c r="U71" s="26"/>
      <c r="V71" s="26"/>
      <c r="W71" s="26"/>
      <c r="X71" s="2066"/>
      <c r="Z71" s="2012"/>
      <c r="AB71" s="218" t="s">
        <v>1977</v>
      </c>
      <c r="AC71" s="688" t="s">
        <v>1201</v>
      </c>
      <c r="AD71" s="218" t="s">
        <v>831</v>
      </c>
      <c r="AE71" s="1022">
        <f ca="1">SUMIFS(Административные!AE$25:AE$84,Административные!$F$25:$F$84,$F71,Административные!$G$25:$G$84,$G71)</f>
        <v>0</v>
      </c>
      <c r="AF71" s="1022">
        <f ca="1">SUMIFS(Административные!AF$25:AF$84,Административные!$F$25:$F$84,$F71,Административные!$G$25:$G$84,$G71)</f>
        <v>0</v>
      </c>
      <c r="AG71" s="1022">
        <f ca="1">SUMIFS(Административные!AG$25:AG$84,Административные!$F$25:$F$84,$F71,Административные!$G$25:$G$84,$G71)</f>
        <v>0</v>
      </c>
      <c r="AH71" s="1022">
        <f t="shared" ca="1" si="7"/>
        <v>0</v>
      </c>
      <c r="AI71" s="1022">
        <f ca="1">SUMIFS(Административные!AH$25:AH$84,Административные!$F$25:$F$84,$F71,Административные!$G$25:$G$84,$G71)</f>
        <v>0</v>
      </c>
      <c r="AJ71" s="1022">
        <f ca="1">SUMIFS(Административные!AI$25:AI$84,Административные!$F$25:$F$84,$F71,Административные!$G$25:$G$84,$G71)</f>
        <v>0</v>
      </c>
      <c r="AK71" s="1023"/>
      <c r="AL71" s="1023"/>
      <c r="AM71" s="1023"/>
      <c r="AN71" s="1023"/>
      <c r="AO71" s="1023"/>
      <c r="AP71" s="1023"/>
      <c r="AQ71" s="1023"/>
      <c r="AR71" s="1023"/>
      <c r="AS71" s="1023"/>
      <c r="AT71" s="1022">
        <f ca="1">SUMIFS(Административные!AJ$25:AJ$84,Административные!$F$25:$F$84,$F71,Административные!$G$25:$G$84,$G71)</f>
        <v>0</v>
      </c>
      <c r="AU71" s="1023"/>
      <c r="AV71" s="1023"/>
      <c r="AW71" s="1023"/>
      <c r="AX71" s="1023"/>
      <c r="AY71" s="1023"/>
      <c r="AZ71" s="1023"/>
      <c r="BA71" s="1023"/>
      <c r="BB71" s="1023"/>
      <c r="BC71" s="1023"/>
      <c r="BD71" s="1022">
        <f t="shared" ca="1" si="8"/>
        <v>0</v>
      </c>
      <c r="BE71" s="1023"/>
      <c r="BF71" s="1023"/>
      <c r="BG71" s="1023"/>
      <c r="BH71" s="1023"/>
      <c r="BI71" s="1023"/>
      <c r="BJ71" s="1023"/>
      <c r="BK71" s="1023"/>
      <c r="BL71" s="1023"/>
      <c r="BM71" s="1023"/>
      <c r="BN71" s="1145"/>
      <c r="BO71" s="1149" t="str">
        <f ca="1">IF(IFERROR(INDEX(Административные!$K$26:$L$84,MATCH($F71&amp;"8komm",Административные!$K$26:$K$84,0),2),"")=0,"",IFERROR(INDEX(Административные!$K$26:$L$84,MATCH($F71&amp;"8komm",Административные!$K$26:$K$84,0),2),""))</f>
        <v/>
      </c>
      <c r="BP71" s="1145"/>
      <c r="BS71" s="971" t="s">
        <v>1778</v>
      </c>
    </row>
    <row r="72" spans="2:75" ht="14.65" hidden="1" customHeight="1" x14ac:dyDescent="0.25">
      <c r="C72" s="26"/>
      <c r="D72" s="26"/>
      <c r="E72" s="545">
        <v>15</v>
      </c>
      <c r="F72" s="3" cm="1">
        <f t="array" aca="1" ref="F72" ca="1">OFFSET(E72,-1,1)</f>
        <v>0</v>
      </c>
      <c r="G72" s="26" t="s">
        <v>1203</v>
      </c>
      <c r="H72" s="776"/>
      <c r="I72" s="776" t="s">
        <v>1978</v>
      </c>
      <c r="J72" s="26"/>
      <c r="K72" s="294" t="s">
        <v>1978</v>
      </c>
      <c r="L72" s="889" t="s">
        <v>1779</v>
      </c>
      <c r="M72" s="26"/>
      <c r="N72" s="26"/>
      <c r="O72" s="26"/>
      <c r="P72" s="26"/>
      <c r="Q72" s="26"/>
      <c r="R72" s="26"/>
      <c r="S72" s="26"/>
      <c r="T72" s="388" t="b" cm="1">
        <f t="array" ref="T72">T71</f>
        <v>0</v>
      </c>
      <c r="U72" s="26"/>
      <c r="V72" s="26"/>
      <c r="W72" s="26"/>
      <c r="X72" s="2066"/>
      <c r="Z72" s="2012"/>
      <c r="AB72" s="218" t="s">
        <v>1979</v>
      </c>
      <c r="AC72" s="688" t="s">
        <v>1204</v>
      </c>
      <c r="AD72" s="218" t="s">
        <v>831</v>
      </c>
      <c r="AE72" s="1022">
        <f ca="1">SUMIFS(Административные!AE$25:AE$84,Административные!$F$25:$F$84,$F72,Административные!$G$25:$G$84,$G72)</f>
        <v>0</v>
      </c>
      <c r="AF72" s="1022">
        <f ca="1">SUMIFS(Административные!AF$25:AF$84,Административные!$F$25:$F$84,$F72,Административные!$G$25:$G$84,$G72)</f>
        <v>0</v>
      </c>
      <c r="AG72" s="1022">
        <f ca="1">SUMIFS(Административные!AG$25:AG$84,Административные!$F$25:$F$84,$F72,Административные!$G$25:$G$84,$G72)</f>
        <v>0</v>
      </c>
      <c r="AH72" s="1022">
        <f t="shared" ca="1" si="7"/>
        <v>0</v>
      </c>
      <c r="AI72" s="1022">
        <f ca="1">SUMIFS(Административные!AH$25:AH$84,Административные!$F$25:$F$84,$F72,Административные!$G$25:$G$84,$G72)</f>
        <v>0</v>
      </c>
      <c r="AJ72" s="1024">
        <f ca="1">SUMIFS(Административные!AI$25:AI$84,Административные!$F$25:$F$84,$F72,Административные!$G$25:$G$84,$G72)</f>
        <v>0</v>
      </c>
      <c r="AK72" s="1023"/>
      <c r="AL72" s="1023"/>
      <c r="AM72" s="1023"/>
      <c r="AN72" s="1023"/>
      <c r="AO72" s="1023"/>
      <c r="AP72" s="1023"/>
      <c r="AQ72" s="1023"/>
      <c r="AR72" s="1023"/>
      <c r="AS72" s="1023"/>
      <c r="AT72" s="1024">
        <f ca="1">SUMIFS(Административные!AJ$25:AJ$84,Административные!$F$25:$F$84,$F72,Административные!$G$25:$G$84,$G72)</f>
        <v>0</v>
      </c>
      <c r="AU72" s="1023"/>
      <c r="AV72" s="1023"/>
      <c r="AW72" s="1023"/>
      <c r="AX72" s="1023"/>
      <c r="AY72" s="1023"/>
      <c r="AZ72" s="1023"/>
      <c r="BA72" s="1023"/>
      <c r="BB72" s="1023"/>
      <c r="BC72" s="1023"/>
      <c r="BD72" s="1022">
        <f t="shared" ca="1" si="8"/>
        <v>0</v>
      </c>
      <c r="BE72" s="1023"/>
      <c r="BF72" s="1023"/>
      <c r="BG72" s="1023"/>
      <c r="BH72" s="1023"/>
      <c r="BI72" s="1023"/>
      <c r="BJ72" s="1023"/>
      <c r="BK72" s="1023"/>
      <c r="BL72" s="1023"/>
      <c r="BM72" s="1023"/>
      <c r="BN72" s="1145"/>
      <c r="BO72" s="1149" t="str">
        <f ca="1">IF(IFERROR(INDEX(Административные!$K$26:$L$84,MATCH($F72&amp;"9komm",Административные!$K$26:$K$84,0),2),"")=0,"",IFERROR(INDEX(Административные!$K$26:$L$84,MATCH($F72&amp;"9komm",Административные!$K$26:$K$84,0),2),""))</f>
        <v/>
      </c>
      <c r="BP72" s="1145"/>
      <c r="BS72" s="971" t="s">
        <v>1781</v>
      </c>
    </row>
    <row r="73" spans="2:75" ht="21.95" hidden="1" customHeight="1" x14ac:dyDescent="0.25">
      <c r="B73" s="354" t="b">
        <f>STATUS_GO="да"</f>
        <v>1</v>
      </c>
      <c r="C73" s="26"/>
      <c r="D73" s="26"/>
      <c r="E73" s="545">
        <v>22.5</v>
      </c>
      <c r="F73" s="3" cm="1">
        <f t="array" aca="1" ref="F73" ca="1">OFFSET(E73,-1,1)</f>
        <v>0</v>
      </c>
      <c r="G73" s="26"/>
      <c r="H73" s="776"/>
      <c r="I73" s="776" t="s">
        <v>922</v>
      </c>
      <c r="J73" s="26"/>
      <c r="K73" s="294" t="s">
        <v>922</v>
      </c>
      <c r="L73" s="889" t="s">
        <v>335</v>
      </c>
      <c r="M73" s="26"/>
      <c r="N73" s="26"/>
      <c r="O73" s="26"/>
      <c r="P73" s="26"/>
      <c r="Q73" s="26"/>
      <c r="R73" s="26"/>
      <c r="S73" s="26"/>
      <c r="T73" s="388" t="b" cm="1">
        <f t="array" ref="T73">T72</f>
        <v>0</v>
      </c>
      <c r="U73" s="26"/>
      <c r="V73" s="26"/>
      <c r="W73" s="26"/>
      <c r="X73" s="2066"/>
      <c r="Z73" s="2012"/>
      <c r="AB73" s="218" t="s">
        <v>923</v>
      </c>
      <c r="AC73" s="682" t="s">
        <v>1980</v>
      </c>
      <c r="AD73" s="218" t="s">
        <v>831</v>
      </c>
      <c r="AE73" s="1022">
        <f ca="1">SUMIFS('Сбытовые расходы ГО'!AE$25:AE$65,'Сбытовые расходы ГО'!$F$25:$F$65,$F73,'Сбытовые расходы ГО'!$G$25:$G$65,"L0")-SUMIFS('Сбытовые расходы ГО'!AE$25:AE$65,'Сбытовые расходы ГО'!$F$25:$F$65,$F73,'Сбытовые расходы ГО'!$G$25:$G$65,"L1")</f>
        <v>0</v>
      </c>
      <c r="AF73" s="1022">
        <f ca="1">SUMIFS('Сбытовые расходы ГО'!AF$25:AF$65,'Сбытовые расходы ГО'!$F$25:$F$65,$F73,'Сбытовые расходы ГО'!$G$25:$G$65,"L0")-SUMIFS('Сбытовые расходы ГО'!AF$25:AF$65,'Сбытовые расходы ГО'!$F$25:$F$65,$F73,'Сбытовые расходы ГО'!$G$25:$G$65,"L1")</f>
        <v>0</v>
      </c>
      <c r="AG73" s="1022">
        <f ca="1">SUMIFS('Сбытовые расходы ГО'!AG$25:AG$65,'Сбытовые расходы ГО'!$F$25:$F$65,$F73,'Сбытовые расходы ГО'!$G$25:$G$65,"L0")-SUMIFS('Сбытовые расходы ГО'!AG$25:AG$65,'Сбытовые расходы ГО'!$F$25:$F$65,$F73,'Сбытовые расходы ГО'!$G$25:$G$65,"L1")</f>
        <v>0</v>
      </c>
      <c r="AH73" s="1022">
        <f t="shared" ca="1" si="7"/>
        <v>0</v>
      </c>
      <c r="AI73" s="1022">
        <f ca="1">SUMIFS('Сбытовые расходы ГО'!AH$25:AH$65,'Сбытовые расходы ГО'!$F$25:$F$65,$F73,'Сбытовые расходы ГО'!$G$25:$G$65,"L0")-SUMIFS('Сбытовые расходы ГО'!AH$25:AH$65,'Сбытовые расходы ГО'!$F$25:$F$65,$F73,'Сбытовые расходы ГО'!$G$25:$G$65,"L1")</f>
        <v>0</v>
      </c>
      <c r="AJ73" s="1022">
        <f ca="1">SUMIFS('Сбытовые расходы ГО'!AI$25:AI$65,'Сбытовые расходы ГО'!$F$25:$F$65,$F73,'Сбытовые расходы ГО'!$G$25:$G$65,"L0")-SUMIFS('Сбытовые расходы ГО'!AI$25:AI$65,'Сбытовые расходы ГО'!$F$25:$F$65,$F73,'Сбытовые расходы ГО'!$G$25:$G$65,"L1")</f>
        <v>0</v>
      </c>
      <c r="AK73" s="1023"/>
      <c r="AL73" s="1023"/>
      <c r="AM73" s="1023"/>
      <c r="AN73" s="1023"/>
      <c r="AO73" s="1023"/>
      <c r="AP73" s="1023"/>
      <c r="AQ73" s="1023"/>
      <c r="AR73" s="1023"/>
      <c r="AS73" s="1023"/>
      <c r="AT73" s="1022">
        <f ca="1">SUMIFS('Сбытовые расходы ГО'!AJ$25:AJ$65,'Сбытовые расходы ГО'!$F$25:$F$65,$F73,'Сбытовые расходы ГО'!$G$25:$G$65,"L0")-SUMIFS('Сбытовые расходы ГО'!AJ$25:AJ$65,'Сбытовые расходы ГО'!$F$25:$F$65,$F73,'Сбытовые расходы ГО'!$G$25:$G$65,"L1")</f>
        <v>0</v>
      </c>
      <c r="AU73" s="1023"/>
      <c r="AV73" s="1023"/>
      <c r="AW73" s="1023"/>
      <c r="AX73" s="1023"/>
      <c r="AY73" s="1023"/>
      <c r="AZ73" s="1023"/>
      <c r="BA73" s="1023"/>
      <c r="BB73" s="1023"/>
      <c r="BC73" s="1023"/>
      <c r="BD73" s="1022">
        <f t="shared" ca="1" si="8"/>
        <v>0</v>
      </c>
      <c r="BE73" s="1023"/>
      <c r="BF73" s="1023"/>
      <c r="BG73" s="1023"/>
      <c r="BH73" s="1023"/>
      <c r="BI73" s="1023"/>
      <c r="BJ73" s="1023"/>
      <c r="BK73" s="1023"/>
      <c r="BL73" s="1023"/>
      <c r="BM73" s="1023"/>
      <c r="BN73" s="1145"/>
      <c r="BO73" s="1145"/>
      <c r="BP73" s="1145"/>
      <c r="BS73" s="972" t="s">
        <v>1783</v>
      </c>
    </row>
    <row r="74" spans="2:75" ht="14.65" hidden="1" customHeight="1" x14ac:dyDescent="0.15">
      <c r="C74" s="26"/>
      <c r="D74" s="26"/>
      <c r="E74" s="545">
        <v>15</v>
      </c>
      <c r="F74" s="3" cm="1">
        <f t="array" aca="1" ref="F74" ca="1">OFFSET(E74,-1,1)</f>
        <v>0</v>
      </c>
      <c r="G74" s="26"/>
      <c r="H74" s="776"/>
      <c r="I74" s="776" t="s">
        <v>1721</v>
      </c>
      <c r="J74" s="26"/>
      <c r="K74" s="294" t="s">
        <v>1721</v>
      </c>
      <c r="L74" s="889"/>
      <c r="M74" s="26"/>
      <c r="N74" s="26"/>
      <c r="O74" s="26"/>
      <c r="P74" s="26"/>
      <c r="Q74" s="26"/>
      <c r="R74" s="26"/>
      <c r="S74" s="26"/>
      <c r="T74" s="388" t="b" cm="1">
        <f t="array" ref="T74">T73</f>
        <v>0</v>
      </c>
      <c r="U74" s="26"/>
      <c r="V74" s="26"/>
      <c r="W74" s="26"/>
      <c r="X74" s="2066"/>
      <c r="Z74" s="2012"/>
      <c r="AB74" s="218" t="s">
        <v>1722</v>
      </c>
      <c r="AC74" s="682" t="s">
        <v>1981</v>
      </c>
      <c r="AD74" s="218" t="s">
        <v>831</v>
      </c>
      <c r="AE74" s="1148"/>
      <c r="AF74" s="1148"/>
      <c r="AG74" s="1148"/>
      <c r="AH74" s="1022">
        <f t="shared" si="7"/>
        <v>0</v>
      </c>
      <c r="AI74" s="1148"/>
      <c r="AJ74" s="1514"/>
      <c r="AK74" s="1023"/>
      <c r="AL74" s="1023"/>
      <c r="AM74" s="1023"/>
      <c r="AN74" s="1023"/>
      <c r="AO74" s="1023"/>
      <c r="AP74" s="1023"/>
      <c r="AQ74" s="1023"/>
      <c r="AR74" s="1023"/>
      <c r="AS74" s="1023"/>
      <c r="AT74" s="1514"/>
      <c r="AU74" s="1023"/>
      <c r="AV74" s="1023"/>
      <c r="AW74" s="1023"/>
      <c r="AX74" s="1023"/>
      <c r="AY74" s="1023"/>
      <c r="AZ74" s="1023"/>
      <c r="BA74" s="1023"/>
      <c r="BB74" s="1023"/>
      <c r="BC74" s="1023"/>
      <c r="BD74" s="1022">
        <f t="shared" si="8"/>
        <v>0</v>
      </c>
      <c r="BE74" s="1023"/>
      <c r="BF74" s="1023"/>
      <c r="BG74" s="1023"/>
      <c r="BH74" s="1023"/>
      <c r="BI74" s="1023"/>
      <c r="BJ74" s="1023"/>
      <c r="BK74" s="1023"/>
      <c r="BL74" s="1023"/>
      <c r="BM74" s="1023"/>
      <c r="BN74" s="1145"/>
      <c r="BO74" s="1145"/>
      <c r="BP74" s="1145"/>
      <c r="BS74" s="973" t="s">
        <v>1982</v>
      </c>
    </row>
    <row r="75" spans="2:75" s="623" customFormat="1" ht="20.45" hidden="1" customHeight="1" x14ac:dyDescent="0.15">
      <c r="B75" s="357"/>
      <c r="C75" s="28"/>
      <c r="D75" s="28"/>
      <c r="E75" s="745">
        <v>21</v>
      </c>
      <c r="F75" s="3" cm="1">
        <f t="array" aca="1" ref="F75" ca="1">OFFSET(E75,-1,1)</f>
        <v>0</v>
      </c>
      <c r="G75" s="28"/>
      <c r="H75" s="776"/>
      <c r="I75" s="776" t="s">
        <v>1725</v>
      </c>
      <c r="J75" s="28"/>
      <c r="K75" s="294" t="s">
        <v>1725</v>
      </c>
      <c r="L75" s="894"/>
      <c r="M75" s="28"/>
      <c r="N75" s="28"/>
      <c r="O75" s="28"/>
      <c r="P75" s="28"/>
      <c r="Q75" s="28"/>
      <c r="R75" s="28"/>
      <c r="S75" s="28"/>
      <c r="T75" s="388" t="b">
        <f ca="1">AND(F75&gt;0,method_reg="Метод индексации")</f>
        <v>0</v>
      </c>
      <c r="U75" s="28"/>
      <c r="V75" s="28"/>
      <c r="W75" s="28"/>
      <c r="X75" s="2066"/>
      <c r="Z75" s="2012"/>
      <c r="AB75" s="130" t="s">
        <v>1726</v>
      </c>
      <c r="AC75" s="277" t="s">
        <v>1983</v>
      </c>
      <c r="AD75" s="130" t="s">
        <v>831</v>
      </c>
      <c r="AE75" s="132">
        <f>SUM(AE76:AE77)</f>
        <v>0</v>
      </c>
      <c r="AF75" s="132">
        <f>SUM(AF76:AF77)</f>
        <v>0</v>
      </c>
      <c r="AG75" s="132">
        <f>SUM(AG76:AG77)</f>
        <v>0</v>
      </c>
      <c r="AH75" s="698">
        <f t="shared" si="7"/>
        <v>0</v>
      </c>
      <c r="AI75" s="132">
        <f>SUM(AI76:AI77)</f>
        <v>0</v>
      </c>
      <c r="AJ75" s="132">
        <f>SUM(AJ76:AJ77)</f>
        <v>0</v>
      </c>
      <c r="AK75" s="135"/>
      <c r="AL75" s="135"/>
      <c r="AM75" s="135"/>
      <c r="AN75" s="135"/>
      <c r="AO75" s="135"/>
      <c r="AP75" s="135"/>
      <c r="AQ75" s="135"/>
      <c r="AR75" s="135"/>
      <c r="AS75" s="135"/>
      <c r="AT75" s="132">
        <f>SUM(AT76:AT77)</f>
        <v>0</v>
      </c>
      <c r="AU75" s="135"/>
      <c r="AV75" s="135"/>
      <c r="AW75" s="135"/>
      <c r="AX75" s="135"/>
      <c r="AY75" s="135"/>
      <c r="AZ75" s="135"/>
      <c r="BA75" s="135"/>
      <c r="BB75" s="135"/>
      <c r="BC75" s="135"/>
      <c r="BD75" s="698">
        <f t="shared" si="8"/>
        <v>0</v>
      </c>
      <c r="BE75" s="135"/>
      <c r="BF75" s="135"/>
      <c r="BG75" s="135"/>
      <c r="BH75" s="135"/>
      <c r="BI75" s="135"/>
      <c r="BJ75" s="135"/>
      <c r="BK75" s="135"/>
      <c r="BL75" s="135"/>
      <c r="BM75" s="135"/>
      <c r="BN75" s="1147"/>
      <c r="BO75" s="1147"/>
      <c r="BP75" s="1147"/>
      <c r="BS75" s="979" t="s">
        <v>1984</v>
      </c>
      <c r="BT75" s="979"/>
      <c r="BU75" s="979"/>
      <c r="BV75" s="630"/>
      <c r="BW75" s="630"/>
    </row>
    <row r="76" spans="2:75" ht="14.65" hidden="1" customHeight="1" x14ac:dyDescent="0.15">
      <c r="B76" s="354" t="b">
        <f>method_reg="Метод индексации"</f>
        <v>1</v>
      </c>
      <c r="C76" s="26"/>
      <c r="D76" s="26"/>
      <c r="E76" s="545">
        <v>15</v>
      </c>
      <c r="F76" s="3" cm="1">
        <f t="array" aca="1" ref="F76" ca="1">OFFSET(E76,-1,1)</f>
        <v>0</v>
      </c>
      <c r="G76" s="26"/>
      <c r="H76" s="26"/>
      <c r="I76" s="776" t="s">
        <v>1725</v>
      </c>
      <c r="J76" s="26" cm="1">
        <f t="array" ref="J76">AC76</f>
        <v>0</v>
      </c>
      <c r="K76" s="294" t="s">
        <v>1725</v>
      </c>
      <c r="L76" s="889"/>
      <c r="M76" s="26"/>
      <c r="N76" s="26"/>
      <c r="O76" s="26"/>
      <c r="P76" s="26"/>
      <c r="Q76" s="26"/>
      <c r="R76" s="26"/>
      <c r="S76" s="26"/>
      <c r="T76" s="388" t="b">
        <f ca="1">AND(F76&gt;0,Y76&gt;0)</f>
        <v>0</v>
      </c>
      <c r="U76" s="26"/>
      <c r="V76" s="26"/>
      <c r="W76" s="26" t="s">
        <v>172</v>
      </c>
      <c r="X76" s="2066"/>
      <c r="Y76" s="77">
        <v>0</v>
      </c>
      <c r="Z76" s="2012"/>
      <c r="AA76" s="342" t="s">
        <v>173</v>
      </c>
      <c r="AB76" s="218" t="str">
        <f>"1.7."&amp;Y76</f>
        <v>1.7.0</v>
      </c>
      <c r="AC76" s="1150"/>
      <c r="AD76" s="218" t="s">
        <v>831</v>
      </c>
      <c r="AE76" s="1148"/>
      <c r="AF76" s="1148"/>
      <c r="AG76" s="1148"/>
      <c r="AH76" s="1022">
        <f t="shared" si="7"/>
        <v>0</v>
      </c>
      <c r="AI76" s="1148"/>
      <c r="AJ76" s="1514"/>
      <c r="AK76" s="1023"/>
      <c r="AL76" s="1023"/>
      <c r="AM76" s="1023"/>
      <c r="AN76" s="1023"/>
      <c r="AO76" s="1023"/>
      <c r="AP76" s="1023"/>
      <c r="AQ76" s="1023"/>
      <c r="AR76" s="1023"/>
      <c r="AS76" s="1023"/>
      <c r="AT76" s="1514"/>
      <c r="AU76" s="1023"/>
      <c r="AV76" s="1023"/>
      <c r="AW76" s="1023"/>
      <c r="AX76" s="1023"/>
      <c r="AY76" s="1023"/>
      <c r="AZ76" s="1023"/>
      <c r="BA76" s="1023"/>
      <c r="BB76" s="1023"/>
      <c r="BC76" s="1023"/>
      <c r="BD76" s="1022">
        <f t="shared" si="8"/>
        <v>0</v>
      </c>
      <c r="BE76" s="1023"/>
      <c r="BF76" s="1023"/>
      <c r="BG76" s="1023"/>
      <c r="BH76" s="1023"/>
      <c r="BI76" s="1023"/>
      <c r="BJ76" s="1023"/>
      <c r="BK76" s="1023"/>
      <c r="BL76" s="1023"/>
      <c r="BM76" s="1023"/>
      <c r="BN76" s="1145"/>
      <c r="BO76" s="1145"/>
      <c r="BP76" s="1145"/>
      <c r="BS76" s="973" t="s">
        <v>1984</v>
      </c>
      <c r="BT76" s="973" t="s">
        <v>1985</v>
      </c>
      <c r="BU76" s="973" cm="1">
        <f t="array" ref="BU76">AC76</f>
        <v>0</v>
      </c>
      <c r="BW76" s="626" t="b">
        <v>1</v>
      </c>
    </row>
    <row r="77" spans="2:75" ht="14.65" hidden="1" customHeight="1" x14ac:dyDescent="0.15">
      <c r="B77" s="354" t="b" cm="1">
        <f t="array" ref="B77">B76</f>
        <v>1</v>
      </c>
      <c r="C77" s="26"/>
      <c r="D77" s="26"/>
      <c r="E77" s="545">
        <v>15</v>
      </c>
      <c r="F77" s="3" cm="1">
        <f t="array" aca="1" ref="F77" ca="1">OFFSET(E77,-1,1)</f>
        <v>0</v>
      </c>
      <c r="G77" s="403"/>
      <c r="H77" s="26"/>
      <c r="I77" s="26"/>
      <c r="J77" s="26" t="s">
        <v>1986</v>
      </c>
      <c r="L77" s="889"/>
      <c r="M77" s="26"/>
      <c r="N77" s="26"/>
      <c r="O77" s="26"/>
      <c r="P77" s="26"/>
      <c r="Q77" s="26"/>
      <c r="R77" s="26"/>
      <c r="S77" s="26"/>
      <c r="T77" s="388" t="b">
        <f ca="1">F77&gt;0</f>
        <v>0</v>
      </c>
      <c r="U77" s="26"/>
      <c r="V77" s="26"/>
      <c r="W77" s="748" t="s">
        <v>396</v>
      </c>
      <c r="X77" s="2066"/>
      <c r="Z77" s="2012"/>
      <c r="AB77" s="792"/>
      <c r="AC77" s="178" t="s">
        <v>176</v>
      </c>
      <c r="AD77" s="696"/>
      <c r="AE77" s="696"/>
      <c r="AF77" s="696"/>
      <c r="AG77" s="696"/>
      <c r="AH77" s="696"/>
      <c r="AI77" s="696"/>
      <c r="AJ77" s="696"/>
      <c r="AK77" s="696"/>
      <c r="AL77" s="696"/>
      <c r="AM77" s="696"/>
      <c r="AN77" s="696"/>
      <c r="AO77" s="696"/>
      <c r="AP77" s="696"/>
      <c r="AQ77" s="696"/>
      <c r="AR77" s="696"/>
      <c r="AS77" s="696"/>
      <c r="AT77" s="696"/>
      <c r="AU77" s="696"/>
      <c r="AV77" s="696"/>
      <c r="AW77" s="696"/>
      <c r="AX77" s="696"/>
      <c r="AY77" s="696"/>
      <c r="AZ77" s="696"/>
      <c r="BA77" s="696"/>
      <c r="BB77" s="696"/>
      <c r="BC77" s="696"/>
      <c r="BD77" s="696"/>
      <c r="BE77" s="696"/>
      <c r="BF77" s="696"/>
      <c r="BG77" s="696"/>
      <c r="BH77" s="696"/>
      <c r="BI77" s="696"/>
      <c r="BJ77" s="696"/>
      <c r="BK77" s="696"/>
      <c r="BL77" s="696"/>
      <c r="BM77" s="696"/>
      <c r="BN77" s="696"/>
      <c r="BO77" s="696"/>
      <c r="BP77" s="697"/>
      <c r="BV77" s="626" t="s">
        <v>1985</v>
      </c>
    </row>
    <row r="78" spans="2:75" s="623" customFormat="1" ht="20.45" hidden="1" customHeight="1" x14ac:dyDescent="0.15">
      <c r="B78" s="357"/>
      <c r="C78" s="28"/>
      <c r="D78" s="28"/>
      <c r="E78" s="745">
        <v>21</v>
      </c>
      <c r="F78" s="3" cm="1">
        <f t="array" aca="1" ref="F78" ca="1">OFFSET(E78,-1,1)</f>
        <v>0</v>
      </c>
      <c r="G78" s="28"/>
      <c r="H78" s="26"/>
      <c r="I78" s="26" t="s">
        <v>332</v>
      </c>
      <c r="J78" s="28"/>
      <c r="K78" s="77" t="s">
        <v>332</v>
      </c>
      <c r="L78" s="894"/>
      <c r="M78" s="28"/>
      <c r="N78" s="28"/>
      <c r="O78" s="28"/>
      <c r="P78" s="28"/>
      <c r="Q78" s="28"/>
      <c r="R78" s="28"/>
      <c r="S78" s="28"/>
      <c r="T78" s="388" t="b">
        <f ca="1">F78&gt;0</f>
        <v>0</v>
      </c>
      <c r="U78" s="28"/>
      <c r="V78" s="28"/>
      <c r="W78" s="28"/>
      <c r="X78" s="2066"/>
      <c r="Z78" s="2012"/>
      <c r="AB78" s="153" t="s">
        <v>289</v>
      </c>
      <c r="AC78" s="131" t="s">
        <v>1987</v>
      </c>
      <c r="AD78" s="153" t="s">
        <v>831</v>
      </c>
      <c r="AE78" s="132">
        <f ca="1">AE79+AE91+AE92++AE103+AE104+AE105+AE107+AE108+AE109+AE110+AE113</f>
        <v>0</v>
      </c>
      <c r="AF78" s="132">
        <f ca="1">AF79+AF91+AF92++AF103+AF104+AF105+AF107+AF108+AF109+AF110+AF113</f>
        <v>0</v>
      </c>
      <c r="AG78" s="132">
        <f ca="1">AG79+AG91+AG92++AG103+AG104+AG105+AG107+AG108+AG109+AG110+AG113</f>
        <v>0</v>
      </c>
      <c r="AH78" s="698">
        <f t="shared" ref="AH78:AH123" ca="1" si="9">AG78-AF78</f>
        <v>0</v>
      </c>
      <c r="AI78" s="132">
        <f t="shared" ref="AI78:BC78" ca="1" si="10">AI79+AI91+AI92++AI103+AI104+AI105+AI107+AI108+AI109+AI110+AI113</f>
        <v>0</v>
      </c>
      <c r="AJ78" s="132">
        <f t="shared" ca="1" si="10"/>
        <v>0</v>
      </c>
      <c r="AK78" s="132">
        <f t="shared" ca="1" si="10"/>
        <v>0</v>
      </c>
      <c r="AL78" s="132">
        <f t="shared" ca="1" si="10"/>
        <v>0</v>
      </c>
      <c r="AM78" s="132">
        <f t="shared" ca="1" si="10"/>
        <v>0</v>
      </c>
      <c r="AN78" s="132">
        <f t="shared" ca="1" si="10"/>
        <v>0</v>
      </c>
      <c r="AO78" s="132">
        <f t="shared" ca="1" si="10"/>
        <v>0</v>
      </c>
      <c r="AP78" s="132">
        <f t="shared" ca="1" si="10"/>
        <v>0</v>
      </c>
      <c r="AQ78" s="132">
        <f t="shared" ca="1" si="10"/>
        <v>0</v>
      </c>
      <c r="AR78" s="132">
        <f t="shared" ca="1" si="10"/>
        <v>0</v>
      </c>
      <c r="AS78" s="132">
        <f t="shared" ca="1" si="10"/>
        <v>0</v>
      </c>
      <c r="AT78" s="132">
        <f t="shared" ca="1" si="10"/>
        <v>0</v>
      </c>
      <c r="AU78" s="132">
        <f t="shared" ca="1" si="10"/>
        <v>0</v>
      </c>
      <c r="AV78" s="132">
        <f t="shared" ca="1" si="10"/>
        <v>0</v>
      </c>
      <c r="AW78" s="132">
        <f t="shared" ca="1" si="10"/>
        <v>0</v>
      </c>
      <c r="AX78" s="132">
        <f t="shared" ca="1" si="10"/>
        <v>0</v>
      </c>
      <c r="AY78" s="132">
        <f t="shared" ca="1" si="10"/>
        <v>0</v>
      </c>
      <c r="AZ78" s="132">
        <f t="shared" ca="1" si="10"/>
        <v>0</v>
      </c>
      <c r="BA78" s="132">
        <f t="shared" ca="1" si="10"/>
        <v>0</v>
      </c>
      <c r="BB78" s="132">
        <f t="shared" ca="1" si="10"/>
        <v>0</v>
      </c>
      <c r="BC78" s="132">
        <f t="shared" ca="1" si="10"/>
        <v>0</v>
      </c>
      <c r="BD78" s="698">
        <f t="shared" ref="BD78:BD123" ca="1" si="11">IF(AI78=0,0,(AT78-AI78)/AI78*100)</f>
        <v>0</v>
      </c>
      <c r="BE78" s="698">
        <f t="shared" ref="BE78:BE123" ca="1" si="12">IF(AT78=0,0,(AU78-AT78)/AT78*100)</f>
        <v>0</v>
      </c>
      <c r="BF78" s="698">
        <f t="shared" ref="BF78:BF123" ca="1" si="13">IF(AU78=0,0,(AV78-AU78)/AU78*100)</f>
        <v>0</v>
      </c>
      <c r="BG78" s="698">
        <f t="shared" ref="BG78:BG123" ca="1" si="14">IF(AV78=0,0,(AW78-AV78)/AV78*100)</f>
        <v>0</v>
      </c>
      <c r="BH78" s="698">
        <f t="shared" ref="BH78:BH123" ca="1" si="15">IF(AW78=0,0,(AX78-AW78)/AW78*100)</f>
        <v>0</v>
      </c>
      <c r="BI78" s="698">
        <f t="shared" ref="BI78:BI123" ca="1" si="16">IF(AX78=0,0,(AY78-AX78)/AX78*100)</f>
        <v>0</v>
      </c>
      <c r="BJ78" s="698">
        <f t="shared" ref="BJ78:BJ123" ca="1" si="17">IF(AY78=0,0,(AZ78-AY78)/AY78*100)</f>
        <v>0</v>
      </c>
      <c r="BK78" s="698">
        <f t="shared" ref="BK78:BK123" ca="1" si="18">IF(AZ78=0,0,(BA78-AZ78)/AZ78*100)</f>
        <v>0</v>
      </c>
      <c r="BL78" s="698">
        <f t="shared" ref="BL78:BL123" ca="1" si="19">IF(BA78=0,0,(BB78-BA78)/BA78*100)</f>
        <v>0</v>
      </c>
      <c r="BM78" s="698">
        <f t="shared" ref="BM78:BM123" ca="1" si="20">IF(BB78=0,0,(BC78-BB78)/BB78*100)</f>
        <v>0</v>
      </c>
      <c r="BN78" s="1145"/>
      <c r="BO78" s="1145"/>
      <c r="BP78" s="1145"/>
      <c r="BQ78" s="79"/>
      <c r="BS78" s="979" t="s">
        <v>1988</v>
      </c>
      <c r="BT78" s="979"/>
      <c r="BU78" s="979"/>
      <c r="BV78" s="630"/>
      <c r="BW78" s="630"/>
    </row>
    <row r="79" spans="2:75" s="623" customFormat="1" ht="21.95" hidden="1" customHeight="1" x14ac:dyDescent="0.15">
      <c r="B79" s="357"/>
      <c r="C79" s="28"/>
      <c r="D79" s="28"/>
      <c r="E79" s="745">
        <v>22.5</v>
      </c>
      <c r="F79" s="3" cm="1">
        <f t="array" aca="1" ref="F79" ca="1">OFFSET(E79,-1,1)</f>
        <v>0</v>
      </c>
      <c r="G79" s="290" cm="1">
        <f t="array" aca="1" ref="G79" ca="1">F78</f>
        <v>0</v>
      </c>
      <c r="H79" s="26"/>
      <c r="I79" s="26" t="s">
        <v>512</v>
      </c>
      <c r="J79" s="28"/>
      <c r="K79" s="77" t="s">
        <v>512</v>
      </c>
      <c r="L79" s="894" t="s">
        <v>498</v>
      </c>
      <c r="M79" s="28"/>
      <c r="N79" s="28"/>
      <c r="O79" s="28"/>
      <c r="P79" s="28"/>
      <c r="Q79" s="28"/>
      <c r="R79" s="28"/>
      <c r="S79" s="28"/>
      <c r="T79" s="388" t="b" cm="1">
        <f t="array" aca="1" ref="T79" ca="1">T78</f>
        <v>0</v>
      </c>
      <c r="U79" s="28"/>
      <c r="V79" s="28"/>
      <c r="W79" s="28"/>
      <c r="X79" s="2066"/>
      <c r="Z79" s="2012"/>
      <c r="AB79" s="130" t="s">
        <v>566</v>
      </c>
      <c r="AC79" s="277" t="s">
        <v>1989</v>
      </c>
      <c r="AD79" s="130" t="s">
        <v>831</v>
      </c>
      <c r="AE79" s="132">
        <f ca="1">SUM(AE80:AE90)</f>
        <v>0</v>
      </c>
      <c r="AF79" s="132">
        <f ca="1">SUM(AF80:AF90)</f>
        <v>0</v>
      </c>
      <c r="AG79" s="132">
        <f ca="1">SUM(AG80:AG90)</f>
        <v>0</v>
      </c>
      <c r="AH79" s="698">
        <f t="shared" ca="1" si="9"/>
        <v>0</v>
      </c>
      <c r="AI79" s="132">
        <f t="shared" ref="AI79:BC79" ca="1" si="21">SUM(AI80:AI90)</f>
        <v>0</v>
      </c>
      <c r="AJ79" s="132">
        <f t="shared" ca="1" si="21"/>
        <v>0</v>
      </c>
      <c r="AK79" s="132">
        <f t="shared" ca="1" si="21"/>
        <v>0</v>
      </c>
      <c r="AL79" s="132">
        <f t="shared" ca="1" si="21"/>
        <v>0</v>
      </c>
      <c r="AM79" s="132">
        <f t="shared" ca="1" si="21"/>
        <v>0</v>
      </c>
      <c r="AN79" s="132">
        <f t="shared" ca="1" si="21"/>
        <v>0</v>
      </c>
      <c r="AO79" s="132">
        <f t="shared" ca="1" si="21"/>
        <v>0</v>
      </c>
      <c r="AP79" s="132">
        <f t="shared" ca="1" si="21"/>
        <v>0</v>
      </c>
      <c r="AQ79" s="132">
        <f t="shared" ca="1" si="21"/>
        <v>0</v>
      </c>
      <c r="AR79" s="132">
        <f t="shared" ca="1" si="21"/>
        <v>0</v>
      </c>
      <c r="AS79" s="132">
        <f t="shared" ca="1" si="21"/>
        <v>0</v>
      </c>
      <c r="AT79" s="132">
        <f t="shared" ca="1" si="21"/>
        <v>0</v>
      </c>
      <c r="AU79" s="132">
        <f t="shared" ca="1" si="21"/>
        <v>0</v>
      </c>
      <c r="AV79" s="132">
        <f t="shared" ca="1" si="21"/>
        <v>0</v>
      </c>
      <c r="AW79" s="132">
        <f t="shared" ca="1" si="21"/>
        <v>0</v>
      </c>
      <c r="AX79" s="132">
        <f t="shared" ca="1" si="21"/>
        <v>0</v>
      </c>
      <c r="AY79" s="132">
        <f t="shared" ca="1" si="21"/>
        <v>0</v>
      </c>
      <c r="AZ79" s="132">
        <f t="shared" ca="1" si="21"/>
        <v>0</v>
      </c>
      <c r="BA79" s="132">
        <f t="shared" ca="1" si="21"/>
        <v>0</v>
      </c>
      <c r="BB79" s="132">
        <f t="shared" ca="1" si="21"/>
        <v>0</v>
      </c>
      <c r="BC79" s="132">
        <f t="shared" ca="1" si="21"/>
        <v>0</v>
      </c>
      <c r="BD79" s="698">
        <f t="shared" ca="1" si="11"/>
        <v>0</v>
      </c>
      <c r="BE79" s="698">
        <f t="shared" ca="1" si="12"/>
        <v>0</v>
      </c>
      <c r="BF79" s="698">
        <f t="shared" ca="1" si="13"/>
        <v>0</v>
      </c>
      <c r="BG79" s="698">
        <f t="shared" ca="1" si="14"/>
        <v>0</v>
      </c>
      <c r="BH79" s="698">
        <f t="shared" ca="1" si="15"/>
        <v>0</v>
      </c>
      <c r="BI79" s="698">
        <f t="shared" ca="1" si="16"/>
        <v>0</v>
      </c>
      <c r="BJ79" s="698">
        <f t="shared" ca="1" si="17"/>
        <v>0</v>
      </c>
      <c r="BK79" s="698">
        <f t="shared" ca="1" si="18"/>
        <v>0</v>
      </c>
      <c r="BL79" s="698">
        <f t="shared" ca="1" si="19"/>
        <v>0</v>
      </c>
      <c r="BM79" s="698">
        <f t="shared" ca="1" si="20"/>
        <v>0</v>
      </c>
      <c r="BN79" s="1147"/>
      <c r="BO79" s="1147"/>
      <c r="BP79" s="1147"/>
      <c r="BS79" s="979" t="s">
        <v>1990</v>
      </c>
      <c r="BT79" s="979"/>
      <c r="BU79" s="979"/>
      <c r="BV79" s="630"/>
      <c r="BW79" s="630"/>
    </row>
    <row r="80" spans="2:75" ht="14.65" hidden="1" customHeight="1" x14ac:dyDescent="0.15">
      <c r="C80" s="26"/>
      <c r="D80" s="26"/>
      <c r="E80" s="545">
        <v>15</v>
      </c>
      <c r="F80" s="3" cm="1">
        <f t="array" aca="1" ref="F80" ca="1">OFFSET(E80,-1,1)</f>
        <v>0</v>
      </c>
      <c r="G80" s="26" t="s">
        <v>1092</v>
      </c>
      <c r="H80" s="26"/>
      <c r="I80" s="26" t="s">
        <v>1529</v>
      </c>
      <c r="J80" s="26"/>
      <c r="K80" s="77" t="s">
        <v>1529</v>
      </c>
      <c r="L80" s="889" t="s">
        <v>1304</v>
      </c>
      <c r="M80" s="26"/>
      <c r="N80" s="26"/>
      <c r="O80" s="26"/>
      <c r="P80" s="26"/>
      <c r="Q80" s="26"/>
      <c r="R80" s="26"/>
      <c r="S80" s="26"/>
      <c r="T80" s="388" t="b" cm="1">
        <f t="array" aca="1" ref="T80" ca="1">T79</f>
        <v>0</v>
      </c>
      <c r="U80" s="26"/>
      <c r="V80" s="26"/>
      <c r="W80" s="26"/>
      <c r="X80" s="2066"/>
      <c r="Z80" s="2012"/>
      <c r="AB80" s="218" t="s">
        <v>520</v>
      </c>
      <c r="AC80" s="685" t="s">
        <v>1991</v>
      </c>
      <c r="AD80" s="218" t="s">
        <v>831</v>
      </c>
      <c r="AE80" s="1022">
        <f ca="1">SUMIFS(Покупка!AE$25:AE$117,Покупка!$F$25:$F$117,$F80,Покупка!$AC$25:$AC$117,$G80)</f>
        <v>0</v>
      </c>
      <c r="AF80" s="1022">
        <f ca="1">SUMIFS(Покупка!AF$25:AF$117,Покупка!$F$25:$F$117,$F80,Покупка!$AC$25:$AC$117,$G80)</f>
        <v>0</v>
      </c>
      <c r="AG80" s="1022">
        <f ca="1">SUMIFS(Покупка!AG$25:AG$117,Покупка!$F$25:$F$117,$F80,Покупка!$AC$25:$AC$117,$G80)</f>
        <v>0</v>
      </c>
      <c r="AH80" s="1022">
        <f t="shared" ca="1" si="9"/>
        <v>0</v>
      </c>
      <c r="AI80" s="1022">
        <f ca="1">SUMIFS(Покупка!AH$25:AH$117,Покупка!$F$25:$F$117,$F80,Покупка!$AC$25:$AC$117,$G80)</f>
        <v>0</v>
      </c>
      <c r="AJ80" s="1022">
        <f ca="1">SUMIFS(Покупка!AI$25:AI$117,Покупка!$F$25:$F$117,$F80,Покупка!$AC$25:$AC$117,$G80)</f>
        <v>0</v>
      </c>
      <c r="AK80" s="1022">
        <f ca="1">SUMIFS(Покупка!AJ$25:AJ$117,Покупка!$F$25:$F$117,$F80,Покупка!$AC$25:$AC$117,$G80)</f>
        <v>0</v>
      </c>
      <c r="AL80" s="1022">
        <f ca="1">SUMIFS(Покупка!AK$25:AK$117,Покупка!$F$25:$F$117,$F80,Покупка!$AC$25:$AC$117,$G80)</f>
        <v>0</v>
      </c>
      <c r="AM80" s="1022">
        <f ca="1">SUMIFS(Покупка!AL$25:AL$117,Покупка!$F$25:$F$117,$F80,Покупка!$AC$25:$AC$117,$G80)</f>
        <v>0</v>
      </c>
      <c r="AN80" s="1022">
        <f ca="1">SUMIFS(Покупка!AM$25:AM$117,Покупка!$F$25:$F$117,$F80,Покупка!$AC$25:$AC$117,$G80)</f>
        <v>0</v>
      </c>
      <c r="AO80" s="1022">
        <f ca="1">SUMIFS(Покупка!AN$25:AN$117,Покупка!$F$25:$F$117,$F80,Покупка!$AC$25:$AC$117,$G80)</f>
        <v>0</v>
      </c>
      <c r="AP80" s="1022">
        <f ca="1">SUMIFS(Покупка!AO$25:AO$117,Покупка!$F$25:$F$117,$F80,Покупка!$AC$25:$AC$117,$G80)</f>
        <v>0</v>
      </c>
      <c r="AQ80" s="1022">
        <f ca="1">SUMIFS(Покупка!AP$25:AP$117,Покупка!$F$25:$F$117,$F80,Покупка!$AC$25:$AC$117,$G80)</f>
        <v>0</v>
      </c>
      <c r="AR80" s="1022">
        <f ca="1">SUMIFS(Покупка!AQ$25:AQ$117,Покупка!$F$25:$F$117,$F80,Покупка!$AC$25:$AC$117,$G80)</f>
        <v>0</v>
      </c>
      <c r="AS80" s="1022">
        <f ca="1">SUMIFS(Покупка!AR$25:AR$117,Покупка!$F$25:$F$117,$F80,Покупка!$AC$25:$AC$117,$G80)</f>
        <v>0</v>
      </c>
      <c r="AT80" s="1022">
        <f ca="1">SUMIFS(Покупка!AS$25:AS$117,Покупка!$F$25:$F$117,$F80,Покупка!$AC$25:$AC$117,$G80)</f>
        <v>0</v>
      </c>
      <c r="AU80" s="1022">
        <f ca="1">SUMIFS(Покупка!AT$25:AT$117,Покупка!$F$25:$F$117,$F80,Покупка!$AC$25:$AC$117,$G80)</f>
        <v>0</v>
      </c>
      <c r="AV80" s="1022">
        <f ca="1">SUMIFS(Покупка!AU$25:AU$117,Покупка!$F$25:$F$117,$F80,Покупка!$AC$25:$AC$117,$G80)</f>
        <v>0</v>
      </c>
      <c r="AW80" s="1022">
        <f ca="1">SUMIFS(Покупка!AV$25:AV$117,Покупка!$F$25:$F$117,$F80,Покупка!$AC$25:$AC$117,$G80)</f>
        <v>0</v>
      </c>
      <c r="AX80" s="1022">
        <f ca="1">SUMIFS(Покупка!AW$25:AW$117,Покупка!$F$25:$F$117,$F80,Покупка!$AC$25:$AC$117,$G80)</f>
        <v>0</v>
      </c>
      <c r="AY80" s="1022">
        <f ca="1">SUMIFS(Покупка!AX$25:AX$117,Покупка!$F$25:$F$117,$F80,Покупка!$AC$25:$AC$117,$G80)</f>
        <v>0</v>
      </c>
      <c r="AZ80" s="1022">
        <f ca="1">SUMIFS(Покупка!AY$25:AY$117,Покупка!$F$25:$F$117,$F80,Покупка!$AC$25:$AC$117,$G80)</f>
        <v>0</v>
      </c>
      <c r="BA80" s="1022">
        <f ca="1">SUMIFS(Покупка!AZ$25:AZ$117,Покупка!$F$25:$F$117,$F80,Покупка!$AC$25:$AC$117,$G80)</f>
        <v>0</v>
      </c>
      <c r="BB80" s="1022">
        <f ca="1">SUMIFS(Покупка!BA$25:BA$117,Покупка!$F$25:$F$117,$F80,Покупка!$AC$25:$AC$117,$G80)</f>
        <v>0</v>
      </c>
      <c r="BC80" s="1022">
        <f ca="1">SUMIFS(Покупка!BB$25:BB$117,Покупка!$F$25:$F$117,$F80,Покупка!$AC$25:$AC$117,$G80)</f>
        <v>0</v>
      </c>
      <c r="BD80" s="1022">
        <f t="shared" ca="1" si="11"/>
        <v>0</v>
      </c>
      <c r="BE80" s="1022">
        <f t="shared" ca="1" si="12"/>
        <v>0</v>
      </c>
      <c r="BF80" s="1022">
        <f t="shared" ca="1" si="13"/>
        <v>0</v>
      </c>
      <c r="BG80" s="1022">
        <f t="shared" ca="1" si="14"/>
        <v>0</v>
      </c>
      <c r="BH80" s="1022">
        <f t="shared" ca="1" si="15"/>
        <v>0</v>
      </c>
      <c r="BI80" s="1022">
        <f t="shared" ca="1" si="16"/>
        <v>0</v>
      </c>
      <c r="BJ80" s="1022">
        <f t="shared" ca="1" si="17"/>
        <v>0</v>
      </c>
      <c r="BK80" s="1022">
        <f t="shared" ca="1" si="18"/>
        <v>0</v>
      </c>
      <c r="BL80" s="1022">
        <f t="shared" ca="1" si="19"/>
        <v>0</v>
      </c>
      <c r="BM80" s="1022">
        <f t="shared" ca="1" si="20"/>
        <v>0</v>
      </c>
      <c r="BN80" s="1145"/>
      <c r="BO80" s="1149" t="str">
        <f ca="1">IF(IFERROR(INDEX(Покупка!$K$26:$L$117,MATCH($F80&amp;"6komm",Покупка!$K$26:$K$117,0),2),"")=0,"",IFERROR(INDEX(Покупка!$K$26:$L$117,MATCH($F80&amp;"6komm",Покупка!$K$26:$K$117,0),2),""))</f>
        <v/>
      </c>
      <c r="BP80" s="1145"/>
      <c r="BS80" s="973" t="s">
        <v>1093</v>
      </c>
    </row>
    <row r="81" spans="2:75" ht="14.65" hidden="1" customHeight="1" x14ac:dyDescent="0.15">
      <c r="C81" s="26"/>
      <c r="D81" s="26"/>
      <c r="E81" s="545">
        <v>15</v>
      </c>
      <c r="F81" s="3" cm="1">
        <f t="array" aca="1" ref="F81" ca="1">OFFSET(E81,-1,1)</f>
        <v>0</v>
      </c>
      <c r="G81" s="26" t="s">
        <v>1094</v>
      </c>
      <c r="H81" s="26"/>
      <c r="I81" s="26" t="s">
        <v>1533</v>
      </c>
      <c r="J81" s="26"/>
      <c r="K81" s="26" t="s">
        <v>1533</v>
      </c>
      <c r="L81" s="889" t="s">
        <v>1308</v>
      </c>
      <c r="M81" s="26"/>
      <c r="N81" s="26"/>
      <c r="O81" s="26"/>
      <c r="P81" s="26"/>
      <c r="Q81" s="26"/>
      <c r="R81" s="26"/>
      <c r="S81" s="26"/>
      <c r="T81" s="388" t="b" cm="1">
        <f t="array" aca="1" ref="T81" ca="1">T80</f>
        <v>0</v>
      </c>
      <c r="U81" s="26"/>
      <c r="V81" s="26"/>
      <c r="W81" s="26"/>
      <c r="X81" s="2066"/>
      <c r="Z81" s="2012"/>
      <c r="AB81" s="218" t="s">
        <v>1992</v>
      </c>
      <c r="AC81" s="685" t="s">
        <v>1993</v>
      </c>
      <c r="AD81" s="218" t="s">
        <v>831</v>
      </c>
      <c r="AE81" s="1022">
        <f ca="1">SUMIFS(Покупка!AE$25:AE$117,Покупка!$F$25:$F$117,$F81,Покупка!$AC$25:$AC$117,$G81)</f>
        <v>0</v>
      </c>
      <c r="AF81" s="1022">
        <f ca="1">SUMIFS(Покупка!AF$25:AF$117,Покупка!$F$25:$F$117,$F81,Покупка!$AC$25:$AC$117,$G81)</f>
        <v>0</v>
      </c>
      <c r="AG81" s="1022">
        <f ca="1">SUMIFS(Покупка!AG$25:AG$117,Покупка!$F$25:$F$117,$F81,Покупка!$AC$25:$AC$117,$G81)</f>
        <v>0</v>
      </c>
      <c r="AH81" s="1022">
        <f t="shared" ca="1" si="9"/>
        <v>0</v>
      </c>
      <c r="AI81" s="1022">
        <f ca="1">SUMIFS(Покупка!AH$25:AH$117,Покупка!$F$25:$F$117,$F81,Покупка!$AC$25:$AC$117,$G81)</f>
        <v>0</v>
      </c>
      <c r="AJ81" s="1022">
        <f ca="1">SUMIFS(Покупка!AI$25:AI$117,Покупка!$F$25:$F$117,$F81,Покупка!$AC$25:$AC$117,$G81)</f>
        <v>0</v>
      </c>
      <c r="AK81" s="1022">
        <f ca="1">SUMIFS(Покупка!AJ$25:AJ$117,Покупка!$F$25:$F$117,$F81,Покупка!$AC$25:$AC$117,$G81)</f>
        <v>0</v>
      </c>
      <c r="AL81" s="1022">
        <f ca="1">SUMIFS(Покупка!AK$25:AK$117,Покупка!$F$25:$F$117,$F81,Покупка!$AC$25:$AC$117,$G81)</f>
        <v>0</v>
      </c>
      <c r="AM81" s="1022">
        <f ca="1">SUMIFS(Покупка!AL$25:AL$117,Покупка!$F$25:$F$117,$F81,Покупка!$AC$25:$AC$117,$G81)</f>
        <v>0</v>
      </c>
      <c r="AN81" s="1022">
        <f ca="1">SUMIFS(Покупка!AM$25:AM$117,Покупка!$F$25:$F$117,$F81,Покупка!$AC$25:$AC$117,$G81)</f>
        <v>0</v>
      </c>
      <c r="AO81" s="1022">
        <f ca="1">SUMIFS(Покупка!AN$25:AN$117,Покупка!$F$25:$F$117,$F81,Покупка!$AC$25:$AC$117,$G81)</f>
        <v>0</v>
      </c>
      <c r="AP81" s="1022">
        <f ca="1">SUMIFS(Покупка!AO$25:AO$117,Покупка!$F$25:$F$117,$F81,Покупка!$AC$25:$AC$117,$G81)</f>
        <v>0</v>
      </c>
      <c r="AQ81" s="1022">
        <f ca="1">SUMIFS(Покупка!AP$25:AP$117,Покупка!$F$25:$F$117,$F81,Покупка!$AC$25:$AC$117,$G81)</f>
        <v>0</v>
      </c>
      <c r="AR81" s="1022">
        <f ca="1">SUMIFS(Покупка!AQ$25:AQ$117,Покупка!$F$25:$F$117,$F81,Покупка!$AC$25:$AC$117,$G81)</f>
        <v>0</v>
      </c>
      <c r="AS81" s="1022">
        <f ca="1">SUMIFS(Покупка!AR$25:AR$117,Покупка!$F$25:$F$117,$F81,Покупка!$AC$25:$AC$117,$G81)</f>
        <v>0</v>
      </c>
      <c r="AT81" s="1022">
        <f ca="1">SUMIFS(Покупка!AS$25:AS$117,Покупка!$F$25:$F$117,$F81,Покупка!$AC$25:$AC$117,$G81)</f>
        <v>0</v>
      </c>
      <c r="AU81" s="1022">
        <f ca="1">SUMIFS(Покупка!AT$25:AT$117,Покупка!$F$25:$F$117,$F81,Покупка!$AC$25:$AC$117,$G81)</f>
        <v>0</v>
      </c>
      <c r="AV81" s="1022">
        <f ca="1">SUMIFS(Покупка!AU$25:AU$117,Покупка!$F$25:$F$117,$F81,Покупка!$AC$25:$AC$117,$G81)</f>
        <v>0</v>
      </c>
      <c r="AW81" s="1022">
        <f ca="1">SUMIFS(Покупка!AV$25:AV$117,Покупка!$F$25:$F$117,$F81,Покупка!$AC$25:$AC$117,$G81)</f>
        <v>0</v>
      </c>
      <c r="AX81" s="1022">
        <f ca="1">SUMIFS(Покупка!AW$25:AW$117,Покупка!$F$25:$F$117,$F81,Покупка!$AC$25:$AC$117,$G81)</f>
        <v>0</v>
      </c>
      <c r="AY81" s="1022">
        <f ca="1">SUMIFS(Покупка!AX$25:AX$117,Покупка!$F$25:$F$117,$F81,Покупка!$AC$25:$AC$117,$G81)</f>
        <v>0</v>
      </c>
      <c r="AZ81" s="1022">
        <f ca="1">SUMIFS(Покупка!AY$25:AY$117,Покупка!$F$25:$F$117,$F81,Покупка!$AC$25:$AC$117,$G81)</f>
        <v>0</v>
      </c>
      <c r="BA81" s="1022">
        <f ca="1">SUMIFS(Покупка!AZ$25:AZ$117,Покупка!$F$25:$F$117,$F81,Покупка!$AC$25:$AC$117,$G81)</f>
        <v>0</v>
      </c>
      <c r="BB81" s="1022">
        <f ca="1">SUMIFS(Покупка!BA$25:BA$117,Покупка!$F$25:$F$117,$F81,Покупка!$AC$25:$AC$117,$G81)</f>
        <v>0</v>
      </c>
      <c r="BC81" s="1022">
        <f ca="1">SUMIFS(Покупка!BB$25:BB$117,Покупка!$F$25:$F$117,$F81,Покупка!$AC$25:$AC$117,$G81)</f>
        <v>0</v>
      </c>
      <c r="BD81" s="1022">
        <f t="shared" ca="1" si="11"/>
        <v>0</v>
      </c>
      <c r="BE81" s="1022">
        <f t="shared" ca="1" si="12"/>
        <v>0</v>
      </c>
      <c r="BF81" s="1022">
        <f t="shared" ca="1" si="13"/>
        <v>0</v>
      </c>
      <c r="BG81" s="1022">
        <f t="shared" ca="1" si="14"/>
        <v>0</v>
      </c>
      <c r="BH81" s="1022">
        <f t="shared" ca="1" si="15"/>
        <v>0</v>
      </c>
      <c r="BI81" s="1022">
        <f t="shared" ca="1" si="16"/>
        <v>0</v>
      </c>
      <c r="BJ81" s="1022">
        <f t="shared" ca="1" si="17"/>
        <v>0</v>
      </c>
      <c r="BK81" s="1022">
        <f t="shared" ca="1" si="18"/>
        <v>0</v>
      </c>
      <c r="BL81" s="1022">
        <f t="shared" ca="1" si="19"/>
        <v>0</v>
      </c>
      <c r="BM81" s="1022">
        <f t="shared" ca="1" si="20"/>
        <v>0</v>
      </c>
      <c r="BN81" s="1145"/>
      <c r="BO81" s="1149" t="str">
        <f ca="1">IF(IFERROR(INDEX(Покупка!$K$26:$L$117,MATCH($F81&amp;"7komm",Покупка!$K$26:$K$117,0),2),"")=0,"",IFERROR(INDEX(Покупка!$K$26:$L$117,MATCH($F81&amp;"7komm",Покупка!$K$26:$K$117,0),2),""))</f>
        <v/>
      </c>
      <c r="BP81" s="1145"/>
      <c r="BS81" s="973" t="s">
        <v>1095</v>
      </c>
    </row>
    <row r="82" spans="2:75" ht="14.65" hidden="1" customHeight="1" x14ac:dyDescent="0.15">
      <c r="C82" s="26"/>
      <c r="D82" s="26"/>
      <c r="E82" s="545">
        <v>15</v>
      </c>
      <c r="F82" s="3" cm="1">
        <f t="array" aca="1" ref="F82" ca="1">OFFSET(E82,-1,1)</f>
        <v>0</v>
      </c>
      <c r="G82" s="26" t="s">
        <v>1069</v>
      </c>
      <c r="H82" s="26"/>
      <c r="I82" s="26" t="s">
        <v>1625</v>
      </c>
      <c r="J82" s="26"/>
      <c r="K82" s="26" t="s">
        <v>1625</v>
      </c>
      <c r="L82" s="889" t="s">
        <v>1478</v>
      </c>
      <c r="M82" s="26"/>
      <c r="N82" s="26"/>
      <c r="O82" s="26"/>
      <c r="P82" s="26"/>
      <c r="Q82" s="26"/>
      <c r="R82" s="26"/>
      <c r="S82" s="26"/>
      <c r="T82" s="388" t="b" cm="1">
        <f t="array" aca="1" ref="T82" ca="1">T81</f>
        <v>0</v>
      </c>
      <c r="U82" s="26"/>
      <c r="V82" s="26"/>
      <c r="W82" s="26"/>
      <c r="X82" s="2066"/>
      <c r="Z82" s="2012"/>
      <c r="AB82" s="218" t="s">
        <v>1994</v>
      </c>
      <c r="AC82" s="685" t="s">
        <v>1995</v>
      </c>
      <c r="AD82" s="218" t="s">
        <v>831</v>
      </c>
      <c r="AE82" s="1022">
        <f ca="1">SUMIFS(Покупка!AE$25:AE$117,Покупка!$F$25:$F$117,$F82,Покупка!$AC$25:$AC$117,$G82)</f>
        <v>0</v>
      </c>
      <c r="AF82" s="1022">
        <f ca="1">SUMIFS(Покупка!AF$25:AF$117,Покупка!$F$25:$F$117,$F82,Покупка!$AC$25:$AC$117,$G82)</f>
        <v>0</v>
      </c>
      <c r="AG82" s="1022">
        <f ca="1">SUMIFS(Покупка!AG$25:AG$117,Покупка!$F$25:$F$117,$F82,Покупка!$AC$25:$AC$117,$G82)</f>
        <v>0</v>
      </c>
      <c r="AH82" s="1022">
        <f t="shared" ca="1" si="9"/>
        <v>0</v>
      </c>
      <c r="AI82" s="1022">
        <f ca="1">SUMIFS(Покупка!AH$25:AH$117,Покупка!$F$25:$F$117,$F82,Покупка!$AC$25:$AC$117,$G82)</f>
        <v>0</v>
      </c>
      <c r="AJ82" s="1022">
        <f ca="1">SUMIFS(Покупка!AI$25:AI$117,Покупка!$F$25:$F$117,$F82,Покупка!$AC$25:$AC$117,$G82)</f>
        <v>0</v>
      </c>
      <c r="AK82" s="1022">
        <f ca="1">SUMIFS(Покупка!AJ$25:AJ$117,Покупка!$F$25:$F$117,$F82,Покупка!$AC$25:$AC$117,$G82)</f>
        <v>0</v>
      </c>
      <c r="AL82" s="1022">
        <f ca="1">SUMIFS(Покупка!AK$25:AK$117,Покупка!$F$25:$F$117,$F82,Покупка!$AC$25:$AC$117,$G82)</f>
        <v>0</v>
      </c>
      <c r="AM82" s="1022">
        <f ca="1">SUMIFS(Покупка!AL$25:AL$117,Покупка!$F$25:$F$117,$F82,Покупка!$AC$25:$AC$117,$G82)</f>
        <v>0</v>
      </c>
      <c r="AN82" s="1022">
        <f ca="1">SUMIFS(Покупка!AM$25:AM$117,Покупка!$F$25:$F$117,$F82,Покупка!$AC$25:$AC$117,$G82)</f>
        <v>0</v>
      </c>
      <c r="AO82" s="1022">
        <f ca="1">SUMIFS(Покупка!AN$25:AN$117,Покупка!$F$25:$F$117,$F82,Покупка!$AC$25:$AC$117,$G82)</f>
        <v>0</v>
      </c>
      <c r="AP82" s="1022">
        <f ca="1">SUMIFS(Покупка!AO$25:AO$117,Покупка!$F$25:$F$117,$F82,Покупка!$AC$25:$AC$117,$G82)</f>
        <v>0</v>
      </c>
      <c r="AQ82" s="1022">
        <f ca="1">SUMIFS(Покупка!AP$25:AP$117,Покупка!$F$25:$F$117,$F82,Покупка!$AC$25:$AC$117,$G82)</f>
        <v>0</v>
      </c>
      <c r="AR82" s="1022">
        <f ca="1">SUMIFS(Покупка!AQ$25:AQ$117,Покупка!$F$25:$F$117,$F82,Покупка!$AC$25:$AC$117,$G82)</f>
        <v>0</v>
      </c>
      <c r="AS82" s="1022">
        <f ca="1">SUMIFS(Покупка!AR$25:AR$117,Покупка!$F$25:$F$117,$F82,Покупка!$AC$25:$AC$117,$G82)</f>
        <v>0</v>
      </c>
      <c r="AT82" s="1022">
        <f ca="1">SUMIFS(Покупка!AS$25:AS$117,Покупка!$F$25:$F$117,$F82,Покупка!$AC$25:$AC$117,$G82)</f>
        <v>0</v>
      </c>
      <c r="AU82" s="1022">
        <f ca="1">SUMIFS(Покупка!AT$25:AT$117,Покупка!$F$25:$F$117,$F82,Покупка!$AC$25:$AC$117,$G82)</f>
        <v>0</v>
      </c>
      <c r="AV82" s="1022">
        <f ca="1">SUMIFS(Покупка!AU$25:AU$117,Покупка!$F$25:$F$117,$F82,Покупка!$AC$25:$AC$117,$G82)</f>
        <v>0</v>
      </c>
      <c r="AW82" s="1022">
        <f ca="1">SUMIFS(Покупка!AV$25:AV$117,Покупка!$F$25:$F$117,$F82,Покупка!$AC$25:$AC$117,$G82)</f>
        <v>0</v>
      </c>
      <c r="AX82" s="1022">
        <f ca="1">SUMIFS(Покупка!AW$25:AW$117,Покупка!$F$25:$F$117,$F82,Покупка!$AC$25:$AC$117,$G82)</f>
        <v>0</v>
      </c>
      <c r="AY82" s="1022">
        <f ca="1">SUMIFS(Покупка!AX$25:AX$117,Покупка!$F$25:$F$117,$F82,Покупка!$AC$25:$AC$117,$G82)</f>
        <v>0</v>
      </c>
      <c r="AZ82" s="1022">
        <f ca="1">SUMIFS(Покупка!AY$25:AY$117,Покупка!$F$25:$F$117,$F82,Покупка!$AC$25:$AC$117,$G82)</f>
        <v>0</v>
      </c>
      <c r="BA82" s="1022">
        <f ca="1">SUMIFS(Покупка!AZ$25:AZ$117,Покупка!$F$25:$F$117,$F82,Покупка!$AC$25:$AC$117,$G82)</f>
        <v>0</v>
      </c>
      <c r="BB82" s="1022">
        <f ca="1">SUMIFS(Покупка!BA$25:BA$117,Покупка!$F$25:$F$117,$F82,Покупка!$AC$25:$AC$117,$G82)</f>
        <v>0</v>
      </c>
      <c r="BC82" s="1022">
        <f ca="1">SUMIFS(Покупка!BB$25:BB$117,Покупка!$F$25:$F$117,$F82,Покупка!$AC$25:$AC$117,$G82)</f>
        <v>0</v>
      </c>
      <c r="BD82" s="1022">
        <f t="shared" ca="1" si="11"/>
        <v>0</v>
      </c>
      <c r="BE82" s="1022">
        <f t="shared" ca="1" si="12"/>
        <v>0</v>
      </c>
      <c r="BF82" s="1022">
        <f t="shared" ca="1" si="13"/>
        <v>0</v>
      </c>
      <c r="BG82" s="1022">
        <f t="shared" ca="1" si="14"/>
        <v>0</v>
      </c>
      <c r="BH82" s="1022">
        <f t="shared" ca="1" si="15"/>
        <v>0</v>
      </c>
      <c r="BI82" s="1022">
        <f t="shared" ca="1" si="16"/>
        <v>0</v>
      </c>
      <c r="BJ82" s="1022">
        <f t="shared" ca="1" si="17"/>
        <v>0</v>
      </c>
      <c r="BK82" s="1022">
        <f t="shared" ca="1" si="18"/>
        <v>0</v>
      </c>
      <c r="BL82" s="1022">
        <f t="shared" ca="1" si="19"/>
        <v>0</v>
      </c>
      <c r="BM82" s="1022">
        <f t="shared" ca="1" si="20"/>
        <v>0</v>
      </c>
      <c r="BN82" s="1145"/>
      <c r="BO82" s="1149" t="str">
        <f ca="1">IF(IFERROR(INDEX(Покупка!$K$26:$L$117,MATCH($F82&amp;"2komm",Покупка!$K$26:$K$117,0),2),"")=0,"",IFERROR(INDEX(Покупка!$K$26:$L$117,MATCH($F82&amp;"2komm",Покупка!$K$26:$K$117,0),2),""))</f>
        <v/>
      </c>
      <c r="BP82" s="1145"/>
      <c r="BS82" s="973" t="s">
        <v>1996</v>
      </c>
    </row>
    <row r="83" spans="2:75" ht="14.65" hidden="1" customHeight="1" x14ac:dyDescent="0.15">
      <c r="C83" s="26"/>
      <c r="D83" s="26"/>
      <c r="E83" s="545">
        <v>15</v>
      </c>
      <c r="F83" s="3" cm="1">
        <f t="array" aca="1" ref="F83" ca="1">OFFSET(E83,-1,1)</f>
        <v>0</v>
      </c>
      <c r="G83" s="26" t="s">
        <v>1060</v>
      </c>
      <c r="H83" s="26"/>
      <c r="I83" s="26" t="s">
        <v>1627</v>
      </c>
      <c r="J83" s="26"/>
      <c r="K83" s="26" t="s">
        <v>1627</v>
      </c>
      <c r="L83" s="889" t="s">
        <v>1473</v>
      </c>
      <c r="M83" s="26"/>
      <c r="N83" s="26"/>
      <c r="O83" s="26"/>
      <c r="P83" s="26"/>
      <c r="Q83" s="26"/>
      <c r="R83" s="26"/>
      <c r="S83" s="26"/>
      <c r="T83" s="388" t="b" cm="1">
        <f t="array" aca="1" ref="T83" ca="1">T82</f>
        <v>0</v>
      </c>
      <c r="U83" s="26"/>
      <c r="V83" s="26"/>
      <c r="W83" s="26"/>
      <c r="X83" s="2066"/>
      <c r="Z83" s="2012"/>
      <c r="AB83" s="218" t="s">
        <v>1997</v>
      </c>
      <c r="AC83" s="685" t="s">
        <v>1998</v>
      </c>
      <c r="AD83" s="218" t="s">
        <v>831</v>
      </c>
      <c r="AE83" s="1022">
        <f ca="1">SUMIFS(Покупка!AE$25:AE$117,Покупка!$F$25:$F$117,$F83,Покупка!$AC$25:$AC$117,$G83)</f>
        <v>0</v>
      </c>
      <c r="AF83" s="1022">
        <f ca="1">SUMIFS(Покупка!AF$25:AF$117,Покупка!$F$25:$F$117,$F83,Покупка!$AC$25:$AC$117,$G83)</f>
        <v>0</v>
      </c>
      <c r="AG83" s="1022">
        <f ca="1">SUMIFS(Покупка!AG$25:AG$117,Покупка!$F$25:$F$117,$F83,Покупка!$AC$25:$AC$117,$G83)</f>
        <v>0</v>
      </c>
      <c r="AH83" s="1022">
        <f t="shared" ca="1" si="9"/>
        <v>0</v>
      </c>
      <c r="AI83" s="1022">
        <f ca="1">SUMIFS(Покупка!AH$25:AH$117,Покупка!$F$25:$F$117,$F83,Покупка!$AC$25:$AC$117,$G83)</f>
        <v>0</v>
      </c>
      <c r="AJ83" s="1022">
        <f ca="1">SUMIFS(Покупка!AI$25:AI$117,Покупка!$F$25:$F$117,$F83,Покупка!$AC$25:$AC$117,$G83)</f>
        <v>0</v>
      </c>
      <c r="AK83" s="1022">
        <f ca="1">SUMIFS(Покупка!AJ$25:AJ$117,Покупка!$F$25:$F$117,$F83,Покупка!$AC$25:$AC$117,$G83)</f>
        <v>0</v>
      </c>
      <c r="AL83" s="1022">
        <f ca="1">SUMIFS(Покупка!AK$25:AK$117,Покупка!$F$25:$F$117,$F83,Покупка!$AC$25:$AC$117,$G83)</f>
        <v>0</v>
      </c>
      <c r="AM83" s="1022">
        <f ca="1">SUMIFS(Покупка!AL$25:AL$117,Покупка!$F$25:$F$117,$F83,Покупка!$AC$25:$AC$117,$G83)</f>
        <v>0</v>
      </c>
      <c r="AN83" s="1022">
        <f ca="1">SUMIFS(Покупка!AM$25:AM$117,Покупка!$F$25:$F$117,$F83,Покупка!$AC$25:$AC$117,$G83)</f>
        <v>0</v>
      </c>
      <c r="AO83" s="1022">
        <f ca="1">SUMIFS(Покупка!AN$25:AN$117,Покупка!$F$25:$F$117,$F83,Покупка!$AC$25:$AC$117,$G83)</f>
        <v>0</v>
      </c>
      <c r="AP83" s="1022">
        <f ca="1">SUMIFS(Покупка!AO$25:AO$117,Покупка!$F$25:$F$117,$F83,Покупка!$AC$25:$AC$117,$G83)</f>
        <v>0</v>
      </c>
      <c r="AQ83" s="1022">
        <f ca="1">SUMIFS(Покупка!AP$25:AP$117,Покупка!$F$25:$F$117,$F83,Покупка!$AC$25:$AC$117,$G83)</f>
        <v>0</v>
      </c>
      <c r="AR83" s="1022">
        <f ca="1">SUMIFS(Покупка!AQ$25:AQ$117,Покупка!$F$25:$F$117,$F83,Покупка!$AC$25:$AC$117,$G83)</f>
        <v>0</v>
      </c>
      <c r="AS83" s="1022">
        <f ca="1">SUMIFS(Покупка!AR$25:AR$117,Покупка!$F$25:$F$117,$F83,Покупка!$AC$25:$AC$117,$G83)</f>
        <v>0</v>
      </c>
      <c r="AT83" s="1022">
        <f ca="1">SUMIFS(Покупка!AS$25:AS$117,Покупка!$F$25:$F$117,$F83,Покупка!$AC$25:$AC$117,$G83)</f>
        <v>0</v>
      </c>
      <c r="AU83" s="1022">
        <f ca="1">SUMIFS(Покупка!AT$25:AT$117,Покупка!$F$25:$F$117,$F83,Покупка!$AC$25:$AC$117,$G83)</f>
        <v>0</v>
      </c>
      <c r="AV83" s="1022">
        <f ca="1">SUMIFS(Покупка!AU$25:AU$117,Покупка!$F$25:$F$117,$F83,Покупка!$AC$25:$AC$117,$G83)</f>
        <v>0</v>
      </c>
      <c r="AW83" s="1022">
        <f ca="1">SUMIFS(Покупка!AV$25:AV$117,Покупка!$F$25:$F$117,$F83,Покупка!$AC$25:$AC$117,$G83)</f>
        <v>0</v>
      </c>
      <c r="AX83" s="1022">
        <f ca="1">SUMIFS(Покупка!AW$25:AW$117,Покупка!$F$25:$F$117,$F83,Покупка!$AC$25:$AC$117,$G83)</f>
        <v>0</v>
      </c>
      <c r="AY83" s="1022">
        <f ca="1">SUMIFS(Покупка!AX$25:AX$117,Покупка!$F$25:$F$117,$F83,Покупка!$AC$25:$AC$117,$G83)</f>
        <v>0</v>
      </c>
      <c r="AZ83" s="1022">
        <f ca="1">SUMIFS(Покупка!AY$25:AY$117,Покупка!$F$25:$F$117,$F83,Покупка!$AC$25:$AC$117,$G83)</f>
        <v>0</v>
      </c>
      <c r="BA83" s="1022">
        <f ca="1">SUMIFS(Покупка!AZ$25:AZ$117,Покупка!$F$25:$F$117,$F83,Покупка!$AC$25:$AC$117,$G83)</f>
        <v>0</v>
      </c>
      <c r="BB83" s="1022">
        <f ca="1">SUMIFS(Покупка!BA$25:BA$117,Покупка!$F$25:$F$117,$F83,Покупка!$AC$25:$AC$117,$G83)</f>
        <v>0</v>
      </c>
      <c r="BC83" s="1022">
        <f ca="1">SUMIFS(Покупка!BB$25:BB$117,Покупка!$F$25:$F$117,$F83,Покупка!$AC$25:$AC$117,$G83)</f>
        <v>0</v>
      </c>
      <c r="BD83" s="1022">
        <f t="shared" ca="1" si="11"/>
        <v>0</v>
      </c>
      <c r="BE83" s="1022">
        <f t="shared" ca="1" si="12"/>
        <v>0</v>
      </c>
      <c r="BF83" s="1022">
        <f t="shared" ca="1" si="13"/>
        <v>0</v>
      </c>
      <c r="BG83" s="1022">
        <f t="shared" ca="1" si="14"/>
        <v>0</v>
      </c>
      <c r="BH83" s="1022">
        <f t="shared" ca="1" si="15"/>
        <v>0</v>
      </c>
      <c r="BI83" s="1022">
        <f t="shared" ca="1" si="16"/>
        <v>0</v>
      </c>
      <c r="BJ83" s="1022">
        <f t="shared" ca="1" si="17"/>
        <v>0</v>
      </c>
      <c r="BK83" s="1022">
        <f t="shared" ca="1" si="18"/>
        <v>0</v>
      </c>
      <c r="BL83" s="1022">
        <f t="shared" ca="1" si="19"/>
        <v>0</v>
      </c>
      <c r="BM83" s="1022">
        <f t="shared" ca="1" si="20"/>
        <v>0</v>
      </c>
      <c r="BN83" s="1145"/>
      <c r="BO83" s="1149" t="str">
        <f ca="1">IF(IFERROR(INDEX(Покупка!$K$26:$L$117,MATCH($F83&amp;"1komm",Покупка!$K$26:$K$117,0),2),"")=0,"",IFERROR(INDEX(Покупка!$K$26:$L$117,MATCH($F83&amp;"1komm",Покупка!$K$26:$K$117,0),2),""))</f>
        <v/>
      </c>
      <c r="BP83" s="1145"/>
      <c r="BS83" s="973" t="s">
        <v>1999</v>
      </c>
    </row>
    <row r="84" spans="2:75" ht="14.65" hidden="1" customHeight="1" x14ac:dyDescent="0.15">
      <c r="C84" s="26"/>
      <c r="D84" s="26"/>
      <c r="E84" s="545">
        <v>15</v>
      </c>
      <c r="F84" s="3" cm="1">
        <f t="array" aca="1" ref="F84" ca="1">OFFSET(E84,-1,1)</f>
        <v>0</v>
      </c>
      <c r="G84" s="26" t="s">
        <v>1096</v>
      </c>
      <c r="H84" s="26"/>
      <c r="I84" s="26" t="s">
        <v>1630</v>
      </c>
      <c r="J84" s="26"/>
      <c r="K84" s="26" t="s">
        <v>1630</v>
      </c>
      <c r="L84" s="889"/>
      <c r="M84" s="26"/>
      <c r="N84" s="26"/>
      <c r="O84" s="26"/>
      <c r="P84" s="26"/>
      <c r="Q84" s="26"/>
      <c r="R84" s="26"/>
      <c r="S84" s="26"/>
      <c r="T84" s="388" t="b" cm="1">
        <f t="array" aca="1" ref="T84" ca="1">T83</f>
        <v>0</v>
      </c>
      <c r="U84" s="26"/>
      <c r="V84" s="26"/>
      <c r="W84" s="26"/>
      <c r="X84" s="2066"/>
      <c r="Z84" s="2012"/>
      <c r="AB84" s="218" t="s">
        <v>2000</v>
      </c>
      <c r="AC84" s="685" t="s">
        <v>2001</v>
      </c>
      <c r="AD84" s="218" t="s">
        <v>831</v>
      </c>
      <c r="AE84" s="1022">
        <f ca="1">SUMIFS(Покупка!AE$25:AE$117,Покупка!$F$25:$F$117,$F84,Покупка!$AC$25:$AC$117,$G84)</f>
        <v>0</v>
      </c>
      <c r="AF84" s="1022">
        <f ca="1">SUMIFS(Покупка!AF$25:AF$117,Покупка!$F$25:$F$117,$F84,Покупка!$AC$25:$AC$117,$G84)</f>
        <v>0</v>
      </c>
      <c r="AG84" s="1022">
        <f ca="1">SUMIFS(Покупка!AG$25:AG$117,Покупка!$F$25:$F$117,$F84,Покупка!$AC$25:$AC$117,$G84)</f>
        <v>0</v>
      </c>
      <c r="AH84" s="1022">
        <f t="shared" ca="1" si="9"/>
        <v>0</v>
      </c>
      <c r="AI84" s="1022">
        <f ca="1">SUMIFS(Покупка!AH$25:AH$117,Покупка!$F$25:$F$117,$F84,Покупка!$AC$25:$AC$117,$G84)</f>
        <v>0</v>
      </c>
      <c r="AJ84" s="1022">
        <f ca="1">SUMIFS(Покупка!AI$25:AI$117,Покупка!$F$25:$F$117,$F84,Покупка!$AC$25:$AC$117,$G84)</f>
        <v>0</v>
      </c>
      <c r="AK84" s="1022">
        <f ca="1">SUMIFS(Покупка!AJ$25:AJ$117,Покупка!$F$25:$F$117,$F84,Покупка!$AC$25:$AC$117,$G84)</f>
        <v>0</v>
      </c>
      <c r="AL84" s="1022">
        <f ca="1">SUMIFS(Покупка!AK$25:AK$117,Покупка!$F$25:$F$117,$F84,Покупка!$AC$25:$AC$117,$G84)</f>
        <v>0</v>
      </c>
      <c r="AM84" s="1022">
        <f ca="1">SUMIFS(Покупка!AL$25:AL$117,Покупка!$F$25:$F$117,$F84,Покупка!$AC$25:$AC$117,$G84)</f>
        <v>0</v>
      </c>
      <c r="AN84" s="1022">
        <f ca="1">SUMIFS(Покупка!AM$25:AM$117,Покупка!$F$25:$F$117,$F84,Покупка!$AC$25:$AC$117,$G84)</f>
        <v>0</v>
      </c>
      <c r="AO84" s="1022">
        <f ca="1">SUMIFS(Покупка!AN$25:AN$117,Покупка!$F$25:$F$117,$F84,Покупка!$AC$25:$AC$117,$G84)</f>
        <v>0</v>
      </c>
      <c r="AP84" s="1022">
        <f ca="1">SUMIFS(Покупка!AO$25:AO$117,Покупка!$F$25:$F$117,$F84,Покупка!$AC$25:$AC$117,$G84)</f>
        <v>0</v>
      </c>
      <c r="AQ84" s="1022">
        <f ca="1">SUMIFS(Покупка!AP$25:AP$117,Покупка!$F$25:$F$117,$F84,Покупка!$AC$25:$AC$117,$G84)</f>
        <v>0</v>
      </c>
      <c r="AR84" s="1022">
        <f ca="1">SUMIFS(Покупка!AQ$25:AQ$117,Покупка!$F$25:$F$117,$F84,Покупка!$AC$25:$AC$117,$G84)</f>
        <v>0</v>
      </c>
      <c r="AS84" s="1022">
        <f ca="1">SUMIFS(Покупка!AR$25:AR$117,Покупка!$F$25:$F$117,$F84,Покупка!$AC$25:$AC$117,$G84)</f>
        <v>0</v>
      </c>
      <c r="AT84" s="1022">
        <f ca="1">SUMIFS(Покупка!AS$25:AS$117,Покупка!$F$25:$F$117,$F84,Покупка!$AC$25:$AC$117,$G84)</f>
        <v>0</v>
      </c>
      <c r="AU84" s="1022">
        <f ca="1">SUMIFS(Покупка!AT$25:AT$117,Покупка!$F$25:$F$117,$F84,Покупка!$AC$25:$AC$117,$G84)</f>
        <v>0</v>
      </c>
      <c r="AV84" s="1022">
        <f ca="1">SUMIFS(Покупка!AU$25:AU$117,Покупка!$F$25:$F$117,$F84,Покупка!$AC$25:$AC$117,$G84)</f>
        <v>0</v>
      </c>
      <c r="AW84" s="1022">
        <f ca="1">SUMIFS(Покупка!AV$25:AV$117,Покупка!$F$25:$F$117,$F84,Покупка!$AC$25:$AC$117,$G84)</f>
        <v>0</v>
      </c>
      <c r="AX84" s="1022">
        <f ca="1">SUMIFS(Покупка!AW$25:AW$117,Покупка!$F$25:$F$117,$F84,Покупка!$AC$25:$AC$117,$G84)</f>
        <v>0</v>
      </c>
      <c r="AY84" s="1022">
        <f ca="1">SUMIFS(Покупка!AX$25:AX$117,Покупка!$F$25:$F$117,$F84,Покупка!$AC$25:$AC$117,$G84)</f>
        <v>0</v>
      </c>
      <c r="AZ84" s="1022">
        <f ca="1">SUMIFS(Покупка!AY$25:AY$117,Покупка!$F$25:$F$117,$F84,Покупка!$AC$25:$AC$117,$G84)</f>
        <v>0</v>
      </c>
      <c r="BA84" s="1022">
        <f ca="1">SUMIFS(Покупка!AZ$25:AZ$117,Покупка!$F$25:$F$117,$F84,Покупка!$AC$25:$AC$117,$G84)</f>
        <v>0</v>
      </c>
      <c r="BB84" s="1022">
        <f ca="1">SUMIFS(Покупка!BA$25:BA$117,Покупка!$F$25:$F$117,$F84,Покупка!$AC$25:$AC$117,$G84)</f>
        <v>0</v>
      </c>
      <c r="BC84" s="1022">
        <f ca="1">SUMIFS(Покупка!BB$25:BB$117,Покупка!$F$25:$F$117,$F84,Покупка!$AC$25:$AC$117,$G84)</f>
        <v>0</v>
      </c>
      <c r="BD84" s="1022">
        <f t="shared" ca="1" si="11"/>
        <v>0</v>
      </c>
      <c r="BE84" s="1022">
        <f t="shared" ca="1" si="12"/>
        <v>0</v>
      </c>
      <c r="BF84" s="1022">
        <f t="shared" ca="1" si="13"/>
        <v>0</v>
      </c>
      <c r="BG84" s="1022">
        <f t="shared" ca="1" si="14"/>
        <v>0</v>
      </c>
      <c r="BH84" s="1022">
        <f t="shared" ca="1" si="15"/>
        <v>0</v>
      </c>
      <c r="BI84" s="1022">
        <f t="shared" ca="1" si="16"/>
        <v>0</v>
      </c>
      <c r="BJ84" s="1022">
        <f t="shared" ca="1" si="17"/>
        <v>0</v>
      </c>
      <c r="BK84" s="1022">
        <f t="shared" ca="1" si="18"/>
        <v>0</v>
      </c>
      <c r="BL84" s="1022">
        <f t="shared" ca="1" si="19"/>
        <v>0</v>
      </c>
      <c r="BM84" s="1022">
        <f t="shared" ca="1" si="20"/>
        <v>0</v>
      </c>
      <c r="BN84" s="1145"/>
      <c r="BO84" s="1149" t="str">
        <f ca="1">IF(IFERROR(INDEX(Покупка!$K$26:$L$117,MATCH($F84&amp;"8komm",Покупка!$K$26:$K$117,0),2),"")=0,"",IFERROR(INDEX(Покупка!$K$26:$L$117,MATCH($F84&amp;"8komm",Покупка!$K$26:$K$117,0),2),""))</f>
        <v/>
      </c>
      <c r="BP84" s="1145"/>
      <c r="BS84" s="973" t="s">
        <v>1097</v>
      </c>
    </row>
    <row r="85" spans="2:75" ht="14.65" hidden="1" customHeight="1" x14ac:dyDescent="0.15">
      <c r="C85" s="26"/>
      <c r="D85" s="26"/>
      <c r="E85" s="545">
        <v>15</v>
      </c>
      <c r="F85" s="3" cm="1">
        <f t="array" aca="1" ref="F85" ca="1">OFFSET(E85,-1,1)</f>
        <v>0</v>
      </c>
      <c r="G85" s="26"/>
      <c r="H85" s="26"/>
      <c r="I85" s="26" t="s">
        <v>2002</v>
      </c>
      <c r="J85" s="26"/>
      <c r="K85" s="26" t="s">
        <v>2002</v>
      </c>
      <c r="L85" s="889"/>
      <c r="M85" s="26"/>
      <c r="N85" s="26"/>
      <c r="O85" s="26"/>
      <c r="P85" s="26"/>
      <c r="Q85" s="26"/>
      <c r="R85" s="26"/>
      <c r="S85" s="26"/>
      <c r="T85" s="388" t="b" cm="1">
        <f t="array" aca="1" ref="T85" ca="1">T84</f>
        <v>0</v>
      </c>
      <c r="U85" s="26"/>
      <c r="V85" s="26"/>
      <c r="W85" s="26"/>
      <c r="X85" s="2066"/>
      <c r="Z85" s="2012"/>
      <c r="AB85" s="218" t="s">
        <v>2003</v>
      </c>
      <c r="AC85" s="685" t="s">
        <v>2004</v>
      </c>
      <c r="AD85" s="218" t="s">
        <v>831</v>
      </c>
      <c r="AE85" s="1148"/>
      <c r="AF85" s="1148"/>
      <c r="AG85" s="1148"/>
      <c r="AH85" s="1022">
        <f t="shared" si="9"/>
        <v>0</v>
      </c>
      <c r="AI85" s="1148"/>
      <c r="AJ85" s="1514"/>
      <c r="AK85" s="1148"/>
      <c r="AL85" s="1148"/>
      <c r="AM85" s="1148"/>
      <c r="AN85" s="1148"/>
      <c r="AO85" s="1148"/>
      <c r="AP85" s="1148"/>
      <c r="AQ85" s="1148"/>
      <c r="AR85" s="1148"/>
      <c r="AS85" s="1148"/>
      <c r="AT85" s="1514"/>
      <c r="AU85" s="1148"/>
      <c r="AV85" s="1148"/>
      <c r="AW85" s="1148"/>
      <c r="AX85" s="1148"/>
      <c r="AY85" s="1148"/>
      <c r="AZ85" s="1148"/>
      <c r="BA85" s="1148"/>
      <c r="BB85" s="1148"/>
      <c r="BC85" s="1148"/>
      <c r="BD85" s="1022">
        <f t="shared" si="11"/>
        <v>0</v>
      </c>
      <c r="BE85" s="1022">
        <f t="shared" si="12"/>
        <v>0</v>
      </c>
      <c r="BF85" s="1022">
        <f t="shared" si="13"/>
        <v>0</v>
      </c>
      <c r="BG85" s="1022">
        <f t="shared" si="14"/>
        <v>0</v>
      </c>
      <c r="BH85" s="1022">
        <f t="shared" si="15"/>
        <v>0</v>
      </c>
      <c r="BI85" s="1022">
        <f t="shared" si="16"/>
        <v>0</v>
      </c>
      <c r="BJ85" s="1022">
        <f t="shared" si="17"/>
        <v>0</v>
      </c>
      <c r="BK85" s="1022">
        <f t="shared" si="18"/>
        <v>0</v>
      </c>
      <c r="BL85" s="1022">
        <f t="shared" si="19"/>
        <v>0</v>
      </c>
      <c r="BM85" s="1022">
        <f t="shared" si="20"/>
        <v>0</v>
      </c>
      <c r="BN85" s="1145"/>
      <c r="BO85" s="1145"/>
      <c r="BP85" s="1145"/>
      <c r="BS85" s="973" t="s">
        <v>2005</v>
      </c>
    </row>
    <row r="86" spans="2:75" ht="14.65" hidden="1" customHeight="1" x14ac:dyDescent="0.15">
      <c r="C86" s="26"/>
      <c r="D86" s="26"/>
      <c r="E86" s="545">
        <v>15</v>
      </c>
      <c r="F86" s="3" cm="1">
        <f t="array" aca="1" ref="F86" ca="1">OFFSET(E86,-1,1)</f>
        <v>0</v>
      </c>
      <c r="G86" s="26"/>
      <c r="H86" s="26"/>
      <c r="I86" s="26" t="s">
        <v>2006</v>
      </c>
      <c r="J86" s="26"/>
      <c r="K86" s="26" t="s">
        <v>2006</v>
      </c>
      <c r="L86" s="889"/>
      <c r="M86" s="26"/>
      <c r="N86" s="26"/>
      <c r="O86" s="26"/>
      <c r="P86" s="26"/>
      <c r="Q86" s="26"/>
      <c r="R86" s="26"/>
      <c r="S86" s="26"/>
      <c r="T86" s="388" t="b" cm="1">
        <f t="array" aca="1" ref="T86" ca="1">T85</f>
        <v>0</v>
      </c>
      <c r="U86" s="26"/>
      <c r="V86" s="26"/>
      <c r="W86" s="26"/>
      <c r="X86" s="2066"/>
      <c r="Z86" s="2012"/>
      <c r="AB86" s="218" t="s">
        <v>2007</v>
      </c>
      <c r="AC86" s="685" t="s">
        <v>2008</v>
      </c>
      <c r="AD86" s="218" t="s">
        <v>831</v>
      </c>
      <c r="AE86" s="1148"/>
      <c r="AF86" s="1148"/>
      <c r="AG86" s="1148"/>
      <c r="AH86" s="1022">
        <f t="shared" si="9"/>
        <v>0</v>
      </c>
      <c r="AI86" s="1148"/>
      <c r="AJ86" s="1514"/>
      <c r="AK86" s="1148"/>
      <c r="AL86" s="1148"/>
      <c r="AM86" s="1148"/>
      <c r="AN86" s="1148"/>
      <c r="AO86" s="1148"/>
      <c r="AP86" s="1148"/>
      <c r="AQ86" s="1148"/>
      <c r="AR86" s="1148"/>
      <c r="AS86" s="1148"/>
      <c r="AT86" s="1514"/>
      <c r="AU86" s="1148"/>
      <c r="AV86" s="1148"/>
      <c r="AW86" s="1148"/>
      <c r="AX86" s="1148"/>
      <c r="AY86" s="1148"/>
      <c r="AZ86" s="1148"/>
      <c r="BA86" s="1148"/>
      <c r="BB86" s="1148"/>
      <c r="BC86" s="1148"/>
      <c r="BD86" s="1022">
        <f t="shared" si="11"/>
        <v>0</v>
      </c>
      <c r="BE86" s="1022">
        <f t="shared" si="12"/>
        <v>0</v>
      </c>
      <c r="BF86" s="1022">
        <f t="shared" si="13"/>
        <v>0</v>
      </c>
      <c r="BG86" s="1022">
        <f t="shared" si="14"/>
        <v>0</v>
      </c>
      <c r="BH86" s="1022">
        <f t="shared" si="15"/>
        <v>0</v>
      </c>
      <c r="BI86" s="1022">
        <f t="shared" si="16"/>
        <v>0</v>
      </c>
      <c r="BJ86" s="1022">
        <f t="shared" si="17"/>
        <v>0</v>
      </c>
      <c r="BK86" s="1022">
        <f t="shared" si="18"/>
        <v>0</v>
      </c>
      <c r="BL86" s="1022">
        <f t="shared" si="19"/>
        <v>0</v>
      </c>
      <c r="BM86" s="1022">
        <f t="shared" si="20"/>
        <v>0</v>
      </c>
      <c r="BN86" s="1145"/>
      <c r="BO86" s="1145"/>
      <c r="BP86" s="1145"/>
      <c r="BS86" s="973" t="s">
        <v>2009</v>
      </c>
    </row>
    <row r="87" spans="2:75" ht="14.65" hidden="1" customHeight="1" x14ac:dyDescent="0.15">
      <c r="C87" s="26"/>
      <c r="D87" s="26"/>
      <c r="E87" s="545">
        <v>15</v>
      </c>
      <c r="F87" s="3" cm="1">
        <f t="array" aca="1" ref="F87" ca="1">OFFSET(E87,-1,1)</f>
        <v>0</v>
      </c>
      <c r="G87" s="26" t="s">
        <v>1074</v>
      </c>
      <c r="H87" s="26"/>
      <c r="I87" s="26" t="s">
        <v>2010</v>
      </c>
      <c r="J87" s="26"/>
      <c r="K87" s="26" t="s">
        <v>2010</v>
      </c>
      <c r="L87" s="889" t="s">
        <v>1487</v>
      </c>
      <c r="M87" s="26"/>
      <c r="N87" s="26"/>
      <c r="O87" s="26"/>
      <c r="P87" s="26"/>
      <c r="Q87" s="26"/>
      <c r="R87" s="26"/>
      <c r="S87" s="26"/>
      <c r="T87" s="388" t="b" cm="1">
        <f t="array" aca="1" ref="T87" ca="1">T86</f>
        <v>0</v>
      </c>
      <c r="U87" s="26"/>
      <c r="V87" s="26"/>
      <c r="W87" s="26"/>
      <c r="X87" s="2066"/>
      <c r="Z87" s="2012"/>
      <c r="AB87" s="218" t="s">
        <v>2011</v>
      </c>
      <c r="AC87" s="685" t="s">
        <v>2012</v>
      </c>
      <c r="AD87" s="218" t="s">
        <v>831</v>
      </c>
      <c r="AE87" s="1022">
        <f ca="1">SUMIFS(Покупка!AE$25:AE$117,Покупка!$F$25:$F$117,$F87,Покупка!$AC$25:$AC$117,$G87)</f>
        <v>0</v>
      </c>
      <c r="AF87" s="1022">
        <f ca="1">SUMIFS(Покупка!AF$25:AF$117,Покупка!$F$25:$F$117,$F87,Покупка!$AC$25:$AC$117,$G87)</f>
        <v>0</v>
      </c>
      <c r="AG87" s="1022">
        <f ca="1">SUMIFS(Покупка!AG$25:AG$117,Покупка!$F$25:$F$117,$F87,Покупка!$AC$25:$AC$117,$G87)</f>
        <v>0</v>
      </c>
      <c r="AH87" s="1022">
        <f t="shared" ca="1" si="9"/>
        <v>0</v>
      </c>
      <c r="AI87" s="1022">
        <f ca="1">SUMIFS(Покупка!AH$25:AH$117,Покупка!$F$25:$F$117,$F87,Покупка!$AC$25:$AC$117,$G87)</f>
        <v>0</v>
      </c>
      <c r="AJ87" s="1022">
        <f ca="1">SUMIFS(Покупка!AI$25:AI$117,Покупка!$F$25:$F$117,$F87,Покупка!$AC$25:$AC$117,$G87)</f>
        <v>0</v>
      </c>
      <c r="AK87" s="1022">
        <f ca="1">SUMIFS(Покупка!AJ$25:AJ$117,Покупка!$F$25:$F$117,$F87,Покупка!$AC$25:$AC$117,$G87)</f>
        <v>0</v>
      </c>
      <c r="AL87" s="1022">
        <f ca="1">SUMIFS(Покупка!AK$25:AK$117,Покупка!$F$25:$F$117,$F87,Покупка!$AC$25:$AC$117,$G87)</f>
        <v>0</v>
      </c>
      <c r="AM87" s="1022">
        <f ca="1">SUMIFS(Покупка!AL$25:AL$117,Покупка!$F$25:$F$117,$F87,Покупка!$AC$25:$AC$117,$G87)</f>
        <v>0</v>
      </c>
      <c r="AN87" s="1022">
        <f ca="1">SUMIFS(Покупка!AM$25:AM$117,Покупка!$F$25:$F$117,$F87,Покупка!$AC$25:$AC$117,$G87)</f>
        <v>0</v>
      </c>
      <c r="AO87" s="1022">
        <f ca="1">SUMIFS(Покупка!AN$25:AN$117,Покупка!$F$25:$F$117,$F87,Покупка!$AC$25:$AC$117,$G87)</f>
        <v>0</v>
      </c>
      <c r="AP87" s="1022">
        <f ca="1">SUMIFS(Покупка!AO$25:AO$117,Покупка!$F$25:$F$117,$F87,Покупка!$AC$25:$AC$117,$G87)</f>
        <v>0</v>
      </c>
      <c r="AQ87" s="1022">
        <f ca="1">SUMIFS(Покупка!AP$25:AP$117,Покупка!$F$25:$F$117,$F87,Покупка!$AC$25:$AC$117,$G87)</f>
        <v>0</v>
      </c>
      <c r="AR87" s="1022">
        <f ca="1">SUMIFS(Покупка!AQ$25:AQ$117,Покупка!$F$25:$F$117,$F87,Покупка!$AC$25:$AC$117,$G87)</f>
        <v>0</v>
      </c>
      <c r="AS87" s="1022">
        <f ca="1">SUMIFS(Покупка!AR$25:AR$117,Покупка!$F$25:$F$117,$F87,Покупка!$AC$25:$AC$117,$G87)</f>
        <v>0</v>
      </c>
      <c r="AT87" s="1022">
        <f ca="1">SUMIFS(Покупка!AS$25:AS$117,Покупка!$F$25:$F$117,$F87,Покупка!$AC$25:$AC$117,$G87)</f>
        <v>0</v>
      </c>
      <c r="AU87" s="1022">
        <f ca="1">SUMIFS(Покупка!AT$25:AT$117,Покупка!$F$25:$F$117,$F87,Покупка!$AC$25:$AC$117,$G87)</f>
        <v>0</v>
      </c>
      <c r="AV87" s="1022">
        <f ca="1">SUMIFS(Покупка!AU$25:AU$117,Покупка!$F$25:$F$117,$F87,Покупка!$AC$25:$AC$117,$G87)</f>
        <v>0</v>
      </c>
      <c r="AW87" s="1022">
        <f ca="1">SUMIFS(Покупка!AV$25:AV$117,Покупка!$F$25:$F$117,$F87,Покупка!$AC$25:$AC$117,$G87)</f>
        <v>0</v>
      </c>
      <c r="AX87" s="1022">
        <f ca="1">SUMIFS(Покупка!AW$25:AW$117,Покупка!$F$25:$F$117,$F87,Покупка!$AC$25:$AC$117,$G87)</f>
        <v>0</v>
      </c>
      <c r="AY87" s="1022">
        <f ca="1">SUMIFS(Покупка!AX$25:AX$117,Покупка!$F$25:$F$117,$F87,Покупка!$AC$25:$AC$117,$G87)</f>
        <v>0</v>
      </c>
      <c r="AZ87" s="1022">
        <f ca="1">SUMIFS(Покупка!AY$25:AY$117,Покупка!$F$25:$F$117,$F87,Покупка!$AC$25:$AC$117,$G87)</f>
        <v>0</v>
      </c>
      <c r="BA87" s="1022">
        <f ca="1">SUMIFS(Покупка!AZ$25:AZ$117,Покупка!$F$25:$F$117,$F87,Покупка!$AC$25:$AC$117,$G87)</f>
        <v>0</v>
      </c>
      <c r="BB87" s="1022">
        <f ca="1">SUMIFS(Покупка!BA$25:BA$117,Покупка!$F$25:$F$117,$F87,Покупка!$AC$25:$AC$117,$G87)</f>
        <v>0</v>
      </c>
      <c r="BC87" s="1022">
        <f ca="1">SUMIFS(Покупка!BB$25:BB$117,Покупка!$F$25:$F$117,$F87,Покупка!$AC$25:$AC$117,$G87)</f>
        <v>0</v>
      </c>
      <c r="BD87" s="1022">
        <f t="shared" ca="1" si="11"/>
        <v>0</v>
      </c>
      <c r="BE87" s="1022">
        <f t="shared" ca="1" si="12"/>
        <v>0</v>
      </c>
      <c r="BF87" s="1022">
        <f t="shared" ca="1" si="13"/>
        <v>0</v>
      </c>
      <c r="BG87" s="1022">
        <f t="shared" ca="1" si="14"/>
        <v>0</v>
      </c>
      <c r="BH87" s="1022">
        <f t="shared" ca="1" si="15"/>
        <v>0</v>
      </c>
      <c r="BI87" s="1022">
        <f t="shared" ca="1" si="16"/>
        <v>0</v>
      </c>
      <c r="BJ87" s="1022">
        <f t="shared" ca="1" si="17"/>
        <v>0</v>
      </c>
      <c r="BK87" s="1022">
        <f t="shared" ca="1" si="18"/>
        <v>0</v>
      </c>
      <c r="BL87" s="1022">
        <f t="shared" ca="1" si="19"/>
        <v>0</v>
      </c>
      <c r="BM87" s="1022">
        <f t="shared" ca="1" si="20"/>
        <v>0</v>
      </c>
      <c r="BN87" s="1145"/>
      <c r="BO87" s="1149" t="str">
        <f ca="1">IF(IFERROR(INDEX(Покупка!$K$26:$L$117,MATCH($F87&amp;"3komm",Покупка!$K$26:$K$117,0),2),"")=0,"",IFERROR(INDEX(Покупка!$K$26:$L$117,MATCH($F87&amp;"3komm",Покупка!$K$26:$K$117,0),2),""))</f>
        <v/>
      </c>
      <c r="BP87" s="1145"/>
      <c r="BS87" s="973" t="s">
        <v>1705</v>
      </c>
    </row>
    <row r="88" spans="2:75" ht="14.65" hidden="1" customHeight="1" x14ac:dyDescent="0.15">
      <c r="C88" s="26"/>
      <c r="D88" s="26"/>
      <c r="E88" s="545">
        <v>15</v>
      </c>
      <c r="F88" s="3" cm="1">
        <f t="array" aca="1" ref="F88" ca="1">OFFSET(E88,-1,1)</f>
        <v>0</v>
      </c>
      <c r="G88" s="26" t="s">
        <v>1080</v>
      </c>
      <c r="H88" s="26"/>
      <c r="I88" s="26" t="s">
        <v>2013</v>
      </c>
      <c r="J88" s="26"/>
      <c r="K88" s="26" t="s">
        <v>2013</v>
      </c>
      <c r="L88" s="889" t="s">
        <v>1492</v>
      </c>
      <c r="M88" s="26"/>
      <c r="N88" s="26"/>
      <c r="O88" s="26"/>
      <c r="P88" s="26"/>
      <c r="Q88" s="26"/>
      <c r="R88" s="26"/>
      <c r="S88" s="26"/>
      <c r="T88" s="388" t="b" cm="1">
        <f t="array" aca="1" ref="T88" ca="1">T87</f>
        <v>0</v>
      </c>
      <c r="U88" s="26"/>
      <c r="V88" s="26"/>
      <c r="W88" s="26"/>
      <c r="X88" s="2066"/>
      <c r="Z88" s="2012"/>
      <c r="AB88" s="218" t="s">
        <v>2014</v>
      </c>
      <c r="AC88" s="685" t="s">
        <v>2015</v>
      </c>
      <c r="AD88" s="218" t="s">
        <v>831</v>
      </c>
      <c r="AE88" s="1022">
        <f ca="1">SUMIFS(Покупка!AE$25:AE$117,Покупка!$F$25:$F$117,$F88,Покупка!$AC$25:$AC$117,$G88)</f>
        <v>0</v>
      </c>
      <c r="AF88" s="1022">
        <f ca="1">SUMIFS(Покупка!AF$25:AF$117,Покупка!$F$25:$F$117,$F88,Покупка!$AC$25:$AC$117,$G88)</f>
        <v>0</v>
      </c>
      <c r="AG88" s="1022">
        <f ca="1">SUMIFS(Покупка!AG$25:AG$117,Покупка!$F$25:$F$117,$F88,Покупка!$AC$25:$AC$117,$G88)</f>
        <v>0</v>
      </c>
      <c r="AH88" s="1022">
        <f t="shared" ca="1" si="9"/>
        <v>0</v>
      </c>
      <c r="AI88" s="1022">
        <f ca="1">SUMIFS(Покупка!AH$25:AH$117,Покупка!$F$25:$F$117,$F88,Покупка!$AC$25:$AC$117,$G88)</f>
        <v>0</v>
      </c>
      <c r="AJ88" s="1022">
        <f ca="1">SUMIFS(Покупка!AI$25:AI$117,Покупка!$F$25:$F$117,$F88,Покупка!$AC$25:$AC$117,$G88)</f>
        <v>0</v>
      </c>
      <c r="AK88" s="1022">
        <f ca="1">SUMIFS(Покупка!AJ$25:AJ$117,Покупка!$F$25:$F$117,$F88,Покупка!$AC$25:$AC$117,$G88)</f>
        <v>0</v>
      </c>
      <c r="AL88" s="1022">
        <f ca="1">SUMIFS(Покупка!AK$25:AK$117,Покупка!$F$25:$F$117,$F88,Покупка!$AC$25:$AC$117,$G88)</f>
        <v>0</v>
      </c>
      <c r="AM88" s="1022">
        <f ca="1">SUMIFS(Покупка!AL$25:AL$117,Покупка!$F$25:$F$117,$F88,Покупка!$AC$25:$AC$117,$G88)</f>
        <v>0</v>
      </c>
      <c r="AN88" s="1022">
        <f ca="1">SUMIFS(Покупка!AM$25:AM$117,Покупка!$F$25:$F$117,$F88,Покупка!$AC$25:$AC$117,$G88)</f>
        <v>0</v>
      </c>
      <c r="AO88" s="1022">
        <f ca="1">SUMIFS(Покупка!AN$25:AN$117,Покупка!$F$25:$F$117,$F88,Покупка!$AC$25:$AC$117,$G88)</f>
        <v>0</v>
      </c>
      <c r="AP88" s="1022">
        <f ca="1">SUMIFS(Покупка!AO$25:AO$117,Покупка!$F$25:$F$117,$F88,Покупка!$AC$25:$AC$117,$G88)</f>
        <v>0</v>
      </c>
      <c r="AQ88" s="1022">
        <f ca="1">SUMIFS(Покупка!AP$25:AP$117,Покупка!$F$25:$F$117,$F88,Покупка!$AC$25:$AC$117,$G88)</f>
        <v>0</v>
      </c>
      <c r="AR88" s="1022">
        <f ca="1">SUMIFS(Покупка!AQ$25:AQ$117,Покупка!$F$25:$F$117,$F88,Покупка!$AC$25:$AC$117,$G88)</f>
        <v>0</v>
      </c>
      <c r="AS88" s="1022">
        <f ca="1">SUMIFS(Покупка!AR$25:AR$117,Покупка!$F$25:$F$117,$F88,Покупка!$AC$25:$AC$117,$G88)</f>
        <v>0</v>
      </c>
      <c r="AT88" s="1022">
        <f ca="1">SUMIFS(Покупка!AS$25:AS$117,Покупка!$F$25:$F$117,$F88,Покупка!$AC$25:$AC$117,$G88)</f>
        <v>0</v>
      </c>
      <c r="AU88" s="1022">
        <f ca="1">SUMIFS(Покупка!AT$25:AT$117,Покупка!$F$25:$F$117,$F88,Покупка!$AC$25:$AC$117,$G88)</f>
        <v>0</v>
      </c>
      <c r="AV88" s="1022">
        <f ca="1">SUMIFS(Покупка!AU$25:AU$117,Покупка!$F$25:$F$117,$F88,Покупка!$AC$25:$AC$117,$G88)</f>
        <v>0</v>
      </c>
      <c r="AW88" s="1022">
        <f ca="1">SUMIFS(Покупка!AV$25:AV$117,Покупка!$F$25:$F$117,$F88,Покупка!$AC$25:$AC$117,$G88)</f>
        <v>0</v>
      </c>
      <c r="AX88" s="1022">
        <f ca="1">SUMIFS(Покупка!AW$25:AW$117,Покупка!$F$25:$F$117,$F88,Покупка!$AC$25:$AC$117,$G88)</f>
        <v>0</v>
      </c>
      <c r="AY88" s="1022">
        <f ca="1">SUMIFS(Покупка!AX$25:AX$117,Покупка!$F$25:$F$117,$F88,Покупка!$AC$25:$AC$117,$G88)</f>
        <v>0</v>
      </c>
      <c r="AZ88" s="1022">
        <f ca="1">SUMIFS(Покупка!AY$25:AY$117,Покупка!$F$25:$F$117,$F88,Покупка!$AC$25:$AC$117,$G88)</f>
        <v>0</v>
      </c>
      <c r="BA88" s="1022">
        <f ca="1">SUMIFS(Покупка!AZ$25:AZ$117,Покупка!$F$25:$F$117,$F88,Покупка!$AC$25:$AC$117,$G88)</f>
        <v>0</v>
      </c>
      <c r="BB88" s="1022">
        <f ca="1">SUMIFS(Покупка!BA$25:BA$117,Покупка!$F$25:$F$117,$F88,Покупка!$AC$25:$AC$117,$G88)</f>
        <v>0</v>
      </c>
      <c r="BC88" s="1022">
        <f ca="1">SUMIFS(Покупка!BB$25:BB$117,Покупка!$F$25:$F$117,$F88,Покупка!$AC$25:$AC$117,$G88)</f>
        <v>0</v>
      </c>
      <c r="BD88" s="1022">
        <f t="shared" ca="1" si="11"/>
        <v>0</v>
      </c>
      <c r="BE88" s="1022">
        <f t="shared" ca="1" si="12"/>
        <v>0</v>
      </c>
      <c r="BF88" s="1022">
        <f t="shared" ca="1" si="13"/>
        <v>0</v>
      </c>
      <c r="BG88" s="1022">
        <f t="shared" ca="1" si="14"/>
        <v>0</v>
      </c>
      <c r="BH88" s="1022">
        <f t="shared" ca="1" si="15"/>
        <v>0</v>
      </c>
      <c r="BI88" s="1022">
        <f t="shared" ca="1" si="16"/>
        <v>0</v>
      </c>
      <c r="BJ88" s="1022">
        <f t="shared" ca="1" si="17"/>
        <v>0</v>
      </c>
      <c r="BK88" s="1022">
        <f t="shared" ca="1" si="18"/>
        <v>0</v>
      </c>
      <c r="BL88" s="1022">
        <f t="shared" ca="1" si="19"/>
        <v>0</v>
      </c>
      <c r="BM88" s="1022">
        <f t="shared" ca="1" si="20"/>
        <v>0</v>
      </c>
      <c r="BN88" s="1145"/>
      <c r="BO88" s="1149" t="str">
        <f ca="1">IF(IFERROR(INDEX(Покупка!$K$26:$L$117,MATCH($F88&amp;"4komm",Покупка!$K$26:$K$117,0),2),"")=0,"",IFERROR(INDEX(Покупка!$K$26:$L$117,MATCH($F87&amp;"3komm",Покупка!$K$26:$K$117,0),2),""))</f>
        <v/>
      </c>
      <c r="BP88" s="1145"/>
      <c r="BS88" s="973" t="s">
        <v>1708</v>
      </c>
    </row>
    <row r="89" spans="2:75" ht="14.65" hidden="1" customHeight="1" x14ac:dyDescent="0.15">
      <c r="C89" s="26"/>
      <c r="D89" s="26"/>
      <c r="E89" s="545">
        <v>15</v>
      </c>
      <c r="F89" s="3" cm="1">
        <f t="array" aca="1" ref="F89" ca="1">OFFSET(E89,-1,1)</f>
        <v>0</v>
      </c>
      <c r="G89" s="26" t="s">
        <v>1086</v>
      </c>
      <c r="H89" s="26"/>
      <c r="I89" s="26" t="s">
        <v>2016</v>
      </c>
      <c r="J89" s="26"/>
      <c r="K89" s="26" t="s">
        <v>2016</v>
      </c>
      <c r="L89" s="889" t="s">
        <v>1502</v>
      </c>
      <c r="M89" s="26"/>
      <c r="N89" s="26"/>
      <c r="O89" s="26"/>
      <c r="P89" s="26"/>
      <c r="Q89" s="26"/>
      <c r="R89" s="26"/>
      <c r="S89" s="26"/>
      <c r="T89" s="388" t="b" cm="1">
        <f t="array" aca="1" ref="T89" ca="1">T88</f>
        <v>0</v>
      </c>
      <c r="U89" s="26"/>
      <c r="V89" s="26"/>
      <c r="W89" s="26"/>
      <c r="X89" s="2066"/>
      <c r="Z89" s="2012"/>
      <c r="AB89" s="218" t="s">
        <v>2017</v>
      </c>
      <c r="AC89" s="685" t="s">
        <v>2018</v>
      </c>
      <c r="AD89" s="218" t="s">
        <v>831</v>
      </c>
      <c r="AE89" s="1022">
        <f ca="1">SUMIFS(Покупка!AE$25:AE$117,Покупка!$F$25:$F$117,$F89,Покупка!$AC$25:$AC$117,$G89)</f>
        <v>0</v>
      </c>
      <c r="AF89" s="1022">
        <f ca="1">SUMIFS(Покупка!AF$25:AF$117,Покупка!$F$25:$F$117,$F89,Покупка!$AC$25:$AC$117,$G89)</f>
        <v>0</v>
      </c>
      <c r="AG89" s="1022">
        <f ca="1">SUMIFS(Покупка!AG$25:AG$117,Покупка!$F$25:$F$117,$F89,Покупка!$AC$25:$AC$117,$G89)</f>
        <v>0</v>
      </c>
      <c r="AH89" s="1022">
        <f t="shared" ca="1" si="9"/>
        <v>0</v>
      </c>
      <c r="AI89" s="1022">
        <f ca="1">SUMIFS(Покупка!AH$25:AH$117,Покупка!$F$25:$F$117,$F89,Покупка!$AC$25:$AC$117,$G89)</f>
        <v>0</v>
      </c>
      <c r="AJ89" s="1022">
        <f ca="1">SUMIFS(Покупка!AI$25:AI$117,Покупка!$F$25:$F$117,$F89,Покупка!$AC$25:$AC$117,$G89)</f>
        <v>0</v>
      </c>
      <c r="AK89" s="1022">
        <f ca="1">SUMIFS(Покупка!AJ$25:AJ$117,Покупка!$F$25:$F$117,$F89,Покупка!$AC$25:$AC$117,$G89)</f>
        <v>0</v>
      </c>
      <c r="AL89" s="1022">
        <f ca="1">SUMIFS(Покупка!AK$25:AK$117,Покупка!$F$25:$F$117,$F89,Покупка!$AC$25:$AC$117,$G89)</f>
        <v>0</v>
      </c>
      <c r="AM89" s="1022">
        <f ca="1">SUMIFS(Покупка!AL$25:AL$117,Покупка!$F$25:$F$117,$F89,Покупка!$AC$25:$AC$117,$G89)</f>
        <v>0</v>
      </c>
      <c r="AN89" s="1022">
        <f ca="1">SUMIFS(Покупка!AM$25:AM$117,Покупка!$F$25:$F$117,$F89,Покупка!$AC$25:$AC$117,$G89)</f>
        <v>0</v>
      </c>
      <c r="AO89" s="1022">
        <f ca="1">SUMIFS(Покупка!AN$25:AN$117,Покупка!$F$25:$F$117,$F89,Покупка!$AC$25:$AC$117,$G89)</f>
        <v>0</v>
      </c>
      <c r="AP89" s="1022">
        <f ca="1">SUMIFS(Покупка!AO$25:AO$117,Покупка!$F$25:$F$117,$F89,Покупка!$AC$25:$AC$117,$G89)</f>
        <v>0</v>
      </c>
      <c r="AQ89" s="1022">
        <f ca="1">SUMIFS(Покупка!AP$25:AP$117,Покупка!$F$25:$F$117,$F89,Покупка!$AC$25:$AC$117,$G89)</f>
        <v>0</v>
      </c>
      <c r="AR89" s="1022">
        <f ca="1">SUMIFS(Покупка!AQ$25:AQ$117,Покупка!$F$25:$F$117,$F89,Покупка!$AC$25:$AC$117,$G89)</f>
        <v>0</v>
      </c>
      <c r="AS89" s="1022">
        <f ca="1">SUMIFS(Покупка!AR$25:AR$117,Покупка!$F$25:$F$117,$F89,Покупка!$AC$25:$AC$117,$G89)</f>
        <v>0</v>
      </c>
      <c r="AT89" s="1022">
        <f ca="1">SUMIFS(Покупка!AS$25:AS$117,Покупка!$F$25:$F$117,$F89,Покупка!$AC$25:$AC$117,$G89)</f>
        <v>0</v>
      </c>
      <c r="AU89" s="1022">
        <f ca="1">SUMIFS(Покупка!AT$25:AT$117,Покупка!$F$25:$F$117,$F89,Покупка!$AC$25:$AC$117,$G89)</f>
        <v>0</v>
      </c>
      <c r="AV89" s="1022">
        <f ca="1">SUMIFS(Покупка!AU$25:AU$117,Покупка!$F$25:$F$117,$F89,Покупка!$AC$25:$AC$117,$G89)</f>
        <v>0</v>
      </c>
      <c r="AW89" s="1022">
        <f ca="1">SUMIFS(Покупка!AV$25:AV$117,Покупка!$F$25:$F$117,$F89,Покупка!$AC$25:$AC$117,$G89)</f>
        <v>0</v>
      </c>
      <c r="AX89" s="1022">
        <f ca="1">SUMIFS(Покупка!AW$25:AW$117,Покупка!$F$25:$F$117,$F89,Покупка!$AC$25:$AC$117,$G89)</f>
        <v>0</v>
      </c>
      <c r="AY89" s="1022">
        <f ca="1">SUMIFS(Покупка!AX$25:AX$117,Покупка!$F$25:$F$117,$F89,Покупка!$AC$25:$AC$117,$G89)</f>
        <v>0</v>
      </c>
      <c r="AZ89" s="1022">
        <f ca="1">SUMIFS(Покупка!AY$25:AY$117,Покупка!$F$25:$F$117,$F89,Покупка!$AC$25:$AC$117,$G89)</f>
        <v>0</v>
      </c>
      <c r="BA89" s="1022">
        <f ca="1">SUMIFS(Покупка!AZ$25:AZ$117,Покупка!$F$25:$F$117,$F89,Покупка!$AC$25:$AC$117,$G89)</f>
        <v>0</v>
      </c>
      <c r="BB89" s="1022">
        <f ca="1">SUMIFS(Покупка!BA$25:BA$117,Покупка!$F$25:$F$117,$F89,Покупка!$AC$25:$AC$117,$G89)</f>
        <v>0</v>
      </c>
      <c r="BC89" s="1022">
        <f ca="1">SUMIFS(Покупка!BB$25:BB$117,Покупка!$F$25:$F$117,$F89,Покупка!$AC$25:$AC$117,$G89)</f>
        <v>0</v>
      </c>
      <c r="BD89" s="1022">
        <f t="shared" ca="1" si="11"/>
        <v>0</v>
      </c>
      <c r="BE89" s="1022">
        <f t="shared" ca="1" si="12"/>
        <v>0</v>
      </c>
      <c r="BF89" s="1022">
        <f t="shared" ca="1" si="13"/>
        <v>0</v>
      </c>
      <c r="BG89" s="1022">
        <f t="shared" ca="1" si="14"/>
        <v>0</v>
      </c>
      <c r="BH89" s="1022">
        <f t="shared" ca="1" si="15"/>
        <v>0</v>
      </c>
      <c r="BI89" s="1022">
        <f t="shared" ca="1" si="16"/>
        <v>0</v>
      </c>
      <c r="BJ89" s="1022">
        <f t="shared" ca="1" si="17"/>
        <v>0</v>
      </c>
      <c r="BK89" s="1022">
        <f t="shared" ca="1" si="18"/>
        <v>0</v>
      </c>
      <c r="BL89" s="1022">
        <f t="shared" ca="1" si="19"/>
        <v>0</v>
      </c>
      <c r="BM89" s="1022">
        <f t="shared" ca="1" si="20"/>
        <v>0</v>
      </c>
      <c r="BN89" s="1145"/>
      <c r="BO89" s="1149" t="str">
        <f ca="1">IF(IFERROR(INDEX(Покупка!$K$26:$L$117,MATCH($F89&amp;"5komm",Покупка!$K$26:$K$117,0),2),"")=0,"",IFERROR(INDEX(Покупка!$K$26:$L$117,MATCH($F89&amp;"5komm",Покупка!$K$26:$K$117,0),2),""))</f>
        <v/>
      </c>
      <c r="BP89" s="1145"/>
      <c r="BS89" s="973" t="s">
        <v>1711</v>
      </c>
    </row>
    <row r="90" spans="2:75" ht="14.65" hidden="1" customHeight="1" x14ac:dyDescent="0.15">
      <c r="C90" s="26"/>
      <c r="D90" s="26"/>
      <c r="E90" s="545">
        <v>15</v>
      </c>
      <c r="F90" s="3" cm="1">
        <f t="array" aca="1" ref="F90" ca="1">OFFSET(E90,-1,1)</f>
        <v>0</v>
      </c>
      <c r="G90" s="26" t="s">
        <v>1098</v>
      </c>
      <c r="H90" s="26"/>
      <c r="I90" s="26"/>
      <c r="J90" s="26"/>
      <c r="K90" s="26"/>
      <c r="L90" s="889" t="s">
        <v>1469</v>
      </c>
      <c r="M90" s="26"/>
      <c r="N90" s="26"/>
      <c r="O90" s="26"/>
      <c r="P90" s="26"/>
      <c r="Q90" s="26"/>
      <c r="R90" s="26"/>
      <c r="S90" s="26"/>
      <c r="T90" s="388" t="b" cm="1">
        <f t="array" aca="1" ref="T90" ca="1">T89</f>
        <v>0</v>
      </c>
      <c r="U90" s="26"/>
      <c r="V90" s="26"/>
      <c r="W90" s="26"/>
      <c r="X90" s="2066"/>
      <c r="Z90" s="2012"/>
      <c r="AB90" s="218" t="s">
        <v>2019</v>
      </c>
      <c r="AC90" s="685" t="s">
        <v>2020</v>
      </c>
      <c r="AD90" s="218" t="s">
        <v>831</v>
      </c>
      <c r="AE90" s="1022">
        <f ca="1">SUMIFS(Покупка!AE$25:AE$117,Покупка!$F$25:$F$117,$F90,Покупка!$AC$25:$AC$117,$G90)</f>
        <v>0</v>
      </c>
      <c r="AF90" s="1022">
        <f ca="1">SUMIFS(Покупка!AF$25:AF$117,Покупка!$F$25:$F$117,$F90,Покупка!$AC$25:$AC$117,$G90)</f>
        <v>0</v>
      </c>
      <c r="AG90" s="1022">
        <f ca="1">SUMIFS(Покупка!AG$25:AG$117,Покупка!$F$25:$F$117,$F90,Покупка!$AC$25:$AC$117,$G90)</f>
        <v>0</v>
      </c>
      <c r="AH90" s="1022">
        <f t="shared" ca="1" si="9"/>
        <v>0</v>
      </c>
      <c r="AI90" s="1022">
        <f ca="1">SUMIFS(Покупка!AH$25:AH$117,Покупка!$F$25:$F$117,$F90,Покупка!$AC$25:$AC$117,$G90)</f>
        <v>0</v>
      </c>
      <c r="AJ90" s="1022">
        <f ca="1">SUMIFS(Покупка!AI$25:AI$117,Покупка!$F$25:$F$117,$F90,Покупка!$AC$25:$AC$117,$G90)</f>
        <v>0</v>
      </c>
      <c r="AK90" s="1022">
        <f ca="1">SUMIFS(Покупка!AJ$25:AJ$117,Покупка!$F$25:$F$117,$F90,Покупка!$AC$25:$AC$117,$G90)</f>
        <v>0</v>
      </c>
      <c r="AL90" s="1022">
        <f ca="1">SUMIFS(Покупка!AK$25:AK$117,Покупка!$F$25:$F$117,$F90,Покупка!$AC$25:$AC$117,$G90)</f>
        <v>0</v>
      </c>
      <c r="AM90" s="1022">
        <f ca="1">SUMIFS(Покупка!AL$25:AL$117,Покупка!$F$25:$F$117,$F90,Покупка!$AC$25:$AC$117,$G90)</f>
        <v>0</v>
      </c>
      <c r="AN90" s="1022">
        <f ca="1">SUMIFS(Покупка!AM$25:AM$117,Покупка!$F$25:$F$117,$F90,Покупка!$AC$25:$AC$117,$G90)</f>
        <v>0</v>
      </c>
      <c r="AO90" s="1022">
        <f ca="1">SUMIFS(Покупка!AN$25:AN$117,Покупка!$F$25:$F$117,$F90,Покупка!$AC$25:$AC$117,$G90)</f>
        <v>0</v>
      </c>
      <c r="AP90" s="1022">
        <f ca="1">SUMIFS(Покупка!AO$25:AO$117,Покупка!$F$25:$F$117,$F90,Покупка!$AC$25:$AC$117,$G90)</f>
        <v>0</v>
      </c>
      <c r="AQ90" s="1022">
        <f ca="1">SUMIFS(Покупка!AP$25:AP$117,Покупка!$F$25:$F$117,$F90,Покупка!$AC$25:$AC$117,$G90)</f>
        <v>0</v>
      </c>
      <c r="AR90" s="1022">
        <f ca="1">SUMIFS(Покупка!AQ$25:AQ$117,Покупка!$F$25:$F$117,$F90,Покупка!$AC$25:$AC$117,$G90)</f>
        <v>0</v>
      </c>
      <c r="AS90" s="1022">
        <f ca="1">SUMIFS(Покупка!AR$25:AR$117,Покупка!$F$25:$F$117,$F90,Покупка!$AC$25:$AC$117,$G90)</f>
        <v>0</v>
      </c>
      <c r="AT90" s="1022">
        <f ca="1">SUMIFS(Покупка!AS$25:AS$117,Покупка!$F$25:$F$117,$F90,Покупка!$AC$25:$AC$117,$G90)</f>
        <v>0</v>
      </c>
      <c r="AU90" s="1022">
        <f ca="1">SUMIFS(Покупка!AT$25:AT$117,Покупка!$F$25:$F$117,$F90,Покупка!$AC$25:$AC$117,$G90)</f>
        <v>0</v>
      </c>
      <c r="AV90" s="1022">
        <f ca="1">SUMIFS(Покупка!AU$25:AU$117,Покупка!$F$25:$F$117,$F90,Покупка!$AC$25:$AC$117,$G90)</f>
        <v>0</v>
      </c>
      <c r="AW90" s="1022">
        <f ca="1">SUMIFS(Покупка!AV$25:AV$117,Покупка!$F$25:$F$117,$F90,Покупка!$AC$25:$AC$117,$G90)</f>
        <v>0</v>
      </c>
      <c r="AX90" s="1022">
        <f ca="1">SUMIFS(Покупка!AW$25:AW$117,Покупка!$F$25:$F$117,$F90,Покупка!$AC$25:$AC$117,$G90)</f>
        <v>0</v>
      </c>
      <c r="AY90" s="1022">
        <f ca="1">SUMIFS(Покупка!AX$25:AX$117,Покупка!$F$25:$F$117,$F90,Покупка!$AC$25:$AC$117,$G90)</f>
        <v>0</v>
      </c>
      <c r="AZ90" s="1022">
        <f ca="1">SUMIFS(Покупка!AY$25:AY$117,Покупка!$F$25:$F$117,$F90,Покупка!$AC$25:$AC$117,$G90)</f>
        <v>0</v>
      </c>
      <c r="BA90" s="1022">
        <f ca="1">SUMIFS(Покупка!AZ$25:AZ$117,Покупка!$F$25:$F$117,$F90,Покупка!$AC$25:$AC$117,$G90)</f>
        <v>0</v>
      </c>
      <c r="BB90" s="1022">
        <f ca="1">SUMIFS(Покупка!BA$25:BA$117,Покупка!$F$25:$F$117,$F90,Покупка!$AC$25:$AC$117,$G90)</f>
        <v>0</v>
      </c>
      <c r="BC90" s="1022">
        <f ca="1">SUMIFS(Покупка!BB$25:BB$117,Покупка!$F$25:$F$117,$F90,Покупка!$AC$25:$AC$117,$G90)</f>
        <v>0</v>
      </c>
      <c r="BD90" s="1022">
        <f t="shared" ca="1" si="11"/>
        <v>0</v>
      </c>
      <c r="BE90" s="1022">
        <f t="shared" ca="1" si="12"/>
        <v>0</v>
      </c>
      <c r="BF90" s="1022">
        <f t="shared" ca="1" si="13"/>
        <v>0</v>
      </c>
      <c r="BG90" s="1022">
        <f t="shared" ca="1" si="14"/>
        <v>0</v>
      </c>
      <c r="BH90" s="1022">
        <f t="shared" ca="1" si="15"/>
        <v>0</v>
      </c>
      <c r="BI90" s="1022">
        <f t="shared" ca="1" si="16"/>
        <v>0</v>
      </c>
      <c r="BJ90" s="1022">
        <f t="shared" ca="1" si="17"/>
        <v>0</v>
      </c>
      <c r="BK90" s="1022">
        <f t="shared" ca="1" si="18"/>
        <v>0</v>
      </c>
      <c r="BL90" s="1022">
        <f t="shared" ca="1" si="19"/>
        <v>0</v>
      </c>
      <c r="BM90" s="1022">
        <f t="shared" ca="1" si="20"/>
        <v>0</v>
      </c>
      <c r="BN90" s="1145"/>
      <c r="BO90" s="1149" t="str">
        <f ca="1">IF(IFERROR(INDEX(Покупка!$K$26:$L$117,MATCH($F90&amp;"9komm",Покупка!$K$26:$K$117,0),2),"")=0,"",IFERROR(INDEX(Покупка!$K$26:$L$117,MATCH($F90&amp;"9komm",Покупка!$K$26:$K$117,0),2),""))</f>
        <v/>
      </c>
      <c r="BP90" s="1145"/>
      <c r="BS90" s="973" t="s">
        <v>1099</v>
      </c>
    </row>
    <row r="91" spans="2:75" ht="14.65" hidden="1" customHeight="1" x14ac:dyDescent="0.15">
      <c r="C91" s="26"/>
      <c r="D91" s="26"/>
      <c r="E91" s="545">
        <v>15</v>
      </c>
      <c r="F91" s="3" cm="1">
        <f t="array" aca="1" ref="F91" ca="1">OFFSET(E91,-1,1)</f>
        <v>0</v>
      </c>
      <c r="G91" s="26"/>
      <c r="H91" s="26"/>
      <c r="I91" s="26" t="s">
        <v>515</v>
      </c>
      <c r="J91" s="26"/>
      <c r="K91" s="26" t="s">
        <v>515</v>
      </c>
      <c r="L91" s="889"/>
      <c r="M91" s="26"/>
      <c r="N91" s="26"/>
      <c r="O91" s="26"/>
      <c r="P91" s="26"/>
      <c r="Q91" s="26"/>
      <c r="R91" s="26"/>
      <c r="S91" s="26"/>
      <c r="T91" s="388" t="b" cm="1">
        <f t="array" aca="1" ref="T91" ca="1">T90</f>
        <v>0</v>
      </c>
      <c r="U91" s="26"/>
      <c r="V91" s="26"/>
      <c r="W91" s="26"/>
      <c r="X91" s="2066"/>
      <c r="Z91" s="2012"/>
      <c r="AB91" s="218" t="s">
        <v>570</v>
      </c>
      <c r="AC91" s="682" t="s">
        <v>2021</v>
      </c>
      <c r="AD91" s="699" t="s">
        <v>831</v>
      </c>
      <c r="AE91" s="1022">
        <f ca="1">SUMIFS('Сырье и материалы'!AE$25:AE$46,'Сырье и материалы'!$F$25:$F$46,$F91,'Сырье и материалы'!$AC$25:$AC$46,"Всего по тарифу")</f>
        <v>0</v>
      </c>
      <c r="AF91" s="1022">
        <f ca="1">SUMIFS('Сырье и материалы'!AF$25:AF$46,'Сырье и материалы'!$F$25:$F$46,$F91,'Сырье и материалы'!$AC$25:$AC$46,"Всего по тарифу")</f>
        <v>0</v>
      </c>
      <c r="AG91" s="1022">
        <f ca="1">SUMIFS('Сырье и материалы'!AG$25:AG$46,'Сырье и материалы'!$F$25:$F$46,$F91,'Сырье и материалы'!$AC$25:$AC$46,"Всего по тарифу")</f>
        <v>0</v>
      </c>
      <c r="AH91" s="1022">
        <f t="shared" ca="1" si="9"/>
        <v>0</v>
      </c>
      <c r="AI91" s="1022">
        <f ca="1">SUMIFS('Сырье и материалы'!AH$25:AH$46,'Сырье и материалы'!$F$25:$F$46,$F91,'Сырье и материалы'!$AC$25:$AC$46,"Всего по тарифу")</f>
        <v>0</v>
      </c>
      <c r="AJ91" s="1022">
        <f ca="1">SUMIFS('Сырье и материалы'!AI$25:AI$46,'Сырье и материалы'!$F$25:$F$46,$F91,'Сырье и материалы'!$AC$25:$AC$46,"Всего по тарифу")</f>
        <v>0</v>
      </c>
      <c r="AK91" s="1022">
        <f ca="1">SUMIFS('Сырье и материалы'!AJ$25:AJ$46,'Сырье и материалы'!$F$25:$F$46,$F91,'Сырье и материалы'!$AC$25:$AC$46,"Всего по тарифу")</f>
        <v>0</v>
      </c>
      <c r="AL91" s="1022">
        <f ca="1">SUMIFS('Сырье и материалы'!AK$25:AK$46,'Сырье и материалы'!$F$25:$F$46,$F91,'Сырье и материалы'!$AC$25:$AC$46,"Всего по тарифу")</f>
        <v>0</v>
      </c>
      <c r="AM91" s="1022">
        <f ca="1">SUMIFS('Сырье и материалы'!AL$25:AL$46,'Сырье и материалы'!$F$25:$F$46,$F91,'Сырье и материалы'!$AC$25:$AC$46,"Всего по тарифу")</f>
        <v>0</v>
      </c>
      <c r="AN91" s="1022">
        <f ca="1">SUMIFS('Сырье и материалы'!AM$25:AM$46,'Сырье и материалы'!$F$25:$F$46,$F91,'Сырье и материалы'!$AC$25:$AC$46,"Всего по тарифу")</f>
        <v>0</v>
      </c>
      <c r="AO91" s="1022">
        <f ca="1">SUMIFS('Сырье и материалы'!AN$25:AN$46,'Сырье и материалы'!$F$25:$F$46,$F91,'Сырье и материалы'!$AC$25:$AC$46,"Всего по тарифу")</f>
        <v>0</v>
      </c>
      <c r="AP91" s="1022">
        <f ca="1">SUMIFS('Сырье и материалы'!AO$25:AO$46,'Сырье и материалы'!$F$25:$F$46,$F91,'Сырье и материалы'!$AC$25:$AC$46,"Всего по тарифу")</f>
        <v>0</v>
      </c>
      <c r="AQ91" s="1022">
        <f ca="1">SUMIFS('Сырье и материалы'!AP$25:AP$46,'Сырье и материалы'!$F$25:$F$46,$F91,'Сырье и материалы'!$AC$25:$AC$46,"Всего по тарифу")</f>
        <v>0</v>
      </c>
      <c r="AR91" s="1022">
        <f ca="1">SUMIFS('Сырье и материалы'!AQ$25:AQ$46,'Сырье и материалы'!$F$25:$F$46,$F91,'Сырье и материалы'!$AC$25:$AC$46,"Всего по тарифу")</f>
        <v>0</v>
      </c>
      <c r="AS91" s="1022">
        <f ca="1">SUMIFS('Сырье и материалы'!AR$25:AR$46,'Сырье и материалы'!$F$25:$F$46,$F91,'Сырье и материалы'!$AC$25:$AC$46,"Всего по тарифу")</f>
        <v>0</v>
      </c>
      <c r="AT91" s="1022">
        <f ca="1">SUMIFS('Сырье и материалы'!AS$25:AS$46,'Сырье и материалы'!$F$25:$F$46,$F91,'Сырье и материалы'!$AC$25:$AC$46,"Всего по тарифу")</f>
        <v>0</v>
      </c>
      <c r="AU91" s="1022">
        <f ca="1">SUMIFS('Сырье и материалы'!AT$25:AT$46,'Сырье и материалы'!$F$25:$F$46,$F91,'Сырье и материалы'!$AC$25:$AC$46,"Всего по тарифу")</f>
        <v>0</v>
      </c>
      <c r="AV91" s="1022">
        <f ca="1">SUMIFS('Сырье и материалы'!AU$25:AU$46,'Сырье и материалы'!$F$25:$F$46,$F91,'Сырье и материалы'!$AC$25:$AC$46,"Всего по тарифу")</f>
        <v>0</v>
      </c>
      <c r="AW91" s="1022">
        <f ca="1">SUMIFS('Сырье и материалы'!AV$25:AV$46,'Сырье и материалы'!$F$25:$F$46,$F91,'Сырье и материалы'!$AC$25:$AC$46,"Всего по тарифу")</f>
        <v>0</v>
      </c>
      <c r="AX91" s="1022">
        <f ca="1">SUMIFS('Сырье и материалы'!AW$25:AW$46,'Сырье и материалы'!$F$25:$F$46,$F91,'Сырье и материалы'!$AC$25:$AC$46,"Всего по тарифу")</f>
        <v>0</v>
      </c>
      <c r="AY91" s="1022">
        <f ca="1">SUMIFS('Сырье и материалы'!AX$25:AX$46,'Сырье и материалы'!$F$25:$F$46,$F91,'Сырье и материалы'!$AC$25:$AC$46,"Всего по тарифу")</f>
        <v>0</v>
      </c>
      <c r="AZ91" s="1022">
        <f ca="1">SUMIFS('Сырье и материалы'!AY$25:AY$46,'Сырье и материалы'!$F$25:$F$46,$F91,'Сырье и материалы'!$AC$25:$AC$46,"Всего по тарифу")</f>
        <v>0</v>
      </c>
      <c r="BA91" s="1022">
        <f ca="1">SUMIFS('Сырье и материалы'!AZ$25:AZ$46,'Сырье и материалы'!$F$25:$F$46,$F91,'Сырье и материалы'!$AC$25:$AC$46,"Всего по тарифу")</f>
        <v>0</v>
      </c>
      <c r="BB91" s="1022">
        <f ca="1">SUMIFS('Сырье и материалы'!BA$25:BA$46,'Сырье и материалы'!$F$25:$F$46,$F91,'Сырье и материалы'!$AC$25:$AC$46,"Всего по тарифу")</f>
        <v>0</v>
      </c>
      <c r="BC91" s="1022">
        <f ca="1">SUMIFS('Сырье и материалы'!BB$25:BB$46,'Сырье и материалы'!$F$25:$F$46,$F91,'Сырье и материалы'!$AC$25:$AC$46,"Всего по тарифу")</f>
        <v>0</v>
      </c>
      <c r="BD91" s="1022">
        <f t="shared" ca="1" si="11"/>
        <v>0</v>
      </c>
      <c r="BE91" s="1022">
        <f t="shared" ca="1" si="12"/>
        <v>0</v>
      </c>
      <c r="BF91" s="1022">
        <f t="shared" ca="1" si="13"/>
        <v>0</v>
      </c>
      <c r="BG91" s="1022">
        <f t="shared" ca="1" si="14"/>
        <v>0</v>
      </c>
      <c r="BH91" s="1022">
        <f t="shared" ca="1" si="15"/>
        <v>0</v>
      </c>
      <c r="BI91" s="1022">
        <f t="shared" ca="1" si="16"/>
        <v>0</v>
      </c>
      <c r="BJ91" s="1022">
        <f t="shared" ca="1" si="17"/>
        <v>0</v>
      </c>
      <c r="BK91" s="1022">
        <f t="shared" ca="1" si="18"/>
        <v>0</v>
      </c>
      <c r="BL91" s="1022">
        <f t="shared" ca="1" si="19"/>
        <v>0</v>
      </c>
      <c r="BM91" s="1022">
        <f t="shared" ca="1" si="20"/>
        <v>0</v>
      </c>
      <c r="BN91" s="1145"/>
      <c r="BO91" s="1149" t="str">
        <f ca="1">IF(IFERROR(INDEX('Сырье и материалы'!$K$26:$L$46,MATCH($F91&amp;"komm",'Сырье и материалы'!$K$26:$K$46,0),2),"")=0,"",IFERROR(INDEX('Сырье и материалы'!$K$26:$L$46,MATCH($F91&amp;"komm",'Сырье и материалы'!$K$26:$K$46,0),2),""))</f>
        <v/>
      </c>
      <c r="BP91" s="1145"/>
      <c r="BS91" s="973" t="s">
        <v>1684</v>
      </c>
    </row>
    <row r="92" spans="2:75" s="623" customFormat="1" ht="20.45" hidden="1" customHeight="1" x14ac:dyDescent="0.15">
      <c r="B92" s="357"/>
      <c r="C92" s="28"/>
      <c r="D92" s="28"/>
      <c r="E92" s="745">
        <v>21</v>
      </c>
      <c r="F92" s="3" cm="1">
        <f t="array" aca="1" ref="F92" ca="1">OFFSET(E92,-1,1)</f>
        <v>0</v>
      </c>
      <c r="G92" s="28"/>
      <c r="H92" s="26"/>
      <c r="I92" s="26" t="s">
        <v>930</v>
      </c>
      <c r="J92" s="28"/>
      <c r="K92" s="26" t="s">
        <v>930</v>
      </c>
      <c r="L92" s="894" t="s">
        <v>547</v>
      </c>
      <c r="M92" s="28"/>
      <c r="N92" s="28"/>
      <c r="O92" s="28"/>
      <c r="P92" s="28"/>
      <c r="Q92" s="28"/>
      <c r="R92" s="28"/>
      <c r="S92" s="28"/>
      <c r="T92" s="388" t="b" cm="1">
        <f t="array" aca="1" ref="T92" ca="1">T91</f>
        <v>0</v>
      </c>
      <c r="U92" s="28"/>
      <c r="V92" s="28"/>
      <c r="W92" s="28"/>
      <c r="X92" s="2066"/>
      <c r="Z92" s="2012"/>
      <c r="AB92" s="130" t="s">
        <v>574</v>
      </c>
      <c r="AC92" s="277" t="s">
        <v>2022</v>
      </c>
      <c r="AD92" s="130" t="s">
        <v>831</v>
      </c>
      <c r="AE92" s="698">
        <f ca="1">SUM(AE93:AE102)</f>
        <v>0</v>
      </c>
      <c r="AF92" s="698">
        <f ca="1">SUM(AF93:AF102)</f>
        <v>0</v>
      </c>
      <c r="AG92" s="698">
        <f ca="1">SUM(AG93:AG102)</f>
        <v>0</v>
      </c>
      <c r="AH92" s="698">
        <f t="shared" ca="1" si="9"/>
        <v>0</v>
      </c>
      <c r="AI92" s="698">
        <f t="shared" ref="AI92:BC92" ca="1" si="22">SUM(AI93:AI102)</f>
        <v>0</v>
      </c>
      <c r="AJ92" s="132">
        <f t="shared" ca="1" si="22"/>
        <v>0</v>
      </c>
      <c r="AK92" s="698">
        <f t="shared" ca="1" si="22"/>
        <v>0</v>
      </c>
      <c r="AL92" s="698">
        <f t="shared" ca="1" si="22"/>
        <v>0</v>
      </c>
      <c r="AM92" s="698">
        <f t="shared" ca="1" si="22"/>
        <v>0</v>
      </c>
      <c r="AN92" s="698">
        <f t="shared" ca="1" si="22"/>
        <v>0</v>
      </c>
      <c r="AO92" s="698">
        <f t="shared" ca="1" si="22"/>
        <v>0</v>
      </c>
      <c r="AP92" s="698">
        <f t="shared" ca="1" si="22"/>
        <v>0</v>
      </c>
      <c r="AQ92" s="698">
        <f t="shared" ca="1" si="22"/>
        <v>0</v>
      </c>
      <c r="AR92" s="698">
        <f t="shared" ca="1" si="22"/>
        <v>0</v>
      </c>
      <c r="AS92" s="698">
        <f t="shared" ca="1" si="22"/>
        <v>0</v>
      </c>
      <c r="AT92" s="132">
        <f t="shared" ca="1" si="22"/>
        <v>0</v>
      </c>
      <c r="AU92" s="698">
        <f t="shared" ca="1" si="22"/>
        <v>0</v>
      </c>
      <c r="AV92" s="698">
        <f t="shared" ca="1" si="22"/>
        <v>0</v>
      </c>
      <c r="AW92" s="698">
        <f t="shared" ca="1" si="22"/>
        <v>0</v>
      </c>
      <c r="AX92" s="698">
        <f t="shared" ca="1" si="22"/>
        <v>0</v>
      </c>
      <c r="AY92" s="698">
        <f t="shared" ca="1" si="22"/>
        <v>0</v>
      </c>
      <c r="AZ92" s="698">
        <f t="shared" ca="1" si="22"/>
        <v>0</v>
      </c>
      <c r="BA92" s="698">
        <f t="shared" ca="1" si="22"/>
        <v>0</v>
      </c>
      <c r="BB92" s="698">
        <f t="shared" ca="1" si="22"/>
        <v>0</v>
      </c>
      <c r="BC92" s="698">
        <f t="shared" ca="1" si="22"/>
        <v>0</v>
      </c>
      <c r="BD92" s="698">
        <f t="shared" ca="1" si="11"/>
        <v>0</v>
      </c>
      <c r="BE92" s="698">
        <f t="shared" ca="1" si="12"/>
        <v>0</v>
      </c>
      <c r="BF92" s="698">
        <f t="shared" ca="1" si="13"/>
        <v>0</v>
      </c>
      <c r="BG92" s="698">
        <f t="shared" ca="1" si="14"/>
        <v>0</v>
      </c>
      <c r="BH92" s="698">
        <f t="shared" ca="1" si="15"/>
        <v>0</v>
      </c>
      <c r="BI92" s="698">
        <f t="shared" ca="1" si="16"/>
        <v>0</v>
      </c>
      <c r="BJ92" s="698">
        <f t="shared" ca="1" si="17"/>
        <v>0</v>
      </c>
      <c r="BK92" s="698">
        <f t="shared" ca="1" si="18"/>
        <v>0</v>
      </c>
      <c r="BL92" s="698">
        <f t="shared" ca="1" si="19"/>
        <v>0</v>
      </c>
      <c r="BM92" s="698">
        <f t="shared" ca="1" si="20"/>
        <v>0</v>
      </c>
      <c r="BN92" s="1147"/>
      <c r="BO92" s="1149" t="str">
        <f ca="1">IF(IFERROR(INDEX(Налоги!$K$26:$L$69,MATCH($F92&amp;"komm",Налоги!$K$26:$K$69,0),2),"")=0,"",IFERROR(INDEX(Налоги!$K$26:$L$69,MATCH($F92&amp;"komm",Налоги!$K$26:$K$69,0),2),""))</f>
        <v/>
      </c>
      <c r="BP92" s="1147"/>
      <c r="BS92" s="979" t="s">
        <v>1233</v>
      </c>
      <c r="BT92" s="979"/>
      <c r="BU92" s="979"/>
      <c r="BV92" s="630"/>
      <c r="BW92" s="630"/>
    </row>
    <row r="93" spans="2:75" ht="14.65" hidden="1" customHeight="1" x14ac:dyDescent="0.15">
      <c r="C93" s="26"/>
      <c r="D93" s="26"/>
      <c r="E93" s="545">
        <v>15</v>
      </c>
      <c r="F93" s="3" cm="1">
        <f t="array" aca="1" ref="F93" ca="1">OFFSET(E93,-1,1)</f>
        <v>0</v>
      </c>
      <c r="G93" s="834">
        <v>7</v>
      </c>
      <c r="H93" s="26"/>
      <c r="I93" s="26" t="s">
        <v>2023</v>
      </c>
      <c r="J93" s="26"/>
      <c r="K93" s="26" t="s">
        <v>2023</v>
      </c>
      <c r="L93" s="889"/>
      <c r="M93" s="26"/>
      <c r="N93" s="26"/>
      <c r="O93" s="26"/>
      <c r="P93" s="26"/>
      <c r="Q93" s="26"/>
      <c r="R93" s="26"/>
      <c r="S93" s="26"/>
      <c r="T93" s="388" t="b" cm="1">
        <f t="array" aca="1" ref="T93" ca="1">T92</f>
        <v>0</v>
      </c>
      <c r="U93" s="26"/>
      <c r="V93" s="26"/>
      <c r="W93" s="26"/>
      <c r="X93" s="2066"/>
      <c r="Z93" s="2012"/>
      <c r="AB93" s="218" t="s">
        <v>531</v>
      </c>
      <c r="AC93" s="685" t="s">
        <v>1247</v>
      </c>
      <c r="AD93" s="218" t="s">
        <v>831</v>
      </c>
      <c r="AE93" s="1022">
        <f ca="1">SUMIFS(Налоги!AE$25:AE$69,Налоги!$F$25:$F$69,$F93,Налоги!$AB$25:$AB$69,$G93)</f>
        <v>0</v>
      </c>
      <c r="AF93" s="1022">
        <f ca="1">SUMIFS(Налоги!AF$25:AF$69,Налоги!$F$25:$F$69,$F93,Налоги!$AB$25:$AB$69,$G93)</f>
        <v>0</v>
      </c>
      <c r="AG93" s="1022">
        <f ca="1">SUMIFS(Налоги!AG$25:AG$69,Налоги!$F$25:$F$69,$F93,Налоги!$AB$25:$AB$69,$G93)</f>
        <v>0</v>
      </c>
      <c r="AH93" s="1022">
        <f t="shared" ca="1" si="9"/>
        <v>0</v>
      </c>
      <c r="AI93" s="1022">
        <f ca="1">SUMIFS(Налоги!AH$25:AH$69,Налоги!$F$25:$F$69,$F93,Налоги!$AB$25:$AB$69,$G93)</f>
        <v>0</v>
      </c>
      <c r="AJ93" s="1022">
        <f ca="1">SUMIFS(Налоги!AI$25:AI$69,Налоги!$F$25:$F$69,$F93,Налоги!$AB$25:$AB$69,$G93)</f>
        <v>0</v>
      </c>
      <c r="AK93" s="1022">
        <f ca="1">SUMIFS(Налоги!AJ$25:AJ$69,Налоги!$F$25:$F$69,$F93,Налоги!$AB$25:$AB$69,$G93)</f>
        <v>0</v>
      </c>
      <c r="AL93" s="1022">
        <f ca="1">SUMIFS(Налоги!AK$25:AK$69,Налоги!$F$25:$F$69,$F93,Налоги!$AB$25:$AB$69,$G93)</f>
        <v>0</v>
      </c>
      <c r="AM93" s="1022">
        <f ca="1">SUMIFS(Налоги!AL$25:AL$69,Налоги!$F$25:$F$69,$F93,Налоги!$AB$25:$AB$69,$G93)</f>
        <v>0</v>
      </c>
      <c r="AN93" s="1022">
        <f ca="1">SUMIFS(Налоги!AM$25:AM$69,Налоги!$F$25:$F$69,$F93,Налоги!$AB$25:$AB$69,$G93)</f>
        <v>0</v>
      </c>
      <c r="AO93" s="1022">
        <f ca="1">SUMIFS(Налоги!AN$25:AN$69,Налоги!$F$25:$F$69,$F93,Налоги!$AB$25:$AB$69,$G93)</f>
        <v>0</v>
      </c>
      <c r="AP93" s="1022">
        <f ca="1">SUMIFS(Налоги!AO$25:AO$69,Налоги!$F$25:$F$69,$F93,Налоги!$AB$25:$AB$69,$G93)</f>
        <v>0</v>
      </c>
      <c r="AQ93" s="1022">
        <f ca="1">SUMIFS(Налоги!AP$25:AP$69,Налоги!$F$25:$F$69,$F93,Налоги!$AB$25:$AB$69,$G93)</f>
        <v>0</v>
      </c>
      <c r="AR93" s="1022">
        <f ca="1">SUMIFS(Налоги!AQ$25:AQ$69,Налоги!$F$25:$F$69,$F93,Налоги!$AB$25:$AB$69,$G93)</f>
        <v>0</v>
      </c>
      <c r="AS93" s="1022">
        <f ca="1">SUMIFS(Налоги!AR$25:AR$69,Налоги!$F$25:$F$69,$F93,Налоги!$AB$25:$AB$69,$G93)</f>
        <v>0</v>
      </c>
      <c r="AT93" s="1022">
        <f ca="1">SUMIFS(Налоги!AS$25:AS$69,Налоги!$F$25:$F$69,$F93,Налоги!$AB$25:$AB$69,$G93)</f>
        <v>0</v>
      </c>
      <c r="AU93" s="1022">
        <f ca="1">SUMIFS(Налоги!AT$25:AT$69,Налоги!$F$25:$F$69,$F93,Налоги!$AB$25:$AB$69,$G93)</f>
        <v>0</v>
      </c>
      <c r="AV93" s="1022">
        <f ca="1">SUMIFS(Налоги!AU$25:AU$69,Налоги!$F$25:$F$69,$F93,Налоги!$AB$25:$AB$69,$G93)</f>
        <v>0</v>
      </c>
      <c r="AW93" s="1022">
        <f ca="1">SUMIFS(Налоги!AV$25:AV$69,Налоги!$F$25:$F$69,$F93,Налоги!$AB$25:$AB$69,$G93)</f>
        <v>0</v>
      </c>
      <c r="AX93" s="1022">
        <f ca="1">SUMIFS(Налоги!AW$25:AW$69,Налоги!$F$25:$F$69,$F93,Налоги!$AB$25:$AB$69,$G93)</f>
        <v>0</v>
      </c>
      <c r="AY93" s="1022">
        <f ca="1">SUMIFS(Налоги!AX$25:AX$69,Налоги!$F$25:$F$69,$F93,Налоги!$AB$25:$AB$69,$G93)</f>
        <v>0</v>
      </c>
      <c r="AZ93" s="1022">
        <f ca="1">SUMIFS(Налоги!AY$25:AY$69,Налоги!$F$25:$F$69,$F93,Налоги!$AB$25:$AB$69,$G93)</f>
        <v>0</v>
      </c>
      <c r="BA93" s="1022">
        <f ca="1">SUMIFS(Налоги!AZ$25:AZ$69,Налоги!$F$25:$F$69,$F93,Налоги!$AB$25:$AB$69,$G93)</f>
        <v>0</v>
      </c>
      <c r="BB93" s="1022">
        <f ca="1">SUMIFS(Налоги!BA$25:BA$69,Налоги!$F$25:$F$69,$F93,Налоги!$AB$25:$AB$69,$G93)</f>
        <v>0</v>
      </c>
      <c r="BC93" s="1022">
        <f ca="1">SUMIFS(Налоги!BB$25:BB$69,Налоги!$F$25:$F$69,$F93,Налоги!$AB$25:$AB$69,$G93)</f>
        <v>0</v>
      </c>
      <c r="BD93" s="1022">
        <f t="shared" ca="1" si="11"/>
        <v>0</v>
      </c>
      <c r="BE93" s="1022">
        <f t="shared" ca="1" si="12"/>
        <v>0</v>
      </c>
      <c r="BF93" s="1022">
        <f t="shared" ca="1" si="13"/>
        <v>0</v>
      </c>
      <c r="BG93" s="1022">
        <f t="shared" ca="1" si="14"/>
        <v>0</v>
      </c>
      <c r="BH93" s="1022">
        <f t="shared" ca="1" si="15"/>
        <v>0</v>
      </c>
      <c r="BI93" s="1022">
        <f t="shared" ca="1" si="16"/>
        <v>0</v>
      </c>
      <c r="BJ93" s="1022">
        <f t="shared" ca="1" si="17"/>
        <v>0</v>
      </c>
      <c r="BK93" s="1022">
        <f t="shared" ca="1" si="18"/>
        <v>0</v>
      </c>
      <c r="BL93" s="1022">
        <f t="shared" ca="1" si="19"/>
        <v>0</v>
      </c>
      <c r="BM93" s="1022">
        <f t="shared" ca="1" si="20"/>
        <v>0</v>
      </c>
      <c r="BN93" s="1145"/>
      <c r="BO93" s="1149" t="str">
        <f ca="1">IF(IFERROR(INDEX(Налоги!$K$26:$L$69,MATCH($F93&amp;"7komm",Налоги!$K$26:$K$69,0),2),"")=0,"",IFERROR(INDEX(Налоги!$K$26:$L$69,MATCH($F93&amp;"7komm",Налоги!$K$26:$K$69,0),2),""))</f>
        <v/>
      </c>
      <c r="BP93" s="1145"/>
      <c r="BS93" s="973" t="s">
        <v>2024</v>
      </c>
    </row>
    <row r="94" spans="2:75" ht="14.65" hidden="1" customHeight="1" x14ac:dyDescent="0.15">
      <c r="C94" s="26"/>
      <c r="D94" s="26"/>
      <c r="E94" s="545">
        <v>15</v>
      </c>
      <c r="F94" s="3" cm="1">
        <f t="array" aca="1" ref="F94" ca="1">OFFSET(E94,-1,1)</f>
        <v>0</v>
      </c>
      <c r="G94" s="834">
        <v>6</v>
      </c>
      <c r="H94" s="26"/>
      <c r="I94" s="26" t="s">
        <v>2025</v>
      </c>
      <c r="J94" s="26"/>
      <c r="K94" s="26" t="s">
        <v>2025</v>
      </c>
      <c r="L94" s="889"/>
      <c r="M94" s="26"/>
      <c r="N94" s="26"/>
      <c r="O94" s="26"/>
      <c r="P94" s="26"/>
      <c r="Q94" s="26"/>
      <c r="R94" s="26"/>
      <c r="S94" s="26"/>
      <c r="T94" s="388" t="b" cm="1">
        <f t="array" aca="1" ref="T94" ca="1">T93</f>
        <v>0</v>
      </c>
      <c r="U94" s="26"/>
      <c r="V94" s="26"/>
      <c r="W94" s="26"/>
      <c r="X94" s="2066"/>
      <c r="Z94" s="2012"/>
      <c r="AB94" s="218" t="s">
        <v>1459</v>
      </c>
      <c r="AC94" s="685" t="s">
        <v>2026</v>
      </c>
      <c r="AD94" s="218" t="s">
        <v>831</v>
      </c>
      <c r="AE94" s="1022">
        <f ca="1">SUMIFS(Налоги!AE$25:AE$69,Налоги!$F$25:$F$69,$F94,Налоги!$AB$25:$AB$69,$G94)</f>
        <v>0</v>
      </c>
      <c r="AF94" s="1022">
        <f ca="1">SUMIFS(Налоги!AF$25:AF$69,Налоги!$F$25:$F$69,$F94,Налоги!$AB$25:$AB$69,$G94)</f>
        <v>0</v>
      </c>
      <c r="AG94" s="1022">
        <f ca="1">SUMIFS(Налоги!AG$25:AG$69,Налоги!$F$25:$F$69,$F94,Налоги!$AB$25:$AB$69,$G94)</f>
        <v>0</v>
      </c>
      <c r="AH94" s="1022">
        <f t="shared" ca="1" si="9"/>
        <v>0</v>
      </c>
      <c r="AI94" s="1022">
        <f ca="1">SUMIFS(Налоги!AH$25:AH$69,Налоги!$F$25:$F$69,$F94,Налоги!$AB$25:$AB$69,$G94)</f>
        <v>0</v>
      </c>
      <c r="AJ94" s="1022">
        <f ca="1">SUMIFS(Налоги!AI$25:AI$69,Налоги!$F$25:$F$69,$F94,Налоги!$AB$25:$AB$69,$G94)</f>
        <v>0</v>
      </c>
      <c r="AK94" s="1022">
        <f ca="1">SUMIFS(Налоги!AJ$25:AJ$69,Налоги!$F$25:$F$69,$F94,Налоги!$AB$25:$AB$69,$G94)</f>
        <v>0</v>
      </c>
      <c r="AL94" s="1022">
        <f ca="1">SUMIFS(Налоги!AK$25:AK$69,Налоги!$F$25:$F$69,$F94,Налоги!$AB$25:$AB$69,$G94)</f>
        <v>0</v>
      </c>
      <c r="AM94" s="1022">
        <f ca="1">SUMIFS(Налоги!AL$25:AL$69,Налоги!$F$25:$F$69,$F94,Налоги!$AB$25:$AB$69,$G94)</f>
        <v>0</v>
      </c>
      <c r="AN94" s="1022">
        <f ca="1">SUMIFS(Налоги!AM$25:AM$69,Налоги!$F$25:$F$69,$F94,Налоги!$AB$25:$AB$69,$G94)</f>
        <v>0</v>
      </c>
      <c r="AO94" s="1022">
        <f ca="1">SUMIFS(Налоги!AN$25:AN$69,Налоги!$F$25:$F$69,$F94,Налоги!$AB$25:$AB$69,$G94)</f>
        <v>0</v>
      </c>
      <c r="AP94" s="1022">
        <f ca="1">SUMIFS(Налоги!AO$25:AO$69,Налоги!$F$25:$F$69,$F94,Налоги!$AB$25:$AB$69,$G94)</f>
        <v>0</v>
      </c>
      <c r="AQ94" s="1022">
        <f ca="1">SUMIFS(Налоги!AP$25:AP$69,Налоги!$F$25:$F$69,$F94,Налоги!$AB$25:$AB$69,$G94)</f>
        <v>0</v>
      </c>
      <c r="AR94" s="1022">
        <f ca="1">SUMIFS(Налоги!AQ$25:AQ$69,Налоги!$F$25:$F$69,$F94,Налоги!$AB$25:$AB$69,$G94)</f>
        <v>0</v>
      </c>
      <c r="AS94" s="1022">
        <f ca="1">SUMIFS(Налоги!AR$25:AR$69,Налоги!$F$25:$F$69,$F94,Налоги!$AB$25:$AB$69,$G94)</f>
        <v>0</v>
      </c>
      <c r="AT94" s="1022">
        <f ca="1">SUMIFS(Налоги!AS$25:AS$69,Налоги!$F$25:$F$69,$F94,Налоги!$AB$25:$AB$69,$G94)</f>
        <v>0</v>
      </c>
      <c r="AU94" s="1022">
        <f ca="1">SUMIFS(Налоги!AT$25:AT$69,Налоги!$F$25:$F$69,$F94,Налоги!$AB$25:$AB$69,$G94)</f>
        <v>0</v>
      </c>
      <c r="AV94" s="1022">
        <f ca="1">SUMIFS(Налоги!AU$25:AU$69,Налоги!$F$25:$F$69,$F94,Налоги!$AB$25:$AB$69,$G94)</f>
        <v>0</v>
      </c>
      <c r="AW94" s="1022">
        <f ca="1">SUMIFS(Налоги!AV$25:AV$69,Налоги!$F$25:$F$69,$F94,Налоги!$AB$25:$AB$69,$G94)</f>
        <v>0</v>
      </c>
      <c r="AX94" s="1022">
        <f ca="1">SUMIFS(Налоги!AW$25:AW$69,Налоги!$F$25:$F$69,$F94,Налоги!$AB$25:$AB$69,$G94)</f>
        <v>0</v>
      </c>
      <c r="AY94" s="1022">
        <f ca="1">SUMIFS(Налоги!AX$25:AX$69,Налоги!$F$25:$F$69,$F94,Налоги!$AB$25:$AB$69,$G94)</f>
        <v>0</v>
      </c>
      <c r="AZ94" s="1022">
        <f ca="1">SUMIFS(Налоги!AY$25:AY$69,Налоги!$F$25:$F$69,$F94,Налоги!$AB$25:$AB$69,$G94)</f>
        <v>0</v>
      </c>
      <c r="BA94" s="1022">
        <f ca="1">SUMIFS(Налоги!AZ$25:AZ$69,Налоги!$F$25:$F$69,$F94,Налоги!$AB$25:$AB$69,$G94)</f>
        <v>0</v>
      </c>
      <c r="BB94" s="1022">
        <f ca="1">SUMIFS(Налоги!BA$25:BA$69,Налоги!$F$25:$F$69,$F94,Налоги!$AB$25:$AB$69,$G94)</f>
        <v>0</v>
      </c>
      <c r="BC94" s="1022">
        <f ca="1">SUMIFS(Налоги!BB$25:BB$69,Налоги!$F$25:$F$69,$F94,Налоги!$AB$25:$AB$69,$G94)</f>
        <v>0</v>
      </c>
      <c r="BD94" s="1022">
        <f t="shared" ca="1" si="11"/>
        <v>0</v>
      </c>
      <c r="BE94" s="1022">
        <f t="shared" ca="1" si="12"/>
        <v>0</v>
      </c>
      <c r="BF94" s="1022">
        <f t="shared" ca="1" si="13"/>
        <v>0</v>
      </c>
      <c r="BG94" s="1022">
        <f t="shared" ca="1" si="14"/>
        <v>0</v>
      </c>
      <c r="BH94" s="1022">
        <f t="shared" ca="1" si="15"/>
        <v>0</v>
      </c>
      <c r="BI94" s="1022">
        <f t="shared" ca="1" si="16"/>
        <v>0</v>
      </c>
      <c r="BJ94" s="1022">
        <f t="shared" ca="1" si="17"/>
        <v>0</v>
      </c>
      <c r="BK94" s="1022">
        <f t="shared" ca="1" si="18"/>
        <v>0</v>
      </c>
      <c r="BL94" s="1022">
        <f t="shared" ca="1" si="19"/>
        <v>0</v>
      </c>
      <c r="BM94" s="1022">
        <f t="shared" ca="1" si="20"/>
        <v>0</v>
      </c>
      <c r="BN94" s="1145"/>
      <c r="BO94" s="1149" t="str">
        <f ca="1">IF(IFERROR(INDEX(Налоги!$K$26:$L$69,MATCH($F94&amp;"6komm",Налоги!$K$26:$K$69,0),2),"")=0,"",IFERROR(INDEX(Налоги!$K$26:$L$69,MATCH($F94&amp;"6komm",Налоги!$K$26:$K$69,0),2),""))</f>
        <v/>
      </c>
      <c r="BP94" s="1145"/>
      <c r="BS94" s="973" t="s">
        <v>2027</v>
      </c>
    </row>
    <row r="95" spans="2:75" ht="14.65" hidden="1" customHeight="1" x14ac:dyDescent="0.15">
      <c r="C95" s="26"/>
      <c r="D95" s="26"/>
      <c r="E95" s="545">
        <v>15</v>
      </c>
      <c r="F95" s="3" cm="1">
        <f t="array" aca="1" ref="F95" ca="1">OFFSET(E95,-1,1)</f>
        <v>0</v>
      </c>
      <c r="G95" s="834">
        <v>2</v>
      </c>
      <c r="H95" s="26"/>
      <c r="I95" s="26" t="s">
        <v>2028</v>
      </c>
      <c r="J95" s="26"/>
      <c r="K95" s="26" t="s">
        <v>2028</v>
      </c>
      <c r="L95" s="889"/>
      <c r="M95" s="26"/>
      <c r="N95" s="26"/>
      <c r="O95" s="26"/>
      <c r="P95" s="26"/>
      <c r="Q95" s="26"/>
      <c r="R95" s="26"/>
      <c r="S95" s="26"/>
      <c r="T95" s="388" t="b" cm="1">
        <f t="array" aca="1" ref="T95" ca="1">T94</f>
        <v>0</v>
      </c>
      <c r="U95" s="26"/>
      <c r="V95" s="26"/>
      <c r="W95" s="26"/>
      <c r="X95" s="2066"/>
      <c r="Z95" s="2012"/>
      <c r="AB95" s="218" t="s">
        <v>1464</v>
      </c>
      <c r="AC95" s="685" t="s">
        <v>2029</v>
      </c>
      <c r="AD95" s="218" t="s">
        <v>831</v>
      </c>
      <c r="AE95" s="1022">
        <f ca="1">SUMIFS(Налоги!AE$25:AE$69,Налоги!$F$25:$F$69,$F95,Налоги!$AB$25:$AB$69,$G95)</f>
        <v>0</v>
      </c>
      <c r="AF95" s="1022">
        <f ca="1">SUMIFS(Налоги!AF$25:AF$69,Налоги!$F$25:$F$69,$F95,Налоги!$AB$25:$AB$69,$G95)</f>
        <v>0</v>
      </c>
      <c r="AG95" s="1022">
        <f ca="1">SUMIFS(Налоги!AG$25:AG$69,Налоги!$F$25:$F$69,$F95,Налоги!$AB$25:$AB$69,$G95)</f>
        <v>0</v>
      </c>
      <c r="AH95" s="1022">
        <f t="shared" ca="1" si="9"/>
        <v>0</v>
      </c>
      <c r="AI95" s="1022">
        <f ca="1">SUMIFS(Налоги!AH$25:AH$69,Налоги!$F$25:$F$69,$F95,Налоги!$AB$25:$AB$69,$G95)</f>
        <v>0</v>
      </c>
      <c r="AJ95" s="1022">
        <f ca="1">SUMIFS(Налоги!AI$25:AI$69,Налоги!$F$25:$F$69,$F95,Налоги!$AB$25:$AB$69,$G95)</f>
        <v>0</v>
      </c>
      <c r="AK95" s="1022">
        <f ca="1">SUMIFS(Налоги!AJ$25:AJ$69,Налоги!$F$25:$F$69,$F95,Налоги!$AB$25:$AB$69,$G95)</f>
        <v>0</v>
      </c>
      <c r="AL95" s="1022">
        <f ca="1">SUMIFS(Налоги!AK$25:AK$69,Налоги!$F$25:$F$69,$F95,Налоги!$AB$25:$AB$69,$G95)</f>
        <v>0</v>
      </c>
      <c r="AM95" s="1022">
        <f ca="1">SUMIFS(Налоги!AL$25:AL$69,Налоги!$F$25:$F$69,$F95,Налоги!$AB$25:$AB$69,$G95)</f>
        <v>0</v>
      </c>
      <c r="AN95" s="1022">
        <f ca="1">SUMIFS(Налоги!AM$25:AM$69,Налоги!$F$25:$F$69,$F95,Налоги!$AB$25:$AB$69,$G95)</f>
        <v>0</v>
      </c>
      <c r="AO95" s="1022">
        <f ca="1">SUMIFS(Налоги!AN$25:AN$69,Налоги!$F$25:$F$69,$F95,Налоги!$AB$25:$AB$69,$G95)</f>
        <v>0</v>
      </c>
      <c r="AP95" s="1022">
        <f ca="1">SUMIFS(Налоги!AO$25:AO$69,Налоги!$F$25:$F$69,$F95,Налоги!$AB$25:$AB$69,$G95)</f>
        <v>0</v>
      </c>
      <c r="AQ95" s="1022">
        <f ca="1">SUMIFS(Налоги!AP$25:AP$69,Налоги!$F$25:$F$69,$F95,Налоги!$AB$25:$AB$69,$G95)</f>
        <v>0</v>
      </c>
      <c r="AR95" s="1022">
        <f ca="1">SUMIFS(Налоги!AQ$25:AQ$69,Налоги!$F$25:$F$69,$F95,Налоги!$AB$25:$AB$69,$G95)</f>
        <v>0</v>
      </c>
      <c r="AS95" s="1022">
        <f ca="1">SUMIFS(Налоги!AR$25:AR$69,Налоги!$F$25:$F$69,$F95,Налоги!$AB$25:$AB$69,$G95)</f>
        <v>0</v>
      </c>
      <c r="AT95" s="1022">
        <f ca="1">SUMIFS(Налоги!AS$25:AS$69,Налоги!$F$25:$F$69,$F95,Налоги!$AB$25:$AB$69,$G95)</f>
        <v>0</v>
      </c>
      <c r="AU95" s="1022">
        <f ca="1">SUMIFS(Налоги!AT$25:AT$69,Налоги!$F$25:$F$69,$F95,Налоги!$AB$25:$AB$69,$G95)</f>
        <v>0</v>
      </c>
      <c r="AV95" s="1022">
        <f ca="1">SUMIFS(Налоги!AU$25:AU$69,Налоги!$F$25:$F$69,$F95,Налоги!$AB$25:$AB$69,$G95)</f>
        <v>0</v>
      </c>
      <c r="AW95" s="1022">
        <f ca="1">SUMIFS(Налоги!AV$25:AV$69,Налоги!$F$25:$F$69,$F95,Налоги!$AB$25:$AB$69,$G95)</f>
        <v>0</v>
      </c>
      <c r="AX95" s="1022">
        <f ca="1">SUMIFS(Налоги!AW$25:AW$69,Налоги!$F$25:$F$69,$F95,Налоги!$AB$25:$AB$69,$G95)</f>
        <v>0</v>
      </c>
      <c r="AY95" s="1022">
        <f ca="1">SUMIFS(Налоги!AX$25:AX$69,Налоги!$F$25:$F$69,$F95,Налоги!$AB$25:$AB$69,$G95)</f>
        <v>0</v>
      </c>
      <c r="AZ95" s="1022">
        <f ca="1">SUMIFS(Налоги!AY$25:AY$69,Налоги!$F$25:$F$69,$F95,Налоги!$AB$25:$AB$69,$G95)</f>
        <v>0</v>
      </c>
      <c r="BA95" s="1022">
        <f ca="1">SUMIFS(Налоги!AZ$25:AZ$69,Налоги!$F$25:$F$69,$F95,Налоги!$AB$25:$AB$69,$G95)</f>
        <v>0</v>
      </c>
      <c r="BB95" s="1022">
        <f ca="1">SUMIFS(Налоги!BA$25:BA$69,Налоги!$F$25:$F$69,$F95,Налоги!$AB$25:$AB$69,$G95)</f>
        <v>0</v>
      </c>
      <c r="BC95" s="1022">
        <f ca="1">SUMIFS(Налоги!BB$25:BB$69,Налоги!$F$25:$F$69,$F95,Налоги!$AB$25:$AB$69,$G95)</f>
        <v>0</v>
      </c>
      <c r="BD95" s="1022">
        <f t="shared" ca="1" si="11"/>
        <v>0</v>
      </c>
      <c r="BE95" s="1022">
        <f t="shared" ca="1" si="12"/>
        <v>0</v>
      </c>
      <c r="BF95" s="1022">
        <f t="shared" ca="1" si="13"/>
        <v>0</v>
      </c>
      <c r="BG95" s="1022">
        <f t="shared" ca="1" si="14"/>
        <v>0</v>
      </c>
      <c r="BH95" s="1022">
        <f t="shared" ca="1" si="15"/>
        <v>0</v>
      </c>
      <c r="BI95" s="1022">
        <f t="shared" ca="1" si="16"/>
        <v>0</v>
      </c>
      <c r="BJ95" s="1022">
        <f t="shared" ca="1" si="17"/>
        <v>0</v>
      </c>
      <c r="BK95" s="1022">
        <f t="shared" ca="1" si="18"/>
        <v>0</v>
      </c>
      <c r="BL95" s="1022">
        <f t="shared" ca="1" si="19"/>
        <v>0</v>
      </c>
      <c r="BM95" s="1022">
        <f t="shared" ca="1" si="20"/>
        <v>0</v>
      </c>
      <c r="BN95" s="1145"/>
      <c r="BO95" s="1149" t="str">
        <f ca="1">IF(IFERROR(INDEX(Налоги!$K$26:$L$69,MATCH($F95&amp;"2komm",Налоги!$K$26:$K$69,0),2),"")=0,"",IFERROR(INDEX(Налоги!$K$26:$L$69,MATCH($F95&amp;"2komm",Налоги!$K$26:$K$69,0),2),""))</f>
        <v/>
      </c>
      <c r="BP95" s="1145"/>
      <c r="BS95" s="973" t="s">
        <v>2030</v>
      </c>
    </row>
    <row r="96" spans="2:75" ht="14.65" hidden="1" customHeight="1" x14ac:dyDescent="0.15">
      <c r="C96" s="26"/>
      <c r="D96" s="26"/>
      <c r="E96" s="545">
        <v>15</v>
      </c>
      <c r="F96" s="3" cm="1">
        <f t="array" aca="1" ref="F96" ca="1">OFFSET(E96,-1,1)</f>
        <v>0</v>
      </c>
      <c r="G96" s="834">
        <v>4</v>
      </c>
      <c r="H96" s="26"/>
      <c r="I96" s="26" t="s">
        <v>2031</v>
      </c>
      <c r="J96" s="26"/>
      <c r="K96" s="26" t="s">
        <v>2031</v>
      </c>
      <c r="L96" s="889"/>
      <c r="M96" s="26"/>
      <c r="N96" s="26"/>
      <c r="O96" s="26"/>
      <c r="P96" s="26"/>
      <c r="Q96" s="26"/>
      <c r="R96" s="26"/>
      <c r="S96" s="26"/>
      <c r="T96" s="388" t="b" cm="1">
        <f t="array" aca="1" ref="T96" ca="1">T95</f>
        <v>0</v>
      </c>
      <c r="U96" s="26"/>
      <c r="V96" s="26"/>
      <c r="W96" s="26"/>
      <c r="X96" s="2066"/>
      <c r="Z96" s="2012"/>
      <c r="AB96" s="218" t="s">
        <v>2032</v>
      </c>
      <c r="AC96" s="685" t="s">
        <v>2033</v>
      </c>
      <c r="AD96" s="218" t="s">
        <v>831</v>
      </c>
      <c r="AE96" s="1022">
        <f ca="1">SUMIFS(Налоги!AE$25:AE$69,Налоги!$F$25:$F$69,$F96,Налоги!$AB$25:$AB$69,$G96)</f>
        <v>0</v>
      </c>
      <c r="AF96" s="1022">
        <f ca="1">SUMIFS(Налоги!AF$25:AF$69,Налоги!$F$25:$F$69,$F96,Налоги!$AB$25:$AB$69,$G96)</f>
        <v>0</v>
      </c>
      <c r="AG96" s="1022">
        <f ca="1">SUMIFS(Налоги!AG$25:AG$69,Налоги!$F$25:$F$69,$F96,Налоги!$AB$25:$AB$69,$G96)</f>
        <v>0</v>
      </c>
      <c r="AH96" s="1022">
        <f t="shared" ca="1" si="9"/>
        <v>0</v>
      </c>
      <c r="AI96" s="1022">
        <f ca="1">SUMIFS(Налоги!AH$25:AH$69,Налоги!$F$25:$F$69,$F96,Налоги!$AB$25:$AB$69,$G96)</f>
        <v>0</v>
      </c>
      <c r="AJ96" s="1022">
        <f ca="1">SUMIFS(Налоги!AI$25:AI$69,Налоги!$F$25:$F$69,$F96,Налоги!$AB$25:$AB$69,$G96)</f>
        <v>0</v>
      </c>
      <c r="AK96" s="1022">
        <f ca="1">SUMIFS(Налоги!AJ$25:AJ$69,Налоги!$F$25:$F$69,$F96,Налоги!$AB$25:$AB$69,$G96)</f>
        <v>0</v>
      </c>
      <c r="AL96" s="1022">
        <f ca="1">SUMIFS(Налоги!AK$25:AK$69,Налоги!$F$25:$F$69,$F96,Налоги!$AB$25:$AB$69,$G96)</f>
        <v>0</v>
      </c>
      <c r="AM96" s="1022">
        <f ca="1">SUMIFS(Налоги!AL$25:AL$69,Налоги!$F$25:$F$69,$F96,Налоги!$AB$25:$AB$69,$G96)</f>
        <v>0</v>
      </c>
      <c r="AN96" s="1022">
        <f ca="1">SUMIFS(Налоги!AM$25:AM$69,Налоги!$F$25:$F$69,$F96,Налоги!$AB$25:$AB$69,$G96)</f>
        <v>0</v>
      </c>
      <c r="AO96" s="1022">
        <f ca="1">SUMIFS(Налоги!AN$25:AN$69,Налоги!$F$25:$F$69,$F96,Налоги!$AB$25:$AB$69,$G96)</f>
        <v>0</v>
      </c>
      <c r="AP96" s="1022">
        <f ca="1">SUMIFS(Налоги!AO$25:AO$69,Налоги!$F$25:$F$69,$F96,Налоги!$AB$25:$AB$69,$G96)</f>
        <v>0</v>
      </c>
      <c r="AQ96" s="1022">
        <f ca="1">SUMIFS(Налоги!AP$25:AP$69,Налоги!$F$25:$F$69,$F96,Налоги!$AB$25:$AB$69,$G96)</f>
        <v>0</v>
      </c>
      <c r="AR96" s="1022">
        <f ca="1">SUMIFS(Налоги!AQ$25:AQ$69,Налоги!$F$25:$F$69,$F96,Налоги!$AB$25:$AB$69,$G96)</f>
        <v>0</v>
      </c>
      <c r="AS96" s="1022">
        <f ca="1">SUMIFS(Налоги!AR$25:AR$69,Налоги!$F$25:$F$69,$F96,Налоги!$AB$25:$AB$69,$G96)</f>
        <v>0</v>
      </c>
      <c r="AT96" s="1022">
        <f ca="1">SUMIFS(Налоги!AS$25:AS$69,Налоги!$F$25:$F$69,$F96,Налоги!$AB$25:$AB$69,$G96)</f>
        <v>0</v>
      </c>
      <c r="AU96" s="1022">
        <f ca="1">SUMIFS(Налоги!AT$25:AT$69,Налоги!$F$25:$F$69,$F96,Налоги!$AB$25:$AB$69,$G96)</f>
        <v>0</v>
      </c>
      <c r="AV96" s="1022">
        <f ca="1">SUMIFS(Налоги!AU$25:AU$69,Налоги!$F$25:$F$69,$F96,Налоги!$AB$25:$AB$69,$G96)</f>
        <v>0</v>
      </c>
      <c r="AW96" s="1022">
        <f ca="1">SUMIFS(Налоги!AV$25:AV$69,Налоги!$F$25:$F$69,$F96,Налоги!$AB$25:$AB$69,$G96)</f>
        <v>0</v>
      </c>
      <c r="AX96" s="1022">
        <f ca="1">SUMIFS(Налоги!AW$25:AW$69,Налоги!$F$25:$F$69,$F96,Налоги!$AB$25:$AB$69,$G96)</f>
        <v>0</v>
      </c>
      <c r="AY96" s="1022">
        <f ca="1">SUMIFS(Налоги!AX$25:AX$69,Налоги!$F$25:$F$69,$F96,Налоги!$AB$25:$AB$69,$G96)</f>
        <v>0</v>
      </c>
      <c r="AZ96" s="1022">
        <f ca="1">SUMIFS(Налоги!AY$25:AY$69,Налоги!$F$25:$F$69,$F96,Налоги!$AB$25:$AB$69,$G96)</f>
        <v>0</v>
      </c>
      <c r="BA96" s="1022">
        <f ca="1">SUMIFS(Налоги!AZ$25:AZ$69,Налоги!$F$25:$F$69,$F96,Налоги!$AB$25:$AB$69,$G96)</f>
        <v>0</v>
      </c>
      <c r="BB96" s="1022">
        <f ca="1">SUMIFS(Налоги!BA$25:BA$69,Налоги!$F$25:$F$69,$F96,Налоги!$AB$25:$AB$69,$G96)</f>
        <v>0</v>
      </c>
      <c r="BC96" s="1022">
        <f ca="1">SUMIFS(Налоги!BB$25:BB$69,Налоги!$F$25:$F$69,$F96,Налоги!$AB$25:$AB$69,$G96)</f>
        <v>0</v>
      </c>
      <c r="BD96" s="1022">
        <f t="shared" ca="1" si="11"/>
        <v>0</v>
      </c>
      <c r="BE96" s="1022">
        <f t="shared" ca="1" si="12"/>
        <v>0</v>
      </c>
      <c r="BF96" s="1022">
        <f t="shared" ca="1" si="13"/>
        <v>0</v>
      </c>
      <c r="BG96" s="1022">
        <f t="shared" ca="1" si="14"/>
        <v>0</v>
      </c>
      <c r="BH96" s="1022">
        <f t="shared" ca="1" si="15"/>
        <v>0</v>
      </c>
      <c r="BI96" s="1022">
        <f t="shared" ca="1" si="16"/>
        <v>0</v>
      </c>
      <c r="BJ96" s="1022">
        <f t="shared" ca="1" si="17"/>
        <v>0</v>
      </c>
      <c r="BK96" s="1022">
        <f t="shared" ca="1" si="18"/>
        <v>0</v>
      </c>
      <c r="BL96" s="1022">
        <f t="shared" ca="1" si="19"/>
        <v>0</v>
      </c>
      <c r="BM96" s="1022">
        <f t="shared" ca="1" si="20"/>
        <v>0</v>
      </c>
      <c r="BN96" s="1145"/>
      <c r="BO96" s="1149" t="str">
        <f ca="1">IF(IFERROR(INDEX(Налоги!$K$26:$L$69,MATCH($F96&amp;"4komm",Налоги!$K$26:$K$69,0),2),"")=0,"",IFERROR(INDEX(Налоги!$K$26:$L$69,MATCH($F96&amp;"4komm",Налоги!$K$26:$K$69,0),2),""))</f>
        <v/>
      </c>
      <c r="BP96" s="1145"/>
      <c r="BS96" s="973" t="s">
        <v>2034</v>
      </c>
    </row>
    <row r="97" spans="2:75" ht="14.65" hidden="1" customHeight="1" x14ac:dyDescent="0.15">
      <c r="C97" s="26"/>
      <c r="D97" s="26"/>
      <c r="E97" s="545">
        <v>15</v>
      </c>
      <c r="F97" s="3" cm="1">
        <f t="array" aca="1" ref="F97" ca="1">OFFSET(E97,-1,1)</f>
        <v>0</v>
      </c>
      <c r="G97" s="834">
        <v>5</v>
      </c>
      <c r="H97" s="26"/>
      <c r="I97" s="26" t="s">
        <v>2035</v>
      </c>
      <c r="J97" s="26"/>
      <c r="K97" s="26" t="s">
        <v>2035</v>
      </c>
      <c r="L97" s="889"/>
      <c r="M97" s="26"/>
      <c r="N97" s="26"/>
      <c r="O97" s="26"/>
      <c r="P97" s="26"/>
      <c r="Q97" s="26"/>
      <c r="R97" s="26"/>
      <c r="S97" s="26"/>
      <c r="T97" s="388" t="b" cm="1">
        <f t="array" aca="1" ref="T97" ca="1">T96</f>
        <v>0</v>
      </c>
      <c r="U97" s="26"/>
      <c r="V97" s="26"/>
      <c r="W97" s="26"/>
      <c r="X97" s="2066"/>
      <c r="Z97" s="2012"/>
      <c r="AB97" s="218" t="s">
        <v>2036</v>
      </c>
      <c r="AC97" s="685" t="s">
        <v>2037</v>
      </c>
      <c r="AD97" s="218" t="s">
        <v>831</v>
      </c>
      <c r="AE97" s="1022">
        <f ca="1">SUMIFS(Налоги!AE$25:AE$69,Налоги!$F$25:$F$69,$F97,Налоги!$AB$25:$AB$69,$G97)</f>
        <v>0</v>
      </c>
      <c r="AF97" s="1022">
        <f ca="1">SUMIFS(Налоги!AF$25:AF$69,Налоги!$F$25:$F$69,$F97,Налоги!$AB$25:$AB$69,$G97)</f>
        <v>0</v>
      </c>
      <c r="AG97" s="1022">
        <f ca="1">SUMIFS(Налоги!AG$25:AG$69,Налоги!$F$25:$F$69,$F97,Налоги!$AB$25:$AB$69,$G97)</f>
        <v>0</v>
      </c>
      <c r="AH97" s="1022">
        <f t="shared" ca="1" si="9"/>
        <v>0</v>
      </c>
      <c r="AI97" s="1022">
        <f ca="1">SUMIFS(Налоги!AH$25:AH$69,Налоги!$F$25:$F$69,$F97,Налоги!$AB$25:$AB$69,$G97)</f>
        <v>0</v>
      </c>
      <c r="AJ97" s="1022">
        <f ca="1">SUMIFS(Налоги!AI$25:AI$69,Налоги!$F$25:$F$69,$F97,Налоги!$AB$25:$AB$69,$G97)</f>
        <v>0</v>
      </c>
      <c r="AK97" s="1022">
        <f ca="1">SUMIFS(Налоги!AJ$25:AJ$69,Налоги!$F$25:$F$69,$F97,Налоги!$AB$25:$AB$69,$G97)</f>
        <v>0</v>
      </c>
      <c r="AL97" s="1022">
        <f ca="1">SUMIFS(Налоги!AK$25:AK$69,Налоги!$F$25:$F$69,$F97,Налоги!$AB$25:$AB$69,$G97)</f>
        <v>0</v>
      </c>
      <c r="AM97" s="1022">
        <f ca="1">SUMIFS(Налоги!AL$25:AL$69,Налоги!$F$25:$F$69,$F97,Налоги!$AB$25:$AB$69,$G97)</f>
        <v>0</v>
      </c>
      <c r="AN97" s="1022">
        <f ca="1">SUMIFS(Налоги!AM$25:AM$69,Налоги!$F$25:$F$69,$F97,Налоги!$AB$25:$AB$69,$G97)</f>
        <v>0</v>
      </c>
      <c r="AO97" s="1022">
        <f ca="1">SUMIFS(Налоги!AN$25:AN$69,Налоги!$F$25:$F$69,$F97,Налоги!$AB$25:$AB$69,$G97)</f>
        <v>0</v>
      </c>
      <c r="AP97" s="1022">
        <f ca="1">SUMIFS(Налоги!AO$25:AO$69,Налоги!$F$25:$F$69,$F97,Налоги!$AB$25:$AB$69,$G97)</f>
        <v>0</v>
      </c>
      <c r="AQ97" s="1022">
        <f ca="1">SUMIFS(Налоги!AP$25:AP$69,Налоги!$F$25:$F$69,$F97,Налоги!$AB$25:$AB$69,$G97)</f>
        <v>0</v>
      </c>
      <c r="AR97" s="1022">
        <f ca="1">SUMIFS(Налоги!AQ$25:AQ$69,Налоги!$F$25:$F$69,$F97,Налоги!$AB$25:$AB$69,$G97)</f>
        <v>0</v>
      </c>
      <c r="AS97" s="1022">
        <f ca="1">SUMIFS(Налоги!AR$25:AR$69,Налоги!$F$25:$F$69,$F97,Налоги!$AB$25:$AB$69,$G97)</f>
        <v>0</v>
      </c>
      <c r="AT97" s="1022">
        <f ca="1">SUMIFS(Налоги!AS$25:AS$69,Налоги!$F$25:$F$69,$F97,Налоги!$AB$25:$AB$69,$G97)</f>
        <v>0</v>
      </c>
      <c r="AU97" s="1022">
        <f ca="1">SUMIFS(Налоги!AT$25:AT$69,Налоги!$F$25:$F$69,$F97,Налоги!$AB$25:$AB$69,$G97)</f>
        <v>0</v>
      </c>
      <c r="AV97" s="1022">
        <f ca="1">SUMIFS(Налоги!AU$25:AU$69,Налоги!$F$25:$F$69,$F97,Налоги!$AB$25:$AB$69,$G97)</f>
        <v>0</v>
      </c>
      <c r="AW97" s="1022">
        <f ca="1">SUMIFS(Налоги!AV$25:AV$69,Налоги!$F$25:$F$69,$F97,Налоги!$AB$25:$AB$69,$G97)</f>
        <v>0</v>
      </c>
      <c r="AX97" s="1022">
        <f ca="1">SUMIFS(Налоги!AW$25:AW$69,Налоги!$F$25:$F$69,$F97,Налоги!$AB$25:$AB$69,$G97)</f>
        <v>0</v>
      </c>
      <c r="AY97" s="1022">
        <f ca="1">SUMIFS(Налоги!AX$25:AX$69,Налоги!$F$25:$F$69,$F97,Налоги!$AB$25:$AB$69,$G97)</f>
        <v>0</v>
      </c>
      <c r="AZ97" s="1022">
        <f ca="1">SUMIFS(Налоги!AY$25:AY$69,Налоги!$F$25:$F$69,$F97,Налоги!$AB$25:$AB$69,$G97)</f>
        <v>0</v>
      </c>
      <c r="BA97" s="1022">
        <f ca="1">SUMIFS(Налоги!AZ$25:AZ$69,Налоги!$F$25:$F$69,$F97,Налоги!$AB$25:$AB$69,$G97)</f>
        <v>0</v>
      </c>
      <c r="BB97" s="1022">
        <f ca="1">SUMIFS(Налоги!BA$25:BA$69,Налоги!$F$25:$F$69,$F97,Налоги!$AB$25:$AB$69,$G97)</f>
        <v>0</v>
      </c>
      <c r="BC97" s="1022">
        <f ca="1">SUMIFS(Налоги!BB$25:BB$69,Налоги!$F$25:$F$69,$F97,Налоги!$AB$25:$AB$69,$G97)</f>
        <v>0</v>
      </c>
      <c r="BD97" s="1022">
        <f t="shared" ca="1" si="11"/>
        <v>0</v>
      </c>
      <c r="BE97" s="1022">
        <f t="shared" ca="1" si="12"/>
        <v>0</v>
      </c>
      <c r="BF97" s="1022">
        <f t="shared" ca="1" si="13"/>
        <v>0</v>
      </c>
      <c r="BG97" s="1022">
        <f t="shared" ca="1" si="14"/>
        <v>0</v>
      </c>
      <c r="BH97" s="1022">
        <f t="shared" ca="1" si="15"/>
        <v>0</v>
      </c>
      <c r="BI97" s="1022">
        <f t="shared" ca="1" si="16"/>
        <v>0</v>
      </c>
      <c r="BJ97" s="1022">
        <f t="shared" ca="1" si="17"/>
        <v>0</v>
      </c>
      <c r="BK97" s="1022">
        <f t="shared" ca="1" si="18"/>
        <v>0</v>
      </c>
      <c r="BL97" s="1022">
        <f t="shared" ca="1" si="19"/>
        <v>0</v>
      </c>
      <c r="BM97" s="1022">
        <f t="shared" ca="1" si="20"/>
        <v>0</v>
      </c>
      <c r="BN97" s="1145"/>
      <c r="BO97" s="1149" t="str">
        <f ca="1">IF(IFERROR(INDEX(Налоги!$K$26:$L$69,MATCH($F97&amp;"5komm",Налоги!$K$26:$K$69,0),2),"")=0,"",IFERROR(INDEX(Налоги!$K$26:$L$69,MATCH($F97&amp;"5komm",Налоги!$K$26:$K$69,0),2),""))</f>
        <v/>
      </c>
      <c r="BP97" s="1145"/>
      <c r="BS97" s="973" t="s">
        <v>2038</v>
      </c>
    </row>
    <row r="98" spans="2:75" ht="14.65" hidden="1" customHeight="1" x14ac:dyDescent="0.15">
      <c r="C98" s="26"/>
      <c r="D98" s="26"/>
      <c r="E98" s="545">
        <v>15</v>
      </c>
      <c r="F98" s="3" cm="1">
        <f t="array" aca="1" ref="F98" ca="1">OFFSET(E98,-1,1)</f>
        <v>0</v>
      </c>
      <c r="G98" s="834">
        <v>1</v>
      </c>
      <c r="H98" s="26"/>
      <c r="I98" s="26" t="s">
        <v>2039</v>
      </c>
      <c r="J98" s="26"/>
      <c r="K98" s="26" t="s">
        <v>2039</v>
      </c>
      <c r="L98" s="889"/>
      <c r="M98" s="26"/>
      <c r="N98" s="26"/>
      <c r="O98" s="26"/>
      <c r="P98" s="26"/>
      <c r="Q98" s="26"/>
      <c r="R98" s="26"/>
      <c r="S98" s="26"/>
      <c r="T98" s="388" t="b" cm="1">
        <f t="array" aca="1" ref="T98" ca="1">T97</f>
        <v>0</v>
      </c>
      <c r="U98" s="26"/>
      <c r="V98" s="26"/>
      <c r="W98" s="26"/>
      <c r="X98" s="2066"/>
      <c r="Z98" s="2012"/>
      <c r="AB98" s="218" t="s">
        <v>2040</v>
      </c>
      <c r="AC98" s="685" t="s">
        <v>2041</v>
      </c>
      <c r="AD98" s="218" t="s">
        <v>831</v>
      </c>
      <c r="AE98" s="1022">
        <f ca="1">SUMIFS(Налоги!AE$25:AE$69,Налоги!$F$25:$F$69,$F98,Налоги!$AB$25:$AB$69,$G98)</f>
        <v>0</v>
      </c>
      <c r="AF98" s="1022">
        <f ca="1">SUMIFS(Налоги!AF$25:AF$69,Налоги!$F$25:$F$69,$F98,Налоги!$AB$25:$AB$69,$G98)</f>
        <v>0</v>
      </c>
      <c r="AG98" s="1022">
        <f ca="1">SUMIFS(Налоги!AG$25:AG$69,Налоги!$F$25:$F$69,$F98,Налоги!$AB$25:$AB$69,$G98)</f>
        <v>0</v>
      </c>
      <c r="AH98" s="1022">
        <f t="shared" ca="1" si="9"/>
        <v>0</v>
      </c>
      <c r="AI98" s="1022">
        <f ca="1">SUMIFS(Налоги!AH$25:AH$69,Налоги!$F$25:$F$69,$F98,Налоги!$AB$25:$AB$69,$G98)</f>
        <v>0</v>
      </c>
      <c r="AJ98" s="1022">
        <f ca="1">SUMIFS(Налоги!AI$25:AI$69,Налоги!$F$25:$F$69,$F98,Налоги!$AB$25:$AB$69,$G98)</f>
        <v>0</v>
      </c>
      <c r="AK98" s="1022">
        <f ca="1">SUMIFS(Налоги!AJ$25:AJ$69,Налоги!$F$25:$F$69,$F98,Налоги!$AB$25:$AB$69,$G98)</f>
        <v>0</v>
      </c>
      <c r="AL98" s="1022">
        <f ca="1">SUMIFS(Налоги!AK$25:AK$69,Налоги!$F$25:$F$69,$F98,Налоги!$AB$25:$AB$69,$G98)</f>
        <v>0</v>
      </c>
      <c r="AM98" s="1022">
        <f ca="1">SUMIFS(Налоги!AL$25:AL$69,Налоги!$F$25:$F$69,$F98,Налоги!$AB$25:$AB$69,$G98)</f>
        <v>0</v>
      </c>
      <c r="AN98" s="1022">
        <f ca="1">SUMIFS(Налоги!AM$25:AM$69,Налоги!$F$25:$F$69,$F98,Налоги!$AB$25:$AB$69,$G98)</f>
        <v>0</v>
      </c>
      <c r="AO98" s="1022">
        <f ca="1">SUMIFS(Налоги!AN$25:AN$69,Налоги!$F$25:$F$69,$F98,Налоги!$AB$25:$AB$69,$G98)</f>
        <v>0</v>
      </c>
      <c r="AP98" s="1022">
        <f ca="1">SUMIFS(Налоги!AO$25:AO$69,Налоги!$F$25:$F$69,$F98,Налоги!$AB$25:$AB$69,$G98)</f>
        <v>0</v>
      </c>
      <c r="AQ98" s="1022">
        <f ca="1">SUMIFS(Налоги!AP$25:AP$69,Налоги!$F$25:$F$69,$F98,Налоги!$AB$25:$AB$69,$G98)</f>
        <v>0</v>
      </c>
      <c r="AR98" s="1022">
        <f ca="1">SUMIFS(Налоги!AQ$25:AQ$69,Налоги!$F$25:$F$69,$F98,Налоги!$AB$25:$AB$69,$G98)</f>
        <v>0</v>
      </c>
      <c r="AS98" s="1022">
        <f ca="1">SUMIFS(Налоги!AR$25:AR$69,Налоги!$F$25:$F$69,$F98,Налоги!$AB$25:$AB$69,$G98)</f>
        <v>0</v>
      </c>
      <c r="AT98" s="1022">
        <f ca="1">SUMIFS(Налоги!AS$25:AS$69,Налоги!$F$25:$F$69,$F98,Налоги!$AB$25:$AB$69,$G98)</f>
        <v>0</v>
      </c>
      <c r="AU98" s="1022">
        <f ca="1">SUMIFS(Налоги!AT$25:AT$69,Налоги!$F$25:$F$69,$F98,Налоги!$AB$25:$AB$69,$G98)</f>
        <v>0</v>
      </c>
      <c r="AV98" s="1022">
        <f ca="1">SUMIFS(Налоги!AU$25:AU$69,Налоги!$F$25:$F$69,$F98,Налоги!$AB$25:$AB$69,$G98)</f>
        <v>0</v>
      </c>
      <c r="AW98" s="1022">
        <f ca="1">SUMIFS(Налоги!AV$25:AV$69,Налоги!$F$25:$F$69,$F98,Налоги!$AB$25:$AB$69,$G98)</f>
        <v>0</v>
      </c>
      <c r="AX98" s="1022">
        <f ca="1">SUMIFS(Налоги!AW$25:AW$69,Налоги!$F$25:$F$69,$F98,Налоги!$AB$25:$AB$69,$G98)</f>
        <v>0</v>
      </c>
      <c r="AY98" s="1022">
        <f ca="1">SUMIFS(Налоги!AX$25:AX$69,Налоги!$F$25:$F$69,$F98,Налоги!$AB$25:$AB$69,$G98)</f>
        <v>0</v>
      </c>
      <c r="AZ98" s="1022">
        <f ca="1">SUMIFS(Налоги!AY$25:AY$69,Налоги!$F$25:$F$69,$F98,Налоги!$AB$25:$AB$69,$G98)</f>
        <v>0</v>
      </c>
      <c r="BA98" s="1022">
        <f ca="1">SUMIFS(Налоги!AZ$25:AZ$69,Налоги!$F$25:$F$69,$F98,Налоги!$AB$25:$AB$69,$G98)</f>
        <v>0</v>
      </c>
      <c r="BB98" s="1022">
        <f ca="1">SUMIFS(Налоги!BA$25:BA$69,Налоги!$F$25:$F$69,$F98,Налоги!$AB$25:$AB$69,$G98)</f>
        <v>0</v>
      </c>
      <c r="BC98" s="1022">
        <f ca="1">SUMIFS(Налоги!BB$25:BB$69,Налоги!$F$25:$F$69,$F98,Налоги!$AB$25:$AB$69,$G98)</f>
        <v>0</v>
      </c>
      <c r="BD98" s="1022">
        <f t="shared" ca="1" si="11"/>
        <v>0</v>
      </c>
      <c r="BE98" s="1022">
        <f t="shared" ca="1" si="12"/>
        <v>0</v>
      </c>
      <c r="BF98" s="1022">
        <f t="shared" ca="1" si="13"/>
        <v>0</v>
      </c>
      <c r="BG98" s="1022">
        <f t="shared" ca="1" si="14"/>
        <v>0</v>
      </c>
      <c r="BH98" s="1022">
        <f t="shared" ca="1" si="15"/>
        <v>0</v>
      </c>
      <c r="BI98" s="1022">
        <f t="shared" ca="1" si="16"/>
        <v>0</v>
      </c>
      <c r="BJ98" s="1022">
        <f t="shared" ca="1" si="17"/>
        <v>0</v>
      </c>
      <c r="BK98" s="1022">
        <f t="shared" ca="1" si="18"/>
        <v>0</v>
      </c>
      <c r="BL98" s="1022">
        <f t="shared" ca="1" si="19"/>
        <v>0</v>
      </c>
      <c r="BM98" s="1022">
        <f t="shared" ca="1" si="20"/>
        <v>0</v>
      </c>
      <c r="BN98" s="1145"/>
      <c r="BO98" s="1149" t="str">
        <f ca="1">IF(IFERROR(INDEX(Налоги!$K$26:$L$69,MATCH($F98&amp;"1komm",Налоги!$K$26:$K$69,0),2),"")=0,"",IFERROR(INDEX(Налоги!$K$26:$L$69,MATCH($F98&amp;"1komm",Налоги!$K$26:$K$69,0),2),""))</f>
        <v/>
      </c>
      <c r="BP98" s="1145"/>
      <c r="BS98" s="973" t="s">
        <v>2042</v>
      </c>
    </row>
    <row r="99" spans="2:75" ht="14.65" hidden="1" customHeight="1" x14ac:dyDescent="0.15">
      <c r="C99" s="26"/>
      <c r="D99" s="26"/>
      <c r="E99" s="545">
        <v>15</v>
      </c>
      <c r="F99" s="3" cm="1">
        <f t="array" aca="1" ref="F99" ca="1">OFFSET(E99,-1,1)</f>
        <v>0</v>
      </c>
      <c r="G99" s="834">
        <v>3</v>
      </c>
      <c r="H99" s="26"/>
      <c r="I99" s="26" t="s">
        <v>2043</v>
      </c>
      <c r="J99" s="26"/>
      <c r="K99" s="26" t="s">
        <v>2043</v>
      </c>
      <c r="L99" s="889"/>
      <c r="M99" s="26"/>
      <c r="N99" s="26"/>
      <c r="O99" s="26"/>
      <c r="P99" s="26"/>
      <c r="Q99" s="26"/>
      <c r="R99" s="26"/>
      <c r="S99" s="26"/>
      <c r="T99" s="388" t="b" cm="1">
        <f t="array" aca="1" ref="T99" ca="1">T98</f>
        <v>0</v>
      </c>
      <c r="U99" s="26"/>
      <c r="V99" s="26"/>
      <c r="W99" s="26"/>
      <c r="X99" s="2066"/>
      <c r="Z99" s="2012"/>
      <c r="AB99" s="218" t="s">
        <v>2044</v>
      </c>
      <c r="AC99" s="685" t="s">
        <v>2045</v>
      </c>
      <c r="AD99" s="218" t="s">
        <v>831</v>
      </c>
      <c r="AE99" s="1022">
        <f ca="1">SUMIFS(Налоги!AE$25:AE$69,Налоги!$F$25:$F$69,$F99,Налоги!$AB$25:$AB$69,$G99)</f>
        <v>0</v>
      </c>
      <c r="AF99" s="1022">
        <f ca="1">SUMIFS(Налоги!AF$25:AF$69,Налоги!$F$25:$F$69,$F99,Налоги!$AB$25:$AB$69,$G99)</f>
        <v>0</v>
      </c>
      <c r="AG99" s="1022">
        <f ca="1">SUMIFS(Налоги!AG$25:AG$69,Налоги!$F$25:$F$69,$F99,Налоги!$AB$25:$AB$69,$G99)</f>
        <v>0</v>
      </c>
      <c r="AH99" s="1022">
        <f t="shared" ca="1" si="9"/>
        <v>0</v>
      </c>
      <c r="AI99" s="1022">
        <f ca="1">SUMIFS(Налоги!AH$25:AH$69,Налоги!$F$25:$F$69,$F99,Налоги!$AB$25:$AB$69,$G99)</f>
        <v>0</v>
      </c>
      <c r="AJ99" s="1022">
        <f ca="1">SUMIFS(Налоги!AI$25:AI$69,Налоги!$F$25:$F$69,$F99,Налоги!$AB$25:$AB$69,$G99)</f>
        <v>0</v>
      </c>
      <c r="AK99" s="1022">
        <f ca="1">SUMIFS(Налоги!AJ$25:AJ$69,Налоги!$F$25:$F$69,$F99,Налоги!$AB$25:$AB$69,$G99)</f>
        <v>0</v>
      </c>
      <c r="AL99" s="1022">
        <f ca="1">SUMIFS(Налоги!AK$25:AK$69,Налоги!$F$25:$F$69,$F99,Налоги!$AB$25:$AB$69,$G99)</f>
        <v>0</v>
      </c>
      <c r="AM99" s="1022">
        <f ca="1">SUMIFS(Налоги!AL$25:AL$69,Налоги!$F$25:$F$69,$F99,Налоги!$AB$25:$AB$69,$G99)</f>
        <v>0</v>
      </c>
      <c r="AN99" s="1022">
        <f ca="1">SUMIFS(Налоги!AM$25:AM$69,Налоги!$F$25:$F$69,$F99,Налоги!$AB$25:$AB$69,$G99)</f>
        <v>0</v>
      </c>
      <c r="AO99" s="1022">
        <f ca="1">SUMIFS(Налоги!AN$25:AN$69,Налоги!$F$25:$F$69,$F99,Налоги!$AB$25:$AB$69,$G99)</f>
        <v>0</v>
      </c>
      <c r="AP99" s="1022">
        <f ca="1">SUMIFS(Налоги!AO$25:AO$69,Налоги!$F$25:$F$69,$F99,Налоги!$AB$25:$AB$69,$G99)</f>
        <v>0</v>
      </c>
      <c r="AQ99" s="1022">
        <f ca="1">SUMIFS(Налоги!AP$25:AP$69,Налоги!$F$25:$F$69,$F99,Налоги!$AB$25:$AB$69,$G99)</f>
        <v>0</v>
      </c>
      <c r="AR99" s="1022">
        <f ca="1">SUMIFS(Налоги!AQ$25:AQ$69,Налоги!$F$25:$F$69,$F99,Налоги!$AB$25:$AB$69,$G99)</f>
        <v>0</v>
      </c>
      <c r="AS99" s="1022">
        <f ca="1">SUMIFS(Налоги!AR$25:AR$69,Налоги!$F$25:$F$69,$F99,Налоги!$AB$25:$AB$69,$G99)</f>
        <v>0</v>
      </c>
      <c r="AT99" s="1022">
        <f ca="1">SUMIFS(Налоги!AS$25:AS$69,Налоги!$F$25:$F$69,$F99,Налоги!$AB$25:$AB$69,$G99)</f>
        <v>0</v>
      </c>
      <c r="AU99" s="1022">
        <f ca="1">SUMIFS(Налоги!AT$25:AT$69,Налоги!$F$25:$F$69,$F99,Налоги!$AB$25:$AB$69,$G99)</f>
        <v>0</v>
      </c>
      <c r="AV99" s="1022">
        <f ca="1">SUMIFS(Налоги!AU$25:AU$69,Налоги!$F$25:$F$69,$F99,Налоги!$AB$25:$AB$69,$G99)</f>
        <v>0</v>
      </c>
      <c r="AW99" s="1022">
        <f ca="1">SUMIFS(Налоги!AV$25:AV$69,Налоги!$F$25:$F$69,$F99,Налоги!$AB$25:$AB$69,$G99)</f>
        <v>0</v>
      </c>
      <c r="AX99" s="1022">
        <f ca="1">SUMIFS(Налоги!AW$25:AW$69,Налоги!$F$25:$F$69,$F99,Налоги!$AB$25:$AB$69,$G99)</f>
        <v>0</v>
      </c>
      <c r="AY99" s="1022">
        <f ca="1">SUMIFS(Налоги!AX$25:AX$69,Налоги!$F$25:$F$69,$F99,Налоги!$AB$25:$AB$69,$G99)</f>
        <v>0</v>
      </c>
      <c r="AZ99" s="1022">
        <f ca="1">SUMIFS(Налоги!AY$25:AY$69,Налоги!$F$25:$F$69,$F99,Налоги!$AB$25:$AB$69,$G99)</f>
        <v>0</v>
      </c>
      <c r="BA99" s="1022">
        <f ca="1">SUMIFS(Налоги!AZ$25:AZ$69,Налоги!$F$25:$F$69,$F99,Налоги!$AB$25:$AB$69,$G99)</f>
        <v>0</v>
      </c>
      <c r="BB99" s="1022">
        <f ca="1">SUMIFS(Налоги!BA$25:BA$69,Налоги!$F$25:$F$69,$F99,Налоги!$AB$25:$AB$69,$G99)</f>
        <v>0</v>
      </c>
      <c r="BC99" s="1022">
        <f ca="1">SUMIFS(Налоги!BB$25:BB$69,Налоги!$F$25:$F$69,$F99,Налоги!$AB$25:$AB$69,$G99)</f>
        <v>0</v>
      </c>
      <c r="BD99" s="1022">
        <f t="shared" ca="1" si="11"/>
        <v>0</v>
      </c>
      <c r="BE99" s="1022">
        <f t="shared" ca="1" si="12"/>
        <v>0</v>
      </c>
      <c r="BF99" s="1022">
        <f t="shared" ca="1" si="13"/>
        <v>0</v>
      </c>
      <c r="BG99" s="1022">
        <f t="shared" ca="1" si="14"/>
        <v>0</v>
      </c>
      <c r="BH99" s="1022">
        <f t="shared" ca="1" si="15"/>
        <v>0</v>
      </c>
      <c r="BI99" s="1022">
        <f t="shared" ca="1" si="16"/>
        <v>0</v>
      </c>
      <c r="BJ99" s="1022">
        <f t="shared" ca="1" si="17"/>
        <v>0</v>
      </c>
      <c r="BK99" s="1022">
        <f t="shared" ca="1" si="18"/>
        <v>0</v>
      </c>
      <c r="BL99" s="1022">
        <f t="shared" ca="1" si="19"/>
        <v>0</v>
      </c>
      <c r="BM99" s="1022">
        <f t="shared" ca="1" si="20"/>
        <v>0</v>
      </c>
      <c r="BN99" s="1145"/>
      <c r="BO99" s="1149" t="str">
        <f ca="1">IF(IFERROR(INDEX(Налоги!$K$26:$L$69,MATCH($F99&amp;"5komm",Налоги!$K$26:$K$69,0),2),"")=0,"",IFERROR(INDEX(Налоги!$K$26:$L$69,MATCH($F99&amp;"5komm",Налоги!$K$26:$K$69,0),2),""))</f>
        <v/>
      </c>
      <c r="BP99" s="1145"/>
      <c r="BS99" s="973" t="s">
        <v>2046</v>
      </c>
    </row>
    <row r="100" spans="2:75" ht="14.65" hidden="1" customHeight="1" x14ac:dyDescent="0.15">
      <c r="C100" s="26"/>
      <c r="D100" s="26"/>
      <c r="E100" s="545">
        <v>15</v>
      </c>
      <c r="F100" s="3" cm="1">
        <f t="array" aca="1" ref="F100" ca="1">OFFSET(E100,-1,1)</f>
        <v>0</v>
      </c>
      <c r="G100" s="834">
        <v>8</v>
      </c>
      <c r="H100" s="26"/>
      <c r="I100" s="26" t="s">
        <v>2047</v>
      </c>
      <c r="J100" s="26"/>
      <c r="K100" s="26" t="s">
        <v>2047</v>
      </c>
      <c r="L100" s="889"/>
      <c r="M100" s="26"/>
      <c r="N100" s="26"/>
      <c r="O100" s="26"/>
      <c r="P100" s="26"/>
      <c r="Q100" s="26"/>
      <c r="R100" s="26"/>
      <c r="S100" s="26"/>
      <c r="T100" s="388" t="b" cm="1">
        <f t="array" aca="1" ref="T100" ca="1">T99</f>
        <v>0</v>
      </c>
      <c r="U100" s="26"/>
      <c r="V100" s="26"/>
      <c r="W100" s="26"/>
      <c r="X100" s="2066"/>
      <c r="Z100" s="2012"/>
      <c r="AB100" s="218" t="s">
        <v>2048</v>
      </c>
      <c r="AC100" s="685" t="s">
        <v>2049</v>
      </c>
      <c r="AD100" s="218" t="s">
        <v>831</v>
      </c>
      <c r="AE100" s="1022">
        <f ca="1">SUMIFS(Налоги!AE$25:AE$69,Налоги!$F$25:$F$69,$F100,Налоги!$AB$25:$AB$69,$G100)</f>
        <v>0</v>
      </c>
      <c r="AF100" s="1022">
        <f ca="1">SUMIFS(Налоги!AF$25:AF$69,Налоги!$F$25:$F$69,$F100,Налоги!$AB$25:$AB$69,$G100)</f>
        <v>0</v>
      </c>
      <c r="AG100" s="1022">
        <f ca="1">SUMIFS(Налоги!AG$25:AG$69,Налоги!$F$25:$F$69,$F100,Налоги!$AB$25:$AB$69,$G100)</f>
        <v>0</v>
      </c>
      <c r="AH100" s="1022">
        <f t="shared" ca="1" si="9"/>
        <v>0</v>
      </c>
      <c r="AI100" s="1022">
        <f ca="1">SUMIFS(Налоги!AH$25:AH$69,Налоги!$F$25:$F$69,$F100,Налоги!$AB$25:$AB$69,$G100)</f>
        <v>0</v>
      </c>
      <c r="AJ100" s="1022">
        <f ca="1">SUMIFS(Налоги!AI$25:AI$69,Налоги!$F$25:$F$69,$F100,Налоги!$AB$25:$AB$69,$G100)</f>
        <v>0</v>
      </c>
      <c r="AK100" s="1022">
        <f ca="1">SUMIFS(Налоги!AJ$25:AJ$69,Налоги!$F$25:$F$69,$F100,Налоги!$AB$25:$AB$69,$G100)</f>
        <v>0</v>
      </c>
      <c r="AL100" s="1022">
        <f ca="1">SUMIFS(Налоги!AK$25:AK$69,Налоги!$F$25:$F$69,$F100,Налоги!$AB$25:$AB$69,$G100)</f>
        <v>0</v>
      </c>
      <c r="AM100" s="1022">
        <f ca="1">SUMIFS(Налоги!AL$25:AL$69,Налоги!$F$25:$F$69,$F100,Налоги!$AB$25:$AB$69,$G100)</f>
        <v>0</v>
      </c>
      <c r="AN100" s="1022">
        <f ca="1">SUMIFS(Налоги!AM$25:AM$69,Налоги!$F$25:$F$69,$F100,Налоги!$AB$25:$AB$69,$G100)</f>
        <v>0</v>
      </c>
      <c r="AO100" s="1022">
        <f ca="1">SUMIFS(Налоги!AN$25:AN$69,Налоги!$F$25:$F$69,$F100,Налоги!$AB$25:$AB$69,$G100)</f>
        <v>0</v>
      </c>
      <c r="AP100" s="1022">
        <f ca="1">SUMIFS(Налоги!AO$25:AO$69,Налоги!$F$25:$F$69,$F100,Налоги!$AB$25:$AB$69,$G100)</f>
        <v>0</v>
      </c>
      <c r="AQ100" s="1022">
        <f ca="1">SUMIFS(Налоги!AP$25:AP$69,Налоги!$F$25:$F$69,$F100,Налоги!$AB$25:$AB$69,$G100)</f>
        <v>0</v>
      </c>
      <c r="AR100" s="1022">
        <f ca="1">SUMIFS(Налоги!AQ$25:AQ$69,Налоги!$F$25:$F$69,$F100,Налоги!$AB$25:$AB$69,$G100)</f>
        <v>0</v>
      </c>
      <c r="AS100" s="1022">
        <f ca="1">SUMIFS(Налоги!AR$25:AR$69,Налоги!$F$25:$F$69,$F100,Налоги!$AB$25:$AB$69,$G100)</f>
        <v>0</v>
      </c>
      <c r="AT100" s="1022">
        <f ca="1">SUMIFS(Налоги!AS$25:AS$69,Налоги!$F$25:$F$69,$F100,Налоги!$AB$25:$AB$69,$G100)</f>
        <v>0</v>
      </c>
      <c r="AU100" s="1022">
        <f ca="1">SUMIFS(Налоги!AT$25:AT$69,Налоги!$F$25:$F$69,$F100,Налоги!$AB$25:$AB$69,$G100)</f>
        <v>0</v>
      </c>
      <c r="AV100" s="1022">
        <f ca="1">SUMIFS(Налоги!AU$25:AU$69,Налоги!$F$25:$F$69,$F100,Налоги!$AB$25:$AB$69,$G100)</f>
        <v>0</v>
      </c>
      <c r="AW100" s="1022">
        <f ca="1">SUMIFS(Налоги!AV$25:AV$69,Налоги!$F$25:$F$69,$F100,Налоги!$AB$25:$AB$69,$G100)</f>
        <v>0</v>
      </c>
      <c r="AX100" s="1022">
        <f ca="1">SUMIFS(Налоги!AW$25:AW$69,Налоги!$F$25:$F$69,$F100,Налоги!$AB$25:$AB$69,$G100)</f>
        <v>0</v>
      </c>
      <c r="AY100" s="1022">
        <f ca="1">SUMIFS(Налоги!AX$25:AX$69,Налоги!$F$25:$F$69,$F100,Налоги!$AB$25:$AB$69,$G100)</f>
        <v>0</v>
      </c>
      <c r="AZ100" s="1022">
        <f ca="1">SUMIFS(Налоги!AY$25:AY$69,Налоги!$F$25:$F$69,$F100,Налоги!$AB$25:$AB$69,$G100)</f>
        <v>0</v>
      </c>
      <c r="BA100" s="1022">
        <f ca="1">SUMIFS(Налоги!AZ$25:AZ$69,Налоги!$F$25:$F$69,$F100,Налоги!$AB$25:$AB$69,$G100)</f>
        <v>0</v>
      </c>
      <c r="BB100" s="1022">
        <f ca="1">SUMIFS(Налоги!BA$25:BA$69,Налоги!$F$25:$F$69,$F100,Налоги!$AB$25:$AB$69,$G100)</f>
        <v>0</v>
      </c>
      <c r="BC100" s="1022">
        <f ca="1">SUMIFS(Налоги!BB$25:BB$69,Налоги!$F$25:$F$69,$F100,Налоги!$AB$25:$AB$69,$G100)</f>
        <v>0</v>
      </c>
      <c r="BD100" s="1022">
        <f t="shared" ca="1" si="11"/>
        <v>0</v>
      </c>
      <c r="BE100" s="1022">
        <f t="shared" ca="1" si="12"/>
        <v>0</v>
      </c>
      <c r="BF100" s="1022">
        <f t="shared" ca="1" si="13"/>
        <v>0</v>
      </c>
      <c r="BG100" s="1022">
        <f t="shared" ca="1" si="14"/>
        <v>0</v>
      </c>
      <c r="BH100" s="1022">
        <f t="shared" ca="1" si="15"/>
        <v>0</v>
      </c>
      <c r="BI100" s="1022">
        <f t="shared" ca="1" si="16"/>
        <v>0</v>
      </c>
      <c r="BJ100" s="1022">
        <f t="shared" ca="1" si="17"/>
        <v>0</v>
      </c>
      <c r="BK100" s="1022">
        <f t="shared" ca="1" si="18"/>
        <v>0</v>
      </c>
      <c r="BL100" s="1022">
        <f t="shared" ca="1" si="19"/>
        <v>0</v>
      </c>
      <c r="BM100" s="1022">
        <f t="shared" ca="1" si="20"/>
        <v>0</v>
      </c>
      <c r="BN100" s="1145"/>
      <c r="BO100" s="1149" t="str">
        <f ca="1">IF(IFERROR(INDEX(Налоги!$K$26:$L$69,MATCH($F100&amp;"8komm",Налоги!$K$26:$K$69,0),2),"")=0,"",IFERROR(INDEX(Налоги!$K$26:$L$69,MATCH($F100&amp;"8komm",Налоги!$K$26:$K$69,0),2),""))</f>
        <v/>
      </c>
      <c r="BP100" s="1145"/>
      <c r="BS100" s="973" t="s">
        <v>1251</v>
      </c>
    </row>
    <row r="101" spans="2:75" s="1140" customFormat="1" ht="14.65" hidden="1" customHeight="1" x14ac:dyDescent="0.15">
      <c r="B101" s="673"/>
      <c r="C101" s="26"/>
      <c r="D101" s="26"/>
      <c r="E101" s="545">
        <v>15</v>
      </c>
      <c r="F101" s="3" cm="1">
        <f t="array" aca="1" ref="F101" ca="1">OFFSET(E101,-1,1)</f>
        <v>0</v>
      </c>
      <c r="G101" s="834">
        <v>9</v>
      </c>
      <c r="H101" s="26"/>
      <c r="I101" s="26"/>
      <c r="J101" s="26"/>
      <c r="K101" s="26"/>
      <c r="L101" s="889"/>
      <c r="M101" s="26"/>
      <c r="N101" s="26"/>
      <c r="O101" s="26"/>
      <c r="P101" s="26"/>
      <c r="Q101" s="26"/>
      <c r="R101" s="26"/>
      <c r="S101" s="26"/>
      <c r="T101" s="388" t="b" cm="1">
        <f t="array" aca="1" ref="T101" ca="1">T100</f>
        <v>0</v>
      </c>
      <c r="U101" s="26"/>
      <c r="V101" s="26"/>
      <c r="W101" s="26"/>
      <c r="X101" s="2066"/>
      <c r="Z101" s="2012"/>
      <c r="AB101" s="218" t="s">
        <v>2050</v>
      </c>
      <c r="AC101" s="700" t="s">
        <v>2051</v>
      </c>
      <c r="AD101" s="218" t="s">
        <v>831</v>
      </c>
      <c r="AE101" s="1022">
        <f ca="1">SUMIFS(Налоги!AE$25:AE$69,Налоги!$F$25:$F$69,$F101,Налоги!$AB$25:$AB$69,$G101)</f>
        <v>0</v>
      </c>
      <c r="AF101" s="1022">
        <f ca="1">SUMIFS(Налоги!AF$25:AF$69,Налоги!$F$25:$F$69,$F101,Налоги!$AB$25:$AB$69,$G101)</f>
        <v>0</v>
      </c>
      <c r="AG101" s="1022">
        <f ca="1">SUMIFS(Налоги!AG$25:AG$69,Налоги!$F$25:$F$69,$F101,Налоги!$AB$25:$AB$69,$G101)</f>
        <v>0</v>
      </c>
      <c r="AH101" s="1022">
        <f t="shared" ca="1" si="9"/>
        <v>0</v>
      </c>
      <c r="AI101" s="1022">
        <f ca="1">SUMIFS(Налоги!AH$25:AH$69,Налоги!$F$25:$F$69,$F101,Налоги!$AB$25:$AB$69,$G101)</f>
        <v>0</v>
      </c>
      <c r="AJ101" s="1022">
        <f ca="1">SUMIFS(Налоги!AI$25:AI$69,Налоги!$F$25:$F$69,$F101,Налоги!$AB$25:$AB$69,$G101)</f>
        <v>0</v>
      </c>
      <c r="AK101" s="1022">
        <f ca="1">SUMIFS(Налоги!AJ$25:AJ$69,Налоги!$F$25:$F$69,$F101,Налоги!$AB$25:$AB$69,$G101)</f>
        <v>0</v>
      </c>
      <c r="AL101" s="1022">
        <f ca="1">SUMIFS(Налоги!AK$25:AK$69,Налоги!$F$25:$F$69,$F101,Налоги!$AB$25:$AB$69,$G101)</f>
        <v>0</v>
      </c>
      <c r="AM101" s="1022">
        <f ca="1">SUMIFS(Налоги!AL$25:AL$69,Налоги!$F$25:$F$69,$F101,Налоги!$AB$25:$AB$69,$G101)</f>
        <v>0</v>
      </c>
      <c r="AN101" s="1022">
        <f ca="1">SUMIFS(Налоги!AM$25:AM$69,Налоги!$F$25:$F$69,$F101,Налоги!$AB$25:$AB$69,$G101)</f>
        <v>0</v>
      </c>
      <c r="AO101" s="1022">
        <f ca="1">SUMIFS(Налоги!AN$25:AN$69,Налоги!$F$25:$F$69,$F101,Налоги!$AB$25:$AB$69,$G101)</f>
        <v>0</v>
      </c>
      <c r="AP101" s="1022">
        <f ca="1">SUMIFS(Налоги!AO$25:AO$69,Налоги!$F$25:$F$69,$F101,Налоги!$AB$25:$AB$69,$G101)</f>
        <v>0</v>
      </c>
      <c r="AQ101" s="1022">
        <f ca="1">SUMIFS(Налоги!AP$25:AP$69,Налоги!$F$25:$F$69,$F101,Налоги!$AB$25:$AB$69,$G101)</f>
        <v>0</v>
      </c>
      <c r="AR101" s="1022">
        <f ca="1">SUMIFS(Налоги!AQ$25:AQ$69,Налоги!$F$25:$F$69,$F101,Налоги!$AB$25:$AB$69,$G101)</f>
        <v>0</v>
      </c>
      <c r="AS101" s="1022">
        <f ca="1">SUMIFS(Налоги!AR$25:AR$69,Налоги!$F$25:$F$69,$F101,Налоги!$AB$25:$AB$69,$G101)</f>
        <v>0</v>
      </c>
      <c r="AT101" s="1022">
        <f ca="1">SUMIFS(Налоги!AS$25:AS$69,Налоги!$F$25:$F$69,$F101,Налоги!$AB$25:$AB$69,$G101)</f>
        <v>0</v>
      </c>
      <c r="AU101" s="1022">
        <f ca="1">SUMIFS(Налоги!AT$25:AT$69,Налоги!$F$25:$F$69,$F101,Налоги!$AB$25:$AB$69,$G101)</f>
        <v>0</v>
      </c>
      <c r="AV101" s="1022">
        <f ca="1">SUMIFS(Налоги!AU$25:AU$69,Налоги!$F$25:$F$69,$F101,Налоги!$AB$25:$AB$69,$G101)</f>
        <v>0</v>
      </c>
      <c r="AW101" s="1022">
        <f ca="1">SUMIFS(Налоги!AV$25:AV$69,Налоги!$F$25:$F$69,$F101,Налоги!$AB$25:$AB$69,$G101)</f>
        <v>0</v>
      </c>
      <c r="AX101" s="1022">
        <f ca="1">SUMIFS(Налоги!AW$25:AW$69,Налоги!$F$25:$F$69,$F101,Налоги!$AB$25:$AB$69,$G101)</f>
        <v>0</v>
      </c>
      <c r="AY101" s="1022">
        <f ca="1">SUMIFS(Налоги!AX$25:AX$69,Налоги!$F$25:$F$69,$F101,Налоги!$AB$25:$AB$69,$G101)</f>
        <v>0</v>
      </c>
      <c r="AZ101" s="1022">
        <f ca="1">SUMIFS(Налоги!AY$25:AY$69,Налоги!$F$25:$F$69,$F101,Налоги!$AB$25:$AB$69,$G101)</f>
        <v>0</v>
      </c>
      <c r="BA101" s="1022">
        <f ca="1">SUMIFS(Налоги!AZ$25:AZ$69,Налоги!$F$25:$F$69,$F101,Налоги!$AB$25:$AB$69,$G101)</f>
        <v>0</v>
      </c>
      <c r="BB101" s="1022">
        <f ca="1">SUMIFS(Налоги!BA$25:BA$69,Налоги!$F$25:$F$69,$F101,Налоги!$AB$25:$AB$69,$G101)</f>
        <v>0</v>
      </c>
      <c r="BC101" s="1022">
        <f ca="1">SUMIFS(Налоги!BB$25:BB$69,Налоги!$F$25:$F$69,$F101,Налоги!$AB$25:$AB$69,$G101)</f>
        <v>0</v>
      </c>
      <c r="BD101" s="1022">
        <f t="shared" ca="1" si="11"/>
        <v>0</v>
      </c>
      <c r="BE101" s="1022">
        <f t="shared" ca="1" si="12"/>
        <v>0</v>
      </c>
      <c r="BF101" s="1022">
        <f t="shared" ca="1" si="13"/>
        <v>0</v>
      </c>
      <c r="BG101" s="1022">
        <f t="shared" ca="1" si="14"/>
        <v>0</v>
      </c>
      <c r="BH101" s="1022">
        <f t="shared" ca="1" si="15"/>
        <v>0</v>
      </c>
      <c r="BI101" s="1022">
        <f t="shared" ca="1" si="16"/>
        <v>0</v>
      </c>
      <c r="BJ101" s="1022">
        <f t="shared" ca="1" si="17"/>
        <v>0</v>
      </c>
      <c r="BK101" s="1022">
        <f t="shared" ca="1" si="18"/>
        <v>0</v>
      </c>
      <c r="BL101" s="1022">
        <f t="shared" ca="1" si="19"/>
        <v>0</v>
      </c>
      <c r="BM101" s="1022">
        <f t="shared" ca="1" si="20"/>
        <v>0</v>
      </c>
      <c r="BN101" s="1145"/>
      <c r="BO101" s="1149" t="str">
        <f ca="1">IF(IFERROR(INDEX(Налоги!$K$26:$L$69,MATCH($F101&amp;"9komm",Налоги!$K$26:$K$69,0),2),"")=0,"",IFERROR(INDEX(Налоги!$K$26:$L$69,MATCH($F101&amp;"9komm",Налоги!$K$26:$K$69,0),2),""))</f>
        <v/>
      </c>
      <c r="BP101" s="1145"/>
      <c r="BS101" s="980" t="s">
        <v>2052</v>
      </c>
      <c r="BT101" s="980"/>
      <c r="BU101" s="980"/>
      <c r="BV101" s="981"/>
      <c r="BW101" s="981"/>
    </row>
    <row r="102" spans="2:75" ht="14.65" hidden="1" customHeight="1" x14ac:dyDescent="0.15">
      <c r="C102" s="26"/>
      <c r="D102" s="26"/>
      <c r="E102" s="545">
        <v>15</v>
      </c>
      <c r="F102" s="3" cm="1">
        <f t="array" aca="1" ref="F102" ca="1">OFFSET(E102,-1,1)</f>
        <v>0</v>
      </c>
      <c r="G102" s="834">
        <v>10</v>
      </c>
      <c r="H102" s="26"/>
      <c r="I102" s="26" t="s">
        <v>2053</v>
      </c>
      <c r="J102" s="26"/>
      <c r="K102" s="26" t="s">
        <v>2053</v>
      </c>
      <c r="L102" s="889"/>
      <c r="M102" s="26"/>
      <c r="N102" s="26"/>
      <c r="O102" s="26"/>
      <c r="P102" s="26"/>
      <c r="Q102" s="26"/>
      <c r="R102" s="26"/>
      <c r="S102" s="26"/>
      <c r="T102" s="388" t="b" cm="1">
        <f t="array" aca="1" ref="T102" ca="1">T101</f>
        <v>0</v>
      </c>
      <c r="U102" s="26"/>
      <c r="V102" s="26"/>
      <c r="W102" s="26"/>
      <c r="X102" s="2066"/>
      <c r="Z102" s="2012"/>
      <c r="AB102" s="218" t="s">
        <v>2054</v>
      </c>
      <c r="AC102" s="701" t="s">
        <v>2055</v>
      </c>
      <c r="AD102" s="218" t="s">
        <v>831</v>
      </c>
      <c r="AE102" s="1022">
        <f ca="1">SUMIFS(Налоги!AE$25:AE$69,Налоги!$F$25:$F$69,$F102,Налоги!$AB$25:$AB$69,$G102)</f>
        <v>0</v>
      </c>
      <c r="AF102" s="1022">
        <f ca="1">SUMIFS(Налоги!AF$25:AF$69,Налоги!$F$25:$F$69,$F102,Налоги!$AB$25:$AB$69,$G102)</f>
        <v>0</v>
      </c>
      <c r="AG102" s="1022">
        <f ca="1">SUMIFS(Налоги!AG$25:AG$69,Налоги!$F$25:$F$69,$F102,Налоги!$AB$25:$AB$69,$G102)</f>
        <v>0</v>
      </c>
      <c r="AH102" s="1022">
        <f t="shared" ca="1" si="9"/>
        <v>0</v>
      </c>
      <c r="AI102" s="1022">
        <f ca="1">SUMIFS(Налоги!AH$25:AH$69,Налоги!$F$25:$F$69,$F102,Налоги!$AB$25:$AB$69,$G102)</f>
        <v>0</v>
      </c>
      <c r="AJ102" s="1022">
        <f ca="1">SUMIFS(Налоги!AI$25:AI$69,Налоги!$F$25:$F$69,$F102,Налоги!$AB$25:$AB$69,$G102)</f>
        <v>0</v>
      </c>
      <c r="AK102" s="1022">
        <f ca="1">SUMIFS(Налоги!AJ$25:AJ$69,Налоги!$F$25:$F$69,$F102,Налоги!$AB$25:$AB$69,$G102)</f>
        <v>0</v>
      </c>
      <c r="AL102" s="1022">
        <f ca="1">SUMIFS(Налоги!AK$25:AK$69,Налоги!$F$25:$F$69,$F102,Налоги!$AB$25:$AB$69,$G102)</f>
        <v>0</v>
      </c>
      <c r="AM102" s="1022">
        <f ca="1">SUMIFS(Налоги!AL$25:AL$69,Налоги!$F$25:$F$69,$F102,Налоги!$AB$25:$AB$69,$G102)</f>
        <v>0</v>
      </c>
      <c r="AN102" s="1022">
        <f ca="1">SUMIFS(Налоги!AM$25:AM$69,Налоги!$F$25:$F$69,$F102,Налоги!$AB$25:$AB$69,$G102)</f>
        <v>0</v>
      </c>
      <c r="AO102" s="1022">
        <f ca="1">SUMIFS(Налоги!AN$25:AN$69,Налоги!$F$25:$F$69,$F102,Налоги!$AB$25:$AB$69,$G102)</f>
        <v>0</v>
      </c>
      <c r="AP102" s="1022">
        <f ca="1">SUMIFS(Налоги!AO$25:AO$69,Налоги!$F$25:$F$69,$F102,Налоги!$AB$25:$AB$69,$G102)</f>
        <v>0</v>
      </c>
      <c r="AQ102" s="1022">
        <f ca="1">SUMIFS(Налоги!AP$25:AP$69,Налоги!$F$25:$F$69,$F102,Налоги!$AB$25:$AB$69,$G102)</f>
        <v>0</v>
      </c>
      <c r="AR102" s="1022">
        <f ca="1">SUMIFS(Налоги!AQ$25:AQ$69,Налоги!$F$25:$F$69,$F102,Налоги!$AB$25:$AB$69,$G102)</f>
        <v>0</v>
      </c>
      <c r="AS102" s="1022">
        <f ca="1">SUMIFS(Налоги!AR$25:AR$69,Налоги!$F$25:$F$69,$F102,Налоги!$AB$25:$AB$69,$G102)</f>
        <v>0</v>
      </c>
      <c r="AT102" s="1022">
        <f ca="1">SUMIFS(Налоги!AS$25:AS$69,Налоги!$F$25:$F$69,$F102,Налоги!$AB$25:$AB$69,$G102)</f>
        <v>0</v>
      </c>
      <c r="AU102" s="1022">
        <f ca="1">SUMIFS(Налоги!AT$25:AT$69,Налоги!$F$25:$F$69,$F102,Налоги!$AB$25:$AB$69,$G102)</f>
        <v>0</v>
      </c>
      <c r="AV102" s="1022">
        <f ca="1">SUMIFS(Налоги!AU$25:AU$69,Налоги!$F$25:$F$69,$F102,Налоги!$AB$25:$AB$69,$G102)</f>
        <v>0</v>
      </c>
      <c r="AW102" s="1022">
        <f ca="1">SUMIFS(Налоги!AV$25:AV$69,Налоги!$F$25:$F$69,$F102,Налоги!$AB$25:$AB$69,$G102)</f>
        <v>0</v>
      </c>
      <c r="AX102" s="1022">
        <f ca="1">SUMIFS(Налоги!AW$25:AW$69,Налоги!$F$25:$F$69,$F102,Налоги!$AB$25:$AB$69,$G102)</f>
        <v>0</v>
      </c>
      <c r="AY102" s="1022">
        <f ca="1">SUMIFS(Налоги!AX$25:AX$69,Налоги!$F$25:$F$69,$F102,Налоги!$AB$25:$AB$69,$G102)</f>
        <v>0</v>
      </c>
      <c r="AZ102" s="1022">
        <f ca="1">SUMIFS(Налоги!AY$25:AY$69,Налоги!$F$25:$F$69,$F102,Налоги!$AB$25:$AB$69,$G102)</f>
        <v>0</v>
      </c>
      <c r="BA102" s="1022">
        <f ca="1">SUMIFS(Налоги!AZ$25:AZ$69,Налоги!$F$25:$F$69,$F102,Налоги!$AB$25:$AB$69,$G102)</f>
        <v>0</v>
      </c>
      <c r="BB102" s="1022">
        <f ca="1">SUMIFS(Налоги!BA$25:BA$69,Налоги!$F$25:$F$69,$F102,Налоги!$AB$25:$AB$69,$G102)</f>
        <v>0</v>
      </c>
      <c r="BC102" s="1022">
        <f ca="1">SUMIFS(Налоги!BB$25:BB$69,Налоги!$F$25:$F$69,$F102,Налоги!$AB$25:$AB$69,$G102)</f>
        <v>0</v>
      </c>
      <c r="BD102" s="1022">
        <f t="shared" ca="1" si="11"/>
        <v>0</v>
      </c>
      <c r="BE102" s="1022">
        <f t="shared" ca="1" si="12"/>
        <v>0</v>
      </c>
      <c r="BF102" s="1022">
        <f t="shared" ca="1" si="13"/>
        <v>0</v>
      </c>
      <c r="BG102" s="1022">
        <f t="shared" ca="1" si="14"/>
        <v>0</v>
      </c>
      <c r="BH102" s="1022">
        <f t="shared" ca="1" si="15"/>
        <v>0</v>
      </c>
      <c r="BI102" s="1022">
        <f t="shared" ca="1" si="16"/>
        <v>0</v>
      </c>
      <c r="BJ102" s="1022">
        <f t="shared" ca="1" si="17"/>
        <v>0</v>
      </c>
      <c r="BK102" s="1022">
        <f t="shared" ca="1" si="18"/>
        <v>0</v>
      </c>
      <c r="BL102" s="1022">
        <f t="shared" ca="1" si="19"/>
        <v>0</v>
      </c>
      <c r="BM102" s="1022">
        <f t="shared" ca="1" si="20"/>
        <v>0</v>
      </c>
      <c r="BN102" s="1145"/>
      <c r="BO102" s="1149" t="str">
        <f ca="1">IF(IFERROR(INDEX(Налоги!$K$26:$L$69,MATCH($F102&amp;"10komm",Налоги!$K$26:$K$69,0),2),"")=0,"",IFERROR(INDEX(Налоги!$K$26:$L$69,MATCH($F102&amp;"10komm",Налоги!$K$26:$K$69,0),2),""))</f>
        <v/>
      </c>
      <c r="BP102" s="1145"/>
      <c r="BS102" s="973" t="s">
        <v>2056</v>
      </c>
    </row>
    <row r="103" spans="2:75" ht="65.849999999999994" hidden="1" customHeight="1" x14ac:dyDescent="0.15">
      <c r="C103" s="26"/>
      <c r="D103" s="26"/>
      <c r="E103" s="545">
        <v>67.5</v>
      </c>
      <c r="F103" s="3" cm="1">
        <f t="array" aca="1" ref="F103" ca="1">OFFSET(E103,-1,1)</f>
        <v>0</v>
      </c>
      <c r="G103" s="26" t="s">
        <v>1412</v>
      </c>
      <c r="H103" s="26"/>
      <c r="I103" s="26" t="s">
        <v>932</v>
      </c>
      <c r="J103" s="26"/>
      <c r="K103" s="77" t="s">
        <v>932</v>
      </c>
      <c r="L103" s="889"/>
      <c r="M103" s="26"/>
      <c r="N103" s="26"/>
      <c r="O103" s="26"/>
      <c r="P103" s="26"/>
      <c r="Q103" s="26"/>
      <c r="R103" s="26"/>
      <c r="S103" s="26"/>
      <c r="T103" s="388" t="b" cm="1">
        <f t="array" aca="1" ref="T103" ca="1">T102</f>
        <v>0</v>
      </c>
      <c r="U103" s="26"/>
      <c r="V103" s="26"/>
      <c r="W103" s="26"/>
      <c r="X103" s="2066"/>
      <c r="Z103" s="2012"/>
      <c r="AB103" s="218" t="s">
        <v>933</v>
      </c>
      <c r="AC103" s="702" t="s">
        <v>1415</v>
      </c>
      <c r="AD103" s="218" t="s">
        <v>831</v>
      </c>
      <c r="AE103" s="1151"/>
      <c r="AF103" s="1151"/>
      <c r="AG103" s="1151"/>
      <c r="AH103" s="1022">
        <f t="shared" si="9"/>
        <v>0</v>
      </c>
      <c r="AI103" s="1151"/>
      <c r="AJ103" s="1515"/>
      <c r="AK103" s="1151"/>
      <c r="AL103" s="1151"/>
      <c r="AM103" s="1151"/>
      <c r="AN103" s="1151"/>
      <c r="AO103" s="1151"/>
      <c r="AP103" s="1151"/>
      <c r="AQ103" s="1151"/>
      <c r="AR103" s="1151"/>
      <c r="AS103" s="1151"/>
      <c r="AT103" s="1515"/>
      <c r="AU103" s="1151"/>
      <c r="AV103" s="1151"/>
      <c r="AW103" s="1151"/>
      <c r="AX103" s="1151"/>
      <c r="AY103" s="1151"/>
      <c r="AZ103" s="1151"/>
      <c r="BA103" s="1151"/>
      <c r="BB103" s="1151"/>
      <c r="BC103" s="1151"/>
      <c r="BD103" s="1022">
        <f t="shared" si="11"/>
        <v>0</v>
      </c>
      <c r="BE103" s="1022">
        <f t="shared" si="12"/>
        <v>0</v>
      </c>
      <c r="BF103" s="1022">
        <f t="shared" si="13"/>
        <v>0</v>
      </c>
      <c r="BG103" s="1022">
        <f t="shared" si="14"/>
        <v>0</v>
      </c>
      <c r="BH103" s="1022">
        <f t="shared" si="15"/>
        <v>0</v>
      </c>
      <c r="BI103" s="1022">
        <f t="shared" si="16"/>
        <v>0</v>
      </c>
      <c r="BJ103" s="1022">
        <f t="shared" si="17"/>
        <v>0</v>
      </c>
      <c r="BK103" s="1022">
        <f t="shared" si="18"/>
        <v>0</v>
      </c>
      <c r="BL103" s="1022">
        <f t="shared" si="19"/>
        <v>0</v>
      </c>
      <c r="BM103" s="1022">
        <f t="shared" si="20"/>
        <v>0</v>
      </c>
      <c r="BN103" s="1145"/>
      <c r="BO103" s="1145"/>
      <c r="BP103" s="1145"/>
      <c r="BS103" s="973" t="s">
        <v>2057</v>
      </c>
    </row>
    <row r="104" spans="2:75" ht="14.65" hidden="1" customHeight="1" x14ac:dyDescent="0.15">
      <c r="C104" s="26"/>
      <c r="D104" s="26"/>
      <c r="E104" s="545">
        <v>15</v>
      </c>
      <c r="F104" s="3" cm="1">
        <f t="array" aca="1" ref="F104" ca="1">OFFSET(E104,-1,1)</f>
        <v>0</v>
      </c>
      <c r="G104" s="26" t="s">
        <v>1011</v>
      </c>
      <c r="H104" s="26"/>
      <c r="I104" s="26" t="s">
        <v>935</v>
      </c>
      <c r="J104" s="26"/>
      <c r="K104" s="77" t="s">
        <v>935</v>
      </c>
      <c r="L104" s="889" t="s">
        <v>544</v>
      </c>
      <c r="M104" s="26"/>
      <c r="N104" s="26"/>
      <c r="O104" s="26"/>
      <c r="P104" s="26"/>
      <c r="Q104" s="26"/>
      <c r="R104" s="26"/>
      <c r="S104" s="26"/>
      <c r="T104" s="388" t="b" cm="1">
        <f t="array" aca="1" ref="T104" ca="1">T103</f>
        <v>0</v>
      </c>
      <c r="U104" s="26"/>
      <c r="V104" s="26"/>
      <c r="W104" s="26"/>
      <c r="X104" s="2066"/>
      <c r="Z104" s="2012"/>
      <c r="AB104" s="218" t="s">
        <v>936</v>
      </c>
      <c r="AC104" s="682" t="s">
        <v>1011</v>
      </c>
      <c r="AD104" s="218" t="s">
        <v>831</v>
      </c>
      <c r="AE104" s="1022">
        <f ca="1">SUMIFS(Аренда!AE$25:AE$57,Аренда!$F$25:$F$57,$F104,Аренда!$G$25:$G$57,"Арендная и концессионная плата, лизинговые платежи")</f>
        <v>0</v>
      </c>
      <c r="AF104" s="1022">
        <f ca="1">SUMIFS(Аренда!AF$25:AF$57,Аренда!$F$25:$F$57,$F104,Аренда!$G$25:$G$57,"Арендная и концессионная плата, лизинговые платежи")</f>
        <v>0</v>
      </c>
      <c r="AG104" s="1022">
        <f ca="1">SUMIFS(Аренда!AG$25:AG$57,Аренда!$F$25:$F$57,$F104,Аренда!$G$25:$G$57,"Арендная и концессионная плата, лизинговые платежи")</f>
        <v>0</v>
      </c>
      <c r="AH104" s="1022">
        <f t="shared" ca="1" si="9"/>
        <v>0</v>
      </c>
      <c r="AI104" s="1022">
        <f ca="1">SUMIFS(Аренда!AH$25:AH$57,Аренда!$F$25:$F$57,$F104,Аренда!$G$25:$G$57,"Арендная и концессионная плата, лизинговые платежи")</f>
        <v>0</v>
      </c>
      <c r="AJ104" s="1022">
        <f ca="1">SUMIFS(Аренда!AI$25:AI$57,Аренда!$F$25:$F$57,$F104,Аренда!$G$25:$G$57,"Арендная и концессионная плата, лизинговые платежи")</f>
        <v>0</v>
      </c>
      <c r="AK104" s="1022">
        <f ca="1">SUMIFS(Аренда!AJ$25:AJ$57,Аренда!$F$25:$F$57,$F104,Аренда!$G$25:$G$57,"Арендная и концессионная плата, лизинговые платежи")</f>
        <v>0</v>
      </c>
      <c r="AL104" s="1022">
        <f ca="1">SUMIFS(Аренда!AK$25:AK$57,Аренда!$F$25:$F$57,$F104,Аренда!$G$25:$G$57,"Арендная и концессионная плата, лизинговые платежи")</f>
        <v>0</v>
      </c>
      <c r="AM104" s="1022">
        <f ca="1">SUMIFS(Аренда!AL$25:AL$57,Аренда!$F$25:$F$57,$F104,Аренда!$G$25:$G$57,"Арендная и концессионная плата, лизинговые платежи")</f>
        <v>0</v>
      </c>
      <c r="AN104" s="1022">
        <f ca="1">SUMIFS(Аренда!AM$25:AM$57,Аренда!$F$25:$F$57,$F104,Аренда!$G$25:$G$57,"Арендная и концессионная плата, лизинговые платежи")</f>
        <v>0</v>
      </c>
      <c r="AO104" s="1022">
        <f ca="1">SUMIFS(Аренда!AN$25:AN$57,Аренда!$F$25:$F$57,$F104,Аренда!$G$25:$G$57,"Арендная и концессионная плата, лизинговые платежи")</f>
        <v>0</v>
      </c>
      <c r="AP104" s="1022">
        <f ca="1">SUMIFS(Аренда!AO$25:AO$57,Аренда!$F$25:$F$57,$F104,Аренда!$G$25:$G$57,"Арендная и концессионная плата, лизинговые платежи")</f>
        <v>0</v>
      </c>
      <c r="AQ104" s="1022">
        <f ca="1">SUMIFS(Аренда!AP$25:AP$57,Аренда!$F$25:$F$57,$F104,Аренда!$G$25:$G$57,"Арендная и концессионная плата, лизинговые платежи")</f>
        <v>0</v>
      </c>
      <c r="AR104" s="1022">
        <f ca="1">SUMIFS(Аренда!AQ$25:AQ$57,Аренда!$F$25:$F$57,$F104,Аренда!$G$25:$G$57,"Арендная и концессионная плата, лизинговые платежи")</f>
        <v>0</v>
      </c>
      <c r="AS104" s="1022">
        <f ca="1">SUMIFS(Аренда!AR$25:AR$57,Аренда!$F$25:$F$57,$F104,Аренда!$G$25:$G$57,"Арендная и концессионная плата, лизинговые платежи")</f>
        <v>0</v>
      </c>
      <c r="AT104" s="1022">
        <f ca="1">SUMIFS(Аренда!AS$25:AS$57,Аренда!$F$25:$F$57,$F104,Аренда!$G$25:$G$57,"Арендная и концессионная плата, лизинговые платежи")</f>
        <v>0</v>
      </c>
      <c r="AU104" s="1022">
        <f ca="1">SUMIFS(Аренда!AT$25:AT$57,Аренда!$F$25:$F$57,$F104,Аренда!$G$25:$G$57,"Арендная и концессионная плата, лизинговые платежи")</f>
        <v>0</v>
      </c>
      <c r="AV104" s="1022">
        <f ca="1">SUMIFS(Аренда!AU$25:AU$57,Аренда!$F$25:$F$57,$F104,Аренда!$G$25:$G$57,"Арендная и концессионная плата, лизинговые платежи")</f>
        <v>0</v>
      </c>
      <c r="AW104" s="1022">
        <f ca="1">SUMIFS(Аренда!AV$25:AV$57,Аренда!$F$25:$F$57,$F104,Аренда!$G$25:$G$57,"Арендная и концессионная плата, лизинговые платежи")</f>
        <v>0</v>
      </c>
      <c r="AX104" s="1022">
        <f ca="1">SUMIFS(Аренда!AW$25:AW$57,Аренда!$F$25:$F$57,$F104,Аренда!$G$25:$G$57,"Арендная и концессионная плата, лизинговые платежи")</f>
        <v>0</v>
      </c>
      <c r="AY104" s="1022">
        <f ca="1">SUMIFS(Аренда!AX$25:AX$57,Аренда!$F$25:$F$57,$F104,Аренда!$G$25:$G$57,"Арендная и концессионная плата, лизинговые платежи")</f>
        <v>0</v>
      </c>
      <c r="AZ104" s="1022">
        <f ca="1">SUMIFS(Аренда!AY$25:AY$57,Аренда!$F$25:$F$57,$F104,Аренда!$G$25:$G$57,"Арендная и концессионная плата, лизинговые платежи")</f>
        <v>0</v>
      </c>
      <c r="BA104" s="1022">
        <f ca="1">SUMIFS(Аренда!AZ$25:AZ$57,Аренда!$F$25:$F$57,$F104,Аренда!$G$25:$G$57,"Арендная и концессионная плата, лизинговые платежи")</f>
        <v>0</v>
      </c>
      <c r="BB104" s="1022">
        <f ca="1">SUMIFS(Аренда!BA$25:BA$57,Аренда!$F$25:$F$57,$F104,Аренда!$G$25:$G$57,"Арендная и концессионная плата, лизинговые платежи")</f>
        <v>0</v>
      </c>
      <c r="BC104" s="1022">
        <f ca="1">SUMIFS(Аренда!BB$25:BB$57,Аренда!$F$25:$F$57,$F104,Аренда!$G$25:$G$57,"Арендная и концессионная плата, лизинговые платежи")</f>
        <v>0</v>
      </c>
      <c r="BD104" s="1022">
        <f t="shared" ca="1" si="11"/>
        <v>0</v>
      </c>
      <c r="BE104" s="1022">
        <f t="shared" ca="1" si="12"/>
        <v>0</v>
      </c>
      <c r="BF104" s="1022">
        <f t="shared" ca="1" si="13"/>
        <v>0</v>
      </c>
      <c r="BG104" s="1022">
        <f t="shared" ca="1" si="14"/>
        <v>0</v>
      </c>
      <c r="BH104" s="1022">
        <f t="shared" ca="1" si="15"/>
        <v>0</v>
      </c>
      <c r="BI104" s="1022">
        <f t="shared" ca="1" si="16"/>
        <v>0</v>
      </c>
      <c r="BJ104" s="1022">
        <f t="shared" ca="1" si="17"/>
        <v>0</v>
      </c>
      <c r="BK104" s="1022">
        <f t="shared" ca="1" si="18"/>
        <v>0</v>
      </c>
      <c r="BL104" s="1022">
        <f t="shared" ca="1" si="19"/>
        <v>0</v>
      </c>
      <c r="BM104" s="1022">
        <f t="shared" ca="1" si="20"/>
        <v>0</v>
      </c>
      <c r="BN104" s="1145"/>
      <c r="BO104" s="1152" t="str">
        <f ca="1">IF(IFERROR(INDEX(Аренда!$K$26:$L$57,MATCH($F104&amp;"komm",Аренда!$K$26:$K$57,0),2),"")=0,"",IFERROR(INDEX(Аренда!$K$26:$L$57,MATCH($F104&amp;"komm",Аренда!$K$26:$K$57,0),2),""))</f>
        <v/>
      </c>
      <c r="BP104" s="1145"/>
      <c r="BS104" s="973" t="s">
        <v>2058</v>
      </c>
    </row>
    <row r="105" spans="2:75" ht="14.65" hidden="1" customHeight="1" x14ac:dyDescent="0.15">
      <c r="B105" s="354" t="b">
        <f>STATUS_GO="да"</f>
        <v>1</v>
      </c>
      <c r="C105" s="26"/>
      <c r="D105" s="26"/>
      <c r="E105" s="545">
        <v>15</v>
      </c>
      <c r="F105" s="3" cm="1">
        <f t="array" aca="1" ref="F105" ca="1">OFFSET(E105,-1,1)</f>
        <v>0</v>
      </c>
      <c r="G105" s="26"/>
      <c r="H105" s="26"/>
      <c r="I105" s="26" t="s">
        <v>2059</v>
      </c>
      <c r="J105" s="26"/>
      <c r="K105" s="77" t="s">
        <v>2059</v>
      </c>
      <c r="L105" s="889"/>
      <c r="M105" s="26"/>
      <c r="N105" s="26"/>
      <c r="O105" s="26"/>
      <c r="P105" s="26"/>
      <c r="Q105" s="26"/>
      <c r="R105" s="26"/>
      <c r="S105" s="26"/>
      <c r="T105" s="388" t="b" cm="1">
        <f t="array" aca="1" ref="T105" ca="1">T104</f>
        <v>0</v>
      </c>
      <c r="U105" s="26"/>
      <c r="V105" s="26"/>
      <c r="W105" s="26"/>
      <c r="X105" s="2066"/>
      <c r="Z105" s="2012"/>
      <c r="AB105" s="218" t="s">
        <v>1479</v>
      </c>
      <c r="AC105" s="682" t="s">
        <v>2060</v>
      </c>
      <c r="AD105" s="218" t="s">
        <v>831</v>
      </c>
      <c r="AE105" s="1148" cm="1">
        <f t="array" aca="1" ref="AE105" ca="1">AE106</f>
        <v>0</v>
      </c>
      <c r="AF105" s="1148" cm="1">
        <f t="array" aca="1" ref="AF105" ca="1">AF106</f>
        <v>0</v>
      </c>
      <c r="AG105" s="1148" cm="1">
        <f t="array" aca="1" ref="AG105" ca="1">AG106</f>
        <v>0</v>
      </c>
      <c r="AH105" s="1022">
        <f t="shared" ca="1" si="9"/>
        <v>0</v>
      </c>
      <c r="AI105" s="1148" cm="1">
        <f t="array" aca="1" ref="AI105" ca="1">AI106</f>
        <v>0</v>
      </c>
      <c r="AJ105" s="1514" cm="1">
        <f t="array" aca="1" ref="AJ105" ca="1">AJ106</f>
        <v>0</v>
      </c>
      <c r="AK105" s="1148" cm="1">
        <f t="array" ref="AK105">AK106</f>
        <v>0</v>
      </c>
      <c r="AL105" s="1148" cm="1">
        <f t="array" ref="AL105">AL106</f>
        <v>0</v>
      </c>
      <c r="AM105" s="1148" cm="1">
        <f t="array" ref="AM105">AM106</f>
        <v>0</v>
      </c>
      <c r="AN105" s="1148" cm="1">
        <f t="array" ref="AN105">AN106</f>
        <v>0</v>
      </c>
      <c r="AO105" s="1148" cm="1">
        <f t="array" ref="AO105">AO106</f>
        <v>0</v>
      </c>
      <c r="AP105" s="1148" cm="1">
        <f t="array" ref="AP105">AP106</f>
        <v>0</v>
      </c>
      <c r="AQ105" s="1148" cm="1">
        <f t="array" ref="AQ105">AQ106</f>
        <v>0</v>
      </c>
      <c r="AR105" s="1148" cm="1">
        <f t="array" ref="AR105">AR106</f>
        <v>0</v>
      </c>
      <c r="AS105" s="1148" cm="1">
        <f t="array" ref="AS105">AS106</f>
        <v>0</v>
      </c>
      <c r="AT105" s="1514" cm="1">
        <f t="array" aca="1" ref="AT105" ca="1">AT106</f>
        <v>0</v>
      </c>
      <c r="AU105" s="1148" cm="1">
        <f t="array" ref="AU105">AU106</f>
        <v>0</v>
      </c>
      <c r="AV105" s="1148" cm="1">
        <f t="array" ref="AV105">AV106</f>
        <v>0</v>
      </c>
      <c r="AW105" s="1148" cm="1">
        <f t="array" ref="AW105">AW106</f>
        <v>0</v>
      </c>
      <c r="AX105" s="1148" cm="1">
        <f t="array" ref="AX105">AX106</f>
        <v>0</v>
      </c>
      <c r="AY105" s="1148" cm="1">
        <f t="array" ref="AY105">AY106</f>
        <v>0</v>
      </c>
      <c r="AZ105" s="1148" cm="1">
        <f t="array" ref="AZ105">AZ106</f>
        <v>0</v>
      </c>
      <c r="BA105" s="1148" cm="1">
        <f t="array" ref="BA105">BA106</f>
        <v>0</v>
      </c>
      <c r="BB105" s="1148" cm="1">
        <f t="array" ref="BB105">BB106</f>
        <v>0</v>
      </c>
      <c r="BC105" s="1148" cm="1">
        <f t="array" ref="BC105">BC106</f>
        <v>0</v>
      </c>
      <c r="BD105" s="1022">
        <f t="shared" ca="1" si="11"/>
        <v>0</v>
      </c>
      <c r="BE105" s="1022">
        <f t="shared" ca="1" si="12"/>
        <v>0</v>
      </c>
      <c r="BF105" s="1022">
        <f t="shared" si="13"/>
        <v>0</v>
      </c>
      <c r="BG105" s="1022">
        <f t="shared" si="14"/>
        <v>0</v>
      </c>
      <c r="BH105" s="1022">
        <f t="shared" si="15"/>
        <v>0</v>
      </c>
      <c r="BI105" s="1022">
        <f t="shared" si="16"/>
        <v>0</v>
      </c>
      <c r="BJ105" s="1022">
        <f t="shared" si="17"/>
        <v>0</v>
      </c>
      <c r="BK105" s="1022">
        <f t="shared" si="18"/>
        <v>0</v>
      </c>
      <c r="BL105" s="1022">
        <f t="shared" si="19"/>
        <v>0</v>
      </c>
      <c r="BM105" s="1022">
        <f t="shared" si="20"/>
        <v>0</v>
      </c>
      <c r="BN105" s="1145"/>
      <c r="BO105" s="1145"/>
      <c r="BP105" s="1145"/>
      <c r="BS105" s="973" t="s">
        <v>2061</v>
      </c>
    </row>
    <row r="106" spans="2:75" ht="14.65" hidden="1" customHeight="1" x14ac:dyDescent="0.15">
      <c r="B106" s="354" t="b">
        <f>STATUS_GO="да"</f>
        <v>1</v>
      </c>
      <c r="C106" s="26"/>
      <c r="D106" s="26"/>
      <c r="E106" s="545">
        <v>15</v>
      </c>
      <c r="F106" s="3" cm="1">
        <f t="array" aca="1" ref="F106" ca="1">OFFSET(E106,-1,1)</f>
        <v>0</v>
      </c>
      <c r="G106" s="26" t="s">
        <v>1421</v>
      </c>
      <c r="H106" s="26"/>
      <c r="I106" s="26" t="s">
        <v>2062</v>
      </c>
      <c r="J106" s="26"/>
      <c r="K106" s="77" t="s">
        <v>2062</v>
      </c>
      <c r="L106" s="889"/>
      <c r="M106" s="26"/>
      <c r="N106" s="26"/>
      <c r="O106" s="26"/>
      <c r="P106" s="26"/>
      <c r="Q106" s="26"/>
      <c r="R106" s="26"/>
      <c r="S106" s="26"/>
      <c r="T106" s="388" t="b" cm="1">
        <f t="array" aca="1" ref="T106" ca="1">T105</f>
        <v>0</v>
      </c>
      <c r="U106" s="26"/>
      <c r="V106" s="26"/>
      <c r="W106" s="26"/>
      <c r="X106" s="2066"/>
      <c r="Z106" s="2012"/>
      <c r="AB106" s="218" t="s">
        <v>2063</v>
      </c>
      <c r="AC106" s="685" t="s">
        <v>1421</v>
      </c>
      <c r="AD106" s="218" t="s">
        <v>831</v>
      </c>
      <c r="AE106" s="1022">
        <f ca="1">SUMIFS('Сбытовые расходы ГО'!AE$25:AE$65,'Сбытовые расходы ГО'!$F$25:$F$65,$F106,'Сбытовые расходы ГО'!$G$25:$G$65,"l1")</f>
        <v>0</v>
      </c>
      <c r="AF106" s="1022">
        <f ca="1">SUMIFS('Сбытовые расходы ГО'!AF$25:AF$65,'Сбытовые расходы ГО'!$F$25:$F$65,$F106,'Сбытовые расходы ГО'!$G$25:$G$65,"l1")</f>
        <v>0</v>
      </c>
      <c r="AG106" s="1022">
        <f ca="1">SUMIFS('Сбытовые расходы ГО'!AG$25:AG$65,'Сбытовые расходы ГО'!$F$25:$F$65,$F106,'Сбытовые расходы ГО'!$G$25:$G$65,"l1")</f>
        <v>0</v>
      </c>
      <c r="AH106" s="1022">
        <f t="shared" ca="1" si="9"/>
        <v>0</v>
      </c>
      <c r="AI106" s="1022">
        <f ca="1">SUMIFS('Сбытовые расходы ГО'!AH$25:AH$65,'Сбытовые расходы ГО'!$F$25:$F$65,$F106,'Сбытовые расходы ГО'!$G$25:$G$65,"l1")</f>
        <v>0</v>
      </c>
      <c r="AJ106" s="1022">
        <f ca="1">SUMIFS('Сбытовые расходы ГО'!AI$25:AI$65,'Сбытовые расходы ГО'!$F$25:$F$65,$F106,'Сбытовые расходы ГО'!$G$25:$G$65,"l1")</f>
        <v>0</v>
      </c>
      <c r="AK106" s="1148"/>
      <c r="AL106" s="1148"/>
      <c r="AM106" s="1148"/>
      <c r="AN106" s="1148"/>
      <c r="AO106" s="1148"/>
      <c r="AP106" s="1148"/>
      <c r="AQ106" s="1148"/>
      <c r="AR106" s="1148"/>
      <c r="AS106" s="1148"/>
      <c r="AT106" s="1022">
        <f ca="1">SUMIFS('Сбытовые расходы ГО'!AJ$25:AJ$65,'Сбытовые расходы ГО'!$F$25:$F$65,$F106,'Сбытовые расходы ГО'!$G$25:$G$65,"l1")</f>
        <v>0</v>
      </c>
      <c r="AU106" s="1148"/>
      <c r="AV106" s="1148"/>
      <c r="AW106" s="1148"/>
      <c r="AX106" s="1148"/>
      <c r="AY106" s="1148"/>
      <c r="AZ106" s="1148"/>
      <c r="BA106" s="1148"/>
      <c r="BB106" s="1148"/>
      <c r="BC106" s="1148"/>
      <c r="BD106" s="1022">
        <f t="shared" ca="1" si="11"/>
        <v>0</v>
      </c>
      <c r="BE106" s="1022">
        <f t="shared" ca="1" si="12"/>
        <v>0</v>
      </c>
      <c r="BF106" s="1022">
        <f t="shared" si="13"/>
        <v>0</v>
      </c>
      <c r="BG106" s="1022">
        <f t="shared" si="14"/>
        <v>0</v>
      </c>
      <c r="BH106" s="1022">
        <f t="shared" si="15"/>
        <v>0</v>
      </c>
      <c r="BI106" s="1022">
        <f t="shared" si="16"/>
        <v>0</v>
      </c>
      <c r="BJ106" s="1022">
        <f t="shared" si="17"/>
        <v>0</v>
      </c>
      <c r="BK106" s="1022">
        <f t="shared" si="18"/>
        <v>0</v>
      </c>
      <c r="BL106" s="1022">
        <f t="shared" si="19"/>
        <v>0</v>
      </c>
      <c r="BM106" s="1022">
        <f t="shared" si="20"/>
        <v>0</v>
      </c>
      <c r="BN106" s="1145"/>
      <c r="BO106" s="1152" t="str">
        <f ca="1">IF(IFERROR(INDEX('Сбытовые расходы ГО'!$K$26:$M$65,MATCH($F106&amp;"komm",'Сбытовые расходы ГО'!$K$26:$K$65,0),2),"")=0,"",IFERROR(INDEX('Сбытовые расходы ГО'!$K$26:$M$65,MATCH($F106&amp;"komm",'Сбытовые расходы ГО'!$K$26:$K$65,0),2),""))</f>
        <v/>
      </c>
      <c r="BP106" s="1145"/>
      <c r="BS106" s="973" t="s">
        <v>2064</v>
      </c>
    </row>
    <row r="107" spans="2:75" ht="14.65" hidden="1" customHeight="1" x14ac:dyDescent="0.15">
      <c r="C107" s="26"/>
      <c r="D107" s="26"/>
      <c r="E107" s="545">
        <v>15</v>
      </c>
      <c r="F107" s="3" cm="1">
        <f t="array" aca="1" ref="F107" ca="1">OFFSET(E107,-1,1)</f>
        <v>0</v>
      </c>
      <c r="G107" s="26" t="s">
        <v>1426</v>
      </c>
      <c r="H107" s="26"/>
      <c r="I107" s="26" t="s">
        <v>2065</v>
      </c>
      <c r="J107" s="26"/>
      <c r="K107" s="77" t="s">
        <v>2065</v>
      </c>
      <c r="L107" s="889"/>
      <c r="M107" s="26"/>
      <c r="N107" s="26"/>
      <c r="O107" s="26"/>
      <c r="P107" s="26"/>
      <c r="Q107" s="26"/>
      <c r="R107" s="26"/>
      <c r="S107" s="26"/>
      <c r="T107" s="388" t="b" cm="1">
        <f t="array" aca="1" ref="T107" ca="1">T106</f>
        <v>0</v>
      </c>
      <c r="U107" s="26"/>
      <c r="V107" s="26"/>
      <c r="W107" s="26"/>
      <c r="X107" s="2066"/>
      <c r="Z107" s="2012"/>
      <c r="AB107" s="218" t="s">
        <v>1484</v>
      </c>
      <c r="AC107" s="682" t="s">
        <v>1426</v>
      </c>
      <c r="AD107" s="218" t="s">
        <v>831</v>
      </c>
      <c r="AE107" s="1148"/>
      <c r="AF107" s="1148"/>
      <c r="AG107" s="1148"/>
      <c r="AH107" s="1022">
        <f t="shared" si="9"/>
        <v>0</v>
      </c>
      <c r="AI107" s="1148"/>
      <c r="AJ107" s="1514">
        <f ca="1">SUMIFS(Экономия_корр!AE$25:AE$51,Экономия_корр!$F$25:$F$51,$F107,Экономия_корр!$AC$25:$AC$51,"Экономия расходов с учетом ИПЦ")</f>
        <v>0</v>
      </c>
      <c r="AK107" s="1148">
        <f ca="1">SUMIFS(Экономия_корр!AF$25:AF$51,Экономия_корр!$F$25:$F$51,$F107,Экономия_корр!$AC$25:$AC$51,"Экономия расходов с учетом ИПЦ")</f>
        <v>0</v>
      </c>
      <c r="AL107" s="1148">
        <f ca="1">SUMIFS(Экономия_корр!AG$25:AG$51,Экономия_корр!$F$25:$F$51,$F107,Экономия_корр!$AC$25:$AC$51,"Экономия расходов с учетом ИПЦ")</f>
        <v>0</v>
      </c>
      <c r="AM107" s="1148">
        <f ca="1">SUMIFS(Экономия_корр!AH$25:AH$51,Экономия_корр!$F$25:$F$51,$F107,Экономия_корр!$AC$25:$AC$51,"Экономия расходов с учетом ИПЦ")</f>
        <v>0</v>
      </c>
      <c r="AN107" s="1148">
        <f ca="1">SUMIFS(Экономия_корр!AI$25:AI$51,Экономия_корр!$F$25:$F$51,$F107,Экономия_корр!$AC$25:$AC$51,"Экономия расходов с учетом ИПЦ")</f>
        <v>0</v>
      </c>
      <c r="AO107" s="1148">
        <f ca="1">SUMIFS(Экономия_корр!AJ$25:AJ$51,Экономия_корр!$F$25:$F$51,$F107,Экономия_корр!$AC$25:$AC$51,"Экономия расходов с учетом ИПЦ")</f>
        <v>0</v>
      </c>
      <c r="AP107" s="1148">
        <f ca="1">SUMIFS(Экономия_корр!AK$25:AK$51,Экономия_корр!$F$25:$F$51,$F107,Экономия_корр!$AC$25:$AC$51,"Экономия расходов с учетом ИПЦ")</f>
        <v>0</v>
      </c>
      <c r="AQ107" s="1148">
        <f ca="1">SUMIFS(Экономия_корр!AL$25:AL$51,Экономия_корр!$F$25:$F$51,$F107,Экономия_корр!$AC$25:$AC$51,"Экономия расходов с учетом ИПЦ")</f>
        <v>0</v>
      </c>
      <c r="AR107" s="1148">
        <f ca="1">SUMIFS(Экономия_корр!AM$25:AM$51,Экономия_корр!$F$25:$F$51,$F107,Экономия_корр!$AC$25:$AC$51,"Экономия расходов с учетом ИПЦ")</f>
        <v>0</v>
      </c>
      <c r="AS107" s="1148">
        <f ca="1">SUMIFS(Экономия_корр!AN$25:AN$51,Экономия_корр!$F$25:$F$51,$F107,Экономия_корр!$AC$25:$AC$51,"Экономия расходов с учетом ИПЦ")</f>
        <v>0</v>
      </c>
      <c r="AT107" s="1514">
        <f ca="1">SUMIFS(Экономия_корр!AO$25:AO$51,Экономия_корр!$F$25:$F$51,$F107,Экономия_корр!$AC$25:$AC$51,"Экономия расходов с учетом ИПЦ")</f>
        <v>0</v>
      </c>
      <c r="AU107" s="1148">
        <f ca="1">SUMIFS(Экономия_корр!AP$25:AP$51,Экономия_корр!$F$25:$F$51,$F107,Экономия_корр!$AC$25:$AC$51,"Экономия расходов с учетом ИПЦ")</f>
        <v>0</v>
      </c>
      <c r="AV107" s="1148">
        <f ca="1">SUMIFS(Экономия_корр!AQ$25:AQ$51,Экономия_корр!$F$25:$F$51,$F107,Экономия_корр!$AC$25:$AC$51,"Экономия расходов с учетом ИПЦ")</f>
        <v>0</v>
      </c>
      <c r="AW107" s="1148">
        <f ca="1">SUMIFS(Экономия_корр!AR$25:AR$51,Экономия_корр!$F$25:$F$51,$F107,Экономия_корр!$AC$25:$AC$51,"Экономия расходов с учетом ИПЦ")</f>
        <v>0</v>
      </c>
      <c r="AX107" s="1148">
        <f ca="1">SUMIFS(Экономия_корр!AS$25:AS$51,Экономия_корр!$F$25:$F$51,$F107,Экономия_корр!$AC$25:$AC$51,"Экономия расходов с учетом ИПЦ")</f>
        <v>0</v>
      </c>
      <c r="AY107" s="1148">
        <f ca="1">SUMIFS(Экономия_корр!AT$25:AT$51,Экономия_корр!$F$25:$F$51,$F107,Экономия_корр!$AC$25:$AC$51,"Экономия расходов с учетом ИПЦ")</f>
        <v>0</v>
      </c>
      <c r="AZ107" s="1148">
        <f ca="1">SUMIFS(Экономия_корр!AU$25:AU$51,Экономия_корр!$F$25:$F$51,$F107,Экономия_корр!$AC$25:$AC$51,"Экономия расходов с учетом ИПЦ")</f>
        <v>0</v>
      </c>
      <c r="BA107" s="1148">
        <f ca="1">SUMIFS(Экономия_корр!AV$25:AV$51,Экономия_корр!$F$25:$F$51,$F107,Экономия_корр!$AC$25:$AC$51,"Экономия расходов с учетом ИПЦ")</f>
        <v>0</v>
      </c>
      <c r="BB107" s="1148">
        <f ca="1">SUMIFS(Экономия_корр!AW$25:AW$51,Экономия_корр!$F$25:$F$51,$F107,Экономия_корр!$AC$25:$AC$51,"Экономия расходов с учетом ИПЦ")</f>
        <v>0</v>
      </c>
      <c r="BC107" s="1148">
        <f ca="1">SUMIFS(Экономия_корр!AX$25:AX$51,Экономия_корр!$F$25:$F$51,$F107,Экономия_корр!$AC$25:$AC$51,"Экономия расходов с учетом ИПЦ")</f>
        <v>0</v>
      </c>
      <c r="BD107" s="1022">
        <f t="shared" si="11"/>
        <v>0</v>
      </c>
      <c r="BE107" s="1022">
        <f t="shared" ca="1" si="12"/>
        <v>0</v>
      </c>
      <c r="BF107" s="1022">
        <f t="shared" ca="1" si="13"/>
        <v>0</v>
      </c>
      <c r="BG107" s="1022">
        <f t="shared" ca="1" si="14"/>
        <v>0</v>
      </c>
      <c r="BH107" s="1022">
        <f t="shared" ca="1" si="15"/>
        <v>0</v>
      </c>
      <c r="BI107" s="1022">
        <f t="shared" ca="1" si="16"/>
        <v>0</v>
      </c>
      <c r="BJ107" s="1022">
        <f t="shared" ca="1" si="17"/>
        <v>0</v>
      </c>
      <c r="BK107" s="1022">
        <f t="shared" ca="1" si="18"/>
        <v>0</v>
      </c>
      <c r="BL107" s="1022">
        <f t="shared" ca="1" si="19"/>
        <v>0</v>
      </c>
      <c r="BM107" s="1022">
        <f t="shared" ca="1" si="20"/>
        <v>0</v>
      </c>
      <c r="BN107" s="1145"/>
      <c r="BO107" s="1145"/>
      <c r="BP107" s="1145"/>
      <c r="BS107" s="973" t="s">
        <v>2066</v>
      </c>
    </row>
    <row r="108" spans="2:75" ht="14.65" hidden="1" customHeight="1" x14ac:dyDescent="0.15">
      <c r="C108" s="26"/>
      <c r="D108" s="26"/>
      <c r="E108" s="545">
        <v>15</v>
      </c>
      <c r="F108" s="3" cm="1">
        <f t="array" aca="1" ref="F108" ca="1">OFFSET(E108,-1,1)</f>
        <v>0</v>
      </c>
      <c r="G108" s="26" t="s">
        <v>1431</v>
      </c>
      <c r="H108" s="26"/>
      <c r="I108" s="26" t="s">
        <v>2067</v>
      </c>
      <c r="J108" s="26"/>
      <c r="K108" s="77" t="s">
        <v>2067</v>
      </c>
      <c r="L108" s="889"/>
      <c r="M108" s="26"/>
      <c r="N108" s="26"/>
      <c r="O108" s="26"/>
      <c r="P108" s="26"/>
      <c r="Q108" s="26"/>
      <c r="R108" s="26"/>
      <c r="S108" s="26"/>
      <c r="T108" s="388" t="b" cm="1">
        <f t="array" aca="1" ref="T108" ca="1">T107</f>
        <v>0</v>
      </c>
      <c r="U108" s="26"/>
      <c r="V108" s="26"/>
      <c r="W108" s="26"/>
      <c r="X108" s="2066"/>
      <c r="Z108" s="2012"/>
      <c r="AB108" s="218" t="s">
        <v>2068</v>
      </c>
      <c r="AC108" s="682" t="s">
        <v>1431</v>
      </c>
      <c r="AD108" s="218" t="s">
        <v>831</v>
      </c>
      <c r="AE108" s="1148"/>
      <c r="AF108" s="1148"/>
      <c r="AG108" s="1148"/>
      <c r="AH108" s="1022">
        <f t="shared" si="9"/>
        <v>0</v>
      </c>
      <c r="AI108" s="1148"/>
      <c r="AJ108" s="1514"/>
      <c r="AK108" s="1148"/>
      <c r="AL108" s="1148"/>
      <c r="AM108" s="1148"/>
      <c r="AN108" s="1148"/>
      <c r="AO108" s="1148"/>
      <c r="AP108" s="1148"/>
      <c r="AQ108" s="1148"/>
      <c r="AR108" s="1148"/>
      <c r="AS108" s="1148"/>
      <c r="AT108" s="1514"/>
      <c r="AU108" s="1148"/>
      <c r="AV108" s="1148"/>
      <c r="AW108" s="1148"/>
      <c r="AX108" s="1148"/>
      <c r="AY108" s="1148"/>
      <c r="AZ108" s="1148"/>
      <c r="BA108" s="1148"/>
      <c r="BB108" s="1148"/>
      <c r="BC108" s="1148"/>
      <c r="BD108" s="1022">
        <f t="shared" si="11"/>
        <v>0</v>
      </c>
      <c r="BE108" s="1022">
        <f t="shared" si="12"/>
        <v>0</v>
      </c>
      <c r="BF108" s="1022">
        <f t="shared" si="13"/>
        <v>0</v>
      </c>
      <c r="BG108" s="1022">
        <f t="shared" si="14"/>
        <v>0</v>
      </c>
      <c r="BH108" s="1022">
        <f t="shared" si="15"/>
        <v>0</v>
      </c>
      <c r="BI108" s="1022">
        <f t="shared" si="16"/>
        <v>0</v>
      </c>
      <c r="BJ108" s="1022">
        <f t="shared" si="17"/>
        <v>0</v>
      </c>
      <c r="BK108" s="1022">
        <f t="shared" si="18"/>
        <v>0</v>
      </c>
      <c r="BL108" s="1022">
        <f t="shared" si="19"/>
        <v>0</v>
      </c>
      <c r="BM108" s="1022">
        <f t="shared" si="20"/>
        <v>0</v>
      </c>
      <c r="BN108" s="1145"/>
      <c r="BO108" s="1145"/>
      <c r="BP108" s="1145"/>
      <c r="BS108" s="973" t="s">
        <v>1798</v>
      </c>
    </row>
    <row r="109" spans="2:75" ht="14.65" hidden="1" customHeight="1" x14ac:dyDescent="0.15">
      <c r="C109" s="26"/>
      <c r="D109" s="26"/>
      <c r="E109" s="545">
        <v>15</v>
      </c>
      <c r="F109" s="3" cm="1">
        <f t="array" aca="1" ref="F109" ca="1">OFFSET(E109,-1,1)</f>
        <v>0</v>
      </c>
      <c r="G109" s="26" t="s">
        <v>1436</v>
      </c>
      <c r="H109" s="26"/>
      <c r="I109" s="26" t="s">
        <v>2069</v>
      </c>
      <c r="J109" s="26"/>
      <c r="K109" s="77" t="s">
        <v>2069</v>
      </c>
      <c r="L109" s="889"/>
      <c r="M109" s="26"/>
      <c r="N109" s="26"/>
      <c r="O109" s="26"/>
      <c r="P109" s="26"/>
      <c r="Q109" s="26"/>
      <c r="R109" s="26"/>
      <c r="S109" s="26"/>
      <c r="T109" s="388" t="b" cm="1">
        <f t="array" aca="1" ref="T109" ca="1">T108</f>
        <v>0</v>
      </c>
      <c r="U109" s="26"/>
      <c r="V109" s="26"/>
      <c r="W109" s="26"/>
      <c r="X109" s="2066"/>
      <c r="Z109" s="2012"/>
      <c r="AB109" s="218" t="s">
        <v>1503</v>
      </c>
      <c r="AC109" s="682" t="s">
        <v>1436</v>
      </c>
      <c r="AD109" s="218" t="s">
        <v>831</v>
      </c>
      <c r="AE109" s="1148"/>
      <c r="AF109" s="1148"/>
      <c r="AG109" s="1148"/>
      <c r="AH109" s="1022">
        <f t="shared" si="9"/>
        <v>0</v>
      </c>
      <c r="AI109" s="1148"/>
      <c r="AJ109" s="1514"/>
      <c r="AK109" s="1148"/>
      <c r="AL109" s="1148"/>
      <c r="AM109" s="1148"/>
      <c r="AN109" s="1148"/>
      <c r="AO109" s="1148"/>
      <c r="AP109" s="1148"/>
      <c r="AQ109" s="1148"/>
      <c r="AR109" s="1148"/>
      <c r="AS109" s="1148"/>
      <c r="AT109" s="1514"/>
      <c r="AU109" s="1148"/>
      <c r="AV109" s="1148"/>
      <c r="AW109" s="1148"/>
      <c r="AX109" s="1148"/>
      <c r="AY109" s="1148"/>
      <c r="AZ109" s="1148"/>
      <c r="BA109" s="1148"/>
      <c r="BB109" s="1148"/>
      <c r="BC109" s="1148"/>
      <c r="BD109" s="1022">
        <f t="shared" si="11"/>
        <v>0</v>
      </c>
      <c r="BE109" s="1022">
        <f t="shared" si="12"/>
        <v>0</v>
      </c>
      <c r="BF109" s="1022">
        <f t="shared" si="13"/>
        <v>0</v>
      </c>
      <c r="BG109" s="1022">
        <f t="shared" si="14"/>
        <v>0</v>
      </c>
      <c r="BH109" s="1022">
        <f t="shared" si="15"/>
        <v>0</v>
      </c>
      <c r="BI109" s="1022">
        <f t="shared" si="16"/>
        <v>0</v>
      </c>
      <c r="BJ109" s="1022">
        <f t="shared" si="17"/>
        <v>0</v>
      </c>
      <c r="BK109" s="1022">
        <f t="shared" si="18"/>
        <v>0</v>
      </c>
      <c r="BL109" s="1022">
        <f t="shared" si="19"/>
        <v>0</v>
      </c>
      <c r="BM109" s="1022">
        <f t="shared" si="20"/>
        <v>0</v>
      </c>
      <c r="BN109" s="1145"/>
      <c r="BO109" s="1145"/>
      <c r="BP109" s="1145"/>
      <c r="BS109" s="973" t="s">
        <v>2070</v>
      </c>
    </row>
    <row r="110" spans="2:75" ht="14.65" hidden="1" customHeight="1" x14ac:dyDescent="0.15">
      <c r="C110" s="26"/>
      <c r="D110" s="26"/>
      <c r="E110" s="545">
        <v>15</v>
      </c>
      <c r="F110" s="3" cm="1">
        <f t="array" aca="1" ref="F110" ca="1">OFFSET(E110,-1,1)</f>
        <v>0</v>
      </c>
      <c r="G110" s="26" t="s">
        <v>1441</v>
      </c>
      <c r="H110" s="26"/>
      <c r="I110" s="26" t="s">
        <v>2071</v>
      </c>
      <c r="J110" s="26"/>
      <c r="K110" s="77" t="s">
        <v>2071</v>
      </c>
      <c r="L110" s="889"/>
      <c r="M110" s="26"/>
      <c r="N110" s="26"/>
      <c r="O110" s="26"/>
      <c r="P110" s="26"/>
      <c r="Q110" s="26"/>
      <c r="R110" s="26"/>
      <c r="S110" s="26"/>
      <c r="T110" s="388" t="b" cm="1">
        <f t="array" aca="1" ref="T110" ca="1">T109</f>
        <v>0</v>
      </c>
      <c r="U110" s="26"/>
      <c r="V110" s="26"/>
      <c r="W110" s="26"/>
      <c r="X110" s="2066"/>
      <c r="Z110" s="2012"/>
      <c r="AB110" s="218" t="s">
        <v>1507</v>
      </c>
      <c r="AC110" s="682" t="s">
        <v>1441</v>
      </c>
      <c r="AD110" s="218" t="s">
        <v>831</v>
      </c>
      <c r="AE110" s="1024">
        <f>SUM(AE111,AE112)</f>
        <v>0</v>
      </c>
      <c r="AF110" s="1022">
        <f>SUM(AF111,AF112)</f>
        <v>0</v>
      </c>
      <c r="AG110" s="1022">
        <f>SUM(AG111,AG112)</f>
        <v>0</v>
      </c>
      <c r="AH110" s="1022">
        <f t="shared" si="9"/>
        <v>0</v>
      </c>
      <c r="AI110" s="1022">
        <f t="shared" ref="AI110:BC110" si="23">SUM(AI111,AI112)</f>
        <v>0</v>
      </c>
      <c r="AJ110" s="1024">
        <f t="shared" si="23"/>
        <v>0</v>
      </c>
      <c r="AK110" s="1022">
        <f t="shared" si="23"/>
        <v>0</v>
      </c>
      <c r="AL110" s="1022">
        <f t="shared" si="23"/>
        <v>0</v>
      </c>
      <c r="AM110" s="1022">
        <f t="shared" si="23"/>
        <v>0</v>
      </c>
      <c r="AN110" s="1022">
        <f t="shared" si="23"/>
        <v>0</v>
      </c>
      <c r="AO110" s="1022">
        <f t="shared" si="23"/>
        <v>0</v>
      </c>
      <c r="AP110" s="1022">
        <f t="shared" si="23"/>
        <v>0</v>
      </c>
      <c r="AQ110" s="1022">
        <f t="shared" si="23"/>
        <v>0</v>
      </c>
      <c r="AR110" s="1022">
        <f t="shared" si="23"/>
        <v>0</v>
      </c>
      <c r="AS110" s="1022">
        <f t="shared" si="23"/>
        <v>0</v>
      </c>
      <c r="AT110" s="1024">
        <f t="shared" si="23"/>
        <v>0</v>
      </c>
      <c r="AU110" s="1022">
        <f t="shared" si="23"/>
        <v>0</v>
      </c>
      <c r="AV110" s="1022">
        <f t="shared" si="23"/>
        <v>0</v>
      </c>
      <c r="AW110" s="1022">
        <f t="shared" si="23"/>
        <v>0</v>
      </c>
      <c r="AX110" s="1022">
        <f t="shared" si="23"/>
        <v>0</v>
      </c>
      <c r="AY110" s="1022">
        <f t="shared" si="23"/>
        <v>0</v>
      </c>
      <c r="AZ110" s="1022">
        <f t="shared" si="23"/>
        <v>0</v>
      </c>
      <c r="BA110" s="1022">
        <f t="shared" si="23"/>
        <v>0</v>
      </c>
      <c r="BB110" s="1022">
        <f t="shared" si="23"/>
        <v>0</v>
      </c>
      <c r="BC110" s="1022">
        <f t="shared" si="23"/>
        <v>0</v>
      </c>
      <c r="BD110" s="1022">
        <f t="shared" si="11"/>
        <v>0</v>
      </c>
      <c r="BE110" s="1022">
        <f t="shared" si="12"/>
        <v>0</v>
      </c>
      <c r="BF110" s="1022">
        <f t="shared" si="13"/>
        <v>0</v>
      </c>
      <c r="BG110" s="1022">
        <f t="shared" si="14"/>
        <v>0</v>
      </c>
      <c r="BH110" s="1022">
        <f t="shared" si="15"/>
        <v>0</v>
      </c>
      <c r="BI110" s="1022">
        <f t="shared" si="16"/>
        <v>0</v>
      </c>
      <c r="BJ110" s="1022">
        <f t="shared" si="17"/>
        <v>0</v>
      </c>
      <c r="BK110" s="1022">
        <f t="shared" si="18"/>
        <v>0</v>
      </c>
      <c r="BL110" s="1022">
        <f t="shared" si="19"/>
        <v>0</v>
      </c>
      <c r="BM110" s="1022">
        <f t="shared" si="20"/>
        <v>0</v>
      </c>
      <c r="BN110" s="1145"/>
      <c r="BO110" s="1145"/>
      <c r="BP110" s="1145"/>
      <c r="BS110" s="973" t="s">
        <v>2072</v>
      </c>
    </row>
    <row r="111" spans="2:75" ht="14.65" hidden="1" customHeight="1" x14ac:dyDescent="0.15">
      <c r="C111" s="26"/>
      <c r="D111" s="26"/>
      <c r="E111" s="545">
        <v>15</v>
      </c>
      <c r="F111" s="3" cm="1">
        <f t="array" aca="1" ref="F111" ca="1">OFFSET(E111,-1,1)</f>
        <v>0</v>
      </c>
      <c r="G111" s="26"/>
      <c r="H111" s="26"/>
      <c r="I111" s="26" t="s">
        <v>2073</v>
      </c>
      <c r="J111" s="26"/>
      <c r="K111" s="77" t="s">
        <v>2073</v>
      </c>
      <c r="L111" s="889"/>
      <c r="M111" s="26"/>
      <c r="N111" s="26"/>
      <c r="O111" s="26"/>
      <c r="P111" s="26"/>
      <c r="Q111" s="26"/>
      <c r="R111" s="26"/>
      <c r="S111" s="26"/>
      <c r="T111" s="388" t="b" cm="1">
        <f t="array" aca="1" ref="T111" ca="1">T110</f>
        <v>0</v>
      </c>
      <c r="U111" s="26"/>
      <c r="V111" s="26"/>
      <c r="W111" s="26"/>
      <c r="X111" s="2066"/>
      <c r="Z111" s="2012"/>
      <c r="AB111" s="218" t="s">
        <v>2074</v>
      </c>
      <c r="AC111" s="685" t="s">
        <v>2075</v>
      </c>
      <c r="AD111" s="218" t="s">
        <v>831</v>
      </c>
      <c r="AE111" s="1148"/>
      <c r="AF111" s="1148"/>
      <c r="AG111" s="1148"/>
      <c r="AH111" s="1022">
        <f t="shared" si="9"/>
        <v>0</v>
      </c>
      <c r="AI111" s="1148"/>
      <c r="AJ111" s="1514"/>
      <c r="AK111" s="1148"/>
      <c r="AL111" s="1148"/>
      <c r="AM111" s="1148"/>
      <c r="AN111" s="1148"/>
      <c r="AO111" s="1148"/>
      <c r="AP111" s="1148"/>
      <c r="AQ111" s="1148"/>
      <c r="AR111" s="1148"/>
      <c r="AS111" s="1148"/>
      <c r="AT111" s="1514"/>
      <c r="AU111" s="1148"/>
      <c r="AV111" s="1148"/>
      <c r="AW111" s="1148"/>
      <c r="AX111" s="1148"/>
      <c r="AY111" s="1148"/>
      <c r="AZ111" s="1148"/>
      <c r="BA111" s="1148"/>
      <c r="BB111" s="1148"/>
      <c r="BC111" s="1148"/>
      <c r="BD111" s="1022">
        <f t="shared" si="11"/>
        <v>0</v>
      </c>
      <c r="BE111" s="1022">
        <f t="shared" si="12"/>
        <v>0</v>
      </c>
      <c r="BF111" s="1022">
        <f t="shared" si="13"/>
        <v>0</v>
      </c>
      <c r="BG111" s="1022">
        <f t="shared" si="14"/>
        <v>0</v>
      </c>
      <c r="BH111" s="1022">
        <f t="shared" si="15"/>
        <v>0</v>
      </c>
      <c r="BI111" s="1022">
        <f t="shared" si="16"/>
        <v>0</v>
      </c>
      <c r="BJ111" s="1022">
        <f t="shared" si="17"/>
        <v>0</v>
      </c>
      <c r="BK111" s="1022">
        <f t="shared" si="18"/>
        <v>0</v>
      </c>
      <c r="BL111" s="1022">
        <f t="shared" si="19"/>
        <v>0</v>
      </c>
      <c r="BM111" s="1022">
        <f t="shared" si="20"/>
        <v>0</v>
      </c>
      <c r="BN111" s="1145"/>
      <c r="BO111" s="1145"/>
      <c r="BP111" s="1145"/>
      <c r="BS111" s="973" t="s">
        <v>1222</v>
      </c>
    </row>
    <row r="112" spans="2:75" ht="14.65" hidden="1" customHeight="1" x14ac:dyDescent="0.15">
      <c r="C112" s="26"/>
      <c r="D112" s="26"/>
      <c r="E112" s="545">
        <v>15</v>
      </c>
      <c r="F112" s="3" cm="1">
        <f t="array" aca="1" ref="F112" ca="1">OFFSET(E112,-1,1)</f>
        <v>0</v>
      </c>
      <c r="G112" s="26"/>
      <c r="H112" s="26"/>
      <c r="I112" s="26" t="s">
        <v>2076</v>
      </c>
      <c r="J112" s="26"/>
      <c r="K112" s="77" t="s">
        <v>2076</v>
      </c>
      <c r="L112" s="889" t="s">
        <v>922</v>
      </c>
      <c r="M112" s="26"/>
      <c r="N112" s="26"/>
      <c r="O112" s="26"/>
      <c r="P112" s="26"/>
      <c r="Q112" s="26"/>
      <c r="R112" s="26"/>
      <c r="S112" s="26"/>
      <c r="T112" s="388" t="b" cm="1">
        <f t="array" aca="1" ref="T112" ca="1">T111</f>
        <v>0</v>
      </c>
      <c r="U112" s="26"/>
      <c r="V112" s="26"/>
      <c r="W112" s="26"/>
      <c r="X112" s="2066"/>
      <c r="Z112" s="2012"/>
      <c r="AB112" s="218" t="s">
        <v>2077</v>
      </c>
      <c r="AC112" s="685" t="s">
        <v>2078</v>
      </c>
      <c r="AD112" s="218" t="s">
        <v>831</v>
      </c>
      <c r="AE112" s="1148"/>
      <c r="AF112" s="1148"/>
      <c r="AG112" s="1148"/>
      <c r="AH112" s="1022">
        <f t="shared" si="9"/>
        <v>0</v>
      </c>
      <c r="AI112" s="1148"/>
      <c r="AJ112" s="1514"/>
      <c r="AK112" s="1148"/>
      <c r="AL112" s="1148"/>
      <c r="AM112" s="1148"/>
      <c r="AN112" s="1148"/>
      <c r="AO112" s="1148"/>
      <c r="AP112" s="1148"/>
      <c r="AQ112" s="1148"/>
      <c r="AR112" s="1148"/>
      <c r="AS112" s="1148"/>
      <c r="AT112" s="1514"/>
      <c r="AU112" s="1148"/>
      <c r="AV112" s="1148"/>
      <c r="AW112" s="1148"/>
      <c r="AX112" s="1148"/>
      <c r="AY112" s="1148"/>
      <c r="AZ112" s="1148"/>
      <c r="BA112" s="1148"/>
      <c r="BB112" s="1148"/>
      <c r="BC112" s="1148"/>
      <c r="BD112" s="1022">
        <f t="shared" si="11"/>
        <v>0</v>
      </c>
      <c r="BE112" s="1022">
        <f t="shared" si="12"/>
        <v>0</v>
      </c>
      <c r="BF112" s="1022">
        <f t="shared" si="13"/>
        <v>0</v>
      </c>
      <c r="BG112" s="1022">
        <f t="shared" si="14"/>
        <v>0</v>
      </c>
      <c r="BH112" s="1022">
        <f t="shared" si="15"/>
        <v>0</v>
      </c>
      <c r="BI112" s="1022">
        <f t="shared" si="16"/>
        <v>0</v>
      </c>
      <c r="BJ112" s="1022">
        <f t="shared" si="17"/>
        <v>0</v>
      </c>
      <c r="BK112" s="1022">
        <f t="shared" si="18"/>
        <v>0</v>
      </c>
      <c r="BL112" s="1022">
        <f t="shared" si="19"/>
        <v>0</v>
      </c>
      <c r="BM112" s="1022">
        <f t="shared" si="20"/>
        <v>0</v>
      </c>
      <c r="BN112" s="1145"/>
      <c r="BO112" s="1145"/>
      <c r="BP112" s="1145"/>
      <c r="BS112" s="973" t="s">
        <v>2079</v>
      </c>
    </row>
    <row r="113" spans="2:75" ht="21.95" hidden="1" customHeight="1" x14ac:dyDescent="0.15">
      <c r="C113" s="26"/>
      <c r="D113" s="26"/>
      <c r="E113" s="545">
        <v>22.5</v>
      </c>
      <c r="F113" s="3" cm="1">
        <f t="array" aca="1" ref="F113" ca="1">OFFSET(E113,-1,1)</f>
        <v>0</v>
      </c>
      <c r="G113" s="26" t="s">
        <v>1446</v>
      </c>
      <c r="H113" s="26"/>
      <c r="I113" s="26" t="s">
        <v>2080</v>
      </c>
      <c r="J113" s="26"/>
      <c r="K113" s="77" t="s">
        <v>2080</v>
      </c>
      <c r="L113" s="889"/>
      <c r="M113" s="26"/>
      <c r="N113" s="26"/>
      <c r="O113" s="26"/>
      <c r="P113" s="26"/>
      <c r="Q113" s="26"/>
      <c r="R113" s="26"/>
      <c r="S113" s="26"/>
      <c r="T113" s="388" t="b" cm="1">
        <f t="array" aca="1" ref="T113" ca="1">T112</f>
        <v>0</v>
      </c>
      <c r="U113" s="26"/>
      <c r="V113" s="26"/>
      <c r="W113" s="26"/>
      <c r="X113" s="2066"/>
      <c r="Z113" s="2012"/>
      <c r="AB113" s="218" t="s">
        <v>1510</v>
      </c>
      <c r="AC113" s="682" t="s">
        <v>2081</v>
      </c>
      <c r="AD113" s="218" t="s">
        <v>831</v>
      </c>
      <c r="AE113" s="1148"/>
      <c r="AF113" s="1148"/>
      <c r="AG113" s="1148"/>
      <c r="AH113" s="1022">
        <f t="shared" si="9"/>
        <v>0</v>
      </c>
      <c r="AI113" s="1148"/>
      <c r="AJ113" s="1514"/>
      <c r="AK113" s="1148"/>
      <c r="AL113" s="1148"/>
      <c r="AM113" s="1148"/>
      <c r="AN113" s="1148"/>
      <c r="AO113" s="1148"/>
      <c r="AP113" s="1148"/>
      <c r="AQ113" s="1148"/>
      <c r="AR113" s="1148"/>
      <c r="AS113" s="1148"/>
      <c r="AT113" s="1514"/>
      <c r="AU113" s="1148"/>
      <c r="AV113" s="1148"/>
      <c r="AW113" s="1148"/>
      <c r="AX113" s="1148"/>
      <c r="AY113" s="1148"/>
      <c r="AZ113" s="1148"/>
      <c r="BA113" s="1148"/>
      <c r="BB113" s="1148"/>
      <c r="BC113" s="1148"/>
      <c r="BD113" s="1022">
        <f t="shared" si="11"/>
        <v>0</v>
      </c>
      <c r="BE113" s="1022">
        <f t="shared" si="12"/>
        <v>0</v>
      </c>
      <c r="BF113" s="1022">
        <f t="shared" si="13"/>
        <v>0</v>
      </c>
      <c r="BG113" s="1022">
        <f t="shared" si="14"/>
        <v>0</v>
      </c>
      <c r="BH113" s="1022">
        <f t="shared" si="15"/>
        <v>0</v>
      </c>
      <c r="BI113" s="1022">
        <f t="shared" si="16"/>
        <v>0</v>
      </c>
      <c r="BJ113" s="1022">
        <f t="shared" si="17"/>
        <v>0</v>
      </c>
      <c r="BK113" s="1022">
        <f t="shared" si="18"/>
        <v>0</v>
      </c>
      <c r="BL113" s="1022">
        <f t="shared" si="19"/>
        <v>0</v>
      </c>
      <c r="BM113" s="1022">
        <f t="shared" si="20"/>
        <v>0</v>
      </c>
      <c r="BN113" s="1145"/>
      <c r="BO113" s="1145"/>
      <c r="BP113" s="1145"/>
      <c r="BS113" s="973" t="s">
        <v>2082</v>
      </c>
    </row>
    <row r="114" spans="2:75" s="623" customFormat="1" ht="20.45" hidden="1" customHeight="1" x14ac:dyDescent="0.15">
      <c r="B114" s="357"/>
      <c r="C114" s="28"/>
      <c r="D114" s="28"/>
      <c r="E114" s="745">
        <v>21</v>
      </c>
      <c r="F114" s="3" cm="1">
        <f t="array" aca="1" ref="F114" ca="1">OFFSET(E114,-1,1)</f>
        <v>0</v>
      </c>
      <c r="G114" s="26" t="s">
        <v>2083</v>
      </c>
      <c r="H114" s="26"/>
      <c r="I114" s="26" t="s">
        <v>333</v>
      </c>
      <c r="J114" s="28"/>
      <c r="K114" s="77" t="s">
        <v>333</v>
      </c>
      <c r="L114" s="894" t="s">
        <v>1301</v>
      </c>
      <c r="M114" s="28"/>
      <c r="N114" s="28"/>
      <c r="O114" s="28"/>
      <c r="P114" s="28"/>
      <c r="Q114" s="28"/>
      <c r="R114" s="28"/>
      <c r="S114" s="28"/>
      <c r="T114" s="388" t="b" cm="1">
        <f t="array" aca="1" ref="T114" ca="1">T113</f>
        <v>0</v>
      </c>
      <c r="U114" s="28"/>
      <c r="V114" s="28"/>
      <c r="W114" s="28"/>
      <c r="X114" s="2066"/>
      <c r="Z114" s="2012"/>
      <c r="AB114" s="130" t="s">
        <v>329</v>
      </c>
      <c r="AC114" s="131" t="s">
        <v>2084</v>
      </c>
      <c r="AD114" s="130" t="s">
        <v>831</v>
      </c>
      <c r="AE114" s="698">
        <f ca="1">SUMIFS(ЭЭ!AE$25:AE$117,ЭЭ!$F$25:$F$117,$F114,ЭЭ!$AC$25:$AC$117,"Всего по тарифу")</f>
        <v>0</v>
      </c>
      <c r="AF114" s="698">
        <f ca="1">SUMIFS(ЭЭ!AF$25:AF$117,ЭЭ!$F$25:$F$117,$F114,ЭЭ!$AC$25:$AC$117,"Всего по тарифу")</f>
        <v>0</v>
      </c>
      <c r="AG114" s="698">
        <f ca="1">SUMIFS(ЭЭ!AG$25:AG$117,ЭЭ!$F$25:$F$117,$F114,ЭЭ!$AC$25:$AC$117,"Всего по тарифу")</f>
        <v>0</v>
      </c>
      <c r="AH114" s="698">
        <f t="shared" ca="1" si="9"/>
        <v>0</v>
      </c>
      <c r="AI114" s="698">
        <f ca="1">SUMIFS(ЭЭ!AH$25:AH$117,ЭЭ!$F$25:$F$117,$F114,ЭЭ!$AC$25:$AC$117,"Всего по тарифу")</f>
        <v>0</v>
      </c>
      <c r="AJ114" s="698">
        <f ca="1">SUMIFS(ЭЭ!AI$25:AI$117,ЭЭ!$F$25:$F$117,$F114,ЭЭ!$AC$25:$AC$117,"Всего по тарифу")</f>
        <v>0</v>
      </c>
      <c r="AK114" s="698">
        <f ca="1">SUMIFS(ЭЭ!AJ$25:AJ$117,ЭЭ!$F$25:$F$117,$F114,ЭЭ!$AC$25:$AC$117,"Всего по тарифу")</f>
        <v>0</v>
      </c>
      <c r="AL114" s="698">
        <f ca="1">SUMIFS(ЭЭ!AK$25:AK$117,ЭЭ!$F$25:$F$117,$F114,ЭЭ!$AC$25:$AC$117,"Всего по тарифу")</f>
        <v>0</v>
      </c>
      <c r="AM114" s="698">
        <f ca="1">SUMIFS(ЭЭ!AL$25:AL$117,ЭЭ!$F$25:$F$117,$F114,ЭЭ!$AC$25:$AC$117,"Всего по тарифу")</f>
        <v>0</v>
      </c>
      <c r="AN114" s="698">
        <f ca="1">SUMIFS(ЭЭ!AM$25:AM$117,ЭЭ!$F$25:$F$117,$F114,ЭЭ!$AC$25:$AC$117,"Всего по тарифу")</f>
        <v>0</v>
      </c>
      <c r="AO114" s="698">
        <f ca="1">SUMIFS(ЭЭ!AN$25:AN$117,ЭЭ!$F$25:$F$117,$F114,ЭЭ!$AC$25:$AC$117,"Всего по тарифу")</f>
        <v>0</v>
      </c>
      <c r="AP114" s="698">
        <f ca="1">SUMIFS(ЭЭ!AO$25:AO$117,ЭЭ!$F$25:$F$117,$F114,ЭЭ!$AC$25:$AC$117,"Всего по тарифу")</f>
        <v>0</v>
      </c>
      <c r="AQ114" s="698">
        <f ca="1">SUMIFS(ЭЭ!AP$25:AP$117,ЭЭ!$F$25:$F$117,$F114,ЭЭ!$AC$25:$AC$117,"Всего по тарифу")</f>
        <v>0</v>
      </c>
      <c r="AR114" s="698">
        <f ca="1">SUMIFS(ЭЭ!AQ$25:AQ$117,ЭЭ!$F$25:$F$117,$F114,ЭЭ!$AC$25:$AC$117,"Всего по тарифу")</f>
        <v>0</v>
      </c>
      <c r="AS114" s="698">
        <f ca="1">SUMIFS(ЭЭ!AR$25:AR$117,ЭЭ!$F$25:$F$117,$F114,ЭЭ!$AC$25:$AC$117,"Всего по тарифу")</f>
        <v>0</v>
      </c>
      <c r="AT114" s="698">
        <f ca="1">SUMIFS(ЭЭ!AS$25:AS$117,ЭЭ!$F$25:$F$117,$F114,ЭЭ!$AC$25:$AC$117,"Всего по тарифу")</f>
        <v>0</v>
      </c>
      <c r="AU114" s="698">
        <f ca="1">SUMIFS(ЭЭ!AT$25:AT$117,ЭЭ!$F$25:$F$117,$F114,ЭЭ!$AC$25:$AC$117,"Всего по тарифу")</f>
        <v>0</v>
      </c>
      <c r="AV114" s="698">
        <f ca="1">SUMIFS(ЭЭ!AU$25:AU$117,ЭЭ!$F$25:$F$117,$F114,ЭЭ!$AC$25:$AC$117,"Всего по тарифу")</f>
        <v>0</v>
      </c>
      <c r="AW114" s="698">
        <f ca="1">SUMIFS(ЭЭ!AV$25:AV$117,ЭЭ!$F$25:$F$117,$F114,ЭЭ!$AC$25:$AC$117,"Всего по тарифу")</f>
        <v>0</v>
      </c>
      <c r="AX114" s="698">
        <f ca="1">SUMIFS(ЭЭ!AW$25:AW$117,ЭЭ!$F$25:$F$117,$F114,ЭЭ!$AC$25:$AC$117,"Всего по тарифу")</f>
        <v>0</v>
      </c>
      <c r="AY114" s="698">
        <f ca="1">SUMIFS(ЭЭ!AX$25:AX$117,ЭЭ!$F$25:$F$117,$F114,ЭЭ!$AC$25:$AC$117,"Всего по тарифу")</f>
        <v>0</v>
      </c>
      <c r="AZ114" s="698">
        <f ca="1">SUMIFS(ЭЭ!AY$25:AY$117,ЭЭ!$F$25:$F$117,$F114,ЭЭ!$AC$25:$AC$117,"Всего по тарифу")</f>
        <v>0</v>
      </c>
      <c r="BA114" s="698">
        <f ca="1">SUMIFS(ЭЭ!AZ$25:AZ$117,ЭЭ!$F$25:$F$117,$F114,ЭЭ!$AC$25:$AC$117,"Всего по тарифу")</f>
        <v>0</v>
      </c>
      <c r="BB114" s="698">
        <f ca="1">SUMIFS(ЭЭ!BA$25:BA$117,ЭЭ!$F$25:$F$117,$F114,ЭЭ!$AC$25:$AC$117,"Всего по тарифу")</f>
        <v>0</v>
      </c>
      <c r="BC114" s="698">
        <f ca="1">SUMIFS(ЭЭ!BB$25:BB$117,ЭЭ!$F$25:$F$117,$F114,ЭЭ!$AC$25:$AC$117,"Всего по тарифу")</f>
        <v>0</v>
      </c>
      <c r="BD114" s="698">
        <f t="shared" ca="1" si="11"/>
        <v>0</v>
      </c>
      <c r="BE114" s="698">
        <f t="shared" ca="1" si="12"/>
        <v>0</v>
      </c>
      <c r="BF114" s="698">
        <f t="shared" ca="1" si="13"/>
        <v>0</v>
      </c>
      <c r="BG114" s="698">
        <f t="shared" ca="1" si="14"/>
        <v>0</v>
      </c>
      <c r="BH114" s="698">
        <f t="shared" ca="1" si="15"/>
        <v>0</v>
      </c>
      <c r="BI114" s="698">
        <f t="shared" ca="1" si="16"/>
        <v>0</v>
      </c>
      <c r="BJ114" s="698">
        <f t="shared" ca="1" si="17"/>
        <v>0</v>
      </c>
      <c r="BK114" s="698">
        <f t="shared" ca="1" si="18"/>
        <v>0</v>
      </c>
      <c r="BL114" s="698">
        <f t="shared" ca="1" si="19"/>
        <v>0</v>
      </c>
      <c r="BM114" s="698">
        <f t="shared" ca="1" si="20"/>
        <v>0</v>
      </c>
      <c r="BN114" s="1145"/>
      <c r="BO114" s="1152" t="str">
        <f ca="1">IF(IFERROR(INDEX(ЭЭ!$K$26:$L$117,MATCH($F114&amp;"komm",ЭЭ!$K$26:$K$117,0),2),"")=0,"",IFERROR(INDEX(ЭЭ!$K$26:$L$117,MATCH($F114&amp;"komm",ЭЭ!$K$26:$K$117,0),2),""))</f>
        <v/>
      </c>
      <c r="BP114" s="1145"/>
      <c r="BS114" s="979" t="s">
        <v>1692</v>
      </c>
      <c r="BT114" s="979"/>
      <c r="BU114" s="979"/>
      <c r="BV114" s="630"/>
      <c r="BW114" s="630"/>
    </row>
    <row r="115" spans="2:75" s="623" customFormat="1" ht="21.95" hidden="1" customHeight="1" x14ac:dyDescent="0.15">
      <c r="B115" s="81" t="b">
        <f>method_reg="Метод индексации"</f>
        <v>1</v>
      </c>
      <c r="C115" s="28"/>
      <c r="D115" s="28"/>
      <c r="E115" s="745">
        <v>22.5</v>
      </c>
      <c r="F115" s="3" cm="1">
        <f t="array" aca="1" ref="F115" ca="1">OFFSET(E115,-1,1)</f>
        <v>0</v>
      </c>
      <c r="G115" s="26" t="s">
        <v>1468</v>
      </c>
      <c r="H115" s="26"/>
      <c r="I115" s="26" t="s">
        <v>335</v>
      </c>
      <c r="J115" s="28"/>
      <c r="K115" s="77"/>
      <c r="L115" s="894" t="s">
        <v>334</v>
      </c>
      <c r="M115" s="28"/>
      <c r="N115" s="28"/>
      <c r="O115" s="28"/>
      <c r="P115" s="28"/>
      <c r="Q115" s="28"/>
      <c r="R115" s="28"/>
      <c r="S115" s="28"/>
      <c r="T115" s="388" t="b" cm="1">
        <f t="array" aca="1" ref="T115" ca="1">T114</f>
        <v>0</v>
      </c>
      <c r="U115" s="28"/>
      <c r="V115" s="28"/>
      <c r="W115" s="28"/>
      <c r="X115" s="2066"/>
      <c r="Z115" s="2012"/>
      <c r="AB115" s="130" t="s">
        <v>441</v>
      </c>
      <c r="AC115" s="131" t="s">
        <v>2085</v>
      </c>
      <c r="AD115" s="130" t="s">
        <v>831</v>
      </c>
      <c r="AE115" s="698">
        <f ca="1">SUMIFS(Амортизация!AE$25:AE$174,Амортизация!$F$25:$F$174,$F115,Амортизация!$AC$25:$AC$174,"Сумма амортизационных отчислений")</f>
        <v>0</v>
      </c>
      <c r="AF115" s="698">
        <f ca="1">SUMIFS(Амортизация!AF$25:AF$174,Амортизация!$F$25:$F$174,$F115,Амортизация!$AC$25:$AC$174,"Сумма амортизационных отчислений")</f>
        <v>0</v>
      </c>
      <c r="AG115" s="698">
        <f ca="1">SUMIFS(Амортизация!AG$25:AG$174,Амортизация!$F$25:$F$174,$F115,Амортизация!$AC$25:$AC$174,"Сумма амортизационных отчислений")</f>
        <v>0</v>
      </c>
      <c r="AH115" s="698">
        <f t="shared" ca="1" si="9"/>
        <v>0</v>
      </c>
      <c r="AI115" s="698">
        <f ca="1">SUMIFS(Амортизация!AH$25:AH$174,Амортизация!$F$25:$F$174,$F115,Амортизация!$AC$25:$AC$174,"Сумма амортизационных отчислений")</f>
        <v>0</v>
      </c>
      <c r="AJ115" s="698">
        <f ca="1">SUMIFS(Амортизация!AI$25:AI$174,Амортизация!$F$25:$F$174,$F115,Амортизация!$AC$25:$AC$174,"Сумма амортизационных отчислений")</f>
        <v>0</v>
      </c>
      <c r="AK115" s="698">
        <f ca="1">SUMIFS(Амортизация!AJ$25:AJ$174,Амортизация!$F$25:$F$174,$F115,Амортизация!$AC$25:$AC$174,"Сумма амортизационных отчислений")</f>
        <v>0</v>
      </c>
      <c r="AL115" s="698">
        <f ca="1">SUMIFS(Амортизация!AK$25:AK$174,Амортизация!$F$25:$F$174,$F115,Амортизация!$AC$25:$AC$174,"Сумма амортизационных отчислений")</f>
        <v>0</v>
      </c>
      <c r="AM115" s="698">
        <f ca="1">SUMIFS(Амортизация!AL$25:AL$174,Амортизация!$F$25:$F$174,$F115,Амортизация!$AC$25:$AC$174,"Сумма амортизационных отчислений")</f>
        <v>0</v>
      </c>
      <c r="AN115" s="698">
        <f ca="1">SUMIFS(Амортизация!AM$25:AM$174,Амортизация!$F$25:$F$174,$F115,Амортизация!$AC$25:$AC$174,"Сумма амортизационных отчислений")</f>
        <v>0</v>
      </c>
      <c r="AO115" s="698">
        <f ca="1">SUMIFS(Амортизация!AN$25:AN$174,Амортизация!$F$25:$F$174,$F115,Амортизация!$AC$25:$AC$174,"Сумма амортизационных отчислений")</f>
        <v>0</v>
      </c>
      <c r="AP115" s="698">
        <f ca="1">SUMIFS(Амортизация!AO$25:AO$174,Амортизация!$F$25:$F$174,$F115,Амортизация!$AC$25:$AC$174,"Сумма амортизационных отчислений")</f>
        <v>0</v>
      </c>
      <c r="AQ115" s="698">
        <f ca="1">SUMIFS(Амортизация!AP$25:AP$174,Амортизация!$F$25:$F$174,$F115,Амортизация!$AC$25:$AC$174,"Сумма амортизационных отчислений")</f>
        <v>0</v>
      </c>
      <c r="AR115" s="698">
        <f ca="1">SUMIFS(Амортизация!AQ$25:AQ$174,Амортизация!$F$25:$F$174,$F115,Амортизация!$AC$25:$AC$174,"Сумма амортизационных отчислений")</f>
        <v>0</v>
      </c>
      <c r="AS115" s="698">
        <f ca="1">SUMIFS(Амортизация!AR$25:AR$174,Амортизация!$F$25:$F$174,$F115,Амортизация!$AC$25:$AC$174,"Сумма амортизационных отчислений")</f>
        <v>0</v>
      </c>
      <c r="AT115" s="698">
        <f ca="1">SUMIFS(Амортизация!AS$25:AS$174,Амортизация!$F$25:$F$174,$F115,Амортизация!$AC$25:$AC$174,"Сумма амортизационных отчислений")</f>
        <v>0</v>
      </c>
      <c r="AU115" s="698">
        <f ca="1">SUMIFS(Амортизация!AT$25:AT$174,Амортизация!$F$25:$F$174,$F115,Амортизация!$AC$25:$AC$174,"Сумма амортизационных отчислений")</f>
        <v>0</v>
      </c>
      <c r="AV115" s="698">
        <f ca="1">SUMIFS(Амортизация!AU$25:AU$174,Амортизация!$F$25:$F$174,$F115,Амортизация!$AC$25:$AC$174,"Сумма амортизационных отчислений")</f>
        <v>0</v>
      </c>
      <c r="AW115" s="698">
        <f ca="1">SUMIFS(Амортизация!AV$25:AV$174,Амортизация!$F$25:$F$174,$F115,Амортизация!$AC$25:$AC$174,"Сумма амортизационных отчислений")</f>
        <v>0</v>
      </c>
      <c r="AX115" s="698">
        <f ca="1">SUMIFS(Амортизация!AW$25:AW$174,Амортизация!$F$25:$F$174,$F115,Амортизация!$AC$25:$AC$174,"Сумма амортизационных отчислений")</f>
        <v>0</v>
      </c>
      <c r="AY115" s="698">
        <f ca="1">SUMIFS(Амортизация!AX$25:AX$174,Амортизация!$F$25:$F$174,$F115,Амортизация!$AC$25:$AC$174,"Сумма амортизационных отчислений")</f>
        <v>0</v>
      </c>
      <c r="AZ115" s="698">
        <f ca="1">SUMIFS(Амортизация!AY$25:AY$174,Амортизация!$F$25:$F$174,$F115,Амортизация!$AC$25:$AC$174,"Сумма амортизационных отчислений")</f>
        <v>0</v>
      </c>
      <c r="BA115" s="698">
        <f ca="1">SUMIFS(Амортизация!AZ$25:AZ$174,Амортизация!$F$25:$F$174,$F115,Амортизация!$AC$25:$AC$174,"Сумма амортизационных отчислений")</f>
        <v>0</v>
      </c>
      <c r="BB115" s="698">
        <f ca="1">SUMIFS(Амортизация!BA$25:BA$174,Амортизация!$F$25:$F$174,$F115,Амортизация!$AC$25:$AC$174,"Сумма амортизационных отчислений")</f>
        <v>0</v>
      </c>
      <c r="BC115" s="698">
        <f ca="1">SUMIFS(Амортизация!BB$25:BB$174,Амортизация!$F$25:$F$174,$F115,Амортизация!$AC$25:$AC$174,"Сумма амортизационных отчислений")</f>
        <v>0</v>
      </c>
      <c r="BD115" s="698">
        <f t="shared" ca="1" si="11"/>
        <v>0</v>
      </c>
      <c r="BE115" s="698">
        <f t="shared" ca="1" si="12"/>
        <v>0</v>
      </c>
      <c r="BF115" s="698">
        <f t="shared" ca="1" si="13"/>
        <v>0</v>
      </c>
      <c r="BG115" s="698">
        <f t="shared" ca="1" si="14"/>
        <v>0</v>
      </c>
      <c r="BH115" s="698">
        <f t="shared" ca="1" si="15"/>
        <v>0</v>
      </c>
      <c r="BI115" s="698">
        <f t="shared" ca="1" si="16"/>
        <v>0</v>
      </c>
      <c r="BJ115" s="698">
        <f t="shared" ca="1" si="17"/>
        <v>0</v>
      </c>
      <c r="BK115" s="698">
        <f t="shared" ca="1" si="18"/>
        <v>0</v>
      </c>
      <c r="BL115" s="698">
        <f t="shared" ca="1" si="19"/>
        <v>0</v>
      </c>
      <c r="BM115" s="698">
        <f t="shared" ca="1" si="20"/>
        <v>0</v>
      </c>
      <c r="BN115" s="1145"/>
      <c r="BO115" s="1149" t="str">
        <f ca="1">IF(IFERROR(INDEX(Амортизация!$K$26:$L$174,MATCH($F115&amp;"komm",Амортизация!$K$26:$K$174,0),2),"")=0,"",IFERROR(INDEX(Амортизация!$K$26:$L$174,MATCH($F115&amp;"komm",Амортизация!$K$26:$K$174,0),2),""))</f>
        <v/>
      </c>
      <c r="BP115" s="1145"/>
      <c r="BS115" s="979" t="s">
        <v>1199</v>
      </c>
      <c r="BT115" s="979"/>
      <c r="BU115" s="979"/>
      <c r="BV115" s="630"/>
      <c r="BW115" s="630"/>
    </row>
    <row r="116" spans="2:75" ht="14.65" hidden="1" customHeight="1" x14ac:dyDescent="0.15">
      <c r="B116" s="354" t="b" cm="1">
        <f t="array" ref="B116">B115</f>
        <v>1</v>
      </c>
      <c r="C116" s="26"/>
      <c r="D116" s="26"/>
      <c r="E116" s="545">
        <v>15</v>
      </c>
      <c r="F116" s="3" cm="1">
        <f t="array" aca="1" ref="F116" ca="1">OFFSET(E116,-1,1)</f>
        <v>0</v>
      </c>
      <c r="G116" s="26"/>
      <c r="H116" s="26"/>
      <c r="I116" s="26" t="s">
        <v>565</v>
      </c>
      <c r="J116" s="26"/>
      <c r="L116" s="889" t="s">
        <v>579</v>
      </c>
      <c r="M116" s="26"/>
      <c r="N116" s="26"/>
      <c r="O116" s="26"/>
      <c r="P116" s="26"/>
      <c r="Q116" s="26"/>
      <c r="R116" s="26"/>
      <c r="S116" s="26"/>
      <c r="T116" s="388" t="b" cm="1">
        <f t="array" aca="1" ref="T116" ca="1">T115</f>
        <v>0</v>
      </c>
      <c r="U116" s="26"/>
      <c r="V116" s="26"/>
      <c r="W116" s="26"/>
      <c r="X116" s="2066"/>
      <c r="Z116" s="2012"/>
      <c r="AB116" s="218" t="s">
        <v>700</v>
      </c>
      <c r="AC116" s="682" t="s">
        <v>1785</v>
      </c>
      <c r="AD116" s="218" t="s">
        <v>831</v>
      </c>
      <c r="AE116" s="1148">
        <f ca="1">SUMIFS('ИП + источники'!AF$27:AF$116,'ИП + источники'!$F$27:$F$116,$F116,'ИП + источники'!$AC$27:$AC$116,"Амортизационные отчисления")+SUMIFS('ИП + источники'!AF$27:AF$116,'ИП + источники'!$F$27:$F$116,$F116,'ИП + источники'!$AC$27:$AC$116,"погашение займов и кредитов из амортизации")</f>
        <v>0</v>
      </c>
      <c r="AF116" s="1148">
        <f ca="1">SUMIFS('ИП + источники'!AG$27:AG$116,'ИП + источники'!$F$27:$F$116,$F116,'ИП + источники'!$AC$27:$AC$116,"Амортизационные отчисления")+SUMIFS('ИП + источники'!AG$27:AG$116,'ИП + источники'!$F$27:$F$116,$F116,'ИП + источники'!$AC$27:$AC$116,"погашение займов и кредитов из амортизации")</f>
        <v>0</v>
      </c>
      <c r="AG116" s="1148">
        <f ca="1">SUMIFS('ИП + источники'!AH$27:AH$116,'ИП + источники'!$F$27:$F$116,$F116,'ИП + источники'!$AC$27:$AC$116,"Амортизационные отчисления")+SUMIFS('ИП + источники'!AH$27:AH$116,'ИП + источники'!$F$27:$F$116,$F116,'ИП + источники'!$AC$27:$AC$116,"погашение займов и кредитов из амортизации")</f>
        <v>0</v>
      </c>
      <c r="AH116" s="1022">
        <f t="shared" ca="1" si="9"/>
        <v>0</v>
      </c>
      <c r="AI116" s="1148">
        <f ca="1">SUMIFS('ИП + источники'!AJ$27:AJ$116,'ИП + источники'!$F$27:$F$116,$F116,'ИП + источники'!$AC$27:$AC$116,"Амортизационные отчисления")+SUMIFS('ИП + источники'!AJ$27:AJ$116,'ИП + источники'!$F$27:$F$116,$F116,'ИП + источники'!$AC$27:$AC$116,"погашение займов и кредитов из амортизации")</f>
        <v>0</v>
      </c>
      <c r="AJ116" s="1514">
        <f ca="1">SUMIFS('ИП + источники'!AK$27:AK$116,'ИП + источники'!$F$27:$F$116,$F116,'ИП + источники'!$AC$27:$AC$116,"Амортизационные отчисления")+SUMIFS('ИП + источники'!AK$27:AK$116,'ИП + источники'!$F$27:$F$116,$F116,'ИП + источники'!$AC$27:$AC$116,"погашение займов и кредитов из амортизации")</f>
        <v>0</v>
      </c>
      <c r="AK116" s="1148">
        <f ca="1">SUMIFS('ИП + источники'!AL$27:AL$116,'ИП + источники'!$F$27:$F$116,$F116,'ИП + источники'!$AC$27:$AC$116,"Амортизационные отчисления")+SUMIFS('ИП + источники'!AL$27:AL$116,'ИП + источники'!$F$27:$F$116,$F116,'ИП + источники'!$AC$27:$AC$116,"погашение займов и кредитов из амортизации")</f>
        <v>0</v>
      </c>
      <c r="AL116" s="1148">
        <f ca="1">SUMIFS('ИП + источники'!AM$27:AM$116,'ИП + источники'!$F$27:$F$116,$F116,'ИП + источники'!$AC$27:$AC$116,"Амортизационные отчисления")+SUMIFS('ИП + источники'!AM$27:AM$116,'ИП + источники'!$F$27:$F$116,$F116,'ИП + источники'!$AC$27:$AC$116,"погашение займов и кредитов из амортизации")</f>
        <v>0</v>
      </c>
      <c r="AM116" s="1148">
        <f ca="1">SUMIFS('ИП + источники'!AN$27:AN$116,'ИП + источники'!$F$27:$F$116,$F116,'ИП + источники'!$AC$27:$AC$116,"Амортизационные отчисления")+SUMIFS('ИП + источники'!AN$27:AN$116,'ИП + источники'!$F$27:$F$116,$F116,'ИП + источники'!$AC$27:$AC$116,"погашение займов и кредитов из амортизации")</f>
        <v>0</v>
      </c>
      <c r="AN116" s="1148">
        <f ca="1">SUMIFS('ИП + источники'!AO$27:AO$116,'ИП + источники'!$F$27:$F$116,$F116,'ИП + источники'!$AC$27:$AC$116,"Амортизационные отчисления")+SUMIFS('ИП + источники'!AO$27:AO$116,'ИП + источники'!$F$27:$F$116,$F116,'ИП + источники'!$AC$27:$AC$116,"погашение займов и кредитов из амортизации")</f>
        <v>0</v>
      </c>
      <c r="AO116" s="1148">
        <f ca="1">SUMIFS('ИП + источники'!AP$27:AP$116,'ИП + источники'!$F$27:$F$116,$F116,'ИП + источники'!$AC$27:$AC$116,"Амортизационные отчисления")+SUMIFS('ИП + источники'!AP$27:AP$116,'ИП + источники'!$F$27:$F$116,$F116,'ИП + источники'!$AC$27:$AC$116,"погашение займов и кредитов из амортизации")</f>
        <v>0</v>
      </c>
      <c r="AP116" s="1148">
        <f ca="1">SUMIFS('ИП + источники'!AQ$27:AQ$116,'ИП + источники'!$F$27:$F$116,$F116,'ИП + источники'!$AC$27:$AC$116,"Амортизационные отчисления")+SUMIFS('ИП + источники'!AQ$27:AQ$116,'ИП + источники'!$F$27:$F$116,$F116,'ИП + источники'!$AC$27:$AC$116,"погашение займов и кредитов из амортизации")</f>
        <v>0</v>
      </c>
      <c r="AQ116" s="1148">
        <f ca="1">SUMIFS('ИП + источники'!AR$27:AR$116,'ИП + источники'!$F$27:$F$116,$F116,'ИП + источники'!$AC$27:$AC$116,"Амортизационные отчисления")+SUMIFS('ИП + источники'!AR$27:AR$116,'ИП + источники'!$F$27:$F$116,$F116,'ИП + источники'!$AC$27:$AC$116,"погашение займов и кредитов из амортизации")</f>
        <v>0</v>
      </c>
      <c r="AR116" s="1148">
        <f ca="1">SUMIFS('ИП + источники'!AS$27:AS$116,'ИП + источники'!$F$27:$F$116,$F116,'ИП + источники'!$AC$27:$AC$116,"Амортизационные отчисления")+SUMIFS('ИП + источники'!AS$27:AS$116,'ИП + источники'!$F$27:$F$116,$F116,'ИП + источники'!$AC$27:$AC$116,"погашение займов и кредитов из амортизации")</f>
        <v>0</v>
      </c>
      <c r="AS116" s="1148">
        <f ca="1">SUMIFS('ИП + источники'!AT$27:AT$116,'ИП + источники'!$F$27:$F$116,$F116,'ИП + источники'!$AC$27:$AC$116,"Амортизационные отчисления")+SUMIFS('ИП + источники'!AT$27:AT$116,'ИП + источники'!$F$27:$F$116,$F116,'ИП + источники'!$AC$27:$AC$116,"погашение займов и кредитов из амортизации")</f>
        <v>0</v>
      </c>
      <c r="AT116" s="1514">
        <f ca="1">SUMIFS('ИП + источники'!AU$27:AU$116,'ИП + источники'!$F$27:$F$116,$F116,'ИП + источники'!$AC$27:$AC$116,"Амортизационные отчисления")+SUMIFS('ИП + источники'!AU$27:AU$116,'ИП + источники'!$F$27:$F$116,$F116,'ИП + источники'!$AC$27:$AC$116,"погашение займов и кредитов из амортизации")</f>
        <v>0</v>
      </c>
      <c r="AU116" s="1148">
        <f ca="1">SUMIFS('ИП + источники'!AV$27:AV$116,'ИП + источники'!$F$27:$F$116,$F116,'ИП + источники'!$AC$27:$AC$116,"Амортизационные отчисления")+SUMIFS('ИП + источники'!AV$27:AV$116,'ИП + источники'!$F$27:$F$116,$F116,'ИП + источники'!$AC$27:$AC$116,"погашение займов и кредитов из амортизации")</f>
        <v>0</v>
      </c>
      <c r="AV116" s="1148">
        <f ca="1">SUMIFS('ИП + источники'!AW$27:AW$116,'ИП + источники'!$F$27:$F$116,$F116,'ИП + источники'!$AC$27:$AC$116,"Амортизационные отчисления")+SUMIFS('ИП + источники'!AW$27:AW$116,'ИП + источники'!$F$27:$F$116,$F116,'ИП + источники'!$AC$27:$AC$116,"погашение займов и кредитов из амортизации")</f>
        <v>0</v>
      </c>
      <c r="AW116" s="1148">
        <f ca="1">SUMIFS('ИП + источники'!AX$27:AX$116,'ИП + источники'!$F$27:$F$116,$F116,'ИП + источники'!$AC$27:$AC$116,"Амортизационные отчисления")+SUMIFS('ИП + источники'!AX$27:AX$116,'ИП + источники'!$F$27:$F$116,$F116,'ИП + источники'!$AC$27:$AC$116,"погашение займов и кредитов из амортизации")</f>
        <v>0</v>
      </c>
      <c r="AX116" s="1148">
        <f ca="1">SUMIFS('ИП + источники'!AY$27:AY$116,'ИП + источники'!$F$27:$F$116,$F116,'ИП + источники'!$AC$27:$AC$116,"Амортизационные отчисления")+SUMIFS('ИП + источники'!AY$27:AY$116,'ИП + источники'!$F$27:$F$116,$F116,'ИП + источники'!$AC$27:$AC$116,"погашение займов и кредитов из амортизации")</f>
        <v>0</v>
      </c>
      <c r="AY116" s="1148">
        <f ca="1">SUMIFS('ИП + источники'!AZ$27:AZ$116,'ИП + источники'!$F$27:$F$116,$F116,'ИП + источники'!$AC$27:$AC$116,"Амортизационные отчисления")+SUMIFS('ИП + источники'!AZ$27:AZ$116,'ИП + источники'!$F$27:$F$116,$F116,'ИП + источники'!$AC$27:$AC$116,"погашение займов и кредитов из амортизации")</f>
        <v>0</v>
      </c>
      <c r="AZ116" s="1148">
        <f ca="1">SUMIFS('ИП + источники'!BA$27:BA$116,'ИП + источники'!$F$27:$F$116,$F116,'ИП + источники'!$AC$27:$AC$116,"Амортизационные отчисления")+SUMIFS('ИП + источники'!BA$27:BA$116,'ИП + источники'!$F$27:$F$116,$F116,'ИП + источники'!$AC$27:$AC$116,"погашение займов и кредитов из амортизации")</f>
        <v>0</v>
      </c>
      <c r="BA116" s="1148">
        <f ca="1">SUMIFS('ИП + источники'!BB$27:BB$116,'ИП + источники'!$F$27:$F$116,$F116,'ИП + источники'!$AC$27:$AC$116,"Амортизационные отчисления")+SUMIFS('ИП + источники'!BB$27:BB$116,'ИП + источники'!$F$27:$F$116,$F116,'ИП + источники'!$AC$27:$AC$116,"погашение займов и кредитов из амортизации")</f>
        <v>0</v>
      </c>
      <c r="BB116" s="1148">
        <f ca="1">SUMIFS('ИП + источники'!BC$27:BC$116,'ИП + источники'!$F$27:$F$116,$F116,'ИП + источники'!$AC$27:$AC$116,"Амортизационные отчисления")+SUMIFS('ИП + источники'!BC$27:BC$116,'ИП + источники'!$F$27:$F$116,$F116,'ИП + источники'!$AC$27:$AC$116,"погашение займов и кредитов из амортизации")</f>
        <v>0</v>
      </c>
      <c r="BC116" s="1148">
        <f ca="1">SUMIFS('ИП + источники'!BD$27:BD$116,'ИП + источники'!$F$27:$F$116,$F116,'ИП + источники'!$AC$27:$AC$116,"Амортизационные отчисления")+SUMIFS('ИП + источники'!BD$27:BD$116,'ИП + источники'!$F$27:$F$116,$F116,'ИП + источники'!$AC$27:$AC$116,"погашение займов и кредитов из амортизации")</f>
        <v>0</v>
      </c>
      <c r="BD116" s="1022">
        <f t="shared" ca="1" si="11"/>
        <v>0</v>
      </c>
      <c r="BE116" s="1022">
        <f t="shared" ca="1" si="12"/>
        <v>0</v>
      </c>
      <c r="BF116" s="1022">
        <f t="shared" ca="1" si="13"/>
        <v>0</v>
      </c>
      <c r="BG116" s="1022">
        <f t="shared" ca="1" si="14"/>
        <v>0</v>
      </c>
      <c r="BH116" s="1022">
        <f t="shared" ca="1" si="15"/>
        <v>0</v>
      </c>
      <c r="BI116" s="1022">
        <f t="shared" ca="1" si="16"/>
        <v>0</v>
      </c>
      <c r="BJ116" s="1022">
        <f t="shared" ca="1" si="17"/>
        <v>0</v>
      </c>
      <c r="BK116" s="1022">
        <f t="shared" ca="1" si="18"/>
        <v>0</v>
      </c>
      <c r="BL116" s="1022">
        <f t="shared" ca="1" si="19"/>
        <v>0</v>
      </c>
      <c r="BM116" s="1022">
        <f t="shared" ca="1" si="20"/>
        <v>0</v>
      </c>
      <c r="BN116" s="1145"/>
      <c r="BO116" s="1145"/>
      <c r="BP116" s="1145"/>
      <c r="BS116" s="973" t="s">
        <v>1786</v>
      </c>
    </row>
    <row r="117" spans="2:75" s="623" customFormat="1" ht="20.45" hidden="1" customHeight="1" x14ac:dyDescent="0.25">
      <c r="B117" s="354" t="b" cm="1">
        <f t="array" ref="B117">B116</f>
        <v>1</v>
      </c>
      <c r="C117" s="28"/>
      <c r="D117" s="28"/>
      <c r="E117" s="745">
        <v>21</v>
      </c>
      <c r="F117" s="3" cm="1">
        <f t="array" aca="1" ref="F117" ca="1">OFFSET(E117,-1,1)</f>
        <v>0</v>
      </c>
      <c r="G117" s="26" t="s">
        <v>1472</v>
      </c>
      <c r="H117" s="26"/>
      <c r="I117" s="26" t="s">
        <v>334</v>
      </c>
      <c r="J117" s="28"/>
      <c r="K117" s="77"/>
      <c r="L117" s="894" t="s">
        <v>591</v>
      </c>
      <c r="M117" s="28"/>
      <c r="N117" s="28"/>
      <c r="O117" s="28"/>
      <c r="P117" s="28"/>
      <c r="Q117" s="28"/>
      <c r="R117" s="28"/>
      <c r="S117" s="28"/>
      <c r="T117" s="388" t="b" cm="1">
        <f t="array" aca="1" ref="T117" ca="1">T116</f>
        <v>0</v>
      </c>
      <c r="U117" s="28"/>
      <c r="V117" s="28"/>
      <c r="W117" s="28"/>
      <c r="X117" s="2066"/>
      <c r="Z117" s="2012"/>
      <c r="AB117" s="130" t="s">
        <v>444</v>
      </c>
      <c r="AC117" s="131" t="s">
        <v>1472</v>
      </c>
      <c r="AD117" s="153" t="s">
        <v>831</v>
      </c>
      <c r="AE117" s="132">
        <f ca="1">AE118+AE119+AE120+AE121</f>
        <v>0</v>
      </c>
      <c r="AF117" s="132">
        <f ca="1">AF118+AF119+AF120+AF121</f>
        <v>0</v>
      </c>
      <c r="AG117" s="132">
        <f ca="1">AG118+AG119+AG120+AG121</f>
        <v>0</v>
      </c>
      <c r="AH117" s="132">
        <f t="shared" ca="1" si="9"/>
        <v>0</v>
      </c>
      <c r="AI117" s="132">
        <f t="shared" ref="AI117:BC117" ca="1" si="24">AI118+AI119+AI120+AI121</f>
        <v>0</v>
      </c>
      <c r="AJ117" s="132">
        <f t="shared" ca="1" si="24"/>
        <v>0</v>
      </c>
      <c r="AK117" s="132">
        <f t="shared" ca="1" si="24"/>
        <v>0</v>
      </c>
      <c r="AL117" s="132">
        <f t="shared" ca="1" si="24"/>
        <v>0</v>
      </c>
      <c r="AM117" s="132">
        <f t="shared" ca="1" si="24"/>
        <v>0</v>
      </c>
      <c r="AN117" s="132">
        <f t="shared" ca="1" si="24"/>
        <v>0</v>
      </c>
      <c r="AO117" s="132">
        <f t="shared" ca="1" si="24"/>
        <v>0</v>
      </c>
      <c r="AP117" s="132">
        <f t="shared" ca="1" si="24"/>
        <v>0</v>
      </c>
      <c r="AQ117" s="132">
        <f t="shared" ca="1" si="24"/>
        <v>0</v>
      </c>
      <c r="AR117" s="132">
        <f t="shared" ca="1" si="24"/>
        <v>0</v>
      </c>
      <c r="AS117" s="132">
        <f t="shared" ca="1" si="24"/>
        <v>0</v>
      </c>
      <c r="AT117" s="132">
        <f t="shared" ca="1" si="24"/>
        <v>0</v>
      </c>
      <c r="AU117" s="132">
        <f t="shared" ca="1" si="24"/>
        <v>0</v>
      </c>
      <c r="AV117" s="132">
        <f t="shared" ca="1" si="24"/>
        <v>0</v>
      </c>
      <c r="AW117" s="132">
        <f t="shared" ca="1" si="24"/>
        <v>0</v>
      </c>
      <c r="AX117" s="132">
        <f t="shared" ca="1" si="24"/>
        <v>0</v>
      </c>
      <c r="AY117" s="132">
        <f t="shared" ca="1" si="24"/>
        <v>0</v>
      </c>
      <c r="AZ117" s="132">
        <f t="shared" ca="1" si="24"/>
        <v>0</v>
      </c>
      <c r="BA117" s="132">
        <f t="shared" ca="1" si="24"/>
        <v>0</v>
      </c>
      <c r="BB117" s="132">
        <f t="shared" ca="1" si="24"/>
        <v>0</v>
      </c>
      <c r="BC117" s="132">
        <f t="shared" ca="1" si="24"/>
        <v>0</v>
      </c>
      <c r="BD117" s="698">
        <f t="shared" ca="1" si="11"/>
        <v>0</v>
      </c>
      <c r="BE117" s="698">
        <f t="shared" ca="1" si="12"/>
        <v>0</v>
      </c>
      <c r="BF117" s="698">
        <f t="shared" ca="1" si="13"/>
        <v>0</v>
      </c>
      <c r="BG117" s="698">
        <f t="shared" ca="1" si="14"/>
        <v>0</v>
      </c>
      <c r="BH117" s="698">
        <f t="shared" ca="1" si="15"/>
        <v>0</v>
      </c>
      <c r="BI117" s="698">
        <f t="shared" ca="1" si="16"/>
        <v>0</v>
      </c>
      <c r="BJ117" s="698">
        <f t="shared" ca="1" si="17"/>
        <v>0</v>
      </c>
      <c r="BK117" s="698">
        <f t="shared" ca="1" si="18"/>
        <v>0</v>
      </c>
      <c r="BL117" s="698">
        <f t="shared" ca="1" si="19"/>
        <v>0</v>
      </c>
      <c r="BM117" s="698">
        <f t="shared" ca="1" si="20"/>
        <v>0</v>
      </c>
      <c r="BN117" s="1145"/>
      <c r="BO117" s="1145"/>
      <c r="BP117" s="1145"/>
      <c r="BS117" s="972" t="s">
        <v>1476</v>
      </c>
      <c r="BT117" s="979"/>
      <c r="BU117" s="979"/>
      <c r="BV117" s="630"/>
      <c r="BW117" s="630"/>
    </row>
    <row r="118" spans="2:75" ht="14.65" hidden="1" customHeight="1" x14ac:dyDescent="0.15">
      <c r="B118" s="354" t="b" cm="1">
        <f t="array" ref="B118">B117</f>
        <v>1</v>
      </c>
      <c r="C118" s="26"/>
      <c r="D118" s="26"/>
      <c r="E118" s="545">
        <v>15</v>
      </c>
      <c r="F118" s="3" cm="1">
        <f t="array" aca="1" ref="F118" ca="1">OFFSET(E118,-1,1)</f>
        <v>0</v>
      </c>
      <c r="G118" s="26"/>
      <c r="H118" s="26"/>
      <c r="I118" s="26" t="s">
        <v>579</v>
      </c>
      <c r="J118" s="26"/>
      <c r="L118" s="889"/>
      <c r="M118" s="26"/>
      <c r="N118" s="26"/>
      <c r="O118" s="26"/>
      <c r="P118" s="26"/>
      <c r="Q118" s="26"/>
      <c r="R118" s="26"/>
      <c r="S118" s="26"/>
      <c r="T118" s="388" t="b" cm="1">
        <f t="array" aca="1" ref="T118" ca="1">T117</f>
        <v>0</v>
      </c>
      <c r="U118" s="26"/>
      <c r="V118" s="26"/>
      <c r="W118" s="26"/>
      <c r="X118" s="2066"/>
      <c r="Z118" s="2012"/>
      <c r="AB118" s="218" t="s">
        <v>707</v>
      </c>
      <c r="AC118" s="682" t="s">
        <v>2086</v>
      </c>
      <c r="AD118" s="218" t="s">
        <v>831</v>
      </c>
      <c r="AE118" s="1148">
        <f ca="1">SUMIFS('ИП + источники'!AF$27:AF$116,'ИП + источники'!$F$27:$F$116,$F118,'ИП + источники'!$AC$27:$AC$116,"погашение займов и кредитов из нормативной прибыли")</f>
        <v>0</v>
      </c>
      <c r="AF118" s="1148">
        <f ca="1">SUMIFS('ИП + источники'!AG$27:AG$116,'ИП + источники'!$F$27:$F$116,$F118,'ИП + источники'!$AC$27:$AC$116,"погашение займов и кредитов из нормативной прибыли")</f>
        <v>0</v>
      </c>
      <c r="AG118" s="1148">
        <f ca="1">SUMIFS('ИП + источники'!AH$27:AH$116,'ИП + источники'!$F$27:$F$116,$F118,'ИП + источники'!$AC$27:$AC$116,"погашение займов и кредитов из нормативной прибыли")</f>
        <v>0</v>
      </c>
      <c r="AH118" s="1022">
        <f t="shared" ca="1" si="9"/>
        <v>0</v>
      </c>
      <c r="AI118" s="1148">
        <f ca="1">SUMIFS('ИП + источники'!AJ$27:AJ$116,'ИП + источники'!$F$27:$F$116,$F118,'ИП + источники'!$AC$27:$AC$116,"погашение займов и кредитов из нормативной прибыли")</f>
        <v>0</v>
      </c>
      <c r="AJ118" s="1514">
        <f ca="1">SUMIFS('ИП + источники'!AK$27:AK$116,'ИП + источники'!$F$27:$F$116,$F118,'ИП + источники'!$AC$27:$AC$116,"погашение займов и кредитов из нормативной прибыли")</f>
        <v>0</v>
      </c>
      <c r="AK118" s="1148">
        <f ca="1">SUMIFS('ИП + источники'!AL$27:AL$116,'ИП + источники'!$F$27:$F$116,$F118,'ИП + источники'!$AC$27:$AC$116,"погашение займов и кредитов из нормативной прибыли")</f>
        <v>0</v>
      </c>
      <c r="AL118" s="1148">
        <f ca="1">SUMIFS('ИП + источники'!AM$27:AM$116,'ИП + источники'!$F$27:$F$116,$F118,'ИП + источники'!$AC$27:$AC$116,"погашение займов и кредитов из нормативной прибыли")</f>
        <v>0</v>
      </c>
      <c r="AM118" s="1148">
        <f ca="1">SUMIFS('ИП + источники'!AN$27:AN$116,'ИП + источники'!$F$27:$F$116,$F118,'ИП + источники'!$AC$27:$AC$116,"погашение займов и кредитов из нормативной прибыли")</f>
        <v>0</v>
      </c>
      <c r="AN118" s="1148">
        <f ca="1">SUMIFS('ИП + источники'!AO$27:AO$116,'ИП + источники'!$F$27:$F$116,$F118,'ИП + источники'!$AC$27:$AC$116,"погашение займов и кредитов из нормативной прибыли")</f>
        <v>0</v>
      </c>
      <c r="AO118" s="1148">
        <f ca="1">SUMIFS('ИП + источники'!AP$27:AP$116,'ИП + источники'!$F$27:$F$116,$F118,'ИП + источники'!$AC$27:$AC$116,"погашение займов и кредитов из нормативной прибыли")</f>
        <v>0</v>
      </c>
      <c r="AP118" s="1148">
        <f ca="1">SUMIFS('ИП + источники'!AQ$27:AQ$116,'ИП + источники'!$F$27:$F$116,$F118,'ИП + источники'!$AC$27:$AC$116,"погашение займов и кредитов из нормативной прибыли")</f>
        <v>0</v>
      </c>
      <c r="AQ118" s="1148">
        <f ca="1">SUMIFS('ИП + источники'!AR$27:AR$116,'ИП + источники'!$F$27:$F$116,$F118,'ИП + источники'!$AC$27:$AC$116,"погашение займов и кредитов из нормативной прибыли")</f>
        <v>0</v>
      </c>
      <c r="AR118" s="1148">
        <f ca="1">SUMIFS('ИП + источники'!AS$27:AS$116,'ИП + источники'!$F$27:$F$116,$F118,'ИП + источники'!$AC$27:$AC$116,"погашение займов и кредитов из нормативной прибыли")</f>
        <v>0</v>
      </c>
      <c r="AS118" s="1148">
        <f ca="1">SUMIFS('ИП + источники'!AT$27:AT$116,'ИП + источники'!$F$27:$F$116,$F118,'ИП + источники'!$AC$27:$AC$116,"погашение займов и кредитов из нормативной прибыли")</f>
        <v>0</v>
      </c>
      <c r="AT118" s="1514">
        <f ca="1">SUMIFS('ИП + источники'!AU$27:AU$116,'ИП + источники'!$F$27:$F$116,$F118,'ИП + источники'!$AC$27:$AC$116,"погашение займов и кредитов из нормативной прибыли")</f>
        <v>0</v>
      </c>
      <c r="AU118" s="1148">
        <f ca="1">SUMIFS('ИП + источники'!AV$27:AV$116,'ИП + источники'!$F$27:$F$116,$F118,'ИП + источники'!$AC$27:$AC$116,"погашение займов и кредитов из нормативной прибыли")</f>
        <v>0</v>
      </c>
      <c r="AV118" s="1148">
        <f ca="1">SUMIFS('ИП + источники'!AW$27:AW$116,'ИП + источники'!$F$27:$F$116,$F118,'ИП + источники'!$AC$27:$AC$116,"погашение займов и кредитов из нормативной прибыли")</f>
        <v>0</v>
      </c>
      <c r="AW118" s="1148">
        <f ca="1">SUMIFS('ИП + источники'!AX$27:AX$116,'ИП + источники'!$F$27:$F$116,$F118,'ИП + источники'!$AC$27:$AC$116,"погашение займов и кредитов из нормативной прибыли")</f>
        <v>0</v>
      </c>
      <c r="AX118" s="1148">
        <f ca="1">SUMIFS('ИП + источники'!AY$27:AY$116,'ИП + источники'!$F$27:$F$116,$F118,'ИП + источники'!$AC$27:$AC$116,"погашение займов и кредитов из нормативной прибыли")</f>
        <v>0</v>
      </c>
      <c r="AY118" s="1148">
        <f ca="1">SUMIFS('ИП + источники'!AZ$27:AZ$116,'ИП + источники'!$F$27:$F$116,$F118,'ИП + источники'!$AC$27:$AC$116,"погашение займов и кредитов из нормативной прибыли")</f>
        <v>0</v>
      </c>
      <c r="AZ118" s="1148">
        <f ca="1">SUMIFS('ИП + источники'!BA$27:BA$116,'ИП + источники'!$F$27:$F$116,$F118,'ИП + источники'!$AC$27:$AC$116,"погашение займов и кредитов из нормативной прибыли")</f>
        <v>0</v>
      </c>
      <c r="BA118" s="1148">
        <f ca="1">SUMIFS('ИП + источники'!BB$27:BB$116,'ИП + источники'!$F$27:$F$116,$F118,'ИП + источники'!$AC$27:$AC$116,"погашение займов и кредитов из нормативной прибыли")</f>
        <v>0</v>
      </c>
      <c r="BB118" s="1148">
        <f ca="1">SUMIFS('ИП + источники'!BC$27:BC$116,'ИП + источники'!$F$27:$F$116,$F118,'ИП + источники'!$AC$27:$AC$116,"погашение займов и кредитов из нормативной прибыли")</f>
        <v>0</v>
      </c>
      <c r="BC118" s="1148">
        <f ca="1">SUMIFS('ИП + источники'!BD$27:BD$116,'ИП + источники'!$F$27:$F$116,$F118,'ИП + источники'!$AC$27:$AC$116,"погашение займов и кредитов из нормативной прибыли")</f>
        <v>0</v>
      </c>
      <c r="BD118" s="1022">
        <f t="shared" ca="1" si="11"/>
        <v>0</v>
      </c>
      <c r="BE118" s="1022">
        <f t="shared" ca="1" si="12"/>
        <v>0</v>
      </c>
      <c r="BF118" s="1022">
        <f t="shared" ca="1" si="13"/>
        <v>0</v>
      </c>
      <c r="BG118" s="1022">
        <f t="shared" ca="1" si="14"/>
        <v>0</v>
      </c>
      <c r="BH118" s="1022">
        <f t="shared" ca="1" si="15"/>
        <v>0</v>
      </c>
      <c r="BI118" s="1022">
        <f t="shared" ca="1" si="16"/>
        <v>0</v>
      </c>
      <c r="BJ118" s="1022">
        <f t="shared" ca="1" si="17"/>
        <v>0</v>
      </c>
      <c r="BK118" s="1022">
        <f t="shared" ca="1" si="18"/>
        <v>0</v>
      </c>
      <c r="BL118" s="1022">
        <f t="shared" ca="1" si="19"/>
        <v>0</v>
      </c>
      <c r="BM118" s="1022">
        <f t="shared" ca="1" si="20"/>
        <v>0</v>
      </c>
      <c r="BN118" s="1145"/>
      <c r="BO118" s="1149" t="str">
        <f ca="1">IF(IFERROR(INDEX('ИП + источники'!$K$28:$L$116,MATCH($F118&amp;"2komm",'ИП + источники'!$K$28:$K$116,0),2),"")=0,"",IFERROR(INDEX('ИП + источники'!$K$28:$L$116,MATCH($F118&amp;"2komm",'ИП + источники'!$K$28:$K$116,0),2),""))</f>
        <v/>
      </c>
      <c r="BP118" s="1145"/>
      <c r="BS118" s="973" t="s">
        <v>2087</v>
      </c>
    </row>
    <row r="119" spans="2:75" ht="14.65" hidden="1" customHeight="1" x14ac:dyDescent="0.15">
      <c r="B119" s="354" t="b" cm="1">
        <f t="array" ref="B119">B118</f>
        <v>1</v>
      </c>
      <c r="C119" s="26"/>
      <c r="D119" s="26"/>
      <c r="E119" s="545">
        <v>15</v>
      </c>
      <c r="F119" s="3" cm="1">
        <f t="array" aca="1" ref="F119" ca="1">OFFSET(E119,-1,1)</f>
        <v>0</v>
      </c>
      <c r="G119" s="26"/>
      <c r="H119" s="26"/>
      <c r="I119" s="26" t="s">
        <v>583</v>
      </c>
      <c r="J119" s="26"/>
      <c r="L119" s="889"/>
      <c r="M119" s="26"/>
      <c r="N119" s="26"/>
      <c r="O119" s="26"/>
      <c r="P119" s="26"/>
      <c r="Q119" s="26"/>
      <c r="R119" s="26"/>
      <c r="S119" s="26"/>
      <c r="T119" s="388" t="b" cm="1">
        <f t="array" aca="1" ref="T119" ca="1">T118</f>
        <v>0</v>
      </c>
      <c r="U119" s="26"/>
      <c r="V119" s="26"/>
      <c r="W119" s="26"/>
      <c r="X119" s="2066"/>
      <c r="Z119" s="2012"/>
      <c r="AB119" s="218" t="s">
        <v>710</v>
      </c>
      <c r="AC119" s="682" t="s">
        <v>2088</v>
      </c>
      <c r="AD119" s="218" t="s">
        <v>831</v>
      </c>
      <c r="AE119" s="1148">
        <f ca="1">SUMIFS('ИП + источники'!AF$27:AF$116,'ИП + источники'!$F$27:$F$116,$F119,'ИП + источники'!$AC$27:$AC$116,"уплата процентов по кредитам из нормативной прибыли")</f>
        <v>0</v>
      </c>
      <c r="AF119" s="1148">
        <f ca="1">SUMIFS('ИП + источники'!AG$27:AG$116,'ИП + источники'!$F$27:$F$116,$F119,'ИП + источники'!$AC$27:$AC$116,"уплата процентов по кредитам из нормативной прибыли")</f>
        <v>0</v>
      </c>
      <c r="AG119" s="1148">
        <f ca="1">SUMIFS('ИП + источники'!AH$27:AH$116,'ИП + источники'!$F$27:$F$116,$F119,'ИП + источники'!$AC$27:$AC$116,"уплата процентов по кредитам из нормативной прибыли")</f>
        <v>0</v>
      </c>
      <c r="AH119" s="1022">
        <f t="shared" ca="1" si="9"/>
        <v>0</v>
      </c>
      <c r="AI119" s="1148">
        <f ca="1">SUMIFS('ИП + источники'!AJ$27:AJ$116,'ИП + источники'!$F$27:$F$116,$F119,'ИП + источники'!$AC$27:$AC$116,"уплата процентов по кредитам из нормативной прибыли")</f>
        <v>0</v>
      </c>
      <c r="AJ119" s="1514">
        <f ca="1">SUMIFS('ИП + источники'!AK$27:AK$116,'ИП + источники'!$F$27:$F$116,$F119,'ИП + источники'!$AC$27:$AC$116,"уплата процентов по кредитам из нормативной прибыли")</f>
        <v>0</v>
      </c>
      <c r="AK119" s="1148">
        <f ca="1">SUMIFS('ИП + источники'!AL$27:AL$116,'ИП + источники'!$F$27:$F$116,$F119,'ИП + источники'!$AC$27:$AC$116,"уплата процентов по кредитам из нормативной прибыли")</f>
        <v>0</v>
      </c>
      <c r="AL119" s="1148">
        <f ca="1">SUMIFS('ИП + источники'!AM$27:AM$116,'ИП + источники'!$F$27:$F$116,$F119,'ИП + источники'!$AC$27:$AC$116,"уплата процентов по кредитам из нормативной прибыли")</f>
        <v>0</v>
      </c>
      <c r="AM119" s="1148">
        <f ca="1">SUMIFS('ИП + источники'!AN$27:AN$116,'ИП + источники'!$F$27:$F$116,$F119,'ИП + источники'!$AC$27:$AC$116,"уплата процентов по кредитам из нормативной прибыли")</f>
        <v>0</v>
      </c>
      <c r="AN119" s="1148">
        <f ca="1">SUMIFS('ИП + источники'!AO$27:AO$116,'ИП + источники'!$F$27:$F$116,$F119,'ИП + источники'!$AC$27:$AC$116,"уплата процентов по кредитам из нормативной прибыли")</f>
        <v>0</v>
      </c>
      <c r="AO119" s="1148">
        <f ca="1">SUMIFS('ИП + источники'!AP$27:AP$116,'ИП + источники'!$F$27:$F$116,$F119,'ИП + источники'!$AC$27:$AC$116,"уплата процентов по кредитам из нормативной прибыли")</f>
        <v>0</v>
      </c>
      <c r="AP119" s="1148">
        <f ca="1">SUMIFS('ИП + источники'!AQ$27:AQ$116,'ИП + источники'!$F$27:$F$116,$F119,'ИП + источники'!$AC$27:$AC$116,"уплата процентов по кредитам из нормативной прибыли")</f>
        <v>0</v>
      </c>
      <c r="AQ119" s="1148">
        <f ca="1">SUMIFS('ИП + источники'!AR$27:AR$116,'ИП + источники'!$F$27:$F$116,$F119,'ИП + источники'!$AC$27:$AC$116,"уплата процентов по кредитам из нормативной прибыли")</f>
        <v>0</v>
      </c>
      <c r="AR119" s="1148">
        <f ca="1">SUMIFS('ИП + источники'!AS$27:AS$116,'ИП + источники'!$F$27:$F$116,$F119,'ИП + источники'!$AC$27:$AC$116,"уплата процентов по кредитам из нормативной прибыли")</f>
        <v>0</v>
      </c>
      <c r="AS119" s="1148">
        <f ca="1">SUMIFS('ИП + источники'!AT$27:AT$116,'ИП + источники'!$F$27:$F$116,$F119,'ИП + источники'!$AC$27:$AC$116,"уплата процентов по кредитам из нормативной прибыли")</f>
        <v>0</v>
      </c>
      <c r="AT119" s="1514">
        <f ca="1">SUMIFS('ИП + источники'!AU$27:AU$116,'ИП + источники'!$F$27:$F$116,$F119,'ИП + источники'!$AC$27:$AC$116,"уплата процентов по кредитам из нормативной прибыли")</f>
        <v>0</v>
      </c>
      <c r="AU119" s="1148">
        <f ca="1">SUMIFS('ИП + источники'!AV$27:AV$116,'ИП + источники'!$F$27:$F$116,$F119,'ИП + источники'!$AC$27:$AC$116,"уплата процентов по кредитам из нормативной прибыли")</f>
        <v>0</v>
      </c>
      <c r="AV119" s="1148">
        <f ca="1">SUMIFS('ИП + источники'!AW$27:AW$116,'ИП + источники'!$F$27:$F$116,$F119,'ИП + источники'!$AC$27:$AC$116,"уплата процентов по кредитам из нормативной прибыли")</f>
        <v>0</v>
      </c>
      <c r="AW119" s="1148">
        <f ca="1">SUMIFS('ИП + источники'!AX$27:AX$116,'ИП + источники'!$F$27:$F$116,$F119,'ИП + источники'!$AC$27:$AC$116,"уплата процентов по кредитам из нормативной прибыли")</f>
        <v>0</v>
      </c>
      <c r="AX119" s="1148">
        <f ca="1">SUMIFS('ИП + источники'!AY$27:AY$116,'ИП + источники'!$F$27:$F$116,$F119,'ИП + источники'!$AC$27:$AC$116,"уплата процентов по кредитам из нормативной прибыли")</f>
        <v>0</v>
      </c>
      <c r="AY119" s="1148">
        <f ca="1">SUMIFS('ИП + источники'!AZ$27:AZ$116,'ИП + источники'!$F$27:$F$116,$F119,'ИП + источники'!$AC$27:$AC$116,"уплата процентов по кредитам из нормативной прибыли")</f>
        <v>0</v>
      </c>
      <c r="AZ119" s="1148">
        <f ca="1">SUMIFS('ИП + источники'!BA$27:BA$116,'ИП + источники'!$F$27:$F$116,$F119,'ИП + источники'!$AC$27:$AC$116,"уплата процентов по кредитам из нормативной прибыли")</f>
        <v>0</v>
      </c>
      <c r="BA119" s="1148">
        <f ca="1">SUMIFS('ИП + источники'!BB$27:BB$116,'ИП + источники'!$F$27:$F$116,$F119,'ИП + источники'!$AC$27:$AC$116,"уплата процентов по кредитам из нормативной прибыли")</f>
        <v>0</v>
      </c>
      <c r="BB119" s="1148">
        <f ca="1">SUMIFS('ИП + источники'!BC$27:BC$116,'ИП + источники'!$F$27:$F$116,$F119,'ИП + источники'!$AC$27:$AC$116,"уплата процентов по кредитам из нормативной прибыли")</f>
        <v>0</v>
      </c>
      <c r="BC119" s="1148">
        <f ca="1">SUMIFS('ИП + источники'!BD$27:BD$116,'ИП + источники'!$F$27:$F$116,$F119,'ИП + источники'!$AC$27:$AC$116,"уплата процентов по кредитам из нормативной прибыли")</f>
        <v>0</v>
      </c>
      <c r="BD119" s="1022">
        <f t="shared" ca="1" si="11"/>
        <v>0</v>
      </c>
      <c r="BE119" s="1022">
        <f t="shared" ca="1" si="12"/>
        <v>0</v>
      </c>
      <c r="BF119" s="1022">
        <f t="shared" ca="1" si="13"/>
        <v>0</v>
      </c>
      <c r="BG119" s="1022">
        <f t="shared" ca="1" si="14"/>
        <v>0</v>
      </c>
      <c r="BH119" s="1022">
        <f t="shared" ca="1" si="15"/>
        <v>0</v>
      </c>
      <c r="BI119" s="1022">
        <f t="shared" ca="1" si="16"/>
        <v>0</v>
      </c>
      <c r="BJ119" s="1022">
        <f t="shared" ca="1" si="17"/>
        <v>0</v>
      </c>
      <c r="BK119" s="1022">
        <f t="shared" ca="1" si="18"/>
        <v>0</v>
      </c>
      <c r="BL119" s="1022">
        <f t="shared" ca="1" si="19"/>
        <v>0</v>
      </c>
      <c r="BM119" s="1022">
        <f t="shared" ca="1" si="20"/>
        <v>0</v>
      </c>
      <c r="BN119" s="1145"/>
      <c r="BO119" s="1149" t="str">
        <f ca="1">IF(IFERROR(INDEX('ИП + источники'!$K$28:$L$116,MATCH($F119&amp;"3komm",'ИП + источники'!$K$28:$K$116,0),2),"")=0,"",IFERROR(INDEX('ИП + источники'!$K$28:$L$116,MATCH($F119&amp;"3komm",'ИП + источники'!$K$28:$K$116,0),2),""))</f>
        <v/>
      </c>
      <c r="BP119" s="1145"/>
      <c r="BS119" s="973" t="s">
        <v>2089</v>
      </c>
    </row>
    <row r="120" spans="2:75" ht="14.65" hidden="1" customHeight="1" x14ac:dyDescent="0.15">
      <c r="B120" s="354" t="b" cm="1">
        <f t="array" ref="B120">B119</f>
        <v>1</v>
      </c>
      <c r="C120" s="26"/>
      <c r="D120" s="26"/>
      <c r="E120" s="545">
        <v>15</v>
      </c>
      <c r="F120" s="3" cm="1">
        <f t="array" aca="1" ref="F120" ca="1">OFFSET(E120,-1,1)</f>
        <v>0</v>
      </c>
      <c r="G120" s="26"/>
      <c r="H120" s="26"/>
      <c r="I120" s="26" t="s">
        <v>795</v>
      </c>
      <c r="J120" s="26"/>
      <c r="L120" s="889" t="s">
        <v>598</v>
      </c>
      <c r="M120" s="26"/>
      <c r="N120" s="26"/>
      <c r="O120" s="26"/>
      <c r="P120" s="26"/>
      <c r="Q120" s="26"/>
      <c r="R120" s="26"/>
      <c r="S120" s="26"/>
      <c r="T120" s="388" t="b" cm="1">
        <f t="array" aca="1" ref="T120" ca="1">T119</f>
        <v>0</v>
      </c>
      <c r="U120" s="26"/>
      <c r="V120" s="26"/>
      <c r="W120" s="26"/>
      <c r="X120" s="2066"/>
      <c r="Z120" s="2012"/>
      <c r="AB120" s="218" t="s">
        <v>965</v>
      </c>
      <c r="AC120" s="682" t="s">
        <v>2090</v>
      </c>
      <c r="AD120" s="218" t="s">
        <v>831</v>
      </c>
      <c r="AE120" s="1148">
        <f ca="1">SUMIFS('ИП + источники'!AF$27:AF$116,'ИП + источники'!$F$27:$F$116,$F120,'ИП + источники'!$AC$27:$AC$116,"Прибыль на капвложения")</f>
        <v>0</v>
      </c>
      <c r="AF120" s="1148">
        <f ca="1">SUMIFS('ИП + источники'!AG$27:AG$116,'ИП + источники'!$F$27:$F$116,$F120,'ИП + источники'!$AC$27:$AC$116,"Прибыль на капвложения")</f>
        <v>0</v>
      </c>
      <c r="AG120" s="1148">
        <f ca="1">SUMIFS('ИП + источники'!AH$27:AH$116,'ИП + источники'!$F$27:$F$116,$F120,'ИП + источники'!$AC$27:$AC$116,"Прибыль на капвложения")</f>
        <v>0</v>
      </c>
      <c r="AH120" s="1022">
        <f t="shared" ca="1" si="9"/>
        <v>0</v>
      </c>
      <c r="AI120" s="1148">
        <f ca="1">SUMIFS('ИП + источники'!AJ$27:AJ$116,'ИП + источники'!$F$27:$F$116,$F120,'ИП + источники'!$AC$27:$AC$116,"Прибыль на капвложения")</f>
        <v>0</v>
      </c>
      <c r="AJ120" s="1514">
        <f ca="1">SUMIFS('ИП + источники'!AK$27:AK$116,'ИП + источники'!$F$27:$F$116,$F120,'ИП + источники'!$AC$27:$AC$116,"Прибыль на капвложения")</f>
        <v>0</v>
      </c>
      <c r="AK120" s="1148">
        <f ca="1">SUMIFS('ИП + источники'!AL$27:AL$116,'ИП + источники'!$F$27:$F$116,$F120,'ИП + источники'!$AC$27:$AC$116,"Прибыль на капвложения")</f>
        <v>0</v>
      </c>
      <c r="AL120" s="1148">
        <f ca="1">SUMIFS('ИП + источники'!AM$27:AM$116,'ИП + источники'!$F$27:$F$116,$F120,'ИП + источники'!$AC$27:$AC$116,"Прибыль на капвложения")</f>
        <v>0</v>
      </c>
      <c r="AM120" s="1148">
        <f ca="1">SUMIFS('ИП + источники'!AN$27:AN$116,'ИП + источники'!$F$27:$F$116,$F120,'ИП + источники'!$AC$27:$AC$116,"Прибыль на капвложения")</f>
        <v>0</v>
      </c>
      <c r="AN120" s="1148">
        <f ca="1">SUMIFS('ИП + источники'!AO$27:AO$116,'ИП + источники'!$F$27:$F$116,$F120,'ИП + источники'!$AC$27:$AC$116,"Прибыль на капвложения")</f>
        <v>0</v>
      </c>
      <c r="AO120" s="1148">
        <f ca="1">SUMIFS('ИП + источники'!AP$27:AP$116,'ИП + источники'!$F$27:$F$116,$F120,'ИП + источники'!$AC$27:$AC$116,"Прибыль на капвложения")</f>
        <v>0</v>
      </c>
      <c r="AP120" s="1148">
        <f ca="1">SUMIFS('ИП + источники'!AQ$27:AQ$116,'ИП + источники'!$F$27:$F$116,$F120,'ИП + источники'!$AC$27:$AC$116,"Прибыль на капвложения")</f>
        <v>0</v>
      </c>
      <c r="AQ120" s="1148">
        <f ca="1">SUMIFS('ИП + источники'!AR$27:AR$116,'ИП + источники'!$F$27:$F$116,$F120,'ИП + источники'!$AC$27:$AC$116,"Прибыль на капвложения")</f>
        <v>0</v>
      </c>
      <c r="AR120" s="1148">
        <f ca="1">SUMIFS('ИП + источники'!AS$27:AS$116,'ИП + источники'!$F$27:$F$116,$F120,'ИП + источники'!$AC$27:$AC$116,"Прибыль на капвложения")</f>
        <v>0</v>
      </c>
      <c r="AS120" s="1148">
        <f ca="1">SUMIFS('ИП + источники'!AT$27:AT$116,'ИП + источники'!$F$27:$F$116,$F120,'ИП + источники'!$AC$27:$AC$116,"Прибыль на капвложения")</f>
        <v>0</v>
      </c>
      <c r="AT120" s="1514">
        <f ca="1">SUMIFS('ИП + источники'!AU$27:AU$116,'ИП + источники'!$F$27:$F$116,$F120,'ИП + источники'!$AC$27:$AC$116,"Прибыль на капвложения")</f>
        <v>0</v>
      </c>
      <c r="AU120" s="1148">
        <f ca="1">SUMIFS('ИП + источники'!AV$27:AV$116,'ИП + источники'!$F$27:$F$116,$F120,'ИП + источники'!$AC$27:$AC$116,"Прибыль на капвложения")</f>
        <v>0</v>
      </c>
      <c r="AV120" s="1148">
        <f ca="1">SUMIFS('ИП + источники'!AW$27:AW$116,'ИП + источники'!$F$27:$F$116,$F120,'ИП + источники'!$AC$27:$AC$116,"Прибыль на капвложения")</f>
        <v>0</v>
      </c>
      <c r="AW120" s="1148">
        <f ca="1">SUMIFS('ИП + источники'!AX$27:AX$116,'ИП + источники'!$F$27:$F$116,$F120,'ИП + источники'!$AC$27:$AC$116,"Прибыль на капвложения")</f>
        <v>0</v>
      </c>
      <c r="AX120" s="1148">
        <f ca="1">SUMIFS('ИП + источники'!AY$27:AY$116,'ИП + источники'!$F$27:$F$116,$F120,'ИП + источники'!$AC$27:$AC$116,"Прибыль на капвложения")</f>
        <v>0</v>
      </c>
      <c r="AY120" s="1148">
        <f ca="1">SUMIFS('ИП + источники'!AZ$27:AZ$116,'ИП + источники'!$F$27:$F$116,$F120,'ИП + источники'!$AC$27:$AC$116,"Прибыль на капвложения")</f>
        <v>0</v>
      </c>
      <c r="AZ120" s="1148">
        <f ca="1">SUMIFS('ИП + источники'!BA$27:BA$116,'ИП + источники'!$F$27:$F$116,$F120,'ИП + источники'!$AC$27:$AC$116,"Прибыль на капвложения")</f>
        <v>0</v>
      </c>
      <c r="BA120" s="1148">
        <f ca="1">SUMIFS('ИП + источники'!BB$27:BB$116,'ИП + источники'!$F$27:$F$116,$F120,'ИП + источники'!$AC$27:$AC$116,"Прибыль на капвложения")</f>
        <v>0</v>
      </c>
      <c r="BB120" s="1148">
        <f ca="1">SUMIFS('ИП + источники'!BC$27:BC$116,'ИП + источники'!$F$27:$F$116,$F120,'ИП + источники'!$AC$27:$AC$116,"Прибыль на капвложения")</f>
        <v>0</v>
      </c>
      <c r="BC120" s="1148">
        <f ca="1">SUMIFS('ИП + источники'!BD$27:BD$116,'ИП + источники'!$F$27:$F$116,$F120,'ИП + источники'!$AC$27:$AC$116,"Прибыль на капвложения")</f>
        <v>0</v>
      </c>
      <c r="BD120" s="1022">
        <f t="shared" ca="1" si="11"/>
        <v>0</v>
      </c>
      <c r="BE120" s="1022">
        <f t="shared" ca="1" si="12"/>
        <v>0</v>
      </c>
      <c r="BF120" s="1022">
        <f t="shared" ca="1" si="13"/>
        <v>0</v>
      </c>
      <c r="BG120" s="1022">
        <f t="shared" ca="1" si="14"/>
        <v>0</v>
      </c>
      <c r="BH120" s="1022">
        <f t="shared" ca="1" si="15"/>
        <v>0</v>
      </c>
      <c r="BI120" s="1022">
        <f t="shared" ca="1" si="16"/>
        <v>0</v>
      </c>
      <c r="BJ120" s="1022">
        <f t="shared" ca="1" si="17"/>
        <v>0</v>
      </c>
      <c r="BK120" s="1022">
        <f t="shared" ca="1" si="18"/>
        <v>0</v>
      </c>
      <c r="BL120" s="1022">
        <f t="shared" ca="1" si="19"/>
        <v>0</v>
      </c>
      <c r="BM120" s="1022">
        <f t="shared" ca="1" si="20"/>
        <v>0</v>
      </c>
      <c r="BN120" s="1145"/>
      <c r="BO120" s="1149" t="str">
        <f ca="1">IF(IFERROR(INDEX('ИП + источники'!$K$28:$L$116,MATCH($F120&amp;"1komm",'ИП + источники'!$K$28:$K$116,0),2),"")=0,"",IFERROR(INDEX('ИП + источники'!$K$28:$L$116,MATCH($F120&amp;"1komm",'ИП + источники'!$K$28:$K$116,0),2),""))</f>
        <v/>
      </c>
      <c r="BP120" s="1145"/>
      <c r="BS120" s="973" t="s">
        <v>1793</v>
      </c>
    </row>
    <row r="121" spans="2:75" ht="21.95" hidden="1" customHeight="1" x14ac:dyDescent="0.15">
      <c r="B121" s="354" t="b" cm="1">
        <f t="array" ref="B121">B120</f>
        <v>1</v>
      </c>
      <c r="C121" s="26"/>
      <c r="D121" s="26"/>
      <c r="E121" s="545">
        <v>22.5</v>
      </c>
      <c r="F121" s="3" cm="1">
        <f t="array" aca="1" ref="F121" ca="1">OFFSET(E121,-1,1)</f>
        <v>0</v>
      </c>
      <c r="G121" s="26" t="s">
        <v>2091</v>
      </c>
      <c r="H121" s="26"/>
      <c r="I121" s="26" t="s">
        <v>967</v>
      </c>
      <c r="J121" s="26"/>
      <c r="L121" s="889" t="s">
        <v>602</v>
      </c>
      <c r="M121" s="26"/>
      <c r="N121" s="26"/>
      <c r="O121" s="26"/>
      <c r="P121" s="26"/>
      <c r="Q121" s="26"/>
      <c r="R121" s="26"/>
      <c r="S121" s="26"/>
      <c r="T121" s="388" t="b" cm="1">
        <f t="array" aca="1" ref="T121" ca="1">T120</f>
        <v>0</v>
      </c>
      <c r="U121" s="26"/>
      <c r="V121" s="26"/>
      <c r="W121" s="26"/>
      <c r="X121" s="2066"/>
      <c r="Z121" s="2012"/>
      <c r="AB121" s="218" t="s">
        <v>968</v>
      </c>
      <c r="AC121" s="682" t="s">
        <v>2092</v>
      </c>
      <c r="AD121" s="218" t="s">
        <v>831</v>
      </c>
      <c r="AE121" s="1148"/>
      <c r="AF121" s="1148"/>
      <c r="AG121" s="1148"/>
      <c r="AH121" s="1022">
        <f t="shared" si="9"/>
        <v>0</v>
      </c>
      <c r="AI121" s="1148"/>
      <c r="AJ121" s="1514"/>
      <c r="AK121" s="1148"/>
      <c r="AL121" s="1148"/>
      <c r="AM121" s="1148"/>
      <c r="AN121" s="1148"/>
      <c r="AO121" s="1148"/>
      <c r="AP121" s="1148"/>
      <c r="AQ121" s="1148"/>
      <c r="AR121" s="1148"/>
      <c r="AS121" s="1148"/>
      <c r="AT121" s="1514"/>
      <c r="AU121" s="1148"/>
      <c r="AV121" s="1148"/>
      <c r="AW121" s="1148"/>
      <c r="AX121" s="1148"/>
      <c r="AY121" s="1148"/>
      <c r="AZ121" s="1148"/>
      <c r="BA121" s="1148"/>
      <c r="BB121" s="1148"/>
      <c r="BC121" s="1148"/>
      <c r="BD121" s="1022">
        <f t="shared" si="11"/>
        <v>0</v>
      </c>
      <c r="BE121" s="1022">
        <f t="shared" si="12"/>
        <v>0</v>
      </c>
      <c r="BF121" s="1022">
        <f t="shared" si="13"/>
        <v>0</v>
      </c>
      <c r="BG121" s="1022">
        <f t="shared" si="14"/>
        <v>0</v>
      </c>
      <c r="BH121" s="1022">
        <f t="shared" si="15"/>
        <v>0</v>
      </c>
      <c r="BI121" s="1022">
        <f t="shared" si="16"/>
        <v>0</v>
      </c>
      <c r="BJ121" s="1022">
        <f t="shared" si="17"/>
        <v>0</v>
      </c>
      <c r="BK121" s="1022">
        <f t="shared" si="18"/>
        <v>0</v>
      </c>
      <c r="BL121" s="1022">
        <f t="shared" si="19"/>
        <v>0</v>
      </c>
      <c r="BM121" s="1022">
        <f t="shared" si="20"/>
        <v>0</v>
      </c>
      <c r="BN121" s="1145"/>
      <c r="BO121" s="1145"/>
      <c r="BP121" s="1145"/>
      <c r="BS121" s="973" t="s">
        <v>2093</v>
      </c>
    </row>
    <row r="122" spans="2:75" ht="14.65" hidden="1" customHeight="1" x14ac:dyDescent="0.15">
      <c r="B122" s="354" t="b">
        <f>AND(method_reg="Метод индексации",STATUS_GO="да")</f>
        <v>1</v>
      </c>
      <c r="C122" s="26"/>
      <c r="D122" s="26"/>
      <c r="E122" s="545">
        <v>15</v>
      </c>
      <c r="F122" s="3" cm="1">
        <f t="array" aca="1" ref="F122" ca="1">OFFSET(E122,-1,1)</f>
        <v>0</v>
      </c>
      <c r="G122" s="26" t="s">
        <v>1796</v>
      </c>
      <c r="H122" s="26"/>
      <c r="I122" s="26" t="s">
        <v>544</v>
      </c>
      <c r="J122" s="26"/>
      <c r="L122" s="889" t="s">
        <v>606</v>
      </c>
      <c r="M122" s="26"/>
      <c r="N122" s="26"/>
      <c r="O122" s="26"/>
      <c r="P122" s="26"/>
      <c r="Q122" s="26"/>
      <c r="R122" s="26"/>
      <c r="S122" s="26"/>
      <c r="T122" s="388" t="b" cm="1">
        <f t="array" aca="1" ref="T122" ca="1">T121</f>
        <v>0</v>
      </c>
      <c r="U122" s="26"/>
      <c r="V122" s="26"/>
      <c r="W122" s="26"/>
      <c r="X122" s="2066"/>
      <c r="Z122" s="2012"/>
      <c r="AB122" s="218" t="s">
        <v>446</v>
      </c>
      <c r="AC122" s="374" t="s">
        <v>1796</v>
      </c>
      <c r="AD122" s="218" t="s">
        <v>831</v>
      </c>
      <c r="AE122" s="1148"/>
      <c r="AF122" s="1148"/>
      <c r="AG122" s="1148"/>
      <c r="AH122" s="1022">
        <f t="shared" si="9"/>
        <v>0</v>
      </c>
      <c r="AI122" s="1148"/>
      <c r="AJ122" s="1514"/>
      <c r="AK122" s="1148"/>
      <c r="AL122" s="1148"/>
      <c r="AM122" s="1148"/>
      <c r="AN122" s="1148"/>
      <c r="AO122" s="1148"/>
      <c r="AP122" s="1148"/>
      <c r="AQ122" s="1148"/>
      <c r="AR122" s="1148"/>
      <c r="AS122" s="1148"/>
      <c r="AT122" s="1514"/>
      <c r="AU122" s="1148"/>
      <c r="AV122" s="1148"/>
      <c r="AW122" s="1148"/>
      <c r="AX122" s="1148"/>
      <c r="AY122" s="1148"/>
      <c r="AZ122" s="1148"/>
      <c r="BA122" s="1148"/>
      <c r="BB122" s="1148"/>
      <c r="BC122" s="1148"/>
      <c r="BD122" s="1022">
        <f t="shared" si="11"/>
        <v>0</v>
      </c>
      <c r="BE122" s="1022">
        <f t="shared" si="12"/>
        <v>0</v>
      </c>
      <c r="BF122" s="1022">
        <f t="shared" si="13"/>
        <v>0</v>
      </c>
      <c r="BG122" s="1022">
        <f t="shared" si="14"/>
        <v>0</v>
      </c>
      <c r="BH122" s="1022">
        <f t="shared" si="15"/>
        <v>0</v>
      </c>
      <c r="BI122" s="1022">
        <f t="shared" si="16"/>
        <v>0</v>
      </c>
      <c r="BJ122" s="1022">
        <f t="shared" si="17"/>
        <v>0</v>
      </c>
      <c r="BK122" s="1022">
        <f t="shared" si="18"/>
        <v>0</v>
      </c>
      <c r="BL122" s="1022">
        <f t="shared" si="19"/>
        <v>0</v>
      </c>
      <c r="BM122" s="1022">
        <f t="shared" si="20"/>
        <v>0</v>
      </c>
      <c r="BN122" s="1145"/>
      <c r="BO122" s="1145"/>
      <c r="BP122" s="1145"/>
      <c r="BS122" s="973" t="s">
        <v>1797</v>
      </c>
    </row>
    <row r="123" spans="2:75" ht="14.65" hidden="1" customHeight="1" x14ac:dyDescent="0.15">
      <c r="B123" s="779" t="b">
        <f>method_reg="Метод обеспечения доходности инвестированного капитала"</f>
        <v>0</v>
      </c>
      <c r="C123" s="26"/>
      <c r="D123" s="26"/>
      <c r="E123" s="545">
        <v>15</v>
      </c>
      <c r="F123" s="3" cm="1">
        <f t="array" aca="1" ref="F123" ca="1">OFFSET(E123,-1,1)</f>
        <v>0</v>
      </c>
      <c r="G123" s="26"/>
      <c r="H123" s="26"/>
      <c r="I123" s="26"/>
      <c r="J123" s="26"/>
      <c r="K123" s="26" t="s">
        <v>335</v>
      </c>
      <c r="L123" s="889"/>
      <c r="M123" s="26"/>
      <c r="N123" s="26"/>
      <c r="O123" s="26"/>
      <c r="P123" s="26"/>
      <c r="Q123" s="26"/>
      <c r="R123" s="26"/>
      <c r="S123" s="26"/>
      <c r="T123" s="779" t="b" cm="1">
        <f t="array" aca="1" ref="T123" ca="1">T122</f>
        <v>0</v>
      </c>
      <c r="U123" s="26"/>
      <c r="V123" s="26"/>
      <c r="W123" s="26"/>
      <c r="X123" s="2066"/>
      <c r="Z123" s="2012"/>
      <c r="AB123" s="714" t="s">
        <v>441</v>
      </c>
      <c r="AC123" s="713" t="s">
        <v>2094</v>
      </c>
      <c r="AD123" s="714" t="s">
        <v>831</v>
      </c>
      <c r="AE123" s="1153"/>
      <c r="AF123" s="1153"/>
      <c r="AG123" s="1153"/>
      <c r="AH123" s="681">
        <f t="shared" si="9"/>
        <v>0</v>
      </c>
      <c r="AI123" s="1153"/>
      <c r="AJ123" s="1516"/>
      <c r="AK123" s="1153"/>
      <c r="AL123" s="1153"/>
      <c r="AM123" s="1153"/>
      <c r="AN123" s="1153"/>
      <c r="AO123" s="1153"/>
      <c r="AP123" s="1153"/>
      <c r="AQ123" s="1153"/>
      <c r="AR123" s="1153"/>
      <c r="AS123" s="1153"/>
      <c r="AT123" s="1516"/>
      <c r="AU123" s="1153"/>
      <c r="AV123" s="1153"/>
      <c r="AW123" s="1153"/>
      <c r="AX123" s="1153"/>
      <c r="AY123" s="1153"/>
      <c r="AZ123" s="1153"/>
      <c r="BA123" s="1153"/>
      <c r="BB123" s="1153"/>
      <c r="BC123" s="1153"/>
      <c r="BD123" s="681">
        <f t="shared" si="11"/>
        <v>0</v>
      </c>
      <c r="BE123" s="681">
        <f t="shared" si="12"/>
        <v>0</v>
      </c>
      <c r="BF123" s="681">
        <f t="shared" si="13"/>
        <v>0</v>
      </c>
      <c r="BG123" s="681">
        <f t="shared" si="14"/>
        <v>0</v>
      </c>
      <c r="BH123" s="681">
        <f t="shared" si="15"/>
        <v>0</v>
      </c>
      <c r="BI123" s="681">
        <f t="shared" si="16"/>
        <v>0</v>
      </c>
      <c r="BJ123" s="681">
        <f t="shared" si="17"/>
        <v>0</v>
      </c>
      <c r="BK123" s="681">
        <f t="shared" si="18"/>
        <v>0</v>
      </c>
      <c r="BL123" s="681">
        <f t="shared" si="19"/>
        <v>0</v>
      </c>
      <c r="BM123" s="681">
        <f t="shared" si="20"/>
        <v>0</v>
      </c>
      <c r="BN123" s="1154"/>
      <c r="BO123" s="1154"/>
      <c r="BP123" s="1154"/>
      <c r="BS123" s="973" t="s">
        <v>2095</v>
      </c>
    </row>
    <row r="124" spans="2:75" ht="14.65" hidden="1" customHeight="1" x14ac:dyDescent="0.15">
      <c r="B124" s="779" t="b" cm="1">
        <f t="array" ref="B124">B123</f>
        <v>0</v>
      </c>
      <c r="C124" s="26"/>
      <c r="D124" s="26"/>
      <c r="E124" s="545">
        <v>15</v>
      </c>
      <c r="F124" s="3" cm="1">
        <f t="array" aca="1" ref="F124" ca="1">OFFSET(E124,-1,1)</f>
        <v>0</v>
      </c>
      <c r="G124" s="26"/>
      <c r="H124" s="26"/>
      <c r="I124" s="26"/>
      <c r="J124" s="26"/>
      <c r="K124" s="26" t="s">
        <v>565</v>
      </c>
      <c r="L124" s="889"/>
      <c r="M124" s="26"/>
      <c r="N124" s="26"/>
      <c r="O124" s="26"/>
      <c r="P124" s="26"/>
      <c r="Q124" s="26"/>
      <c r="R124" s="26"/>
      <c r="S124" s="26"/>
      <c r="T124" s="779" t="b" cm="1">
        <f t="array" aca="1" ref="T124" ca="1">T123</f>
        <v>0</v>
      </c>
      <c r="U124" s="26"/>
      <c r="V124" s="26"/>
      <c r="W124" s="26"/>
      <c r="X124" s="2066"/>
      <c r="Z124" s="2012"/>
      <c r="AB124" s="717" t="s">
        <v>700</v>
      </c>
      <c r="AC124" s="716" t="s">
        <v>2096</v>
      </c>
      <c r="AD124" s="717" t="s">
        <v>831</v>
      </c>
      <c r="AE124" s="1155"/>
      <c r="AF124" s="1155"/>
      <c r="AG124" s="1155"/>
      <c r="AH124" s="683"/>
      <c r="AI124" s="1155"/>
      <c r="AJ124" s="1517"/>
      <c r="AK124" s="1155"/>
      <c r="AL124" s="1155"/>
      <c r="AM124" s="1155"/>
      <c r="AN124" s="1155"/>
      <c r="AO124" s="1155"/>
      <c r="AP124" s="1155"/>
      <c r="AQ124" s="1155"/>
      <c r="AR124" s="1155"/>
      <c r="AS124" s="1155"/>
      <c r="AT124" s="1517"/>
      <c r="AU124" s="1155"/>
      <c r="AV124" s="1155"/>
      <c r="AW124" s="1155"/>
      <c r="AX124" s="1155"/>
      <c r="AY124" s="1155"/>
      <c r="AZ124" s="1155"/>
      <c r="BA124" s="1155"/>
      <c r="BB124" s="1155"/>
      <c r="BC124" s="1155"/>
      <c r="BD124" s="683"/>
      <c r="BE124" s="683"/>
      <c r="BF124" s="683"/>
      <c r="BG124" s="683"/>
      <c r="BH124" s="683"/>
      <c r="BI124" s="683"/>
      <c r="BJ124" s="683"/>
      <c r="BK124" s="683"/>
      <c r="BL124" s="683"/>
      <c r="BM124" s="683"/>
      <c r="BN124" s="1156"/>
      <c r="BO124" s="1156"/>
      <c r="BP124" s="1156"/>
      <c r="BS124" s="973" t="s">
        <v>2097</v>
      </c>
    </row>
    <row r="125" spans="2:75" ht="14.65" hidden="1" customHeight="1" x14ac:dyDescent="0.15">
      <c r="B125" s="779" t="b" cm="1">
        <f t="array" ref="B125">B124</f>
        <v>0</v>
      </c>
      <c r="C125" s="26"/>
      <c r="D125" s="26"/>
      <c r="E125" s="545">
        <v>15</v>
      </c>
      <c r="F125" s="3" cm="1">
        <f t="array" aca="1" ref="F125" ca="1">OFFSET(E125,-1,1)</f>
        <v>0</v>
      </c>
      <c r="G125" s="26"/>
      <c r="H125" s="26"/>
      <c r="I125" s="26"/>
      <c r="J125" s="26"/>
      <c r="K125" s="26" t="s">
        <v>569</v>
      </c>
      <c r="L125" s="889"/>
      <c r="M125" s="26"/>
      <c r="N125" s="26"/>
      <c r="O125" s="26"/>
      <c r="P125" s="26"/>
      <c r="Q125" s="26"/>
      <c r="R125" s="26"/>
      <c r="S125" s="26"/>
      <c r="T125" s="779" t="b" cm="1">
        <f t="array" aca="1" ref="T125" ca="1">T124</f>
        <v>0</v>
      </c>
      <c r="U125" s="26"/>
      <c r="V125" s="26"/>
      <c r="W125" s="26"/>
      <c r="X125" s="2066"/>
      <c r="Z125" s="2012"/>
      <c r="AB125" s="717" t="s">
        <v>703</v>
      </c>
      <c r="AC125" s="716" t="s">
        <v>2098</v>
      </c>
      <c r="AD125" s="717" t="s">
        <v>2099</v>
      </c>
      <c r="AE125" s="1155"/>
      <c r="AF125" s="1155"/>
      <c r="AG125" s="1155"/>
      <c r="AH125" s="683"/>
      <c r="AI125" s="1155"/>
      <c r="AJ125" s="1517"/>
      <c r="AK125" s="1155"/>
      <c r="AL125" s="1155"/>
      <c r="AM125" s="1155"/>
      <c r="AN125" s="1155"/>
      <c r="AO125" s="1155"/>
      <c r="AP125" s="1155"/>
      <c r="AQ125" s="1155"/>
      <c r="AR125" s="1155"/>
      <c r="AS125" s="1155"/>
      <c r="AT125" s="1517"/>
      <c r="AU125" s="1155"/>
      <c r="AV125" s="1155"/>
      <c r="AW125" s="1155"/>
      <c r="AX125" s="1155"/>
      <c r="AY125" s="1155"/>
      <c r="AZ125" s="1155"/>
      <c r="BA125" s="1155"/>
      <c r="BB125" s="1155"/>
      <c r="BC125" s="1155"/>
      <c r="BD125" s="683"/>
      <c r="BE125" s="683"/>
      <c r="BF125" s="683"/>
      <c r="BG125" s="683"/>
      <c r="BH125" s="683"/>
      <c r="BI125" s="683"/>
      <c r="BJ125" s="683"/>
      <c r="BK125" s="683"/>
      <c r="BL125" s="683"/>
      <c r="BM125" s="683"/>
      <c r="BN125" s="1156"/>
      <c r="BO125" s="1156"/>
      <c r="BP125" s="1156"/>
      <c r="BS125" s="973" t="s">
        <v>2100</v>
      </c>
    </row>
    <row r="126" spans="2:75" ht="14.65" hidden="1" customHeight="1" x14ac:dyDescent="0.15">
      <c r="B126" s="779" t="b" cm="1">
        <f t="array" ref="B126">B125</f>
        <v>0</v>
      </c>
      <c r="C126" s="26"/>
      <c r="D126" s="26"/>
      <c r="E126" s="545">
        <v>15</v>
      </c>
      <c r="F126" s="3" cm="1">
        <f t="array" aca="1" ref="F126" ca="1">OFFSET(E126,-1,1)</f>
        <v>0</v>
      </c>
      <c r="G126" s="26"/>
      <c r="H126" s="26"/>
      <c r="I126" s="26"/>
      <c r="J126" s="26"/>
      <c r="K126" s="26" t="s">
        <v>334</v>
      </c>
      <c r="L126" s="889"/>
      <c r="M126" s="26"/>
      <c r="N126" s="26"/>
      <c r="O126" s="26"/>
      <c r="P126" s="26"/>
      <c r="Q126" s="26"/>
      <c r="R126" s="26"/>
      <c r="S126" s="26"/>
      <c r="T126" s="779" t="b" cm="1">
        <f t="array" aca="1" ref="T126" ca="1">T125</f>
        <v>0</v>
      </c>
      <c r="U126" s="26"/>
      <c r="V126" s="26"/>
      <c r="W126" s="26"/>
      <c r="X126" s="2066"/>
      <c r="Z126" s="2012"/>
      <c r="AB126" s="714" t="s">
        <v>444</v>
      </c>
      <c r="AC126" s="713" t="s">
        <v>2101</v>
      </c>
      <c r="AD126" s="714" t="s">
        <v>831</v>
      </c>
      <c r="AE126" s="1153"/>
      <c r="AF126" s="1153"/>
      <c r="AG126" s="1153"/>
      <c r="AH126" s="681">
        <f>AG126-AF126</f>
        <v>0</v>
      </c>
      <c r="AI126" s="1153"/>
      <c r="AJ126" s="1516"/>
      <c r="AK126" s="1153"/>
      <c r="AL126" s="1153"/>
      <c r="AM126" s="1153"/>
      <c r="AN126" s="1153"/>
      <c r="AO126" s="1153"/>
      <c r="AP126" s="1153"/>
      <c r="AQ126" s="1153"/>
      <c r="AR126" s="1153"/>
      <c r="AS126" s="1153"/>
      <c r="AT126" s="1516"/>
      <c r="AU126" s="1153"/>
      <c r="AV126" s="1153"/>
      <c r="AW126" s="1153"/>
      <c r="AX126" s="1153"/>
      <c r="AY126" s="1153"/>
      <c r="AZ126" s="1153"/>
      <c r="BA126" s="1153"/>
      <c r="BB126" s="1153"/>
      <c r="BC126" s="1153"/>
      <c r="BD126" s="681">
        <f>IF(AI126=0,0,(AT126-AI126)/AI126*100)</f>
        <v>0</v>
      </c>
      <c r="BE126" s="681">
        <f t="shared" ref="BE126:BM126" si="25">IF(AT126=0,0,(AU126-AT126)/AT126*100)</f>
        <v>0</v>
      </c>
      <c r="BF126" s="681">
        <f t="shared" si="25"/>
        <v>0</v>
      </c>
      <c r="BG126" s="681">
        <f t="shared" si="25"/>
        <v>0</v>
      </c>
      <c r="BH126" s="681">
        <f t="shared" si="25"/>
        <v>0</v>
      </c>
      <c r="BI126" s="681">
        <f t="shared" si="25"/>
        <v>0</v>
      </c>
      <c r="BJ126" s="681">
        <f t="shared" si="25"/>
        <v>0</v>
      </c>
      <c r="BK126" s="681">
        <f t="shared" si="25"/>
        <v>0</v>
      </c>
      <c r="BL126" s="681">
        <f t="shared" si="25"/>
        <v>0</v>
      </c>
      <c r="BM126" s="681">
        <f t="shared" si="25"/>
        <v>0</v>
      </c>
      <c r="BN126" s="1154"/>
      <c r="BO126" s="1154"/>
      <c r="BP126" s="1154"/>
      <c r="BS126" s="973" t="s">
        <v>2102</v>
      </c>
    </row>
    <row r="127" spans="2:75" ht="14.65" hidden="1" customHeight="1" x14ac:dyDescent="0.15">
      <c r="B127" s="779" t="b" cm="1">
        <f t="array" ref="B127">B126</f>
        <v>0</v>
      </c>
      <c r="C127" s="26"/>
      <c r="D127" s="26"/>
      <c r="E127" s="545">
        <v>15</v>
      </c>
      <c r="F127" s="3" cm="1">
        <f t="array" aca="1" ref="F127" ca="1">OFFSET(E127,-1,1)</f>
        <v>0</v>
      </c>
      <c r="G127" s="26"/>
      <c r="H127" s="26"/>
      <c r="I127" s="26"/>
      <c r="J127" s="26"/>
      <c r="K127" s="26" t="s">
        <v>579</v>
      </c>
      <c r="L127" s="889"/>
      <c r="M127" s="26"/>
      <c r="N127" s="26"/>
      <c r="O127" s="26"/>
      <c r="P127" s="26"/>
      <c r="Q127" s="26"/>
      <c r="R127" s="26"/>
      <c r="S127" s="26"/>
      <c r="T127" s="779" t="b" cm="1">
        <f t="array" aca="1" ref="T127" ca="1">T126</f>
        <v>0</v>
      </c>
      <c r="U127" s="26"/>
      <c r="V127" s="26"/>
      <c r="W127" s="26"/>
      <c r="X127" s="2066"/>
      <c r="Z127" s="2012"/>
      <c r="AB127" s="717" t="s">
        <v>707</v>
      </c>
      <c r="AC127" s="716" t="s">
        <v>2103</v>
      </c>
      <c r="AD127" s="717" t="s">
        <v>831</v>
      </c>
      <c r="AE127" s="1155"/>
      <c r="AF127" s="1155"/>
      <c r="AG127" s="1155"/>
      <c r="AH127" s="683"/>
      <c r="AI127" s="1155"/>
      <c r="AJ127" s="1517"/>
      <c r="AK127" s="1155"/>
      <c r="AL127" s="1155"/>
      <c r="AM127" s="1155"/>
      <c r="AN127" s="1155"/>
      <c r="AO127" s="1155"/>
      <c r="AP127" s="1155"/>
      <c r="AQ127" s="1155"/>
      <c r="AR127" s="1155"/>
      <c r="AS127" s="1155"/>
      <c r="AT127" s="1517"/>
      <c r="AU127" s="1155"/>
      <c r="AV127" s="1155"/>
      <c r="AW127" s="1155"/>
      <c r="AX127" s="1155"/>
      <c r="AY127" s="1155"/>
      <c r="AZ127" s="1155"/>
      <c r="BA127" s="1155"/>
      <c r="BB127" s="1155"/>
      <c r="BC127" s="1155"/>
      <c r="BD127" s="683"/>
      <c r="BE127" s="683"/>
      <c r="BF127" s="683"/>
      <c r="BG127" s="683"/>
      <c r="BH127" s="683"/>
      <c r="BI127" s="683"/>
      <c r="BJ127" s="683"/>
      <c r="BK127" s="683"/>
      <c r="BL127" s="683"/>
      <c r="BM127" s="683"/>
      <c r="BN127" s="1156"/>
      <c r="BO127" s="1156"/>
      <c r="BP127" s="1156"/>
      <c r="BS127" s="973" t="s">
        <v>2104</v>
      </c>
    </row>
    <row r="128" spans="2:75" ht="14.65" hidden="1" customHeight="1" x14ac:dyDescent="0.15">
      <c r="B128" s="779" t="b" cm="1">
        <f t="array" ref="B128">B127</f>
        <v>0</v>
      </c>
      <c r="C128" s="26"/>
      <c r="D128" s="26"/>
      <c r="E128" s="545">
        <v>15</v>
      </c>
      <c r="F128" s="3" cm="1">
        <f t="array" aca="1" ref="F128" ca="1">OFFSET(E128,-1,1)</f>
        <v>0</v>
      </c>
      <c r="G128" s="26"/>
      <c r="H128" s="26"/>
      <c r="I128" s="26"/>
      <c r="J128" s="26"/>
      <c r="K128" s="26" t="s">
        <v>583</v>
      </c>
      <c r="L128" s="889"/>
      <c r="M128" s="26"/>
      <c r="N128" s="26"/>
      <c r="O128" s="26"/>
      <c r="P128" s="26"/>
      <c r="Q128" s="26"/>
      <c r="R128" s="26"/>
      <c r="S128" s="26"/>
      <c r="T128" s="779" t="b" cm="1">
        <f t="array" aca="1" ref="T128" ca="1">T127</f>
        <v>0</v>
      </c>
      <c r="U128" s="26"/>
      <c r="V128" s="26"/>
      <c r="W128" s="26"/>
      <c r="X128" s="2066"/>
      <c r="Z128" s="2012"/>
      <c r="AB128" s="717" t="s">
        <v>710</v>
      </c>
      <c r="AC128" s="716" t="s">
        <v>2105</v>
      </c>
      <c r="AD128" s="717" t="s">
        <v>490</v>
      </c>
      <c r="AE128" s="1155"/>
      <c r="AF128" s="1155"/>
      <c r="AG128" s="1155"/>
      <c r="AH128" s="683"/>
      <c r="AI128" s="1155"/>
      <c r="AJ128" s="1517"/>
      <c r="AK128" s="1155"/>
      <c r="AL128" s="1155"/>
      <c r="AM128" s="1155"/>
      <c r="AN128" s="1155"/>
      <c r="AO128" s="1155"/>
      <c r="AP128" s="1155"/>
      <c r="AQ128" s="1155"/>
      <c r="AR128" s="1155"/>
      <c r="AS128" s="1155"/>
      <c r="AT128" s="1517"/>
      <c r="AU128" s="1155"/>
      <c r="AV128" s="1155"/>
      <c r="AW128" s="1155"/>
      <c r="AX128" s="1155"/>
      <c r="AY128" s="1155"/>
      <c r="AZ128" s="1155"/>
      <c r="BA128" s="1155"/>
      <c r="BB128" s="1155"/>
      <c r="BC128" s="1155"/>
      <c r="BD128" s="683"/>
      <c r="BE128" s="683"/>
      <c r="BF128" s="683"/>
      <c r="BG128" s="683"/>
      <c r="BH128" s="683"/>
      <c r="BI128" s="683"/>
      <c r="BJ128" s="683"/>
      <c r="BK128" s="683"/>
      <c r="BL128" s="683"/>
      <c r="BM128" s="683"/>
      <c r="BN128" s="1156"/>
      <c r="BO128" s="1156"/>
      <c r="BP128" s="1156"/>
      <c r="BS128" s="973" t="s">
        <v>2106</v>
      </c>
    </row>
    <row r="129" spans="2:75" ht="14.65" hidden="1" customHeight="1" x14ac:dyDescent="0.15">
      <c r="B129" s="779" t="b" cm="1">
        <f t="array" ref="B129">B128</f>
        <v>0</v>
      </c>
      <c r="C129" s="26"/>
      <c r="D129" s="26"/>
      <c r="E129" s="545">
        <v>15</v>
      </c>
      <c r="F129" s="3" cm="1">
        <f t="array" aca="1" ref="F129" ca="1">OFFSET(E129,-1,1)</f>
        <v>0</v>
      </c>
      <c r="G129" s="26"/>
      <c r="H129" s="26"/>
      <c r="I129" s="26"/>
      <c r="J129" s="26"/>
      <c r="K129" s="26" t="s">
        <v>795</v>
      </c>
      <c r="L129" s="889"/>
      <c r="M129" s="26"/>
      <c r="N129" s="26"/>
      <c r="O129" s="26"/>
      <c r="P129" s="26"/>
      <c r="Q129" s="26"/>
      <c r="R129" s="26"/>
      <c r="S129" s="26"/>
      <c r="T129" s="779" t="b" cm="1">
        <f t="array" aca="1" ref="T129" ca="1">T128</f>
        <v>0</v>
      </c>
      <c r="U129" s="26"/>
      <c r="V129" s="26"/>
      <c r="W129" s="26"/>
      <c r="X129" s="2066"/>
      <c r="Z129" s="2012"/>
      <c r="AB129" s="717" t="s">
        <v>965</v>
      </c>
      <c r="AC129" s="716" t="s">
        <v>2107</v>
      </c>
      <c r="AD129" s="717" t="s">
        <v>831</v>
      </c>
      <c r="AE129" s="1155"/>
      <c r="AF129" s="1155"/>
      <c r="AG129" s="1155"/>
      <c r="AH129" s="683"/>
      <c r="AI129" s="1155"/>
      <c r="AJ129" s="1517"/>
      <c r="AK129" s="1155"/>
      <c r="AL129" s="1155"/>
      <c r="AM129" s="1155"/>
      <c r="AN129" s="1155"/>
      <c r="AO129" s="1155"/>
      <c r="AP129" s="1155"/>
      <c r="AQ129" s="1155"/>
      <c r="AR129" s="1155"/>
      <c r="AS129" s="1155"/>
      <c r="AT129" s="1517"/>
      <c r="AU129" s="1155"/>
      <c r="AV129" s="1155"/>
      <c r="AW129" s="1155"/>
      <c r="AX129" s="1155"/>
      <c r="AY129" s="1155"/>
      <c r="AZ129" s="1155"/>
      <c r="BA129" s="1155"/>
      <c r="BB129" s="1155"/>
      <c r="BC129" s="1155"/>
      <c r="BD129" s="683"/>
      <c r="BE129" s="683"/>
      <c r="BF129" s="683"/>
      <c r="BG129" s="683"/>
      <c r="BH129" s="683"/>
      <c r="BI129" s="683"/>
      <c r="BJ129" s="683"/>
      <c r="BK129" s="683"/>
      <c r="BL129" s="683"/>
      <c r="BM129" s="683"/>
      <c r="BN129" s="1156"/>
      <c r="BO129" s="1156"/>
      <c r="BP129" s="1156"/>
      <c r="BS129" s="973" t="s">
        <v>2108</v>
      </c>
    </row>
    <row r="130" spans="2:75" ht="14.65" hidden="1" customHeight="1" x14ac:dyDescent="0.15">
      <c r="B130" s="779" t="b" cm="1">
        <f t="array" ref="B130">B129</f>
        <v>0</v>
      </c>
      <c r="C130" s="26"/>
      <c r="D130" s="26"/>
      <c r="E130" s="545">
        <v>15</v>
      </c>
      <c r="F130" s="3" cm="1">
        <f t="array" aca="1" ref="F130" ca="1">OFFSET(E130,-1,1)</f>
        <v>0</v>
      </c>
      <c r="G130" s="26"/>
      <c r="H130" s="26"/>
      <c r="I130" s="26"/>
      <c r="J130" s="26"/>
      <c r="K130" s="26" t="s">
        <v>967</v>
      </c>
      <c r="L130" s="889"/>
      <c r="M130" s="26"/>
      <c r="N130" s="26"/>
      <c r="O130" s="26"/>
      <c r="P130" s="26"/>
      <c r="Q130" s="26"/>
      <c r="R130" s="26"/>
      <c r="S130" s="26"/>
      <c r="T130" s="779" t="b" cm="1">
        <f t="array" aca="1" ref="T130" ca="1">T129</f>
        <v>0</v>
      </c>
      <c r="U130" s="26"/>
      <c r="V130" s="26"/>
      <c r="W130" s="26"/>
      <c r="X130" s="2066"/>
      <c r="Z130" s="2012"/>
      <c r="AB130" s="717" t="s">
        <v>968</v>
      </c>
      <c r="AC130" s="716" t="s">
        <v>2109</v>
      </c>
      <c r="AD130" s="717" t="s">
        <v>831</v>
      </c>
      <c r="AE130" s="1155"/>
      <c r="AF130" s="1155"/>
      <c r="AG130" s="1155"/>
      <c r="AH130" s="683"/>
      <c r="AI130" s="1155"/>
      <c r="AJ130" s="1517"/>
      <c r="AK130" s="1155"/>
      <c r="AL130" s="1155"/>
      <c r="AM130" s="1155"/>
      <c r="AN130" s="1155"/>
      <c r="AO130" s="1155"/>
      <c r="AP130" s="1155"/>
      <c r="AQ130" s="1155"/>
      <c r="AR130" s="1155"/>
      <c r="AS130" s="1155"/>
      <c r="AT130" s="1517"/>
      <c r="AU130" s="1155"/>
      <c r="AV130" s="1155"/>
      <c r="AW130" s="1155"/>
      <c r="AX130" s="1155"/>
      <c r="AY130" s="1155"/>
      <c r="AZ130" s="1155"/>
      <c r="BA130" s="1155"/>
      <c r="BB130" s="1155"/>
      <c r="BC130" s="1155"/>
      <c r="BD130" s="683"/>
      <c r="BE130" s="683"/>
      <c r="BF130" s="683"/>
      <c r="BG130" s="683"/>
      <c r="BH130" s="683"/>
      <c r="BI130" s="683"/>
      <c r="BJ130" s="683"/>
      <c r="BK130" s="683"/>
      <c r="BL130" s="683"/>
      <c r="BM130" s="683"/>
      <c r="BN130" s="1156"/>
      <c r="BO130" s="1156"/>
      <c r="BP130" s="1156"/>
      <c r="BS130" s="973" t="s">
        <v>2110</v>
      </c>
    </row>
    <row r="131" spans="2:75" ht="14.65" hidden="1" customHeight="1" x14ac:dyDescent="0.15">
      <c r="B131" s="779" t="b" cm="1">
        <f t="array" ref="B131">B130</f>
        <v>0</v>
      </c>
      <c r="C131" s="26"/>
      <c r="D131" s="26"/>
      <c r="E131" s="545">
        <v>15</v>
      </c>
      <c r="F131" s="3" cm="1">
        <f t="array" aca="1" ref="F131" ca="1">OFFSET(E131,-1,1)</f>
        <v>0</v>
      </c>
      <c r="G131" s="26"/>
      <c r="H131" s="26"/>
      <c r="I131" s="26"/>
      <c r="J131" s="26"/>
      <c r="K131" s="26" t="s">
        <v>2111</v>
      </c>
      <c r="L131" s="889"/>
      <c r="M131" s="26"/>
      <c r="N131" s="26"/>
      <c r="O131" s="26"/>
      <c r="P131" s="26"/>
      <c r="Q131" s="26"/>
      <c r="R131" s="26"/>
      <c r="S131" s="26"/>
      <c r="T131" s="779" t="b" cm="1">
        <f t="array" aca="1" ref="T131" ca="1">T130</f>
        <v>0</v>
      </c>
      <c r="U131" s="26"/>
      <c r="V131" s="26"/>
      <c r="W131" s="26"/>
      <c r="X131" s="2066"/>
      <c r="Z131" s="2012"/>
      <c r="AB131" s="717" t="s">
        <v>2112</v>
      </c>
      <c r="AC131" s="718" t="s">
        <v>2113</v>
      </c>
      <c r="AD131" s="717" t="s">
        <v>490</v>
      </c>
      <c r="AE131" s="1155"/>
      <c r="AF131" s="1155"/>
      <c r="AG131" s="1155"/>
      <c r="AH131" s="683"/>
      <c r="AI131" s="1155"/>
      <c r="AJ131" s="1517"/>
      <c r="AK131" s="1155"/>
      <c r="AL131" s="1155"/>
      <c r="AM131" s="1155"/>
      <c r="AN131" s="1155"/>
      <c r="AO131" s="1155"/>
      <c r="AP131" s="1155"/>
      <c r="AQ131" s="1155"/>
      <c r="AR131" s="1155"/>
      <c r="AS131" s="1155"/>
      <c r="AT131" s="1517"/>
      <c r="AU131" s="1155"/>
      <c r="AV131" s="1155"/>
      <c r="AW131" s="1155"/>
      <c r="AX131" s="1155"/>
      <c r="AY131" s="1155"/>
      <c r="AZ131" s="1155"/>
      <c r="BA131" s="1155"/>
      <c r="BB131" s="1155"/>
      <c r="BC131" s="1155"/>
      <c r="BD131" s="683"/>
      <c r="BE131" s="683"/>
      <c r="BF131" s="683"/>
      <c r="BG131" s="683"/>
      <c r="BH131" s="683"/>
      <c r="BI131" s="683"/>
      <c r="BJ131" s="683"/>
      <c r="BK131" s="683"/>
      <c r="BL131" s="683"/>
      <c r="BM131" s="683"/>
      <c r="BN131" s="1156"/>
      <c r="BO131" s="1156"/>
      <c r="BP131" s="1156"/>
      <c r="BS131" s="973" t="s">
        <v>2114</v>
      </c>
    </row>
    <row r="132" spans="2:75" ht="14.65" hidden="1" customHeight="1" x14ac:dyDescent="0.15">
      <c r="B132" s="779" t="b" cm="1">
        <f t="array" ref="B132">B131</f>
        <v>0</v>
      </c>
      <c r="C132" s="26"/>
      <c r="D132" s="26"/>
      <c r="E132" s="545">
        <v>15</v>
      </c>
      <c r="F132" s="3" cm="1">
        <f t="array" aca="1" ref="F132" ca="1">OFFSET(E132,-1,1)</f>
        <v>0</v>
      </c>
      <c r="G132" s="26"/>
      <c r="H132" s="26"/>
      <c r="I132" s="26"/>
      <c r="J132" s="26"/>
      <c r="K132" s="26" t="s">
        <v>970</v>
      </c>
      <c r="L132" s="889"/>
      <c r="M132" s="26"/>
      <c r="N132" s="26"/>
      <c r="O132" s="26"/>
      <c r="P132" s="26"/>
      <c r="Q132" s="26"/>
      <c r="R132" s="26"/>
      <c r="S132" s="26"/>
      <c r="T132" s="779" t="b" cm="1">
        <f t="array" aca="1" ref="T132" ca="1">T131</f>
        <v>0</v>
      </c>
      <c r="U132" s="26"/>
      <c r="V132" s="26"/>
      <c r="W132" s="26"/>
      <c r="X132" s="2066"/>
      <c r="Z132" s="2012"/>
      <c r="AB132" s="717" t="s">
        <v>971</v>
      </c>
      <c r="AC132" s="716" t="s">
        <v>2115</v>
      </c>
      <c r="AD132" s="717" t="s">
        <v>490</v>
      </c>
      <c r="AE132" s="1155"/>
      <c r="AF132" s="1155"/>
      <c r="AG132" s="1155"/>
      <c r="AH132" s="683"/>
      <c r="AI132" s="1155"/>
      <c r="AJ132" s="1517"/>
      <c r="AK132" s="1155"/>
      <c r="AL132" s="1155"/>
      <c r="AM132" s="1155"/>
      <c r="AN132" s="1155"/>
      <c r="AO132" s="1155"/>
      <c r="AP132" s="1155"/>
      <c r="AQ132" s="1155"/>
      <c r="AR132" s="1155"/>
      <c r="AS132" s="1155"/>
      <c r="AT132" s="1517"/>
      <c r="AU132" s="1155"/>
      <c r="AV132" s="1155"/>
      <c r="AW132" s="1155"/>
      <c r="AX132" s="1155"/>
      <c r="AY132" s="1155"/>
      <c r="AZ132" s="1155"/>
      <c r="BA132" s="1155"/>
      <c r="BB132" s="1155"/>
      <c r="BC132" s="1155"/>
      <c r="BD132" s="683"/>
      <c r="BE132" s="683"/>
      <c r="BF132" s="683"/>
      <c r="BG132" s="683"/>
      <c r="BH132" s="683"/>
      <c r="BI132" s="683"/>
      <c r="BJ132" s="683"/>
      <c r="BK132" s="683"/>
      <c r="BL132" s="683"/>
      <c r="BM132" s="683"/>
      <c r="BN132" s="1156"/>
      <c r="BO132" s="1156"/>
      <c r="BP132" s="1156"/>
      <c r="BS132" s="973" t="s">
        <v>2116</v>
      </c>
    </row>
    <row r="133" spans="2:75" ht="14.65" hidden="1" customHeight="1" x14ac:dyDescent="0.15">
      <c r="B133" s="779" t="b" cm="1">
        <f t="array" ref="B133">B132</f>
        <v>0</v>
      </c>
      <c r="C133" s="26"/>
      <c r="D133" s="26"/>
      <c r="E133" s="545">
        <v>15</v>
      </c>
      <c r="F133" s="3" cm="1">
        <f t="array" aca="1" ref="F133" ca="1">OFFSET(E133,-1,1)</f>
        <v>0</v>
      </c>
      <c r="G133" s="26"/>
      <c r="H133" s="26"/>
      <c r="I133" s="26"/>
      <c r="J133" s="26"/>
      <c r="K133" s="26" t="s">
        <v>2117</v>
      </c>
      <c r="L133" s="889"/>
      <c r="M133" s="26"/>
      <c r="N133" s="26"/>
      <c r="O133" s="26"/>
      <c r="P133" s="26"/>
      <c r="Q133" s="26"/>
      <c r="R133" s="26"/>
      <c r="S133" s="26"/>
      <c r="T133" s="779" t="b" cm="1">
        <f t="array" aca="1" ref="T133" ca="1">T132</f>
        <v>0</v>
      </c>
      <c r="U133" s="26"/>
      <c r="V133" s="26"/>
      <c r="W133" s="26"/>
      <c r="X133" s="2066"/>
      <c r="Z133" s="2012"/>
      <c r="AB133" s="717" t="s">
        <v>2118</v>
      </c>
      <c r="AC133" s="718" t="s">
        <v>2119</v>
      </c>
      <c r="AD133" s="717" t="s">
        <v>490</v>
      </c>
      <c r="AE133" s="1155"/>
      <c r="AF133" s="1155"/>
      <c r="AG133" s="1155"/>
      <c r="AH133" s="683"/>
      <c r="AI133" s="1155"/>
      <c r="AJ133" s="1517"/>
      <c r="AK133" s="1155"/>
      <c r="AL133" s="1155"/>
      <c r="AM133" s="1155"/>
      <c r="AN133" s="1155"/>
      <c r="AO133" s="1155"/>
      <c r="AP133" s="1155"/>
      <c r="AQ133" s="1155"/>
      <c r="AR133" s="1155"/>
      <c r="AS133" s="1155"/>
      <c r="AT133" s="1517"/>
      <c r="AU133" s="1155"/>
      <c r="AV133" s="1155"/>
      <c r="AW133" s="1155"/>
      <c r="AX133" s="1155"/>
      <c r="AY133" s="1155"/>
      <c r="AZ133" s="1155"/>
      <c r="BA133" s="1155"/>
      <c r="BB133" s="1155"/>
      <c r="BC133" s="1155"/>
      <c r="BD133" s="683"/>
      <c r="BE133" s="683"/>
      <c r="BF133" s="683"/>
      <c r="BG133" s="683"/>
      <c r="BH133" s="683"/>
      <c r="BI133" s="683"/>
      <c r="BJ133" s="683"/>
      <c r="BK133" s="683"/>
      <c r="BL133" s="683"/>
      <c r="BM133" s="683"/>
      <c r="BN133" s="1156"/>
      <c r="BO133" s="1156"/>
      <c r="BP133" s="1156"/>
      <c r="BS133" s="973" t="s">
        <v>2120</v>
      </c>
    </row>
    <row r="134" spans="2:75" ht="14.65" hidden="1" customHeight="1" x14ac:dyDescent="0.15">
      <c r="B134" s="779" t="b" cm="1">
        <f t="array" ref="B134">B133</f>
        <v>0</v>
      </c>
      <c r="C134" s="26"/>
      <c r="D134" s="26"/>
      <c r="E134" s="545">
        <v>15</v>
      </c>
      <c r="F134" s="3" cm="1">
        <f t="array" aca="1" ref="F134" ca="1">OFFSET(E134,-1,1)</f>
        <v>0</v>
      </c>
      <c r="G134" s="26"/>
      <c r="H134" s="26"/>
      <c r="I134" s="26"/>
      <c r="J134" s="26"/>
      <c r="K134" s="26" t="s">
        <v>2121</v>
      </c>
      <c r="L134" s="889"/>
      <c r="M134" s="26"/>
      <c r="N134" s="26"/>
      <c r="O134" s="26"/>
      <c r="P134" s="26"/>
      <c r="Q134" s="26"/>
      <c r="R134" s="26"/>
      <c r="S134" s="26"/>
      <c r="T134" s="779" t="b" cm="1">
        <f t="array" aca="1" ref="T134" ca="1">T133</f>
        <v>0</v>
      </c>
      <c r="U134" s="26"/>
      <c r="V134" s="26"/>
      <c r="W134" s="26"/>
      <c r="X134" s="2066"/>
      <c r="Z134" s="2012"/>
      <c r="AB134" s="717" t="s">
        <v>2122</v>
      </c>
      <c r="AC134" s="718" t="s">
        <v>2123</v>
      </c>
      <c r="AD134" s="717" t="s">
        <v>490</v>
      </c>
      <c r="AE134" s="1155"/>
      <c r="AF134" s="1155"/>
      <c r="AG134" s="1155"/>
      <c r="AH134" s="683"/>
      <c r="AI134" s="1155"/>
      <c r="AJ134" s="1517"/>
      <c r="AK134" s="1155"/>
      <c r="AL134" s="1155"/>
      <c r="AM134" s="1155"/>
      <c r="AN134" s="1155"/>
      <c r="AO134" s="1155"/>
      <c r="AP134" s="1155"/>
      <c r="AQ134" s="1155"/>
      <c r="AR134" s="1155"/>
      <c r="AS134" s="1155"/>
      <c r="AT134" s="1517"/>
      <c r="AU134" s="1155"/>
      <c r="AV134" s="1155"/>
      <c r="AW134" s="1155"/>
      <c r="AX134" s="1155"/>
      <c r="AY134" s="1155"/>
      <c r="AZ134" s="1155"/>
      <c r="BA134" s="1155"/>
      <c r="BB134" s="1155"/>
      <c r="BC134" s="1155"/>
      <c r="BD134" s="683"/>
      <c r="BE134" s="683"/>
      <c r="BF134" s="683"/>
      <c r="BG134" s="683"/>
      <c r="BH134" s="683"/>
      <c r="BI134" s="683"/>
      <c r="BJ134" s="683"/>
      <c r="BK134" s="683"/>
      <c r="BL134" s="683"/>
      <c r="BM134" s="683"/>
      <c r="BN134" s="1156"/>
      <c r="BO134" s="1156"/>
      <c r="BP134" s="1156"/>
      <c r="BS134" s="973" t="s">
        <v>2124</v>
      </c>
    </row>
    <row r="135" spans="2:75" s="623" customFormat="1" ht="20.45" hidden="1" customHeight="1" x14ac:dyDescent="0.15">
      <c r="B135" s="357"/>
      <c r="C135" s="28"/>
      <c r="D135" s="28" t="str">
        <f>IF(B134,"6","7")</f>
        <v>7</v>
      </c>
      <c r="E135" s="745">
        <v>21</v>
      </c>
      <c r="F135" s="3" cm="1">
        <f t="array" aca="1" ref="F135" ca="1">OFFSET(E135,-1,1)</f>
        <v>0</v>
      </c>
      <c r="G135" s="26" t="s">
        <v>2125</v>
      </c>
      <c r="H135" s="26"/>
      <c r="I135" s="300" t="s">
        <v>2126</v>
      </c>
      <c r="J135" s="28"/>
      <c r="K135" s="296" t="s">
        <v>2126</v>
      </c>
      <c r="L135" s="894"/>
      <c r="M135" s="28"/>
      <c r="N135" s="28"/>
      <c r="O135" s="28"/>
      <c r="P135" s="28"/>
      <c r="Q135" s="28"/>
      <c r="R135" s="28"/>
      <c r="S135" s="28"/>
      <c r="T135" s="388" t="b" cm="1">
        <f t="array" aca="1" ref="T135" ca="1">T134</f>
        <v>0</v>
      </c>
      <c r="U135" s="28"/>
      <c r="V135" s="28"/>
      <c r="W135" s="28"/>
      <c r="X135" s="2066"/>
      <c r="Z135" s="2012"/>
      <c r="AB135" s="130" t="str" cm="1">
        <f t="array" ref="AB135">D135</f>
        <v>7</v>
      </c>
      <c r="AC135" s="138" t="s">
        <v>1557</v>
      </c>
      <c r="AD135" s="130" t="s">
        <v>831</v>
      </c>
      <c r="AE135" s="1144"/>
      <c r="AF135" s="1144"/>
      <c r="AG135" s="1144"/>
      <c r="AH135" s="698">
        <f>AG135-AF135</f>
        <v>0</v>
      </c>
      <c r="AI135" s="1144"/>
      <c r="AJ135" s="1514">
        <f ca="1">SUMIFS('Корректировка НВВ'!$AF$25:$AF$180,'Корректировка НВВ'!$F$25:$F$180,$F135,'Корректировка НВВ'!$I$25:$I$180,$G135)</f>
        <v>0</v>
      </c>
      <c r="AK135" s="1144"/>
      <c r="AL135" s="1144"/>
      <c r="AM135" s="1144"/>
      <c r="AN135" s="1144"/>
      <c r="AO135" s="1144"/>
      <c r="AP135" s="1144"/>
      <c r="AQ135" s="1144"/>
      <c r="AR135" s="1144"/>
      <c r="AS135" s="1144"/>
      <c r="AT135" s="1514">
        <f ca="1">SUMIFS('Корректировка НВВ'!$AG$25:$AG$180,'Корректировка НВВ'!$F$25:$F$180,$F135,'Корректировка НВВ'!$I$25:$I$180,$G135)</f>
        <v>0</v>
      </c>
      <c r="AU135" s="1144"/>
      <c r="AV135" s="1144"/>
      <c r="AW135" s="1144"/>
      <c r="AX135" s="1144"/>
      <c r="AY135" s="1144"/>
      <c r="AZ135" s="1144"/>
      <c r="BA135" s="1144"/>
      <c r="BB135" s="1144"/>
      <c r="BC135" s="1144"/>
      <c r="BD135" s="698">
        <f>IF(AI135=0,0,(AT135-AI135)/AI135*100)</f>
        <v>0</v>
      </c>
      <c r="BE135" s="698">
        <f t="shared" ref="BE135:BM135" ca="1" si="26">IF(AT135=0,0,(AU135-AT135)/AT135*100)</f>
        <v>0</v>
      </c>
      <c r="BF135" s="698">
        <f t="shared" si="26"/>
        <v>0</v>
      </c>
      <c r="BG135" s="698">
        <f t="shared" si="26"/>
        <v>0</v>
      </c>
      <c r="BH135" s="698">
        <f t="shared" si="26"/>
        <v>0</v>
      </c>
      <c r="BI135" s="698">
        <f t="shared" si="26"/>
        <v>0</v>
      </c>
      <c r="BJ135" s="698">
        <f t="shared" si="26"/>
        <v>0</v>
      </c>
      <c r="BK135" s="698">
        <f t="shared" si="26"/>
        <v>0</v>
      </c>
      <c r="BL135" s="698">
        <f t="shared" si="26"/>
        <v>0</v>
      </c>
      <c r="BM135" s="698">
        <f t="shared" si="26"/>
        <v>0</v>
      </c>
      <c r="BN135" s="1147"/>
      <c r="BO135" s="1149" t="str">
        <f ca="1">IF(IFERROR(INDEX('Корректировка НВВ'!$K$26:$L$180,MATCH($F135&amp;"11komm",'Корректировка НВВ'!$K$26:$K$180,0),2),"")=0,"",IFERROR(INDEX('Корректировка НВВ'!$K$26:$L$180,MATCH($F135&amp;"11komm",'Корректировка НВВ'!$K$26:$K$180,0),2),""))</f>
        <v/>
      </c>
      <c r="BP135" s="1147"/>
      <c r="BS135" s="979" t="s">
        <v>2127</v>
      </c>
      <c r="BT135" s="979"/>
      <c r="BU135" s="979"/>
      <c r="BV135" s="630"/>
      <c r="BW135" s="630"/>
    </row>
    <row r="136" spans="2:75" ht="14.65" hidden="1" customHeight="1" x14ac:dyDescent="0.15">
      <c r="C136" s="26"/>
      <c r="D136" s="26" t="str" cm="1">
        <f t="array" ref="D136">D135</f>
        <v>7</v>
      </c>
      <c r="E136" s="545">
        <v>15</v>
      </c>
      <c r="F136" s="3" cm="1">
        <f t="array" aca="1" ref="F136" ca="1">OFFSET(E136,-1,1)</f>
        <v>0</v>
      </c>
      <c r="G136" s="26"/>
      <c r="H136" s="26"/>
      <c r="I136" s="26"/>
      <c r="J136" s="26"/>
      <c r="L136" s="889"/>
      <c r="M136" s="26"/>
      <c r="N136" s="26"/>
      <c r="O136" s="26"/>
      <c r="P136" s="26"/>
      <c r="Q136" s="26"/>
      <c r="R136" s="26"/>
      <c r="S136" s="26"/>
      <c r="T136" s="388" t="b" cm="1">
        <f t="array" aca="1" ref="T136" ca="1">T135</f>
        <v>0</v>
      </c>
      <c r="U136" s="26"/>
      <c r="V136" s="26"/>
      <c r="W136" s="26"/>
      <c r="X136" s="2066"/>
      <c r="Z136" s="2012"/>
      <c r="AB136" s="218"/>
      <c r="AC136" s="374" t="s">
        <v>2128</v>
      </c>
      <c r="AD136" s="218"/>
      <c r="AE136" s="1023"/>
      <c r="AF136" s="1023"/>
      <c r="AG136" s="1023"/>
      <c r="AH136" s="1023"/>
      <c r="AI136" s="1023"/>
      <c r="AJ136" s="1023"/>
      <c r="AK136" s="1023"/>
      <c r="AL136" s="1023"/>
      <c r="AM136" s="1023"/>
      <c r="AN136" s="1023"/>
      <c r="AO136" s="1023"/>
      <c r="AP136" s="1023"/>
      <c r="AQ136" s="1023"/>
      <c r="AR136" s="1023"/>
      <c r="AS136" s="1023"/>
      <c r="AT136" s="1023"/>
      <c r="AU136" s="1023"/>
      <c r="AV136" s="1023"/>
      <c r="AW136" s="1023"/>
      <c r="AX136" s="1023"/>
      <c r="AY136" s="1023"/>
      <c r="AZ136" s="1023"/>
      <c r="BA136" s="1023"/>
      <c r="BB136" s="1023"/>
      <c r="BC136" s="1023"/>
      <c r="BD136" s="1023"/>
      <c r="BE136" s="1023"/>
      <c r="BF136" s="1023"/>
      <c r="BG136" s="1023"/>
      <c r="BH136" s="1023"/>
      <c r="BI136" s="1023"/>
      <c r="BJ136" s="1023"/>
      <c r="BK136" s="1023"/>
      <c r="BL136" s="1023"/>
      <c r="BM136" s="1023"/>
      <c r="BN136" s="1025"/>
      <c r="BO136" s="1025"/>
      <c r="BP136" s="1025"/>
    </row>
    <row r="137" spans="2:75" ht="21.95" hidden="1" customHeight="1" x14ac:dyDescent="0.15">
      <c r="C137" s="26"/>
      <c r="D137" s="26" t="str" cm="1">
        <f t="array" ref="D137">D136</f>
        <v>7</v>
      </c>
      <c r="E137" s="545">
        <v>22.5</v>
      </c>
      <c r="F137" s="3" cm="1">
        <f t="array" aca="1" ref="F137" ca="1">OFFSET(E137,-1,1)</f>
        <v>0</v>
      </c>
      <c r="G137" s="26" t="s">
        <v>372</v>
      </c>
      <c r="H137" s="26"/>
      <c r="I137" s="26" t="s">
        <v>547</v>
      </c>
      <c r="J137" s="26"/>
      <c r="K137" s="77" t="s">
        <v>547</v>
      </c>
      <c r="L137" s="889"/>
      <c r="M137" s="26"/>
      <c r="N137" s="26"/>
      <c r="O137" s="26"/>
      <c r="P137" s="26"/>
      <c r="Q137" s="26"/>
      <c r="R137" s="26"/>
      <c r="S137" s="26"/>
      <c r="T137" s="388" t="b" cm="1">
        <f t="array" aca="1" ref="T137" ca="1">T136</f>
        <v>0</v>
      </c>
      <c r="U137" s="26"/>
      <c r="V137" s="26"/>
      <c r="W137" s="26"/>
      <c r="X137" s="2066"/>
      <c r="Z137" s="2012"/>
      <c r="AB137" s="218" t="str">
        <f>D137&amp;".1"</f>
        <v>7.1</v>
      </c>
      <c r="AC137" s="682" t="s">
        <v>2129</v>
      </c>
      <c r="AD137" s="218" t="s">
        <v>831</v>
      </c>
      <c r="AE137" s="1148"/>
      <c r="AF137" s="1148"/>
      <c r="AG137" s="1148"/>
      <c r="AH137" s="1022">
        <f t="shared" ref="AH137:AH150" si="27">AG137-AF137</f>
        <v>0</v>
      </c>
      <c r="AI137" s="1148"/>
      <c r="AJ137" s="1514">
        <f ca="1">SUMIFS('Корректировка НВВ'!$AF$25:$AF$180,'Корректировка НВВ'!$F$25:$F$180,$F137,'Корректировка НВВ'!$I$25:$I$180,$G137)</f>
        <v>0</v>
      </c>
      <c r="AK137" s="1148"/>
      <c r="AL137" s="1148"/>
      <c r="AM137" s="1148"/>
      <c r="AN137" s="1148"/>
      <c r="AO137" s="1148"/>
      <c r="AP137" s="1148"/>
      <c r="AQ137" s="1148"/>
      <c r="AR137" s="1148"/>
      <c r="AS137" s="1148"/>
      <c r="AT137" s="1514">
        <f ca="1">SUMIFS('Корректировка НВВ'!$AG$25:$AG$180,'Корректировка НВВ'!$F$25:$F$180,$F137,'Корректировка НВВ'!$I$25:$I$180,$G137)</f>
        <v>0</v>
      </c>
      <c r="AU137" s="1148"/>
      <c r="AV137" s="1148"/>
      <c r="AW137" s="1148"/>
      <c r="AX137" s="1148"/>
      <c r="AY137" s="1148"/>
      <c r="AZ137" s="1148"/>
      <c r="BA137" s="1148"/>
      <c r="BB137" s="1148"/>
      <c r="BC137" s="1148"/>
      <c r="BD137" s="1023"/>
      <c r="BE137" s="1023"/>
      <c r="BF137" s="1023"/>
      <c r="BG137" s="1023"/>
      <c r="BH137" s="1023"/>
      <c r="BI137" s="1023"/>
      <c r="BJ137" s="1023"/>
      <c r="BK137" s="1023"/>
      <c r="BL137" s="1023"/>
      <c r="BM137" s="1023"/>
      <c r="BN137" s="1145"/>
      <c r="BO137" s="1149" t="str">
        <f ca="1">IF(IFERROR(INDEX('Корректировка НВВ'!$K$26:$L$180,MATCH($F137&amp;"1komm",'Корректировка НВВ'!$K$26:$K$180,0),2),"")=0,"",IFERROR(INDEX('Корректировка НВВ'!$K$26:$L$180,MATCH($F137&amp;"1komm",'Корректировка НВВ'!$K$26:$K$180,0),2),""))</f>
        <v/>
      </c>
      <c r="BP137" s="1145"/>
      <c r="BS137" s="973" t="s">
        <v>2130</v>
      </c>
    </row>
    <row r="138" spans="2:75" ht="98.65" hidden="1" customHeight="1" x14ac:dyDescent="0.15">
      <c r="C138" s="26"/>
      <c r="D138" s="26" t="str" cm="1">
        <f t="array" ref="D138">D137</f>
        <v>7</v>
      </c>
      <c r="E138" s="545">
        <v>101.25</v>
      </c>
      <c r="F138" s="3" cm="1">
        <f t="array" aca="1" ref="F138" ca="1">OFFSET(E138,-1,1)</f>
        <v>0</v>
      </c>
      <c r="G138" s="26" t="s">
        <v>2131</v>
      </c>
      <c r="H138" s="26"/>
      <c r="I138" s="26" t="s">
        <v>591</v>
      </c>
      <c r="J138" s="26"/>
      <c r="K138" s="77" t="s">
        <v>591</v>
      </c>
      <c r="L138" s="889"/>
      <c r="M138" s="26"/>
      <c r="N138" s="26"/>
      <c r="O138" s="26"/>
      <c r="P138" s="26"/>
      <c r="Q138" s="26"/>
      <c r="R138" s="26"/>
      <c r="S138" s="26"/>
      <c r="T138" s="388" t="b" cm="1">
        <f t="array" aca="1" ref="T138" ca="1">T137</f>
        <v>0</v>
      </c>
      <c r="U138" s="26"/>
      <c r="V138" s="26"/>
      <c r="W138" s="26"/>
      <c r="X138" s="2066"/>
      <c r="Z138" s="2012"/>
      <c r="AB138" s="218" t="str">
        <f>D138&amp;".2"</f>
        <v>7.2</v>
      </c>
      <c r="AC138" s="682" t="s">
        <v>2132</v>
      </c>
      <c r="AD138" s="218" t="s">
        <v>831</v>
      </c>
      <c r="AE138" s="1148"/>
      <c r="AF138" s="1148"/>
      <c r="AG138" s="1148"/>
      <c r="AH138" s="1022">
        <f t="shared" si="27"/>
        <v>0</v>
      </c>
      <c r="AI138" s="1148"/>
      <c r="AJ138" s="1514">
        <f ca="1">SUMIFS('Корректировка НВВ'!$AF$25:$AF$180,'Корректировка НВВ'!$F$25:$F$180,$F138,'Корректировка НВВ'!$I$25:$I$180,$G138)</f>
        <v>0</v>
      </c>
      <c r="AK138" s="1148"/>
      <c r="AL138" s="1148"/>
      <c r="AM138" s="1148"/>
      <c r="AN138" s="1148"/>
      <c r="AO138" s="1148"/>
      <c r="AP138" s="1148"/>
      <c r="AQ138" s="1148"/>
      <c r="AR138" s="1148"/>
      <c r="AS138" s="1148"/>
      <c r="AT138" s="1514">
        <f ca="1">SUMIFS('Корректировка НВВ'!$AG$25:$AG$180,'Корректировка НВВ'!$F$25:$F$180,$F138,'Корректировка НВВ'!$I$25:$I$180,$G138)</f>
        <v>0</v>
      </c>
      <c r="AU138" s="1148"/>
      <c r="AV138" s="1148"/>
      <c r="AW138" s="1148"/>
      <c r="AX138" s="1148"/>
      <c r="AY138" s="1148"/>
      <c r="AZ138" s="1148"/>
      <c r="BA138" s="1148"/>
      <c r="BB138" s="1148"/>
      <c r="BC138" s="1148"/>
      <c r="BD138" s="1023"/>
      <c r="BE138" s="1023"/>
      <c r="BF138" s="1023"/>
      <c r="BG138" s="1023"/>
      <c r="BH138" s="1023"/>
      <c r="BI138" s="1023"/>
      <c r="BJ138" s="1023"/>
      <c r="BK138" s="1023"/>
      <c r="BL138" s="1023"/>
      <c r="BM138" s="1023"/>
      <c r="BN138" s="1145"/>
      <c r="BO138" s="1149" t="str">
        <f ca="1">IF(IFERROR(INDEX('Корректировка НВВ'!$K$26:$L$180,MATCH($F138&amp;"2komm",'Корректировка НВВ'!$K$26:$K$180,0),2),"")=0,"",IFERROR(INDEX('Корректировка НВВ'!$K$26:$L$180,MATCH($F138&amp;"2komm",'Корректировка НВВ'!$K$26:$K$180,0),2),""))</f>
        <v/>
      </c>
      <c r="BP138" s="1145"/>
      <c r="BS138" s="973" t="s">
        <v>2133</v>
      </c>
    </row>
    <row r="139" spans="2:75" ht="43.9" hidden="1" customHeight="1" x14ac:dyDescent="0.15">
      <c r="C139" s="26"/>
      <c r="D139" s="26" t="str" cm="1">
        <f t="array" ref="D139">D138</f>
        <v>7</v>
      </c>
      <c r="E139" s="545">
        <v>45</v>
      </c>
      <c r="F139" s="3" cm="1">
        <f t="array" aca="1" ref="F139" ca="1">OFFSET(E139,-1,1)</f>
        <v>0</v>
      </c>
      <c r="G139" s="26"/>
      <c r="H139" s="26"/>
      <c r="I139" s="26" t="s">
        <v>606</v>
      </c>
      <c r="J139" s="26"/>
      <c r="K139" s="77" t="s">
        <v>606</v>
      </c>
      <c r="L139" s="889"/>
      <c r="M139" s="26"/>
      <c r="N139" s="26"/>
      <c r="O139" s="26"/>
      <c r="P139" s="26"/>
      <c r="Q139" s="26"/>
      <c r="R139" s="26"/>
      <c r="S139" s="26"/>
      <c r="T139" s="388" t="b" cm="1">
        <f t="array" aca="1" ref="T139" ca="1">T138</f>
        <v>0</v>
      </c>
      <c r="U139" s="26"/>
      <c r="V139" s="26"/>
      <c r="W139" s="26"/>
      <c r="X139" s="2066"/>
      <c r="Z139" s="2012"/>
      <c r="AB139" s="218" t="str">
        <f>D139&amp;".3"</f>
        <v>7.3</v>
      </c>
      <c r="AC139" s="682" t="s">
        <v>2134</v>
      </c>
      <c r="AD139" s="218" t="s">
        <v>831</v>
      </c>
      <c r="AE139" s="1148"/>
      <c r="AF139" s="1148"/>
      <c r="AG139" s="1148"/>
      <c r="AH139" s="1022">
        <f t="shared" si="27"/>
        <v>0</v>
      </c>
      <c r="AI139" s="1148"/>
      <c r="AJ139" s="1514">
        <f ca="1">SUMIFS('Корректировка НВВ'!$AF$25:$AF$180,'Корректировка НВВ'!$F$25:$F$180,$F139,'Корректировка НВВ'!$I$25:$I$180,"L1")+SUMIFS('Корректировка НВВ'!$AF$25:$AF$180,'Корректировка НВВ'!$F$25:$F$180,$F139,'Корректировка НВВ'!$I$25:$I$180,"L2")</f>
        <v>0</v>
      </c>
      <c r="AK139" s="1148"/>
      <c r="AL139" s="1148"/>
      <c r="AM139" s="1148"/>
      <c r="AN139" s="1148"/>
      <c r="AO139" s="1148"/>
      <c r="AP139" s="1148"/>
      <c r="AQ139" s="1148"/>
      <c r="AR139" s="1148"/>
      <c r="AS139" s="1148"/>
      <c r="AT139" s="1514">
        <f ca="1">SUMIFS('Корректировка НВВ'!$AG$25:$AG$180,'Корректировка НВВ'!$F$25:$F$180,$F139,'Корректировка НВВ'!$I$25:$I$180,"L1")+SUMIFS('Корректировка НВВ'!$AF$25:$AF$180,'Корректировка НВВ'!$F$25:$F$180,$F139,'Корректировка НВВ'!$I$25:$I$180,"L2")</f>
        <v>0</v>
      </c>
      <c r="AU139" s="1148"/>
      <c r="AV139" s="1148"/>
      <c r="AW139" s="1148"/>
      <c r="AX139" s="1148"/>
      <c r="AY139" s="1148"/>
      <c r="AZ139" s="1148"/>
      <c r="BA139" s="1148"/>
      <c r="BB139" s="1148"/>
      <c r="BC139" s="1148"/>
      <c r="BD139" s="1023"/>
      <c r="BE139" s="1023"/>
      <c r="BF139" s="1023"/>
      <c r="BG139" s="1023"/>
      <c r="BH139" s="1023"/>
      <c r="BI139" s="1023"/>
      <c r="BJ139" s="1023"/>
      <c r="BK139" s="1023"/>
      <c r="BL139" s="1023"/>
      <c r="BM139" s="1023"/>
      <c r="BN139" s="1145"/>
      <c r="BO139" s="1149"/>
      <c r="BP139" s="1145"/>
      <c r="BS139" s="973" t="s">
        <v>2135</v>
      </c>
    </row>
    <row r="140" spans="2:75" ht="87.75" hidden="1" customHeight="1" x14ac:dyDescent="0.25">
      <c r="B140" s="367" t="b">
        <f>S27="Водоотведение"</f>
        <v>0</v>
      </c>
      <c r="C140" s="26"/>
      <c r="D140" s="26" t="str" cm="1">
        <f t="array" ref="D140">D139</f>
        <v>7</v>
      </c>
      <c r="E140" s="545">
        <v>90</v>
      </c>
      <c r="F140" s="3" cm="1">
        <f t="array" aca="1" ref="F140" ca="1">OFFSET(E140,-1,1)</f>
        <v>0</v>
      </c>
      <c r="G140" s="26" t="s">
        <v>2136</v>
      </c>
      <c r="H140" s="767"/>
      <c r="I140" s="26" t="s">
        <v>772</v>
      </c>
      <c r="J140" s="26"/>
      <c r="K140" s="77" t="s">
        <v>772</v>
      </c>
      <c r="L140" s="889" t="s">
        <v>770</v>
      </c>
      <c r="M140" s="26"/>
      <c r="N140" s="26"/>
      <c r="O140" s="26"/>
      <c r="P140" s="26"/>
      <c r="Q140" s="26"/>
      <c r="R140" s="26"/>
      <c r="S140" s="26"/>
      <c r="T140" s="388" t="b" cm="1">
        <f t="array" aca="1" ref="T140" ca="1">T139</f>
        <v>0</v>
      </c>
      <c r="U140" s="26"/>
      <c r="V140" s="26"/>
      <c r="W140" s="26"/>
      <c r="X140" s="2066"/>
      <c r="Z140" s="2012"/>
      <c r="AB140" s="218" t="str">
        <f>D140&amp;".4"</f>
        <v>7.4</v>
      </c>
      <c r="AC140" s="682" t="s">
        <v>1799</v>
      </c>
      <c r="AD140" s="686" t="s">
        <v>831</v>
      </c>
      <c r="AE140" s="1148"/>
      <c r="AF140" s="1148"/>
      <c r="AG140" s="1148"/>
      <c r="AH140" s="1022">
        <f t="shared" si="27"/>
        <v>0</v>
      </c>
      <c r="AI140" s="1148"/>
      <c r="AJ140" s="1514">
        <f ca="1">SUMIFS('Корректировка НВВ'!$AF$25:$AF$180,'Корректировка НВВ'!$F$25:$F$180,$F140,'Корректировка НВВ'!$I$25:$I$180,$G140)</f>
        <v>0</v>
      </c>
      <c r="AK140" s="1148"/>
      <c r="AL140" s="1148"/>
      <c r="AM140" s="1148"/>
      <c r="AN140" s="1148"/>
      <c r="AO140" s="1148"/>
      <c r="AP140" s="1148"/>
      <c r="AQ140" s="1148"/>
      <c r="AR140" s="1148"/>
      <c r="AS140" s="1148"/>
      <c r="AT140" s="1514">
        <f ca="1">SUMIFS('Корректировка НВВ'!$AG$25:$AG$180,'Корректировка НВВ'!$F$25:$F$180,$F140,'Корректировка НВВ'!$I$25:$I$180,$G140)</f>
        <v>0</v>
      </c>
      <c r="AU140" s="1148"/>
      <c r="AV140" s="1148"/>
      <c r="AW140" s="1148"/>
      <c r="AX140" s="1148"/>
      <c r="AY140" s="1148"/>
      <c r="AZ140" s="1148"/>
      <c r="BA140" s="1148"/>
      <c r="BB140" s="1148"/>
      <c r="BC140" s="1148"/>
      <c r="BD140" s="1023"/>
      <c r="BE140" s="1023"/>
      <c r="BF140" s="1023"/>
      <c r="BG140" s="1023"/>
      <c r="BH140" s="1023"/>
      <c r="BI140" s="1023"/>
      <c r="BJ140" s="1023"/>
      <c r="BK140" s="1023"/>
      <c r="BL140" s="1023"/>
      <c r="BM140" s="1023"/>
      <c r="BN140" s="1145"/>
      <c r="BO140" s="1149" t="str">
        <f ca="1">IF(IFERROR(INDEX('Корректировка НВВ'!$K$26:$L$180,MATCH($F140&amp;"3komm",'Корректировка НВВ'!$K$26:$K$180,0),2),"")=0,"",IFERROR(INDEX('Корректировка НВВ'!$K$26:$L$180,MATCH($F140&amp;"3komm",'Корректировка НВВ'!$K$26:$K$180,0),2),""))</f>
        <v/>
      </c>
      <c r="BP140" s="1145"/>
      <c r="BS140" s="973" t="s">
        <v>1331</v>
      </c>
    </row>
    <row r="141" spans="2:75" ht="54.75" hidden="1" customHeight="1" x14ac:dyDescent="0.25">
      <c r="B141" s="367" t="b" cm="1">
        <f t="array" ref="B141">B140</f>
        <v>0</v>
      </c>
      <c r="C141" s="26"/>
      <c r="D141" s="26" t="str" cm="1">
        <f t="array" ref="D141">D140</f>
        <v>7</v>
      </c>
      <c r="E141" s="545">
        <v>56.25</v>
      </c>
      <c r="F141" s="3" cm="1">
        <f t="array" aca="1" ref="F141" ca="1">OFFSET(E141,-1,1)</f>
        <v>0</v>
      </c>
      <c r="G141" s="26" t="s">
        <v>2137</v>
      </c>
      <c r="H141" s="767"/>
      <c r="I141" s="26" t="s">
        <v>809</v>
      </c>
      <c r="J141" s="26"/>
      <c r="K141" s="77" t="s">
        <v>809</v>
      </c>
      <c r="L141" s="889" t="s">
        <v>772</v>
      </c>
      <c r="M141" s="26"/>
      <c r="N141" s="26"/>
      <c r="O141" s="26"/>
      <c r="P141" s="26"/>
      <c r="Q141" s="26"/>
      <c r="R141" s="26"/>
      <c r="S141" s="26"/>
      <c r="T141" s="388" t="b" cm="1">
        <f t="array" aca="1" ref="T141" ca="1">T140</f>
        <v>0</v>
      </c>
      <c r="U141" s="26"/>
      <c r="V141" s="26"/>
      <c r="W141" s="26"/>
      <c r="X141" s="2066"/>
      <c r="Z141" s="2012"/>
      <c r="AB141" s="218" t="str">
        <f>D141&amp;".5"</f>
        <v>7.5</v>
      </c>
      <c r="AC141" s="682" t="s">
        <v>1800</v>
      </c>
      <c r="AD141" s="686" t="s">
        <v>831</v>
      </c>
      <c r="AE141" s="1148"/>
      <c r="AF141" s="1148"/>
      <c r="AG141" s="1148"/>
      <c r="AH141" s="1022">
        <f t="shared" si="27"/>
        <v>0</v>
      </c>
      <c r="AI141" s="1148"/>
      <c r="AJ141" s="1514">
        <f ca="1">SUMIFS('Корректировка НВВ'!$AF$25:$AF$180,'Корректировка НВВ'!$F$25:$F$180,$F141,'Корректировка НВВ'!$I$25:$I$180,$G141)</f>
        <v>0</v>
      </c>
      <c r="AK141" s="1148"/>
      <c r="AL141" s="1148"/>
      <c r="AM141" s="1148"/>
      <c r="AN141" s="1148"/>
      <c r="AO141" s="1148"/>
      <c r="AP141" s="1148"/>
      <c r="AQ141" s="1148"/>
      <c r="AR141" s="1148"/>
      <c r="AS141" s="1148"/>
      <c r="AT141" s="1514">
        <f ca="1">SUMIFS('Корректировка НВВ'!$AG$25:$AG$180,'Корректировка НВВ'!$F$25:$F$180,$F141,'Корректировка НВВ'!$I$25:$I$180,$G141)</f>
        <v>0</v>
      </c>
      <c r="AU141" s="1148"/>
      <c r="AV141" s="1148"/>
      <c r="AW141" s="1148"/>
      <c r="AX141" s="1148"/>
      <c r="AY141" s="1148"/>
      <c r="AZ141" s="1148"/>
      <c r="BA141" s="1148"/>
      <c r="BB141" s="1148"/>
      <c r="BC141" s="1148"/>
      <c r="BD141" s="1023"/>
      <c r="BE141" s="1023"/>
      <c r="BF141" s="1023"/>
      <c r="BG141" s="1023"/>
      <c r="BH141" s="1023"/>
      <c r="BI141" s="1023"/>
      <c r="BJ141" s="1023"/>
      <c r="BK141" s="1023"/>
      <c r="BL141" s="1023"/>
      <c r="BM141" s="1023"/>
      <c r="BN141" s="1145"/>
      <c r="BO141" s="1149" t="str">
        <f ca="1">IF(IFERROR(INDEX('Корректировка НВВ'!$K$26:$L$180,MATCH($F141&amp;"4komm",'Корректировка НВВ'!$K$26:$K$180,0),2),"")=0,"",IFERROR(INDEX('Корректировка НВВ'!$K$26:$L$180,MATCH($F141&amp;"4komm",'Корректировка НВВ'!$K$26:$K$180,0),2),""))</f>
        <v/>
      </c>
      <c r="BP141" s="1145"/>
      <c r="BS141" s="973" t="s">
        <v>1335</v>
      </c>
    </row>
    <row r="142" spans="2:75" ht="14.65" hidden="1" customHeight="1" x14ac:dyDescent="0.15">
      <c r="B142" s="349"/>
      <c r="C142" s="26"/>
      <c r="D142" s="26" t="str" cm="1">
        <f t="array" ref="D142">D141</f>
        <v>7</v>
      </c>
      <c r="E142" s="545">
        <v>15</v>
      </c>
      <c r="F142" s="3" cm="1">
        <f t="array" aca="1" ref="F142" ca="1">OFFSET(E142,-1,1)</f>
        <v>0</v>
      </c>
      <c r="G142" s="26" t="s">
        <v>2138</v>
      </c>
      <c r="H142" s="26"/>
      <c r="I142" s="26" t="s">
        <v>810</v>
      </c>
      <c r="J142" s="26"/>
      <c r="K142" s="77" t="s">
        <v>810</v>
      </c>
      <c r="L142" s="889" t="s">
        <v>809</v>
      </c>
      <c r="M142" s="26"/>
      <c r="N142" s="26"/>
      <c r="O142" s="26"/>
      <c r="P142" s="26"/>
      <c r="Q142" s="26"/>
      <c r="R142" s="26"/>
      <c r="S142" s="26"/>
      <c r="T142" s="388" t="b" cm="1">
        <f t="array" aca="1" ref="T142" ca="1">T141</f>
        <v>0</v>
      </c>
      <c r="U142" s="26"/>
      <c r="V142" s="26"/>
      <c r="W142" s="26"/>
      <c r="X142" s="2066"/>
      <c r="Z142" s="2012"/>
      <c r="AB142" s="218" t="str">
        <f>IF(B141,D142&amp;".6",D142&amp;".4")</f>
        <v>7.4</v>
      </c>
      <c r="AC142" s="682" t="s">
        <v>1550</v>
      </c>
      <c r="AD142" s="218" t="s">
        <v>831</v>
      </c>
      <c r="AE142" s="1148"/>
      <c r="AF142" s="1148"/>
      <c r="AG142" s="1148"/>
      <c r="AH142" s="1022">
        <f t="shared" si="27"/>
        <v>0</v>
      </c>
      <c r="AI142" s="1148"/>
      <c r="AJ142" s="1514">
        <f ca="1">SUMIFS('Корректировка НВВ'!$AF$25:$AF$180,'Корректировка НВВ'!$F$25:$F$180,$F142,'Корректировка НВВ'!$I$25:$I$180,$G142)</f>
        <v>0</v>
      </c>
      <c r="AK142" s="1148"/>
      <c r="AL142" s="1148"/>
      <c r="AM142" s="1148"/>
      <c r="AN142" s="1148"/>
      <c r="AO142" s="1148"/>
      <c r="AP142" s="1148"/>
      <c r="AQ142" s="1148"/>
      <c r="AR142" s="1148"/>
      <c r="AS142" s="1148"/>
      <c r="AT142" s="1514">
        <f ca="1">SUMIFS('Корректировка НВВ'!$AG$25:$AG$180,'Корректировка НВВ'!$F$25:$F$180,$F142,'Корректировка НВВ'!$I$25:$I$180,$G142)</f>
        <v>0</v>
      </c>
      <c r="AU142" s="1148"/>
      <c r="AV142" s="1148"/>
      <c r="AW142" s="1148"/>
      <c r="AX142" s="1148"/>
      <c r="AY142" s="1148"/>
      <c r="AZ142" s="1148"/>
      <c r="BA142" s="1148"/>
      <c r="BB142" s="1148"/>
      <c r="BC142" s="1148"/>
      <c r="BD142" s="1023"/>
      <c r="BE142" s="1023"/>
      <c r="BF142" s="1023"/>
      <c r="BG142" s="1023"/>
      <c r="BH142" s="1023"/>
      <c r="BI142" s="1023"/>
      <c r="BJ142" s="1023"/>
      <c r="BK142" s="1023"/>
      <c r="BL142" s="1023"/>
      <c r="BM142" s="1023"/>
      <c r="BN142" s="1145"/>
      <c r="BO142" s="1149" t="str">
        <f ca="1">IF(IFERROR(INDEX('Корректировка НВВ'!$K$26:$L$180,MATCH($F142&amp;"5komm",'Корректировка НВВ'!$K$26:$K$180,0),2),"")=0,"",IFERROR(INDEX('Корректировка НВВ'!$K$26:$L$180,MATCH($F142&amp;"5komm",'Корректировка НВВ'!$K$26:$K$180,0),2),""))</f>
        <v/>
      </c>
      <c r="BP142" s="1145"/>
      <c r="BS142" s="973" t="s">
        <v>2139</v>
      </c>
    </row>
    <row r="143" spans="2:75" ht="14.65" hidden="1" customHeight="1" x14ac:dyDescent="0.15">
      <c r="C143" s="26"/>
      <c r="D143" s="26" t="str" cm="1">
        <f t="array" ref="D143">D142</f>
        <v>7</v>
      </c>
      <c r="E143" s="545">
        <v>15</v>
      </c>
      <c r="F143" s="3" cm="1">
        <f t="array" aca="1" ref="F143" ca="1">OFFSET(E143,-1,1)</f>
        <v>0</v>
      </c>
      <c r="G143" s="26" t="s">
        <v>2140</v>
      </c>
      <c r="H143" s="26"/>
      <c r="I143" s="26" t="s">
        <v>1809</v>
      </c>
      <c r="J143" s="26"/>
      <c r="K143" s="77" t="s">
        <v>1809</v>
      </c>
      <c r="L143" s="889" t="s">
        <v>810</v>
      </c>
      <c r="M143" s="26"/>
      <c r="N143" s="26"/>
      <c r="O143" s="26"/>
      <c r="P143" s="26"/>
      <c r="Q143" s="26"/>
      <c r="R143" s="26"/>
      <c r="S143" s="26"/>
      <c r="T143" s="388" t="b" cm="1">
        <f t="array" aca="1" ref="T143" ca="1">T142</f>
        <v>0</v>
      </c>
      <c r="U143" s="26"/>
      <c r="V143" s="26"/>
      <c r="W143" s="26"/>
      <c r="X143" s="2066"/>
      <c r="Z143" s="2012"/>
      <c r="AB143" s="218" t="str">
        <f>IF(B141,D142&amp;".7",D142&amp;".5")</f>
        <v>7.5</v>
      </c>
      <c r="AC143" s="682" t="s">
        <v>1512</v>
      </c>
      <c r="AD143" s="218" t="s">
        <v>831</v>
      </c>
      <c r="AE143" s="1148">
        <f>AE144+AE145</f>
        <v>0</v>
      </c>
      <c r="AF143" s="1148">
        <f>AF144+AF145</f>
        <v>0</v>
      </c>
      <c r="AG143" s="1148">
        <f>AG144+AG145</f>
        <v>0</v>
      </c>
      <c r="AH143" s="1022">
        <f t="shared" si="27"/>
        <v>0</v>
      </c>
      <c r="AI143" s="1148">
        <f>AI144+AI145</f>
        <v>0</v>
      </c>
      <c r="AJ143" s="1514">
        <f ca="1">SUMIFS('Корректировка НВВ'!$AF$25:$AF$180,'Корректировка НВВ'!$F$25:$F$180,$F143,'Корректировка НВВ'!$I$25:$I$180,$G143)</f>
        <v>0</v>
      </c>
      <c r="AK143" s="1148">
        <f t="shared" ref="AK143:AS143" si="28">AK144+AK145</f>
        <v>0</v>
      </c>
      <c r="AL143" s="1148">
        <f t="shared" si="28"/>
        <v>0</v>
      </c>
      <c r="AM143" s="1148">
        <f t="shared" si="28"/>
        <v>0</v>
      </c>
      <c r="AN143" s="1148">
        <f t="shared" si="28"/>
        <v>0</v>
      </c>
      <c r="AO143" s="1148">
        <f t="shared" si="28"/>
        <v>0</v>
      </c>
      <c r="AP143" s="1148">
        <f t="shared" si="28"/>
        <v>0</v>
      </c>
      <c r="AQ143" s="1148">
        <f t="shared" si="28"/>
        <v>0</v>
      </c>
      <c r="AR143" s="1148">
        <f t="shared" si="28"/>
        <v>0</v>
      </c>
      <c r="AS143" s="1148">
        <f t="shared" si="28"/>
        <v>0</v>
      </c>
      <c r="AT143" s="1514">
        <f ca="1">SUMIFS('Корректировка НВВ'!$AG$25:$AG$180,'Корректировка НВВ'!$F$25:$F$180,$F143,'Корректировка НВВ'!$I$25:$I$180,$G143)</f>
        <v>0</v>
      </c>
      <c r="AU143" s="1148">
        <f t="shared" ref="AU143:BC143" si="29">AU144+AU145</f>
        <v>0</v>
      </c>
      <c r="AV143" s="1148">
        <f t="shared" si="29"/>
        <v>0</v>
      </c>
      <c r="AW143" s="1148">
        <f t="shared" si="29"/>
        <v>0</v>
      </c>
      <c r="AX143" s="1148">
        <f t="shared" si="29"/>
        <v>0</v>
      </c>
      <c r="AY143" s="1148">
        <f t="shared" si="29"/>
        <v>0</v>
      </c>
      <c r="AZ143" s="1148">
        <f t="shared" si="29"/>
        <v>0</v>
      </c>
      <c r="BA143" s="1148">
        <f t="shared" si="29"/>
        <v>0</v>
      </c>
      <c r="BB143" s="1148">
        <f t="shared" si="29"/>
        <v>0</v>
      </c>
      <c r="BC143" s="1148">
        <f t="shared" si="29"/>
        <v>0</v>
      </c>
      <c r="BD143" s="1022">
        <f>IF(AI143=0,0,(AT143-AI143)/AI143*100)</f>
        <v>0</v>
      </c>
      <c r="BE143" s="1022">
        <f t="shared" ref="BE143:BM143" ca="1" si="30">IF(AT143=0,0,(AU143-AT143)/AT143*100)</f>
        <v>0</v>
      </c>
      <c r="BF143" s="1022">
        <f t="shared" si="30"/>
        <v>0</v>
      </c>
      <c r="BG143" s="1022">
        <f t="shared" si="30"/>
        <v>0</v>
      </c>
      <c r="BH143" s="1022">
        <f t="shared" si="30"/>
        <v>0</v>
      </c>
      <c r="BI143" s="1022">
        <f t="shared" si="30"/>
        <v>0</v>
      </c>
      <c r="BJ143" s="1022">
        <f t="shared" si="30"/>
        <v>0</v>
      </c>
      <c r="BK143" s="1022">
        <f t="shared" si="30"/>
        <v>0</v>
      </c>
      <c r="BL143" s="1022">
        <f t="shared" si="30"/>
        <v>0</v>
      </c>
      <c r="BM143" s="1022">
        <f t="shared" si="30"/>
        <v>0</v>
      </c>
      <c r="BN143" s="1145"/>
      <c r="BO143" s="1149" t="str">
        <f ca="1">IF(IFERROR(INDEX('Корректировка НВВ'!$K$26:$L$180,MATCH($F143&amp;"6komm",'Корректировка НВВ'!$K$26:$K$180,0),2),"")=0,"",IFERROR(INDEX('Корректировка НВВ'!$K$26:$L$180,MATCH($F143&amp;"6komm",'Корректировка НВВ'!$K$26:$K$180,0),2),""))</f>
        <v/>
      </c>
      <c r="BP143" s="1145"/>
      <c r="BS143" s="973" t="s">
        <v>1514</v>
      </c>
    </row>
    <row r="144" spans="2:75" ht="21.95" hidden="1" customHeight="1" x14ac:dyDescent="0.15">
      <c r="C144" s="26"/>
      <c r="D144" s="26" t="str" cm="1">
        <f t="array" ref="D144">D143</f>
        <v>7</v>
      </c>
      <c r="E144" s="545">
        <v>22.5</v>
      </c>
      <c r="F144" s="3" cm="1">
        <f t="array" aca="1" ref="F144" ca="1">OFFSET(E144,-1,1)</f>
        <v>0</v>
      </c>
      <c r="G144" s="26" t="s">
        <v>2141</v>
      </c>
      <c r="H144" s="26"/>
      <c r="I144" s="26" t="s">
        <v>2142</v>
      </c>
      <c r="J144" s="26"/>
      <c r="K144" s="77" t="s">
        <v>2142</v>
      </c>
      <c r="L144" s="889" t="s">
        <v>1804</v>
      </c>
      <c r="M144" s="26"/>
      <c r="N144" s="26"/>
      <c r="O144" s="26"/>
      <c r="P144" s="26"/>
      <c r="Q144" s="26"/>
      <c r="R144" s="26"/>
      <c r="S144" s="26"/>
      <c r="T144" s="388" t="b" cm="1">
        <f t="array" aca="1" ref="T144" ca="1">T143</f>
        <v>0</v>
      </c>
      <c r="U144" s="26"/>
      <c r="V144" s="26"/>
      <c r="W144" s="26"/>
      <c r="X144" s="2066"/>
      <c r="Z144" s="2012"/>
      <c r="AB144" s="218" t="str">
        <f>AB143&amp;".1"</f>
        <v>7.5.1</v>
      </c>
      <c r="AC144" s="701" t="s">
        <v>1515</v>
      </c>
      <c r="AD144" s="218" t="s">
        <v>831</v>
      </c>
      <c r="AE144" s="1148"/>
      <c r="AF144" s="1148"/>
      <c r="AG144" s="1148"/>
      <c r="AH144" s="1022">
        <f t="shared" si="27"/>
        <v>0</v>
      </c>
      <c r="AI144" s="1148"/>
      <c r="AJ144" s="1514">
        <f ca="1">SUMIFS('Корректировка НВВ'!$AF$25:$AF$180,'Корректировка НВВ'!$F$25:$F$180,$F144,'Корректировка НВВ'!$I$25:$I$180,$G144)</f>
        <v>0</v>
      </c>
      <c r="AK144" s="1148"/>
      <c r="AL144" s="1148"/>
      <c r="AM144" s="1148"/>
      <c r="AN144" s="1148"/>
      <c r="AO144" s="1148"/>
      <c r="AP144" s="1148"/>
      <c r="AQ144" s="1148"/>
      <c r="AR144" s="1148"/>
      <c r="AS144" s="1148"/>
      <c r="AT144" s="1514">
        <f ca="1">SUMIFS('Корректировка НВВ'!$AG$25:$AG$180,'Корректировка НВВ'!$F$25:$F$180,$F144,'Корректировка НВВ'!$I$25:$I$180,$G144)</f>
        <v>0</v>
      </c>
      <c r="AU144" s="1148"/>
      <c r="AV144" s="1148"/>
      <c r="AW144" s="1148"/>
      <c r="AX144" s="1148"/>
      <c r="AY144" s="1148"/>
      <c r="AZ144" s="1148"/>
      <c r="BA144" s="1148"/>
      <c r="BB144" s="1148"/>
      <c r="BC144" s="1148"/>
      <c r="BD144" s="1023"/>
      <c r="BE144" s="1023"/>
      <c r="BF144" s="1023"/>
      <c r="BG144" s="1023"/>
      <c r="BH144" s="1023"/>
      <c r="BI144" s="1023"/>
      <c r="BJ144" s="1023"/>
      <c r="BK144" s="1023"/>
      <c r="BL144" s="1023"/>
      <c r="BM144" s="1023"/>
      <c r="BN144" s="1145"/>
      <c r="BO144" s="1149" t="str">
        <f ca="1">IF(IFERROR(INDEX('Корректировка НВВ'!$K$26:$L$180,MATCH($F144&amp;"7komm",'Корректировка НВВ'!$K$26:$K$180,0),2),"")=0,"",IFERROR(INDEX('Корректировка НВВ'!$K$26:$L$180,MATCH($F144&amp;"7komm",'Корректировка НВВ'!$K$26:$K$180,0),2),""))</f>
        <v/>
      </c>
      <c r="BP144" s="1145"/>
      <c r="BS144" s="973" t="s">
        <v>1516</v>
      </c>
    </row>
    <row r="145" spans="2:75" ht="21.95" hidden="1" customHeight="1" x14ac:dyDescent="0.15">
      <c r="C145" s="26"/>
      <c r="D145" s="26" t="str" cm="1">
        <f t="array" ref="D145">D144</f>
        <v>7</v>
      </c>
      <c r="E145" s="545">
        <v>22.5</v>
      </c>
      <c r="F145" s="3" cm="1">
        <f t="array" aca="1" ref="F145" ca="1">OFFSET(E145,-1,1)</f>
        <v>0</v>
      </c>
      <c r="G145" s="26" t="s">
        <v>2143</v>
      </c>
      <c r="H145" s="26"/>
      <c r="I145" s="26" t="s">
        <v>2144</v>
      </c>
      <c r="J145" s="26"/>
      <c r="K145" s="77" t="s">
        <v>2144</v>
      </c>
      <c r="L145" s="889" t="s">
        <v>1806</v>
      </c>
      <c r="M145" s="26"/>
      <c r="N145" s="26"/>
      <c r="O145" s="26"/>
      <c r="P145" s="26"/>
      <c r="Q145" s="26"/>
      <c r="R145" s="26"/>
      <c r="S145" s="26"/>
      <c r="T145" s="388" t="b" cm="1">
        <f t="array" aca="1" ref="T145" ca="1">T144</f>
        <v>0</v>
      </c>
      <c r="U145" s="26"/>
      <c r="V145" s="26"/>
      <c r="W145" s="26"/>
      <c r="X145" s="2066"/>
      <c r="Z145" s="2012"/>
      <c r="AB145" s="218" t="str">
        <f>AB143&amp;".2"</f>
        <v>7.5.2</v>
      </c>
      <c r="AC145" s="701" t="s">
        <v>1517</v>
      </c>
      <c r="AD145" s="218" t="s">
        <v>831</v>
      </c>
      <c r="AE145" s="1148"/>
      <c r="AF145" s="1148"/>
      <c r="AG145" s="1148"/>
      <c r="AH145" s="1022">
        <f t="shared" si="27"/>
        <v>0</v>
      </c>
      <c r="AI145" s="1148"/>
      <c r="AJ145" s="1514">
        <f ca="1">SUMIFS('Корректировка НВВ'!$AF$25:$AF$180,'Корректировка НВВ'!$F$25:$F$180,$F145,'Корректировка НВВ'!$I$25:$I$180,$G145)</f>
        <v>0</v>
      </c>
      <c r="AK145" s="1148"/>
      <c r="AL145" s="1148"/>
      <c r="AM145" s="1148"/>
      <c r="AN145" s="1148"/>
      <c r="AO145" s="1148"/>
      <c r="AP145" s="1148"/>
      <c r="AQ145" s="1148"/>
      <c r="AR145" s="1148"/>
      <c r="AS145" s="1148"/>
      <c r="AT145" s="1514">
        <f ca="1">SUMIFS('Корректировка НВВ'!$AG$25:$AG$180,'Корректировка НВВ'!$F$25:$F$180,$F145,'Корректировка НВВ'!$I$25:$I$180,$G145)</f>
        <v>0</v>
      </c>
      <c r="AU145" s="1148"/>
      <c r="AV145" s="1148"/>
      <c r="AW145" s="1148"/>
      <c r="AX145" s="1148"/>
      <c r="AY145" s="1148"/>
      <c r="AZ145" s="1148"/>
      <c r="BA145" s="1148"/>
      <c r="BB145" s="1148"/>
      <c r="BC145" s="1148"/>
      <c r="BD145" s="1023"/>
      <c r="BE145" s="1023"/>
      <c r="BF145" s="1023"/>
      <c r="BG145" s="1023"/>
      <c r="BH145" s="1023"/>
      <c r="BI145" s="1023"/>
      <c r="BJ145" s="1023"/>
      <c r="BK145" s="1023"/>
      <c r="BL145" s="1023"/>
      <c r="BM145" s="1023"/>
      <c r="BN145" s="1145"/>
      <c r="BO145" s="1149" t="str">
        <f ca="1">IF(IFERROR(INDEX('Корректировка НВВ'!$K$26:$L$180,MATCH($F145&amp;"8komm",'Корректировка НВВ'!$K$26:$K$180,0),2),"")=0,"",IFERROR(INDEX('Корректировка НВВ'!$K$26:$L$180,MATCH($F145&amp;"8komm",'Корректировка НВВ'!$K$26:$K$180,0),2),""))</f>
        <v/>
      </c>
      <c r="BP145" s="1145"/>
      <c r="BS145" s="973" t="s">
        <v>1518</v>
      </c>
    </row>
    <row r="146" spans="2:75" ht="14.65" hidden="1" customHeight="1" x14ac:dyDescent="0.15">
      <c r="C146" s="26"/>
      <c r="D146" s="26" t="str" cm="1">
        <f t="array" ref="D146">D145</f>
        <v>7</v>
      </c>
      <c r="E146" s="545">
        <v>15</v>
      </c>
      <c r="F146" s="3" cm="1">
        <f t="array" aca="1" ref="F146" ca="1">OFFSET(E146,-1,1)</f>
        <v>0</v>
      </c>
      <c r="G146" s="26" t="s">
        <v>318</v>
      </c>
      <c r="H146" s="26"/>
      <c r="I146" s="26" t="s">
        <v>1810</v>
      </c>
      <c r="J146" s="26"/>
      <c r="K146" s="77" t="s">
        <v>1810</v>
      </c>
      <c r="L146" s="889" t="s">
        <v>1809</v>
      </c>
      <c r="M146" s="26"/>
      <c r="N146" s="26"/>
      <c r="O146" s="26"/>
      <c r="P146" s="26"/>
      <c r="Q146" s="26"/>
      <c r="R146" s="26"/>
      <c r="S146" s="26"/>
      <c r="T146" s="388" t="b" cm="1">
        <f t="array" aca="1" ref="T146" ca="1">T145</f>
        <v>0</v>
      </c>
      <c r="U146" s="26"/>
      <c r="V146" s="26"/>
      <c r="W146" s="26"/>
      <c r="X146" s="2066"/>
      <c r="Z146" s="2012"/>
      <c r="AB146" s="218" t="str">
        <f>IF(B141,D142&amp;".8",D142&amp;".6")</f>
        <v>7.6</v>
      </c>
      <c r="AC146" s="702" t="s">
        <v>1519</v>
      </c>
      <c r="AD146" s="218" t="s">
        <v>831</v>
      </c>
      <c r="AE146" s="1148"/>
      <c r="AF146" s="1148"/>
      <c r="AG146" s="1148"/>
      <c r="AH146" s="1022">
        <f t="shared" si="27"/>
        <v>0</v>
      </c>
      <c r="AI146" s="1148"/>
      <c r="AJ146" s="1514">
        <f ca="1">SUMIFS('Корректировка НВВ'!$AF$25:$AF$180,'Корректировка НВВ'!$F$25:$F$180,$F146,'Корректировка НВВ'!$I$25:$I$180,$G146)</f>
        <v>0</v>
      </c>
      <c r="AK146" s="1148"/>
      <c r="AL146" s="1148"/>
      <c r="AM146" s="1148"/>
      <c r="AN146" s="1148"/>
      <c r="AO146" s="1148"/>
      <c r="AP146" s="1148"/>
      <c r="AQ146" s="1148"/>
      <c r="AR146" s="1148"/>
      <c r="AS146" s="1148"/>
      <c r="AT146" s="1514">
        <f ca="1">SUMIFS('Корректировка НВВ'!$AG$25:$AG$180,'Корректировка НВВ'!$F$25:$F$180,$F146,'Корректировка НВВ'!$I$25:$I$180,$G146)</f>
        <v>0</v>
      </c>
      <c r="AU146" s="1148"/>
      <c r="AV146" s="1148"/>
      <c r="AW146" s="1148"/>
      <c r="AX146" s="1148"/>
      <c r="AY146" s="1148"/>
      <c r="AZ146" s="1148"/>
      <c r="BA146" s="1148"/>
      <c r="BB146" s="1148"/>
      <c r="BC146" s="1148"/>
      <c r="BD146" s="1023"/>
      <c r="BE146" s="1023"/>
      <c r="BF146" s="1023"/>
      <c r="BG146" s="1023"/>
      <c r="BH146" s="1023"/>
      <c r="BI146" s="1023"/>
      <c r="BJ146" s="1023"/>
      <c r="BK146" s="1023"/>
      <c r="BL146" s="1023"/>
      <c r="BM146" s="1023"/>
      <c r="BN146" s="1145"/>
      <c r="BO146" s="1149" t="str">
        <f ca="1">IF(IFERROR(INDEX('Корректировка НВВ'!$K$26:$L$180,MATCH($F146&amp;"9komm",'Корректировка НВВ'!$K$26:$K$180,0),2),"")=0,"",IFERROR(INDEX('Корректировка НВВ'!$K$26:$L$180,MATCH($F146&amp;"9komm",'Корректировка НВВ'!$K$26:$K$180,0),2),""))</f>
        <v/>
      </c>
      <c r="BP146" s="1145"/>
      <c r="BS146" s="973" t="s">
        <v>2145</v>
      </c>
    </row>
    <row r="147" spans="2:75" ht="14.65" hidden="1" customHeight="1" x14ac:dyDescent="0.15">
      <c r="C147" s="26"/>
      <c r="D147" s="26" t="str" cm="1">
        <f t="array" ref="D147">D146</f>
        <v>7</v>
      </c>
      <c r="E147" s="545">
        <v>15</v>
      </c>
      <c r="F147" s="3" cm="1">
        <f t="array" aca="1" ref="F147" ca="1">OFFSET(E147,-1,1)</f>
        <v>0</v>
      </c>
      <c r="G147" s="26" t="s">
        <v>2146</v>
      </c>
      <c r="H147" s="26"/>
      <c r="I147" s="26" t="s">
        <v>1812</v>
      </c>
      <c r="J147" s="26"/>
      <c r="K147" s="77" t="s">
        <v>1812</v>
      </c>
      <c r="L147" s="889" t="s">
        <v>1810</v>
      </c>
      <c r="M147" s="26"/>
      <c r="N147" s="26"/>
      <c r="O147" s="26"/>
      <c r="P147" s="26"/>
      <c r="Q147" s="26"/>
      <c r="R147" s="26"/>
      <c r="S147" s="26"/>
      <c r="T147" s="388" t="b" cm="1">
        <f t="array" aca="1" ref="T147" ca="1">T146</f>
        <v>0</v>
      </c>
      <c r="U147" s="26"/>
      <c r="V147" s="26"/>
      <c r="W147" s="26"/>
      <c r="X147" s="2066"/>
      <c r="Z147" s="2012"/>
      <c r="AB147" s="218" t="str">
        <f>IF(B141,D142&amp;".9",D142&amp;".7")</f>
        <v>7.7</v>
      </c>
      <c r="AC147" s="702" t="s">
        <v>1521</v>
      </c>
      <c r="AD147" s="218" t="s">
        <v>831</v>
      </c>
      <c r="AE147" s="1148"/>
      <c r="AF147" s="1148"/>
      <c r="AG147" s="1148"/>
      <c r="AH147" s="1022">
        <f t="shared" si="27"/>
        <v>0</v>
      </c>
      <c r="AI147" s="1148"/>
      <c r="AJ147" s="1514">
        <f ca="1">SUMIFS('Корректировка НВВ'!$AF$25:$AF$180,'Корректировка НВВ'!$F$25:$F$180,$F147,'Корректировка НВВ'!$I$25:$I$180,$G147)</f>
        <v>0</v>
      </c>
      <c r="AK147" s="1148"/>
      <c r="AL147" s="1148"/>
      <c r="AM147" s="1148"/>
      <c r="AN147" s="1148"/>
      <c r="AO147" s="1148"/>
      <c r="AP147" s="1148"/>
      <c r="AQ147" s="1148"/>
      <c r="AR147" s="1148"/>
      <c r="AS147" s="1148"/>
      <c r="AT147" s="1514">
        <f ca="1">SUMIFS('Корректировка НВВ'!$AG$25:$AG$180,'Корректировка НВВ'!$F$25:$F$180,$F147,'Корректировка НВВ'!$I$25:$I$180,$G147)</f>
        <v>0</v>
      </c>
      <c r="AU147" s="1148"/>
      <c r="AV147" s="1148"/>
      <c r="AW147" s="1148"/>
      <c r="AX147" s="1148"/>
      <c r="AY147" s="1148"/>
      <c r="AZ147" s="1148"/>
      <c r="BA147" s="1148"/>
      <c r="BB147" s="1148"/>
      <c r="BC147" s="1148"/>
      <c r="BD147" s="1023"/>
      <c r="BE147" s="1023"/>
      <c r="BF147" s="1023"/>
      <c r="BG147" s="1023"/>
      <c r="BH147" s="1023"/>
      <c r="BI147" s="1023"/>
      <c r="BJ147" s="1023"/>
      <c r="BK147" s="1023"/>
      <c r="BL147" s="1023"/>
      <c r="BM147" s="1023"/>
      <c r="BN147" s="1145"/>
      <c r="BO147" s="1149" t="str">
        <f ca="1">IF(IFERROR(INDEX('Корректировка НВВ'!$K$26:$L$180,MATCH($F147&amp;"10komm",'Корректировка НВВ'!$K$26:$K$180,0),2),"")=0,"",IFERROR(INDEX('Корректировка НВВ'!$K$26:$L$180,MATCH($F147&amp;"10komm",'Корректировка НВВ'!$K$26:$K$180,0),2),""))</f>
        <v/>
      </c>
      <c r="BP147" s="1145"/>
      <c r="BS147" s="973" t="s">
        <v>1522</v>
      </c>
    </row>
    <row r="148" spans="2:75" s="623" customFormat="1" ht="20.45" hidden="1" customHeight="1" x14ac:dyDescent="0.15">
      <c r="B148" s="357"/>
      <c r="C148" s="28"/>
      <c r="D148" s="28">
        <f>D147+1</f>
        <v>8</v>
      </c>
      <c r="E148" s="745">
        <v>21</v>
      </c>
      <c r="F148" s="3" cm="1">
        <f t="array" aca="1" ref="F148" ca="1">OFFSET(E148,-1,1)</f>
        <v>0</v>
      </c>
      <c r="G148" s="28"/>
      <c r="H148" s="28"/>
      <c r="I148" s="28" t="s">
        <v>613</v>
      </c>
      <c r="J148" s="28"/>
      <c r="K148" s="81" t="s">
        <v>613</v>
      </c>
      <c r="L148" s="894"/>
      <c r="M148" s="28"/>
      <c r="N148" s="28"/>
      <c r="O148" s="28"/>
      <c r="P148" s="28"/>
      <c r="Q148" s="28"/>
      <c r="R148" s="28"/>
      <c r="S148" s="28"/>
      <c r="T148" s="388" t="b" cm="1">
        <f t="array" aca="1" ref="T148" ca="1">T147</f>
        <v>0</v>
      </c>
      <c r="U148" s="28"/>
      <c r="V148" s="28"/>
      <c r="W148" s="28"/>
      <c r="X148" s="2066"/>
      <c r="Z148" s="2012"/>
      <c r="AB148" s="130" cm="1">
        <f t="array" ref="AB148">D148</f>
        <v>8</v>
      </c>
      <c r="AC148" s="131" t="s">
        <v>2147</v>
      </c>
      <c r="AD148" s="130" t="s">
        <v>831</v>
      </c>
      <c r="AE148" s="1144"/>
      <c r="AF148" s="1144"/>
      <c r="AG148" s="1144"/>
      <c r="AH148" s="698">
        <f t="shared" si="27"/>
        <v>0</v>
      </c>
      <c r="AI148" s="1144"/>
      <c r="AJ148" s="1518"/>
      <c r="AK148" s="1144"/>
      <c r="AL148" s="1144"/>
      <c r="AM148" s="1144"/>
      <c r="AN148" s="1144"/>
      <c r="AO148" s="1144"/>
      <c r="AP148" s="1144"/>
      <c r="AQ148" s="1144"/>
      <c r="AR148" s="1144"/>
      <c r="AS148" s="1144"/>
      <c r="AT148" s="1518"/>
      <c r="AU148" s="1144"/>
      <c r="AV148" s="1144"/>
      <c r="AW148" s="1144"/>
      <c r="AX148" s="1144"/>
      <c r="AY148" s="1144"/>
      <c r="AZ148" s="1144"/>
      <c r="BA148" s="1144"/>
      <c r="BB148" s="1144"/>
      <c r="BC148" s="1144"/>
      <c r="BD148" s="135"/>
      <c r="BE148" s="135"/>
      <c r="BF148" s="135"/>
      <c r="BG148" s="135"/>
      <c r="BH148" s="135"/>
      <c r="BI148" s="135"/>
      <c r="BJ148" s="135"/>
      <c r="BK148" s="135"/>
      <c r="BL148" s="135"/>
      <c r="BM148" s="135"/>
      <c r="BN148" s="1147"/>
      <c r="BO148" s="1147"/>
      <c r="BP148" s="1147"/>
      <c r="BS148" s="979" t="s">
        <v>2148</v>
      </c>
      <c r="BT148" s="979"/>
      <c r="BU148" s="979"/>
      <c r="BV148" s="630"/>
      <c r="BW148" s="630"/>
    </row>
    <row r="149" spans="2:75" ht="14.65" hidden="1" customHeight="1" x14ac:dyDescent="0.15">
      <c r="C149" s="26"/>
      <c r="D149" s="28" cm="1">
        <f t="array" ref="D149">D148</f>
        <v>8</v>
      </c>
      <c r="E149" s="545">
        <v>15</v>
      </c>
      <c r="F149" s="3" cm="1">
        <f t="array" aca="1" ref="F149" ca="1">OFFSET(E149,-1,1)</f>
        <v>0</v>
      </c>
      <c r="G149" s="26"/>
      <c r="H149" s="26"/>
      <c r="I149" s="26" t="s">
        <v>616</v>
      </c>
      <c r="J149" s="26"/>
      <c r="K149" s="77" t="s">
        <v>616</v>
      </c>
      <c r="L149" s="889"/>
      <c r="M149" s="26"/>
      <c r="N149" s="26"/>
      <c r="O149" s="26"/>
      <c r="P149" s="26"/>
      <c r="Q149" s="26"/>
      <c r="R149" s="26"/>
      <c r="S149" s="26"/>
      <c r="T149" s="388" t="b" cm="1">
        <f t="array" aca="1" ref="T149" ca="1">T148</f>
        <v>0</v>
      </c>
      <c r="U149" s="26"/>
      <c r="V149" s="26"/>
      <c r="W149" s="26"/>
      <c r="X149" s="2066"/>
      <c r="Z149" s="2012"/>
      <c r="AB149" s="218" t="str">
        <f>D149&amp;".1"</f>
        <v>8.1</v>
      </c>
      <c r="AC149" s="682" t="s">
        <v>2149</v>
      </c>
      <c r="AD149" s="218" t="s">
        <v>490</v>
      </c>
      <c r="AE149" s="1022">
        <f ca="1">IF(AE150=0,0,AE148/(AE150+AE135)*100)</f>
        <v>0</v>
      </c>
      <c r="AF149" s="1022">
        <f ca="1">IF(AF150=0,0,AF148/(AF150+AF135)*100)</f>
        <v>0</v>
      </c>
      <c r="AG149" s="1022">
        <f ca="1">IF(AG150=0,0,AG148/(AG150+AG135)*100)</f>
        <v>0</v>
      </c>
      <c r="AH149" s="1022">
        <f t="shared" ca="1" si="27"/>
        <v>0</v>
      </c>
      <c r="AI149" s="1022">
        <f t="shared" ref="AI149:BC149" ca="1" si="31">IF(AI150=0,0,AI148/(AI150+AI135)*100)</f>
        <v>0</v>
      </c>
      <c r="AJ149" s="1022">
        <f t="shared" ca="1" si="31"/>
        <v>0</v>
      </c>
      <c r="AK149" s="1022">
        <f t="shared" ca="1" si="31"/>
        <v>0</v>
      </c>
      <c r="AL149" s="1022">
        <f t="shared" ca="1" si="31"/>
        <v>0</v>
      </c>
      <c r="AM149" s="1022">
        <f t="shared" ca="1" si="31"/>
        <v>0</v>
      </c>
      <c r="AN149" s="1022">
        <f t="shared" ca="1" si="31"/>
        <v>0</v>
      </c>
      <c r="AO149" s="1022">
        <f t="shared" ca="1" si="31"/>
        <v>0</v>
      </c>
      <c r="AP149" s="1022">
        <f t="shared" ca="1" si="31"/>
        <v>0</v>
      </c>
      <c r="AQ149" s="1022">
        <f t="shared" ca="1" si="31"/>
        <v>0</v>
      </c>
      <c r="AR149" s="1022">
        <f t="shared" ca="1" si="31"/>
        <v>0</v>
      </c>
      <c r="AS149" s="1022">
        <f t="shared" ca="1" si="31"/>
        <v>0</v>
      </c>
      <c r="AT149" s="1022">
        <f t="shared" ca="1" si="31"/>
        <v>0</v>
      </c>
      <c r="AU149" s="1022">
        <f t="shared" ca="1" si="31"/>
        <v>0</v>
      </c>
      <c r="AV149" s="1022">
        <f t="shared" ca="1" si="31"/>
        <v>0</v>
      </c>
      <c r="AW149" s="1022">
        <f t="shared" ca="1" si="31"/>
        <v>0</v>
      </c>
      <c r="AX149" s="1022">
        <f t="shared" ca="1" si="31"/>
        <v>0</v>
      </c>
      <c r="AY149" s="1022">
        <f t="shared" ca="1" si="31"/>
        <v>0</v>
      </c>
      <c r="AZ149" s="1022">
        <f t="shared" ca="1" si="31"/>
        <v>0</v>
      </c>
      <c r="BA149" s="1022">
        <f t="shared" ca="1" si="31"/>
        <v>0</v>
      </c>
      <c r="BB149" s="1022">
        <f t="shared" ca="1" si="31"/>
        <v>0</v>
      </c>
      <c r="BC149" s="1022">
        <f t="shared" ca="1" si="31"/>
        <v>0</v>
      </c>
      <c r="BD149" s="1023"/>
      <c r="BE149" s="1023"/>
      <c r="BF149" s="1023"/>
      <c r="BG149" s="1023"/>
      <c r="BH149" s="1023"/>
      <c r="BI149" s="1023"/>
      <c r="BJ149" s="1023"/>
      <c r="BK149" s="1023"/>
      <c r="BL149" s="1023"/>
      <c r="BM149" s="1023"/>
      <c r="BN149" s="1145"/>
      <c r="BO149" s="1145"/>
      <c r="BP149" s="1145"/>
      <c r="BS149" s="973" t="s">
        <v>2150</v>
      </c>
    </row>
    <row r="150" spans="2:75" s="623" customFormat="1" ht="20.45" hidden="1" customHeight="1" x14ac:dyDescent="0.15">
      <c r="B150" s="357"/>
      <c r="C150" s="28"/>
      <c r="D150" s="28">
        <f>D149+1</f>
        <v>9</v>
      </c>
      <c r="E150" s="745">
        <v>21</v>
      </c>
      <c r="F150" s="3" cm="1">
        <f t="array" aca="1" ref="F150" ca="1">OFFSET(E150,-1,1)</f>
        <v>0</v>
      </c>
      <c r="G150" s="28"/>
      <c r="H150" s="26"/>
      <c r="I150" s="26" t="s">
        <v>770</v>
      </c>
      <c r="J150" s="28"/>
      <c r="K150" s="77" t="s">
        <v>770</v>
      </c>
      <c r="L150" s="894" t="s">
        <v>1812</v>
      </c>
      <c r="M150" s="28"/>
      <c r="N150" s="28"/>
      <c r="O150" s="28"/>
      <c r="P150" s="28"/>
      <c r="Q150" s="28"/>
      <c r="R150" s="28"/>
      <c r="S150" s="28"/>
      <c r="T150" s="388" t="b" cm="1">
        <f t="array" aca="1" ref="T150" ca="1">T149</f>
        <v>0</v>
      </c>
      <c r="U150" s="28"/>
      <c r="V150" s="28"/>
      <c r="W150" s="28"/>
      <c r="X150" s="2066"/>
      <c r="Z150" s="2012"/>
      <c r="AB150" s="130" cm="1">
        <f t="array" ref="AB150">D150</f>
        <v>9</v>
      </c>
      <c r="AC150" s="131" t="s">
        <v>1814</v>
      </c>
      <c r="AD150" s="153" t="s">
        <v>831</v>
      </c>
      <c r="AE150" s="132">
        <f ca="1">AE28+AE78+AE114+AE115+AE117+AE122+AE123+AE126</f>
        <v>0</v>
      </c>
      <c r="AF150" s="132">
        <f ca="1">AF28+AF78+AF114+AF115+AF117+AF122+AF123+AF126</f>
        <v>0</v>
      </c>
      <c r="AG150" s="132">
        <f ca="1">AG28+AG78+AG114+AG115+AG117+AG122+AG123+AG126</f>
        <v>0</v>
      </c>
      <c r="AH150" s="698">
        <f t="shared" ca="1" si="27"/>
        <v>0</v>
      </c>
      <c r="AI150" s="132">
        <f t="shared" ref="AI150:BC150" ca="1" si="32">AI28+AI78+AI114+AI115+AI117+AI122+AI123+AI126</f>
        <v>0</v>
      </c>
      <c r="AJ150" s="132">
        <f t="shared" ca="1" si="32"/>
        <v>0</v>
      </c>
      <c r="AK150" s="132">
        <f t="shared" ca="1" si="32"/>
        <v>0</v>
      </c>
      <c r="AL150" s="132">
        <f t="shared" ca="1" si="32"/>
        <v>0</v>
      </c>
      <c r="AM150" s="132">
        <f t="shared" ca="1" si="32"/>
        <v>0</v>
      </c>
      <c r="AN150" s="132">
        <f t="shared" ca="1" si="32"/>
        <v>0</v>
      </c>
      <c r="AO150" s="132">
        <f t="shared" ca="1" si="32"/>
        <v>0</v>
      </c>
      <c r="AP150" s="132">
        <f t="shared" ca="1" si="32"/>
        <v>0</v>
      </c>
      <c r="AQ150" s="132">
        <f t="shared" ca="1" si="32"/>
        <v>0</v>
      </c>
      <c r="AR150" s="132">
        <f t="shared" ca="1" si="32"/>
        <v>0</v>
      </c>
      <c r="AS150" s="132">
        <f t="shared" ca="1" si="32"/>
        <v>0</v>
      </c>
      <c r="AT150" s="132">
        <f t="shared" ca="1" si="32"/>
        <v>0</v>
      </c>
      <c r="AU150" s="132">
        <f t="shared" ca="1" si="32"/>
        <v>0</v>
      </c>
      <c r="AV150" s="132">
        <f t="shared" ca="1" si="32"/>
        <v>0</v>
      </c>
      <c r="AW150" s="132">
        <f t="shared" ca="1" si="32"/>
        <v>0</v>
      </c>
      <c r="AX150" s="132">
        <f t="shared" ca="1" si="32"/>
        <v>0</v>
      </c>
      <c r="AY150" s="132">
        <f t="shared" ca="1" si="32"/>
        <v>0</v>
      </c>
      <c r="AZ150" s="132">
        <f t="shared" ca="1" si="32"/>
        <v>0</v>
      </c>
      <c r="BA150" s="132">
        <f t="shared" ca="1" si="32"/>
        <v>0</v>
      </c>
      <c r="BB150" s="132">
        <f t="shared" ca="1" si="32"/>
        <v>0</v>
      </c>
      <c r="BC150" s="132">
        <f t="shared" ca="1" si="32"/>
        <v>0</v>
      </c>
      <c r="BD150" s="698">
        <f ca="1">IF(AI150=0,0,(AT150-AI150)/AI150*100)</f>
        <v>0</v>
      </c>
      <c r="BE150" s="698">
        <f t="shared" ref="BE150:BM151" ca="1" si="33">IF(AT150=0,0,(AU150-AT150)/AT150*100)</f>
        <v>0</v>
      </c>
      <c r="BF150" s="698">
        <f t="shared" ca="1" si="33"/>
        <v>0</v>
      </c>
      <c r="BG150" s="698">
        <f t="shared" ca="1" si="33"/>
        <v>0</v>
      </c>
      <c r="BH150" s="698">
        <f t="shared" ca="1" si="33"/>
        <v>0</v>
      </c>
      <c r="BI150" s="698">
        <f t="shared" ca="1" si="33"/>
        <v>0</v>
      </c>
      <c r="BJ150" s="698">
        <f t="shared" ca="1" si="33"/>
        <v>0</v>
      </c>
      <c r="BK150" s="698">
        <f t="shared" ca="1" si="33"/>
        <v>0</v>
      </c>
      <c r="BL150" s="698">
        <f t="shared" ca="1" si="33"/>
        <v>0</v>
      </c>
      <c r="BM150" s="698">
        <f t="shared" ca="1" si="33"/>
        <v>0</v>
      </c>
      <c r="BN150" s="1145"/>
      <c r="BO150" s="1145"/>
      <c r="BP150" s="1145"/>
      <c r="BS150" s="979" t="s">
        <v>1815</v>
      </c>
      <c r="BT150" s="979"/>
      <c r="BU150" s="979"/>
      <c r="BV150" s="630"/>
      <c r="BW150" s="630"/>
    </row>
    <row r="151" spans="2:75" s="623" customFormat="1" ht="20.45" hidden="1" customHeight="1" x14ac:dyDescent="0.15">
      <c r="B151" s="357"/>
      <c r="C151" s="28"/>
      <c r="D151" s="28">
        <f>D150+1</f>
        <v>10</v>
      </c>
      <c r="E151" s="745">
        <v>21</v>
      </c>
      <c r="F151" s="3" cm="1">
        <f t="array" aca="1" ref="F151" ca="1">OFFSET(E151,-1,1)</f>
        <v>0</v>
      </c>
      <c r="G151" s="28"/>
      <c r="H151" s="26"/>
      <c r="I151" s="26" t="s">
        <v>1824</v>
      </c>
      <c r="J151" s="28"/>
      <c r="K151" s="77" t="s">
        <v>1824</v>
      </c>
      <c r="L151" s="894"/>
      <c r="M151" s="28"/>
      <c r="N151" s="28"/>
      <c r="O151" s="28"/>
      <c r="P151" s="28"/>
      <c r="Q151" s="28"/>
      <c r="R151" s="28"/>
      <c r="S151" s="28"/>
      <c r="T151" s="388" t="b" cm="1">
        <f t="array" aca="1" ref="T151" ca="1">T150</f>
        <v>0</v>
      </c>
      <c r="U151" s="28"/>
      <c r="V151" s="28"/>
      <c r="W151" s="28"/>
      <c r="X151" s="2066"/>
      <c r="Z151" s="2012"/>
      <c r="AB151" s="130" cm="1">
        <f t="array" ref="AB151">D151</f>
        <v>10</v>
      </c>
      <c r="AC151" s="131" t="s">
        <v>2151</v>
      </c>
      <c r="AD151" s="130" t="s">
        <v>831</v>
      </c>
      <c r="AE151" s="132">
        <f t="shared" ref="AE151:BC151" ca="1" si="34">AE150+AE135+AE148</f>
        <v>0</v>
      </c>
      <c r="AF151" s="132">
        <f t="shared" ca="1" si="34"/>
        <v>0</v>
      </c>
      <c r="AG151" s="132">
        <f t="shared" ca="1" si="34"/>
        <v>0</v>
      </c>
      <c r="AH151" s="132">
        <f t="shared" ca="1" si="34"/>
        <v>0</v>
      </c>
      <c r="AI151" s="132">
        <f t="shared" ca="1" si="34"/>
        <v>0</v>
      </c>
      <c r="AJ151" s="132">
        <f t="shared" ca="1" si="34"/>
        <v>0</v>
      </c>
      <c r="AK151" s="132">
        <f t="shared" ca="1" si="34"/>
        <v>0</v>
      </c>
      <c r="AL151" s="132">
        <f t="shared" ca="1" si="34"/>
        <v>0</v>
      </c>
      <c r="AM151" s="132">
        <f t="shared" ca="1" si="34"/>
        <v>0</v>
      </c>
      <c r="AN151" s="132">
        <f t="shared" ca="1" si="34"/>
        <v>0</v>
      </c>
      <c r="AO151" s="132">
        <f t="shared" ca="1" si="34"/>
        <v>0</v>
      </c>
      <c r="AP151" s="132">
        <f t="shared" ca="1" si="34"/>
        <v>0</v>
      </c>
      <c r="AQ151" s="132">
        <f t="shared" ca="1" si="34"/>
        <v>0</v>
      </c>
      <c r="AR151" s="132">
        <f t="shared" ca="1" si="34"/>
        <v>0</v>
      </c>
      <c r="AS151" s="132">
        <f t="shared" ca="1" si="34"/>
        <v>0</v>
      </c>
      <c r="AT151" s="132">
        <f t="shared" ca="1" si="34"/>
        <v>0</v>
      </c>
      <c r="AU151" s="132">
        <f t="shared" ca="1" si="34"/>
        <v>0</v>
      </c>
      <c r="AV151" s="132">
        <f t="shared" ca="1" si="34"/>
        <v>0</v>
      </c>
      <c r="AW151" s="132">
        <f t="shared" ca="1" si="34"/>
        <v>0</v>
      </c>
      <c r="AX151" s="132">
        <f t="shared" ca="1" si="34"/>
        <v>0</v>
      </c>
      <c r="AY151" s="132">
        <f t="shared" ca="1" si="34"/>
        <v>0</v>
      </c>
      <c r="AZ151" s="132">
        <f t="shared" ca="1" si="34"/>
        <v>0</v>
      </c>
      <c r="BA151" s="132">
        <f t="shared" ca="1" si="34"/>
        <v>0</v>
      </c>
      <c r="BB151" s="132">
        <f t="shared" ca="1" si="34"/>
        <v>0</v>
      </c>
      <c r="BC151" s="132">
        <f t="shared" ca="1" si="34"/>
        <v>0</v>
      </c>
      <c r="BD151" s="698">
        <f ca="1">IF(AI151=0,0,(AT151-AI151)/AI151*100)</f>
        <v>0</v>
      </c>
      <c r="BE151" s="698">
        <f t="shared" ca="1" si="33"/>
        <v>0</v>
      </c>
      <c r="BF151" s="698">
        <f t="shared" ca="1" si="33"/>
        <v>0</v>
      </c>
      <c r="BG151" s="698">
        <f t="shared" ca="1" si="33"/>
        <v>0</v>
      </c>
      <c r="BH151" s="698">
        <f t="shared" ca="1" si="33"/>
        <v>0</v>
      </c>
      <c r="BI151" s="698">
        <f t="shared" ca="1" si="33"/>
        <v>0</v>
      </c>
      <c r="BJ151" s="698">
        <f t="shared" ca="1" si="33"/>
        <v>0</v>
      </c>
      <c r="BK151" s="698">
        <f t="shared" ca="1" si="33"/>
        <v>0</v>
      </c>
      <c r="BL151" s="698">
        <f t="shared" ca="1" si="33"/>
        <v>0</v>
      </c>
      <c r="BM151" s="698">
        <f t="shared" ca="1" si="33"/>
        <v>0</v>
      </c>
      <c r="BN151" s="1145"/>
      <c r="BO151" s="1145"/>
      <c r="BP151" s="1145"/>
      <c r="BS151" s="979" t="s">
        <v>2152</v>
      </c>
      <c r="BT151" s="979"/>
      <c r="BU151" s="979"/>
      <c r="BV151" s="630"/>
      <c r="BW151" s="630"/>
    </row>
    <row r="152" spans="2:75" ht="14.65" hidden="1" customHeight="1" x14ac:dyDescent="0.25">
      <c r="B152" s="367" t="b">
        <f>A27="двухставочный"</f>
        <v>0</v>
      </c>
      <c r="C152" s="26"/>
      <c r="D152" s="26" cm="1">
        <f t="array" ref="D152">D151</f>
        <v>10</v>
      </c>
      <c r="E152" s="545">
        <v>15</v>
      </c>
      <c r="F152" s="3" cm="1">
        <f t="array" aca="1" ref="F152" ca="1">OFFSET(E152,-1,1)</f>
        <v>0</v>
      </c>
      <c r="G152" s="26"/>
      <c r="H152" s="767"/>
      <c r="I152" s="767" t="s">
        <v>1828</v>
      </c>
      <c r="J152" s="26"/>
      <c r="K152" s="295" t="s">
        <v>1828</v>
      </c>
      <c r="L152" s="889" t="s">
        <v>1816</v>
      </c>
      <c r="M152" s="26"/>
      <c r="N152" s="26"/>
      <c r="O152" s="26"/>
      <c r="P152" s="26"/>
      <c r="Q152" s="26"/>
      <c r="R152" s="26"/>
      <c r="S152" s="26"/>
      <c r="T152" s="388" t="b" cm="1">
        <f t="array" aca="1" ref="T152" ca="1">T151</f>
        <v>0</v>
      </c>
      <c r="U152" s="26"/>
      <c r="V152" s="26"/>
      <c r="W152" s="26"/>
      <c r="X152" s="2066"/>
      <c r="Z152" s="2012"/>
      <c r="AB152" s="218" t="str">
        <f>D152&amp;".1"</f>
        <v>10.1</v>
      </c>
      <c r="AC152" s="1020" t="s">
        <v>1818</v>
      </c>
      <c r="AD152" s="218" t="s">
        <v>831</v>
      </c>
      <c r="AE152" s="1148"/>
      <c r="AF152" s="1148"/>
      <c r="AG152" s="1148"/>
      <c r="AH152" s="1022">
        <f t="shared" ref="AH152:AH158" si="35">AG152-AF152</f>
        <v>0</v>
      </c>
      <c r="AI152" s="1148"/>
      <c r="AJ152" s="1514"/>
      <c r="AK152" s="1148"/>
      <c r="AL152" s="1148"/>
      <c r="AM152" s="1148"/>
      <c r="AN152" s="1148"/>
      <c r="AO152" s="1148"/>
      <c r="AP152" s="1148"/>
      <c r="AQ152" s="1148"/>
      <c r="AR152" s="1148"/>
      <c r="AS152" s="1148"/>
      <c r="AT152" s="1514"/>
      <c r="AU152" s="1148"/>
      <c r="AV152" s="1148"/>
      <c r="AW152" s="1148"/>
      <c r="AX152" s="1148"/>
      <c r="AY152" s="1148"/>
      <c r="AZ152" s="1148"/>
      <c r="BA152" s="1148"/>
      <c r="BB152" s="1148"/>
      <c r="BC152" s="1148"/>
      <c r="BD152" s="1023"/>
      <c r="BE152" s="1023"/>
      <c r="BF152" s="1023"/>
      <c r="BG152" s="1023"/>
      <c r="BH152" s="1023"/>
      <c r="BI152" s="1023"/>
      <c r="BJ152" s="1023"/>
      <c r="BK152" s="1023"/>
      <c r="BL152" s="1023"/>
      <c r="BM152" s="1023"/>
      <c r="BN152" s="1145"/>
      <c r="BO152" s="1145"/>
      <c r="BP152" s="1145"/>
      <c r="BS152" s="971" t="s">
        <v>1819</v>
      </c>
    </row>
    <row r="153" spans="2:75" ht="14.65" hidden="1" customHeight="1" x14ac:dyDescent="0.25">
      <c r="B153" s="367" t="b">
        <f>A27="двухставочный"</f>
        <v>0</v>
      </c>
      <c r="C153" s="26"/>
      <c r="D153" s="26" cm="1">
        <f t="array" ref="D153">D152</f>
        <v>10</v>
      </c>
      <c r="E153" s="545">
        <v>15</v>
      </c>
      <c r="F153" s="3" cm="1">
        <f t="array" aca="1" ref="F153" ca="1">OFFSET(E153,-1,1)</f>
        <v>0</v>
      </c>
      <c r="G153" s="26"/>
      <c r="H153" s="767"/>
      <c r="I153" s="767" t="s">
        <v>1832</v>
      </c>
      <c r="J153" s="26"/>
      <c r="K153" s="295" t="s">
        <v>1832</v>
      </c>
      <c r="L153" s="889" t="s">
        <v>1820</v>
      </c>
      <c r="M153" s="26"/>
      <c r="N153" s="26"/>
      <c r="O153" s="26"/>
      <c r="P153" s="26"/>
      <c r="Q153" s="26"/>
      <c r="R153" s="26"/>
      <c r="S153" s="26"/>
      <c r="T153" s="388" t="b" cm="1">
        <f t="array" aca="1" ref="T153" ca="1">T152</f>
        <v>0</v>
      </c>
      <c r="U153" s="26"/>
      <c r="V153" s="26"/>
      <c r="W153" s="26"/>
      <c r="X153" s="2066"/>
      <c r="Z153" s="2012"/>
      <c r="AB153" s="218" t="str">
        <f>D153&amp;".2"</f>
        <v>10.2</v>
      </c>
      <c r="AC153" s="1020" t="s">
        <v>1822</v>
      </c>
      <c r="AD153" s="218" t="s">
        <v>831</v>
      </c>
      <c r="AE153" s="1148"/>
      <c r="AF153" s="1148"/>
      <c r="AG153" s="1148"/>
      <c r="AH153" s="1022">
        <f t="shared" si="35"/>
        <v>0</v>
      </c>
      <c r="AI153" s="1148"/>
      <c r="AJ153" s="1514"/>
      <c r="AK153" s="1148"/>
      <c r="AL153" s="1148"/>
      <c r="AM153" s="1148"/>
      <c r="AN153" s="1148"/>
      <c r="AO153" s="1148"/>
      <c r="AP153" s="1148"/>
      <c r="AQ153" s="1148"/>
      <c r="AR153" s="1148"/>
      <c r="AS153" s="1148"/>
      <c r="AT153" s="1514"/>
      <c r="AU153" s="1148"/>
      <c r="AV153" s="1148"/>
      <c r="AW153" s="1148"/>
      <c r="AX153" s="1148"/>
      <c r="AY153" s="1148"/>
      <c r="AZ153" s="1148"/>
      <c r="BA153" s="1148"/>
      <c r="BB153" s="1148"/>
      <c r="BC153" s="1148"/>
      <c r="BD153" s="1023"/>
      <c r="BE153" s="1023"/>
      <c r="BF153" s="1023"/>
      <c r="BG153" s="1023"/>
      <c r="BH153" s="1023"/>
      <c r="BI153" s="1023"/>
      <c r="BJ153" s="1023"/>
      <c r="BK153" s="1023"/>
      <c r="BL153" s="1023"/>
      <c r="BM153" s="1023"/>
      <c r="BN153" s="1145"/>
      <c r="BO153" s="1145"/>
      <c r="BP153" s="1145"/>
      <c r="BS153" s="971" t="s">
        <v>1823</v>
      </c>
    </row>
    <row r="154" spans="2:75" s="623" customFormat="1" ht="20.45" hidden="1" customHeight="1" x14ac:dyDescent="0.25">
      <c r="B154" s="357"/>
      <c r="C154" s="28"/>
      <c r="D154" s="28">
        <f>D153+1</f>
        <v>11</v>
      </c>
      <c r="E154" s="745">
        <v>21</v>
      </c>
      <c r="F154" s="3" cm="1">
        <f t="array" aca="1" ref="F154" ca="1">OFFSET(E154,-1,1)</f>
        <v>0</v>
      </c>
      <c r="G154" s="26" t="s">
        <v>1597</v>
      </c>
      <c r="H154" s="26"/>
      <c r="I154" s="26" t="s">
        <v>1852</v>
      </c>
      <c r="J154" s="28"/>
      <c r="K154" s="77" t="s">
        <v>1852</v>
      </c>
      <c r="L154" s="894" t="s">
        <v>1824</v>
      </c>
      <c r="M154" s="28"/>
      <c r="N154" s="28"/>
      <c r="O154" s="28"/>
      <c r="P154" s="28"/>
      <c r="Q154" s="28"/>
      <c r="R154" s="28"/>
      <c r="S154" s="28"/>
      <c r="T154" s="388" t="b" cm="1">
        <f t="array" aca="1" ref="T154" ca="1">T153</f>
        <v>0</v>
      </c>
      <c r="U154" s="28"/>
      <c r="V154" s="28"/>
      <c r="W154" s="28"/>
      <c r="X154" s="2066"/>
      <c r="Z154" s="2012"/>
      <c r="AB154" s="130" cm="1">
        <f t="array" ref="AB154">D154</f>
        <v>11</v>
      </c>
      <c r="AC154" s="131" t="s">
        <v>1826</v>
      </c>
      <c r="AD154" s="130" t="s">
        <v>563</v>
      </c>
      <c r="AE154" s="705">
        <f ca="1">SUMIFS(Баланс!AE$26:AE$300,Баланс!$F$26:$F$300,$F154,Баланс!$G$26:$G$300,"ПО")</f>
        <v>0</v>
      </c>
      <c r="AF154" s="705">
        <f ca="1">SUMIFS(Баланс!AF$26:AF$300,Баланс!$F$26:$F$300,$F154,Баланс!$G$26:$G$300,"ПО")</f>
        <v>0</v>
      </c>
      <c r="AG154" s="705">
        <f ca="1">SUMIFS(Баланс!AG$26:AG$300,Баланс!$F$26:$F$300,$F154,Баланс!$G$26:$G$300,"ПО")</f>
        <v>0</v>
      </c>
      <c r="AH154" s="705">
        <f t="shared" ca="1" si="35"/>
        <v>0</v>
      </c>
      <c r="AI154" s="705">
        <f ca="1">SUMIFS(Баланс!AH$26:AH$300,Баланс!$F$26:$F$300,$F154,Баланс!$G$26:$G$300,"ПО")</f>
        <v>0</v>
      </c>
      <c r="AJ154" s="705">
        <f ca="1">SUMIFS(Баланс!AI$26:AI$300,Баланс!$F$26:$F$300,$F154,Баланс!$G$26:$G$300,"ПО")</f>
        <v>0</v>
      </c>
      <c r="AK154" s="705">
        <f ca="1">SUMIFS(Баланс!AJ$26:AJ$300,Баланс!$F$26:$F$300,$F154,Баланс!$G$26:$G$300,"ПО")</f>
        <v>0</v>
      </c>
      <c r="AL154" s="705">
        <f ca="1">SUMIFS(Баланс!AK$26:AK$300,Баланс!$F$26:$F$300,$F154,Баланс!$G$26:$G$300,"ПО")</f>
        <v>0</v>
      </c>
      <c r="AM154" s="705">
        <f ca="1">SUMIFS(Баланс!AL$26:AL$300,Баланс!$F$26:$F$300,$F154,Баланс!$G$26:$G$300,"ПО")</f>
        <v>0</v>
      </c>
      <c r="AN154" s="705">
        <f ca="1">SUMIFS(Баланс!AM$26:AM$300,Баланс!$F$26:$F$300,$F154,Баланс!$G$26:$G$300,"ПО")</f>
        <v>0</v>
      </c>
      <c r="AO154" s="705">
        <f ca="1">SUMIFS(Баланс!AN$26:AN$300,Баланс!$F$26:$F$300,$F154,Баланс!$G$26:$G$300,"ПО")</f>
        <v>0</v>
      </c>
      <c r="AP154" s="705">
        <f ca="1">SUMIFS(Баланс!AO$26:AO$300,Баланс!$F$26:$F$300,$F154,Баланс!$G$26:$G$300,"ПО")</f>
        <v>0</v>
      </c>
      <c r="AQ154" s="705">
        <f ca="1">SUMIFS(Баланс!AP$26:AP$300,Баланс!$F$26:$F$300,$F154,Баланс!$G$26:$G$300,"ПО")</f>
        <v>0</v>
      </c>
      <c r="AR154" s="705">
        <f ca="1">SUMIFS(Баланс!AQ$26:AQ$300,Баланс!$F$26:$F$300,$F154,Баланс!$G$26:$G$300,"ПО")</f>
        <v>0</v>
      </c>
      <c r="AS154" s="705">
        <f ca="1">SUMIFS(Баланс!AR$26:AR$300,Баланс!$F$26:$F$300,$F154,Баланс!$G$26:$G$300,"ПО")</f>
        <v>0</v>
      </c>
      <c r="AT154" s="705">
        <f ca="1">SUMIFS(Баланс!AS$26:AS$300,Баланс!$F$26:$F$300,$F154,Баланс!$G$26:$G$300,"ПО")</f>
        <v>0</v>
      </c>
      <c r="AU154" s="705">
        <f ca="1">SUMIFS(Баланс!AT$26:AT$300,Баланс!$F$26:$F$300,$F154,Баланс!$G$26:$G$300,"ПО")</f>
        <v>0</v>
      </c>
      <c r="AV154" s="705">
        <f ca="1">SUMIFS(Баланс!AU$26:AU$300,Баланс!$F$26:$F$300,$F154,Баланс!$G$26:$G$300,"ПО")</f>
        <v>0</v>
      </c>
      <c r="AW154" s="705">
        <f ca="1">SUMIFS(Баланс!AV$26:AV$300,Баланс!$F$26:$F$300,$F154,Баланс!$G$26:$G$300,"ПО")</f>
        <v>0</v>
      </c>
      <c r="AX154" s="705">
        <f ca="1">SUMIFS(Баланс!AW$26:AW$300,Баланс!$F$26:$F$300,$F154,Баланс!$G$26:$G$300,"ПО")</f>
        <v>0</v>
      </c>
      <c r="AY154" s="705">
        <f ca="1">SUMIFS(Баланс!AX$26:AX$300,Баланс!$F$26:$F$300,$F154,Баланс!$G$26:$G$300,"ПО")</f>
        <v>0</v>
      </c>
      <c r="AZ154" s="705">
        <f ca="1">SUMIFS(Баланс!AY$26:AY$300,Баланс!$F$26:$F$300,$F154,Баланс!$G$26:$G$300,"ПО")</f>
        <v>0</v>
      </c>
      <c r="BA154" s="705">
        <f ca="1">SUMIFS(Баланс!AZ$26:AZ$300,Баланс!$F$26:$F$300,$F154,Баланс!$G$26:$G$300,"ПО")</f>
        <v>0</v>
      </c>
      <c r="BB154" s="705">
        <f ca="1">SUMIFS(Баланс!BA$26:BA$300,Баланс!$F$26:$F$300,$F154,Баланс!$G$26:$G$300,"ПО")</f>
        <v>0</v>
      </c>
      <c r="BC154" s="705">
        <f ca="1">SUMIFS(Баланс!BB$26:BB$300,Баланс!$F$26:$F$300,$F154,Баланс!$G$26:$G$300,"ПО")</f>
        <v>0</v>
      </c>
      <c r="BD154" s="135"/>
      <c r="BE154" s="135"/>
      <c r="BF154" s="135"/>
      <c r="BG154" s="135"/>
      <c r="BH154" s="135"/>
      <c r="BI154" s="135"/>
      <c r="BJ154" s="135"/>
      <c r="BK154" s="135"/>
      <c r="BL154" s="135"/>
      <c r="BM154" s="135"/>
      <c r="BN154" s="1145"/>
      <c r="BO154" s="1145"/>
      <c r="BP154" s="1145"/>
      <c r="BS154" s="972" t="s">
        <v>1827</v>
      </c>
      <c r="BT154" s="979"/>
      <c r="BU154" s="979"/>
      <c r="BV154" s="630"/>
      <c r="BW154" s="630"/>
    </row>
    <row r="155" spans="2:75" ht="14.65" hidden="1" customHeight="1" x14ac:dyDescent="0.25">
      <c r="C155" s="26"/>
      <c r="D155" s="26" cm="1">
        <f t="array" ref="D155">D154</f>
        <v>11</v>
      </c>
      <c r="E155" s="545">
        <v>15</v>
      </c>
      <c r="F155" s="3" cm="1">
        <f t="array" aca="1" ref="F155" ca="1">OFFSET(E155,-1,1)</f>
        <v>0</v>
      </c>
      <c r="G155" s="26" t="s">
        <v>1624</v>
      </c>
      <c r="H155" s="26"/>
      <c r="I155" s="26" t="s">
        <v>2153</v>
      </c>
      <c r="J155" s="26"/>
      <c r="K155" s="77" t="s">
        <v>2153</v>
      </c>
      <c r="L155" s="889" t="s">
        <v>1828</v>
      </c>
      <c r="M155" s="26"/>
      <c r="N155" s="26"/>
      <c r="O155" s="26"/>
      <c r="P155" s="26"/>
      <c r="Q155" s="26"/>
      <c r="R155" s="26"/>
      <c r="S155" s="26"/>
      <c r="T155" s="388" t="b" cm="1">
        <f t="array" aca="1" ref="T155" ca="1">T154</f>
        <v>0</v>
      </c>
      <c r="U155" s="26"/>
      <c r="V155" s="26"/>
      <c r="W155" s="26"/>
      <c r="X155" s="2066"/>
      <c r="Z155" s="2012"/>
      <c r="AB155" s="218" t="str">
        <f>D155&amp;".1"</f>
        <v>11.1</v>
      </c>
      <c r="AC155" s="1019" t="s">
        <v>1830</v>
      </c>
      <c r="AD155" s="218" t="s">
        <v>563</v>
      </c>
      <c r="AE155" s="1146">
        <f ca="1">AE154/2</f>
        <v>0</v>
      </c>
      <c r="AF155" s="1146">
        <f ca="1">AF154/2</f>
        <v>0</v>
      </c>
      <c r="AG155" s="1146">
        <f ca="1">AG154/2</f>
        <v>0</v>
      </c>
      <c r="AH155" s="1021">
        <f t="shared" ca="1" si="35"/>
        <v>0</v>
      </c>
      <c r="AI155" s="1146">
        <f ca="1">AI154/2</f>
        <v>0</v>
      </c>
      <c r="AJ155" s="1513">
        <f ca="1">IF(god=2026,AJ154/12*9,AJ154/2)</f>
        <v>0</v>
      </c>
      <c r="AK155" s="1146">
        <f ca="1">IF(god=2025,AK154/12*9,AK154/2)</f>
        <v>0</v>
      </c>
      <c r="AL155" s="1146">
        <f t="shared" ref="AL155:AS155" ca="1" si="36">AL154/2</f>
        <v>0</v>
      </c>
      <c r="AM155" s="1146">
        <f t="shared" ca="1" si="36"/>
        <v>0</v>
      </c>
      <c r="AN155" s="1146">
        <f t="shared" ca="1" si="36"/>
        <v>0</v>
      </c>
      <c r="AO155" s="1146">
        <f t="shared" ca="1" si="36"/>
        <v>0</v>
      </c>
      <c r="AP155" s="1146">
        <f t="shared" ca="1" si="36"/>
        <v>0</v>
      </c>
      <c r="AQ155" s="1146">
        <f t="shared" ca="1" si="36"/>
        <v>0</v>
      </c>
      <c r="AR155" s="1146">
        <f t="shared" ca="1" si="36"/>
        <v>0</v>
      </c>
      <c r="AS155" s="1146">
        <f t="shared" ca="1" si="36"/>
        <v>0</v>
      </c>
      <c r="AT155" s="1519">
        <f ca="1">IF(god=2026,AT154/12*9,AT154/2)</f>
        <v>0</v>
      </c>
      <c r="AU155" s="1168">
        <f ca="1">IF(god=2025,AU154/12*9,AU154/2)</f>
        <v>0</v>
      </c>
      <c r="AV155" s="1146">
        <f t="shared" ref="AV155:BC155" ca="1" si="37">AV154/2</f>
        <v>0</v>
      </c>
      <c r="AW155" s="1146">
        <f t="shared" ca="1" si="37"/>
        <v>0</v>
      </c>
      <c r="AX155" s="1146">
        <f t="shared" ca="1" si="37"/>
        <v>0</v>
      </c>
      <c r="AY155" s="1146">
        <f t="shared" ca="1" si="37"/>
        <v>0</v>
      </c>
      <c r="AZ155" s="1146">
        <f t="shared" ca="1" si="37"/>
        <v>0</v>
      </c>
      <c r="BA155" s="1146">
        <f t="shared" ca="1" si="37"/>
        <v>0</v>
      </c>
      <c r="BB155" s="1146">
        <f t="shared" ca="1" si="37"/>
        <v>0</v>
      </c>
      <c r="BC155" s="1146">
        <f t="shared" ca="1" si="37"/>
        <v>0</v>
      </c>
      <c r="BD155" s="1023"/>
      <c r="BE155" s="1023"/>
      <c r="BF155" s="1023"/>
      <c r="BG155" s="1023"/>
      <c r="BH155" s="1023"/>
      <c r="BI155" s="1023"/>
      <c r="BJ155" s="1023"/>
      <c r="BK155" s="1023"/>
      <c r="BL155" s="1023"/>
      <c r="BM155" s="1023"/>
      <c r="BN155" s="1145"/>
      <c r="BO155" s="1145"/>
      <c r="BP155" s="1145"/>
      <c r="BS155" s="971" t="s">
        <v>1831</v>
      </c>
    </row>
    <row r="156" spans="2:75" ht="14.65" hidden="1" customHeight="1" x14ac:dyDescent="0.25">
      <c r="C156" s="26"/>
      <c r="D156" s="26" cm="1">
        <f t="array" ref="D156">D155</f>
        <v>11</v>
      </c>
      <c r="E156" s="545">
        <v>15</v>
      </c>
      <c r="F156" s="3" cm="1">
        <f t="array" aca="1" ref="F156" ca="1">OFFSET(E156,-1,1)</f>
        <v>0</v>
      </c>
      <c r="G156" s="26" t="s">
        <v>1585</v>
      </c>
      <c r="H156" s="26"/>
      <c r="I156" s="26" t="s">
        <v>2154</v>
      </c>
      <c r="J156" s="26"/>
      <c r="K156" s="77" t="s">
        <v>2154</v>
      </c>
      <c r="L156" s="889" t="s">
        <v>1832</v>
      </c>
      <c r="M156" s="26"/>
      <c r="N156" s="26"/>
      <c r="O156" s="26"/>
      <c r="P156" s="26"/>
      <c r="Q156" s="26"/>
      <c r="R156" s="26"/>
      <c r="S156" s="26"/>
      <c r="T156" s="388" t="b" cm="1">
        <f t="array" aca="1" ref="T156" ca="1">T155</f>
        <v>0</v>
      </c>
      <c r="U156" s="26"/>
      <c r="V156" s="26"/>
      <c r="W156" s="26"/>
      <c r="X156" s="2066"/>
      <c r="Z156" s="2012"/>
      <c r="AB156" s="218" t="str">
        <f>D156&amp;".2"</f>
        <v>11.2</v>
      </c>
      <c r="AC156" s="1019" t="s">
        <v>1834</v>
      </c>
      <c r="AD156" s="218" t="s">
        <v>1588</v>
      </c>
      <c r="AE156" s="1148"/>
      <c r="AF156" s="1148"/>
      <c r="AG156" s="1148"/>
      <c r="AH156" s="1022">
        <f t="shared" si="35"/>
        <v>0</v>
      </c>
      <c r="AI156" s="1148"/>
      <c r="AJ156" s="1514"/>
      <c r="AK156" s="1148"/>
      <c r="AL156" s="1148"/>
      <c r="AM156" s="1148"/>
      <c r="AN156" s="1148"/>
      <c r="AO156" s="1148"/>
      <c r="AP156" s="1148"/>
      <c r="AQ156" s="1148"/>
      <c r="AR156" s="1148"/>
      <c r="AS156" s="1148"/>
      <c r="AT156" s="1514"/>
      <c r="AU156" s="1148" cm="1">
        <f t="array" aca="1" ref="AU156" ca="1">AT158</f>
        <v>0</v>
      </c>
      <c r="AV156" s="1148" cm="1">
        <f t="array" aca="1" ref="AV156" ca="1">AU158</f>
        <v>0</v>
      </c>
      <c r="AW156" s="1148" cm="1">
        <f t="array" aca="1" ref="AW156" ca="1">AV158</f>
        <v>0</v>
      </c>
      <c r="AX156" s="1148" cm="1">
        <f t="array" aca="1" ref="AX156" ca="1">AW158</f>
        <v>0</v>
      </c>
      <c r="AY156" s="1148" cm="1">
        <f t="array" aca="1" ref="AY156" ca="1">AX158</f>
        <v>0</v>
      </c>
      <c r="AZ156" s="1148" cm="1">
        <f t="array" aca="1" ref="AZ156" ca="1">AY158</f>
        <v>0</v>
      </c>
      <c r="BA156" s="1148" cm="1">
        <f t="array" aca="1" ref="BA156" ca="1">AZ158</f>
        <v>0</v>
      </c>
      <c r="BB156" s="1148" cm="1">
        <f t="array" aca="1" ref="BB156" ca="1">BA158</f>
        <v>0</v>
      </c>
      <c r="BC156" s="1148" cm="1">
        <f t="array" aca="1" ref="BC156" ca="1">BB158</f>
        <v>0</v>
      </c>
      <c r="BD156" s="1023"/>
      <c r="BE156" s="1023"/>
      <c r="BF156" s="1023"/>
      <c r="BG156" s="1023"/>
      <c r="BH156" s="1023"/>
      <c r="BI156" s="1023"/>
      <c r="BJ156" s="1023"/>
      <c r="BK156" s="1023"/>
      <c r="BL156" s="1023"/>
      <c r="BM156" s="1023"/>
      <c r="BN156" s="1145"/>
      <c r="BO156" s="1145"/>
      <c r="BP156" s="1145"/>
      <c r="BS156" s="971" t="s">
        <v>1835</v>
      </c>
    </row>
    <row r="157" spans="2:75" ht="14.65" hidden="1" customHeight="1" x14ac:dyDescent="0.25">
      <c r="C157" s="26"/>
      <c r="D157" s="26" cm="1">
        <f t="array" ref="D157">D156</f>
        <v>11</v>
      </c>
      <c r="E157" s="545">
        <v>15</v>
      </c>
      <c r="F157" s="3" cm="1">
        <f t="array" aca="1" ref="F157" ca="1">OFFSET(E157,-1,1)</f>
        <v>0</v>
      </c>
      <c r="G157" s="26" t="s">
        <v>1637</v>
      </c>
      <c r="H157" s="26"/>
      <c r="I157" s="26" t="s">
        <v>2155</v>
      </c>
      <c r="J157" s="26"/>
      <c r="K157" s="77" t="s">
        <v>2155</v>
      </c>
      <c r="L157" s="889" t="s">
        <v>1836</v>
      </c>
      <c r="M157" s="26"/>
      <c r="N157" s="26"/>
      <c r="O157" s="26"/>
      <c r="P157" s="26"/>
      <c r="Q157" s="26"/>
      <c r="R157" s="26"/>
      <c r="S157" s="26"/>
      <c r="T157" s="388" t="b" cm="1">
        <f t="array" aca="1" ref="T157" ca="1">T156</f>
        <v>0</v>
      </c>
      <c r="U157" s="26"/>
      <c r="V157" s="26"/>
      <c r="W157" s="26"/>
      <c r="X157" s="2066"/>
      <c r="Z157" s="2012"/>
      <c r="AB157" s="218" t="str">
        <f>D157&amp;".3"</f>
        <v>11.3</v>
      </c>
      <c r="AC157" s="1019" t="s">
        <v>2156</v>
      </c>
      <c r="AD157" s="218" t="s">
        <v>563</v>
      </c>
      <c r="AE157" s="1021">
        <f ca="1">AE154-AE155</f>
        <v>0</v>
      </c>
      <c r="AF157" s="1021">
        <f ca="1">AF154-AF155</f>
        <v>0</v>
      </c>
      <c r="AG157" s="1021">
        <f ca="1">AG154-AG155</f>
        <v>0</v>
      </c>
      <c r="AH157" s="1021">
        <f t="shared" ca="1" si="35"/>
        <v>0</v>
      </c>
      <c r="AI157" s="1021">
        <f t="shared" ref="AI157:BC157" ca="1" si="38">AI154-AI155</f>
        <v>0</v>
      </c>
      <c r="AJ157" s="1021">
        <f t="shared" ca="1" si="38"/>
        <v>0</v>
      </c>
      <c r="AK157" s="1021">
        <f t="shared" ca="1" si="38"/>
        <v>0</v>
      </c>
      <c r="AL157" s="1021">
        <f t="shared" ca="1" si="38"/>
        <v>0</v>
      </c>
      <c r="AM157" s="1021">
        <f t="shared" ca="1" si="38"/>
        <v>0</v>
      </c>
      <c r="AN157" s="1021">
        <f t="shared" ca="1" si="38"/>
        <v>0</v>
      </c>
      <c r="AO157" s="1021">
        <f t="shared" ca="1" si="38"/>
        <v>0</v>
      </c>
      <c r="AP157" s="1021">
        <f t="shared" ca="1" si="38"/>
        <v>0</v>
      </c>
      <c r="AQ157" s="1021">
        <f t="shared" ca="1" si="38"/>
        <v>0</v>
      </c>
      <c r="AR157" s="1021">
        <f t="shared" ca="1" si="38"/>
        <v>0</v>
      </c>
      <c r="AS157" s="1021">
        <f t="shared" ca="1" si="38"/>
        <v>0</v>
      </c>
      <c r="AT157" s="1021">
        <f t="shared" ca="1" si="38"/>
        <v>0</v>
      </c>
      <c r="AU157" s="1021">
        <f t="shared" ca="1" si="38"/>
        <v>0</v>
      </c>
      <c r="AV157" s="1021">
        <f t="shared" ca="1" si="38"/>
        <v>0</v>
      </c>
      <c r="AW157" s="1021">
        <f t="shared" ca="1" si="38"/>
        <v>0</v>
      </c>
      <c r="AX157" s="1021">
        <f t="shared" ca="1" si="38"/>
        <v>0</v>
      </c>
      <c r="AY157" s="1021">
        <f t="shared" ca="1" si="38"/>
        <v>0</v>
      </c>
      <c r="AZ157" s="1021">
        <f t="shared" ca="1" si="38"/>
        <v>0</v>
      </c>
      <c r="BA157" s="1021">
        <f t="shared" ca="1" si="38"/>
        <v>0</v>
      </c>
      <c r="BB157" s="1021">
        <f t="shared" ca="1" si="38"/>
        <v>0</v>
      </c>
      <c r="BC157" s="1021">
        <f t="shared" ca="1" si="38"/>
        <v>0</v>
      </c>
      <c r="BD157" s="1023"/>
      <c r="BE157" s="1023"/>
      <c r="BF157" s="1023"/>
      <c r="BG157" s="1023"/>
      <c r="BH157" s="1023"/>
      <c r="BI157" s="1023"/>
      <c r="BJ157" s="1023"/>
      <c r="BK157" s="1023"/>
      <c r="BL157" s="1023"/>
      <c r="BM157" s="1023"/>
      <c r="BN157" s="1145"/>
      <c r="BO157" s="1145"/>
      <c r="BP157" s="1145"/>
      <c r="BS157" s="971" t="s">
        <v>1839</v>
      </c>
    </row>
    <row r="158" spans="2:75" ht="14.65" hidden="1" customHeight="1" x14ac:dyDescent="0.25">
      <c r="C158" s="26"/>
      <c r="D158" s="26" cm="1">
        <f t="array" ref="D158">D157</f>
        <v>11</v>
      </c>
      <c r="E158" s="545">
        <v>15</v>
      </c>
      <c r="F158" s="3" cm="1">
        <f t="array" aca="1" ref="F158" ca="1">OFFSET(E158,-1,1)</f>
        <v>0</v>
      </c>
      <c r="G158" s="26" t="s">
        <v>1590</v>
      </c>
      <c r="H158" s="26"/>
      <c r="I158" s="26" t="s">
        <v>2157</v>
      </c>
      <c r="J158" s="26"/>
      <c r="K158" s="77" t="s">
        <v>2157</v>
      </c>
      <c r="L158" s="889" t="s">
        <v>1840</v>
      </c>
      <c r="M158" s="26"/>
      <c r="N158" s="26"/>
      <c r="O158" s="26"/>
      <c r="P158" s="26"/>
      <c r="Q158" s="26"/>
      <c r="R158" s="26"/>
      <c r="S158" s="26"/>
      <c r="T158" s="388" t="b" cm="1">
        <f t="array" aca="1" ref="T158" ca="1">T157</f>
        <v>0</v>
      </c>
      <c r="U158" s="26"/>
      <c r="V158" s="26"/>
      <c r="W158" s="26"/>
      <c r="X158" s="2066"/>
      <c r="Z158" s="2012"/>
      <c r="AB158" s="218" t="str">
        <f>D158&amp;".4"</f>
        <v>11.4</v>
      </c>
      <c r="AC158" s="1019" t="s">
        <v>1842</v>
      </c>
      <c r="AD158" s="218" t="s">
        <v>1588</v>
      </c>
      <c r="AE158" s="1148">
        <f ca="1">IF(AE157=0,0,(AE151-AE155*AE156)/AE157)</f>
        <v>0</v>
      </c>
      <c r="AF158" s="1148">
        <f ca="1">IF(AF157=0,0,(AF151-AF155*AF156)/AF157)</f>
        <v>0</v>
      </c>
      <c r="AG158" s="1148">
        <f ca="1">IF(AG157=0,0,(AG151-AG155*AG156)/AG157)</f>
        <v>0</v>
      </c>
      <c r="AH158" s="1022">
        <f t="shared" ca="1" si="35"/>
        <v>0</v>
      </c>
      <c r="AI158" s="1148">
        <f t="shared" ref="AI158:BC158" ca="1" si="39">IF(AI157=0,0,(AI151-AI155*AI156)/AI157)</f>
        <v>0</v>
      </c>
      <c r="AJ158" s="1514">
        <f t="shared" ca="1" si="39"/>
        <v>0</v>
      </c>
      <c r="AK158" s="1148">
        <f t="shared" ca="1" si="39"/>
        <v>0</v>
      </c>
      <c r="AL158" s="1148">
        <f t="shared" ca="1" si="39"/>
        <v>0</v>
      </c>
      <c r="AM158" s="1148">
        <f t="shared" ca="1" si="39"/>
        <v>0</v>
      </c>
      <c r="AN158" s="1148">
        <f t="shared" ca="1" si="39"/>
        <v>0</v>
      </c>
      <c r="AO158" s="1148">
        <f t="shared" ca="1" si="39"/>
        <v>0</v>
      </c>
      <c r="AP158" s="1148">
        <f t="shared" ca="1" si="39"/>
        <v>0</v>
      </c>
      <c r="AQ158" s="1148">
        <f t="shared" ca="1" si="39"/>
        <v>0</v>
      </c>
      <c r="AR158" s="1148">
        <f t="shared" ca="1" si="39"/>
        <v>0</v>
      </c>
      <c r="AS158" s="1148">
        <f t="shared" ca="1" si="39"/>
        <v>0</v>
      </c>
      <c r="AT158" s="1514">
        <f t="shared" ca="1" si="39"/>
        <v>0</v>
      </c>
      <c r="AU158" s="1148">
        <f t="shared" ca="1" si="39"/>
        <v>0</v>
      </c>
      <c r="AV158" s="1148">
        <f t="shared" ca="1" si="39"/>
        <v>0</v>
      </c>
      <c r="AW158" s="1148">
        <f t="shared" ca="1" si="39"/>
        <v>0</v>
      </c>
      <c r="AX158" s="1148">
        <f t="shared" ca="1" si="39"/>
        <v>0</v>
      </c>
      <c r="AY158" s="1148">
        <f t="shared" ca="1" si="39"/>
        <v>0</v>
      </c>
      <c r="AZ158" s="1148">
        <f t="shared" ca="1" si="39"/>
        <v>0</v>
      </c>
      <c r="BA158" s="1148">
        <f t="shared" ca="1" si="39"/>
        <v>0</v>
      </c>
      <c r="BB158" s="1148">
        <f t="shared" ca="1" si="39"/>
        <v>0</v>
      </c>
      <c r="BC158" s="1148">
        <f t="shared" ca="1" si="39"/>
        <v>0</v>
      </c>
      <c r="BD158" s="1023"/>
      <c r="BE158" s="1023"/>
      <c r="BF158" s="1023"/>
      <c r="BG158" s="1023"/>
      <c r="BH158" s="1023"/>
      <c r="BI158" s="1023"/>
      <c r="BJ158" s="1023"/>
      <c r="BK158" s="1023"/>
      <c r="BL158" s="1023"/>
      <c r="BM158" s="1023"/>
      <c r="BN158" s="1145"/>
      <c r="BO158" s="1145"/>
      <c r="BP158" s="1145"/>
      <c r="BS158" s="971" t="s">
        <v>1843</v>
      </c>
    </row>
    <row r="159" spans="2:75" ht="14.65" hidden="1" customHeight="1" x14ac:dyDescent="0.25">
      <c r="C159" s="26"/>
      <c r="D159" s="26" cm="1">
        <f t="array" ref="D159">D158</f>
        <v>11</v>
      </c>
      <c r="E159" s="545">
        <v>15</v>
      </c>
      <c r="F159" s="3" cm="1">
        <f t="array" aca="1" ref="F159" ca="1">OFFSET(E159,-1,1)</f>
        <v>0</v>
      </c>
      <c r="G159" s="26"/>
      <c r="H159" s="26"/>
      <c r="I159" s="26" t="s">
        <v>2158</v>
      </c>
      <c r="J159" s="26"/>
      <c r="K159" s="77" t="s">
        <v>2158</v>
      </c>
      <c r="L159" s="889" t="s">
        <v>1844</v>
      </c>
      <c r="M159" s="26"/>
      <c r="N159" s="26"/>
      <c r="O159" s="26"/>
      <c r="P159" s="26"/>
      <c r="Q159" s="26"/>
      <c r="R159" s="26"/>
      <c r="S159" s="26"/>
      <c r="T159" s="388" t="b" cm="1">
        <f t="array" aca="1" ref="T159" ca="1">T158</f>
        <v>0</v>
      </c>
      <c r="U159" s="26"/>
      <c r="V159" s="26"/>
      <c r="W159" s="26"/>
      <c r="X159" s="2066"/>
      <c r="Z159" s="2012"/>
      <c r="AB159" s="218" t="str">
        <f>D159&amp;".5"</f>
        <v>11.5</v>
      </c>
      <c r="AC159" s="1019" t="s">
        <v>1846</v>
      </c>
      <c r="AD159" s="218" t="s">
        <v>490</v>
      </c>
      <c r="AE159" s="1022">
        <f>IF(AE156=0,0,AE158/AE156*100)</f>
        <v>0</v>
      </c>
      <c r="AF159" s="1022">
        <f>IF(AF156=0,0,AF158/AF156*100)</f>
        <v>0</v>
      </c>
      <c r="AG159" s="1022">
        <f>IF(AG156=0,0,AG158/AG156*100)</f>
        <v>0</v>
      </c>
      <c r="AH159" s="1023"/>
      <c r="AI159" s="1022">
        <f t="shared" ref="AI159:BC159" si="40">IF(AI156=0,0,AI158/AI156*100)</f>
        <v>0</v>
      </c>
      <c r="AJ159" s="1022">
        <f t="shared" si="40"/>
        <v>0</v>
      </c>
      <c r="AK159" s="1022">
        <f t="shared" si="40"/>
        <v>0</v>
      </c>
      <c r="AL159" s="1022">
        <f t="shared" si="40"/>
        <v>0</v>
      </c>
      <c r="AM159" s="1022">
        <f t="shared" si="40"/>
        <v>0</v>
      </c>
      <c r="AN159" s="1022">
        <f t="shared" si="40"/>
        <v>0</v>
      </c>
      <c r="AO159" s="1022">
        <f t="shared" si="40"/>
        <v>0</v>
      </c>
      <c r="AP159" s="1022">
        <f t="shared" si="40"/>
        <v>0</v>
      </c>
      <c r="AQ159" s="1022">
        <f t="shared" si="40"/>
        <v>0</v>
      </c>
      <c r="AR159" s="1022">
        <f t="shared" si="40"/>
        <v>0</v>
      </c>
      <c r="AS159" s="1022">
        <f t="shared" si="40"/>
        <v>0</v>
      </c>
      <c r="AT159" s="1022">
        <f t="shared" si="40"/>
        <v>0</v>
      </c>
      <c r="AU159" s="1022">
        <f t="shared" ca="1" si="40"/>
        <v>0</v>
      </c>
      <c r="AV159" s="1022">
        <f t="shared" ca="1" si="40"/>
        <v>0</v>
      </c>
      <c r="AW159" s="1022">
        <f t="shared" ca="1" si="40"/>
        <v>0</v>
      </c>
      <c r="AX159" s="1022">
        <f t="shared" ca="1" si="40"/>
        <v>0</v>
      </c>
      <c r="AY159" s="1022">
        <f t="shared" ca="1" si="40"/>
        <v>0</v>
      </c>
      <c r="AZ159" s="1022">
        <f t="shared" ca="1" si="40"/>
        <v>0</v>
      </c>
      <c r="BA159" s="1022">
        <f t="shared" ca="1" si="40"/>
        <v>0</v>
      </c>
      <c r="BB159" s="1022">
        <f t="shared" ca="1" si="40"/>
        <v>0</v>
      </c>
      <c r="BC159" s="1022">
        <f t="shared" ca="1" si="40"/>
        <v>0</v>
      </c>
      <c r="BD159" s="1023"/>
      <c r="BE159" s="1023"/>
      <c r="BF159" s="1023"/>
      <c r="BG159" s="1023"/>
      <c r="BH159" s="1023"/>
      <c r="BI159" s="1023"/>
      <c r="BJ159" s="1023"/>
      <c r="BK159" s="1023"/>
      <c r="BL159" s="1023"/>
      <c r="BM159" s="1023"/>
      <c r="BN159" s="1145"/>
      <c r="BO159" s="1145"/>
      <c r="BP159" s="1145"/>
      <c r="BS159" s="971" t="s">
        <v>1847</v>
      </c>
    </row>
    <row r="160" spans="2:75" ht="14.65" hidden="1" customHeight="1" x14ac:dyDescent="0.25">
      <c r="C160" s="26"/>
      <c r="D160" s="26" cm="1">
        <f t="array" ref="D160">D159</f>
        <v>11</v>
      </c>
      <c r="E160" s="545">
        <v>15</v>
      </c>
      <c r="F160" s="3" cm="1">
        <f t="array" aca="1" ref="F160" ca="1">OFFSET(E160,-1,1)</f>
        <v>0</v>
      </c>
      <c r="G160" s="26"/>
      <c r="H160" s="26"/>
      <c r="I160" s="26" t="s">
        <v>2159</v>
      </c>
      <c r="J160" s="26"/>
      <c r="K160" s="77" t="s">
        <v>2159</v>
      </c>
      <c r="L160" s="889" t="s">
        <v>1848</v>
      </c>
      <c r="M160" s="26"/>
      <c r="N160" s="26"/>
      <c r="O160" s="26"/>
      <c r="P160" s="26"/>
      <c r="Q160" s="26"/>
      <c r="R160" s="26"/>
      <c r="S160" s="26"/>
      <c r="T160" s="388" t="b" cm="1">
        <f t="array" aca="1" ref="T160" ca="1">T159</f>
        <v>0</v>
      </c>
      <c r="U160" s="26"/>
      <c r="V160" s="26"/>
      <c r="W160" s="26"/>
      <c r="X160" s="2066"/>
      <c r="Z160" s="2012"/>
      <c r="AB160" s="218" t="str">
        <f>D160&amp;".6"</f>
        <v>11.6</v>
      </c>
      <c r="AC160" s="1019" t="s">
        <v>1850</v>
      </c>
      <c r="AD160" s="218" t="s">
        <v>1588</v>
      </c>
      <c r="AE160" s="1148">
        <f ca="1">IF(AE154=0,0,AE151/AE154)</f>
        <v>0</v>
      </c>
      <c r="AF160" s="1148">
        <f ca="1">IF(AF154=0,0,AF151/AF154)</f>
        <v>0</v>
      </c>
      <c r="AG160" s="1148">
        <f ca="1">IF(AG154=0,0,AG151/AG154)</f>
        <v>0</v>
      </c>
      <c r="AH160" s="1022">
        <f ca="1">AG160-AF160</f>
        <v>0</v>
      </c>
      <c r="AI160" s="1148">
        <f t="shared" ref="AI160:BC160" ca="1" si="41">IF(AI154=0,0,AI151/AI154)</f>
        <v>0</v>
      </c>
      <c r="AJ160" s="1514">
        <f t="shared" ca="1" si="41"/>
        <v>0</v>
      </c>
      <c r="AK160" s="1148">
        <f t="shared" ca="1" si="41"/>
        <v>0</v>
      </c>
      <c r="AL160" s="1148">
        <f t="shared" ca="1" si="41"/>
        <v>0</v>
      </c>
      <c r="AM160" s="1148">
        <f t="shared" ca="1" si="41"/>
        <v>0</v>
      </c>
      <c r="AN160" s="1148">
        <f t="shared" ca="1" si="41"/>
        <v>0</v>
      </c>
      <c r="AO160" s="1148">
        <f t="shared" ca="1" si="41"/>
        <v>0</v>
      </c>
      <c r="AP160" s="1148">
        <f t="shared" ca="1" si="41"/>
        <v>0</v>
      </c>
      <c r="AQ160" s="1148">
        <f t="shared" ca="1" si="41"/>
        <v>0</v>
      </c>
      <c r="AR160" s="1148">
        <f t="shared" ca="1" si="41"/>
        <v>0</v>
      </c>
      <c r="AS160" s="1148">
        <f t="shared" ca="1" si="41"/>
        <v>0</v>
      </c>
      <c r="AT160" s="1514">
        <f t="shared" ca="1" si="41"/>
        <v>0</v>
      </c>
      <c r="AU160" s="1148">
        <f t="shared" ca="1" si="41"/>
        <v>0</v>
      </c>
      <c r="AV160" s="1148">
        <f t="shared" ca="1" si="41"/>
        <v>0</v>
      </c>
      <c r="AW160" s="1148">
        <f t="shared" ca="1" si="41"/>
        <v>0</v>
      </c>
      <c r="AX160" s="1148">
        <f t="shared" ca="1" si="41"/>
        <v>0</v>
      </c>
      <c r="AY160" s="1148">
        <f t="shared" ca="1" si="41"/>
        <v>0</v>
      </c>
      <c r="AZ160" s="1148">
        <f t="shared" ca="1" si="41"/>
        <v>0</v>
      </c>
      <c r="BA160" s="1148">
        <f t="shared" ca="1" si="41"/>
        <v>0</v>
      </c>
      <c r="BB160" s="1148">
        <f t="shared" ca="1" si="41"/>
        <v>0</v>
      </c>
      <c r="BC160" s="1148">
        <f t="shared" ca="1" si="41"/>
        <v>0</v>
      </c>
      <c r="BD160" s="1023"/>
      <c r="BE160" s="1023"/>
      <c r="BF160" s="1023"/>
      <c r="BG160" s="1023"/>
      <c r="BH160" s="1023"/>
      <c r="BI160" s="1023"/>
      <c r="BJ160" s="1023"/>
      <c r="BK160" s="1023"/>
      <c r="BL160" s="1023"/>
      <c r="BM160" s="1023"/>
      <c r="BN160" s="1145"/>
      <c r="BO160" s="1145"/>
      <c r="BP160" s="1145"/>
      <c r="BS160" s="971" t="s">
        <v>1851</v>
      </c>
    </row>
    <row r="161" spans="1:75" s="623" customFormat="1" ht="20.45" hidden="1" customHeight="1" x14ac:dyDescent="0.25">
      <c r="B161" s="357"/>
      <c r="C161" s="28"/>
      <c r="D161" s="28">
        <f>D160+1</f>
        <v>12</v>
      </c>
      <c r="E161" s="745">
        <v>21</v>
      </c>
      <c r="F161" s="3" cm="1">
        <f t="array" aca="1" ref="F161" ca="1">OFFSET(E161,-1,1)</f>
        <v>0</v>
      </c>
      <c r="G161" s="28"/>
      <c r="H161" s="26"/>
      <c r="I161" s="26" t="s">
        <v>1856</v>
      </c>
      <c r="J161" s="28"/>
      <c r="K161" s="77" t="s">
        <v>1856</v>
      </c>
      <c r="L161" s="894" t="s">
        <v>1852</v>
      </c>
      <c r="M161" s="28"/>
      <c r="N161" s="28"/>
      <c r="O161" s="28"/>
      <c r="P161" s="28"/>
      <c r="Q161" s="28"/>
      <c r="R161" s="28"/>
      <c r="S161" s="28"/>
      <c r="T161" s="388" t="b" cm="1">
        <f t="array" aca="1" ref="T161" ca="1">T160</f>
        <v>0</v>
      </c>
      <c r="U161" s="28"/>
      <c r="V161" s="28"/>
      <c r="W161" s="28"/>
      <c r="X161" s="2066"/>
      <c r="Z161" s="2012"/>
      <c r="AB161" s="130" cm="1">
        <f t="array" ref="AB161">D161</f>
        <v>12</v>
      </c>
      <c r="AC161" s="131" t="s">
        <v>1854</v>
      </c>
      <c r="AD161" s="130" t="s">
        <v>831</v>
      </c>
      <c r="AE161" s="1157">
        <f ca="1">IF(AE154=0,0,AE151/AE154*AE162)</f>
        <v>0</v>
      </c>
      <c r="AF161" s="1157">
        <f ca="1">IF(AF154=0,0,AF151/AF154*AF162)</f>
        <v>0</v>
      </c>
      <c r="AG161" s="1157">
        <f ca="1">IF(AG154=0,0,AG151/AG154*AG162)</f>
        <v>0</v>
      </c>
      <c r="AH161" s="132">
        <f ca="1">AH163*AH164+AH165*AH166</f>
        <v>0</v>
      </c>
      <c r="AI161" s="1157">
        <f t="shared" ref="AI161:BC161" ca="1" si="42">IF(AI154=0,0,AI151/AI154*AI162)</f>
        <v>0</v>
      </c>
      <c r="AJ161" s="1520">
        <f t="shared" ca="1" si="42"/>
        <v>0</v>
      </c>
      <c r="AK161" s="1157">
        <f t="shared" ca="1" si="42"/>
        <v>0</v>
      </c>
      <c r="AL161" s="1157">
        <f t="shared" ca="1" si="42"/>
        <v>0</v>
      </c>
      <c r="AM161" s="1157">
        <f t="shared" ca="1" si="42"/>
        <v>0</v>
      </c>
      <c r="AN161" s="1157">
        <f t="shared" ca="1" si="42"/>
        <v>0</v>
      </c>
      <c r="AO161" s="1157">
        <f t="shared" ca="1" si="42"/>
        <v>0</v>
      </c>
      <c r="AP161" s="1157">
        <f t="shared" ca="1" si="42"/>
        <v>0</v>
      </c>
      <c r="AQ161" s="1157">
        <f t="shared" ca="1" si="42"/>
        <v>0</v>
      </c>
      <c r="AR161" s="1157">
        <f t="shared" ca="1" si="42"/>
        <v>0</v>
      </c>
      <c r="AS161" s="1157">
        <f t="shared" ca="1" si="42"/>
        <v>0</v>
      </c>
      <c r="AT161" s="1520">
        <f t="shared" ca="1" si="42"/>
        <v>0</v>
      </c>
      <c r="AU161" s="1157">
        <f t="shared" ca="1" si="42"/>
        <v>0</v>
      </c>
      <c r="AV161" s="1157">
        <f t="shared" ca="1" si="42"/>
        <v>0</v>
      </c>
      <c r="AW161" s="1157">
        <f t="shared" ca="1" si="42"/>
        <v>0</v>
      </c>
      <c r="AX161" s="1157">
        <f t="shared" ca="1" si="42"/>
        <v>0</v>
      </c>
      <c r="AY161" s="1157">
        <f t="shared" ca="1" si="42"/>
        <v>0</v>
      </c>
      <c r="AZ161" s="1157">
        <f t="shared" ca="1" si="42"/>
        <v>0</v>
      </c>
      <c r="BA161" s="1157">
        <f t="shared" ca="1" si="42"/>
        <v>0</v>
      </c>
      <c r="BB161" s="1157">
        <f t="shared" ca="1" si="42"/>
        <v>0</v>
      </c>
      <c r="BC161" s="1157">
        <f t="shared" ca="1" si="42"/>
        <v>0</v>
      </c>
      <c r="BD161" s="698">
        <f ca="1">IF(AI161=0,0,(AT161-AI161)/AI161*100)</f>
        <v>0</v>
      </c>
      <c r="BE161" s="698">
        <f t="shared" ref="BE161:BM161" ca="1" si="43">IF(AT161=0,0,(AU161-AT161)/AT161*100)</f>
        <v>0</v>
      </c>
      <c r="BF161" s="698">
        <f t="shared" ca="1" si="43"/>
        <v>0</v>
      </c>
      <c r="BG161" s="698">
        <f t="shared" ca="1" si="43"/>
        <v>0</v>
      </c>
      <c r="BH161" s="698">
        <f t="shared" ca="1" si="43"/>
        <v>0</v>
      </c>
      <c r="BI161" s="698">
        <f t="shared" ca="1" si="43"/>
        <v>0</v>
      </c>
      <c r="BJ161" s="698">
        <f t="shared" ca="1" si="43"/>
        <v>0</v>
      </c>
      <c r="BK161" s="698">
        <f t="shared" ca="1" si="43"/>
        <v>0</v>
      </c>
      <c r="BL161" s="698">
        <f t="shared" ca="1" si="43"/>
        <v>0</v>
      </c>
      <c r="BM161" s="698">
        <f t="shared" ca="1" si="43"/>
        <v>0</v>
      </c>
      <c r="BN161" s="1145"/>
      <c r="BO161" s="1145"/>
      <c r="BP161" s="1145"/>
      <c r="BS161" s="972" t="s">
        <v>1855</v>
      </c>
      <c r="BT161" s="979"/>
      <c r="BU161" s="979"/>
      <c r="BV161" s="630"/>
      <c r="BW161" s="630"/>
    </row>
    <row r="162" spans="1:75" s="623" customFormat="1" ht="20.45" hidden="1" customHeight="1" x14ac:dyDescent="0.25">
      <c r="B162" s="357"/>
      <c r="C162" s="28"/>
      <c r="D162" s="28">
        <f>D161+1</f>
        <v>13</v>
      </c>
      <c r="E162" s="745">
        <v>21</v>
      </c>
      <c r="F162" s="3" cm="1">
        <f t="array" aca="1" ref="F162" ca="1">OFFSET(E162,-1,1)</f>
        <v>0</v>
      </c>
      <c r="G162" s="26" t="s">
        <v>1610</v>
      </c>
      <c r="H162" s="26"/>
      <c r="I162" s="26" t="s">
        <v>2160</v>
      </c>
      <c r="J162" s="28"/>
      <c r="K162" s="77" t="s">
        <v>2160</v>
      </c>
      <c r="L162" s="894" t="s">
        <v>1856</v>
      </c>
      <c r="M162" s="28"/>
      <c r="N162" s="28"/>
      <c r="O162" s="28"/>
      <c r="P162" s="28"/>
      <c r="Q162" s="28"/>
      <c r="R162" s="28"/>
      <c r="S162" s="28"/>
      <c r="T162" s="388" t="b" cm="1">
        <f t="array" aca="1" ref="T162" ca="1">T161</f>
        <v>0</v>
      </c>
      <c r="U162" s="28"/>
      <c r="V162" s="28"/>
      <c r="W162" s="28"/>
      <c r="X162" s="2066"/>
      <c r="Z162" s="2012"/>
      <c r="AB162" s="130" cm="1">
        <f t="array" ref="AB162">D162</f>
        <v>13</v>
      </c>
      <c r="AC162" s="131" t="s">
        <v>1858</v>
      </c>
      <c r="AD162" s="130" t="s">
        <v>563</v>
      </c>
      <c r="AE162" s="705">
        <f ca="1">SUMIFS(Баланс!AE$26:AE$300,Баланс!$F$26:$F$300,$F162,Баланс!$G$26:$G$300,"население")</f>
        <v>0</v>
      </c>
      <c r="AF162" s="705">
        <f ca="1">SUMIFS(Баланс!AF$26:AF$300,Баланс!$F$26:$F$300,$F162,Баланс!$G$26:$G$300,"население")</f>
        <v>0</v>
      </c>
      <c r="AG162" s="705">
        <f ca="1">SUMIFS(Баланс!AG$26:AG$300,Баланс!$F$26:$F$300,$F162,Баланс!$G$26:$G$300,"население")</f>
        <v>0</v>
      </c>
      <c r="AH162" s="705">
        <f t="shared" ref="AH162:AH170" ca="1" si="44">AG162-AF162</f>
        <v>0</v>
      </c>
      <c r="AI162" s="705">
        <f ca="1">SUMIFS(Баланс!AH$26:AH$300,Баланс!$F$26:$F$300,$F162,Баланс!$G$26:$G$300,"население")</f>
        <v>0</v>
      </c>
      <c r="AJ162" s="705">
        <f ca="1">SUMIFS(Баланс!AI$26:AI$300,Баланс!$F$26:$F$300,$F162,Баланс!$G$26:$G$300,"население")</f>
        <v>0</v>
      </c>
      <c r="AK162" s="705">
        <f ca="1">SUMIFS(Баланс!AJ$26:AJ$300,Баланс!$F$26:$F$300,$F162,Баланс!$G$26:$G$300,"население")</f>
        <v>0</v>
      </c>
      <c r="AL162" s="705">
        <f ca="1">SUMIFS(Баланс!AK$26:AK$300,Баланс!$F$26:$F$300,$F162,Баланс!$G$26:$G$300,"население")</f>
        <v>0</v>
      </c>
      <c r="AM162" s="705">
        <f ca="1">SUMIFS(Баланс!AL$26:AL$300,Баланс!$F$26:$F$300,$F162,Баланс!$G$26:$G$300,"население")</f>
        <v>0</v>
      </c>
      <c r="AN162" s="705">
        <f ca="1">SUMIFS(Баланс!AM$26:AM$300,Баланс!$F$26:$F$300,$F162,Баланс!$G$26:$G$300,"население")</f>
        <v>0</v>
      </c>
      <c r="AO162" s="705">
        <f ca="1">SUMIFS(Баланс!AN$26:AN$300,Баланс!$F$26:$F$300,$F162,Баланс!$G$26:$G$300,"население")</f>
        <v>0</v>
      </c>
      <c r="AP162" s="705">
        <f ca="1">SUMIFS(Баланс!AO$26:AO$300,Баланс!$F$26:$F$300,$F162,Баланс!$G$26:$G$300,"население")</f>
        <v>0</v>
      </c>
      <c r="AQ162" s="705">
        <f ca="1">SUMIFS(Баланс!AP$26:AP$300,Баланс!$F$26:$F$300,$F162,Баланс!$G$26:$G$300,"население")</f>
        <v>0</v>
      </c>
      <c r="AR162" s="705">
        <f ca="1">SUMIFS(Баланс!AQ$26:AQ$300,Баланс!$F$26:$F$300,$F162,Баланс!$G$26:$G$300,"население")</f>
        <v>0</v>
      </c>
      <c r="AS162" s="705">
        <f ca="1">SUMIFS(Баланс!AR$26:AR$300,Баланс!$F$26:$F$300,$F162,Баланс!$G$26:$G$300,"население")</f>
        <v>0</v>
      </c>
      <c r="AT162" s="705">
        <f ca="1">SUMIFS(Баланс!AS$26:AS$300,Баланс!$F$26:$F$300,$F162,Баланс!$G$26:$G$300,"население")</f>
        <v>0</v>
      </c>
      <c r="AU162" s="705">
        <f ca="1">SUMIFS(Баланс!AT$26:AT$300,Баланс!$F$26:$F$300,$F162,Баланс!$G$26:$G$300,"население")</f>
        <v>0</v>
      </c>
      <c r="AV162" s="705">
        <f ca="1">SUMIFS(Баланс!AU$26:AU$300,Баланс!$F$26:$F$300,$F162,Баланс!$G$26:$G$300,"население")</f>
        <v>0</v>
      </c>
      <c r="AW162" s="705">
        <f ca="1">SUMIFS(Баланс!AV$26:AV$300,Баланс!$F$26:$F$300,$F162,Баланс!$G$26:$G$300,"население")</f>
        <v>0</v>
      </c>
      <c r="AX162" s="705">
        <f ca="1">SUMIFS(Баланс!AW$26:AW$300,Баланс!$F$26:$F$300,$F162,Баланс!$G$26:$G$300,"население")</f>
        <v>0</v>
      </c>
      <c r="AY162" s="705">
        <f ca="1">SUMIFS(Баланс!AX$26:AX$300,Баланс!$F$26:$F$300,$F162,Баланс!$G$26:$G$300,"население")</f>
        <v>0</v>
      </c>
      <c r="AZ162" s="705">
        <f ca="1">SUMIFS(Баланс!AY$26:AY$300,Баланс!$F$26:$F$300,$F162,Баланс!$G$26:$G$300,"население")</f>
        <v>0</v>
      </c>
      <c r="BA162" s="705">
        <f ca="1">SUMIFS(Баланс!AZ$26:AZ$300,Баланс!$F$26:$F$300,$F162,Баланс!$G$26:$G$300,"население")</f>
        <v>0</v>
      </c>
      <c r="BB162" s="705">
        <f ca="1">SUMIFS(Баланс!BA$26:BA$300,Баланс!$F$26:$F$300,$F162,Баланс!$G$26:$G$300,"население")</f>
        <v>0</v>
      </c>
      <c r="BC162" s="705">
        <f ca="1">SUMIFS(Баланс!BB$26:BB$300,Баланс!$F$26:$F$300,$F162,Баланс!$G$26:$G$300,"население")</f>
        <v>0</v>
      </c>
      <c r="BD162" s="135"/>
      <c r="BE162" s="135"/>
      <c r="BF162" s="135"/>
      <c r="BG162" s="135"/>
      <c r="BH162" s="135"/>
      <c r="BI162" s="135"/>
      <c r="BJ162" s="135"/>
      <c r="BK162" s="135"/>
      <c r="BL162" s="135"/>
      <c r="BM162" s="135"/>
      <c r="BN162" s="1145"/>
      <c r="BO162" s="1145"/>
      <c r="BP162" s="1145"/>
      <c r="BS162" s="972" t="s">
        <v>1859</v>
      </c>
      <c r="BT162" s="979"/>
      <c r="BU162" s="979"/>
      <c r="BV162" s="630"/>
      <c r="BW162" s="630"/>
    </row>
    <row r="163" spans="1:75" ht="14.65" hidden="1" customHeight="1" x14ac:dyDescent="0.25">
      <c r="C163" s="26"/>
      <c r="D163" s="26" cm="1">
        <f t="array" ref="D163">D162</f>
        <v>13</v>
      </c>
      <c r="E163" s="545">
        <v>15</v>
      </c>
      <c r="F163" s="3" cm="1">
        <f t="array" aca="1" ref="F163" ca="1">OFFSET(E163,-1,1)</f>
        <v>0</v>
      </c>
      <c r="G163" s="26" t="s">
        <v>1644</v>
      </c>
      <c r="H163" s="26"/>
      <c r="I163" s="26" t="s">
        <v>2161</v>
      </c>
      <c r="J163" s="26"/>
      <c r="K163" s="77" t="s">
        <v>2161</v>
      </c>
      <c r="L163" s="889" t="s">
        <v>1860</v>
      </c>
      <c r="M163" s="26"/>
      <c r="N163" s="26"/>
      <c r="O163" s="26"/>
      <c r="P163" s="26"/>
      <c r="Q163" s="26"/>
      <c r="R163" s="26"/>
      <c r="S163" s="26"/>
      <c r="T163" s="388" t="b" cm="1">
        <f t="array" aca="1" ref="T163" ca="1">T162</f>
        <v>0</v>
      </c>
      <c r="U163" s="26"/>
      <c r="V163" s="26"/>
      <c r="W163" s="26"/>
      <c r="X163" s="2066"/>
      <c r="Z163" s="2012"/>
      <c r="AB163" s="218" t="str">
        <f>D163&amp;".1"</f>
        <v>13.1</v>
      </c>
      <c r="AC163" s="1019" t="s">
        <v>1862</v>
      </c>
      <c r="AD163" s="218" t="s">
        <v>563</v>
      </c>
      <c r="AE163" s="1146">
        <f ca="1">AE162/2</f>
        <v>0</v>
      </c>
      <c r="AF163" s="1146">
        <f ca="1">AF162/2</f>
        <v>0</v>
      </c>
      <c r="AG163" s="1146">
        <f ca="1">AG162/2</f>
        <v>0</v>
      </c>
      <c r="AH163" s="1021">
        <f t="shared" ca="1" si="44"/>
        <v>0</v>
      </c>
      <c r="AI163" s="1146">
        <f ca="1">AI162/2</f>
        <v>0</v>
      </c>
      <c r="AJ163" s="1513">
        <f ca="1">IF(god=2026,AJ162/12*9,AJ162/2)</f>
        <v>0</v>
      </c>
      <c r="AK163" s="1146">
        <f ca="1">IF(god=2025,AK162/12*9,AK162/2)</f>
        <v>0</v>
      </c>
      <c r="AL163" s="1146">
        <f t="shared" ref="AL163:AS163" ca="1" si="45">AL162/2</f>
        <v>0</v>
      </c>
      <c r="AM163" s="1146">
        <f t="shared" ca="1" si="45"/>
        <v>0</v>
      </c>
      <c r="AN163" s="1146">
        <f t="shared" ca="1" si="45"/>
        <v>0</v>
      </c>
      <c r="AO163" s="1146">
        <f t="shared" ca="1" si="45"/>
        <v>0</v>
      </c>
      <c r="AP163" s="1146">
        <f t="shared" ca="1" si="45"/>
        <v>0</v>
      </c>
      <c r="AQ163" s="1146">
        <f t="shared" ca="1" si="45"/>
        <v>0</v>
      </c>
      <c r="AR163" s="1146">
        <f t="shared" ca="1" si="45"/>
        <v>0</v>
      </c>
      <c r="AS163" s="1146">
        <f t="shared" ca="1" si="45"/>
        <v>0</v>
      </c>
      <c r="AT163" s="1519">
        <f ca="1">IF(god=2026,AT162/12*9,AT162/2)</f>
        <v>0</v>
      </c>
      <c r="AU163" s="1168">
        <f ca="1">IF(god=2025,AU162/12*9,AU162/2)</f>
        <v>0</v>
      </c>
      <c r="AV163" s="1146">
        <f t="shared" ref="AV163:BC163" ca="1" si="46">AV162/2</f>
        <v>0</v>
      </c>
      <c r="AW163" s="1146">
        <f t="shared" ca="1" si="46"/>
        <v>0</v>
      </c>
      <c r="AX163" s="1146">
        <f t="shared" ca="1" si="46"/>
        <v>0</v>
      </c>
      <c r="AY163" s="1146">
        <f t="shared" ca="1" si="46"/>
        <v>0</v>
      </c>
      <c r="AZ163" s="1146">
        <f t="shared" ca="1" si="46"/>
        <v>0</v>
      </c>
      <c r="BA163" s="1146">
        <f t="shared" ca="1" si="46"/>
        <v>0</v>
      </c>
      <c r="BB163" s="1146">
        <f t="shared" ca="1" si="46"/>
        <v>0</v>
      </c>
      <c r="BC163" s="1146">
        <f t="shared" ca="1" si="46"/>
        <v>0</v>
      </c>
      <c r="BD163" s="1023"/>
      <c r="BE163" s="1023"/>
      <c r="BF163" s="1023"/>
      <c r="BG163" s="1023"/>
      <c r="BH163" s="1023"/>
      <c r="BI163" s="1023"/>
      <c r="BJ163" s="1023"/>
      <c r="BK163" s="1023"/>
      <c r="BL163" s="1023"/>
      <c r="BM163" s="1023"/>
      <c r="BN163" s="1145"/>
      <c r="BO163" s="1145"/>
      <c r="BP163" s="1145"/>
      <c r="BS163" s="971" t="s">
        <v>1863</v>
      </c>
    </row>
    <row r="164" spans="1:75" ht="14.65" hidden="1" customHeight="1" x14ac:dyDescent="0.25">
      <c r="C164" s="26"/>
      <c r="D164" s="26" cm="1">
        <f t="array" ref="D164">D163</f>
        <v>13</v>
      </c>
      <c r="E164" s="545">
        <v>15</v>
      </c>
      <c r="F164" s="3" cm="1">
        <f t="array" aca="1" ref="F164" ca="1">OFFSET(E164,-1,1)</f>
        <v>0</v>
      </c>
      <c r="G164" s="26" t="s">
        <v>1600</v>
      </c>
      <c r="H164" s="26"/>
      <c r="I164" s="26" t="s">
        <v>2162</v>
      </c>
      <c r="J164" s="26"/>
      <c r="K164" s="77" t="s">
        <v>2162</v>
      </c>
      <c r="L164" s="889" t="s">
        <v>1864</v>
      </c>
      <c r="M164" s="26"/>
      <c r="N164" s="26"/>
      <c r="O164" s="26"/>
      <c r="P164" s="26"/>
      <c r="Q164" s="26"/>
      <c r="R164" s="26"/>
      <c r="S164" s="26"/>
      <c r="T164" s="388" t="b" cm="1">
        <f t="array" aca="1" ref="T164" ca="1">T163</f>
        <v>0</v>
      </c>
      <c r="U164" s="26"/>
      <c r="V164" s="26"/>
      <c r="W164" s="26"/>
      <c r="X164" s="2066"/>
      <c r="Z164" s="2012"/>
      <c r="AB164" s="218" t="str">
        <f>D164&amp;".2"</f>
        <v>13.2</v>
      </c>
      <c r="AC164" s="1019" t="s">
        <v>1866</v>
      </c>
      <c r="AD164" s="218" t="s">
        <v>1588</v>
      </c>
      <c r="AE164" s="1148">
        <f ca="1">IF(AE162=0,0,AE156*(1+Сценарии!AE$26))</f>
        <v>0</v>
      </c>
      <c r="AF164" s="1169">
        <f ca="1">IF(AF162=0,0,AF156*(1+Сценарии!AF$26))</f>
        <v>0</v>
      </c>
      <c r="AG164" s="1169">
        <f ca="1">IF(AG162=0,0,AG156*(1+Сценарии!AG$26))</f>
        <v>0</v>
      </c>
      <c r="AH164" s="1022">
        <f t="shared" ca="1" si="44"/>
        <v>0</v>
      </c>
      <c r="AI164" s="1148">
        <f ca="1">IF(AI162=0,0,AI156*(1+Сценарии!AI$26))</f>
        <v>0</v>
      </c>
      <c r="AJ164" s="1521">
        <f ca="1">IF(AJ162=0,0,AJ156*(1+Сценарии!AJ$26))</f>
        <v>0</v>
      </c>
      <c r="AK164" s="1169">
        <f ca="1">IF(AK162=0,0,AK156*(1+Сценарии!AO$26))</f>
        <v>0</v>
      </c>
      <c r="AL164" s="1169">
        <f ca="1">IF(AL162=0,0,AL156*(1+Сценарии!AP$26))</f>
        <v>0</v>
      </c>
      <c r="AM164" s="1169">
        <f ca="1">IF(AM162=0,0,AM156*(1+Сценарии!AQ$26))</f>
        <v>0</v>
      </c>
      <c r="AN164" s="1169">
        <f ca="1">IF(AN162=0,0,AN156*(1+Сценарии!AR$26))</f>
        <v>0</v>
      </c>
      <c r="AO164" s="1169">
        <f ca="1">IF(AO162=0,0,AO156*(1+Сценарии!AS$26))</f>
        <v>0</v>
      </c>
      <c r="AP164" s="1169">
        <f ca="1">IF(AP162=0,0,AP156*(1+Сценарии!AT$26))</f>
        <v>0</v>
      </c>
      <c r="AQ164" s="1169">
        <f ca="1">IF(AQ162=0,0,AQ156*(1+Сценарии!AU$26))</f>
        <v>0</v>
      </c>
      <c r="AR164" s="1169">
        <f ca="1">IF(AR162=0,0,AR156*(1+Сценарии!AV$26))</f>
        <v>0</v>
      </c>
      <c r="AS164" s="1169">
        <f ca="1">IF(AS162=0,0,AS156*(1+Сценарии!AW$26))</f>
        <v>0</v>
      </c>
      <c r="AT164" s="1514">
        <f ca="1">IF(AT162=0,0,AT156*(1+Сценарии!AK$26))</f>
        <v>0</v>
      </c>
      <c r="AU164" s="1148">
        <f ca="1">IF(AU162=0,0,AU156*(1+Сценарии!AX$26))</f>
        <v>0</v>
      </c>
      <c r="AV164" s="1169">
        <f ca="1">IF(AV162=0,0,AV156*(1+Сценарии!AY$26))</f>
        <v>0</v>
      </c>
      <c r="AW164" s="1169">
        <f ca="1">IF(AW162=0,0,AW156*(1+Сценарии!AZ$26))</f>
        <v>0</v>
      </c>
      <c r="AX164" s="1169">
        <f ca="1">IF(AX162=0,0,AX156*(1+Сценарии!BA$26))</f>
        <v>0</v>
      </c>
      <c r="AY164" s="1169">
        <f ca="1">IF(AY162=0,0,AY156*(1+Сценарии!BB$26))</f>
        <v>0</v>
      </c>
      <c r="AZ164" s="1169">
        <f ca="1">IF(AZ162=0,0,AZ156*(1+Сценарии!BC$26))</f>
        <v>0</v>
      </c>
      <c r="BA164" s="1169">
        <f ca="1">IF(BA162=0,0,BA156*(1+Сценарии!BD$26))</f>
        <v>0</v>
      </c>
      <c r="BB164" s="1169">
        <f ca="1">IF(BB162=0,0,BB156*(1+Сценарии!BE$26))</f>
        <v>0</v>
      </c>
      <c r="BC164" s="1169">
        <f ca="1">IF(BC162=0,0,BC156*(1+Сценарии!BF$26))</f>
        <v>0</v>
      </c>
      <c r="BD164" s="1023"/>
      <c r="BE164" s="1023"/>
      <c r="BF164" s="1023"/>
      <c r="BG164" s="1023"/>
      <c r="BH164" s="1023"/>
      <c r="BI164" s="1023"/>
      <c r="BJ164" s="1023"/>
      <c r="BK164" s="1023"/>
      <c r="BL164" s="1023"/>
      <c r="BM164" s="1023"/>
      <c r="BN164" s="1145"/>
      <c r="BO164" s="1145"/>
      <c r="BP164" s="1145"/>
      <c r="BS164" s="971" t="s">
        <v>1867</v>
      </c>
    </row>
    <row r="165" spans="1:75" ht="14.65" hidden="1" customHeight="1" x14ac:dyDescent="0.25">
      <c r="C165" s="26"/>
      <c r="D165" s="26" cm="1">
        <f t="array" ref="D165">D164</f>
        <v>13</v>
      </c>
      <c r="E165" s="545">
        <v>15</v>
      </c>
      <c r="F165" s="3" cm="1">
        <f t="array" aca="1" ref="F165" ca="1">OFFSET(E165,-1,1)</f>
        <v>0</v>
      </c>
      <c r="G165" s="26" t="s">
        <v>1651</v>
      </c>
      <c r="H165" s="26"/>
      <c r="I165" s="26" t="s">
        <v>2163</v>
      </c>
      <c r="J165" s="26"/>
      <c r="K165" s="26" t="s">
        <v>2163</v>
      </c>
      <c r="L165" s="889" t="s">
        <v>1868</v>
      </c>
      <c r="M165" s="26"/>
      <c r="N165" s="26"/>
      <c r="O165" s="26"/>
      <c r="P165" s="26"/>
      <c r="Q165" s="26"/>
      <c r="R165" s="26"/>
      <c r="S165" s="26"/>
      <c r="T165" s="388" t="b" cm="1">
        <f t="array" aca="1" ref="T165" ca="1">T164</f>
        <v>0</v>
      </c>
      <c r="U165" s="26"/>
      <c r="V165" s="26"/>
      <c r="W165" s="26"/>
      <c r="X165" s="2066"/>
      <c r="Z165" s="2012"/>
      <c r="AB165" s="218" t="str">
        <f>D165&amp;".3"</f>
        <v>13.3</v>
      </c>
      <c r="AC165" s="1019" t="s">
        <v>1838</v>
      </c>
      <c r="AD165" s="218" t="s">
        <v>563</v>
      </c>
      <c r="AE165" s="1021">
        <f ca="1">AE162-AE163</f>
        <v>0</v>
      </c>
      <c r="AF165" s="1021">
        <f ca="1">AF162-AF163</f>
        <v>0</v>
      </c>
      <c r="AG165" s="1021">
        <f ca="1">AG162-AG163</f>
        <v>0</v>
      </c>
      <c r="AH165" s="1021">
        <f t="shared" ca="1" si="44"/>
        <v>0</v>
      </c>
      <c r="AI165" s="1021">
        <f t="shared" ref="AI165:BC165" ca="1" si="47">AI162-AI163</f>
        <v>0</v>
      </c>
      <c r="AJ165" s="1021">
        <f t="shared" ca="1" si="47"/>
        <v>0</v>
      </c>
      <c r="AK165" s="1021">
        <f t="shared" ca="1" si="47"/>
        <v>0</v>
      </c>
      <c r="AL165" s="1021">
        <f t="shared" ca="1" si="47"/>
        <v>0</v>
      </c>
      <c r="AM165" s="1021">
        <f t="shared" ca="1" si="47"/>
        <v>0</v>
      </c>
      <c r="AN165" s="1021">
        <f t="shared" ca="1" si="47"/>
        <v>0</v>
      </c>
      <c r="AO165" s="1021">
        <f t="shared" ca="1" si="47"/>
        <v>0</v>
      </c>
      <c r="AP165" s="1021">
        <f t="shared" ca="1" si="47"/>
        <v>0</v>
      </c>
      <c r="AQ165" s="1021">
        <f t="shared" ca="1" si="47"/>
        <v>0</v>
      </c>
      <c r="AR165" s="1021">
        <f t="shared" ca="1" si="47"/>
        <v>0</v>
      </c>
      <c r="AS165" s="1021">
        <f t="shared" ca="1" si="47"/>
        <v>0</v>
      </c>
      <c r="AT165" s="1021">
        <f t="shared" ca="1" si="47"/>
        <v>0</v>
      </c>
      <c r="AU165" s="1021">
        <f t="shared" ca="1" si="47"/>
        <v>0</v>
      </c>
      <c r="AV165" s="1021">
        <f t="shared" ca="1" si="47"/>
        <v>0</v>
      </c>
      <c r="AW165" s="1021">
        <f t="shared" ca="1" si="47"/>
        <v>0</v>
      </c>
      <c r="AX165" s="1021">
        <f t="shared" ca="1" si="47"/>
        <v>0</v>
      </c>
      <c r="AY165" s="1021">
        <f t="shared" ca="1" si="47"/>
        <v>0</v>
      </c>
      <c r="AZ165" s="1021">
        <f t="shared" ca="1" si="47"/>
        <v>0</v>
      </c>
      <c r="BA165" s="1021">
        <f t="shared" ca="1" si="47"/>
        <v>0</v>
      </c>
      <c r="BB165" s="1021">
        <f t="shared" ca="1" si="47"/>
        <v>0</v>
      </c>
      <c r="BC165" s="1021">
        <f t="shared" ca="1" si="47"/>
        <v>0</v>
      </c>
      <c r="BD165" s="1023"/>
      <c r="BE165" s="1023"/>
      <c r="BF165" s="1023"/>
      <c r="BG165" s="1023"/>
      <c r="BH165" s="1023"/>
      <c r="BI165" s="1023"/>
      <c r="BJ165" s="1023"/>
      <c r="BK165" s="1023"/>
      <c r="BL165" s="1023"/>
      <c r="BM165" s="1023"/>
      <c r="BN165" s="1145"/>
      <c r="BO165" s="1145"/>
      <c r="BP165" s="1145"/>
      <c r="BS165" s="971" t="s">
        <v>1870</v>
      </c>
    </row>
    <row r="166" spans="1:75" ht="14.65" hidden="1" customHeight="1" x14ac:dyDescent="0.25">
      <c r="C166" s="26"/>
      <c r="D166" s="26" cm="1">
        <f t="array" ref="D166">D165</f>
        <v>13</v>
      </c>
      <c r="E166" s="545">
        <v>15</v>
      </c>
      <c r="F166" s="3" cm="1">
        <f t="array" aca="1" ref="F166" ca="1">OFFSET(E166,-1,1)</f>
        <v>0</v>
      </c>
      <c r="G166" s="26" t="s">
        <v>1604</v>
      </c>
      <c r="H166" s="26"/>
      <c r="I166" s="26" t="s">
        <v>2164</v>
      </c>
      <c r="J166" s="26"/>
      <c r="K166" s="26" t="s">
        <v>2164</v>
      </c>
      <c r="L166" s="889" t="s">
        <v>1871</v>
      </c>
      <c r="M166" s="26"/>
      <c r="N166" s="26"/>
      <c r="O166" s="26"/>
      <c r="P166" s="26"/>
      <c r="Q166" s="26"/>
      <c r="R166" s="26"/>
      <c r="S166" s="26"/>
      <c r="T166" s="388" t="b" cm="1">
        <f t="array" aca="1" ref="T166" ca="1">T165</f>
        <v>0</v>
      </c>
      <c r="U166" s="26"/>
      <c r="V166" s="26"/>
      <c r="W166" s="26"/>
      <c r="X166" s="2066"/>
      <c r="Z166" s="2012"/>
      <c r="AB166" s="218" t="str">
        <f>D166&amp;".4"</f>
        <v>13.4</v>
      </c>
      <c r="AC166" s="1019" t="s">
        <v>1842</v>
      </c>
      <c r="AD166" s="218" t="s">
        <v>1588</v>
      </c>
      <c r="AE166" s="1148">
        <f ca="1">IF(AE162=0,0,AE158*(1+Сценарии!AE$26))</f>
        <v>0</v>
      </c>
      <c r="AF166" s="1169">
        <f ca="1">IF(AF162=0,0,AF158*(1+Сценарии!AF$26))</f>
        <v>0</v>
      </c>
      <c r="AG166" s="1169">
        <f ca="1">IF(AG162=0,0,AG158*(1+Сценарии!AG$26))</f>
        <v>0</v>
      </c>
      <c r="AH166" s="1022">
        <f t="shared" ca="1" si="44"/>
        <v>0</v>
      </c>
      <c r="AI166" s="1148">
        <f ca="1">IF(AI162=0,0,AI158*(1+Сценарии!AI$26))</f>
        <v>0</v>
      </c>
      <c r="AJ166" s="1521">
        <f ca="1">IF(AJ162=0,0,AJ158*(1+Сценарии!AJ$26))</f>
        <v>0</v>
      </c>
      <c r="AK166" s="1148">
        <f ca="1">IF(AK162=0,0,AK158*(1+Сценарии!AO$26))</f>
        <v>0</v>
      </c>
      <c r="AL166" s="1169">
        <f ca="1">IF(AL162=0,0,AL158*(1+Сценарии!AP$26))</f>
        <v>0</v>
      </c>
      <c r="AM166" s="1169">
        <f ca="1">IF(AM162=0,0,AM158*(1+Сценарии!AQ$26))</f>
        <v>0</v>
      </c>
      <c r="AN166" s="1169">
        <f ca="1">IF(AN162=0,0,AN158*(1+Сценарии!AR$26))</f>
        <v>0</v>
      </c>
      <c r="AO166" s="1169">
        <f ca="1">IF(AO162=0,0,AO158*(1+Сценарии!AS$26))</f>
        <v>0</v>
      </c>
      <c r="AP166" s="1169">
        <f ca="1">IF(AP162=0,0,AP158*(1+Сценарии!AT$26))</f>
        <v>0</v>
      </c>
      <c r="AQ166" s="1169">
        <f ca="1">IF(AQ162=0,0,AQ158*(1+Сценарии!AU$26))</f>
        <v>0</v>
      </c>
      <c r="AR166" s="1169">
        <f ca="1">IF(AR162=0,0,AR158*(1+Сценарии!AV$26))</f>
        <v>0</v>
      </c>
      <c r="AS166" s="1169">
        <f ca="1">IF(AS162=0,0,AS158*(1+Сценарии!AW$26))</f>
        <v>0</v>
      </c>
      <c r="AT166" s="1514">
        <f ca="1">IF(AT162=0,0,AT158*(1+Сценарии!AK$26))</f>
        <v>0</v>
      </c>
      <c r="AU166" s="1148">
        <f ca="1">IF(AU162=0,0,AU158*(1+Сценарии!AX$26))</f>
        <v>0</v>
      </c>
      <c r="AV166" s="1169">
        <f ca="1">IF(AV162=0,0,AV158*(1+Сценарии!AY$26))</f>
        <v>0</v>
      </c>
      <c r="AW166" s="1169">
        <f ca="1">IF(AW162=0,0,AW158*(1+Сценарии!AZ$26))</f>
        <v>0</v>
      </c>
      <c r="AX166" s="1169">
        <f ca="1">IF(AX162=0,0,AX158*(1+Сценарии!BA$26))</f>
        <v>0</v>
      </c>
      <c r="AY166" s="1169">
        <f ca="1">IF(AY162=0,0,AY158*(1+Сценарии!BB$26))</f>
        <v>0</v>
      </c>
      <c r="AZ166" s="1169">
        <f ca="1">IF(AZ162=0,0,AZ158*(1+Сценарии!BC$26))</f>
        <v>0</v>
      </c>
      <c r="BA166" s="1169">
        <f ca="1">IF(BA162=0,0,BA158*(1+Сценарии!BD$26))</f>
        <v>0</v>
      </c>
      <c r="BB166" s="1169">
        <f ca="1">IF(BB162=0,0,BB158*(1+Сценарии!BE$26))</f>
        <v>0</v>
      </c>
      <c r="BC166" s="1169">
        <f ca="1">IF(BC162=0,0,BC158*(1+Сценарии!BF$26))</f>
        <v>0</v>
      </c>
      <c r="BD166" s="1023"/>
      <c r="BE166" s="1023"/>
      <c r="BF166" s="1023"/>
      <c r="BG166" s="1023"/>
      <c r="BH166" s="1023"/>
      <c r="BI166" s="1023"/>
      <c r="BJ166" s="1023"/>
      <c r="BK166" s="1023"/>
      <c r="BL166" s="1023"/>
      <c r="BM166" s="1023"/>
      <c r="BN166" s="1145"/>
      <c r="BO166" s="1145"/>
      <c r="BP166" s="1145"/>
      <c r="BS166" s="971" t="s">
        <v>1874</v>
      </c>
    </row>
    <row r="167" spans="1:75" ht="14.65" hidden="1" customHeight="1" x14ac:dyDescent="0.25">
      <c r="C167" s="26"/>
      <c r="D167" s="26">
        <f>D166+1</f>
        <v>14</v>
      </c>
      <c r="E167" s="545">
        <v>15</v>
      </c>
      <c r="F167" s="3" cm="1">
        <f t="array" aca="1" ref="F167" ca="1">OFFSET(E167,-1,1)</f>
        <v>0</v>
      </c>
      <c r="G167" s="26"/>
      <c r="H167" s="26"/>
      <c r="I167" s="26"/>
      <c r="J167" s="26"/>
      <c r="K167" s="26"/>
      <c r="L167" s="889"/>
      <c r="M167" s="26"/>
      <c r="N167" s="26"/>
      <c r="O167" s="26"/>
      <c r="P167" s="26"/>
      <c r="Q167" s="26"/>
      <c r="R167" s="26"/>
      <c r="S167" s="26"/>
      <c r="T167" s="388" t="b" cm="1">
        <f t="array" aca="1" ref="T167" ca="1">T166</f>
        <v>0</v>
      </c>
      <c r="U167" s="26"/>
      <c r="V167" s="26"/>
      <c r="W167" s="26"/>
      <c r="X167" s="2066"/>
      <c r="Z167" s="2012"/>
      <c r="AB167" s="130" cm="1">
        <f t="array" ref="AB167">D167</f>
        <v>14</v>
      </c>
      <c r="AC167" s="131" t="s">
        <v>1876</v>
      </c>
      <c r="AD167" s="130" t="s">
        <v>831</v>
      </c>
      <c r="AE167" s="1148"/>
      <c r="AF167" s="1148"/>
      <c r="AG167" s="1148"/>
      <c r="AH167" s="1022">
        <f t="shared" si="44"/>
        <v>0</v>
      </c>
      <c r="AI167" s="1148"/>
      <c r="AJ167" s="1514"/>
      <c r="AK167" s="1148"/>
      <c r="AL167" s="1148"/>
      <c r="AM167" s="1148"/>
      <c r="AN167" s="1148"/>
      <c r="AO167" s="1148"/>
      <c r="AP167" s="1148"/>
      <c r="AQ167" s="1148"/>
      <c r="AR167" s="1148"/>
      <c r="AS167" s="1148"/>
      <c r="AT167" s="1514"/>
      <c r="AU167" s="1148"/>
      <c r="AV167" s="1148"/>
      <c r="AW167" s="1148"/>
      <c r="AX167" s="1148"/>
      <c r="AY167" s="1148"/>
      <c r="AZ167" s="1148"/>
      <c r="BA167" s="1148"/>
      <c r="BB167" s="1148"/>
      <c r="BC167" s="1148"/>
      <c r="BD167" s="1023"/>
      <c r="BE167" s="1023"/>
      <c r="BF167" s="1023"/>
      <c r="BG167" s="1023"/>
      <c r="BH167" s="1023"/>
      <c r="BI167" s="1023"/>
      <c r="BJ167" s="1023"/>
      <c r="BK167" s="1023"/>
      <c r="BL167" s="1023"/>
      <c r="BM167" s="1023"/>
      <c r="BN167" s="1145"/>
      <c r="BO167" s="1145"/>
      <c r="BP167" s="1145"/>
      <c r="BS167" s="971" t="s">
        <v>1877</v>
      </c>
    </row>
    <row r="168" spans="1:75" s="1140" customFormat="1" ht="20.45" hidden="1" customHeight="1" x14ac:dyDescent="0.25">
      <c r="B168" s="673"/>
      <c r="C168" s="26"/>
      <c r="D168" s="26" cm="1">
        <f t="array" ref="D168">D167</f>
        <v>14</v>
      </c>
      <c r="E168" s="545">
        <v>21</v>
      </c>
      <c r="F168" s="3" cm="1">
        <f t="array" aca="1" ref="F168" ca="1">OFFSET(E168,-1,1)</f>
        <v>0</v>
      </c>
      <c r="G168" s="26"/>
      <c r="H168" s="26"/>
      <c r="I168" s="26"/>
      <c r="J168" s="26"/>
      <c r="K168" s="26"/>
      <c r="L168" s="889"/>
      <c r="M168" s="26"/>
      <c r="N168" s="26"/>
      <c r="O168" s="26"/>
      <c r="P168" s="26"/>
      <c r="Q168" s="26"/>
      <c r="R168" s="26"/>
      <c r="S168" s="26"/>
      <c r="T168" s="388" t="b" cm="1">
        <f t="array" aca="1" ref="T168" ca="1">T167</f>
        <v>0</v>
      </c>
      <c r="U168" s="26"/>
      <c r="V168" s="26"/>
      <c r="W168" s="26"/>
      <c r="X168" s="2066"/>
      <c r="Z168" s="2012"/>
      <c r="AB168" s="218" t="str">
        <f>D168&amp;".1"</f>
        <v>14.1</v>
      </c>
      <c r="AC168" s="682" t="s">
        <v>1879</v>
      </c>
      <c r="AD168" s="218" t="s">
        <v>831</v>
      </c>
      <c r="AE168" s="1148"/>
      <c r="AF168" s="1148"/>
      <c r="AG168" s="1148"/>
      <c r="AH168" s="1022">
        <f t="shared" si="44"/>
        <v>0</v>
      </c>
      <c r="AI168" s="1148"/>
      <c r="AJ168" s="1514"/>
      <c r="AK168" s="1148"/>
      <c r="AL168" s="1148"/>
      <c r="AM168" s="1148"/>
      <c r="AN168" s="1148"/>
      <c r="AO168" s="1148"/>
      <c r="AP168" s="1148"/>
      <c r="AQ168" s="1148"/>
      <c r="AR168" s="1148"/>
      <c r="AS168" s="1148"/>
      <c r="AT168" s="1514"/>
      <c r="AU168" s="1148"/>
      <c r="AV168" s="1148"/>
      <c r="AW168" s="1148"/>
      <c r="AX168" s="1148"/>
      <c r="AY168" s="1148"/>
      <c r="AZ168" s="1148"/>
      <c r="BA168" s="1148"/>
      <c r="BB168" s="1148"/>
      <c r="BC168" s="1148"/>
      <c r="BD168" s="1023"/>
      <c r="BE168" s="1023"/>
      <c r="BF168" s="1023"/>
      <c r="BG168" s="1023"/>
      <c r="BH168" s="1023"/>
      <c r="BI168" s="1023"/>
      <c r="BJ168" s="1023"/>
      <c r="BK168" s="1023"/>
      <c r="BL168" s="1023"/>
      <c r="BM168" s="1023"/>
      <c r="BN168" s="1145"/>
      <c r="BO168" s="1145"/>
      <c r="BP168" s="1145"/>
      <c r="BS168" s="971" t="s">
        <v>1880</v>
      </c>
      <c r="BT168" s="980"/>
      <c r="BU168" s="980"/>
      <c r="BV168" s="981"/>
      <c r="BW168" s="981"/>
    </row>
    <row r="169" spans="1:75" s="1140" customFormat="1" ht="64.900000000000006" hidden="1" customHeight="1" x14ac:dyDescent="0.25">
      <c r="B169" s="673"/>
      <c r="C169" s="26"/>
      <c r="D169" s="26" cm="1">
        <f t="array" ref="D169">D168</f>
        <v>14</v>
      </c>
      <c r="E169" s="545">
        <v>66.599999999999994</v>
      </c>
      <c r="F169" s="3" cm="1">
        <f t="array" aca="1" ref="F169" ca="1">OFFSET(E169,-1,1)</f>
        <v>0</v>
      </c>
      <c r="G169" s="26"/>
      <c r="H169" s="26"/>
      <c r="I169" s="26"/>
      <c r="J169" s="26"/>
      <c r="K169" s="26"/>
      <c r="L169" s="889"/>
      <c r="M169" s="26"/>
      <c r="N169" s="26"/>
      <c r="O169" s="26"/>
      <c r="P169" s="26"/>
      <c r="Q169" s="26"/>
      <c r="R169" s="26"/>
      <c r="S169" s="26"/>
      <c r="T169" s="388" t="b" cm="1">
        <f t="array" aca="1" ref="T169" ca="1">T168</f>
        <v>0</v>
      </c>
      <c r="U169" s="26"/>
      <c r="V169" s="26"/>
      <c r="W169" s="26"/>
      <c r="X169" s="2066"/>
      <c r="Z169" s="2012"/>
      <c r="AB169" s="218" t="str">
        <f>D169&amp;".2"</f>
        <v>14.2</v>
      </c>
      <c r="AC169" s="682" t="s">
        <v>1882</v>
      </c>
      <c r="AD169" s="218" t="s">
        <v>831</v>
      </c>
      <c r="AE169" s="1148"/>
      <c r="AF169" s="1148"/>
      <c r="AG169" s="1148"/>
      <c r="AH169" s="1022">
        <f t="shared" si="44"/>
        <v>0</v>
      </c>
      <c r="AI169" s="1148"/>
      <c r="AJ169" s="1514"/>
      <c r="AK169" s="1148"/>
      <c r="AL169" s="1148"/>
      <c r="AM169" s="1148"/>
      <c r="AN169" s="1148"/>
      <c r="AO169" s="1148"/>
      <c r="AP169" s="1148"/>
      <c r="AQ169" s="1148"/>
      <c r="AR169" s="1148"/>
      <c r="AS169" s="1148"/>
      <c r="AT169" s="1514"/>
      <c r="AU169" s="1148"/>
      <c r="AV169" s="1148"/>
      <c r="AW169" s="1148"/>
      <c r="AX169" s="1148"/>
      <c r="AY169" s="1148"/>
      <c r="AZ169" s="1148"/>
      <c r="BA169" s="1148"/>
      <c r="BB169" s="1148"/>
      <c r="BC169" s="1148"/>
      <c r="BD169" s="1023"/>
      <c r="BE169" s="1023"/>
      <c r="BF169" s="1023"/>
      <c r="BG169" s="1023"/>
      <c r="BH169" s="1023"/>
      <c r="BI169" s="1023"/>
      <c r="BJ169" s="1023"/>
      <c r="BK169" s="1023"/>
      <c r="BL169" s="1023"/>
      <c r="BM169" s="1023"/>
      <c r="BN169" s="1145"/>
      <c r="BO169" s="1145"/>
      <c r="BP169" s="1145"/>
      <c r="BS169" s="971" t="s">
        <v>1883</v>
      </c>
      <c r="BT169" s="980"/>
      <c r="BU169" s="980"/>
      <c r="BV169" s="981"/>
      <c r="BW169" s="981"/>
    </row>
    <row r="170" spans="1:75" s="1140" customFormat="1" ht="44.45" hidden="1" customHeight="1" x14ac:dyDescent="0.15">
      <c r="B170" s="673"/>
      <c r="C170" s="26"/>
      <c r="D170" s="26" cm="1">
        <f t="array" ref="D170">D169</f>
        <v>14</v>
      </c>
      <c r="E170" s="545">
        <v>45.6</v>
      </c>
      <c r="F170" s="3" cm="1">
        <f t="array" aca="1" ref="F170" ca="1">OFFSET(E170,-1,1)</f>
        <v>0</v>
      </c>
      <c r="G170" s="26"/>
      <c r="H170" s="26"/>
      <c r="I170" s="26"/>
      <c r="J170" s="26"/>
      <c r="K170" s="26"/>
      <c r="L170" s="889"/>
      <c r="M170" s="26"/>
      <c r="N170" s="26"/>
      <c r="O170" s="26"/>
      <c r="P170" s="26"/>
      <c r="Q170" s="26"/>
      <c r="R170" s="26"/>
      <c r="S170" s="26"/>
      <c r="T170" s="388" t="b" cm="1">
        <f t="array" aca="1" ref="T170" ca="1">T169</f>
        <v>0</v>
      </c>
      <c r="U170" s="26"/>
      <c r="V170" s="26"/>
      <c r="W170" s="26"/>
      <c r="X170" s="2066"/>
      <c r="Z170" s="2012"/>
      <c r="AB170" s="218" t="str">
        <f>D170&amp;".3"</f>
        <v>14.3</v>
      </c>
      <c r="AC170" s="682" t="s">
        <v>2165</v>
      </c>
      <c r="AD170" s="218" t="s">
        <v>831</v>
      </c>
      <c r="AE170" s="1023"/>
      <c r="AF170" s="1148"/>
      <c r="AG170" s="1148"/>
      <c r="AH170" s="1022">
        <f t="shared" si="44"/>
        <v>0</v>
      </c>
      <c r="AI170" s="1023"/>
      <c r="AJ170" s="1023"/>
      <c r="AK170" s="1023"/>
      <c r="AL170" s="1023"/>
      <c r="AM170" s="1023"/>
      <c r="AN170" s="1023"/>
      <c r="AO170" s="1023"/>
      <c r="AP170" s="1023"/>
      <c r="AQ170" s="1023"/>
      <c r="AR170" s="1023"/>
      <c r="AS170" s="1023"/>
      <c r="AT170" s="1023"/>
      <c r="AU170" s="1023"/>
      <c r="AV170" s="1023"/>
      <c r="AW170" s="1023"/>
      <c r="AX170" s="1023"/>
      <c r="AY170" s="1023"/>
      <c r="AZ170" s="1023"/>
      <c r="BA170" s="1023"/>
      <c r="BB170" s="1023"/>
      <c r="BC170" s="1023"/>
      <c r="BD170" s="1023"/>
      <c r="BE170" s="1023"/>
      <c r="BF170" s="1023"/>
      <c r="BG170" s="1023"/>
      <c r="BH170" s="1023"/>
      <c r="BI170" s="1023"/>
      <c r="BJ170" s="1023"/>
      <c r="BK170" s="1023"/>
      <c r="BL170" s="1023"/>
      <c r="BM170" s="1023"/>
      <c r="BN170" s="1145"/>
      <c r="BO170" s="1145"/>
      <c r="BP170" s="1145"/>
      <c r="BS170" s="980" t="s">
        <v>2166</v>
      </c>
      <c r="BT170" s="980"/>
      <c r="BU170" s="980"/>
      <c r="BV170" s="981"/>
      <c r="BW170" s="981"/>
    </row>
    <row r="171" spans="1:75" s="461" customFormat="1" ht="14.25" customHeight="1" x14ac:dyDescent="0.15">
      <c r="A171" s="1217"/>
      <c r="B171" s="350"/>
      <c r="C171" s="348"/>
      <c r="D171" s="348"/>
      <c r="E171" s="543">
        <v>15</v>
      </c>
      <c r="F171" s="416" t="str" cm="1">
        <f t="array" ref="F171">X171</f>
        <v>1</v>
      </c>
      <c r="G171" s="416" t="str" cm="1">
        <f t="array" ref="G171">INDEX('Общие сведения'!$AK$185:$AK$228,MATCH($X171,'Общие сведения'!$Z$185:$Z$228,0))</f>
        <v>одноставочный</v>
      </c>
      <c r="H171" s="348"/>
      <c r="I171" s="416"/>
      <c r="J171" s="348"/>
      <c r="K171" s="348"/>
      <c r="L171" s="891"/>
      <c r="M171" s="348"/>
      <c r="N171" s="348"/>
      <c r="O171" s="348"/>
      <c r="P171" s="348"/>
      <c r="Q171" s="348"/>
      <c r="R171" s="348"/>
      <c r="S171" s="348" t="str" cm="1">
        <f t="array" ref="S171">INDEX('Общие сведения'!$AE$185:$AE$228,MATCH($X171,'Общие сведения'!$Z$185:$Z$228,0))</f>
        <v>Водоснабжение</v>
      </c>
      <c r="T171" s="388" t="b">
        <f>X171&gt;0</f>
        <v>1</v>
      </c>
      <c r="U171" s="348"/>
      <c r="V171" s="348" t="str" cm="1">
        <f t="array" ref="V171">'Калькуляция (МЭОР)'!$AB$112</f>
        <v>Тариф 1 (Водоснабжение) - тариф на питьевую воду</v>
      </c>
      <c r="W171" s="348"/>
      <c r="X171" s="2066" t="s">
        <v>282</v>
      </c>
      <c r="Y171" s="1217"/>
      <c r="Z171" s="2012"/>
      <c r="AA171" s="1217"/>
      <c r="AB171" s="297" t="str" cm="1">
        <f t="array" ref="AB171">'Калькуляция (МЭОР)'!$AB$112</f>
        <v>Тариф 1 (Водоснабжение) - тариф на питьевую воду</v>
      </c>
      <c r="AC171" s="171"/>
      <c r="AD171" s="171"/>
      <c r="AE171" s="171"/>
      <c r="AF171" s="171"/>
      <c r="AG171" s="171"/>
      <c r="AH171" s="171"/>
      <c r="AI171" s="171"/>
      <c r="AJ171" s="171"/>
      <c r="AK171" s="171"/>
      <c r="AL171" s="171"/>
      <c r="AM171" s="171"/>
      <c r="AN171" s="171"/>
      <c r="AO171" s="171"/>
      <c r="AP171" s="171"/>
      <c r="AQ171" s="171"/>
      <c r="AR171" s="171"/>
      <c r="AS171" s="171"/>
      <c r="AT171" s="171"/>
      <c r="AU171" s="171"/>
      <c r="AV171" s="171"/>
      <c r="AW171" s="171"/>
      <c r="AX171" s="171"/>
      <c r="AY171" s="171"/>
      <c r="AZ171" s="171"/>
      <c r="BA171" s="171"/>
      <c r="BB171" s="171"/>
      <c r="BC171" s="171"/>
      <c r="BD171" s="171"/>
      <c r="BE171" s="171"/>
      <c r="BF171" s="171"/>
      <c r="BG171" s="171"/>
      <c r="BH171" s="171"/>
      <c r="BI171" s="171"/>
      <c r="BJ171" s="171"/>
      <c r="BK171" s="171"/>
      <c r="BL171" s="171"/>
      <c r="BM171" s="171"/>
      <c r="BN171" s="171"/>
      <c r="BO171" s="171"/>
      <c r="BP171" s="171"/>
      <c r="BQ171" s="1217"/>
      <c r="BR171" s="1217"/>
      <c r="BS171" s="906"/>
      <c r="BT171" s="906"/>
      <c r="BU171" s="906"/>
      <c r="BV171" s="542"/>
      <c r="BW171" s="542"/>
    </row>
    <row r="172" spans="1:75" s="1522" customFormat="1" ht="285.75" customHeight="1" x14ac:dyDescent="0.15">
      <c r="A172" s="80"/>
      <c r="B172" s="356"/>
      <c r="C172" s="774"/>
      <c r="D172" s="774"/>
      <c r="E172" s="775">
        <v>21</v>
      </c>
      <c r="F172" s="3" t="str" cm="1">
        <f t="array" aca="1" ref="F172" ca="1">OFFSET(E172,-1,1)</f>
        <v>1</v>
      </c>
      <c r="G172" s="774"/>
      <c r="H172" s="31"/>
      <c r="I172" s="31" t="s">
        <v>331</v>
      </c>
      <c r="J172" s="774"/>
      <c r="K172" s="293" t="s">
        <v>331</v>
      </c>
      <c r="L172" s="892"/>
      <c r="M172" s="774"/>
      <c r="N172" s="774"/>
      <c r="O172" s="774"/>
      <c r="P172" s="774"/>
      <c r="Q172" s="774"/>
      <c r="R172" s="774"/>
      <c r="S172" s="774"/>
      <c r="T172" s="388" t="b" cm="1">
        <f t="array" ref="T172">T171</f>
        <v>1</v>
      </c>
      <c r="U172" s="774"/>
      <c r="V172" s="774"/>
      <c r="W172" s="774"/>
      <c r="X172" s="2066"/>
      <c r="Y172" s="80"/>
      <c r="Z172" s="2012"/>
      <c r="AA172" s="80"/>
      <c r="AB172" s="153" t="s">
        <v>282</v>
      </c>
      <c r="AC172" s="131" t="s">
        <v>1890</v>
      </c>
      <c r="AD172" s="153" t="s">
        <v>831</v>
      </c>
      <c r="AE172" s="698">
        <f ca="1">SUM(AE174,AE191,AE197,AE217,AE218,AE219)</f>
        <v>98864.604932232789</v>
      </c>
      <c r="AF172" s="698">
        <f ca="1">SUM(AF174,AF191,AF197,AF217,AF218,AF219)</f>
        <v>0</v>
      </c>
      <c r="AG172" s="698">
        <f ca="1">SUM(AG174,AG191,AG197,AG217,AG218,AG219)</f>
        <v>0</v>
      </c>
      <c r="AH172" s="698">
        <f t="shared" ref="AH172:AH203" ca="1" si="48">AG172-AF172</f>
        <v>0</v>
      </c>
      <c r="AI172" s="698">
        <f ca="1">SUM(AI174,AI191,AI197,AI217,AI218,AI219)</f>
        <v>0</v>
      </c>
      <c r="AJ172" s="698">
        <f ca="1">SUM(AJ174,AJ191,AJ197,AJ217,AJ218,AJ219)</f>
        <v>0</v>
      </c>
      <c r="AK172" s="1144">
        <v>135394.975543145</v>
      </c>
      <c r="AL172" s="1144">
        <v>140743.07707709901</v>
      </c>
      <c r="AM172" s="1144">
        <v>146302.42862164401</v>
      </c>
      <c r="AN172" s="1144">
        <v>152081.37455219901</v>
      </c>
      <c r="AO172" s="1144">
        <v>158088.58884701101</v>
      </c>
      <c r="AP172" s="1144">
        <v>164333.088106468</v>
      </c>
      <c r="AQ172" s="1518">
        <f ca="1">AP172*AQ173</f>
        <v>164333.088106468</v>
      </c>
      <c r="AR172" s="1518">
        <f ca="1">AQ172*AR173</f>
        <v>164333.088106468</v>
      </c>
      <c r="AS172" s="1518">
        <f ca="1">AR172*AS173</f>
        <v>164333.088106468</v>
      </c>
      <c r="AT172" s="698">
        <f ca="1">SUM(AT174,AT191,AT197,AT217,AT218,AT219)</f>
        <v>0</v>
      </c>
      <c r="AU172" s="1144">
        <v>108201.111159661</v>
      </c>
      <c r="AV172" s="1144">
        <v>111403.86404998699</v>
      </c>
      <c r="AW172" s="1144">
        <v>114701.418425866</v>
      </c>
      <c r="AX172" s="1144">
        <v>118096.58041127201</v>
      </c>
      <c r="AY172" s="1144">
        <v>121592.239191446</v>
      </c>
      <c r="AZ172" s="1144">
        <v>125191.369471513</v>
      </c>
      <c r="BA172" s="1518">
        <f ca="1">AZ172*BA173</f>
        <v>125191.369471513</v>
      </c>
      <c r="BB172" s="1518">
        <f ca="1">BA172*BB173</f>
        <v>125191.369471513</v>
      </c>
      <c r="BC172" s="1518">
        <f ca="1">BB172*BC173</f>
        <v>125191.369471513</v>
      </c>
      <c r="BD172" s="698">
        <f t="shared" ref="BD172:BD203" ca="1" si="49">IF(AI172=0,0,(AT172-AI172)/AI172*100)</f>
        <v>0</v>
      </c>
      <c r="BE172" s="698">
        <f t="shared" ref="BE172:BM172" ca="1" si="50">IF(AT172=0,0,(AU172-AT172)/AT172*100)</f>
        <v>0</v>
      </c>
      <c r="BF172" s="698">
        <f t="shared" si="50"/>
        <v>2.9600000000000275</v>
      </c>
      <c r="BG172" s="698">
        <f t="shared" si="50"/>
        <v>2.9599999999994488</v>
      </c>
      <c r="BH172" s="698">
        <f t="shared" si="50"/>
        <v>2.9600000000003299</v>
      </c>
      <c r="BI172" s="698">
        <f t="shared" si="50"/>
        <v>2.9600000000002913</v>
      </c>
      <c r="BJ172" s="698">
        <f t="shared" si="50"/>
        <v>2.9600000000001585</v>
      </c>
      <c r="BK172" s="698">
        <f t="shared" ca="1" si="50"/>
        <v>0</v>
      </c>
      <c r="BL172" s="698">
        <f t="shared" ca="1" si="50"/>
        <v>0</v>
      </c>
      <c r="BM172" s="698">
        <f t="shared" ca="1" si="50"/>
        <v>0</v>
      </c>
      <c r="BN172" s="1523" t="s">
        <v>2167</v>
      </c>
      <c r="BO172" s="1523" t="s">
        <v>2168</v>
      </c>
      <c r="BP172" s="1523"/>
      <c r="BQ172" s="79"/>
      <c r="BR172" s="80"/>
      <c r="BS172" s="977" t="s">
        <v>555</v>
      </c>
      <c r="BT172" s="977"/>
      <c r="BU172" s="977"/>
      <c r="BV172" s="628"/>
      <c r="BW172" s="628"/>
    </row>
    <row r="173" spans="1:75" s="1334" customFormat="1" ht="14.65" customHeight="1" x14ac:dyDescent="0.15">
      <c r="A173" s="1184"/>
      <c r="B173" s="887"/>
      <c r="C173" s="26"/>
      <c r="D173" s="26"/>
      <c r="E173" s="545">
        <v>15</v>
      </c>
      <c r="F173" s="3" t="str" cm="1">
        <f t="array" aca="1" ref="F173" ca="1">OFFSET(E173,-1,1)</f>
        <v>1</v>
      </c>
      <c r="G173" s="26"/>
      <c r="H173" s="776"/>
      <c r="I173" s="776" t="s">
        <v>494</v>
      </c>
      <c r="J173" s="26"/>
      <c r="K173" s="294" t="s">
        <v>494</v>
      </c>
      <c r="L173" s="889"/>
      <c r="M173" s="26"/>
      <c r="N173" s="26"/>
      <c r="O173" s="26"/>
      <c r="P173" s="26"/>
      <c r="Q173" s="26"/>
      <c r="R173" s="26"/>
      <c r="S173" s="26"/>
      <c r="T173" s="388" t="b" cm="1">
        <f t="array" ref="T173">T172</f>
        <v>1</v>
      </c>
      <c r="U173" s="26"/>
      <c r="V173" s="26"/>
      <c r="W173" s="26"/>
      <c r="X173" s="2066"/>
      <c r="Y173" s="1184"/>
      <c r="Z173" s="2012"/>
      <c r="AA173" s="1184"/>
      <c r="AB173" s="218" t="s">
        <v>910</v>
      </c>
      <c r="AC173" s="682" t="s">
        <v>1891</v>
      </c>
      <c r="AD173" s="218"/>
      <c r="AE173" s="1513"/>
      <c r="AF173" s="1513"/>
      <c r="AG173" s="1513"/>
      <c r="AH173" s="1021">
        <f t="shared" si="48"/>
        <v>0</v>
      </c>
      <c r="AI173" s="1513">
        <v>1.0315799999999999</v>
      </c>
      <c r="AJ173" s="1513">
        <v>1.0395000000000001</v>
      </c>
      <c r="AK173" s="1146">
        <v>1.0395000000000001</v>
      </c>
      <c r="AL173" s="1146">
        <v>1.0395000000000001</v>
      </c>
      <c r="AM173" s="1146">
        <v>1.0395000000000001</v>
      </c>
      <c r="AN173" s="1146">
        <v>1.0395000000000001</v>
      </c>
      <c r="AO173" s="1146">
        <v>1.0395000000000001</v>
      </c>
      <c r="AP173" s="1146">
        <v>1.0395000000000001</v>
      </c>
      <c r="AQ173" s="1513">
        <f ca="1">SUMIFS(INDEX(Сценарии!$AE$25:$BF$109,,MATCH(AQ$8,Сценарии!$AE$8:$BF$8,0)),Сценарии!$F$25:$F$109,$F173,Сценарии!$G$25:$G$109,"ИОР")</f>
        <v>1</v>
      </c>
      <c r="AR173" s="1513">
        <f ca="1">SUMIFS(INDEX(Сценарии!$AE$25:$BF$109,,MATCH(AR$8,Сценарии!$AE$8:$BF$8,0)),Сценарии!$F$25:$F$109,$F173,Сценарии!$G$25:$G$109,"ИОР")</f>
        <v>1</v>
      </c>
      <c r="AS173" s="1513">
        <f ca="1">SUMIFS(INDEX(Сценарии!$AE$25:$BF$109,,MATCH(AS$8,Сценарии!$AE$8:$BF$8,0)),Сценарии!$F$25:$F$109,$F173,Сценарии!$G$25:$G$109,"ИОР")</f>
        <v>1</v>
      </c>
      <c r="AT173" s="1513">
        <v>1.0296000000000001</v>
      </c>
      <c r="AU173" s="1146">
        <v>1.0296000000000001</v>
      </c>
      <c r="AV173" s="1146">
        <v>1.0296000000000001</v>
      </c>
      <c r="AW173" s="1146">
        <v>1.0296000000000001</v>
      </c>
      <c r="AX173" s="1146">
        <v>1.0296000000000001</v>
      </c>
      <c r="AY173" s="1146">
        <v>1.0296000000000001</v>
      </c>
      <c r="AZ173" s="1146">
        <v>1.0296000000000001</v>
      </c>
      <c r="BA173" s="1513">
        <f ca="1">SUMIFS(INDEX(Сценарии!$AE$25:$BF$109,,MATCH(BA$8,Сценарии!$AE$8:$BF$8,0)),Сценарии!$F$25:$F$109,$F173,Сценарии!$G$25:$G$109,"ИОР")</f>
        <v>1</v>
      </c>
      <c r="BB173" s="1513">
        <f ca="1">SUMIFS(INDEX(Сценарии!$AE$25:$BF$109,,MATCH(BB$8,Сценарии!$AE$8:$BF$8,0)),Сценарии!$F$25:$F$109,$F173,Сценарии!$G$25:$G$109,"ИОР")</f>
        <v>1</v>
      </c>
      <c r="BC173" s="1513">
        <f ca="1">SUMIFS(INDEX(Сценарии!$AE$25:$BF$109,,MATCH(BC$8,Сценарии!$AE$8:$BF$8,0)),Сценарии!$F$25:$F$109,$F173,Сценарии!$G$25:$G$109,"ИОР")</f>
        <v>1</v>
      </c>
      <c r="BD173" s="1022">
        <f t="shared" si="49"/>
        <v>-0.19193857965449804</v>
      </c>
      <c r="BE173" s="1023"/>
      <c r="BF173" s="1023"/>
      <c r="BG173" s="1023"/>
      <c r="BH173" s="1023"/>
      <c r="BI173" s="1023"/>
      <c r="BJ173" s="1023"/>
      <c r="BK173" s="1023"/>
      <c r="BL173" s="1023"/>
      <c r="BM173" s="1023"/>
      <c r="BN173" s="1523"/>
      <c r="BO173" s="1523"/>
      <c r="BP173" s="1523"/>
      <c r="BQ173" s="1184"/>
      <c r="BR173" s="1184"/>
      <c r="BS173" s="973" t="s">
        <v>1892</v>
      </c>
      <c r="BT173" s="973"/>
      <c r="BU173" s="973"/>
      <c r="BV173" s="888"/>
      <c r="BW173" s="888"/>
    </row>
    <row r="174" spans="1:75" s="356" customFormat="1" ht="20.25" customHeight="1" x14ac:dyDescent="0.25">
      <c r="A174" s="79"/>
      <c r="C174" s="777"/>
      <c r="D174" s="777"/>
      <c r="E174" s="778">
        <v>21</v>
      </c>
      <c r="F174" s="3" t="str" cm="1">
        <f t="array" aca="1" ref="F174" ca="1">OFFSET(E174,-1,1)</f>
        <v>1</v>
      </c>
      <c r="G174" s="777"/>
      <c r="H174" s="31"/>
      <c r="I174" s="31" t="s">
        <v>498</v>
      </c>
      <c r="J174" s="777"/>
      <c r="K174" s="293" t="s">
        <v>498</v>
      </c>
      <c r="L174" s="893" t="s">
        <v>331</v>
      </c>
      <c r="M174" s="777"/>
      <c r="N174" s="777"/>
      <c r="O174" s="777"/>
      <c r="P174" s="777"/>
      <c r="Q174" s="777"/>
      <c r="R174" s="777"/>
      <c r="S174" s="777"/>
      <c r="T174" s="388" t="b" cm="1">
        <f t="array" ref="T174">T173</f>
        <v>1</v>
      </c>
      <c r="U174" s="777"/>
      <c r="V174" s="777"/>
      <c r="W174" s="777"/>
      <c r="X174" s="2066"/>
      <c r="Y174" s="79"/>
      <c r="Z174" s="2012"/>
      <c r="AA174" s="79"/>
      <c r="AB174" s="153" t="s">
        <v>913</v>
      </c>
      <c r="AC174" s="277" t="s">
        <v>1680</v>
      </c>
      <c r="AD174" s="153" t="s">
        <v>831</v>
      </c>
      <c r="AE174" s="698">
        <f ca="1">SUM(AE175,AE178,AE179,AE182,AE183)</f>
        <v>55768.5846619929</v>
      </c>
      <c r="AF174" s="698">
        <f ca="1">SUM(AF175,AF178,AF179,AF182,AF183)</f>
        <v>0</v>
      </c>
      <c r="AG174" s="698">
        <f ca="1">SUM(AG175,AG178,AG179,AG182,AG183)</f>
        <v>0</v>
      </c>
      <c r="AH174" s="698">
        <f t="shared" ca="1" si="48"/>
        <v>0</v>
      </c>
      <c r="AI174" s="698">
        <f ca="1">SUM(AI175,AI178,AI179,AI182,AI183)</f>
        <v>0</v>
      </c>
      <c r="AJ174" s="698">
        <f ca="1">SUM(AJ175,AJ178,AJ179,AJ182,AJ183)</f>
        <v>0</v>
      </c>
      <c r="AK174" s="135"/>
      <c r="AL174" s="135"/>
      <c r="AM174" s="135"/>
      <c r="AN174" s="135"/>
      <c r="AO174" s="135"/>
      <c r="AP174" s="135"/>
      <c r="AQ174" s="135"/>
      <c r="AR174" s="135"/>
      <c r="AS174" s="135"/>
      <c r="AT174" s="698">
        <f ca="1">SUM(AT175,AT178,AT179,AT182,AT183)</f>
        <v>0</v>
      </c>
      <c r="AU174" s="135"/>
      <c r="AV174" s="135"/>
      <c r="AW174" s="135"/>
      <c r="AX174" s="135"/>
      <c r="AY174" s="135"/>
      <c r="AZ174" s="135"/>
      <c r="BA174" s="135"/>
      <c r="BB174" s="135"/>
      <c r="BC174" s="135"/>
      <c r="BD174" s="698">
        <f t="shared" ca="1" si="49"/>
        <v>0</v>
      </c>
      <c r="BE174" s="135"/>
      <c r="BF174" s="135"/>
      <c r="BG174" s="135"/>
      <c r="BH174" s="135"/>
      <c r="BI174" s="135"/>
      <c r="BJ174" s="135"/>
      <c r="BK174" s="135"/>
      <c r="BL174" s="135"/>
      <c r="BM174" s="135"/>
      <c r="BN174" s="1524"/>
      <c r="BO174" s="1524"/>
      <c r="BP174" s="1524"/>
      <c r="BQ174" s="79"/>
      <c r="BR174" s="79"/>
      <c r="BS174" s="971" t="s">
        <v>549</v>
      </c>
      <c r="BT174" s="978"/>
      <c r="BU174" s="978"/>
      <c r="BV174" s="629"/>
      <c r="BW174" s="629"/>
    </row>
    <row r="175" spans="1:75" s="1334" customFormat="1" ht="14.25" customHeight="1" x14ac:dyDescent="0.25">
      <c r="A175" s="1184"/>
      <c r="B175" s="887"/>
      <c r="C175" s="26"/>
      <c r="D175" s="26"/>
      <c r="E175" s="545">
        <v>15</v>
      </c>
      <c r="F175" s="3" t="str" cm="1">
        <f t="array" aca="1" ref="F175" ca="1">OFFSET(E175,-1,1)</f>
        <v>1</v>
      </c>
      <c r="G175" s="26"/>
      <c r="H175" s="776"/>
      <c r="I175" s="776" t="s">
        <v>1301</v>
      </c>
      <c r="J175" s="26"/>
      <c r="K175" s="294" t="s">
        <v>1301</v>
      </c>
      <c r="L175" s="889" t="s">
        <v>494</v>
      </c>
      <c r="M175" s="26"/>
      <c r="N175" s="26"/>
      <c r="O175" s="26"/>
      <c r="P175" s="26"/>
      <c r="Q175" s="26"/>
      <c r="R175" s="26"/>
      <c r="S175" s="26"/>
      <c r="T175" s="388" t="b" cm="1">
        <f t="array" ref="T175">T174</f>
        <v>1</v>
      </c>
      <c r="U175" s="26"/>
      <c r="V175" s="26"/>
      <c r="W175" s="26"/>
      <c r="X175" s="2066"/>
      <c r="Y175" s="1184"/>
      <c r="Z175" s="2012"/>
      <c r="AA175" s="1184"/>
      <c r="AB175" s="218" t="s">
        <v>1302</v>
      </c>
      <c r="AC175" s="685" t="s">
        <v>1893</v>
      </c>
      <c r="AD175" s="686" t="s">
        <v>831</v>
      </c>
      <c r="AE175" s="1022">
        <f>SUM(AE176,AE177)</f>
        <v>21309.076046263199</v>
      </c>
      <c r="AF175" s="1022">
        <f>SUM(AF176,AF177)</f>
        <v>0</v>
      </c>
      <c r="AG175" s="1022">
        <f>SUM(AG176,AG177)</f>
        <v>0</v>
      </c>
      <c r="AH175" s="1022">
        <f t="shared" si="48"/>
        <v>0</v>
      </c>
      <c r="AI175" s="1022">
        <f>SUM(AI176,AI177)</f>
        <v>0</v>
      </c>
      <c r="AJ175" s="1022">
        <f>SUM(AJ176,AJ177)</f>
        <v>0</v>
      </c>
      <c r="AK175" s="1023"/>
      <c r="AL175" s="1023"/>
      <c r="AM175" s="1023"/>
      <c r="AN175" s="1023"/>
      <c r="AO175" s="1023"/>
      <c r="AP175" s="1023"/>
      <c r="AQ175" s="1023"/>
      <c r="AR175" s="1023"/>
      <c r="AS175" s="1023"/>
      <c r="AT175" s="1022">
        <f>SUM(AT176,AT177)</f>
        <v>0</v>
      </c>
      <c r="AU175" s="1023"/>
      <c r="AV175" s="1023"/>
      <c r="AW175" s="1023"/>
      <c r="AX175" s="1023"/>
      <c r="AY175" s="1023"/>
      <c r="AZ175" s="1023"/>
      <c r="BA175" s="1023"/>
      <c r="BB175" s="1023"/>
      <c r="BC175" s="1023"/>
      <c r="BD175" s="1022">
        <f t="shared" si="49"/>
        <v>0</v>
      </c>
      <c r="BE175" s="1023"/>
      <c r="BF175" s="1023"/>
      <c r="BG175" s="1023"/>
      <c r="BH175" s="1023"/>
      <c r="BI175" s="1023"/>
      <c r="BJ175" s="1023"/>
      <c r="BK175" s="1023"/>
      <c r="BL175" s="1023"/>
      <c r="BM175" s="1023"/>
      <c r="BN175" s="1523"/>
      <c r="BO175" s="1523"/>
      <c r="BP175" s="1523"/>
      <c r="BQ175" s="29"/>
      <c r="BR175" s="1184"/>
      <c r="BS175" s="972" t="s">
        <v>1682</v>
      </c>
      <c r="BT175" s="973"/>
      <c r="BU175" s="973"/>
      <c r="BV175" s="888"/>
      <c r="BW175" s="888"/>
    </row>
    <row r="176" spans="1:75" s="1334" customFormat="1" ht="409.6" customHeight="1" x14ac:dyDescent="0.25">
      <c r="A176" s="1184"/>
      <c r="B176" s="887"/>
      <c r="C176" s="26"/>
      <c r="D176" s="26"/>
      <c r="E176" s="545">
        <v>15</v>
      </c>
      <c r="F176" s="3" t="str" cm="1">
        <f t="array" aca="1" ref="F176" ca="1">OFFSET(E176,-1,1)</f>
        <v>1</v>
      </c>
      <c r="G176" s="26"/>
      <c r="H176" s="776"/>
      <c r="I176" s="776" t="s">
        <v>1894</v>
      </c>
      <c r="J176" s="26"/>
      <c r="K176" s="294" t="s">
        <v>1894</v>
      </c>
      <c r="L176" s="889" t="s">
        <v>1020</v>
      </c>
      <c r="M176" s="26"/>
      <c r="N176" s="26"/>
      <c r="O176" s="26"/>
      <c r="P176" s="26"/>
      <c r="Q176" s="26"/>
      <c r="R176" s="26"/>
      <c r="S176" s="26"/>
      <c r="T176" s="388" t="b" cm="1">
        <f t="array" ref="T176">T175</f>
        <v>1</v>
      </c>
      <c r="U176" s="26"/>
      <c r="V176" s="26"/>
      <c r="W176" s="26"/>
      <c r="X176" s="2066"/>
      <c r="Y176" s="1184"/>
      <c r="Z176" s="2012"/>
      <c r="AA176" s="1184"/>
      <c r="AB176" s="218" t="s">
        <v>1895</v>
      </c>
      <c r="AC176" s="688" t="s">
        <v>1685</v>
      </c>
      <c r="AD176" s="686" t="s">
        <v>831</v>
      </c>
      <c r="AE176" s="1514">
        <v>21309.076046263199</v>
      </c>
      <c r="AF176" s="1514"/>
      <c r="AG176" s="1514"/>
      <c r="AH176" s="1022">
        <f t="shared" si="48"/>
        <v>0</v>
      </c>
      <c r="AI176" s="1514"/>
      <c r="AJ176" s="1514"/>
      <c r="AK176" s="1023"/>
      <c r="AL176" s="1023"/>
      <c r="AM176" s="1023"/>
      <c r="AN176" s="1023"/>
      <c r="AO176" s="1023"/>
      <c r="AP176" s="1023"/>
      <c r="AQ176" s="1023"/>
      <c r="AR176" s="1023"/>
      <c r="AS176" s="1023"/>
      <c r="AT176" s="1514"/>
      <c r="AU176" s="1023"/>
      <c r="AV176" s="1023"/>
      <c r="AW176" s="1023"/>
      <c r="AX176" s="1023"/>
      <c r="AY176" s="1023"/>
      <c r="AZ176" s="1023"/>
      <c r="BA176" s="1023"/>
      <c r="BB176" s="1023"/>
      <c r="BC176" s="1023"/>
      <c r="BD176" s="1022">
        <f t="shared" si="49"/>
        <v>0</v>
      </c>
      <c r="BE176" s="1023"/>
      <c r="BF176" s="1023"/>
      <c r="BG176" s="1023"/>
      <c r="BH176" s="1023"/>
      <c r="BI176" s="1023"/>
      <c r="BJ176" s="1023"/>
      <c r="BK176" s="1023"/>
      <c r="BL176" s="1023"/>
      <c r="BM176" s="1023"/>
      <c r="BN176" s="1523" t="s">
        <v>2169</v>
      </c>
      <c r="BO176" s="1523"/>
      <c r="BP176" s="1523" t="s">
        <v>1145</v>
      </c>
      <c r="BQ176" s="1184"/>
      <c r="BR176" s="1184"/>
      <c r="BS176" s="971" t="s">
        <v>1686</v>
      </c>
      <c r="BT176" s="973"/>
      <c r="BU176" s="973"/>
      <c r="BV176" s="888"/>
      <c r="BW176" s="888"/>
    </row>
    <row r="177" spans="1:75" s="1334" customFormat="1" ht="14.25" customHeight="1" x14ac:dyDescent="0.25">
      <c r="A177" s="1184"/>
      <c r="B177" s="887"/>
      <c r="C177" s="26"/>
      <c r="D177" s="26"/>
      <c r="E177" s="545">
        <v>15</v>
      </c>
      <c r="F177" s="3" t="str" cm="1">
        <f t="array" aca="1" ref="F177" ca="1">OFFSET(E177,-1,1)</f>
        <v>1</v>
      </c>
      <c r="G177" s="26"/>
      <c r="H177" s="776"/>
      <c r="I177" s="776" t="s">
        <v>1896</v>
      </c>
      <c r="J177" s="26"/>
      <c r="K177" s="294" t="s">
        <v>1896</v>
      </c>
      <c r="L177" s="889" t="s">
        <v>1276</v>
      </c>
      <c r="M177" s="26"/>
      <c r="N177" s="26"/>
      <c r="O177" s="26"/>
      <c r="P177" s="26"/>
      <c r="Q177" s="26"/>
      <c r="R177" s="26"/>
      <c r="S177" s="26"/>
      <c r="T177" s="388" t="b" cm="1">
        <f t="array" ref="T177">T176</f>
        <v>1</v>
      </c>
      <c r="U177" s="26"/>
      <c r="V177" s="26"/>
      <c r="W177" s="26"/>
      <c r="X177" s="2066"/>
      <c r="Y177" s="1184"/>
      <c r="Z177" s="2012"/>
      <c r="AA177" s="1184"/>
      <c r="AB177" s="218" t="s">
        <v>1897</v>
      </c>
      <c r="AC177" s="688" t="s">
        <v>1687</v>
      </c>
      <c r="AD177" s="686" t="s">
        <v>831</v>
      </c>
      <c r="AE177" s="1514"/>
      <c r="AF177" s="1514"/>
      <c r="AG177" s="1514"/>
      <c r="AH177" s="1022">
        <f t="shared" si="48"/>
        <v>0</v>
      </c>
      <c r="AI177" s="1514"/>
      <c r="AJ177" s="1514"/>
      <c r="AK177" s="1023"/>
      <c r="AL177" s="1023"/>
      <c r="AM177" s="1023"/>
      <c r="AN177" s="1023"/>
      <c r="AO177" s="1023"/>
      <c r="AP177" s="1023"/>
      <c r="AQ177" s="1023"/>
      <c r="AR177" s="1023"/>
      <c r="AS177" s="1023"/>
      <c r="AT177" s="1514"/>
      <c r="AU177" s="1023"/>
      <c r="AV177" s="1023"/>
      <c r="AW177" s="1023"/>
      <c r="AX177" s="1023"/>
      <c r="AY177" s="1023"/>
      <c r="AZ177" s="1023"/>
      <c r="BA177" s="1023"/>
      <c r="BB177" s="1023"/>
      <c r="BC177" s="1023"/>
      <c r="BD177" s="1022">
        <f t="shared" si="49"/>
        <v>0</v>
      </c>
      <c r="BE177" s="1023"/>
      <c r="BF177" s="1023"/>
      <c r="BG177" s="1023"/>
      <c r="BH177" s="1023"/>
      <c r="BI177" s="1023"/>
      <c r="BJ177" s="1023"/>
      <c r="BK177" s="1023"/>
      <c r="BL177" s="1023"/>
      <c r="BM177" s="1023"/>
      <c r="BN177" s="1523"/>
      <c r="BO177" s="1523"/>
      <c r="BP177" s="1523"/>
      <c r="BQ177" s="1184"/>
      <c r="BR177" s="1184"/>
      <c r="BS177" s="971" t="s">
        <v>1688</v>
      </c>
      <c r="BT177" s="973"/>
      <c r="BU177" s="973"/>
      <c r="BV177" s="888"/>
      <c r="BW177" s="888"/>
    </row>
    <row r="178" spans="1:75" s="1334" customFormat="1" ht="21.75" customHeight="1" x14ac:dyDescent="0.25">
      <c r="A178" s="1184"/>
      <c r="B178" s="887"/>
      <c r="C178" s="26"/>
      <c r="D178" s="26"/>
      <c r="E178" s="545">
        <v>22.5</v>
      </c>
      <c r="F178" s="3" t="str" cm="1">
        <f t="array" aca="1" ref="F178" ca="1">OFFSET(E178,-1,1)</f>
        <v>1</v>
      </c>
      <c r="G178" s="26"/>
      <c r="H178" s="776"/>
      <c r="I178" s="776" t="s">
        <v>1304</v>
      </c>
      <c r="J178" s="26"/>
      <c r="K178" s="294" t="s">
        <v>1304</v>
      </c>
      <c r="L178" s="889" t="s">
        <v>501</v>
      </c>
      <c r="M178" s="26"/>
      <c r="N178" s="26"/>
      <c r="O178" s="26"/>
      <c r="P178" s="26"/>
      <c r="Q178" s="26"/>
      <c r="R178" s="26"/>
      <c r="S178" s="26"/>
      <c r="T178" s="388" t="b" cm="1">
        <f t="array" ref="T178">T177</f>
        <v>1</v>
      </c>
      <c r="U178" s="26"/>
      <c r="V178" s="26"/>
      <c r="W178" s="26"/>
      <c r="X178" s="2066"/>
      <c r="Y178" s="1184"/>
      <c r="Z178" s="2012"/>
      <c r="AA178" s="1184"/>
      <c r="AB178" s="218" t="s">
        <v>1305</v>
      </c>
      <c r="AC178" s="685" t="s">
        <v>1898</v>
      </c>
      <c r="AD178" s="686" t="s">
        <v>831</v>
      </c>
      <c r="AE178" s="1514"/>
      <c r="AF178" s="1514"/>
      <c r="AG178" s="1514"/>
      <c r="AH178" s="1022">
        <f t="shared" si="48"/>
        <v>0</v>
      </c>
      <c r="AI178" s="1514"/>
      <c r="AJ178" s="1514"/>
      <c r="AK178" s="1023"/>
      <c r="AL178" s="1023"/>
      <c r="AM178" s="1023"/>
      <c r="AN178" s="1023"/>
      <c r="AO178" s="1023"/>
      <c r="AP178" s="1023"/>
      <c r="AQ178" s="1023"/>
      <c r="AR178" s="1023"/>
      <c r="AS178" s="1023"/>
      <c r="AT178" s="1514"/>
      <c r="AU178" s="1023"/>
      <c r="AV178" s="1023"/>
      <c r="AW178" s="1023"/>
      <c r="AX178" s="1023"/>
      <c r="AY178" s="1023"/>
      <c r="AZ178" s="1023"/>
      <c r="BA178" s="1023"/>
      <c r="BB178" s="1023"/>
      <c r="BC178" s="1023"/>
      <c r="BD178" s="1022">
        <f t="shared" si="49"/>
        <v>0</v>
      </c>
      <c r="BE178" s="1023"/>
      <c r="BF178" s="1023"/>
      <c r="BG178" s="1023"/>
      <c r="BH178" s="1023"/>
      <c r="BI178" s="1023"/>
      <c r="BJ178" s="1023"/>
      <c r="BK178" s="1023"/>
      <c r="BL178" s="1023"/>
      <c r="BM178" s="1023"/>
      <c r="BN178" s="1523"/>
      <c r="BO178" s="1523"/>
      <c r="BP178" s="1523"/>
      <c r="BQ178" s="1184"/>
      <c r="BR178" s="1184"/>
      <c r="BS178" s="972" t="s">
        <v>1713</v>
      </c>
      <c r="BT178" s="973"/>
      <c r="BU178" s="973"/>
      <c r="BV178" s="888"/>
      <c r="BW178" s="888"/>
    </row>
    <row r="179" spans="1:75" s="1334" customFormat="1" ht="159.75" customHeight="1" x14ac:dyDescent="0.25">
      <c r="A179" s="1184"/>
      <c r="B179" s="887"/>
      <c r="C179" s="26"/>
      <c r="D179" s="26"/>
      <c r="E179" s="545">
        <v>22.5</v>
      </c>
      <c r="F179" s="3" t="str" cm="1">
        <f t="array" aca="1" ref="F179" ca="1">OFFSET(E179,-1,1)</f>
        <v>1</v>
      </c>
      <c r="G179" s="26"/>
      <c r="H179" s="776"/>
      <c r="I179" s="776" t="s">
        <v>1308</v>
      </c>
      <c r="J179" s="26"/>
      <c r="K179" s="294" t="s">
        <v>1308</v>
      </c>
      <c r="L179" s="889" t="s">
        <v>505</v>
      </c>
      <c r="M179" s="26"/>
      <c r="N179" s="26"/>
      <c r="O179" s="26"/>
      <c r="P179" s="26"/>
      <c r="Q179" s="26"/>
      <c r="R179" s="26"/>
      <c r="S179" s="26"/>
      <c r="T179" s="388" t="b" cm="1">
        <f t="array" ref="T179">T178</f>
        <v>1</v>
      </c>
      <c r="U179" s="26"/>
      <c r="V179" s="26"/>
      <c r="W179" s="26"/>
      <c r="X179" s="2066"/>
      <c r="Y179" s="1184"/>
      <c r="Z179" s="2012"/>
      <c r="AA179" s="1184"/>
      <c r="AB179" s="218" t="s">
        <v>1309</v>
      </c>
      <c r="AC179" s="685" t="s">
        <v>1899</v>
      </c>
      <c r="AD179" s="686" t="s">
        <v>831</v>
      </c>
      <c r="AE179" s="1024">
        <f ca="1">AE180+AE181</f>
        <v>31124.759264161898</v>
      </c>
      <c r="AF179" s="1024">
        <f ca="1">AF180+AF181</f>
        <v>0</v>
      </c>
      <c r="AG179" s="1024">
        <f ca="1">AG180+AG181</f>
        <v>0</v>
      </c>
      <c r="AH179" s="1022">
        <f t="shared" ca="1" si="48"/>
        <v>0</v>
      </c>
      <c r="AI179" s="1024">
        <f ca="1">AI180+AI181</f>
        <v>0</v>
      </c>
      <c r="AJ179" s="1024">
        <f ca="1">AJ180+AJ181</f>
        <v>0</v>
      </c>
      <c r="AK179" s="1023"/>
      <c r="AL179" s="1023"/>
      <c r="AM179" s="1023"/>
      <c r="AN179" s="1023"/>
      <c r="AO179" s="1023"/>
      <c r="AP179" s="1023"/>
      <c r="AQ179" s="1023"/>
      <c r="AR179" s="1023"/>
      <c r="AS179" s="1023"/>
      <c r="AT179" s="1024">
        <f ca="1">AT180+AT181</f>
        <v>0</v>
      </c>
      <c r="AU179" s="1023"/>
      <c r="AV179" s="1023"/>
      <c r="AW179" s="1023"/>
      <c r="AX179" s="1023"/>
      <c r="AY179" s="1023"/>
      <c r="AZ179" s="1023"/>
      <c r="BA179" s="1023"/>
      <c r="BB179" s="1023"/>
      <c r="BC179" s="1023"/>
      <c r="BD179" s="1022">
        <f t="shared" ca="1" si="49"/>
        <v>0</v>
      </c>
      <c r="BE179" s="1023"/>
      <c r="BF179" s="1023"/>
      <c r="BG179" s="1023"/>
      <c r="BH179" s="1023"/>
      <c r="BI179" s="1023"/>
      <c r="BJ179" s="1023"/>
      <c r="BK179" s="1023"/>
      <c r="BL179" s="1023"/>
      <c r="BM179" s="1023"/>
      <c r="BN179" s="1523" t="s">
        <v>2170</v>
      </c>
      <c r="BO179" s="1523"/>
      <c r="BP179" s="1523" t="s">
        <v>2171</v>
      </c>
      <c r="BQ179" s="1184"/>
      <c r="BR179" s="1184"/>
      <c r="BS179" s="972" t="s">
        <v>1900</v>
      </c>
      <c r="BT179" s="973"/>
      <c r="BU179" s="973"/>
      <c r="BV179" s="888"/>
      <c r="BW179" s="888"/>
    </row>
    <row r="180" spans="1:75" s="1334" customFormat="1" ht="159.75" customHeight="1" x14ac:dyDescent="0.25">
      <c r="A180" s="1184"/>
      <c r="B180" s="887"/>
      <c r="C180" s="26"/>
      <c r="D180" s="26"/>
      <c r="E180" s="545">
        <v>15</v>
      </c>
      <c r="F180" s="3" t="str" cm="1">
        <f t="array" aca="1" ref="F180" ca="1">OFFSET(E180,-1,1)</f>
        <v>1</v>
      </c>
      <c r="G180" s="290" t="s">
        <v>1104</v>
      </c>
      <c r="H180" s="776"/>
      <c r="I180" s="776" t="s">
        <v>1454</v>
      </c>
      <c r="J180" s="26"/>
      <c r="K180" s="294" t="s">
        <v>1454</v>
      </c>
      <c r="L180" s="889" t="s">
        <v>1328</v>
      </c>
      <c r="M180" s="26"/>
      <c r="N180" s="26"/>
      <c r="O180" s="26"/>
      <c r="P180" s="26"/>
      <c r="Q180" s="26"/>
      <c r="R180" s="26"/>
      <c r="S180" s="26"/>
      <c r="T180" s="388" t="b" cm="1">
        <f t="array" ref="T180">T179</f>
        <v>1</v>
      </c>
      <c r="U180" s="26"/>
      <c r="V180" s="26"/>
      <c r="W180" s="26"/>
      <c r="X180" s="2066"/>
      <c r="Y180" s="1184"/>
      <c r="Z180" s="2012"/>
      <c r="AA180" s="1184"/>
      <c r="AB180" s="218" t="s">
        <v>1901</v>
      </c>
      <c r="AC180" s="688" t="s">
        <v>1716</v>
      </c>
      <c r="AD180" s="686" t="s">
        <v>831</v>
      </c>
      <c r="AE180" s="1022">
        <f ca="1">SUMIFS(ФОТ!AE$25:AE$138,ФОТ!$F$25:$F$138,$F180,ФОТ!$G$25:$G$138,$G180)</f>
        <v>23905.345056959999</v>
      </c>
      <c r="AF180" s="1022">
        <f ca="1">SUMIFS(ФОТ!AF$25:AF$138,ФОТ!$F$25:$F$138,$F180,ФОТ!$G$25:$G$138,$G180)</f>
        <v>0</v>
      </c>
      <c r="AG180" s="1022">
        <f ca="1">SUMIFS(ФОТ!AG$25:AG$138,ФОТ!$F$25:$F$138,$F180,ФОТ!$G$25:$G$138,$G180)</f>
        <v>0</v>
      </c>
      <c r="AH180" s="1022">
        <f t="shared" ca="1" si="48"/>
        <v>0</v>
      </c>
      <c r="AI180" s="1022">
        <f ca="1">SUMIFS(ФОТ!AH$25:AH$138,ФОТ!$F$25:$F$138,$F180,ФОТ!$G$25:$G$138,$G180)</f>
        <v>0</v>
      </c>
      <c r="AJ180" s="1022">
        <f ca="1">SUMIFS(ФОТ!AI$25:AI$138,ФОТ!$F$25:$F$138,$F180,ФОТ!$G$25:$G$138,$G180)</f>
        <v>0</v>
      </c>
      <c r="AK180" s="1023"/>
      <c r="AL180" s="1023"/>
      <c r="AM180" s="1023"/>
      <c r="AN180" s="1023"/>
      <c r="AO180" s="1023"/>
      <c r="AP180" s="1023"/>
      <c r="AQ180" s="1023"/>
      <c r="AR180" s="1023"/>
      <c r="AS180" s="1023"/>
      <c r="AT180" s="1022">
        <f ca="1">SUMIFS(ФОТ!AJ$25:AJ$138,ФОТ!$F$25:$F$138,$F180,ФОТ!$G$25:$G$138,$G180)</f>
        <v>0</v>
      </c>
      <c r="AU180" s="1023"/>
      <c r="AV180" s="1023"/>
      <c r="AW180" s="1023"/>
      <c r="AX180" s="1023"/>
      <c r="AY180" s="1023"/>
      <c r="AZ180" s="1023"/>
      <c r="BA180" s="1023"/>
      <c r="BB180" s="1023"/>
      <c r="BC180" s="1023"/>
      <c r="BD180" s="1022">
        <f t="shared" ca="1" si="49"/>
        <v>0</v>
      </c>
      <c r="BE180" s="1023"/>
      <c r="BF180" s="1023"/>
      <c r="BG180" s="1023"/>
      <c r="BH180" s="1023"/>
      <c r="BI180" s="1023"/>
      <c r="BJ180" s="1023"/>
      <c r="BK180" s="1023"/>
      <c r="BL180" s="1023"/>
      <c r="BM180" s="1023"/>
      <c r="BN180" s="1523" t="s">
        <v>2170</v>
      </c>
      <c r="BO180" s="1525" t="str">
        <f ca="1">IF(IFERROR(INDEX(ФОТ!$K$26:$L$138,MATCH($F180&amp;"1komm",ФОТ!$K$26:$K$138,0),2),"")=0,"",IFERROR(INDEX(ФОТ!$K$26:$L$138,MATCH($F180&amp;"1komm",ФОТ!$K$26:$K$138,0),2),""))</f>
        <v/>
      </c>
      <c r="BP180" s="1523" t="s">
        <v>2171</v>
      </c>
      <c r="BQ180" s="1184"/>
      <c r="BR180" s="1184"/>
      <c r="BS180" s="971" t="s">
        <v>1717</v>
      </c>
      <c r="BT180" s="973"/>
      <c r="BU180" s="973"/>
      <c r="BV180" s="888"/>
      <c r="BW180" s="888"/>
    </row>
    <row r="181" spans="1:75" s="1334" customFormat="1" ht="159.75" customHeight="1" x14ac:dyDescent="0.25">
      <c r="A181" s="1184"/>
      <c r="B181" s="887"/>
      <c r="C181" s="26"/>
      <c r="D181" s="26"/>
      <c r="E181" s="545">
        <v>22.5</v>
      </c>
      <c r="F181" s="3" t="str" cm="1">
        <f t="array" aca="1" ref="F181" ca="1">OFFSET(E181,-1,1)</f>
        <v>1</v>
      </c>
      <c r="G181" s="290" t="s">
        <v>1116</v>
      </c>
      <c r="H181" s="776"/>
      <c r="I181" s="776" t="s">
        <v>1458</v>
      </c>
      <c r="J181" s="26"/>
      <c r="K181" s="294" t="s">
        <v>1458</v>
      </c>
      <c r="L181" s="889" t="s">
        <v>1329</v>
      </c>
      <c r="M181" s="26"/>
      <c r="N181" s="26"/>
      <c r="O181" s="26"/>
      <c r="P181" s="26"/>
      <c r="Q181" s="26"/>
      <c r="R181" s="26"/>
      <c r="S181" s="26"/>
      <c r="T181" s="388" t="b" cm="1">
        <f t="array" ref="T181">T180</f>
        <v>1</v>
      </c>
      <c r="U181" s="26"/>
      <c r="V181" s="26"/>
      <c r="W181" s="26"/>
      <c r="X181" s="2066"/>
      <c r="Y181" s="1184"/>
      <c r="Z181" s="2012"/>
      <c r="AA181" s="1184"/>
      <c r="AB181" s="218" t="s">
        <v>1902</v>
      </c>
      <c r="AC181" s="688" t="s">
        <v>1903</v>
      </c>
      <c r="AD181" s="686" t="s">
        <v>831</v>
      </c>
      <c r="AE181" s="1022">
        <f ca="1">SUMIFS(ФОТ!AE$25:AE$138,ФОТ!$F$25:$F$138,$F181,ФОТ!$G$25:$G$138,$G181)</f>
        <v>7219.4142072019004</v>
      </c>
      <c r="AF181" s="1022">
        <f ca="1">SUMIFS(ФОТ!AF$25:AF$138,ФОТ!$F$25:$F$138,$F181,ФОТ!$G$25:$G$138,$G181)</f>
        <v>0</v>
      </c>
      <c r="AG181" s="1022">
        <f ca="1">SUMIFS(ФОТ!AG$25:AG$138,ФОТ!$F$25:$F$138,$F181,ФОТ!$G$25:$G$138,$G181)</f>
        <v>0</v>
      </c>
      <c r="AH181" s="1022">
        <f t="shared" ca="1" si="48"/>
        <v>0</v>
      </c>
      <c r="AI181" s="1022">
        <f ca="1">SUMIFS(ФОТ!AH$25:AH$138,ФОТ!$F$25:$F$138,$F181,ФОТ!$G$25:$G$138,$G181)</f>
        <v>0</v>
      </c>
      <c r="AJ181" s="1022">
        <f ca="1">SUMIFS(ФОТ!AI$25:AI$138,ФОТ!$F$25:$F$138,$F181,ФОТ!$G$25:$G$138,$G181)</f>
        <v>0</v>
      </c>
      <c r="AK181" s="1023"/>
      <c r="AL181" s="1023"/>
      <c r="AM181" s="1023"/>
      <c r="AN181" s="1023"/>
      <c r="AO181" s="1023"/>
      <c r="AP181" s="1023"/>
      <c r="AQ181" s="1023"/>
      <c r="AR181" s="1023"/>
      <c r="AS181" s="1023"/>
      <c r="AT181" s="1022">
        <f ca="1">SUMIFS(ФОТ!AJ$25:AJ$138,ФОТ!$F$25:$F$138,$F181,ФОТ!$G$25:$G$138,$G181)</f>
        <v>0</v>
      </c>
      <c r="AU181" s="1023"/>
      <c r="AV181" s="1023"/>
      <c r="AW181" s="1023"/>
      <c r="AX181" s="1023"/>
      <c r="AY181" s="1023"/>
      <c r="AZ181" s="1023"/>
      <c r="BA181" s="1023"/>
      <c r="BB181" s="1023"/>
      <c r="BC181" s="1023"/>
      <c r="BD181" s="1022">
        <f t="shared" ca="1" si="49"/>
        <v>0</v>
      </c>
      <c r="BE181" s="1023"/>
      <c r="BF181" s="1023"/>
      <c r="BG181" s="1023"/>
      <c r="BH181" s="1023"/>
      <c r="BI181" s="1023"/>
      <c r="BJ181" s="1023"/>
      <c r="BK181" s="1023"/>
      <c r="BL181" s="1023"/>
      <c r="BM181" s="1023"/>
      <c r="BN181" s="1523" t="s">
        <v>2170</v>
      </c>
      <c r="BO181" s="1525" t="str">
        <f ca="1">IF(IFERROR(INDEX(ФОТ!$K$26:$L$138,MATCH($F181&amp;"2komm",ФОТ!$K$26:$K$138,0),2),"")=0,"",IFERROR(INDEX(ФОТ!$K$26:$L$138,MATCH($F181&amp;"2komm",ФОТ!$K$26:$K$138,0),2),""))</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BP181" s="1523" t="s">
        <v>2171</v>
      </c>
      <c r="BQ181" s="1184"/>
      <c r="BR181" s="1184"/>
      <c r="BS181" s="971" t="s">
        <v>1719</v>
      </c>
      <c r="BT181" s="973"/>
      <c r="BU181" s="973"/>
      <c r="BV181" s="888"/>
      <c r="BW181" s="888"/>
    </row>
    <row r="182" spans="1:75" s="1334" customFormat="1" ht="14.25" customHeight="1" x14ac:dyDescent="0.25">
      <c r="A182" s="1184"/>
      <c r="B182" s="887"/>
      <c r="C182" s="26"/>
      <c r="D182" s="26"/>
      <c r="E182" s="545">
        <v>15</v>
      </c>
      <c r="F182" s="3" t="str" cm="1">
        <f t="array" aca="1" ref="F182" ca="1">OFFSET(E182,-1,1)</f>
        <v>1</v>
      </c>
      <c r="G182" s="26"/>
      <c r="H182" s="776"/>
      <c r="I182" s="776" t="s">
        <v>1469</v>
      </c>
      <c r="J182" s="26"/>
      <c r="K182" s="294" t="s">
        <v>1469</v>
      </c>
      <c r="L182" s="889" t="s">
        <v>1721</v>
      </c>
      <c r="M182" s="26"/>
      <c r="N182" s="26"/>
      <c r="O182" s="26"/>
      <c r="P182" s="26"/>
      <c r="Q182" s="26"/>
      <c r="R182" s="26"/>
      <c r="S182" s="26"/>
      <c r="T182" s="388" t="b" cm="1">
        <f t="array" ref="T182">T181</f>
        <v>1</v>
      </c>
      <c r="U182" s="26"/>
      <c r="V182" s="26"/>
      <c r="W182" s="26"/>
      <c r="X182" s="2066"/>
      <c r="Y182" s="1184"/>
      <c r="Z182" s="2012"/>
      <c r="AA182" s="1184"/>
      <c r="AB182" s="218" t="s">
        <v>1695</v>
      </c>
      <c r="AC182" s="685" t="s">
        <v>1904</v>
      </c>
      <c r="AD182" s="686" t="s">
        <v>831</v>
      </c>
      <c r="AE182" s="1514"/>
      <c r="AF182" s="1514"/>
      <c r="AG182" s="1514"/>
      <c r="AH182" s="1022">
        <f t="shared" si="48"/>
        <v>0</v>
      </c>
      <c r="AI182" s="1514"/>
      <c r="AJ182" s="1514"/>
      <c r="AK182" s="1023"/>
      <c r="AL182" s="1023"/>
      <c r="AM182" s="1023"/>
      <c r="AN182" s="1023"/>
      <c r="AO182" s="1023"/>
      <c r="AP182" s="1023"/>
      <c r="AQ182" s="1023"/>
      <c r="AR182" s="1023"/>
      <c r="AS182" s="1023"/>
      <c r="AT182" s="1514"/>
      <c r="AU182" s="1023"/>
      <c r="AV182" s="1023"/>
      <c r="AW182" s="1023"/>
      <c r="AX182" s="1023"/>
      <c r="AY182" s="1023"/>
      <c r="AZ182" s="1023"/>
      <c r="BA182" s="1023"/>
      <c r="BB182" s="1023"/>
      <c r="BC182" s="1023"/>
      <c r="BD182" s="1022">
        <f t="shared" si="49"/>
        <v>0</v>
      </c>
      <c r="BE182" s="1023"/>
      <c r="BF182" s="1023"/>
      <c r="BG182" s="1023"/>
      <c r="BH182" s="1023"/>
      <c r="BI182" s="1023"/>
      <c r="BJ182" s="1023"/>
      <c r="BK182" s="1023"/>
      <c r="BL182" s="1023"/>
      <c r="BM182" s="1023"/>
      <c r="BN182" s="1523"/>
      <c r="BO182" s="1523"/>
      <c r="BP182" s="1523"/>
      <c r="BQ182" s="1184"/>
      <c r="BR182" s="1184"/>
      <c r="BS182" s="972" t="s">
        <v>1724</v>
      </c>
      <c r="BT182" s="973"/>
      <c r="BU182" s="973"/>
      <c r="BV182" s="888"/>
      <c r="BW182" s="888"/>
    </row>
    <row r="183" spans="1:75" s="1334" customFormat="1" ht="14.25" customHeight="1" x14ac:dyDescent="0.25">
      <c r="A183" s="1184"/>
      <c r="B183" s="887"/>
      <c r="C183" s="26"/>
      <c r="D183" s="26"/>
      <c r="E183" s="545">
        <v>15</v>
      </c>
      <c r="F183" s="3" t="str" cm="1">
        <f t="array" aca="1" ref="F183" ca="1">OFFSET(E183,-1,1)</f>
        <v>1</v>
      </c>
      <c r="G183" s="26"/>
      <c r="H183" s="776"/>
      <c r="I183" s="776" t="s">
        <v>1473</v>
      </c>
      <c r="J183" s="26"/>
      <c r="K183" s="294" t="s">
        <v>1473</v>
      </c>
      <c r="L183" s="889" t="s">
        <v>1725</v>
      </c>
      <c r="M183" s="1184"/>
      <c r="N183" s="26"/>
      <c r="O183" s="26"/>
      <c r="P183" s="26"/>
      <c r="Q183" s="26"/>
      <c r="R183" s="26"/>
      <c r="S183" s="26"/>
      <c r="T183" s="388" t="b" cm="1">
        <f t="array" ref="T183">T182</f>
        <v>1</v>
      </c>
      <c r="U183" s="26"/>
      <c r="V183" s="26"/>
      <c r="W183" s="26"/>
      <c r="X183" s="2066"/>
      <c r="Y183" s="1184"/>
      <c r="Z183" s="2012"/>
      <c r="AA183" s="1184"/>
      <c r="AB183" s="218" t="s">
        <v>1697</v>
      </c>
      <c r="AC183" s="685" t="s">
        <v>1905</v>
      </c>
      <c r="AD183" s="218" t="s">
        <v>831</v>
      </c>
      <c r="AE183" s="1024">
        <f>SUM(AE184:AE190)</f>
        <v>3334.7493515678002</v>
      </c>
      <c r="AF183" s="1024">
        <f>SUM(AF184:AF190)</f>
        <v>0</v>
      </c>
      <c r="AG183" s="1024">
        <f>SUM(AG184:AG190)</f>
        <v>0</v>
      </c>
      <c r="AH183" s="1022">
        <f t="shared" si="48"/>
        <v>0</v>
      </c>
      <c r="AI183" s="1024">
        <f>SUM(AI184:AI190)</f>
        <v>0</v>
      </c>
      <c r="AJ183" s="1024">
        <f>SUM(AJ184:AJ190)</f>
        <v>0</v>
      </c>
      <c r="AK183" s="1023"/>
      <c r="AL183" s="1023"/>
      <c r="AM183" s="1023"/>
      <c r="AN183" s="1023"/>
      <c r="AO183" s="1023"/>
      <c r="AP183" s="1023"/>
      <c r="AQ183" s="1023"/>
      <c r="AR183" s="1023"/>
      <c r="AS183" s="1023"/>
      <c r="AT183" s="1024">
        <f>SUM(AT184:AT190)</f>
        <v>0</v>
      </c>
      <c r="AU183" s="1023"/>
      <c r="AV183" s="1023"/>
      <c r="AW183" s="1023"/>
      <c r="AX183" s="1023"/>
      <c r="AY183" s="1023"/>
      <c r="AZ183" s="1023"/>
      <c r="BA183" s="1023"/>
      <c r="BB183" s="1023"/>
      <c r="BC183" s="1023"/>
      <c r="BD183" s="1022">
        <f t="shared" si="49"/>
        <v>0</v>
      </c>
      <c r="BE183" s="1023"/>
      <c r="BF183" s="1023"/>
      <c r="BG183" s="1023"/>
      <c r="BH183" s="1023"/>
      <c r="BI183" s="1023"/>
      <c r="BJ183" s="1023"/>
      <c r="BK183" s="1023"/>
      <c r="BL183" s="1023"/>
      <c r="BM183" s="1023"/>
      <c r="BN183" s="1523"/>
      <c r="BO183" s="1523"/>
      <c r="BP183" s="1523"/>
      <c r="BQ183" s="1184"/>
      <c r="BR183" s="1184"/>
      <c r="BS183" s="972" t="s">
        <v>1906</v>
      </c>
      <c r="BT183" s="973"/>
      <c r="BU183" s="973"/>
      <c r="BV183" s="888"/>
      <c r="BW183" s="888"/>
    </row>
    <row r="184" spans="1:75" s="1334" customFormat="1" ht="14.25" customHeight="1" x14ac:dyDescent="0.25">
      <c r="A184" s="1184"/>
      <c r="B184" s="887"/>
      <c r="C184" s="26"/>
      <c r="D184" s="26"/>
      <c r="E184" s="545">
        <v>15</v>
      </c>
      <c r="F184" s="3" t="str" cm="1">
        <f t="array" aca="1" ref="F184" ca="1">OFFSET(E184,-1,1)</f>
        <v>1</v>
      </c>
      <c r="G184" s="26"/>
      <c r="H184" s="776"/>
      <c r="I184" s="776" t="s">
        <v>1907</v>
      </c>
      <c r="J184" s="26"/>
      <c r="K184" s="294" t="s">
        <v>1907</v>
      </c>
      <c r="L184" s="889" t="s">
        <v>1725</v>
      </c>
      <c r="M184" s="26" t="s">
        <v>1733</v>
      </c>
      <c r="N184" s="26"/>
      <c r="O184" s="26"/>
      <c r="P184" s="26"/>
      <c r="Q184" s="26"/>
      <c r="R184" s="26"/>
      <c r="S184" s="26"/>
      <c r="T184" s="388" t="b" cm="1">
        <f t="array" ref="T184">T183</f>
        <v>1</v>
      </c>
      <c r="U184" s="26"/>
      <c r="V184" s="26"/>
      <c r="W184" s="26"/>
      <c r="X184" s="2066"/>
      <c r="Y184" s="1184"/>
      <c r="Z184" s="2012"/>
      <c r="AA184" s="1184"/>
      <c r="AB184" s="218" t="s">
        <v>1908</v>
      </c>
      <c r="AC184" s="688" t="s">
        <v>1909</v>
      </c>
      <c r="AD184" s="218" t="s">
        <v>831</v>
      </c>
      <c r="AE184" s="1514"/>
      <c r="AF184" s="1514"/>
      <c r="AG184" s="1514"/>
      <c r="AH184" s="1022">
        <f t="shared" si="48"/>
        <v>0</v>
      </c>
      <c r="AI184" s="1514"/>
      <c r="AJ184" s="1514"/>
      <c r="AK184" s="1023"/>
      <c r="AL184" s="1023"/>
      <c r="AM184" s="1023"/>
      <c r="AN184" s="1023"/>
      <c r="AO184" s="1023"/>
      <c r="AP184" s="1023"/>
      <c r="AQ184" s="1023"/>
      <c r="AR184" s="1023"/>
      <c r="AS184" s="1023"/>
      <c r="AT184" s="1514"/>
      <c r="AU184" s="1023"/>
      <c r="AV184" s="1023"/>
      <c r="AW184" s="1023"/>
      <c r="AX184" s="1023"/>
      <c r="AY184" s="1023"/>
      <c r="AZ184" s="1023"/>
      <c r="BA184" s="1023"/>
      <c r="BB184" s="1023"/>
      <c r="BC184" s="1023"/>
      <c r="BD184" s="1022">
        <f t="shared" si="49"/>
        <v>0</v>
      </c>
      <c r="BE184" s="1023"/>
      <c r="BF184" s="1023"/>
      <c r="BG184" s="1023"/>
      <c r="BH184" s="1023"/>
      <c r="BI184" s="1023"/>
      <c r="BJ184" s="1023"/>
      <c r="BK184" s="1023"/>
      <c r="BL184" s="1023"/>
      <c r="BM184" s="1023"/>
      <c r="BN184" s="1523"/>
      <c r="BO184" s="1523"/>
      <c r="BP184" s="1523"/>
      <c r="BQ184" s="1184"/>
      <c r="BR184" s="1184"/>
      <c r="BS184" s="971" t="s">
        <v>1736</v>
      </c>
      <c r="BT184" s="973"/>
      <c r="BU184" s="973"/>
      <c r="BV184" s="888"/>
      <c r="BW184" s="888"/>
    </row>
    <row r="185" spans="1:75" s="1334" customFormat="1" ht="21.75" customHeight="1" x14ac:dyDescent="0.15">
      <c r="A185" s="1184"/>
      <c r="B185" s="887"/>
      <c r="C185" s="26"/>
      <c r="D185" s="26"/>
      <c r="E185" s="545">
        <v>22.5</v>
      </c>
      <c r="F185" s="3" t="str" cm="1">
        <f t="array" aca="1" ref="F185" ca="1">OFFSET(E185,-1,1)</f>
        <v>1</v>
      </c>
      <c r="G185" s="26"/>
      <c r="H185" s="776"/>
      <c r="I185" s="776" t="s">
        <v>1910</v>
      </c>
      <c r="J185" s="26"/>
      <c r="K185" s="294" t="s">
        <v>1910</v>
      </c>
      <c r="L185" s="889" t="s">
        <v>1725</v>
      </c>
      <c r="M185" s="26" t="s">
        <v>1729</v>
      </c>
      <c r="N185" s="26"/>
      <c r="O185" s="26"/>
      <c r="P185" s="26"/>
      <c r="Q185" s="26"/>
      <c r="R185" s="26"/>
      <c r="S185" s="26"/>
      <c r="T185" s="388" t="b" cm="1">
        <f t="array" ref="T185">T184</f>
        <v>1</v>
      </c>
      <c r="U185" s="26"/>
      <c r="V185" s="26"/>
      <c r="W185" s="26"/>
      <c r="X185" s="2066"/>
      <c r="Y185" s="1184"/>
      <c r="Z185" s="2012"/>
      <c r="AA185" s="1184"/>
      <c r="AB185" s="218" t="s">
        <v>1911</v>
      </c>
      <c r="AC185" s="688" t="s">
        <v>1912</v>
      </c>
      <c r="AD185" s="218" t="s">
        <v>831</v>
      </c>
      <c r="AE185" s="1514"/>
      <c r="AF185" s="1514"/>
      <c r="AG185" s="1514"/>
      <c r="AH185" s="1022">
        <f t="shared" si="48"/>
        <v>0</v>
      </c>
      <c r="AI185" s="1514"/>
      <c r="AJ185" s="1514"/>
      <c r="AK185" s="1023"/>
      <c r="AL185" s="1023"/>
      <c r="AM185" s="1023"/>
      <c r="AN185" s="1023"/>
      <c r="AO185" s="1023"/>
      <c r="AP185" s="1023"/>
      <c r="AQ185" s="1023"/>
      <c r="AR185" s="1023"/>
      <c r="AS185" s="1023"/>
      <c r="AT185" s="1514"/>
      <c r="AU185" s="1023"/>
      <c r="AV185" s="1023"/>
      <c r="AW185" s="1023"/>
      <c r="AX185" s="1023"/>
      <c r="AY185" s="1023"/>
      <c r="AZ185" s="1023"/>
      <c r="BA185" s="1023"/>
      <c r="BB185" s="1023"/>
      <c r="BC185" s="1023"/>
      <c r="BD185" s="1022">
        <f t="shared" si="49"/>
        <v>0</v>
      </c>
      <c r="BE185" s="1023"/>
      <c r="BF185" s="1023"/>
      <c r="BG185" s="1023"/>
      <c r="BH185" s="1023"/>
      <c r="BI185" s="1023"/>
      <c r="BJ185" s="1023"/>
      <c r="BK185" s="1023"/>
      <c r="BL185" s="1023"/>
      <c r="BM185" s="1023"/>
      <c r="BN185" s="1523"/>
      <c r="BO185" s="1523"/>
      <c r="BP185" s="1523"/>
      <c r="BQ185" s="1184"/>
      <c r="BR185" s="1184"/>
      <c r="BS185" s="973" t="s">
        <v>1913</v>
      </c>
      <c r="BT185" s="973"/>
      <c r="BU185" s="973"/>
      <c r="BV185" s="888"/>
      <c r="BW185" s="888"/>
    </row>
    <row r="186" spans="1:75" s="1334" customFormat="1" ht="21.75" customHeight="1" x14ac:dyDescent="0.15">
      <c r="A186" s="1184"/>
      <c r="B186" s="887"/>
      <c r="C186" s="26"/>
      <c r="D186" s="26"/>
      <c r="E186" s="545">
        <v>22.5</v>
      </c>
      <c r="F186" s="3" t="str" cm="1">
        <f t="array" aca="1" ref="F186" ca="1">OFFSET(E186,-1,1)</f>
        <v>1</v>
      </c>
      <c r="G186" s="26"/>
      <c r="H186" s="776"/>
      <c r="I186" s="776" t="s">
        <v>1914</v>
      </c>
      <c r="J186" s="26"/>
      <c r="K186" s="294" t="s">
        <v>1914</v>
      </c>
      <c r="L186" s="1184"/>
      <c r="M186" s="1184"/>
      <c r="N186" s="26"/>
      <c r="O186" s="26"/>
      <c r="P186" s="26"/>
      <c r="Q186" s="26"/>
      <c r="R186" s="26"/>
      <c r="S186" s="26"/>
      <c r="T186" s="388" t="b" cm="1">
        <f t="array" ref="T186">T185</f>
        <v>1</v>
      </c>
      <c r="U186" s="26"/>
      <c r="V186" s="26"/>
      <c r="W186" s="26"/>
      <c r="X186" s="2066"/>
      <c r="Y186" s="1184"/>
      <c r="Z186" s="2012"/>
      <c r="AA186" s="1184"/>
      <c r="AB186" s="218" t="s">
        <v>1915</v>
      </c>
      <c r="AC186" s="689" t="s">
        <v>1916</v>
      </c>
      <c r="AD186" s="218" t="s">
        <v>831</v>
      </c>
      <c r="AE186" s="1514"/>
      <c r="AF186" s="1514"/>
      <c r="AG186" s="1514"/>
      <c r="AH186" s="1022">
        <f t="shared" si="48"/>
        <v>0</v>
      </c>
      <c r="AI186" s="1514"/>
      <c r="AJ186" s="1514"/>
      <c r="AK186" s="1023"/>
      <c r="AL186" s="1023"/>
      <c r="AM186" s="1023"/>
      <c r="AN186" s="1023"/>
      <c r="AO186" s="1023"/>
      <c r="AP186" s="1023"/>
      <c r="AQ186" s="1023"/>
      <c r="AR186" s="1023"/>
      <c r="AS186" s="1023"/>
      <c r="AT186" s="1514"/>
      <c r="AU186" s="1023"/>
      <c r="AV186" s="1023"/>
      <c r="AW186" s="1023"/>
      <c r="AX186" s="1023"/>
      <c r="AY186" s="1023"/>
      <c r="AZ186" s="1023"/>
      <c r="BA186" s="1023"/>
      <c r="BB186" s="1023"/>
      <c r="BC186" s="1023"/>
      <c r="BD186" s="1022">
        <f t="shared" si="49"/>
        <v>0</v>
      </c>
      <c r="BE186" s="1023"/>
      <c r="BF186" s="1023"/>
      <c r="BG186" s="1023"/>
      <c r="BH186" s="1023"/>
      <c r="BI186" s="1023"/>
      <c r="BJ186" s="1023"/>
      <c r="BK186" s="1023"/>
      <c r="BL186" s="1023"/>
      <c r="BM186" s="1023"/>
      <c r="BN186" s="1523"/>
      <c r="BO186" s="1523"/>
      <c r="BP186" s="1523"/>
      <c r="BQ186" s="1184"/>
      <c r="BR186" s="1184"/>
      <c r="BS186" s="973" t="s">
        <v>1917</v>
      </c>
      <c r="BT186" s="973"/>
      <c r="BU186" s="973"/>
      <c r="BV186" s="888"/>
      <c r="BW186" s="888"/>
    </row>
    <row r="187" spans="1:75" s="1334" customFormat="1" ht="21.75" customHeight="1" x14ac:dyDescent="0.15">
      <c r="A187" s="1184"/>
      <c r="B187" s="887"/>
      <c r="C187" s="26"/>
      <c r="D187" s="26"/>
      <c r="E187" s="545">
        <v>22.5</v>
      </c>
      <c r="F187" s="3" t="str" cm="1">
        <f t="array" aca="1" ref="F187" ca="1">OFFSET(E187,-1,1)</f>
        <v>1</v>
      </c>
      <c r="G187" s="26"/>
      <c r="H187" s="776"/>
      <c r="I187" s="776" t="s">
        <v>1918</v>
      </c>
      <c r="J187" s="26"/>
      <c r="K187" s="294" t="s">
        <v>1918</v>
      </c>
      <c r="L187" s="889"/>
      <c r="M187" s="1184"/>
      <c r="N187" s="26"/>
      <c r="O187" s="26"/>
      <c r="P187" s="26"/>
      <c r="Q187" s="26"/>
      <c r="R187" s="26"/>
      <c r="S187" s="26"/>
      <c r="T187" s="388" t="b" cm="1">
        <f t="array" ref="T187">T186</f>
        <v>1</v>
      </c>
      <c r="U187" s="26"/>
      <c r="V187" s="26"/>
      <c r="W187" s="26"/>
      <c r="X187" s="2066"/>
      <c r="Y187" s="1184"/>
      <c r="Z187" s="2012"/>
      <c r="AA187" s="1184"/>
      <c r="AB187" s="218" t="s">
        <v>1919</v>
      </c>
      <c r="AC187" s="689" t="s">
        <v>1920</v>
      </c>
      <c r="AD187" s="218" t="s">
        <v>831</v>
      </c>
      <c r="AE187" s="1514"/>
      <c r="AF187" s="1514"/>
      <c r="AG187" s="1514"/>
      <c r="AH187" s="1022">
        <f t="shared" si="48"/>
        <v>0</v>
      </c>
      <c r="AI187" s="1514"/>
      <c r="AJ187" s="1514"/>
      <c r="AK187" s="1023"/>
      <c r="AL187" s="1023"/>
      <c r="AM187" s="1023"/>
      <c r="AN187" s="1023"/>
      <c r="AO187" s="1023"/>
      <c r="AP187" s="1023"/>
      <c r="AQ187" s="1023"/>
      <c r="AR187" s="1023"/>
      <c r="AS187" s="1023"/>
      <c r="AT187" s="1514"/>
      <c r="AU187" s="1023"/>
      <c r="AV187" s="1023"/>
      <c r="AW187" s="1023"/>
      <c r="AX187" s="1023"/>
      <c r="AY187" s="1023"/>
      <c r="AZ187" s="1023"/>
      <c r="BA187" s="1023"/>
      <c r="BB187" s="1023"/>
      <c r="BC187" s="1023"/>
      <c r="BD187" s="1022">
        <f t="shared" si="49"/>
        <v>0</v>
      </c>
      <c r="BE187" s="1023"/>
      <c r="BF187" s="1023"/>
      <c r="BG187" s="1023"/>
      <c r="BH187" s="1023"/>
      <c r="BI187" s="1023"/>
      <c r="BJ187" s="1023"/>
      <c r="BK187" s="1023"/>
      <c r="BL187" s="1023"/>
      <c r="BM187" s="1023"/>
      <c r="BN187" s="1523"/>
      <c r="BO187" s="1523"/>
      <c r="BP187" s="1523"/>
      <c r="BQ187" s="1184"/>
      <c r="BR187" s="1184"/>
      <c r="BS187" s="973" t="s">
        <v>1921</v>
      </c>
      <c r="BT187" s="973"/>
      <c r="BU187" s="973"/>
      <c r="BV187" s="888"/>
      <c r="BW187" s="888"/>
    </row>
    <row r="188" spans="1:75" s="1334" customFormat="1" ht="409.6" customHeight="1" x14ac:dyDescent="0.15">
      <c r="A188" s="1184"/>
      <c r="B188" s="887"/>
      <c r="C188" s="26"/>
      <c r="D188" s="26"/>
      <c r="E188" s="545">
        <v>45</v>
      </c>
      <c r="F188" s="3" t="str" cm="1">
        <f t="array" aca="1" ref="F188" ca="1">OFFSET(E188,-1,1)</f>
        <v>1</v>
      </c>
      <c r="G188" s="26"/>
      <c r="H188" s="776"/>
      <c r="I188" s="776" t="s">
        <v>1922</v>
      </c>
      <c r="J188" s="26"/>
      <c r="K188" s="294" t="s">
        <v>1922</v>
      </c>
      <c r="L188" s="889" t="s">
        <v>1725</v>
      </c>
      <c r="M188" s="26" t="s">
        <v>1737</v>
      </c>
      <c r="N188" s="26"/>
      <c r="O188" s="26"/>
      <c r="P188" s="26"/>
      <c r="Q188" s="26"/>
      <c r="R188" s="26"/>
      <c r="S188" s="26"/>
      <c r="T188" s="388" t="b" cm="1">
        <f t="array" ref="T188">T187</f>
        <v>1</v>
      </c>
      <c r="U188" s="26"/>
      <c r="V188" s="26"/>
      <c r="W188" s="26"/>
      <c r="X188" s="2066"/>
      <c r="Y188" s="1184"/>
      <c r="Z188" s="2012"/>
      <c r="AA188" s="1184"/>
      <c r="AB188" s="218" t="s">
        <v>1923</v>
      </c>
      <c r="AC188" s="688" t="s">
        <v>1924</v>
      </c>
      <c r="AD188" s="218" t="s">
        <v>831</v>
      </c>
      <c r="AE188" s="1514">
        <v>660.13760000000002</v>
      </c>
      <c r="AF188" s="1514"/>
      <c r="AG188" s="1514"/>
      <c r="AH188" s="1022">
        <f t="shared" si="48"/>
        <v>0</v>
      </c>
      <c r="AI188" s="1514"/>
      <c r="AJ188" s="1514"/>
      <c r="AK188" s="1023"/>
      <c r="AL188" s="1023"/>
      <c r="AM188" s="1023"/>
      <c r="AN188" s="1023"/>
      <c r="AO188" s="1023"/>
      <c r="AP188" s="1023"/>
      <c r="AQ188" s="1023"/>
      <c r="AR188" s="1023"/>
      <c r="AS188" s="1023"/>
      <c r="AT188" s="1514"/>
      <c r="AU188" s="1023"/>
      <c r="AV188" s="1023"/>
      <c r="AW188" s="1023"/>
      <c r="AX188" s="1023"/>
      <c r="AY188" s="1023"/>
      <c r="AZ188" s="1023"/>
      <c r="BA188" s="1023"/>
      <c r="BB188" s="1023"/>
      <c r="BC188" s="1023"/>
      <c r="BD188" s="1022">
        <f t="shared" si="49"/>
        <v>0</v>
      </c>
      <c r="BE188" s="1023"/>
      <c r="BF188" s="1023"/>
      <c r="BG188" s="1023"/>
      <c r="BH188" s="1023"/>
      <c r="BI188" s="1023"/>
      <c r="BJ188" s="1023"/>
      <c r="BK188" s="1023"/>
      <c r="BL188" s="1023"/>
      <c r="BM188" s="1023"/>
      <c r="BN188" s="1523" t="s">
        <v>2172</v>
      </c>
      <c r="BO188" s="1523"/>
      <c r="BP188" s="1523" t="s">
        <v>1145</v>
      </c>
      <c r="BQ188" s="1184"/>
      <c r="BR188" s="1184"/>
      <c r="BS188" s="973" t="s">
        <v>1740</v>
      </c>
      <c r="BT188" s="973"/>
      <c r="BU188" s="973"/>
      <c r="BV188" s="888"/>
      <c r="BW188" s="888"/>
    </row>
    <row r="189" spans="1:75" s="1334" customFormat="1" ht="14.25" customHeight="1" x14ac:dyDescent="0.15">
      <c r="A189" s="1184"/>
      <c r="B189" s="887"/>
      <c r="C189" s="26"/>
      <c r="D189" s="26"/>
      <c r="E189" s="545">
        <v>15</v>
      </c>
      <c r="F189" s="3" t="str" cm="1">
        <f t="array" aca="1" ref="F189" ca="1">OFFSET(E189,-1,1)</f>
        <v>1</v>
      </c>
      <c r="G189" s="26"/>
      <c r="H189" s="776"/>
      <c r="I189" s="776" t="s">
        <v>1925</v>
      </c>
      <c r="J189" s="26"/>
      <c r="K189" s="294" t="s">
        <v>1925</v>
      </c>
      <c r="L189" s="889" t="s">
        <v>1725</v>
      </c>
      <c r="M189" s="26" t="s">
        <v>1741</v>
      </c>
      <c r="N189" s="26"/>
      <c r="O189" s="26"/>
      <c r="P189" s="26"/>
      <c r="Q189" s="26"/>
      <c r="R189" s="26"/>
      <c r="S189" s="26"/>
      <c r="T189" s="388" t="b" cm="1">
        <f t="array" ref="T189">T188</f>
        <v>1</v>
      </c>
      <c r="U189" s="26"/>
      <c r="V189" s="26"/>
      <c r="W189" s="26"/>
      <c r="X189" s="2066"/>
      <c r="Y189" s="1184"/>
      <c r="Z189" s="2012"/>
      <c r="AA189" s="1184"/>
      <c r="AB189" s="218" t="s">
        <v>1926</v>
      </c>
      <c r="AC189" s="688" t="s">
        <v>1743</v>
      </c>
      <c r="AD189" s="218" t="s">
        <v>831</v>
      </c>
      <c r="AE189" s="1514"/>
      <c r="AF189" s="1514"/>
      <c r="AG189" s="1514"/>
      <c r="AH189" s="1022">
        <f t="shared" si="48"/>
        <v>0</v>
      </c>
      <c r="AI189" s="1514"/>
      <c r="AJ189" s="1514"/>
      <c r="AK189" s="1023"/>
      <c r="AL189" s="1023"/>
      <c r="AM189" s="1023"/>
      <c r="AN189" s="1023"/>
      <c r="AO189" s="1023"/>
      <c r="AP189" s="1023"/>
      <c r="AQ189" s="1023"/>
      <c r="AR189" s="1023"/>
      <c r="AS189" s="1023"/>
      <c r="AT189" s="1514"/>
      <c r="AU189" s="1023"/>
      <c r="AV189" s="1023"/>
      <c r="AW189" s="1023"/>
      <c r="AX189" s="1023"/>
      <c r="AY189" s="1023"/>
      <c r="AZ189" s="1023"/>
      <c r="BA189" s="1023"/>
      <c r="BB189" s="1023"/>
      <c r="BC189" s="1023"/>
      <c r="BD189" s="1022">
        <f t="shared" si="49"/>
        <v>0</v>
      </c>
      <c r="BE189" s="1023"/>
      <c r="BF189" s="1023"/>
      <c r="BG189" s="1023"/>
      <c r="BH189" s="1023"/>
      <c r="BI189" s="1023"/>
      <c r="BJ189" s="1023"/>
      <c r="BK189" s="1023"/>
      <c r="BL189" s="1023"/>
      <c r="BM189" s="1023"/>
      <c r="BN189" s="1523"/>
      <c r="BO189" s="1523"/>
      <c r="BP189" s="1523"/>
      <c r="BQ189" s="1184"/>
      <c r="BR189" s="1184"/>
      <c r="BS189" s="973" t="s">
        <v>1744</v>
      </c>
      <c r="BT189" s="973"/>
      <c r="BU189" s="973"/>
      <c r="BV189" s="888"/>
      <c r="BW189" s="888"/>
    </row>
    <row r="190" spans="1:75" s="1334" customFormat="1" ht="409.6" customHeight="1" x14ac:dyDescent="0.15">
      <c r="A190" s="1184"/>
      <c r="B190" s="887"/>
      <c r="C190" s="26"/>
      <c r="D190" s="26"/>
      <c r="E190" s="545">
        <v>15</v>
      </c>
      <c r="F190" s="3" t="str" cm="1">
        <f t="array" aca="1" ref="F190" ca="1">OFFSET(E190,-1,1)</f>
        <v>1</v>
      </c>
      <c r="G190" s="26"/>
      <c r="H190" s="776"/>
      <c r="I190" s="776" t="s">
        <v>1927</v>
      </c>
      <c r="J190" s="26"/>
      <c r="K190" s="294" t="s">
        <v>1927</v>
      </c>
      <c r="L190" s="889"/>
      <c r="M190" s="26"/>
      <c r="N190" s="26"/>
      <c r="O190" s="26"/>
      <c r="P190" s="26"/>
      <c r="Q190" s="26"/>
      <c r="R190" s="26"/>
      <c r="S190" s="26"/>
      <c r="T190" s="388" t="b" cm="1">
        <f t="array" ref="T190">T189</f>
        <v>1</v>
      </c>
      <c r="U190" s="26"/>
      <c r="V190" s="26"/>
      <c r="W190" s="26"/>
      <c r="X190" s="2066"/>
      <c r="Y190" s="1184"/>
      <c r="Z190" s="2012"/>
      <c r="AA190" s="1184"/>
      <c r="AB190" s="218" t="s">
        <v>1928</v>
      </c>
      <c r="AC190" s="688" t="s">
        <v>1929</v>
      </c>
      <c r="AD190" s="218" t="s">
        <v>831</v>
      </c>
      <c r="AE190" s="1514">
        <v>2674.6117515678002</v>
      </c>
      <c r="AF190" s="1514"/>
      <c r="AG190" s="1514"/>
      <c r="AH190" s="1022">
        <f t="shared" si="48"/>
        <v>0</v>
      </c>
      <c r="AI190" s="1514"/>
      <c r="AJ190" s="1263"/>
      <c r="AK190" s="1023"/>
      <c r="AL190" s="1023"/>
      <c r="AM190" s="1023"/>
      <c r="AN190" s="1023"/>
      <c r="AO190" s="1023"/>
      <c r="AP190" s="1023"/>
      <c r="AQ190" s="1023"/>
      <c r="AR190" s="1023"/>
      <c r="AS190" s="1023"/>
      <c r="AT190" s="1327"/>
      <c r="AU190" s="1023"/>
      <c r="AV190" s="1023"/>
      <c r="AW190" s="1023"/>
      <c r="AX190" s="1023"/>
      <c r="AY190" s="1023"/>
      <c r="AZ190" s="1023"/>
      <c r="BA190" s="1023"/>
      <c r="BB190" s="1023"/>
      <c r="BC190" s="1023"/>
      <c r="BD190" s="1022">
        <f t="shared" si="49"/>
        <v>0</v>
      </c>
      <c r="BE190" s="1023"/>
      <c r="BF190" s="1023"/>
      <c r="BG190" s="1023"/>
      <c r="BH190" s="1023"/>
      <c r="BI190" s="1023"/>
      <c r="BJ190" s="1023"/>
      <c r="BK190" s="1023"/>
      <c r="BL190" s="1023"/>
      <c r="BM190" s="1023"/>
      <c r="BN190" s="1523" t="s">
        <v>2173</v>
      </c>
      <c r="BO190" s="1523"/>
      <c r="BP190" s="1523" t="s">
        <v>2174</v>
      </c>
      <c r="BQ190" s="1184"/>
      <c r="BR190" s="1184"/>
      <c r="BS190" s="973" t="s">
        <v>1728</v>
      </c>
      <c r="BT190" s="973"/>
      <c r="BU190" s="973"/>
      <c r="BV190" s="888"/>
      <c r="BW190" s="888"/>
    </row>
    <row r="191" spans="1:75" s="1526" customFormat="1" ht="20.25" customHeight="1" x14ac:dyDescent="0.25">
      <c r="A191" s="623"/>
      <c r="B191" s="357"/>
      <c r="C191" s="28"/>
      <c r="D191" s="28"/>
      <c r="E191" s="745">
        <v>21</v>
      </c>
      <c r="F191" s="3" t="str" cm="1">
        <f t="array" aca="1" ref="F191" ca="1">OFFSET(E191,-1,1)</f>
        <v>1</v>
      </c>
      <c r="G191" s="28"/>
      <c r="H191" s="776"/>
      <c r="I191" s="776" t="s">
        <v>501</v>
      </c>
      <c r="J191" s="28"/>
      <c r="K191" s="294" t="s">
        <v>501</v>
      </c>
      <c r="L191" s="894"/>
      <c r="M191" s="28"/>
      <c r="N191" s="28"/>
      <c r="O191" s="28"/>
      <c r="P191" s="28"/>
      <c r="Q191" s="28"/>
      <c r="R191" s="28"/>
      <c r="S191" s="28"/>
      <c r="T191" s="388" t="b" cm="1">
        <f t="array" ref="T191">T190</f>
        <v>1</v>
      </c>
      <c r="U191" s="28"/>
      <c r="V191" s="28"/>
      <c r="W191" s="28"/>
      <c r="X191" s="2066"/>
      <c r="Y191" s="623"/>
      <c r="Z191" s="2012"/>
      <c r="AA191" s="623"/>
      <c r="AB191" s="130" t="s">
        <v>916</v>
      </c>
      <c r="AC191" s="277" t="s">
        <v>1748</v>
      </c>
      <c r="AD191" s="130" t="s">
        <v>831</v>
      </c>
      <c r="AE191" s="132">
        <f ca="1">AE192+AE193+AE194</f>
        <v>29956.409294444802</v>
      </c>
      <c r="AF191" s="132">
        <f ca="1">AF192+AF193+AF194</f>
        <v>0</v>
      </c>
      <c r="AG191" s="132">
        <f ca="1">AG192+AG193+AG194</f>
        <v>0</v>
      </c>
      <c r="AH191" s="698">
        <f t="shared" ca="1" si="48"/>
        <v>0</v>
      </c>
      <c r="AI191" s="132">
        <f ca="1">AI192+AI193+AI194</f>
        <v>0</v>
      </c>
      <c r="AJ191" s="132">
        <f ca="1">AJ192+AJ193+AJ194</f>
        <v>0</v>
      </c>
      <c r="AK191" s="135"/>
      <c r="AL191" s="135"/>
      <c r="AM191" s="135"/>
      <c r="AN191" s="135"/>
      <c r="AO191" s="135"/>
      <c r="AP191" s="135"/>
      <c r="AQ191" s="135"/>
      <c r="AR191" s="135"/>
      <c r="AS191" s="135"/>
      <c r="AT191" s="132">
        <f ca="1">AT192+AT193+AT194</f>
        <v>0</v>
      </c>
      <c r="AU191" s="135"/>
      <c r="AV191" s="135"/>
      <c r="AW191" s="135"/>
      <c r="AX191" s="135"/>
      <c r="AY191" s="135"/>
      <c r="AZ191" s="135"/>
      <c r="BA191" s="135"/>
      <c r="BB191" s="135"/>
      <c r="BC191" s="135"/>
      <c r="BD191" s="698">
        <f t="shared" ca="1" si="49"/>
        <v>0</v>
      </c>
      <c r="BE191" s="135"/>
      <c r="BF191" s="135"/>
      <c r="BG191" s="135"/>
      <c r="BH191" s="135"/>
      <c r="BI191" s="135"/>
      <c r="BJ191" s="135"/>
      <c r="BK191" s="135"/>
      <c r="BL191" s="135"/>
      <c r="BM191" s="135"/>
      <c r="BN191" s="1524"/>
      <c r="BO191" s="1524"/>
      <c r="BP191" s="1524"/>
      <c r="BQ191" s="623"/>
      <c r="BR191" s="623"/>
      <c r="BS191" s="972" t="s">
        <v>1749</v>
      </c>
      <c r="BT191" s="979"/>
      <c r="BU191" s="979"/>
      <c r="BV191" s="630"/>
      <c r="BW191" s="630"/>
    </row>
    <row r="192" spans="1:75" s="1334" customFormat="1" ht="23.25" customHeight="1" x14ac:dyDescent="0.25">
      <c r="A192" s="1184"/>
      <c r="B192" s="887"/>
      <c r="C192" s="26"/>
      <c r="D192" s="26"/>
      <c r="E192" s="545">
        <v>22.5</v>
      </c>
      <c r="F192" s="3" t="str" cm="1">
        <f t="array" aca="1" ref="F192" ca="1">OFFSET(E192,-1,1)</f>
        <v>1</v>
      </c>
      <c r="G192" s="26"/>
      <c r="H192" s="776"/>
      <c r="I192" s="776" t="s">
        <v>1314</v>
      </c>
      <c r="J192" s="26"/>
      <c r="K192" s="294" t="s">
        <v>1314</v>
      </c>
      <c r="L192" s="889"/>
      <c r="M192" s="26"/>
      <c r="N192" s="26"/>
      <c r="O192" s="26"/>
      <c r="P192" s="26"/>
      <c r="Q192" s="26"/>
      <c r="R192" s="26"/>
      <c r="S192" s="26"/>
      <c r="T192" s="388" t="b" cm="1">
        <f t="array" ref="T192">T191</f>
        <v>1</v>
      </c>
      <c r="U192" s="26"/>
      <c r="V192" s="26"/>
      <c r="W192" s="26"/>
      <c r="X192" s="2066"/>
      <c r="Y192" s="1184"/>
      <c r="Z192" s="2012"/>
      <c r="AA192" s="1184"/>
      <c r="AB192" s="218" t="s">
        <v>1315</v>
      </c>
      <c r="AC192" s="685" t="s">
        <v>1930</v>
      </c>
      <c r="AD192" s="218" t="s">
        <v>831</v>
      </c>
      <c r="AE192" s="1514">
        <v>2891.1411199999998</v>
      </c>
      <c r="AF192" s="1514"/>
      <c r="AG192" s="1514"/>
      <c r="AH192" s="1022">
        <f t="shared" si="48"/>
        <v>0</v>
      </c>
      <c r="AI192" s="1514"/>
      <c r="AJ192" s="1514"/>
      <c r="AK192" s="1023"/>
      <c r="AL192" s="1023"/>
      <c r="AM192" s="1023"/>
      <c r="AN192" s="1023"/>
      <c r="AO192" s="1023"/>
      <c r="AP192" s="1023"/>
      <c r="AQ192" s="1023"/>
      <c r="AR192" s="1023"/>
      <c r="AS192" s="1023"/>
      <c r="AT192" s="1514"/>
      <c r="AU192" s="1023"/>
      <c r="AV192" s="1023"/>
      <c r="AW192" s="1023"/>
      <c r="AX192" s="1023"/>
      <c r="AY192" s="1023"/>
      <c r="AZ192" s="1023"/>
      <c r="BA192" s="1023"/>
      <c r="BB192" s="1023"/>
      <c r="BC192" s="1023"/>
      <c r="BD192" s="1022">
        <f t="shared" si="49"/>
        <v>0</v>
      </c>
      <c r="BE192" s="1023"/>
      <c r="BF192" s="1023"/>
      <c r="BG192" s="1023"/>
      <c r="BH192" s="1023"/>
      <c r="BI192" s="1023"/>
      <c r="BJ192" s="1023"/>
      <c r="BK192" s="1023"/>
      <c r="BL192" s="1023"/>
      <c r="BM192" s="1023"/>
      <c r="BN192" s="1523"/>
      <c r="BO192" s="1523"/>
      <c r="BP192" s="1523" t="s">
        <v>1145</v>
      </c>
      <c r="BQ192" s="1184"/>
      <c r="BR192" s="1184"/>
      <c r="BS192" s="971" t="s">
        <v>1751</v>
      </c>
      <c r="BT192" s="973"/>
      <c r="BU192" s="973"/>
      <c r="BV192" s="888"/>
      <c r="BW192" s="888"/>
    </row>
    <row r="193" spans="1:75" s="1334" customFormat="1" ht="23.25" customHeight="1" x14ac:dyDescent="0.15">
      <c r="A193" s="1184"/>
      <c r="B193" s="887"/>
      <c r="C193" s="26"/>
      <c r="D193" s="26"/>
      <c r="E193" s="545">
        <v>22.5</v>
      </c>
      <c r="F193" s="3" t="str" cm="1">
        <f t="array" aca="1" ref="F193" ca="1">OFFSET(E193,-1,1)</f>
        <v>1</v>
      </c>
      <c r="G193" s="26"/>
      <c r="H193" s="776"/>
      <c r="I193" s="776" t="s">
        <v>1318</v>
      </c>
      <c r="J193" s="26"/>
      <c r="K193" s="294" t="s">
        <v>1318</v>
      </c>
      <c r="L193" s="889"/>
      <c r="M193" s="26"/>
      <c r="N193" s="26"/>
      <c r="O193" s="26"/>
      <c r="P193" s="26"/>
      <c r="Q193" s="26"/>
      <c r="R193" s="26"/>
      <c r="S193" s="26"/>
      <c r="T193" s="388" t="b" cm="1">
        <f t="array" ref="T193">T192</f>
        <v>1</v>
      </c>
      <c r="U193" s="26"/>
      <c r="V193" s="26"/>
      <c r="W193" s="26"/>
      <c r="X193" s="2066"/>
      <c r="Y193" s="1184"/>
      <c r="Z193" s="2012"/>
      <c r="AA193" s="1184"/>
      <c r="AB193" s="218" t="s">
        <v>1319</v>
      </c>
      <c r="AC193" s="685" t="s">
        <v>1931</v>
      </c>
      <c r="AD193" s="218" t="s">
        <v>831</v>
      </c>
      <c r="AE193" s="1514">
        <v>17574.058913479501</v>
      </c>
      <c r="AF193" s="1514"/>
      <c r="AG193" s="1514"/>
      <c r="AH193" s="1022">
        <f t="shared" si="48"/>
        <v>0</v>
      </c>
      <c r="AI193" s="1514"/>
      <c r="AJ193" s="1514"/>
      <c r="AK193" s="1023"/>
      <c r="AL193" s="1023"/>
      <c r="AM193" s="1023"/>
      <c r="AN193" s="1023"/>
      <c r="AO193" s="1023"/>
      <c r="AP193" s="1023"/>
      <c r="AQ193" s="1023"/>
      <c r="AR193" s="1023"/>
      <c r="AS193" s="1023"/>
      <c r="AT193" s="1514"/>
      <c r="AU193" s="1023"/>
      <c r="AV193" s="1023"/>
      <c r="AW193" s="1023"/>
      <c r="AX193" s="1023"/>
      <c r="AY193" s="1023"/>
      <c r="AZ193" s="1023"/>
      <c r="BA193" s="1023"/>
      <c r="BB193" s="1023"/>
      <c r="BC193" s="1023"/>
      <c r="BD193" s="1022">
        <f t="shared" si="49"/>
        <v>0</v>
      </c>
      <c r="BE193" s="1023"/>
      <c r="BF193" s="1023"/>
      <c r="BG193" s="1023"/>
      <c r="BH193" s="1023"/>
      <c r="BI193" s="1023"/>
      <c r="BJ193" s="1023"/>
      <c r="BK193" s="1023"/>
      <c r="BL193" s="1023"/>
      <c r="BM193" s="1023"/>
      <c r="BN193" s="1523"/>
      <c r="BO193" s="1523"/>
      <c r="BP193" s="1523" t="s">
        <v>2175</v>
      </c>
      <c r="BQ193" s="1184"/>
      <c r="BR193" s="1184"/>
      <c r="BS193" s="973" t="s">
        <v>1932</v>
      </c>
      <c r="BT193" s="973"/>
      <c r="BU193" s="973"/>
      <c r="BV193" s="888"/>
      <c r="BW193" s="888"/>
    </row>
    <row r="194" spans="1:75" s="1334" customFormat="1" ht="159.75" customHeight="1" x14ac:dyDescent="0.25">
      <c r="A194" s="1184"/>
      <c r="B194" s="887"/>
      <c r="C194" s="26"/>
      <c r="D194" s="26"/>
      <c r="E194" s="545">
        <v>22.5</v>
      </c>
      <c r="F194" s="3" t="str" cm="1">
        <f t="array" aca="1" ref="F194" ca="1">OFFSET(E194,-1,1)</f>
        <v>1</v>
      </c>
      <c r="G194" s="26"/>
      <c r="H194" s="776"/>
      <c r="I194" s="776" t="s">
        <v>1322</v>
      </c>
      <c r="J194" s="26"/>
      <c r="K194" s="294" t="s">
        <v>1322</v>
      </c>
      <c r="L194" s="889" t="s">
        <v>515</v>
      </c>
      <c r="M194" s="26"/>
      <c r="N194" s="26"/>
      <c r="O194" s="26"/>
      <c r="P194" s="26"/>
      <c r="Q194" s="26"/>
      <c r="R194" s="26"/>
      <c r="S194" s="26"/>
      <c r="T194" s="388" t="b" cm="1">
        <f t="array" ref="T194">T193</f>
        <v>1</v>
      </c>
      <c r="U194" s="26"/>
      <c r="V194" s="26"/>
      <c r="W194" s="26"/>
      <c r="X194" s="2066"/>
      <c r="Y194" s="1184"/>
      <c r="Z194" s="2012"/>
      <c r="AA194" s="1184"/>
      <c r="AB194" s="218" t="s">
        <v>1323</v>
      </c>
      <c r="AC194" s="685" t="s">
        <v>1933</v>
      </c>
      <c r="AD194" s="218" t="s">
        <v>831</v>
      </c>
      <c r="AE194" s="1024">
        <f ca="1">AE195+AE196</f>
        <v>9491.2092609653009</v>
      </c>
      <c r="AF194" s="1024">
        <f ca="1">AF195+AF196</f>
        <v>0</v>
      </c>
      <c r="AG194" s="1024">
        <f ca="1">AG195+AG196</f>
        <v>0</v>
      </c>
      <c r="AH194" s="1022">
        <f t="shared" ca="1" si="48"/>
        <v>0</v>
      </c>
      <c r="AI194" s="1024">
        <f ca="1">AI195+AI196</f>
        <v>0</v>
      </c>
      <c r="AJ194" s="1024">
        <f ca="1">AJ195+AJ196</f>
        <v>0</v>
      </c>
      <c r="AK194" s="1023"/>
      <c r="AL194" s="1023"/>
      <c r="AM194" s="1023"/>
      <c r="AN194" s="1023"/>
      <c r="AO194" s="1023"/>
      <c r="AP194" s="1023"/>
      <c r="AQ194" s="1023"/>
      <c r="AR194" s="1023"/>
      <c r="AS194" s="1023"/>
      <c r="AT194" s="1024">
        <f ca="1">AT195+AT196</f>
        <v>0</v>
      </c>
      <c r="AU194" s="1023"/>
      <c r="AV194" s="1023"/>
      <c r="AW194" s="1023"/>
      <c r="AX194" s="1023"/>
      <c r="AY194" s="1023"/>
      <c r="AZ194" s="1023"/>
      <c r="BA194" s="1023"/>
      <c r="BB194" s="1023"/>
      <c r="BC194" s="1023"/>
      <c r="BD194" s="1022">
        <f t="shared" ca="1" si="49"/>
        <v>0</v>
      </c>
      <c r="BE194" s="1023"/>
      <c r="BF194" s="1023"/>
      <c r="BG194" s="1023"/>
      <c r="BH194" s="1023"/>
      <c r="BI194" s="1023"/>
      <c r="BJ194" s="1023"/>
      <c r="BK194" s="1023"/>
      <c r="BL194" s="1023"/>
      <c r="BM194" s="1023"/>
      <c r="BN194" s="1523" t="s">
        <v>2170</v>
      </c>
      <c r="BO194" s="1523"/>
      <c r="BP194" s="1523" t="s">
        <v>2171</v>
      </c>
      <c r="BQ194" s="1184"/>
      <c r="BR194" s="1184"/>
      <c r="BS194" s="971" t="s">
        <v>1753</v>
      </c>
      <c r="BT194" s="973"/>
      <c r="BU194" s="973"/>
      <c r="BV194" s="888"/>
      <c r="BW194" s="888"/>
    </row>
    <row r="195" spans="1:75" s="1334" customFormat="1" ht="159.75" customHeight="1" x14ac:dyDescent="0.25">
      <c r="A195" s="1184"/>
      <c r="B195" s="887"/>
      <c r="C195" s="26"/>
      <c r="D195" s="26"/>
      <c r="E195" s="545">
        <v>15</v>
      </c>
      <c r="F195" s="3" t="str" cm="1">
        <f t="array" aca="1" ref="F195" ca="1">OFFSET(E195,-1,1)</f>
        <v>1</v>
      </c>
      <c r="G195" s="767" t="s">
        <v>1119</v>
      </c>
      <c r="H195" s="776"/>
      <c r="I195" s="776" t="s">
        <v>1934</v>
      </c>
      <c r="J195" s="26"/>
      <c r="K195" s="294" t="s">
        <v>1934</v>
      </c>
      <c r="L195" s="889" t="s">
        <v>1754</v>
      </c>
      <c r="M195" s="26"/>
      <c r="N195" s="26"/>
      <c r="O195" s="26"/>
      <c r="P195" s="26"/>
      <c r="Q195" s="26"/>
      <c r="R195" s="26"/>
      <c r="S195" s="26"/>
      <c r="T195" s="388" t="b" cm="1">
        <f t="array" ref="T195">T194</f>
        <v>1</v>
      </c>
      <c r="U195" s="26"/>
      <c r="V195" s="26"/>
      <c r="W195" s="26"/>
      <c r="X195" s="2066"/>
      <c r="Y195" s="1184"/>
      <c r="Z195" s="2012"/>
      <c r="AA195" s="1184"/>
      <c r="AB195" s="218" t="s">
        <v>1935</v>
      </c>
      <c r="AC195" s="688" t="s">
        <v>1755</v>
      </c>
      <c r="AD195" s="218" t="s">
        <v>831</v>
      </c>
      <c r="AE195" s="1022">
        <f ca="1">SUMIFS(ФОТ!AE$25:AE$138,ФОТ!$F$25:$F$138,$F195,ФОТ!$G$25:$G$138,$G195)</f>
        <v>7289.7152541976002</v>
      </c>
      <c r="AF195" s="1022">
        <f ca="1">SUMIFS(ФОТ!AF$25:AF$138,ФОТ!$F$25:$F$138,$F195,ФОТ!$G$25:$G$138,$G195)</f>
        <v>0</v>
      </c>
      <c r="AG195" s="1022">
        <f ca="1">SUMIFS(ФОТ!AG$25:AG$138,ФОТ!$F$25:$F$138,$F195,ФОТ!$G$25:$G$138,$G195)</f>
        <v>0</v>
      </c>
      <c r="AH195" s="1022">
        <f t="shared" ca="1" si="48"/>
        <v>0</v>
      </c>
      <c r="AI195" s="1022">
        <f ca="1">SUMIFS(ФОТ!AH$25:AH$138,ФОТ!$F$25:$F$138,$F195,ФОТ!$G$25:$G$138,$G195)</f>
        <v>0</v>
      </c>
      <c r="AJ195" s="1022">
        <f ca="1">SUMIFS(ФОТ!AI$25:AI$138,ФОТ!$F$25:$F$138,$F195,ФОТ!$G$25:$G$138,$G195)</f>
        <v>0</v>
      </c>
      <c r="AK195" s="1023"/>
      <c r="AL195" s="1023"/>
      <c r="AM195" s="1023"/>
      <c r="AN195" s="1023"/>
      <c r="AO195" s="1023"/>
      <c r="AP195" s="1023"/>
      <c r="AQ195" s="1023"/>
      <c r="AR195" s="1023"/>
      <c r="AS195" s="1023"/>
      <c r="AT195" s="1022">
        <f ca="1">SUMIFS(ФОТ!AJ$25:AJ$138,ФОТ!$F$25:$F$138,$F195,ФОТ!$G$25:$G$138,$G195)</f>
        <v>0</v>
      </c>
      <c r="AU195" s="1023"/>
      <c r="AV195" s="1023"/>
      <c r="AW195" s="1023"/>
      <c r="AX195" s="1023"/>
      <c r="AY195" s="1023"/>
      <c r="AZ195" s="1023"/>
      <c r="BA195" s="1023"/>
      <c r="BB195" s="1023"/>
      <c r="BC195" s="1023"/>
      <c r="BD195" s="1022">
        <f t="shared" ca="1" si="49"/>
        <v>0</v>
      </c>
      <c r="BE195" s="1023"/>
      <c r="BF195" s="1023"/>
      <c r="BG195" s="1023"/>
      <c r="BH195" s="1023"/>
      <c r="BI195" s="1023"/>
      <c r="BJ195" s="1023"/>
      <c r="BK195" s="1023"/>
      <c r="BL195" s="1023"/>
      <c r="BM195" s="1023"/>
      <c r="BN195" s="1523" t="s">
        <v>2170</v>
      </c>
      <c r="BO195" s="1525" t="str">
        <f ca="1">IF(IFERROR(INDEX(ФОТ!$K$26:$L$138,MATCH($F195&amp;"3komm",ФОТ!$K$26:$K$138,0),2),"")=0,"",IFERROR(INDEX(ФОТ!$K$26:$L$138,MATCH($F195&amp;"3komm",ФОТ!$K$26:$K$138,0),2),""))</f>
        <v/>
      </c>
      <c r="BP195" s="1523" t="s">
        <v>2171</v>
      </c>
      <c r="BQ195" s="1184"/>
      <c r="BR195" s="1184"/>
      <c r="BS195" s="971" t="s">
        <v>1756</v>
      </c>
      <c r="BT195" s="973"/>
      <c r="BU195" s="973"/>
      <c r="BV195" s="888"/>
      <c r="BW195" s="888"/>
    </row>
    <row r="196" spans="1:75" s="1334" customFormat="1" ht="159.75" customHeight="1" x14ac:dyDescent="0.25">
      <c r="A196" s="1184"/>
      <c r="B196" s="887"/>
      <c r="C196" s="26"/>
      <c r="D196" s="26"/>
      <c r="E196" s="545">
        <v>22.5</v>
      </c>
      <c r="F196" s="3" t="str" cm="1">
        <f t="array" aca="1" ref="F196" ca="1">OFFSET(E196,-1,1)</f>
        <v>1</v>
      </c>
      <c r="G196" s="767" t="s">
        <v>1124</v>
      </c>
      <c r="H196" s="776"/>
      <c r="I196" s="776" t="s">
        <v>1936</v>
      </c>
      <c r="J196" s="26"/>
      <c r="K196" s="294" t="s">
        <v>1936</v>
      </c>
      <c r="L196" s="889" t="s">
        <v>1757</v>
      </c>
      <c r="M196" s="26"/>
      <c r="N196" s="26"/>
      <c r="O196" s="26"/>
      <c r="P196" s="26"/>
      <c r="Q196" s="26"/>
      <c r="R196" s="26"/>
      <c r="S196" s="26"/>
      <c r="T196" s="388" t="b" cm="1">
        <f t="array" ref="T196">T195</f>
        <v>1</v>
      </c>
      <c r="U196" s="26"/>
      <c r="V196" s="26"/>
      <c r="W196" s="26"/>
      <c r="X196" s="2066"/>
      <c r="Y196" s="1184"/>
      <c r="Z196" s="2012"/>
      <c r="AA196" s="1184"/>
      <c r="AB196" s="218" t="s">
        <v>1937</v>
      </c>
      <c r="AC196" s="688" t="s">
        <v>1938</v>
      </c>
      <c r="AD196" s="218" t="s">
        <v>831</v>
      </c>
      <c r="AE196" s="1022">
        <f ca="1">SUMIFS(ФОТ!AE$25:AE$138,ФОТ!$F$25:$F$138,$F196,ФОТ!$G$25:$G$138,$G196)</f>
        <v>2201.4940067676998</v>
      </c>
      <c r="AF196" s="1022">
        <f ca="1">SUMIFS(ФОТ!AF$25:AF$138,ФОТ!$F$25:$F$138,$F196,ФОТ!$G$25:$G$138,$G196)</f>
        <v>0</v>
      </c>
      <c r="AG196" s="1022">
        <f ca="1">SUMIFS(ФОТ!AG$25:AG$138,ФОТ!$F$25:$F$138,$F196,ФОТ!$G$25:$G$138,$G196)</f>
        <v>0</v>
      </c>
      <c r="AH196" s="1022">
        <f t="shared" ca="1" si="48"/>
        <v>0</v>
      </c>
      <c r="AI196" s="1022">
        <f ca="1">SUMIFS(ФОТ!AH$25:AH$138,ФОТ!$F$25:$F$138,$F196,ФОТ!$G$25:$G$138,$G196)</f>
        <v>0</v>
      </c>
      <c r="AJ196" s="1022">
        <f ca="1">SUMIFS(ФОТ!AI$25:AI$138,ФОТ!$F$25:$F$138,$F196,ФОТ!$G$25:$G$138,$G196)</f>
        <v>0</v>
      </c>
      <c r="AK196" s="1023"/>
      <c r="AL196" s="1023"/>
      <c r="AM196" s="1023"/>
      <c r="AN196" s="1023"/>
      <c r="AO196" s="1023"/>
      <c r="AP196" s="1023"/>
      <c r="AQ196" s="1023"/>
      <c r="AR196" s="1023"/>
      <c r="AS196" s="1023"/>
      <c r="AT196" s="1022">
        <f ca="1">SUMIFS(ФОТ!AJ$25:AJ$138,ФОТ!$F$25:$F$138,$F196,ФОТ!$G$25:$G$138,$G196)</f>
        <v>0</v>
      </c>
      <c r="AU196" s="1023"/>
      <c r="AV196" s="1023"/>
      <c r="AW196" s="1023"/>
      <c r="AX196" s="1023"/>
      <c r="AY196" s="1023"/>
      <c r="AZ196" s="1023"/>
      <c r="BA196" s="1023"/>
      <c r="BB196" s="1023"/>
      <c r="BC196" s="1023"/>
      <c r="BD196" s="1022">
        <f t="shared" ca="1" si="49"/>
        <v>0</v>
      </c>
      <c r="BE196" s="1023"/>
      <c r="BF196" s="1023"/>
      <c r="BG196" s="1023"/>
      <c r="BH196" s="1023"/>
      <c r="BI196" s="1023"/>
      <c r="BJ196" s="1023"/>
      <c r="BK196" s="1023"/>
      <c r="BL196" s="1023"/>
      <c r="BM196" s="1023"/>
      <c r="BN196" s="1523" t="s">
        <v>2170</v>
      </c>
      <c r="BO196" s="1525" t="str">
        <f ca="1">IF(IFERROR(INDEX(ФОТ!$K$26:$L$138,MATCH($F196&amp;"4komm",ФОТ!$K$26:$K$138,0),2),"")=0,"",IFERROR(INDEX(ФОТ!$K$26:$L$138,MATCH($F196&amp;"4komm",ФОТ!$K$26:$K$138,0),2),""))</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BP196" s="1523" t="s">
        <v>2171</v>
      </c>
      <c r="BQ196" s="1184"/>
      <c r="BR196" s="1184"/>
      <c r="BS196" s="971" t="s">
        <v>1759</v>
      </c>
      <c r="BT196" s="973"/>
      <c r="BU196" s="973"/>
      <c r="BV196" s="888"/>
      <c r="BW196" s="888"/>
    </row>
    <row r="197" spans="1:75" s="1527" customFormat="1" ht="20.25" customHeight="1" x14ac:dyDescent="0.25">
      <c r="A197" s="623"/>
      <c r="B197" s="357"/>
      <c r="C197" s="28"/>
      <c r="D197" s="28"/>
      <c r="E197" s="745">
        <v>21</v>
      </c>
      <c r="F197" s="3" t="str" cm="1">
        <f t="array" aca="1" ref="F197" ca="1">OFFSET(E197,-1,1)</f>
        <v>1</v>
      </c>
      <c r="G197" s="28"/>
      <c r="H197" s="776"/>
      <c r="I197" s="776" t="s">
        <v>505</v>
      </c>
      <c r="J197" s="28"/>
      <c r="K197" s="294" t="s">
        <v>505</v>
      </c>
      <c r="L197" s="894" t="s">
        <v>333</v>
      </c>
      <c r="M197" s="28"/>
      <c r="N197" s="28"/>
      <c r="O197" s="28"/>
      <c r="P197" s="28"/>
      <c r="Q197" s="28"/>
      <c r="R197" s="28"/>
      <c r="S197" s="28"/>
      <c r="T197" s="388" t="b" cm="1">
        <f t="array" ref="T197">T196</f>
        <v>1</v>
      </c>
      <c r="U197" s="28"/>
      <c r="V197" s="28"/>
      <c r="W197" s="28"/>
      <c r="X197" s="2066"/>
      <c r="Y197" s="623"/>
      <c r="Z197" s="2012"/>
      <c r="AA197" s="623"/>
      <c r="AB197" s="130" t="s">
        <v>919</v>
      </c>
      <c r="AC197" s="277" t="s">
        <v>1939</v>
      </c>
      <c r="AD197" s="130" t="s">
        <v>831</v>
      </c>
      <c r="AE197" s="132">
        <f ca="1">AE198+AE206+AE209+AE210+AE211+AE212+AE213</f>
        <v>9306.5487244234992</v>
      </c>
      <c r="AF197" s="132">
        <f ca="1">AF198+AF206+AF209+AF210+AF211+AF212+AF213</f>
        <v>0</v>
      </c>
      <c r="AG197" s="132">
        <f ca="1">AG198+AG206+AG209+AG210+AG211+AG212+AG213</f>
        <v>0</v>
      </c>
      <c r="AH197" s="698">
        <f t="shared" ca="1" si="48"/>
        <v>0</v>
      </c>
      <c r="AI197" s="132">
        <f ca="1">AI198+AI206+AI209+AI210+AI211+AI212+AI213</f>
        <v>0</v>
      </c>
      <c r="AJ197" s="132">
        <f ca="1">AJ198+AJ206+AJ209+AJ210+AJ211+AJ212+AJ213</f>
        <v>0</v>
      </c>
      <c r="AK197" s="135"/>
      <c r="AL197" s="135"/>
      <c r="AM197" s="135"/>
      <c r="AN197" s="135"/>
      <c r="AO197" s="135"/>
      <c r="AP197" s="135"/>
      <c r="AQ197" s="135"/>
      <c r="AR197" s="135"/>
      <c r="AS197" s="135"/>
      <c r="AT197" s="132">
        <f ca="1">AT198+AT206+AT209+AT210+AT211+AT212+AT213</f>
        <v>0</v>
      </c>
      <c r="AU197" s="135"/>
      <c r="AV197" s="135"/>
      <c r="AW197" s="135"/>
      <c r="AX197" s="135"/>
      <c r="AY197" s="135"/>
      <c r="AZ197" s="135"/>
      <c r="BA197" s="135"/>
      <c r="BB197" s="135"/>
      <c r="BC197" s="135"/>
      <c r="BD197" s="698">
        <f t="shared" ca="1" si="49"/>
        <v>0</v>
      </c>
      <c r="BE197" s="135"/>
      <c r="BF197" s="135"/>
      <c r="BG197" s="135"/>
      <c r="BH197" s="135"/>
      <c r="BI197" s="135"/>
      <c r="BJ197" s="135"/>
      <c r="BK197" s="135"/>
      <c r="BL197" s="135"/>
      <c r="BM197" s="135"/>
      <c r="BN197" s="1524"/>
      <c r="BO197" s="1524"/>
      <c r="BP197" s="1524"/>
      <c r="BQ197" s="623"/>
      <c r="BR197" s="623"/>
      <c r="BS197" s="972" t="s">
        <v>1761</v>
      </c>
      <c r="BT197" s="979"/>
      <c r="BU197" s="979"/>
      <c r="BV197" s="630"/>
      <c r="BW197" s="630"/>
    </row>
    <row r="198" spans="1:75" s="1334" customFormat="1" ht="21.75" customHeight="1" x14ac:dyDescent="0.25">
      <c r="A198" s="1184"/>
      <c r="B198" s="887"/>
      <c r="C198" s="26"/>
      <c r="D198" s="26"/>
      <c r="E198" s="545">
        <v>22.5</v>
      </c>
      <c r="F198" s="3" t="str" cm="1">
        <f t="array" aca="1" ref="F198" ca="1">OFFSET(E198,-1,1)</f>
        <v>1</v>
      </c>
      <c r="G198" s="26" t="s">
        <v>1155</v>
      </c>
      <c r="H198" s="776"/>
      <c r="I198" s="776" t="s">
        <v>1328</v>
      </c>
      <c r="J198" s="26"/>
      <c r="K198" s="294" t="s">
        <v>1328</v>
      </c>
      <c r="L198" s="889" t="s">
        <v>940</v>
      </c>
      <c r="M198" s="26"/>
      <c r="N198" s="26"/>
      <c r="O198" s="26"/>
      <c r="P198" s="26"/>
      <c r="Q198" s="26"/>
      <c r="R198" s="26"/>
      <c r="S198" s="26"/>
      <c r="T198" s="388" t="b" cm="1">
        <f t="array" ref="T198">T197</f>
        <v>1</v>
      </c>
      <c r="U198" s="26"/>
      <c r="V198" s="26"/>
      <c r="W198" s="26"/>
      <c r="X198" s="2066"/>
      <c r="Y198" s="1184"/>
      <c r="Z198" s="2012"/>
      <c r="AA198" s="1184"/>
      <c r="AB198" s="218" t="s">
        <v>1033</v>
      </c>
      <c r="AC198" s="685" t="s">
        <v>1940</v>
      </c>
      <c r="AD198" s="218" t="s">
        <v>831</v>
      </c>
      <c r="AE198" s="1022">
        <f ca="1">SUMIFS(Административные!AE$25:AE$84,Административные!$F$25:$F$84,$F198,Административные!$G$25:$G$84,$G198)</f>
        <v>0</v>
      </c>
      <c r="AF198" s="1022">
        <f ca="1">SUMIFS(Административные!AF$25:AF$84,Административные!$F$25:$F$84,$F198,Административные!$G$25:$G$84,$G198)</f>
        <v>0</v>
      </c>
      <c r="AG198" s="1022">
        <f ca="1">SUMIFS(Административные!AG$25:AG$84,Административные!$F$25:$F$84,$F198,Административные!$G$25:$G$84,$G198)</f>
        <v>0</v>
      </c>
      <c r="AH198" s="1022">
        <f t="shared" ca="1" si="48"/>
        <v>0</v>
      </c>
      <c r="AI198" s="1022">
        <f ca="1">SUMIFS(Административные!AH$25:AH$84,Административные!$F$25:$F$84,$F198,Административные!$G$25:$G$84,$G198)</f>
        <v>0</v>
      </c>
      <c r="AJ198" s="1022">
        <f ca="1">SUMIFS(Административные!AI$25:AI$84,Административные!$F$25:$F$84,$F198,Административные!$G$25:$G$84,$G198)</f>
        <v>0</v>
      </c>
      <c r="AK198" s="1023"/>
      <c r="AL198" s="1023"/>
      <c r="AM198" s="1023"/>
      <c r="AN198" s="1023"/>
      <c r="AO198" s="1023"/>
      <c r="AP198" s="1023"/>
      <c r="AQ198" s="1023"/>
      <c r="AR198" s="1023"/>
      <c r="AS198" s="1023"/>
      <c r="AT198" s="1022">
        <f ca="1">SUMIFS(Административные!AJ$25:AJ$84,Административные!$F$25:$F$84,$F198,Административные!$G$25:$G$84,$G198)</f>
        <v>0</v>
      </c>
      <c r="AU198" s="1023"/>
      <c r="AV198" s="1023"/>
      <c r="AW198" s="1023"/>
      <c r="AX198" s="1023"/>
      <c r="AY198" s="1023"/>
      <c r="AZ198" s="1023"/>
      <c r="BA198" s="1023"/>
      <c r="BB198" s="1023"/>
      <c r="BC198" s="1023"/>
      <c r="BD198" s="1022">
        <f t="shared" ca="1" si="49"/>
        <v>0</v>
      </c>
      <c r="BE198" s="1023"/>
      <c r="BF198" s="1023"/>
      <c r="BG198" s="1023"/>
      <c r="BH198" s="1023"/>
      <c r="BI198" s="1023"/>
      <c r="BJ198" s="1023"/>
      <c r="BK198" s="1023"/>
      <c r="BL198" s="1023"/>
      <c r="BM198" s="1023"/>
      <c r="BN198" s="1523"/>
      <c r="BO198" s="1525" t="str">
        <f ca="1">IF(IFERROR(INDEX(Административные!$K$26:$L$84,MATCH($F198&amp;"17komm",Административные!$K$26:$K$84,0),2),"")=0,"",IFERROR(INDEX(Административные!$K$26:$L$84,MATCH($F198&amp;"17komm",Административные!$K$26:$K$84,0),2),""))</f>
        <v/>
      </c>
      <c r="BP198" s="1523"/>
      <c r="BQ198" s="1184"/>
      <c r="BR198" s="1184"/>
      <c r="BS198" s="971" t="s">
        <v>1157</v>
      </c>
      <c r="BT198" s="973"/>
      <c r="BU198" s="973"/>
      <c r="BV198" s="888"/>
      <c r="BW198" s="888"/>
    </row>
    <row r="199" spans="1:75" s="1334" customFormat="1" ht="14.25" customHeight="1" x14ac:dyDescent="0.15">
      <c r="A199" s="1184"/>
      <c r="B199" s="887"/>
      <c r="C199" s="26"/>
      <c r="D199" s="26"/>
      <c r="E199" s="545">
        <v>15</v>
      </c>
      <c r="F199" s="3" t="str" cm="1">
        <f t="array" aca="1" ref="F199" ca="1">OFFSET(E199,-1,1)</f>
        <v>1</v>
      </c>
      <c r="G199" s="26" t="s">
        <v>1158</v>
      </c>
      <c r="H199" s="776"/>
      <c r="I199" s="776" t="s">
        <v>1941</v>
      </c>
      <c r="J199" s="26"/>
      <c r="K199" s="294" t="s">
        <v>1941</v>
      </c>
      <c r="L199" s="889"/>
      <c r="M199" s="26"/>
      <c r="N199" s="26"/>
      <c r="O199" s="26"/>
      <c r="P199" s="26"/>
      <c r="Q199" s="26"/>
      <c r="R199" s="26"/>
      <c r="S199" s="26"/>
      <c r="T199" s="388" t="b" cm="1">
        <f t="array" ref="T199">T198</f>
        <v>1</v>
      </c>
      <c r="U199" s="26"/>
      <c r="V199" s="26"/>
      <c r="W199" s="26"/>
      <c r="X199" s="2066"/>
      <c r="Y199" s="1184"/>
      <c r="Z199" s="2012"/>
      <c r="AA199" s="1184"/>
      <c r="AB199" s="218" t="s">
        <v>1942</v>
      </c>
      <c r="AC199" s="688" t="s">
        <v>1159</v>
      </c>
      <c r="AD199" s="218" t="s">
        <v>831</v>
      </c>
      <c r="AE199" s="1022">
        <f ca="1">SUMIFS(Административные!AE$25:AE$84,Административные!$F$25:$F$84,$F199,Административные!$G$25:$G$84,$G199)</f>
        <v>0</v>
      </c>
      <c r="AF199" s="1022">
        <f ca="1">SUMIFS(Административные!AF$25:AF$84,Административные!$F$25:$F$84,$F199,Административные!$G$25:$G$84,$G199)</f>
        <v>0</v>
      </c>
      <c r="AG199" s="1022">
        <f ca="1">SUMIFS(Административные!AG$25:AG$84,Административные!$F$25:$F$84,$F199,Административные!$G$25:$G$84,$G199)</f>
        <v>0</v>
      </c>
      <c r="AH199" s="1022">
        <f t="shared" ca="1" si="48"/>
        <v>0</v>
      </c>
      <c r="AI199" s="1022">
        <f ca="1">SUMIFS(Административные!AH$25:AH$84,Административные!$F$25:$F$84,$F199,Административные!$G$25:$G$84,$G199)</f>
        <v>0</v>
      </c>
      <c r="AJ199" s="1022">
        <f ca="1">SUMIFS(Административные!AI$25:AI$84,Административные!$F$25:$F$84,$F199,Административные!$G$25:$G$84,$G199)</f>
        <v>0</v>
      </c>
      <c r="AK199" s="1023"/>
      <c r="AL199" s="1023"/>
      <c r="AM199" s="1023"/>
      <c r="AN199" s="1023"/>
      <c r="AO199" s="1023"/>
      <c r="AP199" s="1023"/>
      <c r="AQ199" s="1023"/>
      <c r="AR199" s="1023"/>
      <c r="AS199" s="1023"/>
      <c r="AT199" s="1022">
        <f ca="1">SUMIFS(Административные!AJ$25:AJ$84,Административные!$F$25:$F$84,$F199,Административные!$G$25:$G$84,$G199)</f>
        <v>0</v>
      </c>
      <c r="AU199" s="1023"/>
      <c r="AV199" s="1023"/>
      <c r="AW199" s="1023"/>
      <c r="AX199" s="1023"/>
      <c r="AY199" s="1023"/>
      <c r="AZ199" s="1023"/>
      <c r="BA199" s="1023"/>
      <c r="BB199" s="1023"/>
      <c r="BC199" s="1023"/>
      <c r="BD199" s="1022">
        <f t="shared" ca="1" si="49"/>
        <v>0</v>
      </c>
      <c r="BE199" s="1023"/>
      <c r="BF199" s="1023"/>
      <c r="BG199" s="1023"/>
      <c r="BH199" s="1023"/>
      <c r="BI199" s="1023"/>
      <c r="BJ199" s="1023"/>
      <c r="BK199" s="1023"/>
      <c r="BL199" s="1023"/>
      <c r="BM199" s="1023"/>
      <c r="BN199" s="1523"/>
      <c r="BO199" s="1525" t="str">
        <f ca="1">IF(IFERROR(INDEX(Административные!$K$26:$L$84,MATCH($F199&amp;"18komm",Административные!$K$26:$K$84,0),2),"")=0,"",IFERROR(INDEX(Административные!$K$26:$L$84,MATCH($F199&amp;"18komm",Административные!$K$26:$K$84,0),2),""))</f>
        <v/>
      </c>
      <c r="BP199" s="1523"/>
      <c r="BQ199" s="1184"/>
      <c r="BR199" s="1184"/>
      <c r="BS199" s="973" t="s">
        <v>1160</v>
      </c>
      <c r="BT199" s="973"/>
      <c r="BU199" s="973"/>
      <c r="BV199" s="888"/>
      <c r="BW199" s="888"/>
    </row>
    <row r="200" spans="1:75" s="1334" customFormat="1" ht="14.25" customHeight="1" x14ac:dyDescent="0.15">
      <c r="A200" s="1184"/>
      <c r="B200" s="887"/>
      <c r="C200" s="26"/>
      <c r="D200" s="26"/>
      <c r="E200" s="545">
        <v>15</v>
      </c>
      <c r="F200" s="3" t="str" cm="1">
        <f t="array" aca="1" ref="F200" ca="1">OFFSET(E200,-1,1)</f>
        <v>1</v>
      </c>
      <c r="G200" s="26" t="s">
        <v>1161</v>
      </c>
      <c r="H200" s="776"/>
      <c r="I200" s="776" t="s">
        <v>1943</v>
      </c>
      <c r="J200" s="26"/>
      <c r="K200" s="294" t="s">
        <v>1943</v>
      </c>
      <c r="L200" s="889"/>
      <c r="M200" s="26"/>
      <c r="N200" s="26"/>
      <c r="O200" s="26"/>
      <c r="P200" s="26"/>
      <c r="Q200" s="26"/>
      <c r="R200" s="26"/>
      <c r="S200" s="26"/>
      <c r="T200" s="388" t="b" cm="1">
        <f t="array" ref="T200">T199</f>
        <v>1</v>
      </c>
      <c r="U200" s="26"/>
      <c r="V200" s="26"/>
      <c r="W200" s="26"/>
      <c r="X200" s="2066"/>
      <c r="Y200" s="1184"/>
      <c r="Z200" s="2012"/>
      <c r="AA200" s="1184"/>
      <c r="AB200" s="218" t="s">
        <v>1944</v>
      </c>
      <c r="AC200" s="688" t="s">
        <v>1162</v>
      </c>
      <c r="AD200" s="218" t="s">
        <v>831</v>
      </c>
      <c r="AE200" s="1022">
        <f ca="1">SUMIFS(Административные!AE$25:AE$84,Административные!$F$25:$F$84,$F200,Административные!$G$25:$G$84,$G200)</f>
        <v>0</v>
      </c>
      <c r="AF200" s="1022">
        <f ca="1">SUMIFS(Административные!AF$25:AF$84,Административные!$F$25:$F$84,$F200,Административные!$G$25:$G$84,$G200)</f>
        <v>0</v>
      </c>
      <c r="AG200" s="1022">
        <f ca="1">SUMIFS(Административные!AG$25:AG$84,Административные!$F$25:$F$84,$F200,Административные!$G$25:$G$84,$G200)</f>
        <v>0</v>
      </c>
      <c r="AH200" s="1022">
        <f t="shared" ca="1" si="48"/>
        <v>0</v>
      </c>
      <c r="AI200" s="1022">
        <f ca="1">SUMIFS(Административные!AH$25:AH$84,Административные!$F$25:$F$84,$F200,Административные!$G$25:$G$84,$G200)</f>
        <v>0</v>
      </c>
      <c r="AJ200" s="1022">
        <f ca="1">SUMIFS(Административные!AI$25:AI$84,Административные!$F$25:$F$84,$F200,Административные!$G$25:$G$84,$G200)</f>
        <v>0</v>
      </c>
      <c r="AK200" s="1023"/>
      <c r="AL200" s="1023"/>
      <c r="AM200" s="1023"/>
      <c r="AN200" s="1023"/>
      <c r="AO200" s="1023"/>
      <c r="AP200" s="1023"/>
      <c r="AQ200" s="1023"/>
      <c r="AR200" s="1023"/>
      <c r="AS200" s="1023"/>
      <c r="AT200" s="1022">
        <f ca="1">SUMIFS(Административные!AJ$25:AJ$84,Административные!$F$25:$F$84,$F200,Административные!$G$25:$G$84,$G200)</f>
        <v>0</v>
      </c>
      <c r="AU200" s="1023"/>
      <c r="AV200" s="1023"/>
      <c r="AW200" s="1023"/>
      <c r="AX200" s="1023"/>
      <c r="AY200" s="1023"/>
      <c r="AZ200" s="1023"/>
      <c r="BA200" s="1023"/>
      <c r="BB200" s="1023"/>
      <c r="BC200" s="1023"/>
      <c r="BD200" s="1022">
        <f t="shared" ca="1" si="49"/>
        <v>0</v>
      </c>
      <c r="BE200" s="1023"/>
      <c r="BF200" s="1023"/>
      <c r="BG200" s="1023"/>
      <c r="BH200" s="1023"/>
      <c r="BI200" s="1023"/>
      <c r="BJ200" s="1023"/>
      <c r="BK200" s="1023"/>
      <c r="BL200" s="1023"/>
      <c r="BM200" s="1023"/>
      <c r="BN200" s="1523"/>
      <c r="BO200" s="1525" t="str">
        <f ca="1">IF(IFERROR(INDEX(Административные!$K$26:$L$84,MATCH($F200&amp;"11komm",Административные!$K$26:$K$84,0),2),"")=0,"",IFERROR(INDEX(Административные!$K$26:$L$84,MATCH($F200&amp;"11komm",Административные!$K$26:$K$84,0),2),""))</f>
        <v/>
      </c>
      <c r="BP200" s="1523"/>
      <c r="BQ200" s="1184"/>
      <c r="BR200" s="1184"/>
      <c r="BS200" s="973" t="s">
        <v>1163</v>
      </c>
      <c r="BT200" s="973"/>
      <c r="BU200" s="973"/>
      <c r="BV200" s="888"/>
      <c r="BW200" s="888"/>
    </row>
    <row r="201" spans="1:75" s="1334" customFormat="1" ht="14.25" customHeight="1" x14ac:dyDescent="0.15">
      <c r="A201" s="1184"/>
      <c r="B201" s="887"/>
      <c r="C201" s="26"/>
      <c r="D201" s="26"/>
      <c r="E201" s="545">
        <v>15</v>
      </c>
      <c r="F201" s="3" t="str" cm="1">
        <f t="array" aca="1" ref="F201" ca="1">OFFSET(E201,-1,1)</f>
        <v>1</v>
      </c>
      <c r="G201" s="26" t="s">
        <v>1164</v>
      </c>
      <c r="H201" s="776"/>
      <c r="I201" s="776" t="s">
        <v>1945</v>
      </c>
      <c r="J201" s="26"/>
      <c r="K201" s="294" t="s">
        <v>1945</v>
      </c>
      <c r="L201" s="889"/>
      <c r="M201" s="26"/>
      <c r="N201" s="26"/>
      <c r="O201" s="26"/>
      <c r="P201" s="26"/>
      <c r="Q201" s="26"/>
      <c r="R201" s="26"/>
      <c r="S201" s="26"/>
      <c r="T201" s="388" t="b" cm="1">
        <f t="array" ref="T201">T200</f>
        <v>1</v>
      </c>
      <c r="U201" s="26"/>
      <c r="V201" s="26"/>
      <c r="W201" s="26"/>
      <c r="X201" s="2066"/>
      <c r="Y201" s="1184"/>
      <c r="Z201" s="2012"/>
      <c r="AA201" s="1184"/>
      <c r="AB201" s="218" t="s">
        <v>1946</v>
      </c>
      <c r="AC201" s="688" t="s">
        <v>1165</v>
      </c>
      <c r="AD201" s="218" t="s">
        <v>831</v>
      </c>
      <c r="AE201" s="1022">
        <f ca="1">SUMIFS(Административные!AE$25:AE$84,Административные!$F$25:$F$84,$F201,Административные!$G$25:$G$84,$G201)</f>
        <v>0</v>
      </c>
      <c r="AF201" s="1022">
        <f ca="1">SUMIFS(Административные!AF$25:AF$84,Административные!$F$25:$F$84,$F201,Административные!$G$25:$G$84,$G201)</f>
        <v>0</v>
      </c>
      <c r="AG201" s="1022">
        <f ca="1">SUMIFS(Административные!AG$25:AG$84,Административные!$F$25:$F$84,$F201,Административные!$G$25:$G$84,$G201)</f>
        <v>0</v>
      </c>
      <c r="AH201" s="1022">
        <f t="shared" ca="1" si="48"/>
        <v>0</v>
      </c>
      <c r="AI201" s="1022">
        <f ca="1">SUMIFS(Административные!AH$25:AH$84,Административные!$F$25:$F$84,$F201,Административные!$G$25:$G$84,$G201)</f>
        <v>0</v>
      </c>
      <c r="AJ201" s="1022">
        <f ca="1">SUMIFS(Административные!AI$25:AI$84,Административные!$F$25:$F$84,$F201,Административные!$G$25:$G$84,$G201)</f>
        <v>0</v>
      </c>
      <c r="AK201" s="1023"/>
      <c r="AL201" s="1023"/>
      <c r="AM201" s="1023"/>
      <c r="AN201" s="1023"/>
      <c r="AO201" s="1023"/>
      <c r="AP201" s="1023"/>
      <c r="AQ201" s="1023"/>
      <c r="AR201" s="1023"/>
      <c r="AS201" s="1023"/>
      <c r="AT201" s="1022">
        <f ca="1">SUMIFS(Административные!AJ$25:AJ$84,Административные!$F$25:$F$84,$F201,Административные!$G$25:$G$84,$G201)</f>
        <v>0</v>
      </c>
      <c r="AU201" s="1023"/>
      <c r="AV201" s="1023"/>
      <c r="AW201" s="1023"/>
      <c r="AX201" s="1023"/>
      <c r="AY201" s="1023"/>
      <c r="AZ201" s="1023"/>
      <c r="BA201" s="1023"/>
      <c r="BB201" s="1023"/>
      <c r="BC201" s="1023"/>
      <c r="BD201" s="1022">
        <f t="shared" ca="1" si="49"/>
        <v>0</v>
      </c>
      <c r="BE201" s="1023"/>
      <c r="BF201" s="1023"/>
      <c r="BG201" s="1023"/>
      <c r="BH201" s="1023"/>
      <c r="BI201" s="1023"/>
      <c r="BJ201" s="1023"/>
      <c r="BK201" s="1023"/>
      <c r="BL201" s="1023"/>
      <c r="BM201" s="1023"/>
      <c r="BN201" s="1523"/>
      <c r="BO201" s="1525" t="str">
        <f ca="1">IF(IFERROR(INDEX(Административные!$K$26:$L$84,MATCH($F201&amp;"12komm",Административные!$K$26:$K$84,0),2),"")=0,"",IFERROR(INDEX(Административные!$K$26:$L$84,MATCH($F201&amp;"12komm",Административные!$K$26:$K$84,0),2),""))</f>
        <v/>
      </c>
      <c r="BP201" s="1523"/>
      <c r="BQ201" s="1184"/>
      <c r="BR201" s="1184"/>
      <c r="BS201" s="973" t="s">
        <v>1166</v>
      </c>
      <c r="BT201" s="973"/>
      <c r="BU201" s="973"/>
      <c r="BV201" s="888"/>
      <c r="BW201" s="888"/>
    </row>
    <row r="202" spans="1:75" s="1334" customFormat="1" ht="14.25" customHeight="1" x14ac:dyDescent="0.15">
      <c r="A202" s="1184"/>
      <c r="B202" s="887"/>
      <c r="C202" s="26"/>
      <c r="D202" s="26"/>
      <c r="E202" s="545">
        <v>15</v>
      </c>
      <c r="F202" s="3" t="str" cm="1">
        <f t="array" aca="1" ref="F202" ca="1">OFFSET(E202,-1,1)</f>
        <v>1</v>
      </c>
      <c r="G202" s="26" t="s">
        <v>1167</v>
      </c>
      <c r="H202" s="776"/>
      <c r="I202" s="776" t="s">
        <v>1947</v>
      </c>
      <c r="J202" s="26"/>
      <c r="K202" s="294" t="s">
        <v>1947</v>
      </c>
      <c r="L202" s="889"/>
      <c r="M202" s="26"/>
      <c r="N202" s="26"/>
      <c r="O202" s="26"/>
      <c r="P202" s="26"/>
      <c r="Q202" s="26"/>
      <c r="R202" s="26"/>
      <c r="S202" s="26"/>
      <c r="T202" s="388" t="b" cm="1">
        <f t="array" ref="T202">T201</f>
        <v>1</v>
      </c>
      <c r="U202" s="26"/>
      <c r="V202" s="26"/>
      <c r="W202" s="26"/>
      <c r="X202" s="2066"/>
      <c r="Y202" s="1184"/>
      <c r="Z202" s="2012"/>
      <c r="AA202" s="1184"/>
      <c r="AB202" s="218" t="s">
        <v>1948</v>
      </c>
      <c r="AC202" s="688" t="s">
        <v>1168</v>
      </c>
      <c r="AD202" s="218" t="s">
        <v>831</v>
      </c>
      <c r="AE202" s="1022">
        <f ca="1">SUMIFS(Административные!AE$25:AE$84,Административные!$F$25:$F$84,$F202,Административные!$G$25:$G$84,$G202)</f>
        <v>0</v>
      </c>
      <c r="AF202" s="1022">
        <f ca="1">SUMIFS(Административные!AF$25:AF$84,Административные!$F$25:$F$84,$F202,Административные!$G$25:$G$84,$G202)</f>
        <v>0</v>
      </c>
      <c r="AG202" s="1022">
        <f ca="1">SUMIFS(Административные!AG$25:AG$84,Административные!$F$25:$F$84,$F202,Административные!$G$25:$G$84,$G202)</f>
        <v>0</v>
      </c>
      <c r="AH202" s="1022">
        <f t="shared" ca="1" si="48"/>
        <v>0</v>
      </c>
      <c r="AI202" s="1022">
        <f ca="1">SUMIFS(Административные!AH$25:AH$84,Административные!$F$25:$F$84,$F202,Административные!$G$25:$G$84,$G202)</f>
        <v>0</v>
      </c>
      <c r="AJ202" s="1022">
        <f ca="1">SUMIFS(Административные!AI$25:AI$84,Административные!$F$25:$F$84,$F202,Административные!$G$25:$G$84,$G202)</f>
        <v>0</v>
      </c>
      <c r="AK202" s="1023"/>
      <c r="AL202" s="1023"/>
      <c r="AM202" s="1023"/>
      <c r="AN202" s="1023"/>
      <c r="AO202" s="1023"/>
      <c r="AP202" s="1023"/>
      <c r="AQ202" s="1023"/>
      <c r="AR202" s="1023"/>
      <c r="AS202" s="1023"/>
      <c r="AT202" s="1022">
        <f ca="1">SUMIFS(Административные!AJ$25:AJ$84,Административные!$F$25:$F$84,$F202,Административные!$G$25:$G$84,$G202)</f>
        <v>0</v>
      </c>
      <c r="AU202" s="1023"/>
      <c r="AV202" s="1023"/>
      <c r="AW202" s="1023"/>
      <c r="AX202" s="1023"/>
      <c r="AY202" s="1023"/>
      <c r="AZ202" s="1023"/>
      <c r="BA202" s="1023"/>
      <c r="BB202" s="1023"/>
      <c r="BC202" s="1023"/>
      <c r="BD202" s="1022">
        <f t="shared" ca="1" si="49"/>
        <v>0</v>
      </c>
      <c r="BE202" s="1023"/>
      <c r="BF202" s="1023"/>
      <c r="BG202" s="1023"/>
      <c r="BH202" s="1023"/>
      <c r="BI202" s="1023"/>
      <c r="BJ202" s="1023"/>
      <c r="BK202" s="1023"/>
      <c r="BL202" s="1023"/>
      <c r="BM202" s="1023"/>
      <c r="BN202" s="1523"/>
      <c r="BO202" s="1525" t="str">
        <f ca="1">IF(IFERROR(INDEX(Административные!$K$26:$L$84,MATCH($F202&amp;"13komm",Административные!$K$26:$K$84,0),2),"")=0,"",IFERROR(INDEX(Административные!$K$26:$L$84,MATCH($F202&amp;"13komm",Административные!$K$26:$K$84,0),2),""))</f>
        <v/>
      </c>
      <c r="BP202" s="1523"/>
      <c r="BQ202" s="1184"/>
      <c r="BR202" s="1184"/>
      <c r="BS202" s="973" t="s">
        <v>1169</v>
      </c>
      <c r="BT202" s="973"/>
      <c r="BU202" s="973"/>
      <c r="BV202" s="888"/>
      <c r="BW202" s="888"/>
    </row>
    <row r="203" spans="1:75" s="1334" customFormat="1" ht="14.25" customHeight="1" x14ac:dyDescent="0.15">
      <c r="A203" s="1184"/>
      <c r="B203" s="887"/>
      <c r="C203" s="26"/>
      <c r="D203" s="26"/>
      <c r="E203" s="545">
        <v>15</v>
      </c>
      <c r="F203" s="3" t="str" cm="1">
        <f t="array" aca="1" ref="F203" ca="1">OFFSET(E203,-1,1)</f>
        <v>1</v>
      </c>
      <c r="G203" s="26" t="s">
        <v>1170</v>
      </c>
      <c r="H203" s="776"/>
      <c r="I203" s="776" t="s">
        <v>1949</v>
      </c>
      <c r="J203" s="26"/>
      <c r="K203" s="294" t="s">
        <v>1949</v>
      </c>
      <c r="L203" s="889"/>
      <c r="M203" s="26"/>
      <c r="N203" s="26"/>
      <c r="O203" s="26"/>
      <c r="P203" s="26"/>
      <c r="Q203" s="26"/>
      <c r="R203" s="26"/>
      <c r="S203" s="26"/>
      <c r="T203" s="388" t="b" cm="1">
        <f t="array" ref="T203">T202</f>
        <v>1</v>
      </c>
      <c r="U203" s="26"/>
      <c r="V203" s="26"/>
      <c r="W203" s="26"/>
      <c r="X203" s="2066"/>
      <c r="Y203" s="1184"/>
      <c r="Z203" s="2012"/>
      <c r="AA203" s="1184"/>
      <c r="AB203" s="218" t="s">
        <v>1950</v>
      </c>
      <c r="AC203" s="688" t="s">
        <v>1171</v>
      </c>
      <c r="AD203" s="218" t="s">
        <v>831</v>
      </c>
      <c r="AE203" s="707">
        <f ca="1">SUMIFS(Административные!AE$25:AE$84,Административные!$F$25:$F$84,$F203,Административные!$G$25:$G$84,$G203)</f>
        <v>0</v>
      </c>
      <c r="AF203" s="707">
        <f ca="1">SUMIFS(Административные!AF$25:AF$84,Административные!$F$25:$F$84,$F203,Административные!$G$25:$G$84,$G203)</f>
        <v>0</v>
      </c>
      <c r="AG203" s="707">
        <f ca="1">SUMIFS(Административные!AG$25:AG$84,Административные!$F$25:$F$84,$F203,Административные!$G$25:$G$84,$G203)</f>
        <v>0</v>
      </c>
      <c r="AH203" s="687">
        <f t="shared" ca="1" si="48"/>
        <v>0</v>
      </c>
      <c r="AI203" s="707">
        <f ca="1">SUMIFS(Административные!AH$25:AH$84,Административные!$F$25:$F$84,$F203,Административные!$G$25:$G$84,$G203)</f>
        <v>0</v>
      </c>
      <c r="AJ203" s="707">
        <f ca="1">SUMIFS(Административные!AI$25:AI$84,Административные!$F$25:$F$84,$F203,Административные!$G$25:$G$84,$G203)</f>
        <v>0</v>
      </c>
      <c r="AK203" s="683"/>
      <c r="AL203" s="683"/>
      <c r="AM203" s="683"/>
      <c r="AN203" s="683"/>
      <c r="AO203" s="683"/>
      <c r="AP203" s="683"/>
      <c r="AQ203" s="683"/>
      <c r="AR203" s="683"/>
      <c r="AS203" s="683"/>
      <c r="AT203" s="707">
        <f ca="1">SUMIFS(Административные!AJ$25:AJ$84,Административные!$F$25:$F$84,$F203,Административные!$G$25:$G$84,$G203)</f>
        <v>0</v>
      </c>
      <c r="AU203" s="1023"/>
      <c r="AV203" s="1023"/>
      <c r="AW203" s="1023"/>
      <c r="AX203" s="1023"/>
      <c r="AY203" s="1023"/>
      <c r="AZ203" s="1023"/>
      <c r="BA203" s="1023"/>
      <c r="BB203" s="1023"/>
      <c r="BC203" s="1023"/>
      <c r="BD203" s="1022">
        <f t="shared" ca="1" si="49"/>
        <v>0</v>
      </c>
      <c r="BE203" s="1023"/>
      <c r="BF203" s="1023"/>
      <c r="BG203" s="1023"/>
      <c r="BH203" s="1023"/>
      <c r="BI203" s="1023"/>
      <c r="BJ203" s="1023"/>
      <c r="BK203" s="1023"/>
      <c r="BL203" s="1023"/>
      <c r="BM203" s="1023"/>
      <c r="BN203" s="1523"/>
      <c r="BO203" s="1525" t="str">
        <f ca="1">IF(IFERROR(INDEX(Административные!$K$26:$L$84,MATCH($F203&amp;"14komm",Административные!$K$26:$K$84,0),2),"")=0,"",IFERROR(INDEX(Административные!$K$26:$L$84,MATCH($F203&amp;"14komm",Административные!$K$26:$K$84,0),2),""))</f>
        <v/>
      </c>
      <c r="BP203" s="1523"/>
      <c r="BQ203" s="1184"/>
      <c r="BR203" s="1184"/>
      <c r="BS203" s="973" t="s">
        <v>1951</v>
      </c>
      <c r="BT203" s="973"/>
      <c r="BU203" s="973"/>
      <c r="BV203" s="888"/>
      <c r="BW203" s="888"/>
    </row>
    <row r="204" spans="1:75" s="1334" customFormat="1" ht="14.25" customHeight="1" x14ac:dyDescent="0.15">
      <c r="A204" s="1184"/>
      <c r="B204" s="887"/>
      <c r="C204" s="26"/>
      <c r="D204" s="26"/>
      <c r="E204" s="545">
        <v>15</v>
      </c>
      <c r="F204" s="3" t="str" cm="1">
        <f t="array" aca="1" ref="F204" ca="1">OFFSET(E204,-1,1)</f>
        <v>1</v>
      </c>
      <c r="G204" s="26" t="s">
        <v>1173</v>
      </c>
      <c r="H204" s="776"/>
      <c r="I204" s="776" t="s">
        <v>1952</v>
      </c>
      <c r="J204" s="26"/>
      <c r="K204" s="294" t="s">
        <v>1952</v>
      </c>
      <c r="L204" s="889"/>
      <c r="M204" s="26"/>
      <c r="N204" s="26"/>
      <c r="O204" s="26"/>
      <c r="P204" s="26"/>
      <c r="Q204" s="26"/>
      <c r="R204" s="26"/>
      <c r="S204" s="26"/>
      <c r="T204" s="388" t="b" cm="1">
        <f t="array" ref="T204">T203</f>
        <v>1</v>
      </c>
      <c r="U204" s="26"/>
      <c r="V204" s="26"/>
      <c r="W204" s="26"/>
      <c r="X204" s="2066"/>
      <c r="Y204" s="1184"/>
      <c r="Z204" s="2012"/>
      <c r="AA204" s="1184"/>
      <c r="AB204" s="218" t="s">
        <v>1953</v>
      </c>
      <c r="AC204" s="688" t="s">
        <v>1176</v>
      </c>
      <c r="AD204" s="218" t="s">
        <v>831</v>
      </c>
      <c r="AE204" s="1022">
        <f ca="1">SUMIFS(Административные!AE$25:AE$84,Административные!$F$25:$F$84,$F204,Административные!$G$25:$G$84,$G204)</f>
        <v>0</v>
      </c>
      <c r="AF204" s="1022">
        <f ca="1">SUMIFS(Административные!AF$25:AF$84,Административные!$F$25:$F$84,$F204,Административные!$G$25:$G$84,$G204)</f>
        <v>0</v>
      </c>
      <c r="AG204" s="1022">
        <f ca="1">SUMIFS(Административные!AG$25:AG$84,Административные!$F$25:$F$84,$F204,Административные!$G$25:$G$84,$G204)</f>
        <v>0</v>
      </c>
      <c r="AH204" s="1022">
        <f t="shared" ref="AH204:AH235" ca="1" si="51">AG204-AF204</f>
        <v>0</v>
      </c>
      <c r="AI204" s="1022">
        <f ca="1">SUMIFS(Административные!AH$25:AH$84,Административные!$F$25:$F$84,$F204,Административные!$G$25:$G$84,$G204)</f>
        <v>0</v>
      </c>
      <c r="AJ204" s="1022">
        <f ca="1">SUMIFS(Административные!AI$25:AI$84,Административные!$F$25:$F$84,$F204,Административные!$G$25:$G$84,$G204)</f>
        <v>0</v>
      </c>
      <c r="AK204" s="1023"/>
      <c r="AL204" s="1023"/>
      <c r="AM204" s="1023"/>
      <c r="AN204" s="1023"/>
      <c r="AO204" s="1023"/>
      <c r="AP204" s="1023"/>
      <c r="AQ204" s="1023"/>
      <c r="AR204" s="1023"/>
      <c r="AS204" s="1023"/>
      <c r="AT204" s="1022">
        <f ca="1">SUMIFS(Административные!AJ$25:AJ$84,Административные!$F$25:$F$84,$F204,Административные!$G$25:$G$84,$G204)</f>
        <v>0</v>
      </c>
      <c r="AU204" s="1023"/>
      <c r="AV204" s="1023"/>
      <c r="AW204" s="1023"/>
      <c r="AX204" s="1023"/>
      <c r="AY204" s="1023"/>
      <c r="AZ204" s="1023"/>
      <c r="BA204" s="1023"/>
      <c r="BB204" s="1023"/>
      <c r="BC204" s="1023"/>
      <c r="BD204" s="1022">
        <f t="shared" ref="BD204:BD220" ca="1" si="52">IF(AI204=0,0,(AT204-AI204)/AI204*100)</f>
        <v>0</v>
      </c>
      <c r="BE204" s="1023"/>
      <c r="BF204" s="1023"/>
      <c r="BG204" s="1023"/>
      <c r="BH204" s="1023"/>
      <c r="BI204" s="1023"/>
      <c r="BJ204" s="1023"/>
      <c r="BK204" s="1023"/>
      <c r="BL204" s="1023"/>
      <c r="BM204" s="1023"/>
      <c r="BN204" s="1523"/>
      <c r="BO204" s="1525" t="str">
        <f ca="1">IF(IFERROR(INDEX(Административные!$K$26:$L$84,MATCH($F204&amp;"15komm",Административные!$K$26:$K$84,0),2),"")=0,"",IFERROR(INDEX(Административные!$K$26:$L$84,MATCH($F204&amp;"15komm",Административные!$K$26:$K$84,0),2),""))</f>
        <v/>
      </c>
      <c r="BP204" s="1523"/>
      <c r="BQ204" s="1184"/>
      <c r="BR204" s="1184"/>
      <c r="BS204" s="973" t="s">
        <v>1177</v>
      </c>
      <c r="BT204" s="973"/>
      <c r="BU204" s="973"/>
      <c r="BV204" s="888"/>
      <c r="BW204" s="888"/>
    </row>
    <row r="205" spans="1:75" s="1334" customFormat="1" ht="14.25" customHeight="1" x14ac:dyDescent="0.15">
      <c r="A205" s="1184"/>
      <c r="B205" s="887"/>
      <c r="C205" s="26"/>
      <c r="D205" s="26"/>
      <c r="E205" s="545">
        <v>15</v>
      </c>
      <c r="F205" s="3" t="str" cm="1">
        <f t="array" aca="1" ref="F205" ca="1">OFFSET(E205,-1,1)</f>
        <v>1</v>
      </c>
      <c r="G205" s="26" t="s">
        <v>1178</v>
      </c>
      <c r="H205" s="776"/>
      <c r="I205" s="776" t="s">
        <v>1954</v>
      </c>
      <c r="J205" s="26"/>
      <c r="K205" s="294" t="s">
        <v>1954</v>
      </c>
      <c r="L205" s="889"/>
      <c r="M205" s="26"/>
      <c r="N205" s="26"/>
      <c r="O205" s="26"/>
      <c r="P205" s="26"/>
      <c r="Q205" s="26"/>
      <c r="R205" s="26"/>
      <c r="S205" s="26"/>
      <c r="T205" s="388" t="b" cm="1">
        <f t="array" ref="T205">T204</f>
        <v>1</v>
      </c>
      <c r="U205" s="26"/>
      <c r="V205" s="26"/>
      <c r="W205" s="26"/>
      <c r="X205" s="2066"/>
      <c r="Y205" s="1184"/>
      <c r="Z205" s="2012"/>
      <c r="AA205" s="1184"/>
      <c r="AB205" s="218" t="s">
        <v>1955</v>
      </c>
      <c r="AC205" s="688" t="s">
        <v>1181</v>
      </c>
      <c r="AD205" s="218" t="s">
        <v>831</v>
      </c>
      <c r="AE205" s="1022">
        <f ca="1">SUMIFS(Административные!AE$25:AE$84,Административные!$F$25:$F$84,$F205,Административные!$G$25:$G$84,$G205)</f>
        <v>0</v>
      </c>
      <c r="AF205" s="1022">
        <f ca="1">SUMIFS(Административные!AF$25:AF$84,Административные!$F$25:$F$84,$F205,Административные!$G$25:$G$84,$G205)</f>
        <v>0</v>
      </c>
      <c r="AG205" s="1022">
        <f ca="1">SUMIFS(Административные!AG$25:AG$84,Административные!$F$25:$F$84,$F205,Административные!$G$25:$G$84,$G205)</f>
        <v>0</v>
      </c>
      <c r="AH205" s="1022">
        <f t="shared" ca="1" si="51"/>
        <v>0</v>
      </c>
      <c r="AI205" s="1022">
        <f ca="1">SUMIFS(Административные!AH$25:AH$84,Административные!$F$25:$F$84,$F205,Административные!$G$25:$G$84,$G205)</f>
        <v>0</v>
      </c>
      <c r="AJ205" s="1022">
        <f ca="1">SUMIFS(Административные!AI$25:AI$84,Административные!$F$25:$F$84,$F205,Административные!$G$25:$G$84,$G205)</f>
        <v>0</v>
      </c>
      <c r="AK205" s="1023"/>
      <c r="AL205" s="1023"/>
      <c r="AM205" s="1023"/>
      <c r="AN205" s="1023"/>
      <c r="AO205" s="1023"/>
      <c r="AP205" s="1023"/>
      <c r="AQ205" s="1023"/>
      <c r="AR205" s="1023"/>
      <c r="AS205" s="1023"/>
      <c r="AT205" s="1022">
        <f ca="1">SUMIFS(Административные!AJ$25:AJ$84,Административные!$F$25:$F$84,$F205,Административные!$G$25:$G$84,$G205)</f>
        <v>0</v>
      </c>
      <c r="AU205" s="1023"/>
      <c r="AV205" s="1023"/>
      <c r="AW205" s="1023"/>
      <c r="AX205" s="1023"/>
      <c r="AY205" s="1023"/>
      <c r="AZ205" s="1023"/>
      <c r="BA205" s="1023"/>
      <c r="BB205" s="1023"/>
      <c r="BC205" s="1023"/>
      <c r="BD205" s="1022">
        <f t="shared" ca="1" si="52"/>
        <v>0</v>
      </c>
      <c r="BE205" s="1023"/>
      <c r="BF205" s="1023"/>
      <c r="BG205" s="1023"/>
      <c r="BH205" s="1023"/>
      <c r="BI205" s="1023"/>
      <c r="BJ205" s="1023"/>
      <c r="BK205" s="1023"/>
      <c r="BL205" s="1023"/>
      <c r="BM205" s="1023"/>
      <c r="BN205" s="1523"/>
      <c r="BO205" s="1525" t="str">
        <f ca="1">IF(IFERROR(INDEX(Административные!$K$26:$L$84,MATCH($F205&amp;"16komm",Административные!$K$26:$K$84,0),2),"")=0,"",IFERROR(INDEX(Административные!$K$26:$L$84,MATCH($F205&amp;"16komm",Административные!$K$26:$K$84,0),2),""))</f>
        <v/>
      </c>
      <c r="BP205" s="1523"/>
      <c r="BQ205" s="1184"/>
      <c r="BR205" s="1184"/>
      <c r="BS205" s="973" t="s">
        <v>1956</v>
      </c>
      <c r="BT205" s="973"/>
      <c r="BU205" s="973"/>
      <c r="BV205" s="888"/>
      <c r="BW205" s="888"/>
    </row>
    <row r="206" spans="1:75" s="1334" customFormat="1" ht="159.75" customHeight="1" x14ac:dyDescent="0.25">
      <c r="A206" s="1184"/>
      <c r="B206" s="887"/>
      <c r="C206" s="26"/>
      <c r="D206" s="26"/>
      <c r="E206" s="545">
        <v>22.5</v>
      </c>
      <c r="F206" s="3" t="str" cm="1">
        <f t="array" aca="1" ref="F206" ca="1">OFFSET(E206,-1,1)</f>
        <v>1</v>
      </c>
      <c r="G206" s="26"/>
      <c r="H206" s="776"/>
      <c r="I206" s="776" t="s">
        <v>1329</v>
      </c>
      <c r="J206" s="26"/>
      <c r="K206" s="294" t="s">
        <v>1329</v>
      </c>
      <c r="L206" s="889" t="s">
        <v>942</v>
      </c>
      <c r="M206" s="26"/>
      <c r="N206" s="26"/>
      <c r="O206" s="26"/>
      <c r="P206" s="26"/>
      <c r="Q206" s="26"/>
      <c r="R206" s="26"/>
      <c r="S206" s="26"/>
      <c r="T206" s="388" t="b" cm="1">
        <f t="array" ref="T206">T205</f>
        <v>1</v>
      </c>
      <c r="U206" s="26"/>
      <c r="V206" s="26"/>
      <c r="W206" s="26"/>
      <c r="X206" s="2066"/>
      <c r="Y206" s="1184"/>
      <c r="Z206" s="2012"/>
      <c r="AA206" s="1184"/>
      <c r="AB206" s="218" t="s">
        <v>1036</v>
      </c>
      <c r="AC206" s="685" t="s">
        <v>1957</v>
      </c>
      <c r="AD206" s="218" t="s">
        <v>831</v>
      </c>
      <c r="AE206" s="1024">
        <f ca="1">AE207+AE208</f>
        <v>8503.6398699234996</v>
      </c>
      <c r="AF206" s="1024">
        <f ca="1">AF207+AF208</f>
        <v>0</v>
      </c>
      <c r="AG206" s="1024">
        <f ca="1">AG207+AG208</f>
        <v>0</v>
      </c>
      <c r="AH206" s="1022">
        <f t="shared" ca="1" si="51"/>
        <v>0</v>
      </c>
      <c r="AI206" s="1024">
        <f ca="1">AI207+AI208</f>
        <v>0</v>
      </c>
      <c r="AJ206" s="1024">
        <f ca="1">AJ207+AJ208</f>
        <v>0</v>
      </c>
      <c r="AK206" s="1023"/>
      <c r="AL206" s="1023"/>
      <c r="AM206" s="1023"/>
      <c r="AN206" s="1023"/>
      <c r="AO206" s="1023"/>
      <c r="AP206" s="1023"/>
      <c r="AQ206" s="1023"/>
      <c r="AR206" s="1023"/>
      <c r="AS206" s="1023"/>
      <c r="AT206" s="1024">
        <f ca="1">AT207+AT208</f>
        <v>0</v>
      </c>
      <c r="AU206" s="1023"/>
      <c r="AV206" s="1023"/>
      <c r="AW206" s="1023"/>
      <c r="AX206" s="1023"/>
      <c r="AY206" s="1023"/>
      <c r="AZ206" s="1023"/>
      <c r="BA206" s="1023"/>
      <c r="BB206" s="1023"/>
      <c r="BC206" s="1023"/>
      <c r="BD206" s="1022">
        <f t="shared" ca="1" si="52"/>
        <v>0</v>
      </c>
      <c r="BE206" s="1023"/>
      <c r="BF206" s="1023"/>
      <c r="BG206" s="1023"/>
      <c r="BH206" s="1023"/>
      <c r="BI206" s="1023"/>
      <c r="BJ206" s="1023"/>
      <c r="BK206" s="1023"/>
      <c r="BL206" s="1023"/>
      <c r="BM206" s="1023"/>
      <c r="BN206" s="1523" t="s">
        <v>2170</v>
      </c>
      <c r="BO206" s="1523"/>
      <c r="BP206" s="1523" t="s">
        <v>2171</v>
      </c>
      <c r="BQ206" s="1184"/>
      <c r="BR206" s="1184"/>
      <c r="BS206" s="971" t="s">
        <v>1764</v>
      </c>
      <c r="BT206" s="973"/>
      <c r="BU206" s="973"/>
      <c r="BV206" s="888"/>
      <c r="BW206" s="888"/>
    </row>
    <row r="207" spans="1:75" s="1334" customFormat="1" ht="159.75" customHeight="1" x14ac:dyDescent="0.25">
      <c r="A207" s="1184"/>
      <c r="B207" s="887"/>
      <c r="C207" s="26"/>
      <c r="D207" s="26"/>
      <c r="E207" s="545">
        <v>15</v>
      </c>
      <c r="F207" s="3" t="str" cm="1">
        <f t="array" aca="1" ref="F207" ca="1">OFFSET(E207,-1,1)</f>
        <v>1</v>
      </c>
      <c r="G207" s="26" t="s">
        <v>1127</v>
      </c>
      <c r="H207" s="776"/>
      <c r="I207" s="776" t="s">
        <v>1958</v>
      </c>
      <c r="J207" s="26"/>
      <c r="K207" s="294" t="s">
        <v>1958</v>
      </c>
      <c r="L207" s="889" t="s">
        <v>530</v>
      </c>
      <c r="M207" s="26"/>
      <c r="N207" s="26"/>
      <c r="O207" s="26"/>
      <c r="P207" s="26"/>
      <c r="Q207" s="26"/>
      <c r="R207" s="26"/>
      <c r="S207" s="26"/>
      <c r="T207" s="388" t="b" cm="1">
        <f t="array" ref="T207">T206</f>
        <v>1</v>
      </c>
      <c r="U207" s="26"/>
      <c r="V207" s="26"/>
      <c r="W207" s="26"/>
      <c r="X207" s="2066"/>
      <c r="Y207" s="1184"/>
      <c r="Z207" s="2012"/>
      <c r="AA207" s="1184"/>
      <c r="AB207" s="218" t="s">
        <v>1959</v>
      </c>
      <c r="AC207" s="688" t="s">
        <v>1765</v>
      </c>
      <c r="AD207" s="691" t="s">
        <v>831</v>
      </c>
      <c r="AE207" s="1022">
        <f ca="1">SUMIFS(ФОТ!AE$25:AE$138,ФОТ!$F$25:$F$138,$F207,ФОТ!$G$25:$G$138,$G207)</f>
        <v>6531.2134177600001</v>
      </c>
      <c r="AF207" s="1022">
        <f ca="1">SUMIFS(ФОТ!AF$25:AF$138,ФОТ!$F$25:$F$138,$F207,ФОТ!$G$25:$G$138,$G207)</f>
        <v>0</v>
      </c>
      <c r="AG207" s="1022">
        <f ca="1">SUMIFS(ФОТ!AG$25:AG$138,ФОТ!$F$25:$F$138,$F207,ФОТ!$G$25:$G$138,$G207)</f>
        <v>0</v>
      </c>
      <c r="AH207" s="1022">
        <f t="shared" ca="1" si="51"/>
        <v>0</v>
      </c>
      <c r="AI207" s="1022">
        <f ca="1">SUMIFS(ФОТ!AH$25:AH$138,ФОТ!$F$25:$F$138,$F207,ФОТ!$G$25:$G$138,$G207)</f>
        <v>0</v>
      </c>
      <c r="AJ207" s="1022">
        <f ca="1">SUMIFS(ФОТ!AI$25:AI$138,ФОТ!$F$25:$F$138,$F207,ФОТ!$G$25:$G$138,$G207)</f>
        <v>0</v>
      </c>
      <c r="AK207" s="1023"/>
      <c r="AL207" s="1023"/>
      <c r="AM207" s="1023"/>
      <c r="AN207" s="1023"/>
      <c r="AO207" s="1023"/>
      <c r="AP207" s="1023"/>
      <c r="AQ207" s="1023"/>
      <c r="AR207" s="1023"/>
      <c r="AS207" s="1023"/>
      <c r="AT207" s="1022">
        <f ca="1">SUMIFS(ФОТ!AJ$25:AJ$138,ФОТ!$F$25:$F$138,$F207,ФОТ!$G$25:$G$138,$G207)</f>
        <v>0</v>
      </c>
      <c r="AU207" s="1023"/>
      <c r="AV207" s="1023"/>
      <c r="AW207" s="1023"/>
      <c r="AX207" s="1023"/>
      <c r="AY207" s="1023"/>
      <c r="AZ207" s="1023"/>
      <c r="BA207" s="1023"/>
      <c r="BB207" s="1023"/>
      <c r="BC207" s="1023"/>
      <c r="BD207" s="1022">
        <f t="shared" ca="1" si="52"/>
        <v>0</v>
      </c>
      <c r="BE207" s="1023"/>
      <c r="BF207" s="1023"/>
      <c r="BG207" s="1023"/>
      <c r="BH207" s="1023"/>
      <c r="BI207" s="1023"/>
      <c r="BJ207" s="1023"/>
      <c r="BK207" s="1023"/>
      <c r="BL207" s="1023"/>
      <c r="BM207" s="1023"/>
      <c r="BN207" s="1523" t="s">
        <v>2170</v>
      </c>
      <c r="BO207" s="1525" t="str">
        <f ca="1">IF(IFERROR(INDEX(ФОТ!$K$26:$L$138,MATCH($F207&amp;"5komm",ФОТ!$K$26:$K$138,0),2),"")=0,"",IFERROR(INDEX(ФОТ!$K$26:$L$138,MATCH($F207&amp;"5komm",ФОТ!$K$26:$K$138,0),2),""))</f>
        <v/>
      </c>
      <c r="BP207" s="1523" t="s">
        <v>2171</v>
      </c>
      <c r="BQ207" s="1184"/>
      <c r="BR207" s="1184"/>
      <c r="BS207" s="971" t="s">
        <v>1154</v>
      </c>
      <c r="BT207" s="973"/>
      <c r="BU207" s="973"/>
      <c r="BV207" s="888"/>
      <c r="BW207" s="888"/>
    </row>
    <row r="208" spans="1:75" s="1334" customFormat="1" ht="159.75" customHeight="1" x14ac:dyDescent="0.25">
      <c r="A208" s="1184"/>
      <c r="B208" s="887"/>
      <c r="C208" s="26"/>
      <c r="D208" s="26"/>
      <c r="E208" s="545">
        <v>22.5</v>
      </c>
      <c r="F208" s="3" t="str" cm="1">
        <f t="array" aca="1" ref="F208" ca="1">OFFSET(E208,-1,1)</f>
        <v>1</v>
      </c>
      <c r="G208" s="26" t="s">
        <v>1132</v>
      </c>
      <c r="H208" s="776"/>
      <c r="I208" s="776" t="s">
        <v>1960</v>
      </c>
      <c r="J208" s="26"/>
      <c r="K208" s="294" t="s">
        <v>1960</v>
      </c>
      <c r="L208" s="889" t="s">
        <v>535</v>
      </c>
      <c r="M208" s="26"/>
      <c r="N208" s="26"/>
      <c r="O208" s="26"/>
      <c r="P208" s="26"/>
      <c r="Q208" s="26"/>
      <c r="R208" s="26"/>
      <c r="S208" s="26"/>
      <c r="T208" s="388" t="b" cm="1">
        <f t="array" ref="T208">T207</f>
        <v>1</v>
      </c>
      <c r="U208" s="26"/>
      <c r="V208" s="26"/>
      <c r="W208" s="26"/>
      <c r="X208" s="2066"/>
      <c r="Y208" s="1184"/>
      <c r="Z208" s="2012"/>
      <c r="AA208" s="1184"/>
      <c r="AB208" s="218" t="s">
        <v>1961</v>
      </c>
      <c r="AC208" s="688" t="s">
        <v>1962</v>
      </c>
      <c r="AD208" s="218" t="s">
        <v>831</v>
      </c>
      <c r="AE208" s="1022">
        <f ca="1">SUMIFS(ФОТ!AE$25:AE$138,ФОТ!$F$25:$F$138,$F208,ФОТ!$G$25:$G$138,$G208)</f>
        <v>1972.4264521635</v>
      </c>
      <c r="AF208" s="1022">
        <f ca="1">SUMIFS(ФОТ!AF$25:AF$138,ФОТ!$F$25:$F$138,$F208,ФОТ!$G$25:$G$138,$G208)</f>
        <v>0</v>
      </c>
      <c r="AG208" s="1022">
        <f ca="1">SUMIFS(ФОТ!AG$25:AG$138,ФОТ!$F$25:$F$138,$F208,ФОТ!$G$25:$G$138,$G208)</f>
        <v>0</v>
      </c>
      <c r="AH208" s="1022">
        <f t="shared" ca="1" si="51"/>
        <v>0</v>
      </c>
      <c r="AI208" s="1022">
        <f ca="1">SUMIFS(ФОТ!AH$25:AH$138,ФОТ!$F$25:$F$138,$F208,ФОТ!$G$25:$G$138,$G208)</f>
        <v>0</v>
      </c>
      <c r="AJ208" s="1022">
        <f ca="1">SUMIFS(ФОТ!AI$25:AI$138,ФОТ!$F$25:$F$138,$F208,ФОТ!$G$25:$G$138,$G208)</f>
        <v>0</v>
      </c>
      <c r="AK208" s="1023"/>
      <c r="AL208" s="1023"/>
      <c r="AM208" s="1023"/>
      <c r="AN208" s="1023"/>
      <c r="AO208" s="1023"/>
      <c r="AP208" s="1023"/>
      <c r="AQ208" s="1023"/>
      <c r="AR208" s="1023"/>
      <c r="AS208" s="1023"/>
      <c r="AT208" s="1022">
        <f ca="1">SUMIFS(ФОТ!AJ$25:AJ$138,ФОТ!$F$25:$F$138,$F208,ФОТ!$G$25:$G$138,$G208)</f>
        <v>0</v>
      </c>
      <c r="AU208" s="1023"/>
      <c r="AV208" s="1023"/>
      <c r="AW208" s="1023"/>
      <c r="AX208" s="1023"/>
      <c r="AY208" s="1023"/>
      <c r="AZ208" s="1023"/>
      <c r="BA208" s="1023"/>
      <c r="BB208" s="1023"/>
      <c r="BC208" s="1023"/>
      <c r="BD208" s="1022">
        <f t="shared" ca="1" si="52"/>
        <v>0</v>
      </c>
      <c r="BE208" s="1023"/>
      <c r="BF208" s="1023"/>
      <c r="BG208" s="1023"/>
      <c r="BH208" s="1023"/>
      <c r="BI208" s="1023"/>
      <c r="BJ208" s="1023"/>
      <c r="BK208" s="1023"/>
      <c r="BL208" s="1023"/>
      <c r="BM208" s="1023"/>
      <c r="BN208" s="1523" t="s">
        <v>2170</v>
      </c>
      <c r="BO208" s="1525" t="str">
        <f ca="1">IF(IFERROR(INDEX(ФОТ!$K$26:$L$138,MATCH($F208&amp;"6komm",ФОТ!$K$26:$K$138,0),2),"")=0,"",IFERROR(INDEX(ФОТ!$K$26:$L$138,MATCH($F208&amp;"6komm",ФОТ!$K$26:$K$138,0),2),""))</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BP208" s="1523" t="s">
        <v>2171</v>
      </c>
      <c r="BQ208" s="1184"/>
      <c r="BR208" s="1184"/>
      <c r="BS208" s="971" t="s">
        <v>1767</v>
      </c>
      <c r="BT208" s="973"/>
      <c r="BU208" s="973"/>
      <c r="BV208" s="888"/>
      <c r="BW208" s="888"/>
    </row>
    <row r="209" spans="1:75" s="1334" customFormat="1" ht="32.25" customHeight="1" x14ac:dyDescent="0.25">
      <c r="A209" s="1184"/>
      <c r="B209" s="887"/>
      <c r="C209" s="26"/>
      <c r="D209" s="26"/>
      <c r="E209" s="545">
        <v>33.75</v>
      </c>
      <c r="F209" s="3" t="str" cm="1">
        <f t="array" aca="1" ref="F209" ca="1">OFFSET(E209,-1,1)</f>
        <v>1</v>
      </c>
      <c r="G209" s="767" t="s">
        <v>1183</v>
      </c>
      <c r="H209" s="776"/>
      <c r="I209" s="776" t="s">
        <v>1332</v>
      </c>
      <c r="J209" s="26"/>
      <c r="K209" s="294" t="s">
        <v>1332</v>
      </c>
      <c r="L209" s="889" t="s">
        <v>944</v>
      </c>
      <c r="M209" s="26"/>
      <c r="N209" s="26"/>
      <c r="O209" s="26"/>
      <c r="P209" s="26"/>
      <c r="Q209" s="26"/>
      <c r="R209" s="26"/>
      <c r="S209" s="26"/>
      <c r="T209" s="388" t="b" cm="1">
        <f t="array" ref="T209">T208</f>
        <v>1</v>
      </c>
      <c r="U209" s="26"/>
      <c r="V209" s="26"/>
      <c r="W209" s="26"/>
      <c r="X209" s="2066"/>
      <c r="Y209" s="1184"/>
      <c r="Z209" s="2012"/>
      <c r="AA209" s="1184"/>
      <c r="AB209" s="218" t="s">
        <v>1333</v>
      </c>
      <c r="AC209" s="685" t="s">
        <v>1963</v>
      </c>
      <c r="AD209" s="218" t="s">
        <v>831</v>
      </c>
      <c r="AE209" s="1022">
        <f ca="1">SUMIFS(Административные!AE$25:AE$84,Административные!$F$25:$F$84,$F209,Административные!$G$25:$G$84,$G209)</f>
        <v>0</v>
      </c>
      <c r="AF209" s="1022">
        <f ca="1">SUMIFS(Административные!AF$25:AF$84,Административные!$F$25:$F$84,$F209,Административные!$G$25:$G$84,$G209)</f>
        <v>0</v>
      </c>
      <c r="AG209" s="1022">
        <f ca="1">SUMIFS(Административные!AG$25:AG$84,Административные!$F$25:$F$84,$F209,Административные!$G$25:$G$84,$G209)</f>
        <v>0</v>
      </c>
      <c r="AH209" s="1022">
        <f t="shared" ca="1" si="51"/>
        <v>0</v>
      </c>
      <c r="AI209" s="1022">
        <f ca="1">SUMIFS(Административные!AH$25:AH$84,Административные!$F$25:$F$84,$F209,Административные!$G$25:$G$84,$G209)</f>
        <v>0</v>
      </c>
      <c r="AJ209" s="1022">
        <f ca="1">SUMIFS(Административные!AI$25:AI$84,Административные!$F$25:$F$84,$F209,Административные!$G$25:$G$84,$G209)</f>
        <v>0</v>
      </c>
      <c r="AK209" s="1023"/>
      <c r="AL209" s="1023"/>
      <c r="AM209" s="1023"/>
      <c r="AN209" s="1023"/>
      <c r="AO209" s="1023"/>
      <c r="AP209" s="1023"/>
      <c r="AQ209" s="1023"/>
      <c r="AR209" s="1023"/>
      <c r="AS209" s="1023"/>
      <c r="AT209" s="1022">
        <f ca="1">SUMIFS(Административные!AJ$25:AJ$84,Административные!$F$25:$F$84,$F209,Административные!$G$25:$G$84,$G209)</f>
        <v>0</v>
      </c>
      <c r="AU209" s="1023"/>
      <c r="AV209" s="1023"/>
      <c r="AW209" s="1023"/>
      <c r="AX209" s="1023"/>
      <c r="AY209" s="1023"/>
      <c r="AZ209" s="1023"/>
      <c r="BA209" s="1023"/>
      <c r="BB209" s="1023"/>
      <c r="BC209" s="1023"/>
      <c r="BD209" s="1022">
        <f t="shared" ca="1" si="52"/>
        <v>0</v>
      </c>
      <c r="BE209" s="1023"/>
      <c r="BF209" s="1023"/>
      <c r="BG209" s="1023"/>
      <c r="BH209" s="1023"/>
      <c r="BI209" s="1023"/>
      <c r="BJ209" s="1023"/>
      <c r="BK209" s="1023"/>
      <c r="BL209" s="1023"/>
      <c r="BM209" s="1023"/>
      <c r="BN209" s="1523"/>
      <c r="BO209" s="1525" t="str">
        <f ca="1">IF(IFERROR(INDEX(Административные!$K$26:$L$84,MATCH($F209&amp;"2komm",Административные!$K$26:$K$84,0),2),"")=0,"",IFERROR(INDEX(Административные!$K$26:$L$84,MATCH($F209&amp;"2komm",Административные!$K$26:$K$84,0),2),""))</f>
        <v/>
      </c>
      <c r="BP209" s="1523"/>
      <c r="BQ209" s="1184"/>
      <c r="BR209" s="1184"/>
      <c r="BS209" s="971" t="s">
        <v>1185</v>
      </c>
      <c r="BT209" s="973"/>
      <c r="BU209" s="973"/>
      <c r="BV209" s="888"/>
      <c r="BW209" s="888"/>
    </row>
    <row r="210" spans="1:75" s="1334" customFormat="1" ht="14.25" customHeight="1" x14ac:dyDescent="0.25">
      <c r="A210" s="1184"/>
      <c r="B210" s="887"/>
      <c r="C210" s="26"/>
      <c r="D210" s="26"/>
      <c r="E210" s="545">
        <v>15</v>
      </c>
      <c r="F210" s="3" t="str" cm="1">
        <f t="array" aca="1" ref="F210" ca="1">OFFSET(E210,-1,1)</f>
        <v>1</v>
      </c>
      <c r="G210" s="767" t="s">
        <v>1186</v>
      </c>
      <c r="H210" s="776"/>
      <c r="I210" s="776" t="s">
        <v>1336</v>
      </c>
      <c r="J210" s="26"/>
      <c r="K210" s="294" t="s">
        <v>1336</v>
      </c>
      <c r="L210" s="889" t="s">
        <v>946</v>
      </c>
      <c r="M210" s="26"/>
      <c r="N210" s="26"/>
      <c r="O210" s="26"/>
      <c r="P210" s="26"/>
      <c r="Q210" s="26"/>
      <c r="R210" s="26"/>
      <c r="S210" s="26"/>
      <c r="T210" s="388" t="b" cm="1">
        <f t="array" ref="T210">T209</f>
        <v>1</v>
      </c>
      <c r="U210" s="26"/>
      <c r="V210" s="26"/>
      <c r="W210" s="26"/>
      <c r="X210" s="2066"/>
      <c r="Y210" s="1184"/>
      <c r="Z210" s="2012"/>
      <c r="AA210" s="1184"/>
      <c r="AB210" s="218" t="s">
        <v>1337</v>
      </c>
      <c r="AC210" s="685" t="s">
        <v>1964</v>
      </c>
      <c r="AD210" s="218" t="s">
        <v>831</v>
      </c>
      <c r="AE210" s="1022">
        <f ca="1">SUMIFS(Административные!AE$25:AE$84,Административные!$F$25:$F$84,$F210,Административные!$G$25:$G$84,$G210)</f>
        <v>0</v>
      </c>
      <c r="AF210" s="1022">
        <f ca="1">SUMIFS(Административные!AF$25:AF$84,Административные!$F$25:$F$84,$F210,Административные!$G$25:$G$84,$G210)</f>
        <v>0</v>
      </c>
      <c r="AG210" s="1022">
        <f ca="1">SUMIFS(Административные!AG$25:AG$84,Административные!$F$25:$F$84,$F210,Административные!$G$25:$G$84,$G210)</f>
        <v>0</v>
      </c>
      <c r="AH210" s="1022">
        <f t="shared" ca="1" si="51"/>
        <v>0</v>
      </c>
      <c r="AI210" s="1022">
        <f ca="1">SUMIFS(Административные!AH$25:AH$84,Административные!$F$25:$F$84,$F210,Административные!$G$25:$G$84,$G210)</f>
        <v>0</v>
      </c>
      <c r="AJ210" s="1022">
        <f ca="1">SUMIFS(Административные!AI$25:AI$84,Административные!$F$25:$F$84,$F210,Административные!$G$25:$G$84,$G210)</f>
        <v>0</v>
      </c>
      <c r="AK210" s="1023"/>
      <c r="AL210" s="1023"/>
      <c r="AM210" s="1023"/>
      <c r="AN210" s="1023"/>
      <c r="AO210" s="1023"/>
      <c r="AP210" s="1023"/>
      <c r="AQ210" s="1023"/>
      <c r="AR210" s="1023"/>
      <c r="AS210" s="1023"/>
      <c r="AT210" s="1022">
        <f ca="1">SUMIFS(Административные!AJ$25:AJ$84,Административные!$F$25:$F$84,$F210,Административные!$G$25:$G$84,$G210)</f>
        <v>0</v>
      </c>
      <c r="AU210" s="1023"/>
      <c r="AV210" s="1023"/>
      <c r="AW210" s="1023"/>
      <c r="AX210" s="1023"/>
      <c r="AY210" s="1023"/>
      <c r="AZ210" s="1023"/>
      <c r="BA210" s="1023"/>
      <c r="BB210" s="1023"/>
      <c r="BC210" s="1023"/>
      <c r="BD210" s="1022">
        <f t="shared" ca="1" si="52"/>
        <v>0</v>
      </c>
      <c r="BE210" s="1023"/>
      <c r="BF210" s="1023"/>
      <c r="BG210" s="1023"/>
      <c r="BH210" s="1023"/>
      <c r="BI210" s="1023"/>
      <c r="BJ210" s="1023"/>
      <c r="BK210" s="1023"/>
      <c r="BL210" s="1023"/>
      <c r="BM210" s="1023"/>
      <c r="BN210" s="1523"/>
      <c r="BO210" s="1525" t="str">
        <f ca="1">IF(IFERROR(INDEX(Административные!$K$26:$L$84,MATCH($F210&amp;"3komm",Административные!$K$26:$K$84,0),2),"")=0,"",IFERROR(INDEX(Административные!$K$26:$L$84,MATCH($F210&amp;"3komm",Административные!$K$26:$K$84,0),2),""))</f>
        <v/>
      </c>
      <c r="BP210" s="1523"/>
      <c r="BQ210" s="1184"/>
      <c r="BR210" s="1184"/>
      <c r="BS210" s="971" t="s">
        <v>1188</v>
      </c>
      <c r="BT210" s="973"/>
      <c r="BU210" s="973"/>
      <c r="BV210" s="888"/>
      <c r="BW210" s="888"/>
    </row>
    <row r="211" spans="1:75" s="1334" customFormat="1" ht="14.25" customHeight="1" x14ac:dyDescent="0.25">
      <c r="A211" s="1184"/>
      <c r="B211" s="887"/>
      <c r="C211" s="26"/>
      <c r="D211" s="26"/>
      <c r="E211" s="545">
        <v>15</v>
      </c>
      <c r="F211" s="3" t="str" cm="1">
        <f t="array" aca="1" ref="F211" ca="1">OFFSET(E211,-1,1)</f>
        <v>1</v>
      </c>
      <c r="G211" s="767" t="s">
        <v>1189</v>
      </c>
      <c r="H211" s="776"/>
      <c r="I211" s="776" t="s">
        <v>1965</v>
      </c>
      <c r="J211" s="26"/>
      <c r="K211" s="294" t="s">
        <v>1965</v>
      </c>
      <c r="L211" s="889" t="s">
        <v>949</v>
      </c>
      <c r="M211" s="26"/>
      <c r="N211" s="26"/>
      <c r="O211" s="26"/>
      <c r="P211" s="26"/>
      <c r="Q211" s="26"/>
      <c r="R211" s="26"/>
      <c r="S211" s="26"/>
      <c r="T211" s="388" t="b" cm="1">
        <f t="array" ref="T211">T210</f>
        <v>1</v>
      </c>
      <c r="U211" s="26"/>
      <c r="V211" s="26"/>
      <c r="W211" s="26"/>
      <c r="X211" s="2066"/>
      <c r="Y211" s="1184"/>
      <c r="Z211" s="2012"/>
      <c r="AA211" s="1184"/>
      <c r="AB211" s="218" t="s">
        <v>1966</v>
      </c>
      <c r="AC211" s="685" t="s">
        <v>1967</v>
      </c>
      <c r="AD211" s="218" t="s">
        <v>831</v>
      </c>
      <c r="AE211" s="1022">
        <f ca="1">SUMIFS(Административные!AE$25:AE$84,Административные!$F$25:$F$84,$F211,Административные!$G$25:$G$84,$G211)</f>
        <v>0</v>
      </c>
      <c r="AF211" s="1022">
        <f ca="1">SUMIFS(Административные!AF$25:AF$84,Административные!$F$25:$F$84,$F211,Административные!$G$25:$G$84,$G211)</f>
        <v>0</v>
      </c>
      <c r="AG211" s="1022">
        <f ca="1">SUMIFS(Административные!AG$25:AG$84,Административные!$F$25:$F$84,$F211,Административные!$G$25:$G$84,$G211)</f>
        <v>0</v>
      </c>
      <c r="AH211" s="1022">
        <f t="shared" ca="1" si="51"/>
        <v>0</v>
      </c>
      <c r="AI211" s="1022">
        <f ca="1">SUMIFS(Административные!AH$25:AH$84,Административные!$F$25:$F$84,$F211,Административные!$G$25:$G$84,$G211)</f>
        <v>0</v>
      </c>
      <c r="AJ211" s="1022">
        <f ca="1">SUMIFS(Административные!AI$25:AI$84,Административные!$F$25:$F$84,$F211,Административные!$G$25:$G$84,$G211)</f>
        <v>0</v>
      </c>
      <c r="AK211" s="1023"/>
      <c r="AL211" s="1023"/>
      <c r="AM211" s="1023"/>
      <c r="AN211" s="1023"/>
      <c r="AO211" s="1023"/>
      <c r="AP211" s="1023"/>
      <c r="AQ211" s="1023"/>
      <c r="AR211" s="1023"/>
      <c r="AS211" s="1023"/>
      <c r="AT211" s="1022">
        <f ca="1">SUMIFS(Административные!AJ$25:AJ$84,Административные!$F$25:$F$84,$F211,Административные!$G$25:$G$84,$G211)</f>
        <v>0</v>
      </c>
      <c r="AU211" s="1023"/>
      <c r="AV211" s="1023"/>
      <c r="AW211" s="1023"/>
      <c r="AX211" s="1023"/>
      <c r="AY211" s="1023"/>
      <c r="AZ211" s="1023"/>
      <c r="BA211" s="1023"/>
      <c r="BB211" s="1023"/>
      <c r="BC211" s="1023"/>
      <c r="BD211" s="1022">
        <f t="shared" ca="1" si="52"/>
        <v>0</v>
      </c>
      <c r="BE211" s="1023"/>
      <c r="BF211" s="1023"/>
      <c r="BG211" s="1023"/>
      <c r="BH211" s="1023"/>
      <c r="BI211" s="1023"/>
      <c r="BJ211" s="1023"/>
      <c r="BK211" s="1023"/>
      <c r="BL211" s="1023"/>
      <c r="BM211" s="1023"/>
      <c r="BN211" s="1523"/>
      <c r="BO211" s="1525" t="str">
        <f ca="1">IF(IFERROR(INDEX(Административные!$K$26:$L$84,MATCH($F211&amp;"4komm",Административные!$K$26:$K$84,0),2),"")=0,"",IFERROR(INDEX(Административные!$K$26:$L$84,MATCH($F211&amp;"4komm",Административные!$K$26:$K$84,0),2),""))</f>
        <v/>
      </c>
      <c r="BP211" s="1523"/>
      <c r="BQ211" s="1184"/>
      <c r="BR211" s="1184"/>
      <c r="BS211" s="971" t="s">
        <v>1191</v>
      </c>
      <c r="BT211" s="973"/>
      <c r="BU211" s="973"/>
      <c r="BV211" s="888"/>
      <c r="BW211" s="888"/>
    </row>
    <row r="212" spans="1:75" s="1334" customFormat="1" ht="14.25" customHeight="1" x14ac:dyDescent="0.25">
      <c r="A212" s="1184"/>
      <c r="B212" s="887"/>
      <c r="C212" s="26"/>
      <c r="D212" s="26"/>
      <c r="E212" s="545">
        <v>15</v>
      </c>
      <c r="F212" s="3" t="str" cm="1">
        <f t="array" aca="1" ref="F212" ca="1">OFFSET(E212,-1,1)</f>
        <v>1</v>
      </c>
      <c r="G212" s="767" t="s">
        <v>1192</v>
      </c>
      <c r="H212" s="776"/>
      <c r="I212" s="776" t="s">
        <v>1968</v>
      </c>
      <c r="J212" s="26"/>
      <c r="K212" s="294" t="s">
        <v>1968</v>
      </c>
      <c r="L212" s="889" t="s">
        <v>1174</v>
      </c>
      <c r="M212" s="26"/>
      <c r="N212" s="26"/>
      <c r="O212" s="26"/>
      <c r="P212" s="26"/>
      <c r="Q212" s="26"/>
      <c r="R212" s="26"/>
      <c r="S212" s="26"/>
      <c r="T212" s="388" t="b" cm="1">
        <f t="array" ref="T212">T211</f>
        <v>1</v>
      </c>
      <c r="U212" s="26"/>
      <c r="V212" s="26"/>
      <c r="W212" s="26"/>
      <c r="X212" s="2066"/>
      <c r="Y212" s="1184"/>
      <c r="Z212" s="2012"/>
      <c r="AA212" s="1184"/>
      <c r="AB212" s="218" t="s">
        <v>1969</v>
      </c>
      <c r="AC212" s="685" t="s">
        <v>1970</v>
      </c>
      <c r="AD212" s="218" t="s">
        <v>831</v>
      </c>
      <c r="AE212" s="1022">
        <f ca="1">SUMIFS(Административные!AE$25:AE$84,Административные!$F$25:$F$84,$F212,Административные!$G$25:$G$84,$G212)</f>
        <v>0</v>
      </c>
      <c r="AF212" s="1022">
        <f ca="1">SUMIFS(Административные!AF$25:AF$84,Административные!$F$25:$F$84,$F212,Административные!$G$25:$G$84,$G212)</f>
        <v>0</v>
      </c>
      <c r="AG212" s="1022">
        <f ca="1">SUMIFS(Административные!AG$25:AG$84,Административные!$F$25:$F$84,$F212,Административные!$G$25:$G$84,$G212)</f>
        <v>0</v>
      </c>
      <c r="AH212" s="1022">
        <f t="shared" ca="1" si="51"/>
        <v>0</v>
      </c>
      <c r="AI212" s="1022">
        <f ca="1">SUMIFS(Административные!AH$25:AH$84,Административные!$F$25:$F$84,$F212,Административные!$G$25:$G$84,$G212)</f>
        <v>0</v>
      </c>
      <c r="AJ212" s="1022">
        <f ca="1">SUMIFS(Административные!AI$25:AI$84,Административные!$F$25:$F$84,$F212,Административные!$G$25:$G$84,$G212)</f>
        <v>0</v>
      </c>
      <c r="AK212" s="1023"/>
      <c r="AL212" s="1023"/>
      <c r="AM212" s="1023"/>
      <c r="AN212" s="1023"/>
      <c r="AO212" s="1023"/>
      <c r="AP212" s="1023"/>
      <c r="AQ212" s="1023"/>
      <c r="AR212" s="1023"/>
      <c r="AS212" s="1023"/>
      <c r="AT212" s="1022">
        <f ca="1">SUMIFS(Административные!AJ$25:AJ$84,Административные!$F$25:$F$84,$F212,Административные!$G$25:$G$84,$G212)</f>
        <v>0</v>
      </c>
      <c r="AU212" s="1023"/>
      <c r="AV212" s="1023"/>
      <c r="AW212" s="1023"/>
      <c r="AX212" s="1023"/>
      <c r="AY212" s="1023"/>
      <c r="AZ212" s="1023"/>
      <c r="BA212" s="1023"/>
      <c r="BB212" s="1023"/>
      <c r="BC212" s="1023"/>
      <c r="BD212" s="1022">
        <f t="shared" ca="1" si="52"/>
        <v>0</v>
      </c>
      <c r="BE212" s="1023"/>
      <c r="BF212" s="1023"/>
      <c r="BG212" s="1023"/>
      <c r="BH212" s="1023"/>
      <c r="BI212" s="1023"/>
      <c r="BJ212" s="1023"/>
      <c r="BK212" s="1023"/>
      <c r="BL212" s="1023"/>
      <c r="BM212" s="1023"/>
      <c r="BN212" s="1523"/>
      <c r="BO212" s="1525" t="str">
        <f ca="1">IF(IFERROR(INDEX(Административные!$K$26:$L$84,MATCH($F212&amp;"5komm",Административные!$K$26:$K$84,0),2),"")=0,"",IFERROR(INDEX(Административные!$K$26:$L$84,MATCH($F212&amp;"5komm",Административные!$K$26:$K$84,0),2),""))</f>
        <v/>
      </c>
      <c r="BP212" s="1523"/>
      <c r="BQ212" s="1184"/>
      <c r="BR212" s="1184"/>
      <c r="BS212" s="971" t="s">
        <v>1769</v>
      </c>
      <c r="BT212" s="973"/>
      <c r="BU212" s="973"/>
      <c r="BV212" s="888"/>
      <c r="BW212" s="888"/>
    </row>
    <row r="213" spans="1:75" s="1334" customFormat="1" ht="409.6" customHeight="1" x14ac:dyDescent="0.25">
      <c r="A213" s="1184"/>
      <c r="B213" s="887"/>
      <c r="C213" s="26"/>
      <c r="D213" s="26"/>
      <c r="E213" s="545">
        <v>15</v>
      </c>
      <c r="F213" s="3" t="str" cm="1">
        <f t="array" aca="1" ref="F213" ca="1">OFFSET(E213,-1,1)</f>
        <v>1</v>
      </c>
      <c r="G213" s="767" t="s">
        <v>1195</v>
      </c>
      <c r="H213" s="776"/>
      <c r="I213" s="776" t="s">
        <v>1971</v>
      </c>
      <c r="J213" s="26"/>
      <c r="K213" s="294" t="s">
        <v>1971</v>
      </c>
      <c r="L213" s="889" t="s">
        <v>1179</v>
      </c>
      <c r="M213" s="26"/>
      <c r="N213" s="26"/>
      <c r="O213" s="26"/>
      <c r="P213" s="26"/>
      <c r="Q213" s="26"/>
      <c r="R213" s="26"/>
      <c r="S213" s="26"/>
      <c r="T213" s="388" t="b" cm="1">
        <f t="array" ref="T213">T212</f>
        <v>1</v>
      </c>
      <c r="U213" s="26"/>
      <c r="V213" s="26"/>
      <c r="W213" s="26"/>
      <c r="X213" s="2066"/>
      <c r="Y213" s="1184"/>
      <c r="Z213" s="2012"/>
      <c r="AA213" s="1184"/>
      <c r="AB213" s="218" t="s">
        <v>1972</v>
      </c>
      <c r="AC213" s="685" t="s">
        <v>1973</v>
      </c>
      <c r="AD213" s="218" t="s">
        <v>831</v>
      </c>
      <c r="AE213" s="1022">
        <f ca="1">SUMIFS(Административные!AE$25:AE$84,Административные!$F$25:$F$84,$F213,Административные!$G$25:$G$84,$G213)</f>
        <v>802.90885449999996</v>
      </c>
      <c r="AF213" s="1022">
        <f ca="1">SUMIFS(Административные!AF$25:AF$84,Административные!$F$25:$F$84,$F213,Административные!$G$25:$G$84,$G213)</f>
        <v>0</v>
      </c>
      <c r="AG213" s="1022">
        <f ca="1">SUMIFS(Административные!AG$25:AG$84,Административные!$F$25:$F$84,$F213,Административные!$G$25:$G$84,$G213)</f>
        <v>0</v>
      </c>
      <c r="AH213" s="1022">
        <f t="shared" ca="1" si="51"/>
        <v>0</v>
      </c>
      <c r="AI213" s="1022">
        <f ca="1">SUMIFS(Административные!AH$25:AH$84,Административные!$F$25:$F$84,$F213,Административные!$G$25:$G$84,$G213)</f>
        <v>0</v>
      </c>
      <c r="AJ213" s="1022">
        <f ca="1">SUMIFS(Административные!AI$25:AI$84,Административные!$F$25:$F$84,$F213,Административные!$G$25:$G$84,$G213)</f>
        <v>0</v>
      </c>
      <c r="AK213" s="1023"/>
      <c r="AL213" s="1023"/>
      <c r="AM213" s="1023"/>
      <c r="AN213" s="1023"/>
      <c r="AO213" s="1023"/>
      <c r="AP213" s="1023"/>
      <c r="AQ213" s="1023"/>
      <c r="AR213" s="1023"/>
      <c r="AS213" s="1023"/>
      <c r="AT213" s="1022">
        <f ca="1">SUMIFS(Административные!AJ$25:AJ$84,Административные!$F$25:$F$84,$F213,Административные!$G$25:$G$84,$G213)</f>
        <v>0</v>
      </c>
      <c r="AU213" s="1023"/>
      <c r="AV213" s="1023"/>
      <c r="AW213" s="1023"/>
      <c r="AX213" s="1023"/>
      <c r="AY213" s="1023"/>
      <c r="AZ213" s="1023"/>
      <c r="BA213" s="1023"/>
      <c r="BB213" s="1023"/>
      <c r="BC213" s="1023"/>
      <c r="BD213" s="1022">
        <f t="shared" ca="1" si="52"/>
        <v>0</v>
      </c>
      <c r="BE213" s="1023"/>
      <c r="BF213" s="1023"/>
      <c r="BG213" s="1023"/>
      <c r="BH213" s="1023"/>
      <c r="BI213" s="1023"/>
      <c r="BJ213" s="1023"/>
      <c r="BK213" s="1023"/>
      <c r="BL213" s="1023"/>
      <c r="BM213" s="1023"/>
      <c r="BN213" s="1523" t="s">
        <v>2176</v>
      </c>
      <c r="BO213" s="1525" t="str">
        <f ca="1">IF(IFERROR(INDEX(Административные!$K$26:$L$84,MATCH($F213&amp;"6komm",Административные!$K$26:$K$84,0),2),"")=0,"",IFERROR(INDEX(Административные!$K$26:$L$84,MATCH($F213&amp;"6komm",Административные!$K$26:$K$84,0),2),""))</f>
        <v/>
      </c>
      <c r="BP213" s="1523" t="s">
        <v>2177</v>
      </c>
      <c r="BQ213" s="1184"/>
      <c r="BR213" s="1184"/>
      <c r="BS213" s="971" t="s">
        <v>1771</v>
      </c>
      <c r="BT213" s="973"/>
      <c r="BU213" s="973"/>
      <c r="BV213" s="888"/>
      <c r="BW213" s="888"/>
    </row>
    <row r="214" spans="1:75" s="1334" customFormat="1" ht="14.25" customHeight="1" x14ac:dyDescent="0.25">
      <c r="A214" s="1184"/>
      <c r="B214" s="887"/>
      <c r="C214" s="26"/>
      <c r="D214" s="26"/>
      <c r="E214" s="545">
        <v>15</v>
      </c>
      <c r="F214" s="3" t="str" cm="1">
        <f t="array" aca="1" ref="F214" ca="1">OFFSET(E214,-1,1)</f>
        <v>1</v>
      </c>
      <c r="G214" s="767" t="s">
        <v>1197</v>
      </c>
      <c r="H214" s="776"/>
      <c r="I214" s="776" t="s">
        <v>1974</v>
      </c>
      <c r="J214" s="26"/>
      <c r="K214" s="294" t="s">
        <v>1974</v>
      </c>
      <c r="L214" s="889" t="s">
        <v>1772</v>
      </c>
      <c r="M214" s="26"/>
      <c r="N214" s="26"/>
      <c r="O214" s="26"/>
      <c r="P214" s="26"/>
      <c r="Q214" s="26"/>
      <c r="R214" s="26"/>
      <c r="S214" s="26"/>
      <c r="T214" s="388" t="b" cm="1">
        <f t="array" ref="T214">T213</f>
        <v>1</v>
      </c>
      <c r="U214" s="26"/>
      <c r="V214" s="26"/>
      <c r="W214" s="26"/>
      <c r="X214" s="2066"/>
      <c r="Y214" s="1184"/>
      <c r="Z214" s="2012"/>
      <c r="AA214" s="1184"/>
      <c r="AB214" s="218" t="s">
        <v>1975</v>
      </c>
      <c r="AC214" s="688" t="s">
        <v>1774</v>
      </c>
      <c r="AD214" s="218" t="s">
        <v>831</v>
      </c>
      <c r="AE214" s="1022">
        <f ca="1">SUMIFS(Административные!AE$25:AE$84,Административные!$F$25:$F$84,$F214,Административные!$G$25:$G$84,$G214)</f>
        <v>0</v>
      </c>
      <c r="AF214" s="1022">
        <f ca="1">SUMIFS(Административные!AF$25:AF$84,Административные!$F$25:$F$84,$F214,Административные!$G$25:$G$84,$G214)</f>
        <v>0</v>
      </c>
      <c r="AG214" s="1022">
        <f ca="1">SUMIFS(Административные!AG$25:AG$84,Административные!$F$25:$F$84,$F214,Административные!$G$25:$G$84,$G214)</f>
        <v>0</v>
      </c>
      <c r="AH214" s="1022">
        <f t="shared" ca="1" si="51"/>
        <v>0</v>
      </c>
      <c r="AI214" s="1022">
        <f ca="1">SUMIFS(Административные!AH$25:AH$84,Административные!$F$25:$F$84,$F214,Административные!$G$25:$G$84,$G214)</f>
        <v>0</v>
      </c>
      <c r="AJ214" s="1022">
        <f ca="1">SUMIFS(Административные!AI$25:AI$84,Административные!$F$25:$F$84,$F214,Административные!$G$25:$G$84,$G214)</f>
        <v>0</v>
      </c>
      <c r="AK214" s="1023"/>
      <c r="AL214" s="1023"/>
      <c r="AM214" s="1023"/>
      <c r="AN214" s="1023"/>
      <c r="AO214" s="1023"/>
      <c r="AP214" s="1023"/>
      <c r="AQ214" s="1023"/>
      <c r="AR214" s="1023"/>
      <c r="AS214" s="1023"/>
      <c r="AT214" s="1022">
        <f ca="1">SUMIFS(Административные!AJ$25:AJ$84,Административные!$F$25:$F$84,$F214,Административные!$G$25:$G$84,$G214)</f>
        <v>0</v>
      </c>
      <c r="AU214" s="1023"/>
      <c r="AV214" s="1023"/>
      <c r="AW214" s="1023"/>
      <c r="AX214" s="1023"/>
      <c r="AY214" s="1023"/>
      <c r="AZ214" s="1023"/>
      <c r="BA214" s="1023"/>
      <c r="BB214" s="1023"/>
      <c r="BC214" s="1023"/>
      <c r="BD214" s="1022">
        <f t="shared" ca="1" si="52"/>
        <v>0</v>
      </c>
      <c r="BE214" s="1023"/>
      <c r="BF214" s="1023"/>
      <c r="BG214" s="1023"/>
      <c r="BH214" s="1023"/>
      <c r="BI214" s="1023"/>
      <c r="BJ214" s="1023"/>
      <c r="BK214" s="1023"/>
      <c r="BL214" s="1023"/>
      <c r="BM214" s="1023"/>
      <c r="BN214" s="1523"/>
      <c r="BO214" s="1525" t="str">
        <f ca="1">IF(IFERROR(INDEX(Административные!$K$26:$L$84,MATCH($F214&amp;"7komm",Административные!$K$26:$K$84,0),2),"")=0,"",IFERROR(INDEX(Административные!$K$26:$L$84,MATCH($F214&amp;"7komm",Административные!$K$26:$K$84,0),2),""))</f>
        <v/>
      </c>
      <c r="BP214" s="1523"/>
      <c r="BQ214" s="1184"/>
      <c r="BR214" s="1184"/>
      <c r="BS214" s="971" t="s">
        <v>1775</v>
      </c>
      <c r="BT214" s="973"/>
      <c r="BU214" s="973"/>
      <c r="BV214" s="888"/>
      <c r="BW214" s="888"/>
    </row>
    <row r="215" spans="1:75" s="1334" customFormat="1" ht="14.25" customHeight="1" x14ac:dyDescent="0.25">
      <c r="A215" s="1184"/>
      <c r="B215" s="887"/>
      <c r="C215" s="26"/>
      <c r="D215" s="26"/>
      <c r="E215" s="545">
        <v>15</v>
      </c>
      <c r="F215" s="3" t="str" cm="1">
        <f t="array" aca="1" ref="F215" ca="1">OFFSET(E215,-1,1)</f>
        <v>1</v>
      </c>
      <c r="G215" s="767" t="s">
        <v>1200</v>
      </c>
      <c r="H215" s="776"/>
      <c r="I215" s="776" t="s">
        <v>1976</v>
      </c>
      <c r="J215" s="26"/>
      <c r="K215" s="294" t="s">
        <v>1976</v>
      </c>
      <c r="L215" s="889" t="s">
        <v>1776</v>
      </c>
      <c r="M215" s="26"/>
      <c r="N215" s="26"/>
      <c r="O215" s="26"/>
      <c r="P215" s="26"/>
      <c r="Q215" s="26"/>
      <c r="R215" s="26"/>
      <c r="S215" s="26"/>
      <c r="T215" s="388" t="b" cm="1">
        <f t="array" ref="T215">T214</f>
        <v>1</v>
      </c>
      <c r="U215" s="26"/>
      <c r="V215" s="26"/>
      <c r="W215" s="26"/>
      <c r="X215" s="2066"/>
      <c r="Y215" s="1184"/>
      <c r="Z215" s="2012"/>
      <c r="AA215" s="1184"/>
      <c r="AB215" s="218" t="s">
        <v>1977</v>
      </c>
      <c r="AC215" s="688" t="s">
        <v>1201</v>
      </c>
      <c r="AD215" s="218" t="s">
        <v>831</v>
      </c>
      <c r="AE215" s="1022">
        <f ca="1">SUMIFS(Административные!AE$25:AE$84,Административные!$F$25:$F$84,$F215,Административные!$G$25:$G$84,$G215)</f>
        <v>0</v>
      </c>
      <c r="AF215" s="1022">
        <f ca="1">SUMIFS(Административные!AF$25:AF$84,Административные!$F$25:$F$84,$F215,Административные!$G$25:$G$84,$G215)</f>
        <v>0</v>
      </c>
      <c r="AG215" s="1022">
        <f ca="1">SUMIFS(Административные!AG$25:AG$84,Административные!$F$25:$F$84,$F215,Административные!$G$25:$G$84,$G215)</f>
        <v>0</v>
      </c>
      <c r="AH215" s="1022">
        <f t="shared" ca="1" si="51"/>
        <v>0</v>
      </c>
      <c r="AI215" s="1022">
        <f ca="1">SUMIFS(Административные!AH$25:AH$84,Административные!$F$25:$F$84,$F215,Административные!$G$25:$G$84,$G215)</f>
        <v>0</v>
      </c>
      <c r="AJ215" s="1022">
        <f ca="1">SUMIFS(Административные!AI$25:AI$84,Административные!$F$25:$F$84,$F215,Административные!$G$25:$G$84,$G215)</f>
        <v>0</v>
      </c>
      <c r="AK215" s="1023"/>
      <c r="AL215" s="1023"/>
      <c r="AM215" s="1023"/>
      <c r="AN215" s="1023"/>
      <c r="AO215" s="1023"/>
      <c r="AP215" s="1023"/>
      <c r="AQ215" s="1023"/>
      <c r="AR215" s="1023"/>
      <c r="AS215" s="1023"/>
      <c r="AT215" s="1022">
        <f ca="1">SUMIFS(Административные!AJ$25:AJ$84,Административные!$F$25:$F$84,$F215,Административные!$G$25:$G$84,$G215)</f>
        <v>0</v>
      </c>
      <c r="AU215" s="1023"/>
      <c r="AV215" s="1023"/>
      <c r="AW215" s="1023"/>
      <c r="AX215" s="1023"/>
      <c r="AY215" s="1023"/>
      <c r="AZ215" s="1023"/>
      <c r="BA215" s="1023"/>
      <c r="BB215" s="1023"/>
      <c r="BC215" s="1023"/>
      <c r="BD215" s="1022">
        <f t="shared" ca="1" si="52"/>
        <v>0</v>
      </c>
      <c r="BE215" s="1023"/>
      <c r="BF215" s="1023"/>
      <c r="BG215" s="1023"/>
      <c r="BH215" s="1023"/>
      <c r="BI215" s="1023"/>
      <c r="BJ215" s="1023"/>
      <c r="BK215" s="1023"/>
      <c r="BL215" s="1023"/>
      <c r="BM215" s="1023"/>
      <c r="BN215" s="1523"/>
      <c r="BO215" s="1525" t="str">
        <f ca="1">IF(IFERROR(INDEX(Административные!$K$26:$L$84,MATCH($F215&amp;"8komm",Административные!$K$26:$K$84,0),2),"")=0,"",IFERROR(INDEX(Административные!$K$26:$L$84,MATCH($F215&amp;"8komm",Административные!$K$26:$K$84,0),2),""))</f>
        <v/>
      </c>
      <c r="BP215" s="1523"/>
      <c r="BQ215" s="1184"/>
      <c r="BR215" s="1184"/>
      <c r="BS215" s="971" t="s">
        <v>1778</v>
      </c>
      <c r="BT215" s="973"/>
      <c r="BU215" s="973"/>
      <c r="BV215" s="888"/>
      <c r="BW215" s="888"/>
    </row>
    <row r="216" spans="1:75" s="1334" customFormat="1" ht="14.65" customHeight="1" x14ac:dyDescent="0.25">
      <c r="A216" s="1184"/>
      <c r="B216" s="887"/>
      <c r="C216" s="26"/>
      <c r="D216" s="26"/>
      <c r="E216" s="545">
        <v>15</v>
      </c>
      <c r="F216" s="3" t="str" cm="1">
        <f t="array" aca="1" ref="F216" ca="1">OFFSET(E216,-1,1)</f>
        <v>1</v>
      </c>
      <c r="G216" s="26" t="s">
        <v>1203</v>
      </c>
      <c r="H216" s="776"/>
      <c r="I216" s="776" t="s">
        <v>1978</v>
      </c>
      <c r="J216" s="26"/>
      <c r="K216" s="294" t="s">
        <v>1978</v>
      </c>
      <c r="L216" s="889" t="s">
        <v>1779</v>
      </c>
      <c r="M216" s="26"/>
      <c r="N216" s="26"/>
      <c r="O216" s="26"/>
      <c r="P216" s="26"/>
      <c r="Q216" s="26"/>
      <c r="R216" s="26"/>
      <c r="S216" s="26"/>
      <c r="T216" s="388" t="b" cm="1">
        <f t="array" ref="T216">T215</f>
        <v>1</v>
      </c>
      <c r="U216" s="26"/>
      <c r="V216" s="26"/>
      <c r="W216" s="26"/>
      <c r="X216" s="2066"/>
      <c r="Y216" s="1184"/>
      <c r="Z216" s="2012"/>
      <c r="AA216" s="1184"/>
      <c r="AB216" s="218" t="s">
        <v>1979</v>
      </c>
      <c r="AC216" s="688" t="s">
        <v>1204</v>
      </c>
      <c r="AD216" s="218" t="s">
        <v>831</v>
      </c>
      <c r="AE216" s="1022">
        <f ca="1">SUMIFS(Административные!AE$25:AE$84,Административные!$F$25:$F$84,$F216,Административные!$G$25:$G$84,$G216)</f>
        <v>802.90885449999996</v>
      </c>
      <c r="AF216" s="1022">
        <f ca="1">SUMIFS(Административные!AF$25:AF$84,Административные!$F$25:$F$84,$F216,Административные!$G$25:$G$84,$G216)</f>
        <v>0</v>
      </c>
      <c r="AG216" s="1022">
        <f ca="1">SUMIFS(Административные!AG$25:AG$84,Административные!$F$25:$F$84,$F216,Административные!$G$25:$G$84,$G216)</f>
        <v>0</v>
      </c>
      <c r="AH216" s="1022">
        <f t="shared" ca="1" si="51"/>
        <v>0</v>
      </c>
      <c r="AI216" s="1022">
        <f ca="1">SUMIFS(Административные!AH$25:AH$84,Административные!$F$25:$F$84,$F216,Административные!$G$25:$G$84,$G216)</f>
        <v>0</v>
      </c>
      <c r="AJ216" s="1024">
        <f ca="1">SUMIFS(Административные!AI$25:AI$84,Административные!$F$25:$F$84,$F216,Административные!$G$25:$G$84,$G216)</f>
        <v>0</v>
      </c>
      <c r="AK216" s="1023"/>
      <c r="AL216" s="1023"/>
      <c r="AM216" s="1023"/>
      <c r="AN216" s="1023"/>
      <c r="AO216" s="1023"/>
      <c r="AP216" s="1023"/>
      <c r="AQ216" s="1023"/>
      <c r="AR216" s="1023"/>
      <c r="AS216" s="1023"/>
      <c r="AT216" s="1024">
        <f ca="1">SUMIFS(Административные!AJ$25:AJ$84,Административные!$F$25:$F$84,$F216,Административные!$G$25:$G$84,$G216)</f>
        <v>0</v>
      </c>
      <c r="AU216" s="1023"/>
      <c r="AV216" s="1023"/>
      <c r="AW216" s="1023"/>
      <c r="AX216" s="1023"/>
      <c r="AY216" s="1023"/>
      <c r="AZ216" s="1023"/>
      <c r="BA216" s="1023"/>
      <c r="BB216" s="1023"/>
      <c r="BC216" s="1023"/>
      <c r="BD216" s="1022">
        <f t="shared" ca="1" si="52"/>
        <v>0</v>
      </c>
      <c r="BE216" s="1023"/>
      <c r="BF216" s="1023"/>
      <c r="BG216" s="1023"/>
      <c r="BH216" s="1023"/>
      <c r="BI216" s="1023"/>
      <c r="BJ216" s="1023"/>
      <c r="BK216" s="1023"/>
      <c r="BL216" s="1023"/>
      <c r="BM216" s="1023"/>
      <c r="BN216" s="1523"/>
      <c r="BO216" s="1525" t="str">
        <f ca="1">IF(IFERROR(INDEX(Административные!$K$26:$L$84,MATCH($F216&amp;"9komm",Административные!$K$26:$K$84,0),2),"")=0,"",IFERROR(INDEX(Административные!$K$26:$L$84,MATCH($F216&amp;"9komm",Административные!$K$26:$K$84,0),2),""))</f>
        <v>Подробное описание смотреть в комментарии</v>
      </c>
      <c r="BP216" s="1523" t="s">
        <v>2177</v>
      </c>
      <c r="BQ216" s="1184"/>
      <c r="BR216" s="1184"/>
      <c r="BS216" s="971" t="s">
        <v>1781</v>
      </c>
      <c r="BT216" s="973"/>
      <c r="BU216" s="973"/>
      <c r="BV216" s="888"/>
      <c r="BW216" s="888"/>
    </row>
    <row r="217" spans="1:75" s="1334" customFormat="1" ht="21.75" customHeight="1" x14ac:dyDescent="0.25">
      <c r="A217" s="1184"/>
      <c r="B217" s="354" t="b">
        <f>STATUS_GO="да"</f>
        <v>1</v>
      </c>
      <c r="C217" s="26"/>
      <c r="D217" s="26"/>
      <c r="E217" s="545">
        <v>22.5</v>
      </c>
      <c r="F217" s="3" t="str" cm="1">
        <f t="array" aca="1" ref="F217" ca="1">OFFSET(E217,-1,1)</f>
        <v>1</v>
      </c>
      <c r="G217" s="26"/>
      <c r="H217" s="776"/>
      <c r="I217" s="776" t="s">
        <v>922</v>
      </c>
      <c r="J217" s="26"/>
      <c r="K217" s="294" t="s">
        <v>922</v>
      </c>
      <c r="L217" s="889" t="s">
        <v>335</v>
      </c>
      <c r="M217" s="26"/>
      <c r="N217" s="26"/>
      <c r="O217" s="26"/>
      <c r="P217" s="26"/>
      <c r="Q217" s="26"/>
      <c r="R217" s="26"/>
      <c r="S217" s="26"/>
      <c r="T217" s="388" t="b" cm="1">
        <f t="array" ref="T217">T216</f>
        <v>1</v>
      </c>
      <c r="U217" s="26"/>
      <c r="V217" s="26"/>
      <c r="W217" s="26"/>
      <c r="X217" s="2066"/>
      <c r="Y217" s="1184"/>
      <c r="Z217" s="2012"/>
      <c r="AA217" s="1184"/>
      <c r="AB217" s="218" t="s">
        <v>923</v>
      </c>
      <c r="AC217" s="682" t="s">
        <v>1980</v>
      </c>
      <c r="AD217" s="218" t="s">
        <v>831</v>
      </c>
      <c r="AE217" s="1022">
        <f ca="1">SUMIFS('Сбытовые расходы ГО'!AE$25:AE$65,'Сбытовые расходы ГО'!$F$25:$F$65,$F217,'Сбытовые расходы ГО'!$G$25:$G$65,"L0")-SUMIFS('Сбытовые расходы ГО'!AE$25:AE$65,'Сбытовые расходы ГО'!$F$25:$F$65,$F217,'Сбытовые расходы ГО'!$G$25:$G$65,"L1")</f>
        <v>3833.0622513716003</v>
      </c>
      <c r="AF217" s="1022">
        <f ca="1">SUMIFS('Сбытовые расходы ГО'!AF$25:AF$65,'Сбытовые расходы ГО'!$F$25:$F$65,$F217,'Сбытовые расходы ГО'!$G$25:$G$65,"L0")-SUMIFS('Сбытовые расходы ГО'!AF$25:AF$65,'Сбытовые расходы ГО'!$F$25:$F$65,$F217,'Сбытовые расходы ГО'!$G$25:$G$65,"L1")</f>
        <v>0</v>
      </c>
      <c r="AG217" s="1022">
        <f ca="1">SUMIFS('Сбытовые расходы ГО'!AG$25:AG$65,'Сбытовые расходы ГО'!$F$25:$F$65,$F217,'Сбытовые расходы ГО'!$G$25:$G$65,"L0")-SUMIFS('Сбытовые расходы ГО'!AG$25:AG$65,'Сбытовые расходы ГО'!$F$25:$F$65,$F217,'Сбытовые расходы ГО'!$G$25:$G$65,"L1")</f>
        <v>0</v>
      </c>
      <c r="AH217" s="1022">
        <f t="shared" ca="1" si="51"/>
        <v>0</v>
      </c>
      <c r="AI217" s="1022">
        <f ca="1">SUMIFS('Сбытовые расходы ГО'!AH$25:AH$65,'Сбытовые расходы ГО'!$F$25:$F$65,$F217,'Сбытовые расходы ГО'!$G$25:$G$65,"L0")-SUMIFS('Сбытовые расходы ГО'!AH$25:AH$65,'Сбытовые расходы ГО'!$F$25:$F$65,$F217,'Сбытовые расходы ГО'!$G$25:$G$65,"L1")</f>
        <v>0</v>
      </c>
      <c r="AJ217" s="1022">
        <f ca="1">SUMIFS('Сбытовые расходы ГО'!AI$25:AI$65,'Сбытовые расходы ГО'!$F$25:$F$65,$F217,'Сбытовые расходы ГО'!$G$25:$G$65,"L0")-SUMIFS('Сбытовые расходы ГО'!AI$25:AI$65,'Сбытовые расходы ГО'!$F$25:$F$65,$F217,'Сбытовые расходы ГО'!$G$25:$G$65,"L1")</f>
        <v>0</v>
      </c>
      <c r="AK217" s="1023"/>
      <c r="AL217" s="1023"/>
      <c r="AM217" s="1023"/>
      <c r="AN217" s="1023"/>
      <c r="AO217" s="1023"/>
      <c r="AP217" s="1023"/>
      <c r="AQ217" s="1023"/>
      <c r="AR217" s="1023"/>
      <c r="AS217" s="1023"/>
      <c r="AT217" s="1022">
        <f ca="1">SUMIFS('Сбытовые расходы ГО'!AJ$25:AJ$65,'Сбытовые расходы ГО'!$F$25:$F$65,$F217,'Сбытовые расходы ГО'!$G$25:$G$65,"L0")-SUMIFS('Сбытовые расходы ГО'!AJ$25:AJ$65,'Сбытовые расходы ГО'!$F$25:$F$65,$F217,'Сбытовые расходы ГО'!$G$25:$G$65,"L1")</f>
        <v>0</v>
      </c>
      <c r="AU217" s="1023"/>
      <c r="AV217" s="1023"/>
      <c r="AW217" s="1023"/>
      <c r="AX217" s="1023"/>
      <c r="AY217" s="1023"/>
      <c r="AZ217" s="1023"/>
      <c r="BA217" s="1023"/>
      <c r="BB217" s="1023"/>
      <c r="BC217" s="1023"/>
      <c r="BD217" s="1022">
        <f t="shared" ca="1" si="52"/>
        <v>0</v>
      </c>
      <c r="BE217" s="1023"/>
      <c r="BF217" s="1023"/>
      <c r="BG217" s="1023"/>
      <c r="BH217" s="1023"/>
      <c r="BI217" s="1023"/>
      <c r="BJ217" s="1023"/>
      <c r="BK217" s="1023"/>
      <c r="BL217" s="1023"/>
      <c r="BM217" s="1023"/>
      <c r="BN217" s="1523"/>
      <c r="BO217" s="1523"/>
      <c r="BP217" s="1523"/>
      <c r="BQ217" s="1184"/>
      <c r="BR217" s="1184"/>
      <c r="BS217" s="972" t="s">
        <v>1783</v>
      </c>
      <c r="BT217" s="973"/>
      <c r="BU217" s="973"/>
      <c r="BV217" s="888"/>
      <c r="BW217" s="888"/>
    </row>
    <row r="218" spans="1:75" s="1334" customFormat="1" ht="14.25" customHeight="1" x14ac:dyDescent="0.15">
      <c r="A218" s="1184"/>
      <c r="B218" s="887"/>
      <c r="C218" s="26"/>
      <c r="D218" s="26"/>
      <c r="E218" s="545">
        <v>15</v>
      </c>
      <c r="F218" s="3" t="str" cm="1">
        <f t="array" aca="1" ref="F218" ca="1">OFFSET(E218,-1,1)</f>
        <v>1</v>
      </c>
      <c r="G218" s="26"/>
      <c r="H218" s="776"/>
      <c r="I218" s="776" t="s">
        <v>1721</v>
      </c>
      <c r="J218" s="26"/>
      <c r="K218" s="294" t="s">
        <v>1721</v>
      </c>
      <c r="L218" s="889"/>
      <c r="M218" s="26"/>
      <c r="N218" s="26"/>
      <c r="O218" s="26"/>
      <c r="P218" s="26"/>
      <c r="Q218" s="26"/>
      <c r="R218" s="26"/>
      <c r="S218" s="26"/>
      <c r="T218" s="388" t="b" cm="1">
        <f t="array" ref="T218">T217</f>
        <v>1</v>
      </c>
      <c r="U218" s="26"/>
      <c r="V218" s="26"/>
      <c r="W218" s="26"/>
      <c r="X218" s="2066"/>
      <c r="Y218" s="1184"/>
      <c r="Z218" s="2012"/>
      <c r="AA218" s="1184"/>
      <c r="AB218" s="218" t="s">
        <v>1722</v>
      </c>
      <c r="AC218" s="682" t="s">
        <v>1981</v>
      </c>
      <c r="AD218" s="218" t="s">
        <v>831</v>
      </c>
      <c r="AE218" s="1514"/>
      <c r="AF218" s="1514"/>
      <c r="AG218" s="1514"/>
      <c r="AH218" s="1022">
        <f t="shared" si="51"/>
        <v>0</v>
      </c>
      <c r="AI218" s="1514"/>
      <c r="AJ218" s="1514"/>
      <c r="AK218" s="1023"/>
      <c r="AL218" s="1023"/>
      <c r="AM218" s="1023"/>
      <c r="AN218" s="1023"/>
      <c r="AO218" s="1023"/>
      <c r="AP218" s="1023"/>
      <c r="AQ218" s="1023"/>
      <c r="AR218" s="1023"/>
      <c r="AS218" s="1023"/>
      <c r="AT218" s="1514"/>
      <c r="AU218" s="1023"/>
      <c r="AV218" s="1023"/>
      <c r="AW218" s="1023"/>
      <c r="AX218" s="1023"/>
      <c r="AY218" s="1023"/>
      <c r="AZ218" s="1023"/>
      <c r="BA218" s="1023"/>
      <c r="BB218" s="1023"/>
      <c r="BC218" s="1023"/>
      <c r="BD218" s="1022">
        <f t="shared" si="52"/>
        <v>0</v>
      </c>
      <c r="BE218" s="1023"/>
      <c r="BF218" s="1023"/>
      <c r="BG218" s="1023"/>
      <c r="BH218" s="1023"/>
      <c r="BI218" s="1023"/>
      <c r="BJ218" s="1023"/>
      <c r="BK218" s="1023"/>
      <c r="BL218" s="1023"/>
      <c r="BM218" s="1023"/>
      <c r="BN218" s="1523"/>
      <c r="BO218" s="1523"/>
      <c r="BP218" s="1523"/>
      <c r="BQ218" s="1184"/>
      <c r="BR218" s="1184"/>
      <c r="BS218" s="973" t="s">
        <v>1982</v>
      </c>
      <c r="BT218" s="973"/>
      <c r="BU218" s="973"/>
      <c r="BV218" s="888"/>
      <c r="BW218" s="888"/>
    </row>
    <row r="219" spans="1:75" s="1528" customFormat="1" ht="20.25" customHeight="1" x14ac:dyDescent="0.15">
      <c r="A219" s="623"/>
      <c r="B219" s="357"/>
      <c r="C219" s="28"/>
      <c r="D219" s="28"/>
      <c r="E219" s="745">
        <v>21</v>
      </c>
      <c r="F219" s="3" t="str" cm="1">
        <f t="array" aca="1" ref="F219" ca="1">OFFSET(E219,-1,1)</f>
        <v>1</v>
      </c>
      <c r="G219" s="28"/>
      <c r="H219" s="776"/>
      <c r="I219" s="776" t="s">
        <v>1725</v>
      </c>
      <c r="J219" s="28"/>
      <c r="K219" s="294" t="s">
        <v>1725</v>
      </c>
      <c r="L219" s="894"/>
      <c r="M219" s="28"/>
      <c r="N219" s="28"/>
      <c r="O219" s="28"/>
      <c r="P219" s="28"/>
      <c r="Q219" s="28"/>
      <c r="R219" s="28"/>
      <c r="S219" s="28"/>
      <c r="T219" s="388" t="b">
        <f ca="1">AND(F219&gt;0,method_reg="Метод индексации")</f>
        <v>1</v>
      </c>
      <c r="U219" s="28"/>
      <c r="V219" s="28"/>
      <c r="W219" s="28"/>
      <c r="X219" s="2066"/>
      <c r="Y219" s="623"/>
      <c r="Z219" s="2012"/>
      <c r="AA219" s="623"/>
      <c r="AB219" s="130" t="s">
        <v>1726</v>
      </c>
      <c r="AC219" s="277" t="s">
        <v>1983</v>
      </c>
      <c r="AD219" s="130" t="s">
        <v>831</v>
      </c>
      <c r="AE219" s="132">
        <f>SUM(AE220:AE221)</f>
        <v>0</v>
      </c>
      <c r="AF219" s="132">
        <f>SUM(AF220:AF221)</f>
        <v>0</v>
      </c>
      <c r="AG219" s="132">
        <f>SUM(AG220:AG221)</f>
        <v>0</v>
      </c>
      <c r="AH219" s="698">
        <f t="shared" si="51"/>
        <v>0</v>
      </c>
      <c r="AI219" s="132">
        <f>SUM(AI220:AI221)</f>
        <v>0</v>
      </c>
      <c r="AJ219" s="132">
        <f>SUM(AJ220:AJ221)</f>
        <v>0</v>
      </c>
      <c r="AK219" s="135"/>
      <c r="AL219" s="135"/>
      <c r="AM219" s="135"/>
      <c r="AN219" s="135"/>
      <c r="AO219" s="135"/>
      <c r="AP219" s="135"/>
      <c r="AQ219" s="135"/>
      <c r="AR219" s="135"/>
      <c r="AS219" s="135"/>
      <c r="AT219" s="132">
        <f>SUM(AT220:AT221)</f>
        <v>0</v>
      </c>
      <c r="AU219" s="135"/>
      <c r="AV219" s="135"/>
      <c r="AW219" s="135"/>
      <c r="AX219" s="135"/>
      <c r="AY219" s="135"/>
      <c r="AZ219" s="135"/>
      <c r="BA219" s="135"/>
      <c r="BB219" s="135"/>
      <c r="BC219" s="135"/>
      <c r="BD219" s="698">
        <f t="shared" si="52"/>
        <v>0</v>
      </c>
      <c r="BE219" s="135"/>
      <c r="BF219" s="135"/>
      <c r="BG219" s="135"/>
      <c r="BH219" s="135"/>
      <c r="BI219" s="135"/>
      <c r="BJ219" s="135"/>
      <c r="BK219" s="135"/>
      <c r="BL219" s="135"/>
      <c r="BM219" s="135"/>
      <c r="BN219" s="1524"/>
      <c r="BO219" s="1524"/>
      <c r="BP219" s="1524"/>
      <c r="BQ219" s="623"/>
      <c r="BR219" s="623"/>
      <c r="BS219" s="979" t="s">
        <v>1984</v>
      </c>
      <c r="BT219" s="979"/>
      <c r="BU219" s="979"/>
      <c r="BV219" s="630"/>
      <c r="BW219" s="630"/>
    </row>
    <row r="220" spans="1:75" s="1334" customFormat="1" ht="14.25" hidden="1" customHeight="1" x14ac:dyDescent="0.15">
      <c r="A220" s="1184"/>
      <c r="B220" s="354" t="b">
        <f>method_reg="Метод индексации"</f>
        <v>1</v>
      </c>
      <c r="C220" s="26"/>
      <c r="D220" s="26"/>
      <c r="E220" s="545">
        <v>15</v>
      </c>
      <c r="F220" s="3" t="str" cm="1">
        <f t="array" aca="1" ref="F220" ca="1">OFFSET(E220,-1,1)</f>
        <v>1</v>
      </c>
      <c r="G220" s="26"/>
      <c r="H220" s="26"/>
      <c r="I220" s="776" t="s">
        <v>1725</v>
      </c>
      <c r="J220" s="26" cm="1">
        <f t="array" ref="J220">AC220</f>
        <v>0</v>
      </c>
      <c r="K220" s="294" t="s">
        <v>1725</v>
      </c>
      <c r="L220" s="889"/>
      <c r="M220" s="26"/>
      <c r="N220" s="26"/>
      <c r="O220" s="26"/>
      <c r="P220" s="26"/>
      <c r="Q220" s="26"/>
      <c r="R220" s="26"/>
      <c r="S220" s="26"/>
      <c r="T220" s="388" t="b">
        <f ca="1">AND(F220&gt;0,Y220&gt;0)</f>
        <v>0</v>
      </c>
      <c r="U220" s="26"/>
      <c r="V220" s="26"/>
      <c r="W220" s="26" t="s">
        <v>172</v>
      </c>
      <c r="X220" s="2066"/>
      <c r="Y220" s="77">
        <v>0</v>
      </c>
      <c r="Z220" s="2012"/>
      <c r="AA220" s="342" t="s">
        <v>173</v>
      </c>
      <c r="AB220" s="218" t="str">
        <f>"1.7."&amp;Y220</f>
        <v>1.7.0</v>
      </c>
      <c r="AC220" s="1150"/>
      <c r="AD220" s="218" t="s">
        <v>831</v>
      </c>
      <c r="AE220" s="1148"/>
      <c r="AF220" s="1148"/>
      <c r="AG220" s="1148"/>
      <c r="AH220" s="1022">
        <f t="shared" si="51"/>
        <v>0</v>
      </c>
      <c r="AI220" s="1148"/>
      <c r="AJ220" s="1514"/>
      <c r="AK220" s="1023"/>
      <c r="AL220" s="1023"/>
      <c r="AM220" s="1023"/>
      <c r="AN220" s="1023"/>
      <c r="AO220" s="1023"/>
      <c r="AP220" s="1023"/>
      <c r="AQ220" s="1023"/>
      <c r="AR220" s="1023"/>
      <c r="AS220" s="1023"/>
      <c r="AT220" s="1514"/>
      <c r="AU220" s="1023"/>
      <c r="AV220" s="1023"/>
      <c r="AW220" s="1023"/>
      <c r="AX220" s="1023"/>
      <c r="AY220" s="1023"/>
      <c r="AZ220" s="1023"/>
      <c r="BA220" s="1023"/>
      <c r="BB220" s="1023"/>
      <c r="BC220" s="1023"/>
      <c r="BD220" s="1022">
        <f t="shared" si="52"/>
        <v>0</v>
      </c>
      <c r="BE220" s="1023"/>
      <c r="BF220" s="1023"/>
      <c r="BG220" s="1023"/>
      <c r="BH220" s="1023"/>
      <c r="BI220" s="1023"/>
      <c r="BJ220" s="1023"/>
      <c r="BK220" s="1023"/>
      <c r="BL220" s="1023"/>
      <c r="BM220" s="1023"/>
      <c r="BN220" s="1145"/>
      <c r="BO220" s="1145"/>
      <c r="BP220" s="1145"/>
      <c r="BQ220" s="1184"/>
      <c r="BR220" s="1184"/>
      <c r="BS220" s="973" t="s">
        <v>1984</v>
      </c>
      <c r="BT220" s="973" t="s">
        <v>1985</v>
      </c>
      <c r="BU220" s="973" cm="1">
        <f t="array" ref="BU220">AC220</f>
        <v>0</v>
      </c>
      <c r="BV220" s="888"/>
      <c r="BW220" s="626" t="b">
        <v>1</v>
      </c>
    </row>
    <row r="221" spans="1:75" s="1334" customFormat="1" ht="14.25" customHeight="1" x14ac:dyDescent="0.15">
      <c r="A221" s="1184"/>
      <c r="B221" s="354" t="b" cm="1">
        <f t="array" ref="B221">B220</f>
        <v>1</v>
      </c>
      <c r="C221" s="26"/>
      <c r="D221" s="26"/>
      <c r="E221" s="545">
        <v>15</v>
      </c>
      <c r="F221" s="3" t="str" cm="1">
        <f t="array" aca="1" ref="F221" ca="1">OFFSET(E221,-1,1)</f>
        <v>1</v>
      </c>
      <c r="G221" s="403"/>
      <c r="H221" s="26"/>
      <c r="I221" s="26"/>
      <c r="J221" s="26" t="s">
        <v>1986</v>
      </c>
      <c r="K221" s="1184"/>
      <c r="L221" s="889"/>
      <c r="M221" s="26"/>
      <c r="N221" s="26"/>
      <c r="O221" s="26"/>
      <c r="P221" s="26"/>
      <c r="Q221" s="26"/>
      <c r="R221" s="26"/>
      <c r="S221" s="26"/>
      <c r="T221" s="388" t="b">
        <f ca="1">F221&gt;0</f>
        <v>1</v>
      </c>
      <c r="U221" s="26"/>
      <c r="V221" s="26"/>
      <c r="W221" s="748" t="s">
        <v>396</v>
      </c>
      <c r="X221" s="2066"/>
      <c r="Y221" s="1184"/>
      <c r="Z221" s="2012"/>
      <c r="AA221" s="1184"/>
      <c r="AB221" s="792"/>
      <c r="AC221" s="178" t="s">
        <v>176</v>
      </c>
      <c r="AD221" s="696"/>
      <c r="AE221" s="696"/>
      <c r="AF221" s="696"/>
      <c r="AG221" s="696"/>
      <c r="AH221" s="696"/>
      <c r="AI221" s="696"/>
      <c r="AJ221" s="696"/>
      <c r="AK221" s="696"/>
      <c r="AL221" s="696"/>
      <c r="AM221" s="696"/>
      <c r="AN221" s="696"/>
      <c r="AO221" s="696"/>
      <c r="AP221" s="696"/>
      <c r="AQ221" s="696"/>
      <c r="AR221" s="696"/>
      <c r="AS221" s="696"/>
      <c r="AT221" s="696"/>
      <c r="AU221" s="696"/>
      <c r="AV221" s="696"/>
      <c r="AW221" s="696"/>
      <c r="AX221" s="696"/>
      <c r="AY221" s="696"/>
      <c r="AZ221" s="696"/>
      <c r="BA221" s="696"/>
      <c r="BB221" s="696"/>
      <c r="BC221" s="696"/>
      <c r="BD221" s="696"/>
      <c r="BE221" s="696"/>
      <c r="BF221" s="696"/>
      <c r="BG221" s="696"/>
      <c r="BH221" s="696"/>
      <c r="BI221" s="696"/>
      <c r="BJ221" s="696"/>
      <c r="BK221" s="696"/>
      <c r="BL221" s="696"/>
      <c r="BM221" s="696"/>
      <c r="BN221" s="696"/>
      <c r="BO221" s="696"/>
      <c r="BP221" s="697"/>
      <c r="BQ221" s="1184"/>
      <c r="BR221" s="1184"/>
      <c r="BS221" s="973"/>
      <c r="BT221" s="973"/>
      <c r="BU221" s="973"/>
      <c r="BV221" s="626" t="s">
        <v>1985</v>
      </c>
      <c r="BW221" s="888"/>
    </row>
    <row r="222" spans="1:75" s="1529" customFormat="1" ht="23.25" customHeight="1" x14ac:dyDescent="0.15">
      <c r="A222" s="623"/>
      <c r="B222" s="357"/>
      <c r="C222" s="28"/>
      <c r="D222" s="28"/>
      <c r="E222" s="745">
        <v>21</v>
      </c>
      <c r="F222" s="3" t="str" cm="1">
        <f t="array" aca="1" ref="F222" ca="1">OFFSET(E222,-1,1)</f>
        <v>1</v>
      </c>
      <c r="G222" s="28"/>
      <c r="H222" s="26"/>
      <c r="I222" s="26" t="s">
        <v>332</v>
      </c>
      <c r="J222" s="28"/>
      <c r="K222" s="77" t="s">
        <v>332</v>
      </c>
      <c r="L222" s="894"/>
      <c r="M222" s="28"/>
      <c r="N222" s="28"/>
      <c r="O222" s="28"/>
      <c r="P222" s="28"/>
      <c r="Q222" s="28"/>
      <c r="R222" s="28"/>
      <c r="S222" s="28"/>
      <c r="T222" s="388" t="b">
        <f ca="1">F222&gt;0</f>
        <v>1</v>
      </c>
      <c r="U222" s="28"/>
      <c r="V222" s="28"/>
      <c r="W222" s="28"/>
      <c r="X222" s="2066"/>
      <c r="Y222" s="623"/>
      <c r="Z222" s="2012"/>
      <c r="AA222" s="623"/>
      <c r="AB222" s="153" t="s">
        <v>289</v>
      </c>
      <c r="AC222" s="131" t="s">
        <v>1987</v>
      </c>
      <c r="AD222" s="153" t="s">
        <v>831</v>
      </c>
      <c r="AE222" s="132">
        <f ca="1">AE223+AE235+AE236++AE247+AE248+AE249+AE251+AE252+AE253+AE254+AE257</f>
        <v>50298.861367926693</v>
      </c>
      <c r="AF222" s="132">
        <f ca="1">AF223+AF235+AF236++AF247+AF248+AF249+AF251+AF252+AF253+AF254+AF257</f>
        <v>47291.06</v>
      </c>
      <c r="AG222" s="132">
        <f ca="1">AG223+AG235+AG236++AG247+AG248+AG249+AG251+AG252+AG253+AG254+AG257</f>
        <v>40948.89</v>
      </c>
      <c r="AH222" s="698">
        <f t="shared" ref="AH222:AH267" ca="1" si="53">AG222-AF222</f>
        <v>-6342.1699999999983</v>
      </c>
      <c r="AI222" s="132">
        <f t="shared" ref="AI222:BC222" ca="1" si="54">AI223+AI235+AI236++AI247+AI248+AI249+AI251+AI252+AI253+AI254+AI257</f>
        <v>53042.234849365304</v>
      </c>
      <c r="AJ222" s="132">
        <f t="shared" ca="1" si="54"/>
        <v>70111.149999999994</v>
      </c>
      <c r="AK222" s="132">
        <f t="shared" ca="1" si="54"/>
        <v>67698.994267453498</v>
      </c>
      <c r="AL222" s="132">
        <f t="shared" ca="1" si="54"/>
        <v>69736.180956116586</v>
      </c>
      <c r="AM222" s="132">
        <f t="shared" ca="1" si="54"/>
        <v>71697.849203776306</v>
      </c>
      <c r="AN222" s="132">
        <f t="shared" ca="1" si="54"/>
        <v>73679.429782896201</v>
      </c>
      <c r="AO222" s="132">
        <f t="shared" ca="1" si="54"/>
        <v>75719.663245087999</v>
      </c>
      <c r="AP222" s="132">
        <f t="shared" ca="1" si="54"/>
        <v>77784.147892618494</v>
      </c>
      <c r="AQ222" s="132">
        <f t="shared" ca="1" si="54"/>
        <v>0</v>
      </c>
      <c r="AR222" s="132">
        <f t="shared" ca="1" si="54"/>
        <v>0</v>
      </c>
      <c r="AS222" s="132">
        <f t="shared" ca="1" si="54"/>
        <v>0</v>
      </c>
      <c r="AT222" s="132">
        <f t="shared" ca="1" si="54"/>
        <v>44069.4</v>
      </c>
      <c r="AU222" s="132">
        <f t="shared" ca="1" si="54"/>
        <v>56454.585989582592</v>
      </c>
      <c r="AV222" s="132">
        <f t="shared" ca="1" si="54"/>
        <v>58267.920351545901</v>
      </c>
      <c r="AW222" s="132">
        <f t="shared" ca="1" si="54"/>
        <v>66551.289287923908</v>
      </c>
      <c r="AX222" s="132">
        <f t="shared" ca="1" si="54"/>
        <v>68211.169176328302</v>
      </c>
      <c r="AY222" s="132">
        <f t="shared" ca="1" si="54"/>
        <v>69913.495099353604</v>
      </c>
      <c r="AZ222" s="132">
        <f t="shared" ca="1" si="54"/>
        <v>71623.108358943704</v>
      </c>
      <c r="BA222" s="132">
        <f t="shared" ca="1" si="54"/>
        <v>0</v>
      </c>
      <c r="BB222" s="132">
        <f t="shared" ca="1" si="54"/>
        <v>0</v>
      </c>
      <c r="BC222" s="132">
        <f t="shared" ca="1" si="54"/>
        <v>0</v>
      </c>
      <c r="BD222" s="698">
        <f t="shared" ref="BD222:BD267" ca="1" si="55">IF(AI222=0,0,(AT222-AI222)/AI222*100)</f>
        <v>-16.916396669271698</v>
      </c>
      <c r="BE222" s="698">
        <f t="shared" ref="BE222:BE267" ca="1" si="56">IF(AT222=0,0,(AU222-AT222)/AT222*100)</f>
        <v>28.103822583431111</v>
      </c>
      <c r="BF222" s="698">
        <f t="shared" ref="BF222:BF267" ca="1" si="57">IF(AU222=0,0,(AV222-AU222)/AU222*100)</f>
        <v>3.2120231335996658</v>
      </c>
      <c r="BG222" s="698">
        <f t="shared" ref="BG222:BG267" ca="1" si="58">IF(AV222=0,0,(AW222-AV222)/AV222*100)</f>
        <v>14.216002367000973</v>
      </c>
      <c r="BH222" s="698">
        <f t="shared" ref="BH222:BH267" ca="1" si="59">IF(AW222=0,0,(AX222-AW222)/AW222*100)</f>
        <v>2.4941363362972262</v>
      </c>
      <c r="BI222" s="698">
        <f t="shared" ref="BI222:BI267" ca="1" si="60">IF(AX222=0,0,(AY222-AX222)/AX222*100)</f>
        <v>2.4956703478058397</v>
      </c>
      <c r="BJ222" s="698">
        <f t="shared" ref="BJ222:BJ267" ca="1" si="61">IF(AY222=0,0,(AZ222-AY222)/AY222*100)</f>
        <v>2.4453265527071415</v>
      </c>
      <c r="BK222" s="698">
        <f t="shared" ref="BK222:BK267" ca="1" si="62">IF(AZ222=0,0,(BA222-AZ222)/AZ222*100)</f>
        <v>-100</v>
      </c>
      <c r="BL222" s="698">
        <f t="shared" ref="BL222:BL267" ca="1" si="63">IF(BA222=0,0,(BB222-BA222)/BA222*100)</f>
        <v>0</v>
      </c>
      <c r="BM222" s="698">
        <f t="shared" ref="BM222:BM267" ca="1" si="64">IF(BB222=0,0,(BC222-BB222)/BB222*100)</f>
        <v>0</v>
      </c>
      <c r="BN222" s="1523"/>
      <c r="BO222" s="1523" t="s">
        <v>2178</v>
      </c>
      <c r="BP222" s="1523"/>
      <c r="BQ222" s="79"/>
      <c r="BR222" s="623"/>
      <c r="BS222" s="979" t="s">
        <v>1988</v>
      </c>
      <c r="BT222" s="979"/>
      <c r="BU222" s="979"/>
      <c r="BV222" s="630"/>
      <c r="BW222" s="630"/>
    </row>
    <row r="223" spans="1:75" s="1530" customFormat="1" ht="21.75" customHeight="1" x14ac:dyDescent="0.15">
      <c r="A223" s="623"/>
      <c r="B223" s="357"/>
      <c r="C223" s="28"/>
      <c r="D223" s="28"/>
      <c r="E223" s="745">
        <v>22.5</v>
      </c>
      <c r="F223" s="3" t="str" cm="1">
        <f t="array" aca="1" ref="F223" ca="1">OFFSET(E223,-1,1)</f>
        <v>1</v>
      </c>
      <c r="G223" s="290" t="str" cm="1">
        <f t="array" aca="1" ref="G223" ca="1">F222</f>
        <v>1</v>
      </c>
      <c r="H223" s="26"/>
      <c r="I223" s="26" t="s">
        <v>512</v>
      </c>
      <c r="J223" s="28"/>
      <c r="K223" s="77" t="s">
        <v>512</v>
      </c>
      <c r="L223" s="894" t="s">
        <v>498</v>
      </c>
      <c r="M223" s="28"/>
      <c r="N223" s="28"/>
      <c r="O223" s="28"/>
      <c r="P223" s="28"/>
      <c r="Q223" s="28"/>
      <c r="R223" s="28"/>
      <c r="S223" s="28"/>
      <c r="T223" s="388" t="b" cm="1">
        <f t="array" aca="1" ref="T223" ca="1">T222</f>
        <v>1</v>
      </c>
      <c r="U223" s="28"/>
      <c r="V223" s="28"/>
      <c r="W223" s="28"/>
      <c r="X223" s="2066"/>
      <c r="Y223" s="623"/>
      <c r="Z223" s="2012"/>
      <c r="AA223" s="623"/>
      <c r="AB223" s="130" t="s">
        <v>566</v>
      </c>
      <c r="AC223" s="277" t="s">
        <v>1989</v>
      </c>
      <c r="AD223" s="130" t="s">
        <v>831</v>
      </c>
      <c r="AE223" s="132">
        <f ca="1">SUM(AE224:AE234)</f>
        <v>9405.52</v>
      </c>
      <c r="AF223" s="132">
        <f ca="1">SUM(AF224:AF234)</f>
        <v>9055.64</v>
      </c>
      <c r="AG223" s="132">
        <f ca="1">SUM(AG224:AG234)</f>
        <v>7743.85</v>
      </c>
      <c r="AH223" s="698">
        <f t="shared" ca="1" si="53"/>
        <v>-1311.7899999999991</v>
      </c>
      <c r="AI223" s="132">
        <f t="shared" ref="AI223:BC223" ca="1" si="65">SUM(AI224:AI234)</f>
        <v>9866.39048</v>
      </c>
      <c r="AJ223" s="132">
        <f t="shared" ca="1" si="65"/>
        <v>10993.86</v>
      </c>
      <c r="AK223" s="132">
        <f t="shared" ca="1" si="65"/>
        <v>11577.92</v>
      </c>
      <c r="AL223" s="132">
        <f t="shared" ca="1" si="65"/>
        <v>12041.029999999999</v>
      </c>
      <c r="AM223" s="132">
        <f t="shared" ca="1" si="65"/>
        <v>12522.68</v>
      </c>
      <c r="AN223" s="132">
        <f t="shared" ca="1" si="65"/>
        <v>13023.58</v>
      </c>
      <c r="AO223" s="132">
        <f t="shared" ca="1" si="65"/>
        <v>13544.53</v>
      </c>
      <c r="AP223" s="132">
        <f t="shared" ca="1" si="65"/>
        <v>14086.31</v>
      </c>
      <c r="AQ223" s="132">
        <f t="shared" ca="1" si="65"/>
        <v>0</v>
      </c>
      <c r="AR223" s="132">
        <f t="shared" ca="1" si="65"/>
        <v>0</v>
      </c>
      <c r="AS223" s="132">
        <f t="shared" ca="1" si="65"/>
        <v>0</v>
      </c>
      <c r="AT223" s="132">
        <f t="shared" ca="1" si="65"/>
        <v>10012.23</v>
      </c>
      <c r="AU223" s="132">
        <f t="shared" ca="1" si="65"/>
        <v>10467.253660232</v>
      </c>
      <c r="AV223" s="132">
        <f t="shared" ca="1" si="65"/>
        <v>10781.271270039</v>
      </c>
      <c r="AW223" s="132">
        <f t="shared" ca="1" si="65"/>
        <v>11104.709408140099</v>
      </c>
      <c r="AX223" s="132">
        <f t="shared" ca="1" si="65"/>
        <v>11437.850690384301</v>
      </c>
      <c r="AY223" s="132">
        <f t="shared" ca="1" si="65"/>
        <v>11780.9862110959</v>
      </c>
      <c r="AZ223" s="132">
        <f t="shared" ca="1" si="65"/>
        <v>12134.415797428701</v>
      </c>
      <c r="BA223" s="132">
        <f t="shared" ca="1" si="65"/>
        <v>0</v>
      </c>
      <c r="BB223" s="132">
        <f t="shared" ca="1" si="65"/>
        <v>0</v>
      </c>
      <c r="BC223" s="132">
        <f t="shared" ca="1" si="65"/>
        <v>0</v>
      </c>
      <c r="BD223" s="698">
        <f t="shared" ca="1" si="55"/>
        <v>1.4781446193076229</v>
      </c>
      <c r="BE223" s="698">
        <f t="shared" ca="1" si="56"/>
        <v>4.5446784605627331</v>
      </c>
      <c r="BF223" s="698">
        <f t="shared" ca="1" si="57"/>
        <v>3.0000000000003872</v>
      </c>
      <c r="BG223" s="698">
        <f t="shared" ca="1" si="58"/>
        <v>2.999999999999341</v>
      </c>
      <c r="BH223" s="698">
        <f t="shared" ca="1" si="59"/>
        <v>2.999999999999988</v>
      </c>
      <c r="BI223" s="698">
        <f t="shared" ca="1" si="60"/>
        <v>3.0000000000006151</v>
      </c>
      <c r="BJ223" s="698">
        <f t="shared" ca="1" si="61"/>
        <v>2.9999999999993521</v>
      </c>
      <c r="BK223" s="698">
        <f t="shared" ca="1" si="62"/>
        <v>-100</v>
      </c>
      <c r="BL223" s="698">
        <f t="shared" ca="1" si="63"/>
        <v>0</v>
      </c>
      <c r="BM223" s="698">
        <f t="shared" ca="1" si="64"/>
        <v>0</v>
      </c>
      <c r="BN223" s="1524"/>
      <c r="BO223" s="1524"/>
      <c r="BP223" s="1524"/>
      <c r="BQ223" s="623"/>
      <c r="BR223" s="623"/>
      <c r="BS223" s="979" t="s">
        <v>1990</v>
      </c>
      <c r="BT223" s="979"/>
      <c r="BU223" s="979"/>
      <c r="BV223" s="630"/>
      <c r="BW223" s="630"/>
    </row>
    <row r="224" spans="1:75" s="1334" customFormat="1" ht="159.75" customHeight="1" x14ac:dyDescent="0.15">
      <c r="A224" s="1184"/>
      <c r="B224" s="887"/>
      <c r="C224" s="26"/>
      <c r="D224" s="26"/>
      <c r="E224" s="545">
        <v>15</v>
      </c>
      <c r="F224" s="3" t="str" cm="1">
        <f t="array" aca="1" ref="F224" ca="1">OFFSET(E224,-1,1)</f>
        <v>1</v>
      </c>
      <c r="G224" s="26" t="s">
        <v>1092</v>
      </c>
      <c r="H224" s="26"/>
      <c r="I224" s="26" t="s">
        <v>1529</v>
      </c>
      <c r="J224" s="26"/>
      <c r="K224" s="77" t="s">
        <v>1529</v>
      </c>
      <c r="L224" s="889" t="s">
        <v>1304</v>
      </c>
      <c r="M224" s="26"/>
      <c r="N224" s="26"/>
      <c r="O224" s="26"/>
      <c r="P224" s="26"/>
      <c r="Q224" s="26"/>
      <c r="R224" s="26"/>
      <c r="S224" s="26"/>
      <c r="T224" s="388" t="b" cm="1">
        <f t="array" aca="1" ref="T224" ca="1">T223</f>
        <v>1</v>
      </c>
      <c r="U224" s="26"/>
      <c r="V224" s="26"/>
      <c r="W224" s="26"/>
      <c r="X224" s="2066"/>
      <c r="Y224" s="1184"/>
      <c r="Z224" s="2012"/>
      <c r="AA224" s="1184"/>
      <c r="AB224" s="218" t="s">
        <v>520</v>
      </c>
      <c r="AC224" s="685" t="s">
        <v>1991</v>
      </c>
      <c r="AD224" s="218" t="s">
        <v>831</v>
      </c>
      <c r="AE224" s="1022">
        <f ca="1">SUMIFS(Покупка!AE$25:AE$117,Покупка!$F$25:$F$117,$F224,Покупка!$AC$25:$AC$117,$G224)</f>
        <v>9405.52</v>
      </c>
      <c r="AF224" s="1022">
        <f ca="1">SUMIFS(Покупка!AF$25:AF$117,Покупка!$F$25:$F$117,$F224,Покупка!$AC$25:$AC$117,$G224)</f>
        <v>9055.64</v>
      </c>
      <c r="AG224" s="1022">
        <f ca="1">SUMIFS(Покупка!AG$25:AG$117,Покупка!$F$25:$F$117,$F224,Покупка!$AC$25:$AC$117,$G224)</f>
        <v>7743.85</v>
      </c>
      <c r="AH224" s="1022">
        <f t="shared" ca="1" si="53"/>
        <v>-1311.7899999999991</v>
      </c>
      <c r="AI224" s="1022">
        <f ca="1">SUMIFS(Покупка!AH$25:AH$117,Покупка!$F$25:$F$117,$F224,Покупка!$AC$25:$AC$117,$G224)</f>
        <v>9866.39048</v>
      </c>
      <c r="AJ224" s="1022">
        <f ca="1">SUMIFS(Покупка!AI$25:AI$117,Покупка!$F$25:$F$117,$F224,Покупка!$AC$25:$AC$117,$G224)</f>
        <v>10993.86</v>
      </c>
      <c r="AK224" s="1022">
        <f ca="1">SUMIFS(Покупка!AJ$25:AJ$117,Покупка!$F$25:$F$117,$F224,Покупка!$AC$25:$AC$117,$G224)</f>
        <v>11475.68</v>
      </c>
      <c r="AL224" s="1022">
        <f ca="1">SUMIFS(Покупка!AK$25:AK$117,Покупка!$F$25:$F$117,$F224,Покупка!$AC$25:$AC$117,$G224)</f>
        <v>11934.71</v>
      </c>
      <c r="AM224" s="1022">
        <f ca="1">SUMIFS(Покупка!AL$25:AL$117,Покупка!$F$25:$F$117,$F224,Покупка!$AC$25:$AC$117,$G224)</f>
        <v>12412.1</v>
      </c>
      <c r="AN224" s="1022">
        <f ca="1">SUMIFS(Покупка!AM$25:AM$117,Покупка!$F$25:$F$117,$F224,Покупка!$AC$25:$AC$117,$G224)</f>
        <v>12908.58</v>
      </c>
      <c r="AO224" s="1022">
        <f ca="1">SUMIFS(Покупка!AN$25:AN$117,Покупка!$F$25:$F$117,$F224,Покупка!$AC$25:$AC$117,$G224)</f>
        <v>13424.93</v>
      </c>
      <c r="AP224" s="1022">
        <f ca="1">SUMIFS(Покупка!AO$25:AO$117,Покупка!$F$25:$F$117,$F224,Покупка!$AC$25:$AC$117,$G224)</f>
        <v>13961.92</v>
      </c>
      <c r="AQ224" s="1022">
        <f ca="1">SUMIFS(Покупка!AP$25:AP$117,Покупка!$F$25:$F$117,$F224,Покупка!$AC$25:$AC$117,$G224)</f>
        <v>0</v>
      </c>
      <c r="AR224" s="1022">
        <f ca="1">SUMIFS(Покупка!AQ$25:AQ$117,Покупка!$F$25:$F$117,$F224,Покупка!$AC$25:$AC$117,$G224)</f>
        <v>0</v>
      </c>
      <c r="AS224" s="1022">
        <f ca="1">SUMIFS(Покупка!AR$25:AR$117,Покупка!$F$25:$F$117,$F224,Покупка!$AC$25:$AC$117,$G224)</f>
        <v>0</v>
      </c>
      <c r="AT224" s="1022">
        <f ca="1">SUMIFS(Покупка!AS$25:AS$117,Покупка!$F$25:$F$117,$F224,Покупка!$AC$25:$AC$117,$G224)</f>
        <v>10012.23</v>
      </c>
      <c r="AU224" s="1022">
        <f ca="1">SUMIFS(Покупка!AT$25:AT$117,Покупка!$F$25:$F$117,$F224,Покупка!$AC$25:$AC$117,$G224)</f>
        <v>10467.253660232</v>
      </c>
      <c r="AV224" s="1022">
        <f ca="1">SUMIFS(Покупка!AU$25:AU$117,Покупка!$F$25:$F$117,$F224,Покупка!$AC$25:$AC$117,$G224)</f>
        <v>10781.271270039</v>
      </c>
      <c r="AW224" s="1022">
        <f ca="1">SUMIFS(Покупка!AV$25:AV$117,Покупка!$F$25:$F$117,$F224,Покупка!$AC$25:$AC$117,$G224)</f>
        <v>11104.709408140099</v>
      </c>
      <c r="AX224" s="1022">
        <f ca="1">SUMIFS(Покупка!AW$25:AW$117,Покупка!$F$25:$F$117,$F224,Покупка!$AC$25:$AC$117,$G224)</f>
        <v>11437.850690384301</v>
      </c>
      <c r="AY224" s="1022">
        <f ca="1">SUMIFS(Покупка!AX$25:AX$117,Покупка!$F$25:$F$117,$F224,Покупка!$AC$25:$AC$117,$G224)</f>
        <v>11780.9862110959</v>
      </c>
      <c r="AZ224" s="1022">
        <f ca="1">SUMIFS(Покупка!AY$25:AY$117,Покупка!$F$25:$F$117,$F224,Покупка!$AC$25:$AC$117,$G224)</f>
        <v>12134.415797428701</v>
      </c>
      <c r="BA224" s="1022">
        <f ca="1">SUMIFS(Покупка!AZ$25:AZ$117,Покупка!$F$25:$F$117,$F224,Покупка!$AC$25:$AC$117,$G224)</f>
        <v>0</v>
      </c>
      <c r="BB224" s="1022">
        <f ca="1">SUMIFS(Покупка!BA$25:BA$117,Покупка!$F$25:$F$117,$F224,Покупка!$AC$25:$AC$117,$G224)</f>
        <v>0</v>
      </c>
      <c r="BC224" s="1022">
        <f ca="1">SUMIFS(Покупка!BB$25:BB$117,Покупка!$F$25:$F$117,$F224,Покупка!$AC$25:$AC$117,$G224)</f>
        <v>0</v>
      </c>
      <c r="BD224" s="1022">
        <f t="shared" ca="1" si="55"/>
        <v>1.4781446193076229</v>
      </c>
      <c r="BE224" s="1022">
        <f t="shared" ca="1" si="56"/>
        <v>4.5446784605627331</v>
      </c>
      <c r="BF224" s="1022">
        <f t="shared" ca="1" si="57"/>
        <v>3.0000000000003872</v>
      </c>
      <c r="BG224" s="1022">
        <f t="shared" ca="1" si="58"/>
        <v>2.999999999999341</v>
      </c>
      <c r="BH224" s="1022">
        <f t="shared" ca="1" si="59"/>
        <v>2.999999999999988</v>
      </c>
      <c r="BI224" s="1022">
        <f t="shared" ca="1" si="60"/>
        <v>3.0000000000006151</v>
      </c>
      <c r="BJ224" s="1022">
        <f t="shared" ca="1" si="61"/>
        <v>2.9999999999993521</v>
      </c>
      <c r="BK224" s="1022">
        <f t="shared" ca="1" si="62"/>
        <v>-100</v>
      </c>
      <c r="BL224" s="1022">
        <f t="shared" ca="1" si="63"/>
        <v>0</v>
      </c>
      <c r="BM224" s="1022">
        <f t="shared" ca="1" si="64"/>
        <v>0</v>
      </c>
      <c r="BN224" s="1523" t="s">
        <v>2179</v>
      </c>
      <c r="BO224" s="1525" t="str">
        <f ca="1">IF(IFERROR(INDEX(Покупка!$K$26:$L$117,MATCH($F224&amp;"6komm",Покупка!$K$26:$K$117,0),2),"")=0,"",IFERROR(INDEX(Покупка!$K$26:$L$117,MATCH($F224&amp;"6komm",Покупка!$K$26:$K$117,0),2),""))</f>
        <v>учтено на 2026 год по расчету регулятора  по факту 2024 года в доле на водоснабжение 0,94, объемы учтены на основании представленных счет фактур: тепло 2436,85 Гкал, горячая вода - 295,85 м3, тарифы на 2024 год учтены в соответствии с постановлениями РЭК Кузбасса для ООО "ТеплоРесурс" от 19.12.2024 № 721, от 24.07.2025 №216 без НДС: на 9 мес. на уровне установленного постановлением тарифа на 2 пол 2025 года, на 3 мес. 2026 года учтено на уровне 9 мес. 2026 с ИПЦ МИнэкономразвития России на 2026 год 105,1%: тепло 1 пол 2026 - 4292,87 руб/Гкал, 2 пол - 4511,806 руб/Гкал, на горячую воду с неизолированными стояками без полотенцесушителей на 1 полугодие - 318,33 руб./м3., 2 полугодие 334,57 руб./м3, на 1 полугодие для горячей воды   с неизолированными стояками+полотенцесущитель, тариф применен в размере 338,77 руб./м3</v>
      </c>
      <c r="BP224" s="1523" t="s">
        <v>2180</v>
      </c>
      <c r="BQ224" s="1184"/>
      <c r="BR224" s="1184"/>
      <c r="BS224" s="973" t="s">
        <v>1093</v>
      </c>
      <c r="BT224" s="973"/>
      <c r="BU224" s="973"/>
      <c r="BV224" s="888"/>
      <c r="BW224" s="888"/>
    </row>
    <row r="225" spans="1:75" s="1334" customFormat="1" ht="14.25" customHeight="1" x14ac:dyDescent="0.15">
      <c r="A225" s="1184"/>
      <c r="B225" s="887"/>
      <c r="C225" s="26"/>
      <c r="D225" s="26"/>
      <c r="E225" s="545">
        <v>15</v>
      </c>
      <c r="F225" s="3" t="str" cm="1">
        <f t="array" aca="1" ref="F225" ca="1">OFFSET(E225,-1,1)</f>
        <v>1</v>
      </c>
      <c r="G225" s="26" t="s">
        <v>1094</v>
      </c>
      <c r="H225" s="26"/>
      <c r="I225" s="26" t="s">
        <v>1533</v>
      </c>
      <c r="J225" s="26"/>
      <c r="K225" s="26" t="s">
        <v>1533</v>
      </c>
      <c r="L225" s="889" t="s">
        <v>1308</v>
      </c>
      <c r="M225" s="26"/>
      <c r="N225" s="26"/>
      <c r="O225" s="26"/>
      <c r="P225" s="26"/>
      <c r="Q225" s="26"/>
      <c r="R225" s="26"/>
      <c r="S225" s="26"/>
      <c r="T225" s="388" t="b" cm="1">
        <f t="array" aca="1" ref="T225" ca="1">T224</f>
        <v>1</v>
      </c>
      <c r="U225" s="26"/>
      <c r="V225" s="26"/>
      <c r="W225" s="26"/>
      <c r="X225" s="2066"/>
      <c r="Y225" s="1184"/>
      <c r="Z225" s="2012"/>
      <c r="AA225" s="1184"/>
      <c r="AB225" s="218" t="s">
        <v>1992</v>
      </c>
      <c r="AC225" s="685" t="s">
        <v>1993</v>
      </c>
      <c r="AD225" s="218" t="s">
        <v>831</v>
      </c>
      <c r="AE225" s="1022">
        <f ca="1">SUMIFS(Покупка!AE$25:AE$117,Покупка!$F$25:$F$117,$F225,Покупка!$AC$25:$AC$117,$G225)</f>
        <v>0</v>
      </c>
      <c r="AF225" s="1022">
        <f ca="1">SUMIFS(Покупка!AF$25:AF$117,Покупка!$F$25:$F$117,$F225,Покупка!$AC$25:$AC$117,$G225)</f>
        <v>0</v>
      </c>
      <c r="AG225" s="1022">
        <f ca="1">SUMIFS(Покупка!AG$25:AG$117,Покупка!$F$25:$F$117,$F225,Покупка!$AC$25:$AC$117,$G225)</f>
        <v>0</v>
      </c>
      <c r="AH225" s="1022">
        <f t="shared" ca="1" si="53"/>
        <v>0</v>
      </c>
      <c r="AI225" s="1022">
        <f ca="1">SUMIFS(Покупка!AH$25:AH$117,Покупка!$F$25:$F$117,$F225,Покупка!$AC$25:$AC$117,$G225)</f>
        <v>0</v>
      </c>
      <c r="AJ225" s="1022">
        <f ca="1">SUMIFS(Покупка!AI$25:AI$117,Покупка!$F$25:$F$117,$F225,Покупка!$AC$25:$AC$117,$G225)</f>
        <v>0</v>
      </c>
      <c r="AK225" s="1022">
        <f ca="1">SUMIFS(Покупка!AJ$25:AJ$117,Покупка!$F$25:$F$117,$F225,Покупка!$AC$25:$AC$117,$G225)</f>
        <v>0</v>
      </c>
      <c r="AL225" s="1022">
        <f ca="1">SUMIFS(Покупка!AK$25:AK$117,Покупка!$F$25:$F$117,$F225,Покупка!$AC$25:$AC$117,$G225)</f>
        <v>0</v>
      </c>
      <c r="AM225" s="1022">
        <f ca="1">SUMIFS(Покупка!AL$25:AL$117,Покупка!$F$25:$F$117,$F225,Покупка!$AC$25:$AC$117,$G225)</f>
        <v>0</v>
      </c>
      <c r="AN225" s="1022">
        <f ca="1">SUMIFS(Покупка!AM$25:AM$117,Покупка!$F$25:$F$117,$F225,Покупка!$AC$25:$AC$117,$G225)</f>
        <v>0</v>
      </c>
      <c r="AO225" s="1022">
        <f ca="1">SUMIFS(Покупка!AN$25:AN$117,Покупка!$F$25:$F$117,$F225,Покупка!$AC$25:$AC$117,$G225)</f>
        <v>0</v>
      </c>
      <c r="AP225" s="1022">
        <f ca="1">SUMIFS(Покупка!AO$25:AO$117,Покупка!$F$25:$F$117,$F225,Покупка!$AC$25:$AC$117,$G225)</f>
        <v>0</v>
      </c>
      <c r="AQ225" s="1022">
        <f ca="1">SUMIFS(Покупка!AP$25:AP$117,Покупка!$F$25:$F$117,$F225,Покупка!$AC$25:$AC$117,$G225)</f>
        <v>0</v>
      </c>
      <c r="AR225" s="1022">
        <f ca="1">SUMIFS(Покупка!AQ$25:AQ$117,Покупка!$F$25:$F$117,$F225,Покупка!$AC$25:$AC$117,$G225)</f>
        <v>0</v>
      </c>
      <c r="AS225" s="1022">
        <f ca="1">SUMIFS(Покупка!AR$25:AR$117,Покупка!$F$25:$F$117,$F225,Покупка!$AC$25:$AC$117,$G225)</f>
        <v>0</v>
      </c>
      <c r="AT225" s="1022">
        <f ca="1">SUMIFS(Покупка!AS$25:AS$117,Покупка!$F$25:$F$117,$F225,Покупка!$AC$25:$AC$117,$G225)</f>
        <v>0</v>
      </c>
      <c r="AU225" s="1022">
        <f ca="1">SUMIFS(Покупка!AT$25:AT$117,Покупка!$F$25:$F$117,$F225,Покупка!$AC$25:$AC$117,$G225)</f>
        <v>0</v>
      </c>
      <c r="AV225" s="1022">
        <f ca="1">SUMIFS(Покупка!AU$25:AU$117,Покупка!$F$25:$F$117,$F225,Покупка!$AC$25:$AC$117,$G225)</f>
        <v>0</v>
      </c>
      <c r="AW225" s="1022">
        <f ca="1">SUMIFS(Покупка!AV$25:AV$117,Покупка!$F$25:$F$117,$F225,Покупка!$AC$25:$AC$117,$G225)</f>
        <v>0</v>
      </c>
      <c r="AX225" s="1022">
        <f ca="1">SUMIFS(Покупка!AW$25:AW$117,Покупка!$F$25:$F$117,$F225,Покупка!$AC$25:$AC$117,$G225)</f>
        <v>0</v>
      </c>
      <c r="AY225" s="1022">
        <f ca="1">SUMIFS(Покупка!AX$25:AX$117,Покупка!$F$25:$F$117,$F225,Покупка!$AC$25:$AC$117,$G225)</f>
        <v>0</v>
      </c>
      <c r="AZ225" s="1022">
        <f ca="1">SUMIFS(Покупка!AY$25:AY$117,Покупка!$F$25:$F$117,$F225,Покупка!$AC$25:$AC$117,$G225)</f>
        <v>0</v>
      </c>
      <c r="BA225" s="1022">
        <f ca="1">SUMIFS(Покупка!AZ$25:AZ$117,Покупка!$F$25:$F$117,$F225,Покупка!$AC$25:$AC$117,$G225)</f>
        <v>0</v>
      </c>
      <c r="BB225" s="1022">
        <f ca="1">SUMIFS(Покупка!BA$25:BA$117,Покупка!$F$25:$F$117,$F225,Покупка!$AC$25:$AC$117,$G225)</f>
        <v>0</v>
      </c>
      <c r="BC225" s="1022">
        <f ca="1">SUMIFS(Покупка!BB$25:BB$117,Покупка!$F$25:$F$117,$F225,Покупка!$AC$25:$AC$117,$G225)</f>
        <v>0</v>
      </c>
      <c r="BD225" s="1022">
        <f t="shared" ca="1" si="55"/>
        <v>0</v>
      </c>
      <c r="BE225" s="1022">
        <f t="shared" ca="1" si="56"/>
        <v>0</v>
      </c>
      <c r="BF225" s="1022">
        <f t="shared" ca="1" si="57"/>
        <v>0</v>
      </c>
      <c r="BG225" s="1022">
        <f t="shared" ca="1" si="58"/>
        <v>0</v>
      </c>
      <c r="BH225" s="1022">
        <f t="shared" ca="1" si="59"/>
        <v>0</v>
      </c>
      <c r="BI225" s="1022">
        <f t="shared" ca="1" si="60"/>
        <v>0</v>
      </c>
      <c r="BJ225" s="1022">
        <f t="shared" ca="1" si="61"/>
        <v>0</v>
      </c>
      <c r="BK225" s="1022">
        <f t="shared" ca="1" si="62"/>
        <v>0</v>
      </c>
      <c r="BL225" s="1022">
        <f t="shared" ca="1" si="63"/>
        <v>0</v>
      </c>
      <c r="BM225" s="1022">
        <f t="shared" ca="1" si="64"/>
        <v>0</v>
      </c>
      <c r="BN225" s="1523"/>
      <c r="BO225" s="1525" t="str">
        <f ca="1">IF(IFERROR(INDEX(Покупка!$K$26:$L$117,MATCH($F225&amp;"7komm",Покупка!$K$26:$K$117,0),2),"")=0,"",IFERROR(INDEX(Покупка!$K$26:$L$117,MATCH($F225&amp;"7komm",Покупка!$K$26:$K$117,0),2),""))</f>
        <v/>
      </c>
      <c r="BP225" s="1523"/>
      <c r="BQ225" s="1184"/>
      <c r="BR225" s="1184"/>
      <c r="BS225" s="973" t="s">
        <v>1095</v>
      </c>
      <c r="BT225" s="973"/>
      <c r="BU225" s="973"/>
      <c r="BV225" s="888"/>
      <c r="BW225" s="888"/>
    </row>
    <row r="226" spans="1:75" s="1334" customFormat="1" ht="14.25" customHeight="1" x14ac:dyDescent="0.15">
      <c r="A226" s="1184"/>
      <c r="B226" s="887"/>
      <c r="C226" s="26"/>
      <c r="D226" s="26"/>
      <c r="E226" s="545">
        <v>15</v>
      </c>
      <c r="F226" s="3" t="str" cm="1">
        <f t="array" aca="1" ref="F226" ca="1">OFFSET(E226,-1,1)</f>
        <v>1</v>
      </c>
      <c r="G226" s="26" t="s">
        <v>1069</v>
      </c>
      <c r="H226" s="26"/>
      <c r="I226" s="26" t="s">
        <v>1625</v>
      </c>
      <c r="J226" s="26"/>
      <c r="K226" s="26" t="s">
        <v>1625</v>
      </c>
      <c r="L226" s="889" t="s">
        <v>1478</v>
      </c>
      <c r="M226" s="26"/>
      <c r="N226" s="26"/>
      <c r="O226" s="26"/>
      <c r="P226" s="26"/>
      <c r="Q226" s="26"/>
      <c r="R226" s="26"/>
      <c r="S226" s="26"/>
      <c r="T226" s="388" t="b" cm="1">
        <f t="array" aca="1" ref="T226" ca="1">T225</f>
        <v>1</v>
      </c>
      <c r="U226" s="26"/>
      <c r="V226" s="26"/>
      <c r="W226" s="26"/>
      <c r="X226" s="2066"/>
      <c r="Y226" s="1184"/>
      <c r="Z226" s="2012"/>
      <c r="AA226" s="1184"/>
      <c r="AB226" s="218" t="s">
        <v>1994</v>
      </c>
      <c r="AC226" s="685" t="s">
        <v>1995</v>
      </c>
      <c r="AD226" s="218" t="s">
        <v>831</v>
      </c>
      <c r="AE226" s="1022">
        <f ca="1">SUMIFS(Покупка!AE$25:AE$117,Покупка!$F$25:$F$117,$F226,Покупка!$AC$25:$AC$117,$G226)</f>
        <v>0</v>
      </c>
      <c r="AF226" s="1022">
        <f ca="1">SUMIFS(Покупка!AF$25:AF$117,Покупка!$F$25:$F$117,$F226,Покупка!$AC$25:$AC$117,$G226)</f>
        <v>0</v>
      </c>
      <c r="AG226" s="1022">
        <f ca="1">SUMIFS(Покупка!AG$25:AG$117,Покупка!$F$25:$F$117,$F226,Покупка!$AC$25:$AC$117,$G226)</f>
        <v>0</v>
      </c>
      <c r="AH226" s="1022">
        <f t="shared" ca="1" si="53"/>
        <v>0</v>
      </c>
      <c r="AI226" s="1022">
        <f ca="1">SUMIFS(Покупка!AH$25:AH$117,Покупка!$F$25:$F$117,$F226,Покупка!$AC$25:$AC$117,$G226)</f>
        <v>0</v>
      </c>
      <c r="AJ226" s="1022">
        <f ca="1">SUMIFS(Покупка!AI$25:AI$117,Покупка!$F$25:$F$117,$F226,Покупка!$AC$25:$AC$117,$G226)</f>
        <v>0</v>
      </c>
      <c r="AK226" s="1022">
        <f ca="1">SUMIFS(Покупка!AJ$25:AJ$117,Покупка!$F$25:$F$117,$F226,Покупка!$AC$25:$AC$117,$G226)</f>
        <v>0</v>
      </c>
      <c r="AL226" s="1022">
        <f ca="1">SUMIFS(Покупка!AK$25:AK$117,Покупка!$F$25:$F$117,$F226,Покупка!$AC$25:$AC$117,$G226)</f>
        <v>0</v>
      </c>
      <c r="AM226" s="1022">
        <f ca="1">SUMIFS(Покупка!AL$25:AL$117,Покупка!$F$25:$F$117,$F226,Покупка!$AC$25:$AC$117,$G226)</f>
        <v>0</v>
      </c>
      <c r="AN226" s="1022">
        <f ca="1">SUMIFS(Покупка!AM$25:AM$117,Покупка!$F$25:$F$117,$F226,Покупка!$AC$25:$AC$117,$G226)</f>
        <v>0</v>
      </c>
      <c r="AO226" s="1022">
        <f ca="1">SUMIFS(Покупка!AN$25:AN$117,Покупка!$F$25:$F$117,$F226,Покупка!$AC$25:$AC$117,$G226)</f>
        <v>0</v>
      </c>
      <c r="AP226" s="1022">
        <f ca="1">SUMIFS(Покупка!AO$25:AO$117,Покупка!$F$25:$F$117,$F226,Покупка!$AC$25:$AC$117,$G226)</f>
        <v>0</v>
      </c>
      <c r="AQ226" s="1022">
        <f ca="1">SUMIFS(Покупка!AP$25:AP$117,Покупка!$F$25:$F$117,$F226,Покупка!$AC$25:$AC$117,$G226)</f>
        <v>0</v>
      </c>
      <c r="AR226" s="1022">
        <f ca="1">SUMIFS(Покупка!AQ$25:AQ$117,Покупка!$F$25:$F$117,$F226,Покупка!$AC$25:$AC$117,$G226)</f>
        <v>0</v>
      </c>
      <c r="AS226" s="1022">
        <f ca="1">SUMIFS(Покупка!AR$25:AR$117,Покупка!$F$25:$F$117,$F226,Покупка!$AC$25:$AC$117,$G226)</f>
        <v>0</v>
      </c>
      <c r="AT226" s="1022">
        <f ca="1">SUMIFS(Покупка!AS$25:AS$117,Покупка!$F$25:$F$117,$F226,Покупка!$AC$25:$AC$117,$G226)</f>
        <v>0</v>
      </c>
      <c r="AU226" s="1022">
        <f ca="1">SUMIFS(Покупка!AT$25:AT$117,Покупка!$F$25:$F$117,$F226,Покупка!$AC$25:$AC$117,$G226)</f>
        <v>0</v>
      </c>
      <c r="AV226" s="1022">
        <f ca="1">SUMIFS(Покупка!AU$25:AU$117,Покупка!$F$25:$F$117,$F226,Покупка!$AC$25:$AC$117,$G226)</f>
        <v>0</v>
      </c>
      <c r="AW226" s="1022">
        <f ca="1">SUMIFS(Покупка!AV$25:AV$117,Покупка!$F$25:$F$117,$F226,Покупка!$AC$25:$AC$117,$G226)</f>
        <v>0</v>
      </c>
      <c r="AX226" s="1022">
        <f ca="1">SUMIFS(Покупка!AW$25:AW$117,Покупка!$F$25:$F$117,$F226,Покупка!$AC$25:$AC$117,$G226)</f>
        <v>0</v>
      </c>
      <c r="AY226" s="1022">
        <f ca="1">SUMIFS(Покупка!AX$25:AX$117,Покупка!$F$25:$F$117,$F226,Покупка!$AC$25:$AC$117,$G226)</f>
        <v>0</v>
      </c>
      <c r="AZ226" s="1022">
        <f ca="1">SUMIFS(Покупка!AY$25:AY$117,Покупка!$F$25:$F$117,$F226,Покупка!$AC$25:$AC$117,$G226)</f>
        <v>0</v>
      </c>
      <c r="BA226" s="1022">
        <f ca="1">SUMIFS(Покупка!AZ$25:AZ$117,Покупка!$F$25:$F$117,$F226,Покупка!$AC$25:$AC$117,$G226)</f>
        <v>0</v>
      </c>
      <c r="BB226" s="1022">
        <f ca="1">SUMIFS(Покупка!BA$25:BA$117,Покупка!$F$25:$F$117,$F226,Покупка!$AC$25:$AC$117,$G226)</f>
        <v>0</v>
      </c>
      <c r="BC226" s="1022">
        <f ca="1">SUMIFS(Покупка!BB$25:BB$117,Покупка!$F$25:$F$117,$F226,Покупка!$AC$25:$AC$117,$G226)</f>
        <v>0</v>
      </c>
      <c r="BD226" s="1022">
        <f t="shared" ca="1" si="55"/>
        <v>0</v>
      </c>
      <c r="BE226" s="1022">
        <f t="shared" ca="1" si="56"/>
        <v>0</v>
      </c>
      <c r="BF226" s="1022">
        <f t="shared" ca="1" si="57"/>
        <v>0</v>
      </c>
      <c r="BG226" s="1022">
        <f t="shared" ca="1" si="58"/>
        <v>0</v>
      </c>
      <c r="BH226" s="1022">
        <f t="shared" ca="1" si="59"/>
        <v>0</v>
      </c>
      <c r="BI226" s="1022">
        <f t="shared" ca="1" si="60"/>
        <v>0</v>
      </c>
      <c r="BJ226" s="1022">
        <f t="shared" ca="1" si="61"/>
        <v>0</v>
      </c>
      <c r="BK226" s="1022">
        <f t="shared" ca="1" si="62"/>
        <v>0</v>
      </c>
      <c r="BL226" s="1022">
        <f t="shared" ca="1" si="63"/>
        <v>0</v>
      </c>
      <c r="BM226" s="1022">
        <f t="shared" ca="1" si="64"/>
        <v>0</v>
      </c>
      <c r="BN226" s="1523"/>
      <c r="BO226" s="1525" t="str">
        <f ca="1">IF(IFERROR(INDEX(Покупка!$K$26:$L$117,MATCH($F226&amp;"2komm",Покупка!$K$26:$K$117,0),2),"")=0,"",IFERROR(INDEX(Покупка!$K$26:$L$117,MATCH($F226&amp;"2komm",Покупка!$K$26:$K$117,0),2),""))</f>
        <v/>
      </c>
      <c r="BP226" s="1523"/>
      <c r="BQ226" s="1184"/>
      <c r="BR226" s="1184"/>
      <c r="BS226" s="973" t="s">
        <v>1996</v>
      </c>
      <c r="BT226" s="973"/>
      <c r="BU226" s="973"/>
      <c r="BV226" s="888"/>
      <c r="BW226" s="888"/>
    </row>
    <row r="227" spans="1:75" s="1334" customFormat="1" ht="14.25" customHeight="1" x14ac:dyDescent="0.15">
      <c r="A227" s="1184"/>
      <c r="B227" s="887"/>
      <c r="C227" s="26"/>
      <c r="D227" s="26"/>
      <c r="E227" s="545">
        <v>15</v>
      </c>
      <c r="F227" s="3" t="str" cm="1">
        <f t="array" aca="1" ref="F227" ca="1">OFFSET(E227,-1,1)</f>
        <v>1</v>
      </c>
      <c r="G227" s="26" t="s">
        <v>1060</v>
      </c>
      <c r="H227" s="26"/>
      <c r="I227" s="26" t="s">
        <v>1627</v>
      </c>
      <c r="J227" s="26"/>
      <c r="K227" s="26" t="s">
        <v>1627</v>
      </c>
      <c r="L227" s="889" t="s">
        <v>1473</v>
      </c>
      <c r="M227" s="26"/>
      <c r="N227" s="26"/>
      <c r="O227" s="26"/>
      <c r="P227" s="26"/>
      <c r="Q227" s="26"/>
      <c r="R227" s="26"/>
      <c r="S227" s="26"/>
      <c r="T227" s="388" t="b" cm="1">
        <f t="array" aca="1" ref="T227" ca="1">T226</f>
        <v>1</v>
      </c>
      <c r="U227" s="26"/>
      <c r="V227" s="26"/>
      <c r="W227" s="26"/>
      <c r="X227" s="2066"/>
      <c r="Y227" s="1184"/>
      <c r="Z227" s="2012"/>
      <c r="AA227" s="1184"/>
      <c r="AB227" s="218" t="s">
        <v>1997</v>
      </c>
      <c r="AC227" s="685" t="s">
        <v>1998</v>
      </c>
      <c r="AD227" s="218" t="s">
        <v>831</v>
      </c>
      <c r="AE227" s="1022">
        <f ca="1">SUMIFS(Покупка!AE$25:AE$117,Покупка!$F$25:$F$117,$F227,Покупка!$AC$25:$AC$117,$G227)</f>
        <v>0</v>
      </c>
      <c r="AF227" s="1022">
        <f ca="1">SUMIFS(Покупка!AF$25:AF$117,Покупка!$F$25:$F$117,$F227,Покупка!$AC$25:$AC$117,$G227)</f>
        <v>0</v>
      </c>
      <c r="AG227" s="1022">
        <f ca="1">SUMIFS(Покупка!AG$25:AG$117,Покупка!$F$25:$F$117,$F227,Покупка!$AC$25:$AC$117,$G227)</f>
        <v>0</v>
      </c>
      <c r="AH227" s="1022">
        <f t="shared" ca="1" si="53"/>
        <v>0</v>
      </c>
      <c r="AI227" s="1022">
        <f ca="1">SUMIFS(Покупка!AH$25:AH$117,Покупка!$F$25:$F$117,$F227,Покупка!$AC$25:$AC$117,$G227)</f>
        <v>0</v>
      </c>
      <c r="AJ227" s="1022">
        <f ca="1">SUMIFS(Покупка!AI$25:AI$117,Покупка!$F$25:$F$117,$F227,Покупка!$AC$25:$AC$117,$G227)</f>
        <v>0</v>
      </c>
      <c r="AK227" s="1022">
        <f ca="1">SUMIFS(Покупка!AJ$25:AJ$117,Покупка!$F$25:$F$117,$F227,Покупка!$AC$25:$AC$117,$G227)</f>
        <v>0</v>
      </c>
      <c r="AL227" s="1022">
        <f ca="1">SUMIFS(Покупка!AK$25:AK$117,Покупка!$F$25:$F$117,$F227,Покупка!$AC$25:$AC$117,$G227)</f>
        <v>0</v>
      </c>
      <c r="AM227" s="1022">
        <f ca="1">SUMIFS(Покупка!AL$25:AL$117,Покупка!$F$25:$F$117,$F227,Покупка!$AC$25:$AC$117,$G227)</f>
        <v>0</v>
      </c>
      <c r="AN227" s="1022">
        <f ca="1">SUMIFS(Покупка!AM$25:AM$117,Покупка!$F$25:$F$117,$F227,Покупка!$AC$25:$AC$117,$G227)</f>
        <v>0</v>
      </c>
      <c r="AO227" s="1022">
        <f ca="1">SUMIFS(Покупка!AN$25:AN$117,Покупка!$F$25:$F$117,$F227,Покупка!$AC$25:$AC$117,$G227)</f>
        <v>0</v>
      </c>
      <c r="AP227" s="1022">
        <f ca="1">SUMIFS(Покупка!AO$25:AO$117,Покупка!$F$25:$F$117,$F227,Покупка!$AC$25:$AC$117,$G227)</f>
        <v>0</v>
      </c>
      <c r="AQ227" s="1022">
        <f ca="1">SUMIFS(Покупка!AP$25:AP$117,Покупка!$F$25:$F$117,$F227,Покупка!$AC$25:$AC$117,$G227)</f>
        <v>0</v>
      </c>
      <c r="AR227" s="1022">
        <f ca="1">SUMIFS(Покупка!AQ$25:AQ$117,Покупка!$F$25:$F$117,$F227,Покупка!$AC$25:$AC$117,$G227)</f>
        <v>0</v>
      </c>
      <c r="AS227" s="1022">
        <f ca="1">SUMIFS(Покупка!AR$25:AR$117,Покупка!$F$25:$F$117,$F227,Покупка!$AC$25:$AC$117,$G227)</f>
        <v>0</v>
      </c>
      <c r="AT227" s="1022">
        <f ca="1">SUMIFS(Покупка!AS$25:AS$117,Покупка!$F$25:$F$117,$F227,Покупка!$AC$25:$AC$117,$G227)</f>
        <v>0</v>
      </c>
      <c r="AU227" s="1022">
        <f ca="1">SUMIFS(Покупка!AT$25:AT$117,Покупка!$F$25:$F$117,$F227,Покупка!$AC$25:$AC$117,$G227)</f>
        <v>0</v>
      </c>
      <c r="AV227" s="1022">
        <f ca="1">SUMIFS(Покупка!AU$25:AU$117,Покупка!$F$25:$F$117,$F227,Покупка!$AC$25:$AC$117,$G227)</f>
        <v>0</v>
      </c>
      <c r="AW227" s="1022">
        <f ca="1">SUMIFS(Покупка!AV$25:AV$117,Покупка!$F$25:$F$117,$F227,Покупка!$AC$25:$AC$117,$G227)</f>
        <v>0</v>
      </c>
      <c r="AX227" s="1022">
        <f ca="1">SUMIFS(Покупка!AW$25:AW$117,Покупка!$F$25:$F$117,$F227,Покупка!$AC$25:$AC$117,$G227)</f>
        <v>0</v>
      </c>
      <c r="AY227" s="1022">
        <f ca="1">SUMIFS(Покупка!AX$25:AX$117,Покупка!$F$25:$F$117,$F227,Покупка!$AC$25:$AC$117,$G227)</f>
        <v>0</v>
      </c>
      <c r="AZ227" s="1022">
        <f ca="1">SUMIFS(Покупка!AY$25:AY$117,Покупка!$F$25:$F$117,$F227,Покупка!$AC$25:$AC$117,$G227)</f>
        <v>0</v>
      </c>
      <c r="BA227" s="1022">
        <f ca="1">SUMIFS(Покупка!AZ$25:AZ$117,Покупка!$F$25:$F$117,$F227,Покупка!$AC$25:$AC$117,$G227)</f>
        <v>0</v>
      </c>
      <c r="BB227" s="1022">
        <f ca="1">SUMIFS(Покупка!BA$25:BA$117,Покупка!$F$25:$F$117,$F227,Покупка!$AC$25:$AC$117,$G227)</f>
        <v>0</v>
      </c>
      <c r="BC227" s="1022">
        <f ca="1">SUMIFS(Покупка!BB$25:BB$117,Покупка!$F$25:$F$117,$F227,Покупка!$AC$25:$AC$117,$G227)</f>
        <v>0</v>
      </c>
      <c r="BD227" s="1022">
        <f t="shared" ca="1" si="55"/>
        <v>0</v>
      </c>
      <c r="BE227" s="1022">
        <f t="shared" ca="1" si="56"/>
        <v>0</v>
      </c>
      <c r="BF227" s="1022">
        <f t="shared" ca="1" si="57"/>
        <v>0</v>
      </c>
      <c r="BG227" s="1022">
        <f t="shared" ca="1" si="58"/>
        <v>0</v>
      </c>
      <c r="BH227" s="1022">
        <f t="shared" ca="1" si="59"/>
        <v>0</v>
      </c>
      <c r="BI227" s="1022">
        <f t="shared" ca="1" si="60"/>
        <v>0</v>
      </c>
      <c r="BJ227" s="1022">
        <f t="shared" ca="1" si="61"/>
        <v>0</v>
      </c>
      <c r="BK227" s="1022">
        <f t="shared" ca="1" si="62"/>
        <v>0</v>
      </c>
      <c r="BL227" s="1022">
        <f t="shared" ca="1" si="63"/>
        <v>0</v>
      </c>
      <c r="BM227" s="1022">
        <f t="shared" ca="1" si="64"/>
        <v>0</v>
      </c>
      <c r="BN227" s="1523"/>
      <c r="BO227" s="1525" t="str">
        <f ca="1">IF(IFERROR(INDEX(Покупка!$K$26:$L$117,MATCH($F227&amp;"1komm",Покупка!$K$26:$K$117,0),2),"")=0,"",IFERROR(INDEX(Покупка!$K$26:$L$117,MATCH($F227&amp;"1komm",Покупка!$K$26:$K$117,0),2),""))</f>
        <v/>
      </c>
      <c r="BP227" s="1523"/>
      <c r="BQ227" s="1184"/>
      <c r="BR227" s="1184"/>
      <c r="BS227" s="973" t="s">
        <v>1999</v>
      </c>
      <c r="BT227" s="973"/>
      <c r="BU227" s="973"/>
      <c r="BV227" s="888"/>
      <c r="BW227" s="888"/>
    </row>
    <row r="228" spans="1:75" s="1334" customFormat="1" ht="14.25" customHeight="1" x14ac:dyDescent="0.15">
      <c r="A228" s="1184"/>
      <c r="B228" s="887"/>
      <c r="C228" s="26"/>
      <c r="D228" s="26"/>
      <c r="E228" s="545">
        <v>15</v>
      </c>
      <c r="F228" s="3" t="str" cm="1">
        <f t="array" aca="1" ref="F228" ca="1">OFFSET(E228,-1,1)</f>
        <v>1</v>
      </c>
      <c r="G228" s="26" t="s">
        <v>1096</v>
      </c>
      <c r="H228" s="26"/>
      <c r="I228" s="26" t="s">
        <v>1630</v>
      </c>
      <c r="J228" s="26"/>
      <c r="K228" s="26" t="s">
        <v>1630</v>
      </c>
      <c r="L228" s="889"/>
      <c r="M228" s="26"/>
      <c r="N228" s="26"/>
      <c r="O228" s="26"/>
      <c r="P228" s="26"/>
      <c r="Q228" s="26"/>
      <c r="R228" s="26"/>
      <c r="S228" s="26"/>
      <c r="T228" s="388" t="b" cm="1">
        <f t="array" aca="1" ref="T228" ca="1">T227</f>
        <v>1</v>
      </c>
      <c r="U228" s="26"/>
      <c r="V228" s="26"/>
      <c r="W228" s="26"/>
      <c r="X228" s="2066"/>
      <c r="Y228" s="1184"/>
      <c r="Z228" s="2012"/>
      <c r="AA228" s="1184"/>
      <c r="AB228" s="218" t="s">
        <v>2000</v>
      </c>
      <c r="AC228" s="685" t="s">
        <v>2001</v>
      </c>
      <c r="AD228" s="218" t="s">
        <v>831</v>
      </c>
      <c r="AE228" s="1022">
        <f ca="1">SUMIFS(Покупка!AE$25:AE$117,Покупка!$F$25:$F$117,$F228,Покупка!$AC$25:$AC$117,$G228)</f>
        <v>0</v>
      </c>
      <c r="AF228" s="1022">
        <f ca="1">SUMIFS(Покупка!AF$25:AF$117,Покупка!$F$25:$F$117,$F228,Покупка!$AC$25:$AC$117,$G228)</f>
        <v>0</v>
      </c>
      <c r="AG228" s="1022">
        <f ca="1">SUMIFS(Покупка!AG$25:AG$117,Покупка!$F$25:$F$117,$F228,Покупка!$AC$25:$AC$117,$G228)</f>
        <v>0</v>
      </c>
      <c r="AH228" s="1022">
        <f t="shared" ca="1" si="53"/>
        <v>0</v>
      </c>
      <c r="AI228" s="1022">
        <f ca="1">SUMIFS(Покупка!AH$25:AH$117,Покупка!$F$25:$F$117,$F228,Покупка!$AC$25:$AC$117,$G228)</f>
        <v>0</v>
      </c>
      <c r="AJ228" s="1022">
        <f ca="1">SUMIFS(Покупка!AI$25:AI$117,Покупка!$F$25:$F$117,$F228,Покупка!$AC$25:$AC$117,$G228)</f>
        <v>0</v>
      </c>
      <c r="AK228" s="1022">
        <f ca="1">SUMIFS(Покупка!AJ$25:AJ$117,Покупка!$F$25:$F$117,$F228,Покупка!$AC$25:$AC$117,$G228)</f>
        <v>102.24</v>
      </c>
      <c r="AL228" s="1022">
        <f ca="1">SUMIFS(Покупка!AK$25:AK$117,Покупка!$F$25:$F$117,$F228,Покупка!$AC$25:$AC$117,$G228)</f>
        <v>106.32</v>
      </c>
      <c r="AM228" s="1022">
        <f ca="1">SUMIFS(Покупка!AL$25:AL$117,Покупка!$F$25:$F$117,$F228,Покупка!$AC$25:$AC$117,$G228)</f>
        <v>110.58</v>
      </c>
      <c r="AN228" s="1022">
        <f ca="1">SUMIFS(Покупка!AM$25:AM$117,Покупка!$F$25:$F$117,$F228,Покупка!$AC$25:$AC$117,$G228)</f>
        <v>115</v>
      </c>
      <c r="AO228" s="1022">
        <f ca="1">SUMIFS(Покупка!AN$25:AN$117,Покупка!$F$25:$F$117,$F228,Покупка!$AC$25:$AC$117,$G228)</f>
        <v>119.6</v>
      </c>
      <c r="AP228" s="1022">
        <f ca="1">SUMIFS(Покупка!AO$25:AO$117,Покупка!$F$25:$F$117,$F228,Покупка!$AC$25:$AC$117,$G228)</f>
        <v>124.39</v>
      </c>
      <c r="AQ228" s="1022">
        <f ca="1">SUMIFS(Покупка!AP$25:AP$117,Покупка!$F$25:$F$117,$F228,Покупка!$AC$25:$AC$117,$G228)</f>
        <v>0</v>
      </c>
      <c r="AR228" s="1022">
        <f ca="1">SUMIFS(Покупка!AQ$25:AQ$117,Покупка!$F$25:$F$117,$F228,Покупка!$AC$25:$AC$117,$G228)</f>
        <v>0</v>
      </c>
      <c r="AS228" s="1022">
        <f ca="1">SUMIFS(Покупка!AR$25:AR$117,Покупка!$F$25:$F$117,$F228,Покупка!$AC$25:$AC$117,$G228)</f>
        <v>0</v>
      </c>
      <c r="AT228" s="1022">
        <f ca="1">SUMIFS(Покупка!AS$25:AS$117,Покупка!$F$25:$F$117,$F228,Покупка!$AC$25:$AC$117,$G228)</f>
        <v>0</v>
      </c>
      <c r="AU228" s="1022">
        <f ca="1">SUMIFS(Покупка!AT$25:AT$117,Покупка!$F$25:$F$117,$F228,Покупка!$AC$25:$AC$117,$G228)</f>
        <v>0</v>
      </c>
      <c r="AV228" s="1022">
        <f ca="1">SUMIFS(Покупка!AU$25:AU$117,Покупка!$F$25:$F$117,$F228,Покупка!$AC$25:$AC$117,$G228)</f>
        <v>0</v>
      </c>
      <c r="AW228" s="1022">
        <f ca="1">SUMIFS(Покупка!AV$25:AV$117,Покупка!$F$25:$F$117,$F228,Покупка!$AC$25:$AC$117,$G228)</f>
        <v>0</v>
      </c>
      <c r="AX228" s="1022">
        <f ca="1">SUMIFS(Покупка!AW$25:AW$117,Покупка!$F$25:$F$117,$F228,Покупка!$AC$25:$AC$117,$G228)</f>
        <v>0</v>
      </c>
      <c r="AY228" s="1022">
        <f ca="1">SUMIFS(Покупка!AX$25:AX$117,Покупка!$F$25:$F$117,$F228,Покупка!$AC$25:$AC$117,$G228)</f>
        <v>0</v>
      </c>
      <c r="AZ228" s="1022">
        <f ca="1">SUMIFS(Покупка!AY$25:AY$117,Покупка!$F$25:$F$117,$F228,Покупка!$AC$25:$AC$117,$G228)</f>
        <v>0</v>
      </c>
      <c r="BA228" s="1022">
        <f ca="1">SUMIFS(Покупка!AZ$25:AZ$117,Покупка!$F$25:$F$117,$F228,Покупка!$AC$25:$AC$117,$G228)</f>
        <v>0</v>
      </c>
      <c r="BB228" s="1022">
        <f ca="1">SUMIFS(Покупка!BA$25:BA$117,Покупка!$F$25:$F$117,$F228,Покупка!$AC$25:$AC$117,$G228)</f>
        <v>0</v>
      </c>
      <c r="BC228" s="1022">
        <f ca="1">SUMIFS(Покупка!BB$25:BB$117,Покупка!$F$25:$F$117,$F228,Покупка!$AC$25:$AC$117,$G228)</f>
        <v>0</v>
      </c>
      <c r="BD228" s="1022">
        <f t="shared" ca="1" si="55"/>
        <v>0</v>
      </c>
      <c r="BE228" s="1022">
        <f t="shared" ca="1" si="56"/>
        <v>0</v>
      </c>
      <c r="BF228" s="1022">
        <f t="shared" ca="1" si="57"/>
        <v>0</v>
      </c>
      <c r="BG228" s="1022">
        <f t="shared" ca="1" si="58"/>
        <v>0</v>
      </c>
      <c r="BH228" s="1022">
        <f t="shared" ca="1" si="59"/>
        <v>0</v>
      </c>
      <c r="BI228" s="1022">
        <f t="shared" ca="1" si="60"/>
        <v>0</v>
      </c>
      <c r="BJ228" s="1022">
        <f t="shared" ca="1" si="61"/>
        <v>0</v>
      </c>
      <c r="BK228" s="1022">
        <f t="shared" ca="1" si="62"/>
        <v>0</v>
      </c>
      <c r="BL228" s="1022">
        <f t="shared" ca="1" si="63"/>
        <v>0</v>
      </c>
      <c r="BM228" s="1022">
        <f t="shared" ca="1" si="64"/>
        <v>0</v>
      </c>
      <c r="BN228" s="1523"/>
      <c r="BO228" s="1525" t="str">
        <f ca="1">IF(IFERROR(INDEX(Покупка!$K$26:$L$117,MATCH($F228&amp;"8komm",Покупка!$K$26:$K$117,0),2),"")=0,"",IFERROR(INDEX(Покупка!$K$26:$L$117,MATCH($F228&amp;"8komm",Покупка!$K$26:$K$117,0),2),""))</f>
        <v/>
      </c>
      <c r="BP228" s="1523"/>
      <c r="BQ228" s="1184"/>
      <c r="BR228" s="1184"/>
      <c r="BS228" s="973" t="s">
        <v>1097</v>
      </c>
      <c r="BT228" s="973"/>
      <c r="BU228" s="973"/>
      <c r="BV228" s="888"/>
      <c r="BW228" s="888"/>
    </row>
    <row r="229" spans="1:75" s="1334" customFormat="1" ht="14.25" customHeight="1" x14ac:dyDescent="0.15">
      <c r="A229" s="1184"/>
      <c r="B229" s="887"/>
      <c r="C229" s="26"/>
      <c r="D229" s="26"/>
      <c r="E229" s="545">
        <v>15</v>
      </c>
      <c r="F229" s="3" t="str" cm="1">
        <f t="array" aca="1" ref="F229" ca="1">OFFSET(E229,-1,1)</f>
        <v>1</v>
      </c>
      <c r="G229" s="26"/>
      <c r="H229" s="26"/>
      <c r="I229" s="26" t="s">
        <v>2002</v>
      </c>
      <c r="J229" s="26"/>
      <c r="K229" s="26" t="s">
        <v>2002</v>
      </c>
      <c r="L229" s="889"/>
      <c r="M229" s="26"/>
      <c r="N229" s="26"/>
      <c r="O229" s="26"/>
      <c r="P229" s="26"/>
      <c r="Q229" s="26"/>
      <c r="R229" s="26"/>
      <c r="S229" s="26"/>
      <c r="T229" s="388" t="b" cm="1">
        <f t="array" aca="1" ref="T229" ca="1">T228</f>
        <v>1</v>
      </c>
      <c r="U229" s="26"/>
      <c r="V229" s="26"/>
      <c r="W229" s="26"/>
      <c r="X229" s="2066"/>
      <c r="Y229" s="1184"/>
      <c r="Z229" s="2012"/>
      <c r="AA229" s="1184"/>
      <c r="AB229" s="218" t="s">
        <v>2003</v>
      </c>
      <c r="AC229" s="685" t="s">
        <v>2004</v>
      </c>
      <c r="AD229" s="218" t="s">
        <v>831</v>
      </c>
      <c r="AE229" s="1514"/>
      <c r="AF229" s="1514"/>
      <c r="AG229" s="1514"/>
      <c r="AH229" s="1022">
        <f t="shared" si="53"/>
        <v>0</v>
      </c>
      <c r="AI229" s="1514"/>
      <c r="AJ229" s="1514"/>
      <c r="AK229" s="1148"/>
      <c r="AL229" s="1148"/>
      <c r="AM229" s="1148"/>
      <c r="AN229" s="1148"/>
      <c r="AO229" s="1148"/>
      <c r="AP229" s="1148"/>
      <c r="AQ229" s="1514"/>
      <c r="AR229" s="1514"/>
      <c r="AS229" s="1514"/>
      <c r="AT229" s="1514"/>
      <c r="AU229" s="1148"/>
      <c r="AV229" s="1148"/>
      <c r="AW229" s="1148"/>
      <c r="AX229" s="1148"/>
      <c r="AY229" s="1148"/>
      <c r="AZ229" s="1148"/>
      <c r="BA229" s="1514"/>
      <c r="BB229" s="1514"/>
      <c r="BC229" s="1514"/>
      <c r="BD229" s="1022">
        <f t="shared" si="55"/>
        <v>0</v>
      </c>
      <c r="BE229" s="1022">
        <f t="shared" si="56"/>
        <v>0</v>
      </c>
      <c r="BF229" s="1022">
        <f t="shared" si="57"/>
        <v>0</v>
      </c>
      <c r="BG229" s="1022">
        <f t="shared" si="58"/>
        <v>0</v>
      </c>
      <c r="BH229" s="1022">
        <f t="shared" si="59"/>
        <v>0</v>
      </c>
      <c r="BI229" s="1022">
        <f t="shared" si="60"/>
        <v>0</v>
      </c>
      <c r="BJ229" s="1022">
        <f t="shared" si="61"/>
        <v>0</v>
      </c>
      <c r="BK229" s="1022">
        <f t="shared" si="62"/>
        <v>0</v>
      </c>
      <c r="BL229" s="1022">
        <f t="shared" si="63"/>
        <v>0</v>
      </c>
      <c r="BM229" s="1022">
        <f t="shared" si="64"/>
        <v>0</v>
      </c>
      <c r="BN229" s="1523"/>
      <c r="BO229" s="1523"/>
      <c r="BP229" s="1523"/>
      <c r="BQ229" s="1184"/>
      <c r="BR229" s="1184"/>
      <c r="BS229" s="973" t="s">
        <v>2005</v>
      </c>
      <c r="BT229" s="973"/>
      <c r="BU229" s="973"/>
      <c r="BV229" s="888"/>
      <c r="BW229" s="888"/>
    </row>
    <row r="230" spans="1:75" s="1334" customFormat="1" ht="14.25" customHeight="1" x14ac:dyDescent="0.15">
      <c r="A230" s="1184"/>
      <c r="B230" s="887"/>
      <c r="C230" s="26"/>
      <c r="D230" s="26"/>
      <c r="E230" s="545">
        <v>15</v>
      </c>
      <c r="F230" s="3" t="str" cm="1">
        <f t="array" aca="1" ref="F230" ca="1">OFFSET(E230,-1,1)</f>
        <v>1</v>
      </c>
      <c r="G230" s="26"/>
      <c r="H230" s="26"/>
      <c r="I230" s="26" t="s">
        <v>2006</v>
      </c>
      <c r="J230" s="26"/>
      <c r="K230" s="26" t="s">
        <v>2006</v>
      </c>
      <c r="L230" s="889"/>
      <c r="M230" s="26"/>
      <c r="N230" s="26"/>
      <c r="O230" s="26"/>
      <c r="P230" s="26"/>
      <c r="Q230" s="26"/>
      <c r="R230" s="26"/>
      <c r="S230" s="26"/>
      <c r="T230" s="388" t="b" cm="1">
        <f t="array" aca="1" ref="T230" ca="1">T229</f>
        <v>1</v>
      </c>
      <c r="U230" s="26"/>
      <c r="V230" s="26"/>
      <c r="W230" s="26"/>
      <c r="X230" s="2066"/>
      <c r="Y230" s="1184"/>
      <c r="Z230" s="2012"/>
      <c r="AA230" s="1184"/>
      <c r="AB230" s="218" t="s">
        <v>2007</v>
      </c>
      <c r="AC230" s="685" t="s">
        <v>2008</v>
      </c>
      <c r="AD230" s="218" t="s">
        <v>831</v>
      </c>
      <c r="AE230" s="1514"/>
      <c r="AF230" s="1514"/>
      <c r="AG230" s="1514"/>
      <c r="AH230" s="1022">
        <f t="shared" si="53"/>
        <v>0</v>
      </c>
      <c r="AI230" s="1514"/>
      <c r="AJ230" s="1514"/>
      <c r="AK230" s="1148"/>
      <c r="AL230" s="1148"/>
      <c r="AM230" s="1148"/>
      <c r="AN230" s="1148"/>
      <c r="AO230" s="1148"/>
      <c r="AP230" s="1148"/>
      <c r="AQ230" s="1514"/>
      <c r="AR230" s="1514"/>
      <c r="AS230" s="1514"/>
      <c r="AT230" s="1514"/>
      <c r="AU230" s="1148"/>
      <c r="AV230" s="1148"/>
      <c r="AW230" s="1148"/>
      <c r="AX230" s="1148"/>
      <c r="AY230" s="1148"/>
      <c r="AZ230" s="1148"/>
      <c r="BA230" s="1514"/>
      <c r="BB230" s="1514"/>
      <c r="BC230" s="1514"/>
      <c r="BD230" s="1022">
        <f t="shared" si="55"/>
        <v>0</v>
      </c>
      <c r="BE230" s="1022">
        <f t="shared" si="56"/>
        <v>0</v>
      </c>
      <c r="BF230" s="1022">
        <f t="shared" si="57"/>
        <v>0</v>
      </c>
      <c r="BG230" s="1022">
        <f t="shared" si="58"/>
        <v>0</v>
      </c>
      <c r="BH230" s="1022">
        <f t="shared" si="59"/>
        <v>0</v>
      </c>
      <c r="BI230" s="1022">
        <f t="shared" si="60"/>
        <v>0</v>
      </c>
      <c r="BJ230" s="1022">
        <f t="shared" si="61"/>
        <v>0</v>
      </c>
      <c r="BK230" s="1022">
        <f t="shared" si="62"/>
        <v>0</v>
      </c>
      <c r="BL230" s="1022">
        <f t="shared" si="63"/>
        <v>0</v>
      </c>
      <c r="BM230" s="1022">
        <f t="shared" si="64"/>
        <v>0</v>
      </c>
      <c r="BN230" s="1523"/>
      <c r="BO230" s="1523"/>
      <c r="BP230" s="1523"/>
      <c r="BQ230" s="1184"/>
      <c r="BR230" s="1184"/>
      <c r="BS230" s="973" t="s">
        <v>2009</v>
      </c>
      <c r="BT230" s="973"/>
      <c r="BU230" s="973"/>
      <c r="BV230" s="888"/>
      <c r="BW230" s="888"/>
    </row>
    <row r="231" spans="1:75" s="1334" customFormat="1" ht="14.25" customHeight="1" x14ac:dyDescent="0.15">
      <c r="A231" s="1184"/>
      <c r="B231" s="887"/>
      <c r="C231" s="26"/>
      <c r="D231" s="26"/>
      <c r="E231" s="545">
        <v>15</v>
      </c>
      <c r="F231" s="3" t="str" cm="1">
        <f t="array" aca="1" ref="F231" ca="1">OFFSET(E231,-1,1)</f>
        <v>1</v>
      </c>
      <c r="G231" s="26" t="s">
        <v>1074</v>
      </c>
      <c r="H231" s="26"/>
      <c r="I231" s="26" t="s">
        <v>2010</v>
      </c>
      <c r="J231" s="26"/>
      <c r="K231" s="26" t="s">
        <v>2010</v>
      </c>
      <c r="L231" s="889" t="s">
        <v>1487</v>
      </c>
      <c r="M231" s="26"/>
      <c r="N231" s="26"/>
      <c r="O231" s="26"/>
      <c r="P231" s="26"/>
      <c r="Q231" s="26"/>
      <c r="R231" s="26"/>
      <c r="S231" s="26"/>
      <c r="T231" s="388" t="b" cm="1">
        <f t="array" aca="1" ref="T231" ca="1">T230</f>
        <v>1</v>
      </c>
      <c r="U231" s="26"/>
      <c r="V231" s="26"/>
      <c r="W231" s="26"/>
      <c r="X231" s="2066"/>
      <c r="Y231" s="1184"/>
      <c r="Z231" s="2012"/>
      <c r="AA231" s="1184"/>
      <c r="AB231" s="218" t="s">
        <v>2011</v>
      </c>
      <c r="AC231" s="685" t="s">
        <v>2012</v>
      </c>
      <c r="AD231" s="218" t="s">
        <v>831</v>
      </c>
      <c r="AE231" s="1022">
        <f ca="1">SUMIFS(Покупка!AE$25:AE$117,Покупка!$F$25:$F$117,$F231,Покупка!$AC$25:$AC$117,$G231)</f>
        <v>0</v>
      </c>
      <c r="AF231" s="1022">
        <f ca="1">SUMIFS(Покупка!AF$25:AF$117,Покупка!$F$25:$F$117,$F231,Покупка!$AC$25:$AC$117,$G231)</f>
        <v>0</v>
      </c>
      <c r="AG231" s="1022">
        <f ca="1">SUMIFS(Покупка!AG$25:AG$117,Покупка!$F$25:$F$117,$F231,Покупка!$AC$25:$AC$117,$G231)</f>
        <v>0</v>
      </c>
      <c r="AH231" s="1022">
        <f t="shared" ca="1" si="53"/>
        <v>0</v>
      </c>
      <c r="AI231" s="1022">
        <f ca="1">SUMIFS(Покупка!AH$25:AH$117,Покупка!$F$25:$F$117,$F231,Покупка!$AC$25:$AC$117,$G231)</f>
        <v>0</v>
      </c>
      <c r="AJ231" s="1022">
        <f ca="1">SUMIFS(Покупка!AI$25:AI$117,Покупка!$F$25:$F$117,$F231,Покупка!$AC$25:$AC$117,$G231)</f>
        <v>0</v>
      </c>
      <c r="AK231" s="1022">
        <f ca="1">SUMIFS(Покупка!AJ$25:AJ$117,Покупка!$F$25:$F$117,$F231,Покупка!$AC$25:$AC$117,$G231)</f>
        <v>0</v>
      </c>
      <c r="AL231" s="1022">
        <f ca="1">SUMIFS(Покупка!AK$25:AK$117,Покупка!$F$25:$F$117,$F231,Покупка!$AC$25:$AC$117,$G231)</f>
        <v>0</v>
      </c>
      <c r="AM231" s="1022">
        <f ca="1">SUMIFS(Покупка!AL$25:AL$117,Покупка!$F$25:$F$117,$F231,Покупка!$AC$25:$AC$117,$G231)</f>
        <v>0</v>
      </c>
      <c r="AN231" s="1022">
        <f ca="1">SUMIFS(Покупка!AM$25:AM$117,Покупка!$F$25:$F$117,$F231,Покупка!$AC$25:$AC$117,$G231)</f>
        <v>0</v>
      </c>
      <c r="AO231" s="1022">
        <f ca="1">SUMIFS(Покупка!AN$25:AN$117,Покупка!$F$25:$F$117,$F231,Покупка!$AC$25:$AC$117,$G231)</f>
        <v>0</v>
      </c>
      <c r="AP231" s="1022">
        <f ca="1">SUMIFS(Покупка!AO$25:AO$117,Покупка!$F$25:$F$117,$F231,Покупка!$AC$25:$AC$117,$G231)</f>
        <v>0</v>
      </c>
      <c r="AQ231" s="1022">
        <f ca="1">SUMIFS(Покупка!AP$25:AP$117,Покупка!$F$25:$F$117,$F231,Покупка!$AC$25:$AC$117,$G231)</f>
        <v>0</v>
      </c>
      <c r="AR231" s="1022">
        <f ca="1">SUMIFS(Покупка!AQ$25:AQ$117,Покупка!$F$25:$F$117,$F231,Покупка!$AC$25:$AC$117,$G231)</f>
        <v>0</v>
      </c>
      <c r="AS231" s="1022">
        <f ca="1">SUMIFS(Покупка!AR$25:AR$117,Покупка!$F$25:$F$117,$F231,Покупка!$AC$25:$AC$117,$G231)</f>
        <v>0</v>
      </c>
      <c r="AT231" s="1022">
        <f ca="1">SUMIFS(Покупка!AS$25:AS$117,Покупка!$F$25:$F$117,$F231,Покупка!$AC$25:$AC$117,$G231)</f>
        <v>0</v>
      </c>
      <c r="AU231" s="1022">
        <f ca="1">SUMIFS(Покупка!AT$25:AT$117,Покупка!$F$25:$F$117,$F231,Покупка!$AC$25:$AC$117,$G231)</f>
        <v>0</v>
      </c>
      <c r="AV231" s="1022">
        <f ca="1">SUMIFS(Покупка!AU$25:AU$117,Покупка!$F$25:$F$117,$F231,Покупка!$AC$25:$AC$117,$G231)</f>
        <v>0</v>
      </c>
      <c r="AW231" s="1022">
        <f ca="1">SUMIFS(Покупка!AV$25:AV$117,Покупка!$F$25:$F$117,$F231,Покупка!$AC$25:$AC$117,$G231)</f>
        <v>0</v>
      </c>
      <c r="AX231" s="1022">
        <f ca="1">SUMIFS(Покупка!AW$25:AW$117,Покупка!$F$25:$F$117,$F231,Покупка!$AC$25:$AC$117,$G231)</f>
        <v>0</v>
      </c>
      <c r="AY231" s="1022">
        <f ca="1">SUMIFS(Покупка!AX$25:AX$117,Покупка!$F$25:$F$117,$F231,Покупка!$AC$25:$AC$117,$G231)</f>
        <v>0</v>
      </c>
      <c r="AZ231" s="1022">
        <f ca="1">SUMIFS(Покупка!AY$25:AY$117,Покупка!$F$25:$F$117,$F231,Покупка!$AC$25:$AC$117,$G231)</f>
        <v>0</v>
      </c>
      <c r="BA231" s="1022">
        <f ca="1">SUMIFS(Покупка!AZ$25:AZ$117,Покупка!$F$25:$F$117,$F231,Покупка!$AC$25:$AC$117,$G231)</f>
        <v>0</v>
      </c>
      <c r="BB231" s="1022">
        <f ca="1">SUMIFS(Покупка!BA$25:BA$117,Покупка!$F$25:$F$117,$F231,Покупка!$AC$25:$AC$117,$G231)</f>
        <v>0</v>
      </c>
      <c r="BC231" s="1022">
        <f ca="1">SUMIFS(Покупка!BB$25:BB$117,Покупка!$F$25:$F$117,$F231,Покупка!$AC$25:$AC$117,$G231)</f>
        <v>0</v>
      </c>
      <c r="BD231" s="1022">
        <f t="shared" ca="1" si="55"/>
        <v>0</v>
      </c>
      <c r="BE231" s="1022">
        <f t="shared" ca="1" si="56"/>
        <v>0</v>
      </c>
      <c r="BF231" s="1022">
        <f t="shared" ca="1" si="57"/>
        <v>0</v>
      </c>
      <c r="BG231" s="1022">
        <f t="shared" ca="1" si="58"/>
        <v>0</v>
      </c>
      <c r="BH231" s="1022">
        <f t="shared" ca="1" si="59"/>
        <v>0</v>
      </c>
      <c r="BI231" s="1022">
        <f t="shared" ca="1" si="60"/>
        <v>0</v>
      </c>
      <c r="BJ231" s="1022">
        <f t="shared" ca="1" si="61"/>
        <v>0</v>
      </c>
      <c r="BK231" s="1022">
        <f t="shared" ca="1" si="62"/>
        <v>0</v>
      </c>
      <c r="BL231" s="1022">
        <f t="shared" ca="1" si="63"/>
        <v>0</v>
      </c>
      <c r="BM231" s="1022">
        <f t="shared" ca="1" si="64"/>
        <v>0</v>
      </c>
      <c r="BN231" s="1523"/>
      <c r="BO231" s="1525" t="str">
        <f ca="1">IF(IFERROR(INDEX(Покупка!$K$26:$L$117,MATCH($F231&amp;"3komm",Покупка!$K$26:$K$117,0),2),"")=0,"",IFERROR(INDEX(Покупка!$K$26:$L$117,MATCH($F231&amp;"3komm",Покупка!$K$26:$K$117,0),2),""))</f>
        <v/>
      </c>
      <c r="BP231" s="1523"/>
      <c r="BQ231" s="1184"/>
      <c r="BR231" s="1184"/>
      <c r="BS231" s="973" t="s">
        <v>1705</v>
      </c>
      <c r="BT231" s="973"/>
      <c r="BU231" s="973"/>
      <c r="BV231" s="888"/>
      <c r="BW231" s="888"/>
    </row>
    <row r="232" spans="1:75" s="1334" customFormat="1" ht="14.25" customHeight="1" x14ac:dyDescent="0.15">
      <c r="A232" s="1184"/>
      <c r="B232" s="887"/>
      <c r="C232" s="26"/>
      <c r="D232" s="26"/>
      <c r="E232" s="545">
        <v>15</v>
      </c>
      <c r="F232" s="3" t="str" cm="1">
        <f t="array" aca="1" ref="F232" ca="1">OFFSET(E232,-1,1)</f>
        <v>1</v>
      </c>
      <c r="G232" s="26" t="s">
        <v>1080</v>
      </c>
      <c r="H232" s="26"/>
      <c r="I232" s="26" t="s">
        <v>2013</v>
      </c>
      <c r="J232" s="26"/>
      <c r="K232" s="26" t="s">
        <v>2013</v>
      </c>
      <c r="L232" s="889" t="s">
        <v>1492</v>
      </c>
      <c r="M232" s="26"/>
      <c r="N232" s="26"/>
      <c r="O232" s="26"/>
      <c r="P232" s="26"/>
      <c r="Q232" s="26"/>
      <c r="R232" s="26"/>
      <c r="S232" s="26"/>
      <c r="T232" s="388" t="b" cm="1">
        <f t="array" aca="1" ref="T232" ca="1">T231</f>
        <v>1</v>
      </c>
      <c r="U232" s="26"/>
      <c r="V232" s="26"/>
      <c r="W232" s="26"/>
      <c r="X232" s="2066"/>
      <c r="Y232" s="1184"/>
      <c r="Z232" s="2012"/>
      <c r="AA232" s="1184"/>
      <c r="AB232" s="218" t="s">
        <v>2014</v>
      </c>
      <c r="AC232" s="685" t="s">
        <v>2015</v>
      </c>
      <c r="AD232" s="218" t="s">
        <v>831</v>
      </c>
      <c r="AE232" s="1022">
        <f ca="1">SUMIFS(Покупка!AE$25:AE$117,Покупка!$F$25:$F$117,$F232,Покупка!$AC$25:$AC$117,$G232)</f>
        <v>0</v>
      </c>
      <c r="AF232" s="1022">
        <f ca="1">SUMIFS(Покупка!AF$25:AF$117,Покупка!$F$25:$F$117,$F232,Покупка!$AC$25:$AC$117,$G232)</f>
        <v>0</v>
      </c>
      <c r="AG232" s="1022">
        <f ca="1">SUMIFS(Покупка!AG$25:AG$117,Покупка!$F$25:$F$117,$F232,Покупка!$AC$25:$AC$117,$G232)</f>
        <v>0</v>
      </c>
      <c r="AH232" s="1022">
        <f t="shared" ca="1" si="53"/>
        <v>0</v>
      </c>
      <c r="AI232" s="1022">
        <f ca="1">SUMIFS(Покупка!AH$25:AH$117,Покупка!$F$25:$F$117,$F232,Покупка!$AC$25:$AC$117,$G232)</f>
        <v>0</v>
      </c>
      <c r="AJ232" s="1022">
        <f ca="1">SUMIFS(Покупка!AI$25:AI$117,Покупка!$F$25:$F$117,$F232,Покупка!$AC$25:$AC$117,$G232)</f>
        <v>0</v>
      </c>
      <c r="AK232" s="1022">
        <f ca="1">SUMIFS(Покупка!AJ$25:AJ$117,Покупка!$F$25:$F$117,$F232,Покупка!$AC$25:$AC$117,$G232)</f>
        <v>0</v>
      </c>
      <c r="AL232" s="1022">
        <f ca="1">SUMIFS(Покупка!AK$25:AK$117,Покупка!$F$25:$F$117,$F232,Покупка!$AC$25:$AC$117,$G232)</f>
        <v>0</v>
      </c>
      <c r="AM232" s="1022">
        <f ca="1">SUMIFS(Покупка!AL$25:AL$117,Покупка!$F$25:$F$117,$F232,Покупка!$AC$25:$AC$117,$G232)</f>
        <v>0</v>
      </c>
      <c r="AN232" s="1022">
        <f ca="1">SUMIFS(Покупка!AM$25:AM$117,Покупка!$F$25:$F$117,$F232,Покупка!$AC$25:$AC$117,$G232)</f>
        <v>0</v>
      </c>
      <c r="AO232" s="1022">
        <f ca="1">SUMIFS(Покупка!AN$25:AN$117,Покупка!$F$25:$F$117,$F232,Покупка!$AC$25:$AC$117,$G232)</f>
        <v>0</v>
      </c>
      <c r="AP232" s="1022">
        <f ca="1">SUMIFS(Покупка!AO$25:AO$117,Покупка!$F$25:$F$117,$F232,Покупка!$AC$25:$AC$117,$G232)</f>
        <v>0</v>
      </c>
      <c r="AQ232" s="1022">
        <f ca="1">SUMIFS(Покупка!AP$25:AP$117,Покупка!$F$25:$F$117,$F232,Покупка!$AC$25:$AC$117,$G232)</f>
        <v>0</v>
      </c>
      <c r="AR232" s="1022">
        <f ca="1">SUMIFS(Покупка!AQ$25:AQ$117,Покупка!$F$25:$F$117,$F232,Покупка!$AC$25:$AC$117,$G232)</f>
        <v>0</v>
      </c>
      <c r="AS232" s="1022">
        <f ca="1">SUMIFS(Покупка!AR$25:AR$117,Покупка!$F$25:$F$117,$F232,Покупка!$AC$25:$AC$117,$G232)</f>
        <v>0</v>
      </c>
      <c r="AT232" s="1022">
        <f ca="1">SUMIFS(Покупка!AS$25:AS$117,Покупка!$F$25:$F$117,$F232,Покупка!$AC$25:$AC$117,$G232)</f>
        <v>0</v>
      </c>
      <c r="AU232" s="1022">
        <f ca="1">SUMIFS(Покупка!AT$25:AT$117,Покупка!$F$25:$F$117,$F232,Покупка!$AC$25:$AC$117,$G232)</f>
        <v>0</v>
      </c>
      <c r="AV232" s="1022">
        <f ca="1">SUMIFS(Покупка!AU$25:AU$117,Покупка!$F$25:$F$117,$F232,Покупка!$AC$25:$AC$117,$G232)</f>
        <v>0</v>
      </c>
      <c r="AW232" s="1022">
        <f ca="1">SUMIFS(Покупка!AV$25:AV$117,Покупка!$F$25:$F$117,$F232,Покупка!$AC$25:$AC$117,$G232)</f>
        <v>0</v>
      </c>
      <c r="AX232" s="1022">
        <f ca="1">SUMIFS(Покупка!AW$25:AW$117,Покупка!$F$25:$F$117,$F232,Покупка!$AC$25:$AC$117,$G232)</f>
        <v>0</v>
      </c>
      <c r="AY232" s="1022">
        <f ca="1">SUMIFS(Покупка!AX$25:AX$117,Покупка!$F$25:$F$117,$F232,Покупка!$AC$25:$AC$117,$G232)</f>
        <v>0</v>
      </c>
      <c r="AZ232" s="1022">
        <f ca="1">SUMIFS(Покупка!AY$25:AY$117,Покупка!$F$25:$F$117,$F232,Покупка!$AC$25:$AC$117,$G232)</f>
        <v>0</v>
      </c>
      <c r="BA232" s="1022">
        <f ca="1">SUMIFS(Покупка!AZ$25:AZ$117,Покупка!$F$25:$F$117,$F232,Покупка!$AC$25:$AC$117,$G232)</f>
        <v>0</v>
      </c>
      <c r="BB232" s="1022">
        <f ca="1">SUMIFS(Покупка!BA$25:BA$117,Покупка!$F$25:$F$117,$F232,Покупка!$AC$25:$AC$117,$G232)</f>
        <v>0</v>
      </c>
      <c r="BC232" s="1022">
        <f ca="1">SUMIFS(Покупка!BB$25:BB$117,Покупка!$F$25:$F$117,$F232,Покупка!$AC$25:$AC$117,$G232)</f>
        <v>0</v>
      </c>
      <c r="BD232" s="1022">
        <f t="shared" ca="1" si="55"/>
        <v>0</v>
      </c>
      <c r="BE232" s="1022">
        <f t="shared" ca="1" si="56"/>
        <v>0</v>
      </c>
      <c r="BF232" s="1022">
        <f t="shared" ca="1" si="57"/>
        <v>0</v>
      </c>
      <c r="BG232" s="1022">
        <f t="shared" ca="1" si="58"/>
        <v>0</v>
      </c>
      <c r="BH232" s="1022">
        <f t="shared" ca="1" si="59"/>
        <v>0</v>
      </c>
      <c r="BI232" s="1022">
        <f t="shared" ca="1" si="60"/>
        <v>0</v>
      </c>
      <c r="BJ232" s="1022">
        <f t="shared" ca="1" si="61"/>
        <v>0</v>
      </c>
      <c r="BK232" s="1022">
        <f t="shared" ca="1" si="62"/>
        <v>0</v>
      </c>
      <c r="BL232" s="1022">
        <f t="shared" ca="1" si="63"/>
        <v>0</v>
      </c>
      <c r="BM232" s="1022">
        <f t="shared" ca="1" si="64"/>
        <v>0</v>
      </c>
      <c r="BN232" s="1523"/>
      <c r="BO232" s="1525" t="str">
        <f ca="1">IF(IFERROR(INDEX(Покупка!$K$26:$L$117,MATCH($F232&amp;"4komm",Покупка!$K$26:$K$117,0),2),"")=0,"",IFERROR(INDEX(Покупка!$K$26:$L$117,MATCH($F231&amp;"3komm",Покупка!$K$26:$K$117,0),2),""))</f>
        <v/>
      </c>
      <c r="BP232" s="1523"/>
      <c r="BQ232" s="1184"/>
      <c r="BR232" s="1184"/>
      <c r="BS232" s="973" t="s">
        <v>1708</v>
      </c>
      <c r="BT232" s="973"/>
      <c r="BU232" s="973"/>
      <c r="BV232" s="888"/>
      <c r="BW232" s="888"/>
    </row>
    <row r="233" spans="1:75" s="1334" customFormat="1" ht="14.25" customHeight="1" x14ac:dyDescent="0.15">
      <c r="A233" s="1184"/>
      <c r="B233" s="887"/>
      <c r="C233" s="26"/>
      <c r="D233" s="26"/>
      <c r="E233" s="545">
        <v>15</v>
      </c>
      <c r="F233" s="3" t="str" cm="1">
        <f t="array" aca="1" ref="F233" ca="1">OFFSET(E233,-1,1)</f>
        <v>1</v>
      </c>
      <c r="G233" s="26" t="s">
        <v>1086</v>
      </c>
      <c r="H233" s="26"/>
      <c r="I233" s="26" t="s">
        <v>2016</v>
      </c>
      <c r="J233" s="26"/>
      <c r="K233" s="26" t="s">
        <v>2016</v>
      </c>
      <c r="L233" s="889" t="s">
        <v>1502</v>
      </c>
      <c r="M233" s="26"/>
      <c r="N233" s="26"/>
      <c r="O233" s="26"/>
      <c r="P233" s="26"/>
      <c r="Q233" s="26"/>
      <c r="R233" s="26"/>
      <c r="S233" s="26"/>
      <c r="T233" s="388" t="b" cm="1">
        <f t="array" aca="1" ref="T233" ca="1">T232</f>
        <v>1</v>
      </c>
      <c r="U233" s="26"/>
      <c r="V233" s="26"/>
      <c r="W233" s="26"/>
      <c r="X233" s="2066"/>
      <c r="Y233" s="1184"/>
      <c r="Z233" s="2012"/>
      <c r="AA233" s="1184"/>
      <c r="AB233" s="218" t="s">
        <v>2017</v>
      </c>
      <c r="AC233" s="685" t="s">
        <v>2018</v>
      </c>
      <c r="AD233" s="218" t="s">
        <v>831</v>
      </c>
      <c r="AE233" s="1022">
        <f ca="1">SUMIFS(Покупка!AE$25:AE$117,Покупка!$F$25:$F$117,$F233,Покупка!$AC$25:$AC$117,$G233)</f>
        <v>0</v>
      </c>
      <c r="AF233" s="1022">
        <f ca="1">SUMIFS(Покупка!AF$25:AF$117,Покупка!$F$25:$F$117,$F233,Покупка!$AC$25:$AC$117,$G233)</f>
        <v>0</v>
      </c>
      <c r="AG233" s="1022">
        <f ca="1">SUMIFS(Покупка!AG$25:AG$117,Покупка!$F$25:$F$117,$F233,Покупка!$AC$25:$AC$117,$G233)</f>
        <v>0</v>
      </c>
      <c r="AH233" s="1022">
        <f t="shared" ca="1" si="53"/>
        <v>0</v>
      </c>
      <c r="AI233" s="1022">
        <f ca="1">SUMIFS(Покупка!AH$25:AH$117,Покупка!$F$25:$F$117,$F233,Покупка!$AC$25:$AC$117,$G233)</f>
        <v>0</v>
      </c>
      <c r="AJ233" s="1022">
        <f ca="1">SUMIFS(Покупка!AI$25:AI$117,Покупка!$F$25:$F$117,$F233,Покупка!$AC$25:$AC$117,$G233)</f>
        <v>0</v>
      </c>
      <c r="AK233" s="1022">
        <f ca="1">SUMIFS(Покупка!AJ$25:AJ$117,Покупка!$F$25:$F$117,$F233,Покупка!$AC$25:$AC$117,$G233)</f>
        <v>0</v>
      </c>
      <c r="AL233" s="1022">
        <f ca="1">SUMIFS(Покупка!AK$25:AK$117,Покупка!$F$25:$F$117,$F233,Покупка!$AC$25:$AC$117,$G233)</f>
        <v>0</v>
      </c>
      <c r="AM233" s="1022">
        <f ca="1">SUMIFS(Покупка!AL$25:AL$117,Покупка!$F$25:$F$117,$F233,Покупка!$AC$25:$AC$117,$G233)</f>
        <v>0</v>
      </c>
      <c r="AN233" s="1022">
        <f ca="1">SUMIFS(Покупка!AM$25:AM$117,Покупка!$F$25:$F$117,$F233,Покупка!$AC$25:$AC$117,$G233)</f>
        <v>0</v>
      </c>
      <c r="AO233" s="1022">
        <f ca="1">SUMIFS(Покупка!AN$25:AN$117,Покупка!$F$25:$F$117,$F233,Покупка!$AC$25:$AC$117,$G233)</f>
        <v>0</v>
      </c>
      <c r="AP233" s="1022">
        <f ca="1">SUMIFS(Покупка!AO$25:AO$117,Покупка!$F$25:$F$117,$F233,Покупка!$AC$25:$AC$117,$G233)</f>
        <v>0</v>
      </c>
      <c r="AQ233" s="1022">
        <f ca="1">SUMIFS(Покупка!AP$25:AP$117,Покупка!$F$25:$F$117,$F233,Покупка!$AC$25:$AC$117,$G233)</f>
        <v>0</v>
      </c>
      <c r="AR233" s="1022">
        <f ca="1">SUMIFS(Покупка!AQ$25:AQ$117,Покупка!$F$25:$F$117,$F233,Покупка!$AC$25:$AC$117,$G233)</f>
        <v>0</v>
      </c>
      <c r="AS233" s="1022">
        <f ca="1">SUMIFS(Покупка!AR$25:AR$117,Покупка!$F$25:$F$117,$F233,Покупка!$AC$25:$AC$117,$G233)</f>
        <v>0</v>
      </c>
      <c r="AT233" s="1022">
        <f ca="1">SUMIFS(Покупка!AS$25:AS$117,Покупка!$F$25:$F$117,$F233,Покупка!$AC$25:$AC$117,$G233)</f>
        <v>0</v>
      </c>
      <c r="AU233" s="1022">
        <f ca="1">SUMIFS(Покупка!AT$25:AT$117,Покупка!$F$25:$F$117,$F233,Покупка!$AC$25:$AC$117,$G233)</f>
        <v>0</v>
      </c>
      <c r="AV233" s="1022">
        <f ca="1">SUMIFS(Покупка!AU$25:AU$117,Покупка!$F$25:$F$117,$F233,Покупка!$AC$25:$AC$117,$G233)</f>
        <v>0</v>
      </c>
      <c r="AW233" s="1022">
        <f ca="1">SUMIFS(Покупка!AV$25:AV$117,Покупка!$F$25:$F$117,$F233,Покупка!$AC$25:$AC$117,$G233)</f>
        <v>0</v>
      </c>
      <c r="AX233" s="1022">
        <f ca="1">SUMIFS(Покупка!AW$25:AW$117,Покупка!$F$25:$F$117,$F233,Покупка!$AC$25:$AC$117,$G233)</f>
        <v>0</v>
      </c>
      <c r="AY233" s="1022">
        <f ca="1">SUMIFS(Покупка!AX$25:AX$117,Покупка!$F$25:$F$117,$F233,Покупка!$AC$25:$AC$117,$G233)</f>
        <v>0</v>
      </c>
      <c r="AZ233" s="1022">
        <f ca="1">SUMIFS(Покупка!AY$25:AY$117,Покупка!$F$25:$F$117,$F233,Покупка!$AC$25:$AC$117,$G233)</f>
        <v>0</v>
      </c>
      <c r="BA233" s="1022">
        <f ca="1">SUMIFS(Покупка!AZ$25:AZ$117,Покупка!$F$25:$F$117,$F233,Покупка!$AC$25:$AC$117,$G233)</f>
        <v>0</v>
      </c>
      <c r="BB233" s="1022">
        <f ca="1">SUMIFS(Покупка!BA$25:BA$117,Покупка!$F$25:$F$117,$F233,Покупка!$AC$25:$AC$117,$G233)</f>
        <v>0</v>
      </c>
      <c r="BC233" s="1022">
        <f ca="1">SUMIFS(Покупка!BB$25:BB$117,Покупка!$F$25:$F$117,$F233,Покупка!$AC$25:$AC$117,$G233)</f>
        <v>0</v>
      </c>
      <c r="BD233" s="1022">
        <f t="shared" ca="1" si="55"/>
        <v>0</v>
      </c>
      <c r="BE233" s="1022">
        <f t="shared" ca="1" si="56"/>
        <v>0</v>
      </c>
      <c r="BF233" s="1022">
        <f t="shared" ca="1" si="57"/>
        <v>0</v>
      </c>
      <c r="BG233" s="1022">
        <f t="shared" ca="1" si="58"/>
        <v>0</v>
      </c>
      <c r="BH233" s="1022">
        <f t="shared" ca="1" si="59"/>
        <v>0</v>
      </c>
      <c r="BI233" s="1022">
        <f t="shared" ca="1" si="60"/>
        <v>0</v>
      </c>
      <c r="BJ233" s="1022">
        <f t="shared" ca="1" si="61"/>
        <v>0</v>
      </c>
      <c r="BK233" s="1022">
        <f t="shared" ca="1" si="62"/>
        <v>0</v>
      </c>
      <c r="BL233" s="1022">
        <f t="shared" ca="1" si="63"/>
        <v>0</v>
      </c>
      <c r="BM233" s="1022">
        <f t="shared" ca="1" si="64"/>
        <v>0</v>
      </c>
      <c r="BN233" s="1523"/>
      <c r="BO233" s="1525" t="str">
        <f ca="1">IF(IFERROR(INDEX(Покупка!$K$26:$L$117,MATCH($F233&amp;"5komm",Покупка!$K$26:$K$117,0),2),"")=0,"",IFERROR(INDEX(Покупка!$K$26:$L$117,MATCH($F233&amp;"5komm",Покупка!$K$26:$K$117,0),2),""))</f>
        <v/>
      </c>
      <c r="BP233" s="1523"/>
      <c r="BQ233" s="1184"/>
      <c r="BR233" s="1184"/>
      <c r="BS233" s="973" t="s">
        <v>1711</v>
      </c>
      <c r="BT233" s="973"/>
      <c r="BU233" s="973"/>
      <c r="BV233" s="888"/>
      <c r="BW233" s="888"/>
    </row>
    <row r="234" spans="1:75" s="1334" customFormat="1" ht="14.25" customHeight="1" x14ac:dyDescent="0.15">
      <c r="A234" s="1184"/>
      <c r="B234" s="887"/>
      <c r="C234" s="26"/>
      <c r="D234" s="26"/>
      <c r="E234" s="545">
        <v>15</v>
      </c>
      <c r="F234" s="3" t="str" cm="1">
        <f t="array" aca="1" ref="F234" ca="1">OFFSET(E234,-1,1)</f>
        <v>1</v>
      </c>
      <c r="G234" s="26" t="s">
        <v>1098</v>
      </c>
      <c r="H234" s="26"/>
      <c r="I234" s="26"/>
      <c r="J234" s="26"/>
      <c r="K234" s="26"/>
      <c r="L234" s="889" t="s">
        <v>1469</v>
      </c>
      <c r="M234" s="26"/>
      <c r="N234" s="26"/>
      <c r="O234" s="26"/>
      <c r="P234" s="26"/>
      <c r="Q234" s="26"/>
      <c r="R234" s="26"/>
      <c r="S234" s="26"/>
      <c r="T234" s="388" t="b" cm="1">
        <f t="array" aca="1" ref="T234" ca="1">T233</f>
        <v>1</v>
      </c>
      <c r="U234" s="26"/>
      <c r="V234" s="26"/>
      <c r="W234" s="26"/>
      <c r="X234" s="2066"/>
      <c r="Y234" s="1184"/>
      <c r="Z234" s="2012"/>
      <c r="AA234" s="1184"/>
      <c r="AB234" s="218" t="s">
        <v>2019</v>
      </c>
      <c r="AC234" s="685" t="s">
        <v>2020</v>
      </c>
      <c r="AD234" s="218" t="s">
        <v>831</v>
      </c>
      <c r="AE234" s="1022">
        <f ca="1">SUMIFS(Покупка!AE$25:AE$117,Покупка!$F$25:$F$117,$F234,Покупка!$AC$25:$AC$117,$G234)</f>
        <v>0</v>
      </c>
      <c r="AF234" s="1022">
        <f ca="1">SUMIFS(Покупка!AF$25:AF$117,Покупка!$F$25:$F$117,$F234,Покупка!$AC$25:$AC$117,$G234)</f>
        <v>0</v>
      </c>
      <c r="AG234" s="1022">
        <f ca="1">SUMIFS(Покупка!AG$25:AG$117,Покупка!$F$25:$F$117,$F234,Покупка!$AC$25:$AC$117,$G234)</f>
        <v>0</v>
      </c>
      <c r="AH234" s="1022">
        <f t="shared" ca="1" si="53"/>
        <v>0</v>
      </c>
      <c r="AI234" s="1022">
        <f ca="1">SUMIFS(Покупка!AH$25:AH$117,Покупка!$F$25:$F$117,$F234,Покупка!$AC$25:$AC$117,$G234)</f>
        <v>0</v>
      </c>
      <c r="AJ234" s="1022">
        <f ca="1">SUMIFS(Покупка!AI$25:AI$117,Покупка!$F$25:$F$117,$F234,Покупка!$AC$25:$AC$117,$G234)</f>
        <v>0</v>
      </c>
      <c r="AK234" s="1022">
        <f ca="1">SUMIFS(Покупка!AJ$25:AJ$117,Покупка!$F$25:$F$117,$F234,Покупка!$AC$25:$AC$117,$G234)</f>
        <v>0</v>
      </c>
      <c r="AL234" s="1022">
        <f ca="1">SUMIFS(Покупка!AK$25:AK$117,Покупка!$F$25:$F$117,$F234,Покупка!$AC$25:$AC$117,$G234)</f>
        <v>0</v>
      </c>
      <c r="AM234" s="1022">
        <f ca="1">SUMIFS(Покупка!AL$25:AL$117,Покупка!$F$25:$F$117,$F234,Покупка!$AC$25:$AC$117,$G234)</f>
        <v>0</v>
      </c>
      <c r="AN234" s="1022">
        <f ca="1">SUMIFS(Покупка!AM$25:AM$117,Покупка!$F$25:$F$117,$F234,Покупка!$AC$25:$AC$117,$G234)</f>
        <v>0</v>
      </c>
      <c r="AO234" s="1022">
        <f ca="1">SUMIFS(Покупка!AN$25:AN$117,Покупка!$F$25:$F$117,$F234,Покупка!$AC$25:$AC$117,$G234)</f>
        <v>0</v>
      </c>
      <c r="AP234" s="1022">
        <f ca="1">SUMIFS(Покупка!AO$25:AO$117,Покупка!$F$25:$F$117,$F234,Покупка!$AC$25:$AC$117,$G234)</f>
        <v>0</v>
      </c>
      <c r="AQ234" s="1022">
        <f ca="1">SUMIFS(Покупка!AP$25:AP$117,Покупка!$F$25:$F$117,$F234,Покупка!$AC$25:$AC$117,$G234)</f>
        <v>0</v>
      </c>
      <c r="AR234" s="1022">
        <f ca="1">SUMIFS(Покупка!AQ$25:AQ$117,Покупка!$F$25:$F$117,$F234,Покупка!$AC$25:$AC$117,$G234)</f>
        <v>0</v>
      </c>
      <c r="AS234" s="1022">
        <f ca="1">SUMIFS(Покупка!AR$25:AR$117,Покупка!$F$25:$F$117,$F234,Покупка!$AC$25:$AC$117,$G234)</f>
        <v>0</v>
      </c>
      <c r="AT234" s="1022">
        <f ca="1">SUMIFS(Покупка!AS$25:AS$117,Покупка!$F$25:$F$117,$F234,Покупка!$AC$25:$AC$117,$G234)</f>
        <v>0</v>
      </c>
      <c r="AU234" s="1022">
        <f ca="1">SUMIFS(Покупка!AT$25:AT$117,Покупка!$F$25:$F$117,$F234,Покупка!$AC$25:$AC$117,$G234)</f>
        <v>0</v>
      </c>
      <c r="AV234" s="1022">
        <f ca="1">SUMIFS(Покупка!AU$25:AU$117,Покупка!$F$25:$F$117,$F234,Покупка!$AC$25:$AC$117,$G234)</f>
        <v>0</v>
      </c>
      <c r="AW234" s="1022">
        <f ca="1">SUMIFS(Покупка!AV$25:AV$117,Покупка!$F$25:$F$117,$F234,Покупка!$AC$25:$AC$117,$G234)</f>
        <v>0</v>
      </c>
      <c r="AX234" s="1022">
        <f ca="1">SUMIFS(Покупка!AW$25:AW$117,Покупка!$F$25:$F$117,$F234,Покупка!$AC$25:$AC$117,$G234)</f>
        <v>0</v>
      </c>
      <c r="AY234" s="1022">
        <f ca="1">SUMIFS(Покупка!AX$25:AX$117,Покупка!$F$25:$F$117,$F234,Покупка!$AC$25:$AC$117,$G234)</f>
        <v>0</v>
      </c>
      <c r="AZ234" s="1022">
        <f ca="1">SUMIFS(Покупка!AY$25:AY$117,Покупка!$F$25:$F$117,$F234,Покупка!$AC$25:$AC$117,$G234)</f>
        <v>0</v>
      </c>
      <c r="BA234" s="1022">
        <f ca="1">SUMIFS(Покупка!AZ$25:AZ$117,Покупка!$F$25:$F$117,$F234,Покупка!$AC$25:$AC$117,$G234)</f>
        <v>0</v>
      </c>
      <c r="BB234" s="1022">
        <f ca="1">SUMIFS(Покупка!BA$25:BA$117,Покупка!$F$25:$F$117,$F234,Покупка!$AC$25:$AC$117,$G234)</f>
        <v>0</v>
      </c>
      <c r="BC234" s="1022">
        <f ca="1">SUMIFS(Покупка!BB$25:BB$117,Покупка!$F$25:$F$117,$F234,Покупка!$AC$25:$AC$117,$G234)</f>
        <v>0</v>
      </c>
      <c r="BD234" s="1022">
        <f t="shared" ca="1" si="55"/>
        <v>0</v>
      </c>
      <c r="BE234" s="1022">
        <f t="shared" ca="1" si="56"/>
        <v>0</v>
      </c>
      <c r="BF234" s="1022">
        <f t="shared" ca="1" si="57"/>
        <v>0</v>
      </c>
      <c r="BG234" s="1022">
        <f t="shared" ca="1" si="58"/>
        <v>0</v>
      </c>
      <c r="BH234" s="1022">
        <f t="shared" ca="1" si="59"/>
        <v>0</v>
      </c>
      <c r="BI234" s="1022">
        <f t="shared" ca="1" si="60"/>
        <v>0</v>
      </c>
      <c r="BJ234" s="1022">
        <f t="shared" ca="1" si="61"/>
        <v>0</v>
      </c>
      <c r="BK234" s="1022">
        <f t="shared" ca="1" si="62"/>
        <v>0</v>
      </c>
      <c r="BL234" s="1022">
        <f t="shared" ca="1" si="63"/>
        <v>0</v>
      </c>
      <c r="BM234" s="1022">
        <f t="shared" ca="1" si="64"/>
        <v>0</v>
      </c>
      <c r="BN234" s="1523"/>
      <c r="BO234" s="1525" t="str">
        <f ca="1">IF(IFERROR(INDEX(Покупка!$K$26:$L$117,MATCH($F234&amp;"9komm",Покупка!$K$26:$K$117,0),2),"")=0,"",IFERROR(INDEX(Покупка!$K$26:$L$117,MATCH($F234&amp;"9komm",Покупка!$K$26:$K$117,0),2),""))</f>
        <v/>
      </c>
      <c r="BP234" s="1523"/>
      <c r="BQ234" s="1184"/>
      <c r="BR234" s="1184"/>
      <c r="BS234" s="973" t="s">
        <v>1099</v>
      </c>
      <c r="BT234" s="973"/>
      <c r="BU234" s="973"/>
      <c r="BV234" s="888"/>
      <c r="BW234" s="888"/>
    </row>
    <row r="235" spans="1:75" s="1334" customFormat="1" ht="264.75" customHeight="1" x14ac:dyDescent="0.15">
      <c r="A235" s="1184"/>
      <c r="B235" s="887"/>
      <c r="C235" s="26"/>
      <c r="D235" s="26"/>
      <c r="E235" s="545">
        <v>15</v>
      </c>
      <c r="F235" s="3" t="str" cm="1">
        <f t="array" aca="1" ref="F235" ca="1">OFFSET(E235,-1,1)</f>
        <v>1</v>
      </c>
      <c r="G235" s="26"/>
      <c r="H235" s="26"/>
      <c r="I235" s="26" t="s">
        <v>515</v>
      </c>
      <c r="J235" s="26"/>
      <c r="K235" s="26" t="s">
        <v>515</v>
      </c>
      <c r="L235" s="889"/>
      <c r="M235" s="26"/>
      <c r="N235" s="26"/>
      <c r="O235" s="26"/>
      <c r="P235" s="26"/>
      <c r="Q235" s="26"/>
      <c r="R235" s="26"/>
      <c r="S235" s="26"/>
      <c r="T235" s="388" t="b" cm="1">
        <f t="array" aca="1" ref="T235" ca="1">T234</f>
        <v>1</v>
      </c>
      <c r="U235" s="26"/>
      <c r="V235" s="26"/>
      <c r="W235" s="26"/>
      <c r="X235" s="2066"/>
      <c r="Y235" s="1184"/>
      <c r="Z235" s="2012"/>
      <c r="AA235" s="1184"/>
      <c r="AB235" s="218" t="s">
        <v>570</v>
      </c>
      <c r="AC235" s="682" t="s">
        <v>2021</v>
      </c>
      <c r="AD235" s="699" t="s">
        <v>831</v>
      </c>
      <c r="AE235" s="1022">
        <f ca="1">SUMIFS('Сырье и материалы'!AE$25:AE$46,'Сырье и материалы'!$F$25:$F$46,$F235,'Сырье и материалы'!$AC$25:$AC$46,"Всего по тарифу")</f>
        <v>24438.1472204167</v>
      </c>
      <c r="AF235" s="1022">
        <f ca="1">SUMIFS('Сырье и материалы'!AF$25:AF$46,'Сырье и материалы'!$F$25:$F$46,$F235,'Сырье и материалы'!$AC$25:$AC$46,"Всего по тарифу")</f>
        <v>21908.58</v>
      </c>
      <c r="AG235" s="1022">
        <f ca="1">SUMIFS('Сырье и материалы'!AG$25:AG$46,'Сырье и материалы'!$F$25:$F$46,$F235,'Сырье и материалы'!$AC$25:$AC$46,"Всего по тарифу")</f>
        <v>21887.43</v>
      </c>
      <c r="AH235" s="1022">
        <f t="shared" ca="1" si="53"/>
        <v>-21.150000000001455</v>
      </c>
      <c r="AI235" s="1022">
        <f ca="1">SUMIFS('Сырье и материалы'!AH$25:AH$46,'Сырье и материалы'!$F$25:$F$46,$F235,'Сырье и материалы'!$AC$25:$AC$46,"Всего по тарифу")</f>
        <v>25464.549403674202</v>
      </c>
      <c r="AJ235" s="1022">
        <f ca="1">SUMIFS('Сырье и материалы'!AI$25:AI$46,'Сырье и материалы'!$F$25:$F$46,$F235,'Сырье и материалы'!$AC$25:$AC$46,"Всего по тарифу")</f>
        <v>31510.65</v>
      </c>
      <c r="AK235" s="1022">
        <f ca="1">SUMIFS('Сырье и материалы'!AJ$25:AJ$46,'Сырье и материалы'!$F$25:$F$46,$F235,'Сырье и материалы'!$AC$25:$AC$46,"Всего по тарифу")</f>
        <v>28747.65152576</v>
      </c>
      <c r="AL235" s="1022">
        <f ca="1">SUMIFS('Сырье и материалы'!AK$25:AK$46,'Сырье и материалы'!$F$25:$F$46,$F235,'Сырье и материалы'!$AC$25:$AC$46,"Всего по тарифу")</f>
        <v>29897.547586790399</v>
      </c>
      <c r="AM235" s="1022">
        <f ca="1">SUMIFS('Сырье и материалы'!AL$25:AL$46,'Сырье и материалы'!$F$25:$F$46,$F235,'Сырье и материалы'!$AC$25:$AC$46,"Всего по тарифу")</f>
        <v>31093.459890262002</v>
      </c>
      <c r="AN235" s="1022">
        <f ca="1">SUMIFS('Сырье и материалы'!AM$25:AM$46,'Сырье и материалы'!$F$25:$F$46,$F235,'Сырье и материалы'!$AC$25:$AC$46,"Всего по тарифу")</f>
        <v>32337.1954858725</v>
      </c>
      <c r="AO235" s="1022">
        <f ca="1">SUMIFS('Сырье и материалы'!AN$25:AN$46,'Сырье и материалы'!$F$25:$F$46,$F235,'Сырье и материалы'!$AC$25:$AC$46,"Всего по тарифу")</f>
        <v>33630.678313307399</v>
      </c>
      <c r="AP235" s="1022">
        <f ca="1">SUMIFS('Сырье и материалы'!AO$25:AO$46,'Сырье и материалы'!$F$25:$F$46,$F235,'Сырье и материалы'!$AC$25:$AC$46,"Всего по тарифу")</f>
        <v>34975.918245839697</v>
      </c>
      <c r="AQ235" s="1022">
        <f ca="1">SUMIFS('Сырье и материалы'!AP$25:AP$46,'Сырье и материалы'!$F$25:$F$46,$F235,'Сырье и материалы'!$AC$25:$AC$46,"Всего по тарифу")</f>
        <v>0</v>
      </c>
      <c r="AR235" s="1022">
        <f ca="1">SUMIFS('Сырье и материалы'!AQ$25:AQ$46,'Сырье и материалы'!$F$25:$F$46,$F235,'Сырье и материалы'!$AC$25:$AC$46,"Всего по тарифу")</f>
        <v>0</v>
      </c>
      <c r="AS235" s="1022">
        <f ca="1">SUMIFS('Сырье и материалы'!AR$25:AR$46,'Сырье и материалы'!$F$25:$F$46,$F235,'Сырье и материалы'!$AC$25:$AC$46,"Всего по тарифу")</f>
        <v>0</v>
      </c>
      <c r="AT235" s="1022">
        <f ca="1">SUMIFS('Сырье и материалы'!AS$25:AS$46,'Сырье и материалы'!$F$25:$F$46,$F235,'Сырье и материалы'!$AC$25:$AC$46,"Всего по тарифу")</f>
        <v>18562.939999999999</v>
      </c>
      <c r="AU235" s="1022">
        <f ca="1">SUMIFS('Сырье и материалы'!AT$25:AT$46,'Сырье и материалы'!$F$25:$F$46,$F235,'Сырье и материалы'!$AC$25:$AC$46,"Всего по тарифу")</f>
        <v>27542.456635013998</v>
      </c>
      <c r="AV235" s="1022">
        <f ca="1">SUMIFS('Сырье и материалы'!AU$25:AU$46,'Сырье и материалы'!$F$25:$F$46,$F235,'Сырье и материалы'!$AC$25:$AC$46,"Всего по тарифу")</f>
        <v>28644.154900414502</v>
      </c>
      <c r="AW235" s="1022">
        <f ca="1">SUMIFS('Сырье и материалы'!AV$25:AV$46,'Сырье и материалы'!$F$25:$F$46,$F235,'Сырье и материалы'!$AC$25:$AC$46,"Всего по тарифу")</f>
        <v>29789.921096431197</v>
      </c>
      <c r="AX235" s="1022">
        <f ca="1">SUMIFS('Сырье и материалы'!AW$25:AW$46,'Сырье и материалы'!$F$25:$F$46,$F235,'Сырье и материалы'!$AC$25:$AC$46,"Всего по тарифу")</f>
        <v>30981.517940288399</v>
      </c>
      <c r="AY235" s="1022">
        <f ca="1">SUMIFS('Сырье и материалы'!AX$25:AX$46,'Сырье и материалы'!$F$25:$F$46,$F235,'Сырье и материалы'!$AC$25:$AC$46,"Всего по тарифу")</f>
        <v>32220.778657899904</v>
      </c>
      <c r="AZ235" s="1022">
        <f ca="1">SUMIFS('Сырье и материалы'!AY$25:AY$46,'Сырье и материалы'!$F$25:$F$46,$F235,'Сырье и материалы'!$AC$25:$AC$46,"Всего по тарифу")</f>
        <v>33509.609804215899</v>
      </c>
      <c r="BA235" s="1022">
        <f ca="1">SUMIFS('Сырье и материалы'!AZ$25:AZ$46,'Сырье и материалы'!$F$25:$F$46,$F235,'Сырье и материалы'!$AC$25:$AC$46,"Всего по тарифу")</f>
        <v>0</v>
      </c>
      <c r="BB235" s="1022">
        <f ca="1">SUMIFS('Сырье и материалы'!BA$25:BA$46,'Сырье и материалы'!$F$25:$F$46,$F235,'Сырье и материалы'!$AC$25:$AC$46,"Всего по тарифу")</f>
        <v>0</v>
      </c>
      <c r="BC235" s="1022">
        <f ca="1">SUMIFS('Сырье и материалы'!BB$25:BB$46,'Сырье и материалы'!$F$25:$F$46,$F235,'Сырье и материалы'!$AC$25:$AC$46,"Всего по тарифу")</f>
        <v>0</v>
      </c>
      <c r="BD235" s="1022">
        <f t="shared" ca="1" si="55"/>
        <v>-27.10281377560284</v>
      </c>
      <c r="BE235" s="1022">
        <f t="shared" ca="1" si="56"/>
        <v>48.37335376300306</v>
      </c>
      <c r="BF235" s="1022">
        <f t="shared" ca="1" si="57"/>
        <v>3.9999999999997975</v>
      </c>
      <c r="BG235" s="1022">
        <f t="shared" ca="1" si="58"/>
        <v>4.0000000000004015</v>
      </c>
      <c r="BH235" s="1022">
        <f t="shared" ca="1" si="59"/>
        <v>3.9999999999998455</v>
      </c>
      <c r="BI235" s="1022">
        <f t="shared" ca="1" si="60"/>
        <v>3.999999999999901</v>
      </c>
      <c r="BJ235" s="1022">
        <f t="shared" ca="1" si="61"/>
        <v>3.9999999999999973</v>
      </c>
      <c r="BK235" s="1022">
        <f t="shared" ca="1" si="62"/>
        <v>-100</v>
      </c>
      <c r="BL235" s="1022">
        <f t="shared" ca="1" si="63"/>
        <v>0</v>
      </c>
      <c r="BM235" s="1022">
        <f t="shared" ca="1" si="64"/>
        <v>0</v>
      </c>
      <c r="BN235" s="1523" t="s">
        <v>2181</v>
      </c>
      <c r="BO235" s="1525" t="str">
        <f ca="1">IF(IFERROR(INDEX('Сырье и материалы'!$K$26:$L$46,MATCH($F235&amp;"komm",'Сырье и материалы'!$K$26:$K$46,0),2),"")=0,"",IFERROR(INDEX('Сырье и материалы'!$K$26:$L$46,MATCH($F235&amp;"komm",'Сырье и материалы'!$K$26:$K$46,0),2),""))</f>
        <v>Согласно п. 49.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Неподконтрольные расходы включают в себя: 10) расходы на реагенты. (пп. 10 введен Приказом ФАС России от 08.10.2020 N 976/20)</v>
      </c>
      <c r="BP235" s="1523" t="s">
        <v>2182</v>
      </c>
      <c r="BQ235" s="1184"/>
      <c r="BR235" s="1184"/>
      <c r="BS235" s="973" t="s">
        <v>1684</v>
      </c>
      <c r="BT235" s="973"/>
      <c r="BU235" s="973"/>
      <c r="BV235" s="888"/>
      <c r="BW235" s="888"/>
    </row>
    <row r="236" spans="1:75" s="1531" customFormat="1" ht="33.75" customHeight="1" x14ac:dyDescent="0.15">
      <c r="A236" s="623"/>
      <c r="B236" s="357"/>
      <c r="C236" s="28"/>
      <c r="D236" s="28"/>
      <c r="E236" s="745">
        <v>21</v>
      </c>
      <c r="F236" s="3" t="str" cm="1">
        <f t="array" aca="1" ref="F236" ca="1">OFFSET(E236,-1,1)</f>
        <v>1</v>
      </c>
      <c r="G236" s="28"/>
      <c r="H236" s="26"/>
      <c r="I236" s="26" t="s">
        <v>930</v>
      </c>
      <c r="J236" s="28"/>
      <c r="K236" s="26" t="s">
        <v>930</v>
      </c>
      <c r="L236" s="894" t="s">
        <v>547</v>
      </c>
      <c r="M236" s="28"/>
      <c r="N236" s="28"/>
      <c r="O236" s="28"/>
      <c r="P236" s="28"/>
      <c r="Q236" s="28"/>
      <c r="R236" s="28"/>
      <c r="S236" s="28"/>
      <c r="T236" s="388" t="b" cm="1">
        <f t="array" aca="1" ref="T236" ca="1">T235</f>
        <v>1</v>
      </c>
      <c r="U236" s="28"/>
      <c r="V236" s="28"/>
      <c r="W236" s="28"/>
      <c r="X236" s="2066"/>
      <c r="Y236" s="623"/>
      <c r="Z236" s="2012"/>
      <c r="AA236" s="623"/>
      <c r="AB236" s="130" t="s">
        <v>574</v>
      </c>
      <c r="AC236" s="277" t="s">
        <v>2022</v>
      </c>
      <c r="AD236" s="130" t="s">
        <v>831</v>
      </c>
      <c r="AE236" s="698">
        <f ca="1">SUM(AE237:AE246)</f>
        <v>16335.20414751</v>
      </c>
      <c r="AF236" s="698">
        <f ca="1">SUM(AF237:AF246)</f>
        <v>16073.75</v>
      </c>
      <c r="AG236" s="698">
        <f ca="1">SUM(AG237:AG246)</f>
        <v>11219.74</v>
      </c>
      <c r="AH236" s="698">
        <f t="shared" ca="1" si="53"/>
        <v>-4854.01</v>
      </c>
      <c r="AI236" s="698">
        <f t="shared" ref="AI236:BC236" ca="1" si="66">SUM(AI237:AI246)</f>
        <v>17591.304965691099</v>
      </c>
      <c r="AJ236" s="132">
        <f t="shared" ca="1" si="66"/>
        <v>26794.14</v>
      </c>
      <c r="AK236" s="698">
        <f t="shared" ca="1" si="66"/>
        <v>26239.0648895335</v>
      </c>
      <c r="AL236" s="698">
        <f t="shared" ca="1" si="66"/>
        <v>26617.871203079798</v>
      </c>
      <c r="AM236" s="698">
        <f t="shared" ca="1" si="66"/>
        <v>26854.787860617998</v>
      </c>
      <c r="AN236" s="698">
        <f t="shared" ca="1" si="66"/>
        <v>27042.655986011599</v>
      </c>
      <c r="AO236" s="698">
        <f t="shared" ca="1" si="66"/>
        <v>27217.416688327998</v>
      </c>
      <c r="AP236" s="698">
        <f t="shared" ca="1" si="66"/>
        <v>27341.799873588097</v>
      </c>
      <c r="AQ236" s="698">
        <f t="shared" ca="1" si="66"/>
        <v>0</v>
      </c>
      <c r="AR236" s="698">
        <f t="shared" ca="1" si="66"/>
        <v>0</v>
      </c>
      <c r="AS236" s="698">
        <f t="shared" ca="1" si="66"/>
        <v>0</v>
      </c>
      <c r="AT236" s="132">
        <f t="shared" ca="1" si="66"/>
        <v>15397.36</v>
      </c>
      <c r="AU236" s="698">
        <f t="shared" ca="1" si="66"/>
        <v>18324.885694336601</v>
      </c>
      <c r="AV236" s="698">
        <f t="shared" ca="1" si="66"/>
        <v>18722.504181092401</v>
      </c>
      <c r="AW236" s="698">
        <f t="shared" ca="1" si="66"/>
        <v>25536.668783352601</v>
      </c>
      <c r="AX236" s="698">
        <f t="shared" ca="1" si="66"/>
        <v>25671.8105456556</v>
      </c>
      <c r="AY236" s="698">
        <f t="shared" ca="1" si="66"/>
        <v>25791.740230357798</v>
      </c>
      <c r="AZ236" s="698">
        <f t="shared" ca="1" si="66"/>
        <v>25859.092757299099</v>
      </c>
      <c r="BA236" s="698">
        <f t="shared" ca="1" si="66"/>
        <v>0</v>
      </c>
      <c r="BB236" s="698">
        <f t="shared" ca="1" si="66"/>
        <v>0</v>
      </c>
      <c r="BC236" s="698">
        <f t="shared" ca="1" si="66"/>
        <v>0</v>
      </c>
      <c r="BD236" s="698">
        <f t="shared" ca="1" si="55"/>
        <v>-12.471757893857342</v>
      </c>
      <c r="BE236" s="698">
        <f t="shared" ca="1" si="56"/>
        <v>19.013166506054286</v>
      </c>
      <c r="BF236" s="698">
        <f t="shared" ca="1" si="57"/>
        <v>2.1698279235579978</v>
      </c>
      <c r="BG236" s="698">
        <f t="shared" ca="1" si="58"/>
        <v>36.395583284963188</v>
      </c>
      <c r="BH236" s="698">
        <f t="shared" ca="1" si="59"/>
        <v>0.52920670056659236</v>
      </c>
      <c r="BI236" s="698">
        <f t="shared" ca="1" si="60"/>
        <v>0.46716488690546742</v>
      </c>
      <c r="BJ236" s="698">
        <f t="shared" ca="1" si="61"/>
        <v>0.26113990890007488</v>
      </c>
      <c r="BK236" s="698">
        <f t="shared" ca="1" si="62"/>
        <v>-100</v>
      </c>
      <c r="BL236" s="698">
        <f t="shared" ca="1" si="63"/>
        <v>0</v>
      </c>
      <c r="BM236" s="698">
        <f t="shared" ca="1" si="64"/>
        <v>0</v>
      </c>
      <c r="BN236" s="1524"/>
      <c r="BO236" s="1525" t="s">
        <v>2183</v>
      </c>
      <c r="BP236" s="1524" t="s">
        <v>2184</v>
      </c>
      <c r="BQ236" s="623"/>
      <c r="BR236" s="623"/>
      <c r="BS236" s="979" t="s">
        <v>1233</v>
      </c>
      <c r="BT236" s="979"/>
      <c r="BU236" s="979"/>
      <c r="BV236" s="630"/>
      <c r="BW236" s="630"/>
    </row>
    <row r="237" spans="1:75" s="1334" customFormat="1" ht="14.25" customHeight="1" x14ac:dyDescent="0.15">
      <c r="A237" s="1184"/>
      <c r="B237" s="887"/>
      <c r="C237" s="26"/>
      <c r="D237" s="26"/>
      <c r="E237" s="545">
        <v>15</v>
      </c>
      <c r="F237" s="3" t="str" cm="1">
        <f t="array" aca="1" ref="F237" ca="1">OFFSET(E237,-1,1)</f>
        <v>1</v>
      </c>
      <c r="G237" s="834">
        <v>7</v>
      </c>
      <c r="H237" s="26"/>
      <c r="I237" s="26" t="s">
        <v>2023</v>
      </c>
      <c r="J237" s="26"/>
      <c r="K237" s="26" t="s">
        <v>2023</v>
      </c>
      <c r="L237" s="889"/>
      <c r="M237" s="26"/>
      <c r="N237" s="26"/>
      <c r="O237" s="26"/>
      <c r="P237" s="26"/>
      <c r="Q237" s="26"/>
      <c r="R237" s="26"/>
      <c r="S237" s="26"/>
      <c r="T237" s="388" t="b" cm="1">
        <f t="array" aca="1" ref="T237" ca="1">T236</f>
        <v>1</v>
      </c>
      <c r="U237" s="26"/>
      <c r="V237" s="26"/>
      <c r="W237" s="26"/>
      <c r="X237" s="2066"/>
      <c r="Y237" s="1184"/>
      <c r="Z237" s="2012"/>
      <c r="AA237" s="1184"/>
      <c r="AB237" s="218" t="s">
        <v>531</v>
      </c>
      <c r="AC237" s="685" t="s">
        <v>1247</v>
      </c>
      <c r="AD237" s="218" t="s">
        <v>831</v>
      </c>
      <c r="AE237" s="1022">
        <f ca="1">SUMIFS(Налоги!AE$25:AE$69,Налоги!$F$25:$F$69,$F237,Налоги!$AB$25:$AB$69,$G237)</f>
        <v>0</v>
      </c>
      <c r="AF237" s="1022">
        <f ca="1">SUMIFS(Налоги!AF$25:AF$69,Налоги!$F$25:$F$69,$F237,Налоги!$AB$25:$AB$69,$G237)</f>
        <v>0</v>
      </c>
      <c r="AG237" s="1022">
        <f ca="1">SUMIFS(Налоги!AG$25:AG$69,Налоги!$F$25:$F$69,$F237,Налоги!$AB$25:$AB$69,$G237)</f>
        <v>0</v>
      </c>
      <c r="AH237" s="1022">
        <f t="shared" ca="1" si="53"/>
        <v>0</v>
      </c>
      <c r="AI237" s="1022">
        <f ca="1">SUMIFS(Налоги!AH$25:AH$69,Налоги!$F$25:$F$69,$F237,Налоги!$AB$25:$AB$69,$G237)</f>
        <v>0</v>
      </c>
      <c r="AJ237" s="1022">
        <f ca="1">SUMIFS(Налоги!AI$25:AI$69,Налоги!$F$25:$F$69,$F237,Налоги!$AB$25:$AB$69,$G237)</f>
        <v>0</v>
      </c>
      <c r="AK237" s="1022">
        <f ca="1">SUMIFS(Налоги!AJ$25:AJ$69,Налоги!$F$25:$F$69,$F237,Налоги!$AB$25:$AB$69,$G237)</f>
        <v>0</v>
      </c>
      <c r="AL237" s="1022">
        <f ca="1">SUMIFS(Налоги!AK$25:AK$69,Налоги!$F$25:$F$69,$F237,Налоги!$AB$25:$AB$69,$G237)</f>
        <v>0</v>
      </c>
      <c r="AM237" s="1022">
        <f ca="1">SUMIFS(Налоги!AL$25:AL$69,Налоги!$F$25:$F$69,$F237,Налоги!$AB$25:$AB$69,$G237)</f>
        <v>0</v>
      </c>
      <c r="AN237" s="1022">
        <f ca="1">SUMIFS(Налоги!AM$25:AM$69,Налоги!$F$25:$F$69,$F237,Налоги!$AB$25:$AB$69,$G237)</f>
        <v>0</v>
      </c>
      <c r="AO237" s="1022">
        <f ca="1">SUMIFS(Налоги!AN$25:AN$69,Налоги!$F$25:$F$69,$F237,Налоги!$AB$25:$AB$69,$G237)</f>
        <v>0</v>
      </c>
      <c r="AP237" s="1022">
        <f ca="1">SUMIFS(Налоги!AO$25:AO$69,Налоги!$F$25:$F$69,$F237,Налоги!$AB$25:$AB$69,$G237)</f>
        <v>0</v>
      </c>
      <c r="AQ237" s="1022">
        <f ca="1">SUMIFS(Налоги!AP$25:AP$69,Налоги!$F$25:$F$69,$F237,Налоги!$AB$25:$AB$69,$G237)</f>
        <v>0</v>
      </c>
      <c r="AR237" s="1022">
        <f ca="1">SUMIFS(Налоги!AQ$25:AQ$69,Налоги!$F$25:$F$69,$F237,Налоги!$AB$25:$AB$69,$G237)</f>
        <v>0</v>
      </c>
      <c r="AS237" s="1022">
        <f ca="1">SUMIFS(Налоги!AR$25:AR$69,Налоги!$F$25:$F$69,$F237,Налоги!$AB$25:$AB$69,$G237)</f>
        <v>0</v>
      </c>
      <c r="AT237" s="1022">
        <f ca="1">SUMIFS(Налоги!AS$25:AS$69,Налоги!$F$25:$F$69,$F237,Налоги!$AB$25:$AB$69,$G237)</f>
        <v>0</v>
      </c>
      <c r="AU237" s="1022">
        <f ca="1">SUMIFS(Налоги!AT$25:AT$69,Налоги!$F$25:$F$69,$F237,Налоги!$AB$25:$AB$69,$G237)</f>
        <v>0</v>
      </c>
      <c r="AV237" s="1022">
        <f ca="1">SUMIFS(Налоги!AU$25:AU$69,Налоги!$F$25:$F$69,$F237,Налоги!$AB$25:$AB$69,$G237)</f>
        <v>0</v>
      </c>
      <c r="AW237" s="1022">
        <f ca="1">SUMIFS(Налоги!AV$25:AV$69,Налоги!$F$25:$F$69,$F237,Налоги!$AB$25:$AB$69,$G237)</f>
        <v>0</v>
      </c>
      <c r="AX237" s="1022">
        <f ca="1">SUMIFS(Налоги!AW$25:AW$69,Налоги!$F$25:$F$69,$F237,Налоги!$AB$25:$AB$69,$G237)</f>
        <v>0</v>
      </c>
      <c r="AY237" s="1022">
        <f ca="1">SUMIFS(Налоги!AX$25:AX$69,Налоги!$F$25:$F$69,$F237,Налоги!$AB$25:$AB$69,$G237)</f>
        <v>0</v>
      </c>
      <c r="AZ237" s="1022">
        <f ca="1">SUMIFS(Налоги!AY$25:AY$69,Налоги!$F$25:$F$69,$F237,Налоги!$AB$25:$AB$69,$G237)</f>
        <v>0</v>
      </c>
      <c r="BA237" s="1022">
        <f ca="1">SUMIFS(Налоги!AZ$25:AZ$69,Налоги!$F$25:$F$69,$F237,Налоги!$AB$25:$AB$69,$G237)</f>
        <v>0</v>
      </c>
      <c r="BB237" s="1022">
        <f ca="1">SUMIFS(Налоги!BA$25:BA$69,Налоги!$F$25:$F$69,$F237,Налоги!$AB$25:$AB$69,$G237)</f>
        <v>0</v>
      </c>
      <c r="BC237" s="1022">
        <f ca="1">SUMIFS(Налоги!BB$25:BB$69,Налоги!$F$25:$F$69,$F237,Налоги!$AB$25:$AB$69,$G237)</f>
        <v>0</v>
      </c>
      <c r="BD237" s="1022">
        <f t="shared" ca="1" si="55"/>
        <v>0</v>
      </c>
      <c r="BE237" s="1022">
        <f t="shared" ca="1" si="56"/>
        <v>0</v>
      </c>
      <c r="BF237" s="1022">
        <f t="shared" ca="1" si="57"/>
        <v>0</v>
      </c>
      <c r="BG237" s="1022">
        <f t="shared" ca="1" si="58"/>
        <v>0</v>
      </c>
      <c r="BH237" s="1022">
        <f t="shared" ca="1" si="59"/>
        <v>0</v>
      </c>
      <c r="BI237" s="1022">
        <f t="shared" ca="1" si="60"/>
        <v>0</v>
      </c>
      <c r="BJ237" s="1022">
        <f t="shared" ca="1" si="61"/>
        <v>0</v>
      </c>
      <c r="BK237" s="1022">
        <f t="shared" ca="1" si="62"/>
        <v>0</v>
      </c>
      <c r="BL237" s="1022">
        <f t="shared" ca="1" si="63"/>
        <v>0</v>
      </c>
      <c r="BM237" s="1022">
        <f t="shared" ca="1" si="64"/>
        <v>0</v>
      </c>
      <c r="BN237" s="1523"/>
      <c r="BO237" s="1525" t="str">
        <f ca="1">IF(IFERROR(INDEX(Налоги!$K$26:$L$69,MATCH($F237&amp;"7komm",Налоги!$K$26:$K$69,0),2),"")=0,"",IFERROR(INDEX(Налоги!$K$26:$L$69,MATCH($F237&amp;"7komm",Налоги!$K$26:$K$69,0),2),""))</f>
        <v/>
      </c>
      <c r="BP237" s="1523"/>
      <c r="BQ237" s="1184"/>
      <c r="BR237" s="1184"/>
      <c r="BS237" s="973" t="s">
        <v>2024</v>
      </c>
      <c r="BT237" s="973"/>
      <c r="BU237" s="973"/>
      <c r="BV237" s="888"/>
      <c r="BW237" s="888"/>
    </row>
    <row r="238" spans="1:75" s="1334" customFormat="1" ht="243.75" customHeight="1" x14ac:dyDescent="0.15">
      <c r="A238" s="1184"/>
      <c r="B238" s="887"/>
      <c r="C238" s="26"/>
      <c r="D238" s="26"/>
      <c r="E238" s="545">
        <v>15</v>
      </c>
      <c r="F238" s="3" t="str" cm="1">
        <f t="array" aca="1" ref="F238" ca="1">OFFSET(E238,-1,1)</f>
        <v>1</v>
      </c>
      <c r="G238" s="834">
        <v>6</v>
      </c>
      <c r="H238" s="26"/>
      <c r="I238" s="26" t="s">
        <v>2025</v>
      </c>
      <c r="J238" s="26"/>
      <c r="K238" s="26" t="s">
        <v>2025</v>
      </c>
      <c r="L238" s="889"/>
      <c r="M238" s="26"/>
      <c r="N238" s="26"/>
      <c r="O238" s="26"/>
      <c r="P238" s="26"/>
      <c r="Q238" s="26"/>
      <c r="R238" s="26"/>
      <c r="S238" s="26"/>
      <c r="T238" s="388" t="b" cm="1">
        <f t="array" aca="1" ref="T238" ca="1">T237</f>
        <v>1</v>
      </c>
      <c r="U238" s="26"/>
      <c r="V238" s="26"/>
      <c r="W238" s="26"/>
      <c r="X238" s="2066"/>
      <c r="Y238" s="1184"/>
      <c r="Z238" s="2012"/>
      <c r="AA238" s="1184"/>
      <c r="AB238" s="218" t="s">
        <v>1459</v>
      </c>
      <c r="AC238" s="685" t="s">
        <v>2026</v>
      </c>
      <c r="AD238" s="218" t="s">
        <v>831</v>
      </c>
      <c r="AE238" s="1022">
        <f ca="1">SUMIFS(Налоги!AE$25:AE$69,Налоги!$F$25:$F$69,$F238,Налоги!$AB$25:$AB$69,$G238)</f>
        <v>6968.59</v>
      </c>
      <c r="AF238" s="1022">
        <f ca="1">SUMIFS(Налоги!AF$25:AF$69,Налоги!$F$25:$F$69,$F238,Налоги!$AB$25:$AB$69,$G238)</f>
        <v>4986.8900000000003</v>
      </c>
      <c r="AG238" s="1022">
        <f ca="1">SUMIFS(Налоги!AG$25:AG$69,Налоги!$F$25:$F$69,$F238,Налоги!$AB$25:$AB$69,$G238)</f>
        <v>4986.8900000000003</v>
      </c>
      <c r="AH238" s="1022">
        <f t="shared" ca="1" si="53"/>
        <v>0</v>
      </c>
      <c r="AI238" s="1022">
        <f ca="1">SUMIFS(Налоги!AH$25:AH$69,Налоги!$F$25:$F$69,$F238,Налоги!$AB$25:$AB$69,$G238)</f>
        <v>6839.2864287368002</v>
      </c>
      <c r="AJ238" s="1022">
        <f ca="1">SUMIFS(Налоги!AI$25:AI$69,Налоги!$F$25:$F$69,$F238,Налоги!$AB$25:$AB$69,$G238)</f>
        <v>14698.81</v>
      </c>
      <c r="AK238" s="1022">
        <f ca="1">SUMIFS(Налоги!AJ$25:AJ$69,Налоги!$F$25:$F$69,$F238,Налоги!$AB$25:$AB$69,$G238)</f>
        <v>13391.0048895335</v>
      </c>
      <c r="AL238" s="1022">
        <f ca="1">SUMIFS(Налоги!AK$25:AK$69,Налоги!$F$25:$F$69,$F238,Налоги!$AB$25:$AB$69,$G238)</f>
        <v>13255.8912030798</v>
      </c>
      <c r="AM238" s="1022">
        <f ca="1">SUMIFS(Налоги!AL$25:AL$69,Налоги!$F$25:$F$69,$F238,Налоги!$AB$25:$AB$69,$G238)</f>
        <v>12958.327860617999</v>
      </c>
      <c r="AN238" s="1022">
        <f ca="1">SUMIFS(Налоги!AM$25:AM$69,Налоги!$F$25:$F$69,$F238,Налоги!$AB$25:$AB$69,$G238)</f>
        <v>12590.3359860116</v>
      </c>
      <c r="AO238" s="1022">
        <f ca="1">SUMIFS(Налоги!AN$25:AN$69,Налоги!$F$25:$F$69,$F238,Налоги!$AB$25:$AB$69,$G238)</f>
        <v>12187.006688328</v>
      </c>
      <c r="AP238" s="1022">
        <f ca="1">SUMIFS(Налоги!AO$25:AO$69,Налоги!$F$25:$F$69,$F238,Налоги!$AB$25:$AB$69,$G238)</f>
        <v>11710.1698735881</v>
      </c>
      <c r="AQ238" s="1022">
        <f ca="1">SUMIFS(Налоги!AP$25:AP$69,Налоги!$F$25:$F$69,$F238,Налоги!$AB$25:$AB$69,$G238)</f>
        <v>0</v>
      </c>
      <c r="AR238" s="1022">
        <f ca="1">SUMIFS(Налоги!AQ$25:AQ$69,Налоги!$F$25:$F$69,$F238,Налоги!$AB$25:$AB$69,$G238)</f>
        <v>0</v>
      </c>
      <c r="AS238" s="1022">
        <f ca="1">SUMIFS(Налоги!AR$25:AR$69,Налоги!$F$25:$F$69,$F238,Налоги!$AB$25:$AB$69,$G238)</f>
        <v>0</v>
      </c>
      <c r="AT238" s="1022">
        <f ca="1">SUMIFS(Налоги!AS$25:AS$69,Налоги!$F$25:$F$69,$F238,Налоги!$AB$25:$AB$69,$G238)</f>
        <v>6760.13</v>
      </c>
      <c r="AU238" s="1022">
        <f ca="1">SUMIFS(Налоги!AT$25:AT$69,Налоги!$F$25:$F$69,$F238,Налоги!$AB$25:$AB$69,$G238)</f>
        <v>6695.5024447668002</v>
      </c>
      <c r="AV238" s="1022">
        <f ca="1">SUMIFS(Налоги!AU$25:AU$69,Налоги!$F$25:$F$69,$F238,Налоги!$AB$25:$AB$69,$G238)</f>
        <v>6627.9456015399001</v>
      </c>
      <c r="AW238" s="1022">
        <f ca="1">SUMIFS(Налоги!AV$25:AV$69,Налоги!$F$25:$F$69,$F238,Налоги!$AB$25:$AB$69,$G238)</f>
        <v>12958.327860617999</v>
      </c>
      <c r="AX238" s="1022">
        <f ca="1">SUMIFS(Налоги!AW$25:AW$69,Налоги!$F$25:$F$69,$F238,Налоги!$AB$25:$AB$69,$G238)</f>
        <v>12590.3359860116</v>
      </c>
      <c r="AY238" s="1022">
        <f ca="1">SUMIFS(Налоги!AX$25:AX$69,Налоги!$F$25:$F$69,$F238,Налоги!$AB$25:$AB$69,$G238)</f>
        <v>12187.006688328</v>
      </c>
      <c r="AZ238" s="1022">
        <f ca="1">SUMIFS(Налоги!AY$25:AY$69,Налоги!$F$25:$F$69,$F238,Налоги!$AB$25:$AB$69,$G238)</f>
        <v>11710.1698735881</v>
      </c>
      <c r="BA238" s="1022">
        <f ca="1">SUMIFS(Налоги!AZ$25:AZ$69,Налоги!$F$25:$F$69,$F238,Налоги!$AB$25:$AB$69,$G238)</f>
        <v>0</v>
      </c>
      <c r="BB238" s="1022">
        <f ca="1">SUMIFS(Налоги!BA$25:BA$69,Налоги!$F$25:$F$69,$F238,Налоги!$AB$25:$AB$69,$G238)</f>
        <v>0</v>
      </c>
      <c r="BC238" s="1022">
        <f ca="1">SUMIFS(Налоги!BB$25:BB$69,Налоги!$F$25:$F$69,$F238,Налоги!$AB$25:$AB$69,$G238)</f>
        <v>0</v>
      </c>
      <c r="BD238" s="1022">
        <f t="shared" ca="1" si="55"/>
        <v>-1.1573784715932725</v>
      </c>
      <c r="BE238" s="1022">
        <f t="shared" ca="1" si="56"/>
        <v>-0.95601053874999342</v>
      </c>
      <c r="BF238" s="1022">
        <f t="shared" ca="1" si="57"/>
        <v>-1.0089884035469587</v>
      </c>
      <c r="BG238" s="1022">
        <f t="shared" ca="1" si="58"/>
        <v>95.510473978653849</v>
      </c>
      <c r="BH238" s="1022">
        <f t="shared" ca="1" si="59"/>
        <v>-2.8398098779764127</v>
      </c>
      <c r="BI238" s="1022">
        <f t="shared" ca="1" si="60"/>
        <v>-3.2034831964112485</v>
      </c>
      <c r="BJ238" s="1022">
        <f t="shared" ca="1" si="61"/>
        <v>-3.9126655702633357</v>
      </c>
      <c r="BK238" s="1022">
        <f t="shared" ca="1" si="62"/>
        <v>-100</v>
      </c>
      <c r="BL238" s="1022">
        <f t="shared" ca="1" si="63"/>
        <v>0</v>
      </c>
      <c r="BM238" s="1022">
        <f t="shared" ca="1" si="64"/>
        <v>0</v>
      </c>
      <c r="BN238" s="1523" t="s">
        <v>2185</v>
      </c>
      <c r="BO238" s="1525" t="str">
        <f ca="1">IF(IFERROR(INDEX(Налоги!$K$26:$L$69,MATCH($F238&amp;"6komm",Налоги!$K$26:$K$69,0),2),"")=0,"",IFERROR(INDEX(Налоги!$K$26:$L$69,MATCH($F238&amp;"6komm",Налоги!$K$26:$K$69,0),2),""))</f>
        <v xml:space="preserve">Учтено по расчету регулятора  в соответствии с действующим законодательством, налог на имущество в соответствии с утвержденной ИП - 93,33 тыс. руб.. налог на иное имущество, переданное по концессионному соглашению № 25 - 6666,80 тыс. руб. </v>
      </c>
      <c r="BP238" s="1523"/>
      <c r="BQ238" s="1184"/>
      <c r="BR238" s="1184"/>
      <c r="BS238" s="973" t="s">
        <v>2027</v>
      </c>
      <c r="BT238" s="973"/>
      <c r="BU238" s="973"/>
      <c r="BV238" s="888"/>
      <c r="BW238" s="888"/>
    </row>
    <row r="239" spans="1:75" s="1334" customFormat="1" ht="14.25" customHeight="1" x14ac:dyDescent="0.15">
      <c r="A239" s="1184"/>
      <c r="B239" s="887"/>
      <c r="C239" s="26"/>
      <c r="D239" s="26"/>
      <c r="E239" s="545">
        <v>15</v>
      </c>
      <c r="F239" s="3" t="str" cm="1">
        <f t="array" aca="1" ref="F239" ca="1">OFFSET(E239,-1,1)</f>
        <v>1</v>
      </c>
      <c r="G239" s="834">
        <v>2</v>
      </c>
      <c r="H239" s="26"/>
      <c r="I239" s="26" t="s">
        <v>2028</v>
      </c>
      <c r="J239" s="26"/>
      <c r="K239" s="26" t="s">
        <v>2028</v>
      </c>
      <c r="L239" s="889"/>
      <c r="M239" s="26"/>
      <c r="N239" s="26"/>
      <c r="O239" s="26"/>
      <c r="P239" s="26"/>
      <c r="Q239" s="26"/>
      <c r="R239" s="26"/>
      <c r="S239" s="26"/>
      <c r="T239" s="388" t="b" cm="1">
        <f t="array" aca="1" ref="T239" ca="1">T238</f>
        <v>1</v>
      </c>
      <c r="U239" s="26"/>
      <c r="V239" s="26"/>
      <c r="W239" s="26"/>
      <c r="X239" s="2066"/>
      <c r="Y239" s="1184"/>
      <c r="Z239" s="2012"/>
      <c r="AA239" s="1184"/>
      <c r="AB239" s="218" t="s">
        <v>1464</v>
      </c>
      <c r="AC239" s="685" t="s">
        <v>2029</v>
      </c>
      <c r="AD239" s="218" t="s">
        <v>831</v>
      </c>
      <c r="AE239" s="1022">
        <f ca="1">SUMIFS(Налоги!AE$25:AE$69,Налоги!$F$25:$F$69,$F239,Налоги!$AB$25:$AB$69,$G239)</f>
        <v>0</v>
      </c>
      <c r="AF239" s="1022">
        <f ca="1">SUMIFS(Налоги!AF$25:AF$69,Налоги!$F$25:$F$69,$F239,Налоги!$AB$25:$AB$69,$G239)</f>
        <v>0</v>
      </c>
      <c r="AG239" s="1022">
        <f ca="1">SUMIFS(Налоги!AG$25:AG$69,Налоги!$F$25:$F$69,$F239,Налоги!$AB$25:$AB$69,$G239)</f>
        <v>0</v>
      </c>
      <c r="AH239" s="1022">
        <f t="shared" ca="1" si="53"/>
        <v>0</v>
      </c>
      <c r="AI239" s="1022">
        <f ca="1">SUMIFS(Налоги!AH$25:AH$69,Налоги!$F$25:$F$69,$F239,Налоги!$AB$25:$AB$69,$G239)</f>
        <v>0</v>
      </c>
      <c r="AJ239" s="1022">
        <f ca="1">SUMIFS(Налоги!AI$25:AI$69,Налоги!$F$25:$F$69,$F239,Налоги!$AB$25:$AB$69,$G239)</f>
        <v>0</v>
      </c>
      <c r="AK239" s="1022">
        <f ca="1">SUMIFS(Налоги!AJ$25:AJ$69,Налоги!$F$25:$F$69,$F239,Налоги!$AB$25:$AB$69,$G239)</f>
        <v>0</v>
      </c>
      <c r="AL239" s="1022">
        <f ca="1">SUMIFS(Налоги!AK$25:AK$69,Налоги!$F$25:$F$69,$F239,Налоги!$AB$25:$AB$69,$G239)</f>
        <v>0</v>
      </c>
      <c r="AM239" s="1022">
        <f ca="1">SUMIFS(Налоги!AL$25:AL$69,Налоги!$F$25:$F$69,$F239,Налоги!$AB$25:$AB$69,$G239)</f>
        <v>0</v>
      </c>
      <c r="AN239" s="1022">
        <f ca="1">SUMIFS(Налоги!AM$25:AM$69,Налоги!$F$25:$F$69,$F239,Налоги!$AB$25:$AB$69,$G239)</f>
        <v>0</v>
      </c>
      <c r="AO239" s="1022">
        <f ca="1">SUMIFS(Налоги!AN$25:AN$69,Налоги!$F$25:$F$69,$F239,Налоги!$AB$25:$AB$69,$G239)</f>
        <v>0</v>
      </c>
      <c r="AP239" s="1022">
        <f ca="1">SUMIFS(Налоги!AO$25:AO$69,Налоги!$F$25:$F$69,$F239,Налоги!$AB$25:$AB$69,$G239)</f>
        <v>0</v>
      </c>
      <c r="AQ239" s="1022">
        <f ca="1">SUMIFS(Налоги!AP$25:AP$69,Налоги!$F$25:$F$69,$F239,Налоги!$AB$25:$AB$69,$G239)</f>
        <v>0</v>
      </c>
      <c r="AR239" s="1022">
        <f ca="1">SUMIFS(Налоги!AQ$25:AQ$69,Налоги!$F$25:$F$69,$F239,Налоги!$AB$25:$AB$69,$G239)</f>
        <v>0</v>
      </c>
      <c r="AS239" s="1022">
        <f ca="1">SUMIFS(Налоги!AR$25:AR$69,Налоги!$F$25:$F$69,$F239,Налоги!$AB$25:$AB$69,$G239)</f>
        <v>0</v>
      </c>
      <c r="AT239" s="1022">
        <f ca="1">SUMIFS(Налоги!AS$25:AS$69,Налоги!$F$25:$F$69,$F239,Налоги!$AB$25:$AB$69,$G239)</f>
        <v>0</v>
      </c>
      <c r="AU239" s="1022">
        <f ca="1">SUMIFS(Налоги!AT$25:AT$69,Налоги!$F$25:$F$69,$F239,Налоги!$AB$25:$AB$69,$G239)</f>
        <v>0</v>
      </c>
      <c r="AV239" s="1022">
        <f ca="1">SUMIFS(Налоги!AU$25:AU$69,Налоги!$F$25:$F$69,$F239,Налоги!$AB$25:$AB$69,$G239)</f>
        <v>0</v>
      </c>
      <c r="AW239" s="1022">
        <f ca="1">SUMIFS(Налоги!AV$25:AV$69,Налоги!$F$25:$F$69,$F239,Налоги!$AB$25:$AB$69,$G239)</f>
        <v>0</v>
      </c>
      <c r="AX239" s="1022">
        <f ca="1">SUMIFS(Налоги!AW$25:AW$69,Налоги!$F$25:$F$69,$F239,Налоги!$AB$25:$AB$69,$G239)</f>
        <v>0</v>
      </c>
      <c r="AY239" s="1022">
        <f ca="1">SUMIFS(Налоги!AX$25:AX$69,Налоги!$F$25:$F$69,$F239,Налоги!$AB$25:$AB$69,$G239)</f>
        <v>0</v>
      </c>
      <c r="AZ239" s="1022">
        <f ca="1">SUMIFS(Налоги!AY$25:AY$69,Налоги!$F$25:$F$69,$F239,Налоги!$AB$25:$AB$69,$G239)</f>
        <v>0</v>
      </c>
      <c r="BA239" s="1022">
        <f ca="1">SUMIFS(Налоги!AZ$25:AZ$69,Налоги!$F$25:$F$69,$F239,Налоги!$AB$25:$AB$69,$G239)</f>
        <v>0</v>
      </c>
      <c r="BB239" s="1022">
        <f ca="1">SUMIFS(Налоги!BA$25:BA$69,Налоги!$F$25:$F$69,$F239,Налоги!$AB$25:$AB$69,$G239)</f>
        <v>0</v>
      </c>
      <c r="BC239" s="1022">
        <f ca="1">SUMIFS(Налоги!BB$25:BB$69,Налоги!$F$25:$F$69,$F239,Налоги!$AB$25:$AB$69,$G239)</f>
        <v>0</v>
      </c>
      <c r="BD239" s="1022">
        <f t="shared" ca="1" si="55"/>
        <v>0</v>
      </c>
      <c r="BE239" s="1022">
        <f t="shared" ca="1" si="56"/>
        <v>0</v>
      </c>
      <c r="BF239" s="1022">
        <f t="shared" ca="1" si="57"/>
        <v>0</v>
      </c>
      <c r="BG239" s="1022">
        <f t="shared" ca="1" si="58"/>
        <v>0</v>
      </c>
      <c r="BH239" s="1022">
        <f t="shared" ca="1" si="59"/>
        <v>0</v>
      </c>
      <c r="BI239" s="1022">
        <f t="shared" ca="1" si="60"/>
        <v>0</v>
      </c>
      <c r="BJ239" s="1022">
        <f t="shared" ca="1" si="61"/>
        <v>0</v>
      </c>
      <c r="BK239" s="1022">
        <f t="shared" ca="1" si="62"/>
        <v>0</v>
      </c>
      <c r="BL239" s="1022">
        <f t="shared" ca="1" si="63"/>
        <v>0</v>
      </c>
      <c r="BM239" s="1022">
        <f t="shared" ca="1" si="64"/>
        <v>0</v>
      </c>
      <c r="BN239" s="1523"/>
      <c r="BO239" s="1525" t="str">
        <f ca="1">IF(IFERROR(INDEX(Налоги!$K$26:$L$69,MATCH($F239&amp;"2komm",Налоги!$K$26:$K$69,0),2),"")=0,"",IFERROR(INDEX(Налоги!$K$26:$L$69,MATCH($F239&amp;"2komm",Налоги!$K$26:$K$69,0),2),""))</f>
        <v/>
      </c>
      <c r="BP239" s="1523"/>
      <c r="BQ239" s="1184"/>
      <c r="BR239" s="1184"/>
      <c r="BS239" s="973" t="s">
        <v>2030</v>
      </c>
      <c r="BT239" s="973"/>
      <c r="BU239" s="973"/>
      <c r="BV239" s="888"/>
      <c r="BW239" s="888"/>
    </row>
    <row r="240" spans="1:75" s="1334" customFormat="1" ht="14.25" customHeight="1" x14ac:dyDescent="0.15">
      <c r="A240" s="1184"/>
      <c r="B240" s="887"/>
      <c r="C240" s="26"/>
      <c r="D240" s="26"/>
      <c r="E240" s="545">
        <v>15</v>
      </c>
      <c r="F240" s="3" t="str" cm="1">
        <f t="array" aca="1" ref="F240" ca="1">OFFSET(E240,-1,1)</f>
        <v>1</v>
      </c>
      <c r="G240" s="834">
        <v>4</v>
      </c>
      <c r="H240" s="26"/>
      <c r="I240" s="26" t="s">
        <v>2031</v>
      </c>
      <c r="J240" s="26"/>
      <c r="K240" s="26" t="s">
        <v>2031</v>
      </c>
      <c r="L240" s="889"/>
      <c r="M240" s="26"/>
      <c r="N240" s="26"/>
      <c r="O240" s="26"/>
      <c r="P240" s="26"/>
      <c r="Q240" s="26"/>
      <c r="R240" s="26"/>
      <c r="S240" s="26"/>
      <c r="T240" s="388" t="b" cm="1">
        <f t="array" aca="1" ref="T240" ca="1">T239</f>
        <v>1</v>
      </c>
      <c r="U240" s="26"/>
      <c r="V240" s="26"/>
      <c r="W240" s="26"/>
      <c r="X240" s="2066"/>
      <c r="Y240" s="1184"/>
      <c r="Z240" s="2012"/>
      <c r="AA240" s="1184"/>
      <c r="AB240" s="218" t="s">
        <v>2032</v>
      </c>
      <c r="AC240" s="685" t="s">
        <v>2033</v>
      </c>
      <c r="AD240" s="218" t="s">
        <v>831</v>
      </c>
      <c r="AE240" s="1022">
        <f ca="1">SUMIFS(Налоги!AE$25:AE$69,Налоги!$F$25:$F$69,$F240,Налоги!$AB$25:$AB$69,$G240)</f>
        <v>0</v>
      </c>
      <c r="AF240" s="1022">
        <f ca="1">SUMIFS(Налоги!AF$25:AF$69,Налоги!$F$25:$F$69,$F240,Налоги!$AB$25:$AB$69,$G240)</f>
        <v>53.36</v>
      </c>
      <c r="AG240" s="1022">
        <f ca="1">SUMIFS(Налоги!AG$25:AG$69,Налоги!$F$25:$F$69,$F240,Налоги!$AB$25:$AB$69,$G240)</f>
        <v>53.36</v>
      </c>
      <c r="AH240" s="1022">
        <f t="shared" ca="1" si="53"/>
        <v>0</v>
      </c>
      <c r="AI240" s="1022">
        <f ca="1">SUMIFS(Налоги!AH$25:AH$69,Налоги!$F$25:$F$69,$F240,Налоги!$AB$25:$AB$69,$G240)</f>
        <v>0</v>
      </c>
      <c r="AJ240" s="1022">
        <f ca="1">SUMIFS(Налоги!AI$25:AI$69,Налоги!$F$25:$F$69,$F240,Налоги!$AB$25:$AB$69,$G240)</f>
        <v>58.22</v>
      </c>
      <c r="AK240" s="1022">
        <f ca="1">SUMIFS(Налоги!AJ$25:AJ$69,Налоги!$F$25:$F$69,$F240,Налоги!$AB$25:$AB$69,$G240)</f>
        <v>0</v>
      </c>
      <c r="AL240" s="1022">
        <f ca="1">SUMIFS(Налоги!AK$25:AK$69,Налоги!$F$25:$F$69,$F240,Налоги!$AB$25:$AB$69,$G240)</f>
        <v>0</v>
      </c>
      <c r="AM240" s="1022">
        <f ca="1">SUMIFS(Налоги!AL$25:AL$69,Налоги!$F$25:$F$69,$F240,Налоги!$AB$25:$AB$69,$G240)</f>
        <v>0</v>
      </c>
      <c r="AN240" s="1022">
        <f ca="1">SUMIFS(Налоги!AM$25:AM$69,Налоги!$F$25:$F$69,$F240,Налоги!$AB$25:$AB$69,$G240)</f>
        <v>0</v>
      </c>
      <c r="AO240" s="1022">
        <f ca="1">SUMIFS(Налоги!AN$25:AN$69,Налоги!$F$25:$F$69,$F240,Налоги!$AB$25:$AB$69,$G240)</f>
        <v>0</v>
      </c>
      <c r="AP240" s="1022">
        <f ca="1">SUMIFS(Налоги!AO$25:AO$69,Налоги!$F$25:$F$69,$F240,Налоги!$AB$25:$AB$69,$G240)</f>
        <v>0</v>
      </c>
      <c r="AQ240" s="1022">
        <f ca="1">SUMIFS(Налоги!AP$25:AP$69,Налоги!$F$25:$F$69,$F240,Налоги!$AB$25:$AB$69,$G240)</f>
        <v>0</v>
      </c>
      <c r="AR240" s="1022">
        <f ca="1">SUMIFS(Налоги!AQ$25:AQ$69,Налоги!$F$25:$F$69,$F240,Налоги!$AB$25:$AB$69,$G240)</f>
        <v>0</v>
      </c>
      <c r="AS240" s="1022">
        <f ca="1">SUMIFS(Налоги!AR$25:AR$69,Налоги!$F$25:$F$69,$F240,Налоги!$AB$25:$AB$69,$G240)</f>
        <v>0</v>
      </c>
      <c r="AT240" s="1022">
        <f ca="1">SUMIFS(Налоги!AS$25:AS$69,Налоги!$F$25:$F$69,$F240,Налоги!$AB$25:$AB$69,$G240)</f>
        <v>58.22</v>
      </c>
      <c r="AU240" s="1022">
        <f ca="1">SUMIFS(Налоги!AT$25:AT$69,Налоги!$F$25:$F$69,$F240,Налоги!$AB$25:$AB$69,$G240)</f>
        <v>0</v>
      </c>
      <c r="AV240" s="1022">
        <f ca="1">SUMIFS(Налоги!AU$25:AU$69,Налоги!$F$25:$F$69,$F240,Налоги!$AB$25:$AB$69,$G240)</f>
        <v>0</v>
      </c>
      <c r="AW240" s="1022">
        <f ca="1">SUMIFS(Налоги!AV$25:AV$69,Налоги!$F$25:$F$69,$F240,Налоги!$AB$25:$AB$69,$G240)</f>
        <v>0</v>
      </c>
      <c r="AX240" s="1022">
        <f ca="1">SUMIFS(Налоги!AW$25:AW$69,Налоги!$F$25:$F$69,$F240,Налоги!$AB$25:$AB$69,$G240)</f>
        <v>0</v>
      </c>
      <c r="AY240" s="1022">
        <f ca="1">SUMIFS(Налоги!AX$25:AX$69,Налоги!$F$25:$F$69,$F240,Налоги!$AB$25:$AB$69,$G240)</f>
        <v>0</v>
      </c>
      <c r="AZ240" s="1022">
        <f ca="1">SUMIFS(Налоги!AY$25:AY$69,Налоги!$F$25:$F$69,$F240,Налоги!$AB$25:$AB$69,$G240)</f>
        <v>0</v>
      </c>
      <c r="BA240" s="1022">
        <f ca="1">SUMIFS(Налоги!AZ$25:AZ$69,Налоги!$F$25:$F$69,$F240,Налоги!$AB$25:$AB$69,$G240)</f>
        <v>0</v>
      </c>
      <c r="BB240" s="1022">
        <f ca="1">SUMIFS(Налоги!BA$25:BA$69,Налоги!$F$25:$F$69,$F240,Налоги!$AB$25:$AB$69,$G240)</f>
        <v>0</v>
      </c>
      <c r="BC240" s="1022">
        <f ca="1">SUMIFS(Налоги!BB$25:BB$69,Налоги!$F$25:$F$69,$F240,Налоги!$AB$25:$AB$69,$G240)</f>
        <v>0</v>
      </c>
      <c r="BD240" s="1022">
        <f t="shared" ca="1" si="55"/>
        <v>0</v>
      </c>
      <c r="BE240" s="1022">
        <f t="shared" ca="1" si="56"/>
        <v>-100</v>
      </c>
      <c r="BF240" s="1022">
        <f t="shared" ca="1" si="57"/>
        <v>0</v>
      </c>
      <c r="BG240" s="1022">
        <f t="shared" ca="1" si="58"/>
        <v>0</v>
      </c>
      <c r="BH240" s="1022">
        <f t="shared" ca="1" si="59"/>
        <v>0</v>
      </c>
      <c r="BI240" s="1022">
        <f t="shared" ca="1" si="60"/>
        <v>0</v>
      </c>
      <c r="BJ240" s="1022">
        <f t="shared" ca="1" si="61"/>
        <v>0</v>
      </c>
      <c r="BK240" s="1022">
        <f t="shared" ca="1" si="62"/>
        <v>0</v>
      </c>
      <c r="BL240" s="1022">
        <f t="shared" ca="1" si="63"/>
        <v>0</v>
      </c>
      <c r="BM240" s="1022">
        <f t="shared" ca="1" si="64"/>
        <v>0</v>
      </c>
      <c r="BN240" s="1523"/>
      <c r="BO240" s="1525" t="str">
        <f ca="1">IF(IFERROR(INDEX(Налоги!$K$26:$L$69,MATCH($F240&amp;"4komm",Налоги!$K$26:$K$69,0),2),"")=0,"",IFERROR(INDEX(Налоги!$K$26:$L$69,MATCH($F240&amp;"4komm",Налоги!$K$26:$K$69,0),2),""))</f>
        <v>учтено по предложению организации, не превышает экономически обоснованный размер по расчету регулятора</v>
      </c>
      <c r="BP240" s="1523"/>
      <c r="BQ240" s="1184"/>
      <c r="BR240" s="1184"/>
      <c r="BS240" s="973" t="s">
        <v>2034</v>
      </c>
      <c r="BT240" s="973"/>
      <c r="BU240" s="973"/>
      <c r="BV240" s="888"/>
      <c r="BW240" s="888"/>
    </row>
    <row r="241" spans="1:75" s="1334" customFormat="1" ht="54.75" customHeight="1" x14ac:dyDescent="0.15">
      <c r="A241" s="1184"/>
      <c r="B241" s="887"/>
      <c r="C241" s="26"/>
      <c r="D241" s="26"/>
      <c r="E241" s="545">
        <v>15</v>
      </c>
      <c r="F241" s="3" t="str" cm="1">
        <f t="array" aca="1" ref="F241" ca="1">OFFSET(E241,-1,1)</f>
        <v>1</v>
      </c>
      <c r="G241" s="834">
        <v>5</v>
      </c>
      <c r="H241" s="26"/>
      <c r="I241" s="26" t="s">
        <v>2035</v>
      </c>
      <c r="J241" s="26"/>
      <c r="K241" s="26" t="s">
        <v>2035</v>
      </c>
      <c r="L241" s="889"/>
      <c r="M241" s="26"/>
      <c r="N241" s="26"/>
      <c r="O241" s="26"/>
      <c r="P241" s="26"/>
      <c r="Q241" s="26"/>
      <c r="R241" s="26"/>
      <c r="S241" s="26"/>
      <c r="T241" s="388" t="b" cm="1">
        <f t="array" aca="1" ref="T241" ca="1">T240</f>
        <v>1</v>
      </c>
      <c r="U241" s="26"/>
      <c r="V241" s="26"/>
      <c r="W241" s="26"/>
      <c r="X241" s="2066"/>
      <c r="Y241" s="1184"/>
      <c r="Z241" s="2012"/>
      <c r="AA241" s="1184"/>
      <c r="AB241" s="218" t="s">
        <v>2036</v>
      </c>
      <c r="AC241" s="685" t="s">
        <v>2037</v>
      </c>
      <c r="AD241" s="218" t="s">
        <v>831</v>
      </c>
      <c r="AE241" s="1022">
        <f ca="1">SUMIFS(Налоги!AE$25:AE$69,Налоги!$F$25:$F$69,$F241,Налоги!$AB$25:$AB$69,$G241)</f>
        <v>9366.6141475099994</v>
      </c>
      <c r="AF241" s="1022">
        <f ca="1">SUMIFS(Налоги!AF$25:AF$69,Налоги!$F$25:$F$69,$F241,Налоги!$AB$25:$AB$69,$G241)</f>
        <v>11033.5</v>
      </c>
      <c r="AG241" s="1022">
        <f ca="1">SUMIFS(Налоги!AG$25:AG$69,Налоги!$F$25:$F$69,$F241,Налоги!$AB$25:$AB$69,$G241)</f>
        <v>6179.49</v>
      </c>
      <c r="AH241" s="1022">
        <f t="shared" ca="1" si="53"/>
        <v>-4854.01</v>
      </c>
      <c r="AI241" s="1022">
        <f ca="1">SUMIFS(Налоги!AH$25:AH$69,Налоги!$F$25:$F$69,$F241,Налоги!$AB$25:$AB$69,$G241)</f>
        <v>10752.0185369543</v>
      </c>
      <c r="AJ241" s="1022">
        <f ca="1">SUMIFS(Налоги!AI$25:AI$69,Налоги!$F$25:$F$69,$F241,Налоги!$AB$25:$AB$69,$G241)</f>
        <v>12037.11</v>
      </c>
      <c r="AK241" s="1022">
        <f ca="1">SUMIFS(Налоги!AJ$25:AJ$69,Налоги!$F$25:$F$69,$F241,Налоги!$AB$25:$AB$69,$G241)</f>
        <v>12848.06</v>
      </c>
      <c r="AL241" s="1022">
        <f ca="1">SUMIFS(Налоги!AK$25:AK$69,Налоги!$F$25:$F$69,$F241,Налоги!$AB$25:$AB$69,$G241)</f>
        <v>13361.98</v>
      </c>
      <c r="AM241" s="1022">
        <f ca="1">SUMIFS(Налоги!AL$25:AL$69,Налоги!$F$25:$F$69,$F241,Налоги!$AB$25:$AB$69,$G241)</f>
        <v>13896.46</v>
      </c>
      <c r="AN241" s="1022">
        <f ca="1">SUMIFS(Налоги!AM$25:AM$69,Налоги!$F$25:$F$69,$F241,Налоги!$AB$25:$AB$69,$G241)</f>
        <v>14452.32</v>
      </c>
      <c r="AO241" s="1022">
        <f ca="1">SUMIFS(Налоги!AN$25:AN$69,Налоги!$F$25:$F$69,$F241,Налоги!$AB$25:$AB$69,$G241)</f>
        <v>15030.41</v>
      </c>
      <c r="AP241" s="1022">
        <f ca="1">SUMIFS(Налоги!AO$25:AO$69,Налоги!$F$25:$F$69,$F241,Налоги!$AB$25:$AB$69,$G241)</f>
        <v>15631.63</v>
      </c>
      <c r="AQ241" s="1022">
        <f ca="1">SUMIFS(Налоги!AP$25:AP$69,Налоги!$F$25:$F$69,$F241,Налоги!$AB$25:$AB$69,$G241)</f>
        <v>0</v>
      </c>
      <c r="AR241" s="1022">
        <f ca="1">SUMIFS(Налоги!AQ$25:AQ$69,Налоги!$F$25:$F$69,$F241,Налоги!$AB$25:$AB$69,$G241)</f>
        <v>0</v>
      </c>
      <c r="AS241" s="1022">
        <f ca="1">SUMIFS(Налоги!AR$25:AR$69,Налоги!$F$25:$F$69,$F241,Налоги!$AB$25:$AB$69,$G241)</f>
        <v>0</v>
      </c>
      <c r="AT241" s="1022">
        <f ca="1">SUMIFS(Налоги!AS$25:AS$69,Налоги!$F$25:$F$69,$F241,Налоги!$AB$25:$AB$69,$G241)</f>
        <v>8579.01</v>
      </c>
      <c r="AU241" s="1022">
        <f ca="1">SUMIFS(Налоги!AT$25:AT$69,Налоги!$F$25:$F$69,$F241,Налоги!$AB$25:$AB$69,$G241)</f>
        <v>11629.383249569801</v>
      </c>
      <c r="AV241" s="1022">
        <f ca="1">SUMIFS(Налоги!AU$25:AU$69,Налоги!$F$25:$F$69,$F241,Налоги!$AB$25:$AB$69,$G241)</f>
        <v>12094.5585795525</v>
      </c>
      <c r="AW241" s="1022">
        <f ca="1">SUMIFS(Налоги!AV$25:AV$69,Налоги!$F$25:$F$69,$F241,Налоги!$AB$25:$AB$69,$G241)</f>
        <v>12578.3409227346</v>
      </c>
      <c r="AX241" s="1022">
        <f ca="1">SUMIFS(Налоги!AW$25:AW$69,Налоги!$F$25:$F$69,$F241,Налоги!$AB$25:$AB$69,$G241)</f>
        <v>13081.474559644001</v>
      </c>
      <c r="AY241" s="1022">
        <f ca="1">SUMIFS(Налоги!AX$25:AX$69,Налоги!$F$25:$F$69,$F241,Налоги!$AB$25:$AB$69,$G241)</f>
        <v>13604.7335420298</v>
      </c>
      <c r="AZ241" s="1022">
        <f ca="1">SUMIFS(Налоги!AY$25:AY$69,Налоги!$F$25:$F$69,$F241,Налоги!$AB$25:$AB$69,$G241)</f>
        <v>14148.922883711</v>
      </c>
      <c r="BA241" s="1022">
        <f ca="1">SUMIFS(Налоги!AZ$25:AZ$69,Налоги!$F$25:$F$69,$F241,Налоги!$AB$25:$AB$69,$G241)</f>
        <v>0</v>
      </c>
      <c r="BB241" s="1022">
        <f ca="1">SUMIFS(Налоги!BA$25:BA$69,Налоги!$F$25:$F$69,$F241,Налоги!$AB$25:$AB$69,$G241)</f>
        <v>0</v>
      </c>
      <c r="BC241" s="1022">
        <f ca="1">SUMIFS(Налоги!BB$25:BB$69,Налоги!$F$25:$F$69,$F241,Налоги!$AB$25:$AB$69,$G241)</f>
        <v>0</v>
      </c>
      <c r="BD241" s="1022">
        <f t="shared" ca="1" si="55"/>
        <v>-20.210238007735455</v>
      </c>
      <c r="BE241" s="1022">
        <f t="shared" ca="1" si="56"/>
        <v>35.55623841876627</v>
      </c>
      <c r="BF241" s="1022">
        <f t="shared" ca="1" si="57"/>
        <v>3.9999999999992055</v>
      </c>
      <c r="BG241" s="1022">
        <f t="shared" ca="1" si="58"/>
        <v>3.9999999999999982</v>
      </c>
      <c r="BH241" s="1022">
        <f t="shared" ca="1" si="59"/>
        <v>4.0000000000001323</v>
      </c>
      <c r="BI241" s="1022">
        <f t="shared" ca="1" si="60"/>
        <v>4.0000000000003038</v>
      </c>
      <c r="BJ241" s="1022">
        <f t="shared" ca="1" si="61"/>
        <v>4.0000000000000586</v>
      </c>
      <c r="BK241" s="1022">
        <f t="shared" ca="1" si="62"/>
        <v>-100</v>
      </c>
      <c r="BL241" s="1022">
        <f t="shared" ca="1" si="63"/>
        <v>0</v>
      </c>
      <c r="BM241" s="1022">
        <f t="shared" ca="1" si="64"/>
        <v>0</v>
      </c>
      <c r="BN241" s="1523" t="s">
        <v>2186</v>
      </c>
      <c r="BO241" s="1525" t="str">
        <f ca="1">IF(IFERROR(INDEX(Налоги!$K$26:$L$69,MATCH($F241&amp;"5komm",Налоги!$K$26:$K$69,0),2),"")=0,"",IFERROR(INDEX(Налоги!$K$26:$L$69,MATCH($F241&amp;"5komm",Налоги!$K$26:$K$69,0),2),""))</f>
        <v>учтено по расчету регулятора, в соответствии с договором водопользования и постановлением правительства от 26.12.2014 № 1509</v>
      </c>
      <c r="BP241" s="1523"/>
      <c r="BQ241" s="1184"/>
      <c r="BR241" s="1184"/>
      <c r="BS241" s="973" t="s">
        <v>2038</v>
      </c>
      <c r="BT241" s="973"/>
      <c r="BU241" s="973"/>
      <c r="BV241" s="888"/>
      <c r="BW241" s="888"/>
    </row>
    <row r="242" spans="1:75" s="1334" customFormat="1" ht="14.25" customHeight="1" x14ac:dyDescent="0.15">
      <c r="A242" s="1184"/>
      <c r="B242" s="887"/>
      <c r="C242" s="26"/>
      <c r="D242" s="26"/>
      <c r="E242" s="545">
        <v>15</v>
      </c>
      <c r="F242" s="3" t="str" cm="1">
        <f t="array" aca="1" ref="F242" ca="1">OFFSET(E242,-1,1)</f>
        <v>1</v>
      </c>
      <c r="G242" s="834">
        <v>1</v>
      </c>
      <c r="H242" s="26"/>
      <c r="I242" s="26" t="s">
        <v>2039</v>
      </c>
      <c r="J242" s="26"/>
      <c r="K242" s="26" t="s">
        <v>2039</v>
      </c>
      <c r="L242" s="889"/>
      <c r="M242" s="26"/>
      <c r="N242" s="26"/>
      <c r="O242" s="26"/>
      <c r="P242" s="26"/>
      <c r="Q242" s="26"/>
      <c r="R242" s="26"/>
      <c r="S242" s="26"/>
      <c r="T242" s="388" t="b" cm="1">
        <f t="array" aca="1" ref="T242" ca="1">T241</f>
        <v>1</v>
      </c>
      <c r="U242" s="26"/>
      <c r="V242" s="26"/>
      <c r="W242" s="26"/>
      <c r="X242" s="2066"/>
      <c r="Y242" s="1184"/>
      <c r="Z242" s="2012"/>
      <c r="AA242" s="1184"/>
      <c r="AB242" s="218" t="s">
        <v>2040</v>
      </c>
      <c r="AC242" s="685" t="s">
        <v>2041</v>
      </c>
      <c r="AD242" s="218" t="s">
        <v>831</v>
      </c>
      <c r="AE242" s="1022">
        <f ca="1">SUMIFS(Налоги!AE$25:AE$69,Налоги!$F$25:$F$69,$F242,Налоги!$AB$25:$AB$69,$G242)</f>
        <v>0</v>
      </c>
      <c r="AF242" s="1022">
        <f ca="1">SUMIFS(Налоги!AF$25:AF$69,Налоги!$F$25:$F$69,$F242,Налоги!$AB$25:$AB$69,$G242)</f>
        <v>0</v>
      </c>
      <c r="AG242" s="1022">
        <f ca="1">SUMIFS(Налоги!AG$25:AG$69,Налоги!$F$25:$F$69,$F242,Налоги!$AB$25:$AB$69,$G242)</f>
        <v>0</v>
      </c>
      <c r="AH242" s="1022">
        <f t="shared" ca="1" si="53"/>
        <v>0</v>
      </c>
      <c r="AI242" s="1022">
        <f ca="1">SUMIFS(Налоги!AH$25:AH$69,Налоги!$F$25:$F$69,$F242,Налоги!$AB$25:$AB$69,$G242)</f>
        <v>0</v>
      </c>
      <c r="AJ242" s="1022">
        <f ca="1">SUMIFS(Налоги!AI$25:AI$69,Налоги!$F$25:$F$69,$F242,Налоги!$AB$25:$AB$69,$G242)</f>
        <v>0</v>
      </c>
      <c r="AK242" s="1022">
        <f ca="1">SUMIFS(Налоги!AJ$25:AJ$69,Налоги!$F$25:$F$69,$F242,Налоги!$AB$25:$AB$69,$G242)</f>
        <v>0</v>
      </c>
      <c r="AL242" s="1022">
        <f ca="1">SUMIFS(Налоги!AK$25:AK$69,Налоги!$F$25:$F$69,$F242,Налоги!$AB$25:$AB$69,$G242)</f>
        <v>0</v>
      </c>
      <c r="AM242" s="1022">
        <f ca="1">SUMIFS(Налоги!AL$25:AL$69,Налоги!$F$25:$F$69,$F242,Налоги!$AB$25:$AB$69,$G242)</f>
        <v>0</v>
      </c>
      <c r="AN242" s="1022">
        <f ca="1">SUMIFS(Налоги!AM$25:AM$69,Налоги!$F$25:$F$69,$F242,Налоги!$AB$25:$AB$69,$G242)</f>
        <v>0</v>
      </c>
      <c r="AO242" s="1022">
        <f ca="1">SUMIFS(Налоги!AN$25:AN$69,Налоги!$F$25:$F$69,$F242,Налоги!$AB$25:$AB$69,$G242)</f>
        <v>0</v>
      </c>
      <c r="AP242" s="1022">
        <f ca="1">SUMIFS(Налоги!AO$25:AO$69,Налоги!$F$25:$F$69,$F242,Налоги!$AB$25:$AB$69,$G242)</f>
        <v>0</v>
      </c>
      <c r="AQ242" s="1022">
        <f ca="1">SUMIFS(Налоги!AP$25:AP$69,Налоги!$F$25:$F$69,$F242,Налоги!$AB$25:$AB$69,$G242)</f>
        <v>0</v>
      </c>
      <c r="AR242" s="1022">
        <f ca="1">SUMIFS(Налоги!AQ$25:AQ$69,Налоги!$F$25:$F$69,$F242,Налоги!$AB$25:$AB$69,$G242)</f>
        <v>0</v>
      </c>
      <c r="AS242" s="1022">
        <f ca="1">SUMIFS(Налоги!AR$25:AR$69,Налоги!$F$25:$F$69,$F242,Налоги!$AB$25:$AB$69,$G242)</f>
        <v>0</v>
      </c>
      <c r="AT242" s="1022">
        <f ca="1">SUMIFS(Налоги!AS$25:AS$69,Налоги!$F$25:$F$69,$F242,Налоги!$AB$25:$AB$69,$G242)</f>
        <v>0</v>
      </c>
      <c r="AU242" s="1022">
        <f ca="1">SUMIFS(Налоги!AT$25:AT$69,Налоги!$F$25:$F$69,$F242,Налоги!$AB$25:$AB$69,$G242)</f>
        <v>0</v>
      </c>
      <c r="AV242" s="1022">
        <f ca="1">SUMIFS(Налоги!AU$25:AU$69,Налоги!$F$25:$F$69,$F242,Налоги!$AB$25:$AB$69,$G242)</f>
        <v>0</v>
      </c>
      <c r="AW242" s="1022">
        <f ca="1">SUMIFS(Налоги!AV$25:AV$69,Налоги!$F$25:$F$69,$F242,Налоги!$AB$25:$AB$69,$G242)</f>
        <v>0</v>
      </c>
      <c r="AX242" s="1022">
        <f ca="1">SUMIFS(Налоги!AW$25:AW$69,Налоги!$F$25:$F$69,$F242,Налоги!$AB$25:$AB$69,$G242)</f>
        <v>0</v>
      </c>
      <c r="AY242" s="1022">
        <f ca="1">SUMIFS(Налоги!AX$25:AX$69,Налоги!$F$25:$F$69,$F242,Налоги!$AB$25:$AB$69,$G242)</f>
        <v>0</v>
      </c>
      <c r="AZ242" s="1022">
        <f ca="1">SUMIFS(Налоги!AY$25:AY$69,Налоги!$F$25:$F$69,$F242,Налоги!$AB$25:$AB$69,$G242)</f>
        <v>0</v>
      </c>
      <c r="BA242" s="1022">
        <f ca="1">SUMIFS(Налоги!AZ$25:AZ$69,Налоги!$F$25:$F$69,$F242,Налоги!$AB$25:$AB$69,$G242)</f>
        <v>0</v>
      </c>
      <c r="BB242" s="1022">
        <f ca="1">SUMIFS(Налоги!BA$25:BA$69,Налоги!$F$25:$F$69,$F242,Налоги!$AB$25:$AB$69,$G242)</f>
        <v>0</v>
      </c>
      <c r="BC242" s="1022">
        <f ca="1">SUMIFS(Налоги!BB$25:BB$69,Налоги!$F$25:$F$69,$F242,Налоги!$AB$25:$AB$69,$G242)</f>
        <v>0</v>
      </c>
      <c r="BD242" s="1022">
        <f t="shared" ca="1" si="55"/>
        <v>0</v>
      </c>
      <c r="BE242" s="1022">
        <f t="shared" ca="1" si="56"/>
        <v>0</v>
      </c>
      <c r="BF242" s="1022">
        <f t="shared" ca="1" si="57"/>
        <v>0</v>
      </c>
      <c r="BG242" s="1022">
        <f t="shared" ca="1" si="58"/>
        <v>0</v>
      </c>
      <c r="BH242" s="1022">
        <f t="shared" ca="1" si="59"/>
        <v>0</v>
      </c>
      <c r="BI242" s="1022">
        <f t="shared" ca="1" si="60"/>
        <v>0</v>
      </c>
      <c r="BJ242" s="1022">
        <f t="shared" ca="1" si="61"/>
        <v>0</v>
      </c>
      <c r="BK242" s="1022">
        <f t="shared" ca="1" si="62"/>
        <v>0</v>
      </c>
      <c r="BL242" s="1022">
        <f t="shared" ca="1" si="63"/>
        <v>0</v>
      </c>
      <c r="BM242" s="1022">
        <f t="shared" ca="1" si="64"/>
        <v>0</v>
      </c>
      <c r="BN242" s="1523"/>
      <c r="BO242" s="1525" t="str">
        <f ca="1">IF(IFERROR(INDEX(Налоги!$K$26:$L$69,MATCH($F242&amp;"1komm",Налоги!$K$26:$K$69,0),2),"")=0,"",IFERROR(INDEX(Налоги!$K$26:$L$69,MATCH($F242&amp;"1komm",Налоги!$K$26:$K$69,0),2),""))</f>
        <v/>
      </c>
      <c r="BP242" s="1523"/>
      <c r="BQ242" s="1184"/>
      <c r="BR242" s="1184"/>
      <c r="BS242" s="973" t="s">
        <v>2042</v>
      </c>
      <c r="BT242" s="973"/>
      <c r="BU242" s="973"/>
      <c r="BV242" s="888"/>
      <c r="BW242" s="888"/>
    </row>
    <row r="243" spans="1:75" s="1334" customFormat="1" ht="14.25" customHeight="1" x14ac:dyDescent="0.15">
      <c r="A243" s="1184"/>
      <c r="B243" s="887"/>
      <c r="C243" s="26"/>
      <c r="D243" s="26"/>
      <c r="E243" s="545">
        <v>15</v>
      </c>
      <c r="F243" s="3" t="str" cm="1">
        <f t="array" aca="1" ref="F243" ca="1">OFFSET(E243,-1,1)</f>
        <v>1</v>
      </c>
      <c r="G243" s="834">
        <v>3</v>
      </c>
      <c r="H243" s="26"/>
      <c r="I243" s="26" t="s">
        <v>2043</v>
      </c>
      <c r="J243" s="26"/>
      <c r="K243" s="26" t="s">
        <v>2043</v>
      </c>
      <c r="L243" s="889"/>
      <c r="M243" s="26"/>
      <c r="N243" s="26"/>
      <c r="O243" s="26"/>
      <c r="P243" s="26"/>
      <c r="Q243" s="26"/>
      <c r="R243" s="26"/>
      <c r="S243" s="26"/>
      <c r="T243" s="388" t="b" cm="1">
        <f t="array" aca="1" ref="T243" ca="1">T242</f>
        <v>1</v>
      </c>
      <c r="U243" s="26"/>
      <c r="V243" s="26"/>
      <c r="W243" s="26"/>
      <c r="X243" s="2066"/>
      <c r="Y243" s="1184"/>
      <c r="Z243" s="2012"/>
      <c r="AA243" s="1184"/>
      <c r="AB243" s="218" t="s">
        <v>2044</v>
      </c>
      <c r="AC243" s="685" t="s">
        <v>2045</v>
      </c>
      <c r="AD243" s="218" t="s">
        <v>831</v>
      </c>
      <c r="AE243" s="1022">
        <f ca="1">SUMIFS(Налоги!AE$25:AE$69,Налоги!$F$25:$F$69,$F243,Налоги!$AB$25:$AB$69,$G243)</f>
        <v>0</v>
      </c>
      <c r="AF243" s="1022">
        <f ca="1">SUMIFS(Налоги!AF$25:AF$69,Налоги!$F$25:$F$69,$F243,Налоги!$AB$25:$AB$69,$G243)</f>
        <v>0</v>
      </c>
      <c r="AG243" s="1022">
        <f ca="1">SUMIFS(Налоги!AG$25:AG$69,Налоги!$F$25:$F$69,$F243,Налоги!$AB$25:$AB$69,$G243)</f>
        <v>0</v>
      </c>
      <c r="AH243" s="1022">
        <f t="shared" ca="1" si="53"/>
        <v>0</v>
      </c>
      <c r="AI243" s="1022">
        <f ca="1">SUMIFS(Налоги!AH$25:AH$69,Налоги!$F$25:$F$69,$F243,Налоги!$AB$25:$AB$69,$G243)</f>
        <v>0</v>
      </c>
      <c r="AJ243" s="1022">
        <f ca="1">SUMIFS(Налоги!AI$25:AI$69,Налоги!$F$25:$F$69,$F243,Налоги!$AB$25:$AB$69,$G243)</f>
        <v>0</v>
      </c>
      <c r="AK243" s="1022">
        <f ca="1">SUMIFS(Налоги!AJ$25:AJ$69,Налоги!$F$25:$F$69,$F243,Налоги!$AB$25:$AB$69,$G243)</f>
        <v>0</v>
      </c>
      <c r="AL243" s="1022">
        <f ca="1">SUMIFS(Налоги!AK$25:AK$69,Налоги!$F$25:$F$69,$F243,Налоги!$AB$25:$AB$69,$G243)</f>
        <v>0</v>
      </c>
      <c r="AM243" s="1022">
        <f ca="1">SUMIFS(Налоги!AL$25:AL$69,Налоги!$F$25:$F$69,$F243,Налоги!$AB$25:$AB$69,$G243)</f>
        <v>0</v>
      </c>
      <c r="AN243" s="1022">
        <f ca="1">SUMIFS(Налоги!AM$25:AM$69,Налоги!$F$25:$F$69,$F243,Налоги!$AB$25:$AB$69,$G243)</f>
        <v>0</v>
      </c>
      <c r="AO243" s="1022">
        <f ca="1">SUMIFS(Налоги!AN$25:AN$69,Налоги!$F$25:$F$69,$F243,Налоги!$AB$25:$AB$69,$G243)</f>
        <v>0</v>
      </c>
      <c r="AP243" s="1022">
        <f ca="1">SUMIFS(Налоги!AO$25:AO$69,Налоги!$F$25:$F$69,$F243,Налоги!$AB$25:$AB$69,$G243)</f>
        <v>0</v>
      </c>
      <c r="AQ243" s="1022">
        <f ca="1">SUMIFS(Налоги!AP$25:AP$69,Налоги!$F$25:$F$69,$F243,Налоги!$AB$25:$AB$69,$G243)</f>
        <v>0</v>
      </c>
      <c r="AR243" s="1022">
        <f ca="1">SUMIFS(Налоги!AQ$25:AQ$69,Налоги!$F$25:$F$69,$F243,Налоги!$AB$25:$AB$69,$G243)</f>
        <v>0</v>
      </c>
      <c r="AS243" s="1022">
        <f ca="1">SUMIFS(Налоги!AR$25:AR$69,Налоги!$F$25:$F$69,$F243,Налоги!$AB$25:$AB$69,$G243)</f>
        <v>0</v>
      </c>
      <c r="AT243" s="1022">
        <f ca="1">SUMIFS(Налоги!AS$25:AS$69,Налоги!$F$25:$F$69,$F243,Налоги!$AB$25:$AB$69,$G243)</f>
        <v>0</v>
      </c>
      <c r="AU243" s="1022">
        <f ca="1">SUMIFS(Налоги!AT$25:AT$69,Налоги!$F$25:$F$69,$F243,Налоги!$AB$25:$AB$69,$G243)</f>
        <v>0</v>
      </c>
      <c r="AV243" s="1022">
        <f ca="1">SUMIFS(Налоги!AU$25:AU$69,Налоги!$F$25:$F$69,$F243,Налоги!$AB$25:$AB$69,$G243)</f>
        <v>0</v>
      </c>
      <c r="AW243" s="1022">
        <f ca="1">SUMIFS(Налоги!AV$25:AV$69,Налоги!$F$25:$F$69,$F243,Налоги!$AB$25:$AB$69,$G243)</f>
        <v>0</v>
      </c>
      <c r="AX243" s="1022">
        <f ca="1">SUMIFS(Налоги!AW$25:AW$69,Налоги!$F$25:$F$69,$F243,Налоги!$AB$25:$AB$69,$G243)</f>
        <v>0</v>
      </c>
      <c r="AY243" s="1022">
        <f ca="1">SUMIFS(Налоги!AX$25:AX$69,Налоги!$F$25:$F$69,$F243,Налоги!$AB$25:$AB$69,$G243)</f>
        <v>0</v>
      </c>
      <c r="AZ243" s="1022">
        <f ca="1">SUMIFS(Налоги!AY$25:AY$69,Налоги!$F$25:$F$69,$F243,Налоги!$AB$25:$AB$69,$G243)</f>
        <v>0</v>
      </c>
      <c r="BA243" s="1022">
        <f ca="1">SUMIFS(Налоги!AZ$25:AZ$69,Налоги!$F$25:$F$69,$F243,Налоги!$AB$25:$AB$69,$G243)</f>
        <v>0</v>
      </c>
      <c r="BB243" s="1022">
        <f ca="1">SUMIFS(Налоги!BA$25:BA$69,Налоги!$F$25:$F$69,$F243,Налоги!$AB$25:$AB$69,$G243)</f>
        <v>0</v>
      </c>
      <c r="BC243" s="1022">
        <f ca="1">SUMIFS(Налоги!BB$25:BB$69,Налоги!$F$25:$F$69,$F243,Налоги!$AB$25:$AB$69,$G243)</f>
        <v>0</v>
      </c>
      <c r="BD243" s="1022">
        <f t="shared" ca="1" si="55"/>
        <v>0</v>
      </c>
      <c r="BE243" s="1022">
        <f t="shared" ca="1" si="56"/>
        <v>0</v>
      </c>
      <c r="BF243" s="1022">
        <f t="shared" ca="1" si="57"/>
        <v>0</v>
      </c>
      <c r="BG243" s="1022">
        <f t="shared" ca="1" si="58"/>
        <v>0</v>
      </c>
      <c r="BH243" s="1022">
        <f t="shared" ca="1" si="59"/>
        <v>0</v>
      </c>
      <c r="BI243" s="1022">
        <f t="shared" ca="1" si="60"/>
        <v>0</v>
      </c>
      <c r="BJ243" s="1022">
        <f t="shared" ca="1" si="61"/>
        <v>0</v>
      </c>
      <c r="BK243" s="1022">
        <f t="shared" ca="1" si="62"/>
        <v>0</v>
      </c>
      <c r="BL243" s="1022">
        <f t="shared" ca="1" si="63"/>
        <v>0</v>
      </c>
      <c r="BM243" s="1022">
        <f t="shared" ca="1" si="64"/>
        <v>0</v>
      </c>
      <c r="BN243" s="1523"/>
      <c r="BO243" s="1525" t="str">
        <f ca="1">IF(IFERROR(INDEX(Налоги!$K$26:$L$69,MATCH($F243&amp;"5komm",Налоги!$K$26:$K$69,0),2),"")=0,"",IFERROR(INDEX(Налоги!$K$26:$L$69,MATCH($F243&amp;"5komm",Налоги!$K$26:$K$69,0),2),""))</f>
        <v>учтено по расчету регулятора, в соответствии с договором водопользования и постановлением правительства от 26.12.2014 № 1509</v>
      </c>
      <c r="BP243" s="1523"/>
      <c r="BQ243" s="1184"/>
      <c r="BR243" s="1184"/>
      <c r="BS243" s="973" t="s">
        <v>2046</v>
      </c>
      <c r="BT243" s="973"/>
      <c r="BU243" s="973"/>
      <c r="BV243" s="888"/>
      <c r="BW243" s="888"/>
    </row>
    <row r="244" spans="1:75" s="1334" customFormat="1" ht="14.25" customHeight="1" x14ac:dyDescent="0.15">
      <c r="A244" s="1184"/>
      <c r="B244" s="887"/>
      <c r="C244" s="26"/>
      <c r="D244" s="26"/>
      <c r="E244" s="545">
        <v>15</v>
      </c>
      <c r="F244" s="3" t="str" cm="1">
        <f t="array" aca="1" ref="F244" ca="1">OFFSET(E244,-1,1)</f>
        <v>1</v>
      </c>
      <c r="G244" s="834">
        <v>8</v>
      </c>
      <c r="H244" s="26"/>
      <c r="I244" s="26" t="s">
        <v>2047</v>
      </c>
      <c r="J244" s="26"/>
      <c r="K244" s="26" t="s">
        <v>2047</v>
      </c>
      <c r="L244" s="889"/>
      <c r="M244" s="26"/>
      <c r="N244" s="26"/>
      <c r="O244" s="26"/>
      <c r="P244" s="26"/>
      <c r="Q244" s="26"/>
      <c r="R244" s="26"/>
      <c r="S244" s="26"/>
      <c r="T244" s="388" t="b" cm="1">
        <f t="array" aca="1" ref="T244" ca="1">T243</f>
        <v>1</v>
      </c>
      <c r="U244" s="26"/>
      <c r="V244" s="26"/>
      <c r="W244" s="26"/>
      <c r="X244" s="2066"/>
      <c r="Y244" s="1184"/>
      <c r="Z244" s="2012"/>
      <c r="AA244" s="1184"/>
      <c r="AB244" s="218" t="s">
        <v>2048</v>
      </c>
      <c r="AC244" s="685" t="s">
        <v>2049</v>
      </c>
      <c r="AD244" s="218" t="s">
        <v>831</v>
      </c>
      <c r="AE244" s="1022">
        <f ca="1">SUMIFS(Налоги!AE$25:AE$69,Налоги!$F$25:$F$69,$F244,Налоги!$AB$25:$AB$69,$G244)</f>
        <v>0</v>
      </c>
      <c r="AF244" s="1022">
        <f ca="1">SUMIFS(Налоги!AF$25:AF$69,Налоги!$F$25:$F$69,$F244,Налоги!$AB$25:$AB$69,$G244)</f>
        <v>0</v>
      </c>
      <c r="AG244" s="1022">
        <f ca="1">SUMIFS(Налоги!AG$25:AG$69,Налоги!$F$25:$F$69,$F244,Налоги!$AB$25:$AB$69,$G244)</f>
        <v>0</v>
      </c>
      <c r="AH244" s="1022">
        <f t="shared" ca="1" si="53"/>
        <v>0</v>
      </c>
      <c r="AI244" s="1022">
        <f ca="1">SUMIFS(Налоги!AH$25:AH$69,Налоги!$F$25:$F$69,$F244,Налоги!$AB$25:$AB$69,$G244)</f>
        <v>0</v>
      </c>
      <c r="AJ244" s="1022">
        <f ca="1">SUMIFS(Налоги!AI$25:AI$69,Налоги!$F$25:$F$69,$F244,Налоги!$AB$25:$AB$69,$G244)</f>
        <v>0</v>
      </c>
      <c r="AK244" s="1022">
        <f ca="1">SUMIFS(Налоги!AJ$25:AJ$69,Налоги!$F$25:$F$69,$F244,Налоги!$AB$25:$AB$69,$G244)</f>
        <v>0</v>
      </c>
      <c r="AL244" s="1022">
        <f ca="1">SUMIFS(Налоги!AK$25:AK$69,Налоги!$F$25:$F$69,$F244,Налоги!$AB$25:$AB$69,$G244)</f>
        <v>0</v>
      </c>
      <c r="AM244" s="1022">
        <f ca="1">SUMIFS(Налоги!AL$25:AL$69,Налоги!$F$25:$F$69,$F244,Налоги!$AB$25:$AB$69,$G244)</f>
        <v>0</v>
      </c>
      <c r="AN244" s="1022">
        <f ca="1">SUMIFS(Налоги!AM$25:AM$69,Налоги!$F$25:$F$69,$F244,Налоги!$AB$25:$AB$69,$G244)</f>
        <v>0</v>
      </c>
      <c r="AO244" s="1022">
        <f ca="1">SUMIFS(Налоги!AN$25:AN$69,Налоги!$F$25:$F$69,$F244,Налоги!$AB$25:$AB$69,$G244)</f>
        <v>0</v>
      </c>
      <c r="AP244" s="1022">
        <f ca="1">SUMIFS(Налоги!AO$25:AO$69,Налоги!$F$25:$F$69,$F244,Налоги!$AB$25:$AB$69,$G244)</f>
        <v>0</v>
      </c>
      <c r="AQ244" s="1022">
        <f ca="1">SUMIFS(Налоги!AP$25:AP$69,Налоги!$F$25:$F$69,$F244,Налоги!$AB$25:$AB$69,$G244)</f>
        <v>0</v>
      </c>
      <c r="AR244" s="1022">
        <f ca="1">SUMIFS(Налоги!AQ$25:AQ$69,Налоги!$F$25:$F$69,$F244,Налоги!$AB$25:$AB$69,$G244)</f>
        <v>0</v>
      </c>
      <c r="AS244" s="1022">
        <f ca="1">SUMIFS(Налоги!AR$25:AR$69,Налоги!$F$25:$F$69,$F244,Налоги!$AB$25:$AB$69,$G244)</f>
        <v>0</v>
      </c>
      <c r="AT244" s="1022">
        <f ca="1">SUMIFS(Налоги!AS$25:AS$69,Налоги!$F$25:$F$69,$F244,Налоги!$AB$25:$AB$69,$G244)</f>
        <v>0</v>
      </c>
      <c r="AU244" s="1022">
        <f ca="1">SUMIFS(Налоги!AT$25:AT$69,Налоги!$F$25:$F$69,$F244,Налоги!$AB$25:$AB$69,$G244)</f>
        <v>0</v>
      </c>
      <c r="AV244" s="1022">
        <f ca="1">SUMIFS(Налоги!AU$25:AU$69,Налоги!$F$25:$F$69,$F244,Налоги!$AB$25:$AB$69,$G244)</f>
        <v>0</v>
      </c>
      <c r="AW244" s="1022">
        <f ca="1">SUMIFS(Налоги!AV$25:AV$69,Налоги!$F$25:$F$69,$F244,Налоги!$AB$25:$AB$69,$G244)</f>
        <v>0</v>
      </c>
      <c r="AX244" s="1022">
        <f ca="1">SUMIFS(Налоги!AW$25:AW$69,Налоги!$F$25:$F$69,$F244,Налоги!$AB$25:$AB$69,$G244)</f>
        <v>0</v>
      </c>
      <c r="AY244" s="1022">
        <f ca="1">SUMIFS(Налоги!AX$25:AX$69,Налоги!$F$25:$F$69,$F244,Налоги!$AB$25:$AB$69,$G244)</f>
        <v>0</v>
      </c>
      <c r="AZ244" s="1022">
        <f ca="1">SUMIFS(Налоги!AY$25:AY$69,Налоги!$F$25:$F$69,$F244,Налоги!$AB$25:$AB$69,$G244)</f>
        <v>0</v>
      </c>
      <c r="BA244" s="1022">
        <f ca="1">SUMIFS(Налоги!AZ$25:AZ$69,Налоги!$F$25:$F$69,$F244,Налоги!$AB$25:$AB$69,$G244)</f>
        <v>0</v>
      </c>
      <c r="BB244" s="1022">
        <f ca="1">SUMIFS(Налоги!BA$25:BA$69,Налоги!$F$25:$F$69,$F244,Налоги!$AB$25:$AB$69,$G244)</f>
        <v>0</v>
      </c>
      <c r="BC244" s="1022">
        <f ca="1">SUMIFS(Налоги!BB$25:BB$69,Налоги!$F$25:$F$69,$F244,Налоги!$AB$25:$AB$69,$G244)</f>
        <v>0</v>
      </c>
      <c r="BD244" s="1022">
        <f t="shared" ca="1" si="55"/>
        <v>0</v>
      </c>
      <c r="BE244" s="1022">
        <f t="shared" ca="1" si="56"/>
        <v>0</v>
      </c>
      <c r="BF244" s="1022">
        <f t="shared" ca="1" si="57"/>
        <v>0</v>
      </c>
      <c r="BG244" s="1022">
        <f t="shared" ca="1" si="58"/>
        <v>0</v>
      </c>
      <c r="BH244" s="1022">
        <f t="shared" ca="1" si="59"/>
        <v>0</v>
      </c>
      <c r="BI244" s="1022">
        <f t="shared" ca="1" si="60"/>
        <v>0</v>
      </c>
      <c r="BJ244" s="1022">
        <f t="shared" ca="1" si="61"/>
        <v>0</v>
      </c>
      <c r="BK244" s="1022">
        <f t="shared" ca="1" si="62"/>
        <v>0</v>
      </c>
      <c r="BL244" s="1022">
        <f t="shared" ca="1" si="63"/>
        <v>0</v>
      </c>
      <c r="BM244" s="1022">
        <f t="shared" ca="1" si="64"/>
        <v>0</v>
      </c>
      <c r="BN244" s="1523"/>
      <c r="BO244" s="1525" t="str">
        <f ca="1">IF(IFERROR(INDEX(Налоги!$K$26:$L$69,MATCH($F244&amp;"8komm",Налоги!$K$26:$K$69,0),2),"")=0,"",IFERROR(INDEX(Налоги!$K$26:$L$69,MATCH($F244&amp;"8komm",Налоги!$K$26:$K$69,0),2),""))</f>
        <v/>
      </c>
      <c r="BP244" s="1523"/>
      <c r="BQ244" s="1184"/>
      <c r="BR244" s="1184"/>
      <c r="BS244" s="973" t="s">
        <v>1251</v>
      </c>
      <c r="BT244" s="973"/>
      <c r="BU244" s="973"/>
      <c r="BV244" s="888"/>
      <c r="BW244" s="888"/>
    </row>
    <row r="245" spans="1:75" s="1140" customFormat="1" ht="14.25" customHeight="1" x14ac:dyDescent="0.15">
      <c r="B245" s="673"/>
      <c r="C245" s="26"/>
      <c r="D245" s="26"/>
      <c r="E245" s="545">
        <v>15</v>
      </c>
      <c r="F245" s="3" t="str" cm="1">
        <f t="array" aca="1" ref="F245" ca="1">OFFSET(E245,-1,1)</f>
        <v>1</v>
      </c>
      <c r="G245" s="834">
        <v>9</v>
      </c>
      <c r="H245" s="26"/>
      <c r="I245" s="26"/>
      <c r="J245" s="26"/>
      <c r="K245" s="26"/>
      <c r="L245" s="889"/>
      <c r="M245" s="26"/>
      <c r="N245" s="26"/>
      <c r="O245" s="26"/>
      <c r="P245" s="26"/>
      <c r="Q245" s="26"/>
      <c r="R245" s="26"/>
      <c r="S245" s="26"/>
      <c r="T245" s="388" t="b" cm="1">
        <f t="array" aca="1" ref="T245" ca="1">T244</f>
        <v>1</v>
      </c>
      <c r="U245" s="26"/>
      <c r="V245" s="26"/>
      <c r="W245" s="26"/>
      <c r="X245" s="2066"/>
      <c r="Z245" s="2012"/>
      <c r="AB245" s="218" t="s">
        <v>2050</v>
      </c>
      <c r="AC245" s="700" t="s">
        <v>2051</v>
      </c>
      <c r="AD245" s="218" t="s">
        <v>831</v>
      </c>
      <c r="AE245" s="1022">
        <f ca="1">SUMIFS(Налоги!AE$25:AE$69,Налоги!$F$25:$F$69,$F245,Налоги!$AB$25:$AB$69,$G245)</f>
        <v>0</v>
      </c>
      <c r="AF245" s="1022">
        <f ca="1">SUMIFS(Налоги!AF$25:AF$69,Налоги!$F$25:$F$69,$F245,Налоги!$AB$25:$AB$69,$G245)</f>
        <v>0</v>
      </c>
      <c r="AG245" s="1022">
        <f ca="1">SUMIFS(Налоги!AG$25:AG$69,Налоги!$F$25:$F$69,$F245,Налоги!$AB$25:$AB$69,$G245)</f>
        <v>0</v>
      </c>
      <c r="AH245" s="1022">
        <f t="shared" ca="1" si="53"/>
        <v>0</v>
      </c>
      <c r="AI245" s="1022">
        <f ca="1">SUMIFS(Налоги!AH$25:AH$69,Налоги!$F$25:$F$69,$F245,Налоги!$AB$25:$AB$69,$G245)</f>
        <v>0</v>
      </c>
      <c r="AJ245" s="1022">
        <f ca="1">SUMIFS(Налоги!AI$25:AI$69,Налоги!$F$25:$F$69,$F245,Налоги!$AB$25:$AB$69,$G245)</f>
        <v>0</v>
      </c>
      <c r="AK245" s="1022">
        <f ca="1">SUMIFS(Налоги!AJ$25:AJ$69,Налоги!$F$25:$F$69,$F245,Налоги!$AB$25:$AB$69,$G245)</f>
        <v>0</v>
      </c>
      <c r="AL245" s="1022">
        <f ca="1">SUMIFS(Налоги!AK$25:AK$69,Налоги!$F$25:$F$69,$F245,Налоги!$AB$25:$AB$69,$G245)</f>
        <v>0</v>
      </c>
      <c r="AM245" s="1022">
        <f ca="1">SUMIFS(Налоги!AL$25:AL$69,Налоги!$F$25:$F$69,$F245,Налоги!$AB$25:$AB$69,$G245)</f>
        <v>0</v>
      </c>
      <c r="AN245" s="1022">
        <f ca="1">SUMIFS(Налоги!AM$25:AM$69,Налоги!$F$25:$F$69,$F245,Налоги!$AB$25:$AB$69,$G245)</f>
        <v>0</v>
      </c>
      <c r="AO245" s="1022">
        <f ca="1">SUMIFS(Налоги!AN$25:AN$69,Налоги!$F$25:$F$69,$F245,Налоги!$AB$25:$AB$69,$G245)</f>
        <v>0</v>
      </c>
      <c r="AP245" s="1022">
        <f ca="1">SUMIFS(Налоги!AO$25:AO$69,Налоги!$F$25:$F$69,$F245,Налоги!$AB$25:$AB$69,$G245)</f>
        <v>0</v>
      </c>
      <c r="AQ245" s="1022">
        <f ca="1">SUMIFS(Налоги!AP$25:AP$69,Налоги!$F$25:$F$69,$F245,Налоги!$AB$25:$AB$69,$G245)</f>
        <v>0</v>
      </c>
      <c r="AR245" s="1022">
        <f ca="1">SUMIFS(Налоги!AQ$25:AQ$69,Налоги!$F$25:$F$69,$F245,Налоги!$AB$25:$AB$69,$G245)</f>
        <v>0</v>
      </c>
      <c r="AS245" s="1022">
        <f ca="1">SUMIFS(Налоги!AR$25:AR$69,Налоги!$F$25:$F$69,$F245,Налоги!$AB$25:$AB$69,$G245)</f>
        <v>0</v>
      </c>
      <c r="AT245" s="1022">
        <f ca="1">SUMIFS(Налоги!AS$25:AS$69,Налоги!$F$25:$F$69,$F245,Налоги!$AB$25:$AB$69,$G245)</f>
        <v>0</v>
      </c>
      <c r="AU245" s="1022">
        <f ca="1">SUMIFS(Налоги!AT$25:AT$69,Налоги!$F$25:$F$69,$F245,Налоги!$AB$25:$AB$69,$G245)</f>
        <v>0</v>
      </c>
      <c r="AV245" s="1022">
        <f ca="1">SUMIFS(Налоги!AU$25:AU$69,Налоги!$F$25:$F$69,$F245,Налоги!$AB$25:$AB$69,$G245)</f>
        <v>0</v>
      </c>
      <c r="AW245" s="1022">
        <f ca="1">SUMIFS(Налоги!AV$25:AV$69,Налоги!$F$25:$F$69,$F245,Налоги!$AB$25:$AB$69,$G245)</f>
        <v>0</v>
      </c>
      <c r="AX245" s="1022">
        <f ca="1">SUMIFS(Налоги!AW$25:AW$69,Налоги!$F$25:$F$69,$F245,Налоги!$AB$25:$AB$69,$G245)</f>
        <v>0</v>
      </c>
      <c r="AY245" s="1022">
        <f ca="1">SUMIFS(Налоги!AX$25:AX$69,Налоги!$F$25:$F$69,$F245,Налоги!$AB$25:$AB$69,$G245)</f>
        <v>0</v>
      </c>
      <c r="AZ245" s="1022">
        <f ca="1">SUMIFS(Налоги!AY$25:AY$69,Налоги!$F$25:$F$69,$F245,Налоги!$AB$25:$AB$69,$G245)</f>
        <v>0</v>
      </c>
      <c r="BA245" s="1022">
        <f ca="1">SUMIFS(Налоги!AZ$25:AZ$69,Налоги!$F$25:$F$69,$F245,Налоги!$AB$25:$AB$69,$G245)</f>
        <v>0</v>
      </c>
      <c r="BB245" s="1022">
        <f ca="1">SUMIFS(Налоги!BA$25:BA$69,Налоги!$F$25:$F$69,$F245,Налоги!$AB$25:$AB$69,$G245)</f>
        <v>0</v>
      </c>
      <c r="BC245" s="1022">
        <f ca="1">SUMIFS(Налоги!BB$25:BB$69,Налоги!$F$25:$F$69,$F245,Налоги!$AB$25:$AB$69,$G245)</f>
        <v>0</v>
      </c>
      <c r="BD245" s="1022">
        <f t="shared" ca="1" si="55"/>
        <v>0</v>
      </c>
      <c r="BE245" s="1022">
        <f t="shared" ca="1" si="56"/>
        <v>0</v>
      </c>
      <c r="BF245" s="1022">
        <f t="shared" ca="1" si="57"/>
        <v>0</v>
      </c>
      <c r="BG245" s="1022">
        <f t="shared" ca="1" si="58"/>
        <v>0</v>
      </c>
      <c r="BH245" s="1022">
        <f t="shared" ca="1" si="59"/>
        <v>0</v>
      </c>
      <c r="BI245" s="1022">
        <f t="shared" ca="1" si="60"/>
        <v>0</v>
      </c>
      <c r="BJ245" s="1022">
        <f t="shared" ca="1" si="61"/>
        <v>0</v>
      </c>
      <c r="BK245" s="1022">
        <f t="shared" ca="1" si="62"/>
        <v>0</v>
      </c>
      <c r="BL245" s="1022">
        <f t="shared" ca="1" si="63"/>
        <v>0</v>
      </c>
      <c r="BM245" s="1022">
        <f t="shared" ca="1" si="64"/>
        <v>0</v>
      </c>
      <c r="BN245" s="1523"/>
      <c r="BO245" s="1525" t="str">
        <f ca="1">IF(IFERROR(INDEX(Налоги!$K$26:$L$69,MATCH($F245&amp;"9komm",Налоги!$K$26:$K$69,0),2),"")=0,"",IFERROR(INDEX(Налоги!$K$26:$L$69,MATCH($F245&amp;"9komm",Налоги!$K$26:$K$69,0),2),""))</f>
        <v/>
      </c>
      <c r="BP245" s="1523"/>
      <c r="BS245" s="980" t="s">
        <v>2052</v>
      </c>
      <c r="BT245" s="980"/>
      <c r="BU245" s="980"/>
      <c r="BV245" s="981"/>
      <c r="BW245" s="981"/>
    </row>
    <row r="246" spans="1:75" s="1334" customFormat="1" ht="14.25" customHeight="1" x14ac:dyDescent="0.15">
      <c r="A246" s="1184"/>
      <c r="B246" s="887"/>
      <c r="C246" s="26"/>
      <c r="D246" s="26"/>
      <c r="E246" s="545">
        <v>15</v>
      </c>
      <c r="F246" s="3" t="str" cm="1">
        <f t="array" aca="1" ref="F246" ca="1">OFFSET(E246,-1,1)</f>
        <v>1</v>
      </c>
      <c r="G246" s="834">
        <v>10</v>
      </c>
      <c r="H246" s="26"/>
      <c r="I246" s="26" t="s">
        <v>2053</v>
      </c>
      <c r="J246" s="26"/>
      <c r="K246" s="26" t="s">
        <v>2053</v>
      </c>
      <c r="L246" s="889"/>
      <c r="M246" s="26"/>
      <c r="N246" s="26"/>
      <c r="O246" s="26"/>
      <c r="P246" s="26"/>
      <c r="Q246" s="26"/>
      <c r="R246" s="26"/>
      <c r="S246" s="26"/>
      <c r="T246" s="388" t="b" cm="1">
        <f t="array" aca="1" ref="T246" ca="1">T245</f>
        <v>1</v>
      </c>
      <c r="U246" s="26"/>
      <c r="V246" s="26"/>
      <c r="W246" s="26"/>
      <c r="X246" s="2066"/>
      <c r="Y246" s="1184"/>
      <c r="Z246" s="2012"/>
      <c r="AA246" s="1184"/>
      <c r="AB246" s="218" t="s">
        <v>2054</v>
      </c>
      <c r="AC246" s="701" t="s">
        <v>2055</v>
      </c>
      <c r="AD246" s="218" t="s">
        <v>831</v>
      </c>
      <c r="AE246" s="1022">
        <f ca="1">SUMIFS(Налоги!AE$25:AE$69,Налоги!$F$25:$F$69,$F246,Налоги!$AB$25:$AB$69,$G246)</f>
        <v>0</v>
      </c>
      <c r="AF246" s="1022">
        <f ca="1">SUMIFS(Налоги!AF$25:AF$69,Налоги!$F$25:$F$69,$F246,Налоги!$AB$25:$AB$69,$G246)</f>
        <v>0</v>
      </c>
      <c r="AG246" s="1022">
        <f ca="1">SUMIFS(Налоги!AG$25:AG$69,Налоги!$F$25:$F$69,$F246,Налоги!$AB$25:$AB$69,$G246)</f>
        <v>0</v>
      </c>
      <c r="AH246" s="1022">
        <f t="shared" ca="1" si="53"/>
        <v>0</v>
      </c>
      <c r="AI246" s="1022">
        <f ca="1">SUMIFS(Налоги!AH$25:AH$69,Налоги!$F$25:$F$69,$F246,Налоги!$AB$25:$AB$69,$G246)</f>
        <v>0</v>
      </c>
      <c r="AJ246" s="1022">
        <f ca="1">SUMIFS(Налоги!AI$25:AI$69,Налоги!$F$25:$F$69,$F246,Налоги!$AB$25:$AB$69,$G246)</f>
        <v>0</v>
      </c>
      <c r="AK246" s="1022">
        <f ca="1">SUMIFS(Налоги!AJ$25:AJ$69,Налоги!$F$25:$F$69,$F246,Налоги!$AB$25:$AB$69,$G246)</f>
        <v>0</v>
      </c>
      <c r="AL246" s="1022">
        <f ca="1">SUMIFS(Налоги!AK$25:AK$69,Налоги!$F$25:$F$69,$F246,Налоги!$AB$25:$AB$69,$G246)</f>
        <v>0</v>
      </c>
      <c r="AM246" s="1022">
        <f ca="1">SUMIFS(Налоги!AL$25:AL$69,Налоги!$F$25:$F$69,$F246,Налоги!$AB$25:$AB$69,$G246)</f>
        <v>0</v>
      </c>
      <c r="AN246" s="1022">
        <f ca="1">SUMIFS(Налоги!AM$25:AM$69,Налоги!$F$25:$F$69,$F246,Налоги!$AB$25:$AB$69,$G246)</f>
        <v>0</v>
      </c>
      <c r="AO246" s="1022">
        <f ca="1">SUMIFS(Налоги!AN$25:AN$69,Налоги!$F$25:$F$69,$F246,Налоги!$AB$25:$AB$69,$G246)</f>
        <v>0</v>
      </c>
      <c r="AP246" s="1022">
        <f ca="1">SUMIFS(Налоги!AO$25:AO$69,Налоги!$F$25:$F$69,$F246,Налоги!$AB$25:$AB$69,$G246)</f>
        <v>0</v>
      </c>
      <c r="AQ246" s="1022">
        <f ca="1">SUMIFS(Налоги!AP$25:AP$69,Налоги!$F$25:$F$69,$F246,Налоги!$AB$25:$AB$69,$G246)</f>
        <v>0</v>
      </c>
      <c r="AR246" s="1022">
        <f ca="1">SUMIFS(Налоги!AQ$25:AQ$69,Налоги!$F$25:$F$69,$F246,Налоги!$AB$25:$AB$69,$G246)</f>
        <v>0</v>
      </c>
      <c r="AS246" s="1022">
        <f ca="1">SUMIFS(Налоги!AR$25:AR$69,Налоги!$F$25:$F$69,$F246,Налоги!$AB$25:$AB$69,$G246)</f>
        <v>0</v>
      </c>
      <c r="AT246" s="1022">
        <f ca="1">SUMIFS(Налоги!AS$25:AS$69,Налоги!$F$25:$F$69,$F246,Налоги!$AB$25:$AB$69,$G246)</f>
        <v>0</v>
      </c>
      <c r="AU246" s="1022">
        <f ca="1">SUMIFS(Налоги!AT$25:AT$69,Налоги!$F$25:$F$69,$F246,Налоги!$AB$25:$AB$69,$G246)</f>
        <v>0</v>
      </c>
      <c r="AV246" s="1022">
        <f ca="1">SUMIFS(Налоги!AU$25:AU$69,Налоги!$F$25:$F$69,$F246,Налоги!$AB$25:$AB$69,$G246)</f>
        <v>0</v>
      </c>
      <c r="AW246" s="1022">
        <f ca="1">SUMIFS(Налоги!AV$25:AV$69,Налоги!$F$25:$F$69,$F246,Налоги!$AB$25:$AB$69,$G246)</f>
        <v>0</v>
      </c>
      <c r="AX246" s="1022">
        <f ca="1">SUMIFS(Налоги!AW$25:AW$69,Налоги!$F$25:$F$69,$F246,Налоги!$AB$25:$AB$69,$G246)</f>
        <v>0</v>
      </c>
      <c r="AY246" s="1022">
        <f ca="1">SUMIFS(Налоги!AX$25:AX$69,Налоги!$F$25:$F$69,$F246,Налоги!$AB$25:$AB$69,$G246)</f>
        <v>0</v>
      </c>
      <c r="AZ246" s="1022">
        <f ca="1">SUMIFS(Налоги!AY$25:AY$69,Налоги!$F$25:$F$69,$F246,Налоги!$AB$25:$AB$69,$G246)</f>
        <v>0</v>
      </c>
      <c r="BA246" s="1022">
        <f ca="1">SUMIFS(Налоги!AZ$25:AZ$69,Налоги!$F$25:$F$69,$F246,Налоги!$AB$25:$AB$69,$G246)</f>
        <v>0</v>
      </c>
      <c r="BB246" s="1022">
        <f ca="1">SUMIFS(Налоги!BA$25:BA$69,Налоги!$F$25:$F$69,$F246,Налоги!$AB$25:$AB$69,$G246)</f>
        <v>0</v>
      </c>
      <c r="BC246" s="1022">
        <f ca="1">SUMIFS(Налоги!BB$25:BB$69,Налоги!$F$25:$F$69,$F246,Налоги!$AB$25:$AB$69,$G246)</f>
        <v>0</v>
      </c>
      <c r="BD246" s="1022">
        <f t="shared" ca="1" si="55"/>
        <v>0</v>
      </c>
      <c r="BE246" s="1022">
        <f t="shared" ca="1" si="56"/>
        <v>0</v>
      </c>
      <c r="BF246" s="1022">
        <f t="shared" ca="1" si="57"/>
        <v>0</v>
      </c>
      <c r="BG246" s="1022">
        <f t="shared" ca="1" si="58"/>
        <v>0</v>
      </c>
      <c r="BH246" s="1022">
        <f t="shared" ca="1" si="59"/>
        <v>0</v>
      </c>
      <c r="BI246" s="1022">
        <f t="shared" ca="1" si="60"/>
        <v>0</v>
      </c>
      <c r="BJ246" s="1022">
        <f t="shared" ca="1" si="61"/>
        <v>0</v>
      </c>
      <c r="BK246" s="1022">
        <f t="shared" ca="1" si="62"/>
        <v>0</v>
      </c>
      <c r="BL246" s="1022">
        <f t="shared" ca="1" si="63"/>
        <v>0</v>
      </c>
      <c r="BM246" s="1022">
        <f t="shared" ca="1" si="64"/>
        <v>0</v>
      </c>
      <c r="BN246" s="1523"/>
      <c r="BO246" s="1525" t="str">
        <f ca="1">IF(IFERROR(INDEX(Налоги!$K$26:$L$69,MATCH($F246&amp;"10komm",Налоги!$K$26:$K$69,0),2),"")=0,"",IFERROR(INDEX(Налоги!$K$26:$L$69,MATCH($F246&amp;"10komm",Налоги!$K$26:$K$69,0),2),""))</f>
        <v/>
      </c>
      <c r="BP246" s="1523"/>
      <c r="BQ246" s="1184"/>
      <c r="BR246" s="1184"/>
      <c r="BS246" s="973" t="s">
        <v>2056</v>
      </c>
      <c r="BT246" s="973"/>
      <c r="BU246" s="973"/>
      <c r="BV246" s="888"/>
      <c r="BW246" s="888"/>
    </row>
    <row r="247" spans="1:75" s="1334" customFormat="1" ht="65.25" customHeight="1" x14ac:dyDescent="0.15">
      <c r="A247" s="1184"/>
      <c r="B247" s="887"/>
      <c r="C247" s="26"/>
      <c r="D247" s="26"/>
      <c r="E247" s="545">
        <v>67.5</v>
      </c>
      <c r="F247" s="3" t="str" cm="1">
        <f t="array" aca="1" ref="F247" ca="1">OFFSET(E247,-1,1)</f>
        <v>1</v>
      </c>
      <c r="G247" s="26" t="s">
        <v>1412</v>
      </c>
      <c r="H247" s="26"/>
      <c r="I247" s="26" t="s">
        <v>932</v>
      </c>
      <c r="J247" s="26"/>
      <c r="K247" s="77" t="s">
        <v>932</v>
      </c>
      <c r="L247" s="889"/>
      <c r="M247" s="26"/>
      <c r="N247" s="26"/>
      <c r="O247" s="26"/>
      <c r="P247" s="26"/>
      <c r="Q247" s="26"/>
      <c r="R247" s="26"/>
      <c r="S247" s="26"/>
      <c r="T247" s="388" t="b" cm="1">
        <f t="array" aca="1" ref="T247" ca="1">T246</f>
        <v>1</v>
      </c>
      <c r="U247" s="26"/>
      <c r="V247" s="26"/>
      <c r="W247" s="26"/>
      <c r="X247" s="2066"/>
      <c r="Y247" s="1184"/>
      <c r="Z247" s="2012"/>
      <c r="AA247" s="1184"/>
      <c r="AB247" s="218" t="s">
        <v>933</v>
      </c>
      <c r="AC247" s="702" t="s">
        <v>1415</v>
      </c>
      <c r="AD247" s="218" t="s">
        <v>831</v>
      </c>
      <c r="AE247" s="1515"/>
      <c r="AF247" s="1515"/>
      <c r="AG247" s="1515"/>
      <c r="AH247" s="1022">
        <f t="shared" si="53"/>
        <v>0</v>
      </c>
      <c r="AI247" s="1515"/>
      <c r="AJ247" s="1515"/>
      <c r="AK247" s="1151"/>
      <c r="AL247" s="1151"/>
      <c r="AM247" s="1151"/>
      <c r="AN247" s="1151"/>
      <c r="AO247" s="1151"/>
      <c r="AP247" s="1151"/>
      <c r="AQ247" s="1515"/>
      <c r="AR247" s="1515"/>
      <c r="AS247" s="1515"/>
      <c r="AT247" s="1515"/>
      <c r="AU247" s="1151"/>
      <c r="AV247" s="1151"/>
      <c r="AW247" s="1151"/>
      <c r="AX247" s="1151"/>
      <c r="AY247" s="1151"/>
      <c r="AZ247" s="1151"/>
      <c r="BA247" s="1515"/>
      <c r="BB247" s="1515"/>
      <c r="BC247" s="1515"/>
      <c r="BD247" s="1022">
        <f t="shared" si="55"/>
        <v>0</v>
      </c>
      <c r="BE247" s="1022">
        <f t="shared" si="56"/>
        <v>0</v>
      </c>
      <c r="BF247" s="1022">
        <f t="shared" si="57"/>
        <v>0</v>
      </c>
      <c r="BG247" s="1022">
        <f t="shared" si="58"/>
        <v>0</v>
      </c>
      <c r="BH247" s="1022">
        <f t="shared" si="59"/>
        <v>0</v>
      </c>
      <c r="BI247" s="1022">
        <f t="shared" si="60"/>
        <v>0</v>
      </c>
      <c r="BJ247" s="1022">
        <f t="shared" si="61"/>
        <v>0</v>
      </c>
      <c r="BK247" s="1022">
        <f t="shared" si="62"/>
        <v>0</v>
      </c>
      <c r="BL247" s="1022">
        <f t="shared" si="63"/>
        <v>0</v>
      </c>
      <c r="BM247" s="1022">
        <f t="shared" si="64"/>
        <v>0</v>
      </c>
      <c r="BN247" s="1523"/>
      <c r="BO247" s="1523"/>
      <c r="BP247" s="1523"/>
      <c r="BQ247" s="1184"/>
      <c r="BR247" s="1184"/>
      <c r="BS247" s="973" t="s">
        <v>2057</v>
      </c>
      <c r="BT247" s="973"/>
      <c r="BU247" s="973"/>
      <c r="BV247" s="888"/>
      <c r="BW247" s="888"/>
    </row>
    <row r="248" spans="1:75" s="1334" customFormat="1" ht="317.25" customHeight="1" x14ac:dyDescent="0.15">
      <c r="A248" s="1184"/>
      <c r="B248" s="887"/>
      <c r="C248" s="26"/>
      <c r="D248" s="26"/>
      <c r="E248" s="545">
        <v>15</v>
      </c>
      <c r="F248" s="3" t="str" cm="1">
        <f t="array" aca="1" ref="F248" ca="1">OFFSET(E248,-1,1)</f>
        <v>1</v>
      </c>
      <c r="G248" s="26" t="s">
        <v>1011</v>
      </c>
      <c r="H248" s="26"/>
      <c r="I248" s="26" t="s">
        <v>935</v>
      </c>
      <c r="J248" s="26"/>
      <c r="K248" s="77" t="s">
        <v>935</v>
      </c>
      <c r="L248" s="889" t="s">
        <v>544</v>
      </c>
      <c r="M248" s="26"/>
      <c r="N248" s="26"/>
      <c r="O248" s="26"/>
      <c r="P248" s="26"/>
      <c r="Q248" s="26"/>
      <c r="R248" s="26"/>
      <c r="S248" s="26"/>
      <c r="T248" s="388" t="b" cm="1">
        <f t="array" aca="1" ref="T248" ca="1">T247</f>
        <v>1</v>
      </c>
      <c r="U248" s="26"/>
      <c r="V248" s="26"/>
      <c r="W248" s="26"/>
      <c r="X248" s="2066"/>
      <c r="Y248" s="1184"/>
      <c r="Z248" s="2012"/>
      <c r="AA248" s="1184"/>
      <c r="AB248" s="218" t="s">
        <v>936</v>
      </c>
      <c r="AC248" s="682" t="s">
        <v>1011</v>
      </c>
      <c r="AD248" s="218" t="s">
        <v>831</v>
      </c>
      <c r="AE248" s="1022">
        <f ca="1">SUMIFS(Аренда!AE$25:AE$57,Аренда!$F$25:$F$57,$F248,Аренда!$G$25:$G$57,"Арендная и концессионная плата, лизинговые платежи")</f>
        <v>119.99</v>
      </c>
      <c r="AF248" s="1022">
        <f ca="1">SUMIFS(Аренда!AF$25:AF$57,Аренда!$F$25:$F$57,$F248,Аренда!$G$25:$G$57,"Арендная и концессионная плата, лизинговые платежи")</f>
        <v>253.09</v>
      </c>
      <c r="AG248" s="1022">
        <f ca="1">SUMIFS(Аренда!AG$25:AG$57,Аренда!$F$25:$F$57,$F248,Аренда!$G$25:$G$57,"Арендная и концессионная плата, лизинговые платежи")</f>
        <v>97.87</v>
      </c>
      <c r="AH248" s="1022">
        <f t="shared" ca="1" si="53"/>
        <v>-155.22</v>
      </c>
      <c r="AI248" s="1022">
        <f ca="1">SUMIFS(Аренда!AH$25:AH$57,Аренда!$F$25:$F$57,$F248,Аренда!$G$25:$G$57,"Арендная и концессионная плата, лизинговые платежи")</f>
        <v>119.99</v>
      </c>
      <c r="AJ248" s="1022">
        <f ca="1">SUMIFS(Аренда!AI$25:AI$57,Аренда!$F$25:$F$57,$F248,Аренда!$G$25:$G$57,"Арендная и концессионная плата, лизинговые платежи")</f>
        <v>812.5</v>
      </c>
      <c r="AK248" s="1022">
        <f ca="1">SUMIFS(Аренда!AJ$25:AJ$57,Аренда!$F$25:$F$57,$F248,Аренда!$G$25:$G$57,"Арендная и концессионная плата, лизинговые платежи")</f>
        <v>1134.35785216</v>
      </c>
      <c r="AL248" s="1022">
        <f ca="1">SUMIFS(Аренда!AK$25:AK$57,Аренда!$F$25:$F$57,$F248,Аренда!$G$25:$G$57,"Арендная и концессионная плата, лизинговые платежи")</f>
        <v>1179.7321662464001</v>
      </c>
      <c r="AM248" s="1022">
        <f ca="1">SUMIFS(Аренда!AL$25:AL$57,Аренда!$F$25:$F$57,$F248,Аренда!$G$25:$G$57,"Арендная и концессионная плата, лизинговые платежи")</f>
        <v>1226.9214528963</v>
      </c>
      <c r="AN248" s="1022">
        <f ca="1">SUMIFS(Аренда!AM$25:AM$57,Аренда!$F$25:$F$57,$F248,Аренда!$G$25:$G$57,"Арендная и концессионная плата, лизинговые платежи")</f>
        <v>1275.9983110121</v>
      </c>
      <c r="AO248" s="1022">
        <f ca="1">SUMIFS(Аренда!AN$25:AN$57,Аренда!$F$25:$F$57,$F248,Аренда!$G$25:$G$57,"Арендная и концессионная плата, лизинговые платежи")</f>
        <v>1327.0382434526</v>
      </c>
      <c r="AP248" s="1022">
        <f ca="1">SUMIFS(Аренда!AO$25:AO$57,Аренда!$F$25:$F$57,$F248,Аренда!$G$25:$G$57,"Арендная и концессионная плата, лизинговые платежи")</f>
        <v>1380.1197731907</v>
      </c>
      <c r="AQ248" s="1022">
        <f ca="1">SUMIFS(Аренда!AP$25:AP$57,Аренда!$F$25:$F$57,$F248,Аренда!$G$25:$G$57,"Арендная и концессионная плата, лизинговые платежи")</f>
        <v>0</v>
      </c>
      <c r="AR248" s="1022">
        <f ca="1">SUMIFS(Аренда!AQ$25:AQ$57,Аренда!$F$25:$F$57,$F248,Аренда!$G$25:$G$57,"Арендная и концессионная плата, лизинговые платежи")</f>
        <v>0</v>
      </c>
      <c r="AS248" s="1022">
        <f ca="1">SUMIFS(Аренда!AR$25:AR$57,Аренда!$F$25:$F$57,$F248,Аренда!$G$25:$G$57,"Арендная и концессионная плата, лизинговые платежи")</f>
        <v>0</v>
      </c>
      <c r="AT248" s="1022">
        <f ca="1">SUMIFS(Аренда!AS$25:AS$57,Аренда!$F$25:$F$57,$F248,Аренда!$G$25:$G$57,"Арендная и концессионная плата, лизинговые платежи")</f>
        <v>96.87</v>
      </c>
      <c r="AU248" s="1022">
        <f ca="1">SUMIFS(Аренда!AT$25:AT$57,Аренда!$F$25:$F$57,$F248,Аренда!$G$25:$G$57,"Арендная и концессионная плата, лизинговые платежи")</f>
        <v>119.99</v>
      </c>
      <c r="AV248" s="1022">
        <f ca="1">SUMIFS(Аренда!AU$25:AU$57,Аренда!$F$25:$F$57,$F248,Аренда!$G$25:$G$57,"Арендная и концессионная плата, лизинговые платежи")</f>
        <v>119.99</v>
      </c>
      <c r="AW248" s="1022">
        <f ca="1">SUMIFS(Аренда!AV$25:AV$57,Аренда!$F$25:$F$57,$F248,Аренда!$G$25:$G$57,"Арендная и концессионная плата, лизинговые платежи")</f>
        <v>119.99</v>
      </c>
      <c r="AX248" s="1022">
        <f ca="1">SUMIFS(Аренда!AW$25:AW$57,Аренда!$F$25:$F$57,$F248,Аренда!$G$25:$G$57,"Арендная и концессионная плата, лизинговые платежи")</f>
        <v>119.99</v>
      </c>
      <c r="AY248" s="1022">
        <f ca="1">SUMIFS(Аренда!AX$25:AX$57,Аренда!$F$25:$F$57,$F248,Аренда!$G$25:$G$57,"Арендная и концессионная плата, лизинговые платежи")</f>
        <v>119.99</v>
      </c>
      <c r="AZ248" s="1022">
        <f ca="1">SUMIFS(Аренда!AY$25:AY$57,Аренда!$F$25:$F$57,$F248,Аренда!$G$25:$G$57,"Арендная и концессионная плата, лизинговые платежи")</f>
        <v>119.99</v>
      </c>
      <c r="BA248" s="1022">
        <f ca="1">SUMIFS(Аренда!AZ$25:AZ$57,Аренда!$F$25:$F$57,$F248,Аренда!$G$25:$G$57,"Арендная и концессионная плата, лизинговые платежи")</f>
        <v>0</v>
      </c>
      <c r="BB248" s="1022">
        <f ca="1">SUMIFS(Аренда!BA$25:BA$57,Аренда!$F$25:$F$57,$F248,Аренда!$G$25:$G$57,"Арендная и концессионная плата, лизинговые платежи")</f>
        <v>0</v>
      </c>
      <c r="BC248" s="1022">
        <f ca="1">SUMIFS(Аренда!BB$25:BB$57,Аренда!$F$25:$F$57,$F248,Аренда!$G$25:$G$57,"Арендная и концессионная плата, лизинговые платежи")</f>
        <v>0</v>
      </c>
      <c r="BD248" s="1022">
        <f t="shared" ca="1" si="55"/>
        <v>-19.268272356029662</v>
      </c>
      <c r="BE248" s="1022">
        <f t="shared" ca="1" si="56"/>
        <v>23.867038298750892</v>
      </c>
      <c r="BF248" s="1022">
        <f t="shared" ca="1" si="57"/>
        <v>0</v>
      </c>
      <c r="BG248" s="1022">
        <f t="shared" ca="1" si="58"/>
        <v>0</v>
      </c>
      <c r="BH248" s="1022">
        <f t="shared" ca="1" si="59"/>
        <v>0</v>
      </c>
      <c r="BI248" s="1022">
        <f t="shared" ca="1" si="60"/>
        <v>0</v>
      </c>
      <c r="BJ248" s="1022">
        <f t="shared" ca="1" si="61"/>
        <v>0</v>
      </c>
      <c r="BK248" s="1022">
        <f t="shared" ca="1" si="62"/>
        <v>-100</v>
      </c>
      <c r="BL248" s="1022">
        <f t="shared" ca="1" si="63"/>
        <v>0</v>
      </c>
      <c r="BM248" s="1022">
        <f t="shared" ca="1" si="64"/>
        <v>0</v>
      </c>
      <c r="BN248" s="1523" t="s">
        <v>2187</v>
      </c>
      <c r="BO248" s="1532" t="str">
        <f ca="1">IF(IFERROR(INDEX(Аренда!$K$26:$L$57,MATCH($F248&amp;"komm",Аренда!$K$26:$K$57,0),2),"")=0,"",IFERROR(INDEX(Аренда!$K$26:$L$57,MATCH($F248&amp;"komm",Аренда!$K$26:$K$57,0),2),""))</f>
        <v>Пункты 49 (3), 51, 29 Методических указаний ФСТ № 1746-э.</v>
      </c>
      <c r="BP248" s="1523" t="s">
        <v>2188</v>
      </c>
      <c r="BQ248" s="1184"/>
      <c r="BR248" s="1184"/>
      <c r="BS248" s="973" t="s">
        <v>2058</v>
      </c>
      <c r="BT248" s="973"/>
      <c r="BU248" s="973"/>
      <c r="BV248" s="888"/>
      <c r="BW248" s="888"/>
    </row>
    <row r="249" spans="1:75" s="1334" customFormat="1" ht="14.25" customHeight="1" x14ac:dyDescent="0.15">
      <c r="A249" s="1184"/>
      <c r="B249" s="354" t="b">
        <f>STATUS_GO="да"</f>
        <v>1</v>
      </c>
      <c r="C249" s="26"/>
      <c r="D249" s="26"/>
      <c r="E249" s="545">
        <v>15</v>
      </c>
      <c r="F249" s="3" t="str" cm="1">
        <f t="array" aca="1" ref="F249" ca="1">OFFSET(E249,-1,1)</f>
        <v>1</v>
      </c>
      <c r="G249" s="26"/>
      <c r="H249" s="26"/>
      <c r="I249" s="26" t="s">
        <v>2059</v>
      </c>
      <c r="J249" s="26"/>
      <c r="K249" s="77" t="s">
        <v>2059</v>
      </c>
      <c r="L249" s="889"/>
      <c r="M249" s="26"/>
      <c r="N249" s="26"/>
      <c r="O249" s="26"/>
      <c r="P249" s="26"/>
      <c r="Q249" s="26"/>
      <c r="R249" s="26"/>
      <c r="S249" s="26"/>
      <c r="T249" s="388" t="b" cm="1">
        <f t="array" aca="1" ref="T249" ca="1">T248</f>
        <v>1</v>
      </c>
      <c r="U249" s="26"/>
      <c r="V249" s="26"/>
      <c r="W249" s="26"/>
      <c r="X249" s="2066"/>
      <c r="Y249" s="1184"/>
      <c r="Z249" s="2012"/>
      <c r="AA249" s="1184"/>
      <c r="AB249" s="218" t="s">
        <v>1479</v>
      </c>
      <c r="AC249" s="682" t="s">
        <v>2060</v>
      </c>
      <c r="AD249" s="218" t="s">
        <v>831</v>
      </c>
      <c r="AE249" s="1514" cm="1">
        <f t="array" aca="1" ref="AE249" ca="1">AE250</f>
        <v>0</v>
      </c>
      <c r="AF249" s="1514" cm="1">
        <f t="array" aca="1" ref="AF249" ca="1">AF250</f>
        <v>0</v>
      </c>
      <c r="AG249" s="1514" cm="1">
        <f t="array" aca="1" ref="AG249" ca="1">AG250</f>
        <v>0</v>
      </c>
      <c r="AH249" s="1022">
        <f t="shared" ca="1" si="53"/>
        <v>0</v>
      </c>
      <c r="AI249" s="1514" cm="1">
        <f t="array" aca="1" ref="AI249" ca="1">AI250</f>
        <v>0</v>
      </c>
      <c r="AJ249" s="1514" cm="1">
        <f t="array" aca="1" ref="AJ249" ca="1">AJ250</f>
        <v>0</v>
      </c>
      <c r="AK249" s="1148" cm="1">
        <f t="array" ref="AK249">AK250</f>
        <v>0</v>
      </c>
      <c r="AL249" s="1148" cm="1">
        <f t="array" ref="AL249">AL250</f>
        <v>0</v>
      </c>
      <c r="AM249" s="1148" cm="1">
        <f t="array" ref="AM249">AM250</f>
        <v>0</v>
      </c>
      <c r="AN249" s="1148" cm="1">
        <f t="array" ref="AN249">AN250</f>
        <v>0</v>
      </c>
      <c r="AO249" s="1148" cm="1">
        <f t="array" ref="AO249">AO250</f>
        <v>0</v>
      </c>
      <c r="AP249" s="1148" cm="1">
        <f t="array" ref="AP249">AP250</f>
        <v>0</v>
      </c>
      <c r="AQ249" s="1514" cm="1">
        <f t="array" ref="AQ249">AQ250</f>
        <v>0</v>
      </c>
      <c r="AR249" s="1514" cm="1">
        <f t="array" ref="AR249">AR250</f>
        <v>0</v>
      </c>
      <c r="AS249" s="1514" cm="1">
        <f t="array" ref="AS249">AS250</f>
        <v>0</v>
      </c>
      <c r="AT249" s="1514" cm="1">
        <f t="array" aca="1" ref="AT249" ca="1">AT250</f>
        <v>0</v>
      </c>
      <c r="AU249" s="1148" cm="1">
        <f t="array" ref="AU249">AU250</f>
        <v>0</v>
      </c>
      <c r="AV249" s="1148" cm="1">
        <f t="array" ref="AV249">AV250</f>
        <v>0</v>
      </c>
      <c r="AW249" s="1148" cm="1">
        <f t="array" ref="AW249">AW250</f>
        <v>0</v>
      </c>
      <c r="AX249" s="1148" cm="1">
        <f t="array" ref="AX249">AX250</f>
        <v>0</v>
      </c>
      <c r="AY249" s="1148" cm="1">
        <f t="array" ref="AY249">AY250</f>
        <v>0</v>
      </c>
      <c r="AZ249" s="1148" cm="1">
        <f t="array" ref="AZ249">AZ250</f>
        <v>0</v>
      </c>
      <c r="BA249" s="1514" cm="1">
        <f t="array" ref="BA249">BA250</f>
        <v>0</v>
      </c>
      <c r="BB249" s="1514" cm="1">
        <f t="array" ref="BB249">BB250</f>
        <v>0</v>
      </c>
      <c r="BC249" s="1514" cm="1">
        <f t="array" ref="BC249">BC250</f>
        <v>0</v>
      </c>
      <c r="BD249" s="1022">
        <f t="shared" ca="1" si="55"/>
        <v>0</v>
      </c>
      <c r="BE249" s="1022">
        <f t="shared" ca="1" si="56"/>
        <v>0</v>
      </c>
      <c r="BF249" s="1022">
        <f t="shared" si="57"/>
        <v>0</v>
      </c>
      <c r="BG249" s="1022">
        <f t="shared" si="58"/>
        <v>0</v>
      </c>
      <c r="BH249" s="1022">
        <f t="shared" si="59"/>
        <v>0</v>
      </c>
      <c r="BI249" s="1022">
        <f t="shared" si="60"/>
        <v>0</v>
      </c>
      <c r="BJ249" s="1022">
        <f t="shared" si="61"/>
        <v>0</v>
      </c>
      <c r="BK249" s="1022">
        <f t="shared" si="62"/>
        <v>0</v>
      </c>
      <c r="BL249" s="1022">
        <f t="shared" si="63"/>
        <v>0</v>
      </c>
      <c r="BM249" s="1022">
        <f t="shared" si="64"/>
        <v>0</v>
      </c>
      <c r="BN249" s="1523"/>
      <c r="BO249" s="1523"/>
      <c r="BP249" s="1523"/>
      <c r="BQ249" s="1184"/>
      <c r="BR249" s="1184"/>
      <c r="BS249" s="973" t="s">
        <v>2061</v>
      </c>
      <c r="BT249" s="973"/>
      <c r="BU249" s="973"/>
      <c r="BV249" s="888"/>
      <c r="BW249" s="888"/>
    </row>
    <row r="250" spans="1:75" s="1334" customFormat="1" ht="14.25" customHeight="1" x14ac:dyDescent="0.15">
      <c r="A250" s="1184"/>
      <c r="B250" s="354" t="b">
        <f>STATUS_GO="да"</f>
        <v>1</v>
      </c>
      <c r="C250" s="26"/>
      <c r="D250" s="26"/>
      <c r="E250" s="545">
        <v>15</v>
      </c>
      <c r="F250" s="3" t="str" cm="1">
        <f t="array" aca="1" ref="F250" ca="1">OFFSET(E250,-1,1)</f>
        <v>1</v>
      </c>
      <c r="G250" s="26" t="s">
        <v>1421</v>
      </c>
      <c r="H250" s="26"/>
      <c r="I250" s="26" t="s">
        <v>2062</v>
      </c>
      <c r="J250" s="26"/>
      <c r="K250" s="77" t="s">
        <v>2062</v>
      </c>
      <c r="L250" s="889"/>
      <c r="M250" s="26"/>
      <c r="N250" s="26"/>
      <c r="O250" s="26"/>
      <c r="P250" s="26"/>
      <c r="Q250" s="26"/>
      <c r="R250" s="26"/>
      <c r="S250" s="26"/>
      <c r="T250" s="388" t="b" cm="1">
        <f t="array" aca="1" ref="T250" ca="1">T249</f>
        <v>1</v>
      </c>
      <c r="U250" s="26"/>
      <c r="V250" s="26"/>
      <c r="W250" s="26"/>
      <c r="X250" s="2066"/>
      <c r="Y250" s="1184"/>
      <c r="Z250" s="2012"/>
      <c r="AA250" s="1184"/>
      <c r="AB250" s="218" t="s">
        <v>2063</v>
      </c>
      <c r="AC250" s="685" t="s">
        <v>1421</v>
      </c>
      <c r="AD250" s="218" t="s">
        <v>831</v>
      </c>
      <c r="AE250" s="1022">
        <f ca="1">SUMIFS('Сбытовые расходы ГО'!AE$25:AE$65,'Сбытовые расходы ГО'!$F$25:$F$65,$F250,'Сбытовые расходы ГО'!$G$25:$G$65,"l1")</f>
        <v>0</v>
      </c>
      <c r="AF250" s="1022">
        <f ca="1">SUMIFS('Сбытовые расходы ГО'!AF$25:AF$65,'Сбытовые расходы ГО'!$F$25:$F$65,$F250,'Сбытовые расходы ГО'!$G$25:$G$65,"l1")</f>
        <v>0</v>
      </c>
      <c r="AG250" s="1022">
        <f ca="1">SUMIFS('Сбытовые расходы ГО'!AG$25:AG$65,'Сбытовые расходы ГО'!$F$25:$F$65,$F250,'Сбытовые расходы ГО'!$G$25:$G$65,"l1")</f>
        <v>0</v>
      </c>
      <c r="AH250" s="1022">
        <f t="shared" ca="1" si="53"/>
        <v>0</v>
      </c>
      <c r="AI250" s="1022">
        <f ca="1">SUMIFS('Сбытовые расходы ГО'!AH$25:AH$65,'Сбытовые расходы ГО'!$F$25:$F$65,$F250,'Сбытовые расходы ГО'!$G$25:$G$65,"l1")</f>
        <v>0</v>
      </c>
      <c r="AJ250" s="1022">
        <f ca="1">SUMIFS('Сбытовые расходы ГО'!AI$25:AI$65,'Сбытовые расходы ГО'!$F$25:$F$65,$F250,'Сбытовые расходы ГО'!$G$25:$G$65,"l1")</f>
        <v>0</v>
      </c>
      <c r="AK250" s="1148"/>
      <c r="AL250" s="1148"/>
      <c r="AM250" s="1148"/>
      <c r="AN250" s="1148"/>
      <c r="AO250" s="1148"/>
      <c r="AP250" s="1148"/>
      <c r="AQ250" s="1514"/>
      <c r="AR250" s="1514"/>
      <c r="AS250" s="1514"/>
      <c r="AT250" s="1022">
        <f ca="1">SUMIFS('Сбытовые расходы ГО'!AJ$25:AJ$65,'Сбытовые расходы ГО'!$F$25:$F$65,$F250,'Сбытовые расходы ГО'!$G$25:$G$65,"l1")</f>
        <v>0</v>
      </c>
      <c r="AU250" s="1148"/>
      <c r="AV250" s="1148"/>
      <c r="AW250" s="1148"/>
      <c r="AX250" s="1148"/>
      <c r="AY250" s="1148"/>
      <c r="AZ250" s="1148"/>
      <c r="BA250" s="1514"/>
      <c r="BB250" s="1514"/>
      <c r="BC250" s="1514"/>
      <c r="BD250" s="1022">
        <f t="shared" ca="1" si="55"/>
        <v>0</v>
      </c>
      <c r="BE250" s="1022">
        <f t="shared" ca="1" si="56"/>
        <v>0</v>
      </c>
      <c r="BF250" s="1022">
        <f t="shared" si="57"/>
        <v>0</v>
      </c>
      <c r="BG250" s="1022">
        <f t="shared" si="58"/>
        <v>0</v>
      </c>
      <c r="BH250" s="1022">
        <f t="shared" si="59"/>
        <v>0</v>
      </c>
      <c r="BI250" s="1022">
        <f t="shared" si="60"/>
        <v>0</v>
      </c>
      <c r="BJ250" s="1022">
        <f t="shared" si="61"/>
        <v>0</v>
      </c>
      <c r="BK250" s="1022">
        <f t="shared" si="62"/>
        <v>0</v>
      </c>
      <c r="BL250" s="1022">
        <f t="shared" si="63"/>
        <v>0</v>
      </c>
      <c r="BM250" s="1022">
        <f t="shared" si="64"/>
        <v>0</v>
      </c>
      <c r="BN250" s="1523"/>
      <c r="BO250" s="1532" t="str">
        <f ca="1">IF(IFERROR(INDEX('Сбытовые расходы ГО'!$K$26:$M$65,MATCH($F250&amp;"komm",'Сбытовые расходы ГО'!$K$26:$K$65,0),2),"")=0,"",IFERROR(INDEX('Сбытовые расходы ГО'!$K$26:$M$65,MATCH($F250&amp;"komm",'Сбытовые расходы ГО'!$K$26:$K$65,0),2),""))</f>
        <v/>
      </c>
      <c r="BP250" s="1523"/>
      <c r="BQ250" s="1184"/>
      <c r="BR250" s="1184"/>
      <c r="BS250" s="973" t="s">
        <v>2064</v>
      </c>
      <c r="BT250" s="973"/>
      <c r="BU250" s="973"/>
      <c r="BV250" s="888"/>
      <c r="BW250" s="888"/>
    </row>
    <row r="251" spans="1:75" s="1334" customFormat="1" ht="14.65" customHeight="1" x14ac:dyDescent="0.15">
      <c r="A251" s="1184"/>
      <c r="B251" s="887"/>
      <c r="C251" s="26"/>
      <c r="D251" s="26"/>
      <c r="E251" s="545">
        <v>15</v>
      </c>
      <c r="F251" s="3" t="str" cm="1">
        <f t="array" aca="1" ref="F251" ca="1">OFFSET(E251,-1,1)</f>
        <v>1</v>
      </c>
      <c r="G251" s="26" t="s">
        <v>1426</v>
      </c>
      <c r="H251" s="26"/>
      <c r="I251" s="26" t="s">
        <v>2065</v>
      </c>
      <c r="J251" s="26"/>
      <c r="K251" s="77" t="s">
        <v>2065</v>
      </c>
      <c r="L251" s="889"/>
      <c r="M251" s="26"/>
      <c r="N251" s="26"/>
      <c r="O251" s="26"/>
      <c r="P251" s="26"/>
      <c r="Q251" s="26"/>
      <c r="R251" s="26"/>
      <c r="S251" s="26"/>
      <c r="T251" s="388" t="b" cm="1">
        <f t="array" aca="1" ref="T251" ca="1">T250</f>
        <v>1</v>
      </c>
      <c r="U251" s="26"/>
      <c r="V251" s="26"/>
      <c r="W251" s="26"/>
      <c r="X251" s="2066"/>
      <c r="Y251" s="1184"/>
      <c r="Z251" s="2012"/>
      <c r="AA251" s="1184"/>
      <c r="AB251" s="218" t="s">
        <v>1484</v>
      </c>
      <c r="AC251" s="682" t="s">
        <v>1426</v>
      </c>
      <c r="AD251" s="218" t="s">
        <v>831</v>
      </c>
      <c r="AE251" s="1514">
        <v>0</v>
      </c>
      <c r="AF251" s="1514"/>
      <c r="AG251" s="1514"/>
      <c r="AH251" s="1022">
        <f t="shared" si="53"/>
        <v>0</v>
      </c>
      <c r="AI251" s="1514">
        <v>0</v>
      </c>
      <c r="AJ251" s="1514">
        <f ca="1">SUMIFS(Экономия_корр!AE$25:AE$51,Экономия_корр!$F$25:$F$51,$F251,Экономия_корр!$AC$25:$AC$51,"Экономия расходов с учетом ИПЦ")</f>
        <v>0</v>
      </c>
      <c r="AK251" s="1148">
        <f ca="1">SUMIFS(Экономия_корр!AF$25:AF$51,Экономия_корр!$F$25:$F$51,$F251,Экономия_корр!$AC$25:$AC$51,"Экономия расходов с учетом ИПЦ")</f>
        <v>0</v>
      </c>
      <c r="AL251" s="1148">
        <f ca="1">SUMIFS(Экономия_корр!AG$25:AG$51,Экономия_корр!$F$25:$F$51,$F251,Экономия_корр!$AC$25:$AC$51,"Экономия расходов с учетом ИПЦ")</f>
        <v>0</v>
      </c>
      <c r="AM251" s="1148">
        <f ca="1">SUMIFS(Экономия_корр!AH$25:AH$51,Экономия_корр!$F$25:$F$51,$F251,Экономия_корр!$AC$25:$AC$51,"Экономия расходов с учетом ИПЦ")</f>
        <v>0</v>
      </c>
      <c r="AN251" s="1148">
        <f ca="1">SUMIFS(Экономия_корр!AI$25:AI$51,Экономия_корр!$F$25:$F$51,$F251,Экономия_корр!$AC$25:$AC$51,"Экономия расходов с учетом ИПЦ")</f>
        <v>0</v>
      </c>
      <c r="AO251" s="1148">
        <f ca="1">SUMIFS(Экономия_корр!AJ$25:AJ$51,Экономия_корр!$F$25:$F$51,$F251,Экономия_корр!$AC$25:$AC$51,"Экономия расходов с учетом ИПЦ")</f>
        <v>0</v>
      </c>
      <c r="AP251" s="1148">
        <f ca="1">SUMIFS(Экономия_корр!AK$25:AK$51,Экономия_корр!$F$25:$F$51,$F251,Экономия_корр!$AC$25:$AC$51,"Экономия расходов с учетом ИПЦ")</f>
        <v>0</v>
      </c>
      <c r="AQ251" s="1514">
        <f ca="1">SUMIFS(Экономия_корр!AL$25:AL$51,Экономия_корр!$F$25:$F$51,$F251,Экономия_корр!$AC$25:$AC$51,"Экономия расходов с учетом ИПЦ")</f>
        <v>0</v>
      </c>
      <c r="AR251" s="1514">
        <f ca="1">SUMIFS(Экономия_корр!AM$25:AM$51,Экономия_корр!$F$25:$F$51,$F251,Экономия_корр!$AC$25:$AC$51,"Экономия расходов с учетом ИПЦ")</f>
        <v>0</v>
      </c>
      <c r="AS251" s="1514">
        <f ca="1">SUMIFS(Экономия_корр!AN$25:AN$51,Экономия_корр!$F$25:$F$51,$F251,Экономия_корр!$AC$25:$AC$51,"Экономия расходов с учетом ИПЦ")</f>
        <v>0</v>
      </c>
      <c r="AT251" s="1514">
        <f ca="1">SUMIFS(Экономия_корр!AO$25:AO$51,Экономия_корр!$F$25:$F$51,$F251,Экономия_корр!$AC$25:$AC$51,"Экономия расходов с учетом ИПЦ")</f>
        <v>0</v>
      </c>
      <c r="AU251" s="1148">
        <f ca="1">SUMIFS(Экономия_корр!AP$25:AP$51,Экономия_корр!$F$25:$F$51,$F251,Экономия_корр!$AC$25:$AC$51,"Экономия расходов с учетом ИПЦ")</f>
        <v>0</v>
      </c>
      <c r="AV251" s="1148">
        <f ca="1">SUMIFS(Экономия_корр!AQ$25:AQ$51,Экономия_корр!$F$25:$F$51,$F251,Экономия_корр!$AC$25:$AC$51,"Экономия расходов с учетом ИПЦ")</f>
        <v>0</v>
      </c>
      <c r="AW251" s="1148">
        <f ca="1">SUMIFS(Экономия_корр!AR$25:AR$51,Экономия_корр!$F$25:$F$51,$F251,Экономия_корр!$AC$25:$AC$51,"Экономия расходов с учетом ИПЦ")</f>
        <v>0</v>
      </c>
      <c r="AX251" s="1148">
        <f ca="1">SUMIFS(Экономия_корр!AS$25:AS$51,Экономия_корр!$F$25:$F$51,$F251,Экономия_корр!$AC$25:$AC$51,"Экономия расходов с учетом ИПЦ")</f>
        <v>0</v>
      </c>
      <c r="AY251" s="1148">
        <f ca="1">SUMIFS(Экономия_корр!AT$25:AT$51,Экономия_корр!$F$25:$F$51,$F251,Экономия_корр!$AC$25:$AC$51,"Экономия расходов с учетом ИПЦ")</f>
        <v>0</v>
      </c>
      <c r="AZ251" s="1148">
        <f ca="1">SUMIFS(Экономия_корр!AU$25:AU$51,Экономия_корр!$F$25:$F$51,$F251,Экономия_корр!$AC$25:$AC$51,"Экономия расходов с учетом ИПЦ")</f>
        <v>0</v>
      </c>
      <c r="BA251" s="1514">
        <f ca="1">SUMIFS(Экономия_корр!AV$25:AV$51,Экономия_корр!$F$25:$F$51,$F251,Экономия_корр!$AC$25:$AC$51,"Экономия расходов с учетом ИПЦ")</f>
        <v>0</v>
      </c>
      <c r="BB251" s="1514">
        <f ca="1">SUMIFS(Экономия_корр!AW$25:AW$51,Экономия_корр!$F$25:$F$51,$F251,Экономия_корр!$AC$25:$AC$51,"Экономия расходов с учетом ИПЦ")</f>
        <v>0</v>
      </c>
      <c r="BC251" s="1514">
        <f ca="1">SUMIFS(Экономия_корр!AX$25:AX$51,Экономия_корр!$F$25:$F$51,$F251,Экономия_корр!$AC$25:$AC$51,"Экономия расходов с учетом ИПЦ")</f>
        <v>0</v>
      </c>
      <c r="BD251" s="1022">
        <f t="shared" si="55"/>
        <v>0</v>
      </c>
      <c r="BE251" s="1022">
        <f t="shared" ca="1" si="56"/>
        <v>0</v>
      </c>
      <c r="BF251" s="1022">
        <f t="shared" ca="1" si="57"/>
        <v>0</v>
      </c>
      <c r="BG251" s="1022">
        <f t="shared" ca="1" si="58"/>
        <v>0</v>
      </c>
      <c r="BH251" s="1022">
        <f t="shared" ca="1" si="59"/>
        <v>0</v>
      </c>
      <c r="BI251" s="1022">
        <f t="shared" ca="1" si="60"/>
        <v>0</v>
      </c>
      <c r="BJ251" s="1022">
        <f t="shared" ca="1" si="61"/>
        <v>0</v>
      </c>
      <c r="BK251" s="1022">
        <f t="shared" ca="1" si="62"/>
        <v>0</v>
      </c>
      <c r="BL251" s="1022">
        <f t="shared" ca="1" si="63"/>
        <v>0</v>
      </c>
      <c r="BM251" s="1022">
        <f t="shared" ca="1" si="64"/>
        <v>0</v>
      </c>
      <c r="BN251" s="1523"/>
      <c r="BO251" s="1523"/>
      <c r="BP251" s="1523"/>
      <c r="BQ251" s="1184"/>
      <c r="BR251" s="1184"/>
      <c r="BS251" s="973" t="s">
        <v>2066</v>
      </c>
      <c r="BT251" s="973"/>
      <c r="BU251" s="973"/>
      <c r="BV251" s="888"/>
      <c r="BW251" s="888"/>
    </row>
    <row r="252" spans="1:75" s="1334" customFormat="1" ht="14.25" customHeight="1" x14ac:dyDescent="0.15">
      <c r="A252" s="1184"/>
      <c r="B252" s="887"/>
      <c r="C252" s="26"/>
      <c r="D252" s="26"/>
      <c r="E252" s="545">
        <v>15</v>
      </c>
      <c r="F252" s="3" t="str" cm="1">
        <f t="array" aca="1" ref="F252" ca="1">OFFSET(E252,-1,1)</f>
        <v>1</v>
      </c>
      <c r="G252" s="26" t="s">
        <v>1431</v>
      </c>
      <c r="H252" s="26"/>
      <c r="I252" s="26" t="s">
        <v>2067</v>
      </c>
      <c r="J252" s="26"/>
      <c r="K252" s="77" t="s">
        <v>2067</v>
      </c>
      <c r="L252" s="889"/>
      <c r="M252" s="26"/>
      <c r="N252" s="26"/>
      <c r="O252" s="26"/>
      <c r="P252" s="26"/>
      <c r="Q252" s="26"/>
      <c r="R252" s="26"/>
      <c r="S252" s="26"/>
      <c r="T252" s="388" t="b" cm="1">
        <f t="array" aca="1" ref="T252" ca="1">T251</f>
        <v>1</v>
      </c>
      <c r="U252" s="26"/>
      <c r="V252" s="26"/>
      <c r="W252" s="26"/>
      <c r="X252" s="2066"/>
      <c r="Y252" s="1184"/>
      <c r="Z252" s="2012"/>
      <c r="AA252" s="1184"/>
      <c r="AB252" s="218" t="s">
        <v>2068</v>
      </c>
      <c r="AC252" s="682" t="s">
        <v>1431</v>
      </c>
      <c r="AD252" s="218" t="s">
        <v>831</v>
      </c>
      <c r="AE252" s="1514"/>
      <c r="AF252" s="1514"/>
      <c r="AG252" s="1514"/>
      <c r="AH252" s="1022">
        <f t="shared" si="53"/>
        <v>0</v>
      </c>
      <c r="AI252" s="1514"/>
      <c r="AJ252" s="1514"/>
      <c r="AK252" s="1148"/>
      <c r="AL252" s="1148"/>
      <c r="AM252" s="1148"/>
      <c r="AN252" s="1148"/>
      <c r="AO252" s="1148"/>
      <c r="AP252" s="1148"/>
      <c r="AQ252" s="1514"/>
      <c r="AR252" s="1514"/>
      <c r="AS252" s="1514"/>
      <c r="AT252" s="1514"/>
      <c r="AU252" s="1148"/>
      <c r="AV252" s="1148"/>
      <c r="AW252" s="1148"/>
      <c r="AX252" s="1148"/>
      <c r="AY252" s="1148"/>
      <c r="AZ252" s="1148"/>
      <c r="BA252" s="1514"/>
      <c r="BB252" s="1514"/>
      <c r="BC252" s="1514"/>
      <c r="BD252" s="1022">
        <f t="shared" si="55"/>
        <v>0</v>
      </c>
      <c r="BE252" s="1022">
        <f t="shared" si="56"/>
        <v>0</v>
      </c>
      <c r="BF252" s="1022">
        <f t="shared" si="57"/>
        <v>0</v>
      </c>
      <c r="BG252" s="1022">
        <f t="shared" si="58"/>
        <v>0</v>
      </c>
      <c r="BH252" s="1022">
        <f t="shared" si="59"/>
        <v>0</v>
      </c>
      <c r="BI252" s="1022">
        <f t="shared" si="60"/>
        <v>0</v>
      </c>
      <c r="BJ252" s="1022">
        <f t="shared" si="61"/>
        <v>0</v>
      </c>
      <c r="BK252" s="1022">
        <f t="shared" si="62"/>
        <v>0</v>
      </c>
      <c r="BL252" s="1022">
        <f t="shared" si="63"/>
        <v>0</v>
      </c>
      <c r="BM252" s="1022">
        <f t="shared" si="64"/>
        <v>0</v>
      </c>
      <c r="BN252" s="1523"/>
      <c r="BO252" s="1523"/>
      <c r="BP252" s="1523"/>
      <c r="BQ252" s="1184"/>
      <c r="BR252" s="1184"/>
      <c r="BS252" s="973" t="s">
        <v>1798</v>
      </c>
      <c r="BT252" s="973"/>
      <c r="BU252" s="973"/>
      <c r="BV252" s="888"/>
      <c r="BW252" s="888"/>
    </row>
    <row r="253" spans="1:75" s="1334" customFormat="1" ht="14.25" customHeight="1" x14ac:dyDescent="0.15">
      <c r="A253" s="1184"/>
      <c r="B253" s="887"/>
      <c r="C253" s="26"/>
      <c r="D253" s="26"/>
      <c r="E253" s="545">
        <v>15</v>
      </c>
      <c r="F253" s="3" t="str" cm="1">
        <f t="array" aca="1" ref="F253" ca="1">OFFSET(E253,-1,1)</f>
        <v>1</v>
      </c>
      <c r="G253" s="26" t="s">
        <v>1436</v>
      </c>
      <c r="H253" s="26"/>
      <c r="I253" s="26" t="s">
        <v>2069</v>
      </c>
      <c r="J253" s="26"/>
      <c r="K253" s="77" t="s">
        <v>2069</v>
      </c>
      <c r="L253" s="889"/>
      <c r="M253" s="26"/>
      <c r="N253" s="26"/>
      <c r="O253" s="26"/>
      <c r="P253" s="26"/>
      <c r="Q253" s="26"/>
      <c r="R253" s="26"/>
      <c r="S253" s="26"/>
      <c r="T253" s="388" t="b" cm="1">
        <f t="array" aca="1" ref="T253" ca="1">T252</f>
        <v>1</v>
      </c>
      <c r="U253" s="26"/>
      <c r="V253" s="26"/>
      <c r="W253" s="26"/>
      <c r="X253" s="2066"/>
      <c r="Y253" s="1184"/>
      <c r="Z253" s="2012"/>
      <c r="AA253" s="1184"/>
      <c r="AB253" s="218" t="s">
        <v>1503</v>
      </c>
      <c r="AC253" s="682" t="s">
        <v>1436</v>
      </c>
      <c r="AD253" s="218" t="s">
        <v>831</v>
      </c>
      <c r="AE253" s="1514"/>
      <c r="AF253" s="1514"/>
      <c r="AG253" s="1514"/>
      <c r="AH253" s="1022">
        <f t="shared" si="53"/>
        <v>0</v>
      </c>
      <c r="AI253" s="1514"/>
      <c r="AJ253" s="1514"/>
      <c r="AK253" s="1148"/>
      <c r="AL253" s="1148"/>
      <c r="AM253" s="1148"/>
      <c r="AN253" s="1148"/>
      <c r="AO253" s="1148"/>
      <c r="AP253" s="1148"/>
      <c r="AQ253" s="1514"/>
      <c r="AR253" s="1514"/>
      <c r="AS253" s="1514"/>
      <c r="AT253" s="1514"/>
      <c r="AU253" s="1148"/>
      <c r="AV253" s="1148"/>
      <c r="AW253" s="1148"/>
      <c r="AX253" s="1148"/>
      <c r="AY253" s="1148"/>
      <c r="AZ253" s="1148"/>
      <c r="BA253" s="1514"/>
      <c r="BB253" s="1514"/>
      <c r="BC253" s="1514"/>
      <c r="BD253" s="1022">
        <f t="shared" si="55"/>
        <v>0</v>
      </c>
      <c r="BE253" s="1022">
        <f t="shared" si="56"/>
        <v>0</v>
      </c>
      <c r="BF253" s="1022">
        <f t="shared" si="57"/>
        <v>0</v>
      </c>
      <c r="BG253" s="1022">
        <f t="shared" si="58"/>
        <v>0</v>
      </c>
      <c r="BH253" s="1022">
        <f t="shared" si="59"/>
        <v>0</v>
      </c>
      <c r="BI253" s="1022">
        <f t="shared" si="60"/>
        <v>0</v>
      </c>
      <c r="BJ253" s="1022">
        <f t="shared" si="61"/>
        <v>0</v>
      </c>
      <c r="BK253" s="1022">
        <f t="shared" si="62"/>
        <v>0</v>
      </c>
      <c r="BL253" s="1022">
        <f t="shared" si="63"/>
        <v>0</v>
      </c>
      <c r="BM253" s="1022">
        <f t="shared" si="64"/>
        <v>0</v>
      </c>
      <c r="BN253" s="1523"/>
      <c r="BO253" s="1523"/>
      <c r="BP253" s="1523"/>
      <c r="BQ253" s="1184"/>
      <c r="BR253" s="1184"/>
      <c r="BS253" s="973" t="s">
        <v>2070</v>
      </c>
      <c r="BT253" s="973"/>
      <c r="BU253" s="973"/>
      <c r="BV253" s="888"/>
      <c r="BW253" s="888"/>
    </row>
    <row r="254" spans="1:75" s="1334" customFormat="1" ht="14.25" customHeight="1" x14ac:dyDescent="0.15">
      <c r="A254" s="1184"/>
      <c r="B254" s="887"/>
      <c r="C254" s="26"/>
      <c r="D254" s="26"/>
      <c r="E254" s="545">
        <v>15</v>
      </c>
      <c r="F254" s="3" t="str" cm="1">
        <f t="array" aca="1" ref="F254" ca="1">OFFSET(E254,-1,1)</f>
        <v>1</v>
      </c>
      <c r="G254" s="26" t="s">
        <v>1441</v>
      </c>
      <c r="H254" s="26"/>
      <c r="I254" s="26" t="s">
        <v>2071</v>
      </c>
      <c r="J254" s="26"/>
      <c r="K254" s="77" t="s">
        <v>2071</v>
      </c>
      <c r="L254" s="889"/>
      <c r="M254" s="26"/>
      <c r="N254" s="26"/>
      <c r="O254" s="26"/>
      <c r="P254" s="26"/>
      <c r="Q254" s="26"/>
      <c r="R254" s="26"/>
      <c r="S254" s="26"/>
      <c r="T254" s="388" t="b" cm="1">
        <f t="array" aca="1" ref="T254" ca="1">T253</f>
        <v>1</v>
      </c>
      <c r="U254" s="26"/>
      <c r="V254" s="26"/>
      <c r="W254" s="26"/>
      <c r="X254" s="2066"/>
      <c r="Y254" s="1184"/>
      <c r="Z254" s="2012"/>
      <c r="AA254" s="1184"/>
      <c r="AB254" s="218" t="s">
        <v>1507</v>
      </c>
      <c r="AC254" s="682" t="s">
        <v>1441</v>
      </c>
      <c r="AD254" s="218" t="s">
        <v>831</v>
      </c>
      <c r="AE254" s="1024">
        <f>SUM(AE255,AE256)</f>
        <v>0</v>
      </c>
      <c r="AF254" s="1022">
        <f>SUM(AF255,AF256)</f>
        <v>0</v>
      </c>
      <c r="AG254" s="1022">
        <f>SUM(AG255,AG256)</f>
        <v>0</v>
      </c>
      <c r="AH254" s="1022">
        <f t="shared" si="53"/>
        <v>0</v>
      </c>
      <c r="AI254" s="1022">
        <f t="shared" ref="AI254:BC254" si="67">SUM(AI255,AI256)</f>
        <v>0</v>
      </c>
      <c r="AJ254" s="1024">
        <f t="shared" si="67"/>
        <v>0</v>
      </c>
      <c r="AK254" s="1022">
        <f t="shared" si="67"/>
        <v>0</v>
      </c>
      <c r="AL254" s="1022">
        <f t="shared" si="67"/>
        <v>0</v>
      </c>
      <c r="AM254" s="1022">
        <f t="shared" si="67"/>
        <v>0</v>
      </c>
      <c r="AN254" s="1022">
        <f t="shared" si="67"/>
        <v>0</v>
      </c>
      <c r="AO254" s="1022">
        <f t="shared" si="67"/>
        <v>0</v>
      </c>
      <c r="AP254" s="1022">
        <f t="shared" si="67"/>
        <v>0</v>
      </c>
      <c r="AQ254" s="1022">
        <f t="shared" si="67"/>
        <v>0</v>
      </c>
      <c r="AR254" s="1022">
        <f t="shared" si="67"/>
        <v>0</v>
      </c>
      <c r="AS254" s="1022">
        <f t="shared" si="67"/>
        <v>0</v>
      </c>
      <c r="AT254" s="1024">
        <f t="shared" si="67"/>
        <v>0</v>
      </c>
      <c r="AU254" s="1022">
        <f t="shared" si="67"/>
        <v>0</v>
      </c>
      <c r="AV254" s="1022">
        <f t="shared" si="67"/>
        <v>0</v>
      </c>
      <c r="AW254" s="1022">
        <f t="shared" si="67"/>
        <v>0</v>
      </c>
      <c r="AX254" s="1022">
        <f t="shared" si="67"/>
        <v>0</v>
      </c>
      <c r="AY254" s="1022">
        <f t="shared" si="67"/>
        <v>0</v>
      </c>
      <c r="AZ254" s="1022">
        <f t="shared" si="67"/>
        <v>0</v>
      </c>
      <c r="BA254" s="1022">
        <f t="shared" si="67"/>
        <v>0</v>
      </c>
      <c r="BB254" s="1022">
        <f t="shared" si="67"/>
        <v>0</v>
      </c>
      <c r="BC254" s="1022">
        <f t="shared" si="67"/>
        <v>0</v>
      </c>
      <c r="BD254" s="1022">
        <f t="shared" si="55"/>
        <v>0</v>
      </c>
      <c r="BE254" s="1022">
        <f t="shared" si="56"/>
        <v>0</v>
      </c>
      <c r="BF254" s="1022">
        <f t="shared" si="57"/>
        <v>0</v>
      </c>
      <c r="BG254" s="1022">
        <f t="shared" si="58"/>
        <v>0</v>
      </c>
      <c r="BH254" s="1022">
        <f t="shared" si="59"/>
        <v>0</v>
      </c>
      <c r="BI254" s="1022">
        <f t="shared" si="60"/>
        <v>0</v>
      </c>
      <c r="BJ254" s="1022">
        <f t="shared" si="61"/>
        <v>0</v>
      </c>
      <c r="BK254" s="1022">
        <f t="shared" si="62"/>
        <v>0</v>
      </c>
      <c r="BL254" s="1022">
        <f t="shared" si="63"/>
        <v>0</v>
      </c>
      <c r="BM254" s="1022">
        <f t="shared" si="64"/>
        <v>0</v>
      </c>
      <c r="BN254" s="1523"/>
      <c r="BO254" s="1523"/>
      <c r="BP254" s="1523"/>
      <c r="BQ254" s="1184"/>
      <c r="BR254" s="1184"/>
      <c r="BS254" s="973" t="s">
        <v>2072</v>
      </c>
      <c r="BT254" s="973"/>
      <c r="BU254" s="973"/>
      <c r="BV254" s="888"/>
      <c r="BW254" s="888"/>
    </row>
    <row r="255" spans="1:75" s="1334" customFormat="1" ht="14.25" customHeight="1" x14ac:dyDescent="0.15">
      <c r="A255" s="1184"/>
      <c r="B255" s="887"/>
      <c r="C255" s="26"/>
      <c r="D255" s="26"/>
      <c r="E255" s="545">
        <v>15</v>
      </c>
      <c r="F255" s="3" t="str" cm="1">
        <f t="array" aca="1" ref="F255" ca="1">OFFSET(E255,-1,1)</f>
        <v>1</v>
      </c>
      <c r="G255" s="26"/>
      <c r="H255" s="26"/>
      <c r="I255" s="26" t="s">
        <v>2073</v>
      </c>
      <c r="J255" s="26"/>
      <c r="K255" s="77" t="s">
        <v>2073</v>
      </c>
      <c r="L255" s="889"/>
      <c r="M255" s="26"/>
      <c r="N255" s="26"/>
      <c r="O255" s="26"/>
      <c r="P255" s="26"/>
      <c r="Q255" s="26"/>
      <c r="R255" s="26"/>
      <c r="S255" s="26"/>
      <c r="T255" s="388" t="b" cm="1">
        <f t="array" aca="1" ref="T255" ca="1">T254</f>
        <v>1</v>
      </c>
      <c r="U255" s="26"/>
      <c r="V255" s="26"/>
      <c r="W255" s="26"/>
      <c r="X255" s="2066"/>
      <c r="Y255" s="1184"/>
      <c r="Z255" s="2012"/>
      <c r="AA255" s="1184"/>
      <c r="AB255" s="218" t="s">
        <v>2074</v>
      </c>
      <c r="AC255" s="685" t="s">
        <v>2075</v>
      </c>
      <c r="AD255" s="218" t="s">
        <v>831</v>
      </c>
      <c r="AE255" s="1514"/>
      <c r="AF255" s="1514"/>
      <c r="AG255" s="1514"/>
      <c r="AH255" s="1022">
        <f t="shared" si="53"/>
        <v>0</v>
      </c>
      <c r="AI255" s="1514"/>
      <c r="AJ255" s="1514"/>
      <c r="AK255" s="1148"/>
      <c r="AL255" s="1148"/>
      <c r="AM255" s="1148"/>
      <c r="AN255" s="1148"/>
      <c r="AO255" s="1148"/>
      <c r="AP255" s="1148"/>
      <c r="AQ255" s="1514"/>
      <c r="AR255" s="1514"/>
      <c r="AS255" s="1514"/>
      <c r="AT255" s="1514"/>
      <c r="AU255" s="1148"/>
      <c r="AV255" s="1148"/>
      <c r="AW255" s="1148"/>
      <c r="AX255" s="1148"/>
      <c r="AY255" s="1148"/>
      <c r="AZ255" s="1148"/>
      <c r="BA255" s="1514"/>
      <c r="BB255" s="1514"/>
      <c r="BC255" s="1514"/>
      <c r="BD255" s="1022">
        <f t="shared" si="55"/>
        <v>0</v>
      </c>
      <c r="BE255" s="1022">
        <f t="shared" si="56"/>
        <v>0</v>
      </c>
      <c r="BF255" s="1022">
        <f t="shared" si="57"/>
        <v>0</v>
      </c>
      <c r="BG255" s="1022">
        <f t="shared" si="58"/>
        <v>0</v>
      </c>
      <c r="BH255" s="1022">
        <f t="shared" si="59"/>
        <v>0</v>
      </c>
      <c r="BI255" s="1022">
        <f t="shared" si="60"/>
        <v>0</v>
      </c>
      <c r="BJ255" s="1022">
        <f t="shared" si="61"/>
        <v>0</v>
      </c>
      <c r="BK255" s="1022">
        <f t="shared" si="62"/>
        <v>0</v>
      </c>
      <c r="BL255" s="1022">
        <f t="shared" si="63"/>
        <v>0</v>
      </c>
      <c r="BM255" s="1022">
        <f t="shared" si="64"/>
        <v>0</v>
      </c>
      <c r="BN255" s="1523"/>
      <c r="BO255" s="1523"/>
      <c r="BP255" s="1523"/>
      <c r="BQ255" s="1184"/>
      <c r="BR255" s="1184"/>
      <c r="BS255" s="973" t="s">
        <v>1222</v>
      </c>
      <c r="BT255" s="973"/>
      <c r="BU255" s="973"/>
      <c r="BV255" s="888"/>
      <c r="BW255" s="888"/>
    </row>
    <row r="256" spans="1:75" s="1334" customFormat="1" ht="14.25" customHeight="1" x14ac:dyDescent="0.15">
      <c r="A256" s="1184"/>
      <c r="B256" s="887"/>
      <c r="C256" s="26"/>
      <c r="D256" s="26"/>
      <c r="E256" s="545">
        <v>15</v>
      </c>
      <c r="F256" s="3" t="str" cm="1">
        <f t="array" aca="1" ref="F256" ca="1">OFFSET(E256,-1,1)</f>
        <v>1</v>
      </c>
      <c r="G256" s="26"/>
      <c r="H256" s="26"/>
      <c r="I256" s="26" t="s">
        <v>2076</v>
      </c>
      <c r="J256" s="26"/>
      <c r="K256" s="77" t="s">
        <v>2076</v>
      </c>
      <c r="L256" s="889" t="s">
        <v>922</v>
      </c>
      <c r="M256" s="26"/>
      <c r="N256" s="26"/>
      <c r="O256" s="26"/>
      <c r="P256" s="26"/>
      <c r="Q256" s="26"/>
      <c r="R256" s="26"/>
      <c r="S256" s="26"/>
      <c r="T256" s="388" t="b" cm="1">
        <f t="array" aca="1" ref="T256" ca="1">T255</f>
        <v>1</v>
      </c>
      <c r="U256" s="26"/>
      <c r="V256" s="26"/>
      <c r="W256" s="26"/>
      <c r="X256" s="2066"/>
      <c r="Y256" s="1184"/>
      <c r="Z256" s="2012"/>
      <c r="AA256" s="1184"/>
      <c r="AB256" s="218" t="s">
        <v>2077</v>
      </c>
      <c r="AC256" s="685" t="s">
        <v>2078</v>
      </c>
      <c r="AD256" s="218" t="s">
        <v>831</v>
      </c>
      <c r="AE256" s="1514"/>
      <c r="AF256" s="1514"/>
      <c r="AG256" s="1514"/>
      <c r="AH256" s="1022">
        <f t="shared" si="53"/>
        <v>0</v>
      </c>
      <c r="AI256" s="1514"/>
      <c r="AJ256" s="1514"/>
      <c r="AK256" s="1148"/>
      <c r="AL256" s="1148"/>
      <c r="AM256" s="1148"/>
      <c r="AN256" s="1148"/>
      <c r="AO256" s="1148"/>
      <c r="AP256" s="1148"/>
      <c r="AQ256" s="1514"/>
      <c r="AR256" s="1514"/>
      <c r="AS256" s="1514"/>
      <c r="AT256" s="1514"/>
      <c r="AU256" s="1148"/>
      <c r="AV256" s="1148"/>
      <c r="AW256" s="1148"/>
      <c r="AX256" s="1148"/>
      <c r="AY256" s="1148"/>
      <c r="AZ256" s="1148"/>
      <c r="BA256" s="1514"/>
      <c r="BB256" s="1514"/>
      <c r="BC256" s="1514"/>
      <c r="BD256" s="1022">
        <f t="shared" si="55"/>
        <v>0</v>
      </c>
      <c r="BE256" s="1022">
        <f t="shared" si="56"/>
        <v>0</v>
      </c>
      <c r="BF256" s="1022">
        <f t="shared" si="57"/>
        <v>0</v>
      </c>
      <c r="BG256" s="1022">
        <f t="shared" si="58"/>
        <v>0</v>
      </c>
      <c r="BH256" s="1022">
        <f t="shared" si="59"/>
        <v>0</v>
      </c>
      <c r="BI256" s="1022">
        <f t="shared" si="60"/>
        <v>0</v>
      </c>
      <c r="BJ256" s="1022">
        <f t="shared" si="61"/>
        <v>0</v>
      </c>
      <c r="BK256" s="1022">
        <f t="shared" si="62"/>
        <v>0</v>
      </c>
      <c r="BL256" s="1022">
        <f t="shared" si="63"/>
        <v>0</v>
      </c>
      <c r="BM256" s="1022">
        <f t="shared" si="64"/>
        <v>0</v>
      </c>
      <c r="BN256" s="1523"/>
      <c r="BO256" s="1523"/>
      <c r="BP256" s="1523"/>
      <c r="BQ256" s="1184"/>
      <c r="BR256" s="1184"/>
      <c r="BS256" s="973" t="s">
        <v>2079</v>
      </c>
      <c r="BT256" s="973"/>
      <c r="BU256" s="973"/>
      <c r="BV256" s="888"/>
      <c r="BW256" s="888"/>
    </row>
    <row r="257" spans="1:75" s="1334" customFormat="1" ht="21.75" customHeight="1" x14ac:dyDescent="0.15">
      <c r="A257" s="1184"/>
      <c r="B257" s="887"/>
      <c r="C257" s="26"/>
      <c r="D257" s="26"/>
      <c r="E257" s="545">
        <v>22.5</v>
      </c>
      <c r="F257" s="3" t="str" cm="1">
        <f t="array" aca="1" ref="F257" ca="1">OFFSET(E257,-1,1)</f>
        <v>1</v>
      </c>
      <c r="G257" s="26" t="s">
        <v>1446</v>
      </c>
      <c r="H257" s="26"/>
      <c r="I257" s="26" t="s">
        <v>2080</v>
      </c>
      <c r="J257" s="26"/>
      <c r="K257" s="77" t="s">
        <v>2080</v>
      </c>
      <c r="L257" s="889"/>
      <c r="M257" s="26"/>
      <c r="N257" s="26"/>
      <c r="O257" s="26"/>
      <c r="P257" s="26"/>
      <c r="Q257" s="26"/>
      <c r="R257" s="26"/>
      <c r="S257" s="26"/>
      <c r="T257" s="388" t="b" cm="1">
        <f t="array" aca="1" ref="T257" ca="1">T256</f>
        <v>1</v>
      </c>
      <c r="U257" s="26"/>
      <c r="V257" s="26"/>
      <c r="W257" s="26"/>
      <c r="X257" s="2066"/>
      <c r="Y257" s="1184"/>
      <c r="Z257" s="2012"/>
      <c r="AA257" s="1184"/>
      <c r="AB257" s="218" t="s">
        <v>1510</v>
      </c>
      <c r="AC257" s="682" t="s">
        <v>2081</v>
      </c>
      <c r="AD257" s="218" t="s">
        <v>831</v>
      </c>
      <c r="AE257" s="1514"/>
      <c r="AF257" s="1514"/>
      <c r="AG257" s="1514"/>
      <c r="AH257" s="1022">
        <f t="shared" si="53"/>
        <v>0</v>
      </c>
      <c r="AI257" s="1514"/>
      <c r="AJ257" s="1514"/>
      <c r="AK257" s="1148"/>
      <c r="AL257" s="1148"/>
      <c r="AM257" s="1148"/>
      <c r="AN257" s="1148"/>
      <c r="AO257" s="1148"/>
      <c r="AP257" s="1148"/>
      <c r="AQ257" s="1514"/>
      <c r="AR257" s="1514"/>
      <c r="AS257" s="1514"/>
      <c r="AT257" s="1514"/>
      <c r="AU257" s="1148"/>
      <c r="AV257" s="1148"/>
      <c r="AW257" s="1148"/>
      <c r="AX257" s="1148"/>
      <c r="AY257" s="1148"/>
      <c r="AZ257" s="1148"/>
      <c r="BA257" s="1514"/>
      <c r="BB257" s="1514"/>
      <c r="BC257" s="1514"/>
      <c r="BD257" s="1022">
        <f t="shared" si="55"/>
        <v>0</v>
      </c>
      <c r="BE257" s="1022">
        <f t="shared" si="56"/>
        <v>0</v>
      </c>
      <c r="BF257" s="1022">
        <f t="shared" si="57"/>
        <v>0</v>
      </c>
      <c r="BG257" s="1022">
        <f t="shared" si="58"/>
        <v>0</v>
      </c>
      <c r="BH257" s="1022">
        <f t="shared" si="59"/>
        <v>0</v>
      </c>
      <c r="BI257" s="1022">
        <f t="shared" si="60"/>
        <v>0</v>
      </c>
      <c r="BJ257" s="1022">
        <f t="shared" si="61"/>
        <v>0</v>
      </c>
      <c r="BK257" s="1022">
        <f t="shared" si="62"/>
        <v>0</v>
      </c>
      <c r="BL257" s="1022">
        <f t="shared" si="63"/>
        <v>0</v>
      </c>
      <c r="BM257" s="1022">
        <f t="shared" si="64"/>
        <v>0</v>
      </c>
      <c r="BN257" s="1523"/>
      <c r="BO257" s="1523"/>
      <c r="BP257" s="1523"/>
      <c r="BQ257" s="1184"/>
      <c r="BR257" s="1184"/>
      <c r="BS257" s="973" t="s">
        <v>2082</v>
      </c>
      <c r="BT257" s="973"/>
      <c r="BU257" s="973"/>
      <c r="BV257" s="888"/>
      <c r="BW257" s="888"/>
    </row>
    <row r="258" spans="1:75" s="1533" customFormat="1" ht="409.6" customHeight="1" x14ac:dyDescent="0.15">
      <c r="A258" s="623"/>
      <c r="B258" s="357"/>
      <c r="C258" s="28"/>
      <c r="D258" s="28"/>
      <c r="E258" s="745">
        <v>21</v>
      </c>
      <c r="F258" s="3" t="str" cm="1">
        <f t="array" aca="1" ref="F258" ca="1">OFFSET(E258,-1,1)</f>
        <v>1</v>
      </c>
      <c r="G258" s="26" t="s">
        <v>2083</v>
      </c>
      <c r="H258" s="26"/>
      <c r="I258" s="26" t="s">
        <v>333</v>
      </c>
      <c r="J258" s="28"/>
      <c r="K258" s="77" t="s">
        <v>333</v>
      </c>
      <c r="L258" s="894" t="s">
        <v>1301</v>
      </c>
      <c r="M258" s="28"/>
      <c r="N258" s="28"/>
      <c r="O258" s="28"/>
      <c r="P258" s="28"/>
      <c r="Q258" s="28"/>
      <c r="R258" s="28"/>
      <c r="S258" s="28"/>
      <c r="T258" s="388" t="b" cm="1">
        <f t="array" aca="1" ref="T258" ca="1">T257</f>
        <v>1</v>
      </c>
      <c r="U258" s="28"/>
      <c r="V258" s="28"/>
      <c r="W258" s="28"/>
      <c r="X258" s="2066"/>
      <c r="Y258" s="623"/>
      <c r="Z258" s="2012"/>
      <c r="AA258" s="623"/>
      <c r="AB258" s="130" t="s">
        <v>329</v>
      </c>
      <c r="AC258" s="131" t="s">
        <v>2084</v>
      </c>
      <c r="AD258" s="130" t="s">
        <v>831</v>
      </c>
      <c r="AE258" s="698">
        <f ca="1">SUMIFS(ЭЭ!AE$25:AE$117,ЭЭ!$F$25:$F$117,$F258,ЭЭ!$AC$25:$AC$117,"Всего по тарифу")</f>
        <v>64441.363047370498</v>
      </c>
      <c r="AF258" s="698">
        <f ca="1">SUMIFS(ЭЭ!AF$25:AF$117,ЭЭ!$F$25:$F$117,$F258,ЭЭ!$AC$25:$AC$117,"Всего по тарифу")</f>
        <v>73107.17</v>
      </c>
      <c r="AG258" s="698">
        <f ca="1">SUMIFS(ЭЭ!AG$25:AG$117,ЭЭ!$F$25:$F$117,$F258,ЭЭ!$AC$25:$AC$117,"Всего по тарифу")</f>
        <v>73107.17</v>
      </c>
      <c r="AH258" s="698">
        <f t="shared" ca="1" si="53"/>
        <v>0</v>
      </c>
      <c r="AI258" s="698">
        <f ca="1">SUMIFS(ЭЭ!AH$25:AH$117,ЭЭ!$F$25:$F$117,$F258,ЭЭ!$AC$25:$AC$117,"Всего по тарифу")</f>
        <v>67598.989836691704</v>
      </c>
      <c r="AJ258" s="698">
        <f ca="1">SUMIFS(ЭЭ!AI$25:AI$117,ЭЭ!$F$25:$F$117,$F258,ЭЭ!$AC$25:$AC$117,"Всего по тарифу")</f>
        <v>79757.03</v>
      </c>
      <c r="AK258" s="698">
        <f ca="1">SUMIFS(ЭЭ!AJ$25:AJ$117,ЭЭ!$F$25:$F$117,$F258,ЭЭ!$AC$25:$AC$117,"Всего по тарифу")</f>
        <v>76555.25</v>
      </c>
      <c r="AL258" s="698">
        <f ca="1">SUMIFS(ЭЭ!AK$25:AK$117,ЭЭ!$F$25:$F$117,$F258,ЭЭ!$AC$25:$AC$117,"Всего по тарифу")</f>
        <v>79617.47</v>
      </c>
      <c r="AM258" s="698">
        <f ca="1">SUMIFS(ЭЭ!AL$25:AL$117,ЭЭ!$F$25:$F$117,$F258,ЭЭ!$AC$25:$AC$117,"Всего по тарифу")</f>
        <v>82802.16</v>
      </c>
      <c r="AN258" s="698">
        <f ca="1">SUMIFS(ЭЭ!AM$25:AM$117,ЭЭ!$F$25:$F$117,$F258,ЭЭ!$AC$25:$AC$117,"Всего по тарифу")</f>
        <v>86114.240000000005</v>
      </c>
      <c r="AO258" s="698">
        <f ca="1">SUMIFS(ЭЭ!AN$25:AN$117,ЭЭ!$F$25:$F$117,$F258,ЭЭ!$AC$25:$AC$117,"Всего по тарифу")</f>
        <v>89558.819999999992</v>
      </c>
      <c r="AP258" s="698">
        <f ca="1">SUMIFS(ЭЭ!AO$25:AO$117,ЭЭ!$F$25:$F$117,$F258,ЭЭ!$AC$25:$AC$117,"Всего по тарифу")</f>
        <v>93141.17</v>
      </c>
      <c r="AQ258" s="698">
        <f ca="1">SUMIFS(ЭЭ!AP$25:AP$117,ЭЭ!$F$25:$F$117,$F258,ЭЭ!$AC$25:$AC$117,"Всего по тарифу")</f>
        <v>0</v>
      </c>
      <c r="AR258" s="698">
        <f ca="1">SUMIFS(ЭЭ!AQ$25:AQ$117,ЭЭ!$F$25:$F$117,$F258,ЭЭ!$AC$25:$AC$117,"Всего по тарифу")</f>
        <v>0</v>
      </c>
      <c r="AS258" s="698">
        <f ca="1">SUMIFS(ЭЭ!AR$25:AR$117,ЭЭ!$F$25:$F$117,$F258,ЭЭ!$AC$25:$AC$117,"Всего по тарифу")</f>
        <v>0</v>
      </c>
      <c r="AT258" s="698">
        <f ca="1">SUMIFS(ЭЭ!AS$25:AS$117,ЭЭ!$F$25:$F$117,$F258,ЭЭ!$AC$25:$AC$117,"Всего по тарифу")</f>
        <v>85914.21</v>
      </c>
      <c r="AU258" s="698">
        <f ca="1">SUMIFS(ЭЭ!AT$25:AT$117,ЭЭ!$F$25:$F$117,$F258,ЭЭ!$AC$25:$AC$117,"Всего по тарифу")</f>
        <v>71715.768317746188</v>
      </c>
      <c r="AV258" s="698">
        <f ca="1">SUMIFS(ЭЭ!AU$25:AU$117,ЭЭ!$F$25:$F$117,$F258,ЭЭ!$AC$25:$AC$117,"Всего по тарифу")</f>
        <v>73867.241367278606</v>
      </c>
      <c r="AW258" s="698">
        <f ca="1">SUMIFS(ЭЭ!AV$25:AV$117,ЭЭ!$F$25:$F$117,$F258,ЭЭ!$AC$25:$AC$117,"Всего по тарифу")</f>
        <v>76083.258608296892</v>
      </c>
      <c r="AX258" s="698">
        <f ca="1">SUMIFS(ЭЭ!AW$25:AW$117,ЭЭ!$F$25:$F$117,$F258,ЭЭ!$AC$25:$AC$117,"Всего по тарифу")</f>
        <v>78365.7563665458</v>
      </c>
      <c r="AY258" s="698">
        <f ca="1">SUMIFS(ЭЭ!AX$25:AX$117,ЭЭ!$F$25:$F$117,$F258,ЭЭ!$AC$25:$AC$117,"Всего по тарифу")</f>
        <v>80716.72905754231</v>
      </c>
      <c r="AZ258" s="698">
        <f ca="1">SUMIFS(ЭЭ!AY$25:AY$117,ЭЭ!$F$25:$F$117,$F258,ЭЭ!$AC$25:$AC$117,"Всего по тарифу")</f>
        <v>83138.230929268509</v>
      </c>
      <c r="BA258" s="698">
        <f ca="1">SUMIFS(ЭЭ!AZ$25:AZ$117,ЭЭ!$F$25:$F$117,$F258,ЭЭ!$AC$25:$AC$117,"Всего по тарифу")</f>
        <v>0</v>
      </c>
      <c r="BB258" s="698">
        <f ca="1">SUMIFS(ЭЭ!BA$25:BA$117,ЭЭ!$F$25:$F$117,$F258,ЭЭ!$AC$25:$AC$117,"Всего по тарифу")</f>
        <v>0</v>
      </c>
      <c r="BC258" s="698">
        <f ca="1">SUMIFS(ЭЭ!BB$25:BB$117,ЭЭ!$F$25:$F$117,$F258,ЭЭ!$AC$25:$AC$117,"Всего по тарифу")</f>
        <v>0</v>
      </c>
      <c r="BD258" s="698">
        <f t="shared" ca="1" si="55"/>
        <v>27.093925822789554</v>
      </c>
      <c r="BE258" s="698">
        <f t="shared" ca="1" si="56"/>
        <v>-16.526301856530857</v>
      </c>
      <c r="BF258" s="698">
        <f t="shared" ca="1" si="57"/>
        <v>3.0000000000000457</v>
      </c>
      <c r="BG258" s="698">
        <f t="shared" ca="1" si="58"/>
        <v>2.9999999999999019</v>
      </c>
      <c r="BH258" s="698">
        <f t="shared" ca="1" si="59"/>
        <v>3.0000000000000018</v>
      </c>
      <c r="BI258" s="698">
        <f t="shared" ca="1" si="60"/>
        <v>3.0000000000001736</v>
      </c>
      <c r="BJ258" s="698">
        <f t="shared" ca="1" si="61"/>
        <v>2.999999999999913</v>
      </c>
      <c r="BK258" s="698">
        <f t="shared" ca="1" si="62"/>
        <v>-100</v>
      </c>
      <c r="BL258" s="698">
        <f t="shared" ca="1" si="63"/>
        <v>0</v>
      </c>
      <c r="BM258" s="698">
        <f t="shared" ca="1" si="64"/>
        <v>0</v>
      </c>
      <c r="BN258" s="1523" t="s">
        <v>2189</v>
      </c>
      <c r="BO258" s="1532" t="s">
        <v>2190</v>
      </c>
      <c r="BP258" s="1523" t="s">
        <v>2191</v>
      </c>
      <c r="BQ258" s="623"/>
      <c r="BR258" s="623"/>
      <c r="BS258" s="979" t="s">
        <v>1692</v>
      </c>
      <c r="BT258" s="979"/>
      <c r="BU258" s="979"/>
      <c r="BV258" s="630"/>
      <c r="BW258" s="630"/>
    </row>
    <row r="259" spans="1:75" s="1534" customFormat="1" ht="159.75" customHeight="1" x14ac:dyDescent="0.15">
      <c r="A259" s="623"/>
      <c r="B259" s="81" t="b">
        <f>method_reg="Метод индексации"</f>
        <v>1</v>
      </c>
      <c r="C259" s="28"/>
      <c r="D259" s="28"/>
      <c r="E259" s="745">
        <v>22.5</v>
      </c>
      <c r="F259" s="3" t="str" cm="1">
        <f t="array" aca="1" ref="F259" ca="1">OFFSET(E259,-1,1)</f>
        <v>1</v>
      </c>
      <c r="G259" s="26" t="s">
        <v>1468</v>
      </c>
      <c r="H259" s="26"/>
      <c r="I259" s="26" t="s">
        <v>335</v>
      </c>
      <c r="J259" s="28"/>
      <c r="K259" s="77"/>
      <c r="L259" s="894" t="s">
        <v>334</v>
      </c>
      <c r="M259" s="28"/>
      <c r="N259" s="28"/>
      <c r="O259" s="28"/>
      <c r="P259" s="28"/>
      <c r="Q259" s="28"/>
      <c r="R259" s="28"/>
      <c r="S259" s="28"/>
      <c r="T259" s="388" t="b" cm="1">
        <f t="array" aca="1" ref="T259" ca="1">T258</f>
        <v>1</v>
      </c>
      <c r="U259" s="28"/>
      <c r="V259" s="28"/>
      <c r="W259" s="28"/>
      <c r="X259" s="2066"/>
      <c r="Y259" s="623"/>
      <c r="Z259" s="2012"/>
      <c r="AA259" s="623"/>
      <c r="AB259" s="130" t="s">
        <v>441</v>
      </c>
      <c r="AC259" s="131" t="s">
        <v>2085</v>
      </c>
      <c r="AD259" s="130" t="s">
        <v>831</v>
      </c>
      <c r="AE259" s="698">
        <f ca="1">SUMIFS(Амортизация!AE$25:AE$174,Амортизация!$F$25:$F$174,$F259,Амортизация!$AC$25:$AC$174,"Сумма амортизационных отчислений")</f>
        <v>157.69999999999999</v>
      </c>
      <c r="AF259" s="698">
        <f ca="1">SUMIFS(Амортизация!AF$25:AF$174,Амортизация!$F$25:$F$174,$F259,Амортизация!$AC$25:$AC$174,"Сумма амортизационных отчислений")</f>
        <v>29649.01</v>
      </c>
      <c r="AG259" s="698">
        <f ca="1">SUMIFS(Амортизация!AG$25:AG$174,Амортизация!$F$25:$F$174,$F259,Амортизация!$AC$25:$AC$174,"Сумма амортизационных отчислений")</f>
        <v>0</v>
      </c>
      <c r="AH259" s="698">
        <f t="shared" ca="1" si="53"/>
        <v>-29649.01</v>
      </c>
      <c r="AI259" s="698">
        <f ca="1">SUMIFS(Амортизация!AH$25:AH$174,Амортизация!$F$25:$F$174,$F259,Амортизация!$AC$25:$AC$174,"Сумма амортизационных отчислений")</f>
        <v>419.6</v>
      </c>
      <c r="AJ259" s="698">
        <f ca="1">SUMIFS(Амортизация!AI$25:AI$174,Амортизация!$F$25:$F$174,$F259,Амортизация!$AC$25:$AC$174,"Сумма амортизационных отчислений")</f>
        <v>29636.22</v>
      </c>
      <c r="AK259" s="698">
        <f ca="1">SUMIFS(Амортизация!AJ$25:AJ$174,Амортизация!$F$25:$F$174,$F259,Амортизация!$AC$25:$AC$174,"Сумма амортизационных отчислений")</f>
        <v>1436.27</v>
      </c>
      <c r="AL259" s="698">
        <f ca="1">SUMIFS(Амортизация!AK$25:AK$174,Амортизация!$F$25:$F$174,$F259,Амортизация!$AC$25:$AC$174,"Сумма амортизационных отчислений")</f>
        <v>1436.27</v>
      </c>
      <c r="AM259" s="698">
        <f ca="1">SUMIFS(Амортизация!AL$25:AL$174,Амортизация!$F$25:$F$174,$F259,Амортизация!$AC$25:$AC$174,"Сумма амортизационных отчислений")</f>
        <v>1436.27</v>
      </c>
      <c r="AN259" s="698">
        <f ca="1">SUMIFS(Амортизация!AM$25:AM$174,Амортизация!$F$25:$F$174,$F259,Амортизация!$AC$25:$AC$174,"Сумма амортизационных отчислений")</f>
        <v>1436.27</v>
      </c>
      <c r="AO259" s="698">
        <f ca="1">SUMIFS(Амортизация!AN$25:AN$174,Амортизация!$F$25:$F$174,$F259,Амортизация!$AC$25:$AC$174,"Сумма амортизационных отчислений")</f>
        <v>1436.27</v>
      </c>
      <c r="AP259" s="698">
        <f ca="1">SUMIFS(Амортизация!AO$25:AO$174,Амортизация!$F$25:$F$174,$F259,Амортизация!$AC$25:$AC$174,"Сумма амортизационных отчислений")</f>
        <v>1436.27</v>
      </c>
      <c r="AQ259" s="698">
        <f ca="1">SUMIFS(Амортизация!AP$25:AP$174,Амортизация!$F$25:$F$174,$F259,Амортизация!$AC$25:$AC$174,"Сумма амортизационных отчислений")</f>
        <v>0</v>
      </c>
      <c r="AR259" s="698">
        <f ca="1">SUMIFS(Амортизация!AQ$25:AQ$174,Амортизация!$F$25:$F$174,$F259,Амортизация!$AC$25:$AC$174,"Сумма амортизационных отчислений")</f>
        <v>0</v>
      </c>
      <c r="AS259" s="698">
        <f ca="1">SUMIFS(Амортизация!AR$25:AR$174,Амортизация!$F$25:$F$174,$F259,Амортизация!$AC$25:$AC$174,"Сумма амортизационных отчислений")</f>
        <v>0</v>
      </c>
      <c r="AT259" s="698">
        <f ca="1">SUMIFS(Амортизация!AS$25:AS$174,Амортизация!$F$25:$F$174,$F259,Амортизация!$AC$25:$AC$174,"Сумма амортизационных отчислений")</f>
        <v>1463.0234844966001</v>
      </c>
      <c r="AU259" s="698">
        <f ca="1">SUMIFS(Амортизация!AT$25:AT$174,Амортизация!$F$25:$F$174,$F259,Амортизация!$AC$25:$AC$174,"Сумма амортизационных отчислений")</f>
        <v>3126.3767730043</v>
      </c>
      <c r="AV259" s="698">
        <f ca="1">SUMIFS(Амортизация!AU$25:AU$174,Амортизация!$F$25:$F$174,$F259,Амортизация!$AC$25:$AC$174,"Сумма амортизационных отчислений")</f>
        <v>5469.7323543415996</v>
      </c>
      <c r="AW259" s="698">
        <f ca="1">SUMIFS(Амортизация!AV$25:AV$174,Амортизация!$F$25:$F$174,$F259,Амортизация!$AC$25:$AC$174,"Сумма амортизационных отчислений")</f>
        <v>7042.3475404938999</v>
      </c>
      <c r="AX259" s="698">
        <f ca="1">SUMIFS(Амортизация!AW$25:AW$174,Амортизация!$F$25:$F$174,$F259,Амортизация!$AC$25:$AC$174,"Сумма амортизационных отчислений")</f>
        <v>8592.3542911205004</v>
      </c>
      <c r="AY259" s="698">
        <f ca="1">SUMIFS(Амортизация!AX$25:AX$174,Амортизация!$F$25:$F$174,$F259,Амортизация!$AC$25:$AC$174,"Сумма амортизационных отчислений")</f>
        <v>11139.1147978194</v>
      </c>
      <c r="AZ259" s="698">
        <f ca="1">SUMIFS(Амортизация!AY$25:AY$174,Амортизация!$F$25:$F$174,$F259,Амортизация!$AC$25:$AC$174,"Сумма амортизационных отчислений")</f>
        <v>22716.390725279001</v>
      </c>
      <c r="BA259" s="698">
        <f ca="1">SUMIFS(Амортизация!AZ$25:AZ$174,Амортизация!$F$25:$F$174,$F259,Амортизация!$AC$25:$AC$174,"Сумма амортизационных отчислений")</f>
        <v>0</v>
      </c>
      <c r="BB259" s="698">
        <f ca="1">SUMIFS(Амортизация!BA$25:BA$174,Амортизация!$F$25:$F$174,$F259,Амортизация!$AC$25:$AC$174,"Сумма амортизационных отчислений")</f>
        <v>0</v>
      </c>
      <c r="BC259" s="698">
        <f ca="1">SUMIFS(Амортизация!BB$25:BB$174,Амортизация!$F$25:$F$174,$F259,Амортизация!$AC$25:$AC$174,"Сумма амортизационных отчислений")</f>
        <v>0</v>
      </c>
      <c r="BD259" s="698">
        <f t="shared" ca="1" si="55"/>
        <v>248.67099249204</v>
      </c>
      <c r="BE259" s="698">
        <f t="shared" ca="1" si="56"/>
        <v>113.6928631791601</v>
      </c>
      <c r="BF259" s="698">
        <f t="shared" ca="1" si="57"/>
        <v>74.954356159876596</v>
      </c>
      <c r="BG259" s="698">
        <f t="shared" ca="1" si="58"/>
        <v>28.75122737777173</v>
      </c>
      <c r="BH259" s="698">
        <f t="shared" ca="1" si="59"/>
        <v>22.009802011530578</v>
      </c>
      <c r="BI259" s="698">
        <f t="shared" ca="1" si="60"/>
        <v>29.639845150831011</v>
      </c>
      <c r="BJ259" s="698">
        <f t="shared" ca="1" si="61"/>
        <v>103.93353634999771</v>
      </c>
      <c r="BK259" s="698">
        <f t="shared" ca="1" si="62"/>
        <v>-100</v>
      </c>
      <c r="BL259" s="698">
        <f t="shared" ca="1" si="63"/>
        <v>0</v>
      </c>
      <c r="BM259" s="698">
        <f t="shared" ca="1" si="64"/>
        <v>0</v>
      </c>
      <c r="BN259" s="1523" t="s">
        <v>2192</v>
      </c>
      <c r="BO259" s="1525" t="str">
        <f ca="1">IF(IFERROR(INDEX(Амортизация!$K$26:$L$174,MATCH($F259&amp;"komm",Амортизация!$K$26:$K$174,0),2),"")=0,"",IFERROR(INDEX(Амортизация!$K$26:$L$174,MATCH($F259&amp;"komm",Амортизация!$K$26:$K$174,0),2),""))</f>
        <v/>
      </c>
      <c r="BP259" s="1523" t="s">
        <v>2193</v>
      </c>
      <c r="BQ259" s="623"/>
      <c r="BR259" s="623"/>
      <c r="BS259" s="979" t="s">
        <v>1199</v>
      </c>
      <c r="BT259" s="979"/>
      <c r="BU259" s="979"/>
      <c r="BV259" s="630"/>
      <c r="BW259" s="630"/>
    </row>
    <row r="260" spans="1:75" s="1334" customFormat="1" ht="243.75" customHeight="1" x14ac:dyDescent="0.15">
      <c r="A260" s="1184"/>
      <c r="B260" s="354" t="b" cm="1">
        <f t="array" ref="B260">B259</f>
        <v>1</v>
      </c>
      <c r="C260" s="26"/>
      <c r="D260" s="26"/>
      <c r="E260" s="545">
        <v>15</v>
      </c>
      <c r="F260" s="3" t="str" cm="1">
        <f t="array" aca="1" ref="F260" ca="1">OFFSET(E260,-1,1)</f>
        <v>1</v>
      </c>
      <c r="G260" s="26"/>
      <c r="H260" s="26"/>
      <c r="I260" s="26" t="s">
        <v>565</v>
      </c>
      <c r="J260" s="26"/>
      <c r="K260" s="1184"/>
      <c r="L260" s="889" t="s">
        <v>579</v>
      </c>
      <c r="M260" s="26"/>
      <c r="N260" s="26"/>
      <c r="O260" s="26"/>
      <c r="P260" s="26"/>
      <c r="Q260" s="26"/>
      <c r="R260" s="26"/>
      <c r="S260" s="26"/>
      <c r="T260" s="388" t="b" cm="1">
        <f t="array" aca="1" ref="T260" ca="1">T259</f>
        <v>1</v>
      </c>
      <c r="U260" s="26"/>
      <c r="V260" s="26"/>
      <c r="W260" s="26"/>
      <c r="X260" s="2066"/>
      <c r="Y260" s="1184"/>
      <c r="Z260" s="2012"/>
      <c r="AA260" s="1184"/>
      <c r="AB260" s="218" t="s">
        <v>700</v>
      </c>
      <c r="AC260" s="682" t="s">
        <v>1785</v>
      </c>
      <c r="AD260" s="218" t="s">
        <v>831</v>
      </c>
      <c r="AE260" s="1514">
        <f ca="1">SUMIFS('ИП + источники'!AF$27:AF$116,'ИП + источники'!$F$27:$F$116,$F260,'ИП + источники'!$AC$27:$AC$116,"Амортизационные отчисления")+SUMIFS('ИП + источники'!AF$27:AF$116,'ИП + источники'!$F$27:$F$116,$F260,'ИП + источники'!$AC$27:$AC$116,"погашение займов и кредитов из амортизации")</f>
        <v>0</v>
      </c>
      <c r="AF260" s="1514">
        <f ca="1">SUMIFS('ИП + источники'!AG$27:AG$116,'ИП + источники'!$F$27:$F$116,$F260,'ИП + источники'!$AC$27:$AC$116,"Амортизационные отчисления")+SUMIFS('ИП + источники'!AG$27:AG$116,'ИП + источники'!$F$27:$F$116,$F260,'ИП + источники'!$AC$27:$AC$116,"погашение займов и кредитов из амортизации")</f>
        <v>0</v>
      </c>
      <c r="AG260" s="1514">
        <f ca="1">SUMIFS('ИП + источники'!AH$27:AH$116,'ИП + источники'!$F$27:$F$116,$F260,'ИП + источники'!$AC$27:$AC$116,"Амортизационные отчисления")+SUMIFS('ИП + источники'!AH$27:AH$116,'ИП + источники'!$F$27:$F$116,$F260,'ИП + источники'!$AC$27:$AC$116,"погашение займов и кредитов из амортизации")</f>
        <v>0</v>
      </c>
      <c r="AH260" s="1022">
        <f t="shared" ca="1" si="53"/>
        <v>0</v>
      </c>
      <c r="AI260" s="1514">
        <v>261.89999999999998</v>
      </c>
      <c r="AJ260" s="1514">
        <v>1305.3234844966</v>
      </c>
      <c r="AK260" s="1148">
        <v>2968.6767730042998</v>
      </c>
      <c r="AL260" s="1148">
        <v>5312.0323543415998</v>
      </c>
      <c r="AM260" s="1148">
        <v>6884.6475404939001</v>
      </c>
      <c r="AN260" s="1148">
        <v>8434.6542911204997</v>
      </c>
      <c r="AO260" s="1148">
        <v>10981.4147978194</v>
      </c>
      <c r="AP260" s="1148">
        <v>22558.690725279001</v>
      </c>
      <c r="AQ260" s="1514">
        <f ca="1">SUMIFS('ИП + источники'!AR$27:AR$116,'ИП + источники'!$F$27:$F$116,$F260,'ИП + источники'!$AC$27:$AC$116,"Амортизационные отчисления")+SUMIFS('ИП + источники'!AR$27:AR$116,'ИП + источники'!$F$27:$F$116,$F260,'ИП + источники'!$AC$27:$AC$116,"погашение займов и кредитов из амортизации")</f>
        <v>0</v>
      </c>
      <c r="AR260" s="1514">
        <f ca="1">SUMIFS('ИП + источники'!AS$27:AS$116,'ИП + источники'!$F$27:$F$116,$F260,'ИП + источники'!$AC$27:$AC$116,"Амортизационные отчисления")+SUMIFS('ИП + источники'!AS$27:AS$116,'ИП + источники'!$F$27:$F$116,$F260,'ИП + источники'!$AC$27:$AC$116,"погашение займов и кредитов из амортизации")</f>
        <v>0</v>
      </c>
      <c r="AS260" s="1514">
        <f ca="1">SUMIFS('ИП + источники'!AT$27:AT$116,'ИП + источники'!$F$27:$F$116,$F260,'ИП + источники'!$AC$27:$AC$116,"Амортизационные отчисления")+SUMIFS('ИП + источники'!AT$27:AT$116,'ИП + источники'!$F$27:$F$116,$F260,'ИП + источники'!$AC$27:$AC$116,"погашение займов и кредитов из амортизации")</f>
        <v>0</v>
      </c>
      <c r="AT260" s="1514">
        <v>1305.3234844966</v>
      </c>
      <c r="AU260" s="1148">
        <v>2968.6767730042998</v>
      </c>
      <c r="AV260" s="1148">
        <v>5312.0323543415998</v>
      </c>
      <c r="AW260" s="1148">
        <v>6884.6475404939001</v>
      </c>
      <c r="AX260" s="1148">
        <v>8434.6542911204997</v>
      </c>
      <c r="AY260" s="1148">
        <v>10981.4147978194</v>
      </c>
      <c r="AZ260" s="1148">
        <v>22558.690725279001</v>
      </c>
      <c r="BA260" s="1514">
        <f ca="1">SUMIFS('ИП + источники'!BB$27:BB$116,'ИП + источники'!$F$27:$F$116,$F260,'ИП + источники'!$AC$27:$AC$116,"Амортизационные отчисления")+SUMIFS('ИП + источники'!BB$27:BB$116,'ИП + источники'!$F$27:$F$116,$F260,'ИП + источники'!$AC$27:$AC$116,"погашение займов и кредитов из амортизации")</f>
        <v>0</v>
      </c>
      <c r="BB260" s="1514">
        <f ca="1">SUMIFS('ИП + источники'!BC$27:BC$116,'ИП + источники'!$F$27:$F$116,$F260,'ИП + источники'!$AC$27:$AC$116,"Амортизационные отчисления")+SUMIFS('ИП + источники'!BC$27:BC$116,'ИП + источники'!$F$27:$F$116,$F260,'ИП + источники'!$AC$27:$AC$116,"погашение займов и кредитов из амортизации")</f>
        <v>0</v>
      </c>
      <c r="BC260" s="1514">
        <f ca="1">SUMIFS('ИП + источники'!BD$27:BD$116,'ИП + источники'!$F$27:$F$116,$F260,'ИП + источники'!$AC$27:$AC$116,"Амортизационные отчисления")+SUMIFS('ИП + источники'!BD$27:BD$116,'ИП + источники'!$F$27:$F$116,$F260,'ИП + источники'!$AC$27:$AC$116,"погашение займов и кредитов из амортизации")</f>
        <v>0</v>
      </c>
      <c r="BD260" s="1022">
        <f t="shared" si="55"/>
        <v>398.40530144963731</v>
      </c>
      <c r="BE260" s="1022">
        <f t="shared" si="56"/>
        <v>127.42843504031298</v>
      </c>
      <c r="BF260" s="1022">
        <f t="shared" si="57"/>
        <v>78.936029770793297</v>
      </c>
      <c r="BG260" s="1022">
        <f t="shared" si="58"/>
        <v>29.604774241764165</v>
      </c>
      <c r="BH260" s="1022">
        <f t="shared" si="59"/>
        <v>22.513959378600273</v>
      </c>
      <c r="BI260" s="1022">
        <f t="shared" si="60"/>
        <v>30.194011737742198</v>
      </c>
      <c r="BJ260" s="1022">
        <f t="shared" si="61"/>
        <v>105.42608708086067</v>
      </c>
      <c r="BK260" s="1022">
        <f t="shared" ca="1" si="62"/>
        <v>-100</v>
      </c>
      <c r="BL260" s="1022">
        <f t="shared" ca="1" si="63"/>
        <v>0</v>
      </c>
      <c r="BM260" s="1022">
        <f t="shared" ca="1" si="64"/>
        <v>0</v>
      </c>
      <c r="BN260" s="1523" t="s">
        <v>2185</v>
      </c>
      <c r="BO260" s="1523"/>
      <c r="BP260" s="1523" t="s">
        <v>2194</v>
      </c>
      <c r="BQ260" s="1184"/>
      <c r="BR260" s="1184"/>
      <c r="BS260" s="973" t="s">
        <v>1786</v>
      </c>
      <c r="BT260" s="973"/>
      <c r="BU260" s="973"/>
      <c r="BV260" s="888"/>
      <c r="BW260" s="888"/>
    </row>
    <row r="261" spans="1:75" s="1535" customFormat="1" ht="20.25" customHeight="1" x14ac:dyDescent="0.25">
      <c r="A261" s="623"/>
      <c r="B261" s="354" t="b" cm="1">
        <f t="array" ref="B261">B260</f>
        <v>1</v>
      </c>
      <c r="C261" s="28"/>
      <c r="D261" s="28"/>
      <c r="E261" s="745">
        <v>21</v>
      </c>
      <c r="F261" s="3" t="str" cm="1">
        <f t="array" aca="1" ref="F261" ca="1">OFFSET(E261,-1,1)</f>
        <v>1</v>
      </c>
      <c r="G261" s="26" t="s">
        <v>1472</v>
      </c>
      <c r="H261" s="26"/>
      <c r="I261" s="26" t="s">
        <v>334</v>
      </c>
      <c r="J261" s="28"/>
      <c r="K261" s="77"/>
      <c r="L261" s="894" t="s">
        <v>591</v>
      </c>
      <c r="M261" s="28"/>
      <c r="N261" s="28"/>
      <c r="O261" s="28"/>
      <c r="P261" s="28"/>
      <c r="Q261" s="28"/>
      <c r="R261" s="28"/>
      <c r="S261" s="28"/>
      <c r="T261" s="388" t="b" cm="1">
        <f t="array" aca="1" ref="T261" ca="1">T260</f>
        <v>1</v>
      </c>
      <c r="U261" s="28"/>
      <c r="V261" s="28"/>
      <c r="W261" s="28"/>
      <c r="X261" s="2066"/>
      <c r="Y261" s="623"/>
      <c r="Z261" s="2012"/>
      <c r="AA261" s="623"/>
      <c r="AB261" s="130" t="s">
        <v>444</v>
      </c>
      <c r="AC261" s="131" t="s">
        <v>1472</v>
      </c>
      <c r="AD261" s="153" t="s">
        <v>831</v>
      </c>
      <c r="AE261" s="132">
        <f ca="1">AE262+AE263+AE264+AE265</f>
        <v>0</v>
      </c>
      <c r="AF261" s="132">
        <f ca="1">AF262+AF263+AF264+AF265</f>
        <v>0</v>
      </c>
      <c r="AG261" s="132">
        <f ca="1">AG262+AG263+AG264+AG265</f>
        <v>0</v>
      </c>
      <c r="AH261" s="132">
        <f t="shared" ca="1" si="53"/>
        <v>0</v>
      </c>
      <c r="AI261" s="132">
        <f t="shared" ref="AI261:BC261" ca="1" si="68">AI262+AI263+AI264+AI265</f>
        <v>0</v>
      </c>
      <c r="AJ261" s="132">
        <f t="shared" ca="1" si="68"/>
        <v>0</v>
      </c>
      <c r="AK261" s="132">
        <f t="shared" ca="1" si="68"/>
        <v>0</v>
      </c>
      <c r="AL261" s="132">
        <f t="shared" ca="1" si="68"/>
        <v>0</v>
      </c>
      <c r="AM261" s="132">
        <f t="shared" ca="1" si="68"/>
        <v>0</v>
      </c>
      <c r="AN261" s="132">
        <f t="shared" ca="1" si="68"/>
        <v>0</v>
      </c>
      <c r="AO261" s="132">
        <f t="shared" ca="1" si="68"/>
        <v>0</v>
      </c>
      <c r="AP261" s="132">
        <f t="shared" ca="1" si="68"/>
        <v>0</v>
      </c>
      <c r="AQ261" s="132">
        <f t="shared" ca="1" si="68"/>
        <v>0</v>
      </c>
      <c r="AR261" s="132">
        <f t="shared" ca="1" si="68"/>
        <v>0</v>
      </c>
      <c r="AS261" s="132">
        <f t="shared" ca="1" si="68"/>
        <v>0</v>
      </c>
      <c r="AT261" s="132">
        <f t="shared" ca="1" si="68"/>
        <v>0</v>
      </c>
      <c r="AU261" s="132">
        <f t="shared" ca="1" si="68"/>
        <v>0</v>
      </c>
      <c r="AV261" s="132">
        <f t="shared" ca="1" si="68"/>
        <v>0</v>
      </c>
      <c r="AW261" s="132">
        <f t="shared" ca="1" si="68"/>
        <v>0</v>
      </c>
      <c r="AX261" s="132">
        <f t="shared" ca="1" si="68"/>
        <v>0</v>
      </c>
      <c r="AY261" s="132">
        <f t="shared" ca="1" si="68"/>
        <v>0</v>
      </c>
      <c r="AZ261" s="132">
        <f t="shared" ca="1" si="68"/>
        <v>0</v>
      </c>
      <c r="BA261" s="132">
        <f t="shared" ca="1" si="68"/>
        <v>0</v>
      </c>
      <c r="BB261" s="132">
        <f t="shared" ca="1" si="68"/>
        <v>0</v>
      </c>
      <c r="BC261" s="132">
        <f t="shared" ca="1" si="68"/>
        <v>0</v>
      </c>
      <c r="BD261" s="698">
        <f t="shared" ca="1" si="55"/>
        <v>0</v>
      </c>
      <c r="BE261" s="698">
        <f t="shared" ca="1" si="56"/>
        <v>0</v>
      </c>
      <c r="BF261" s="698">
        <f t="shared" ca="1" si="57"/>
        <v>0</v>
      </c>
      <c r="BG261" s="698">
        <f t="shared" ca="1" si="58"/>
        <v>0</v>
      </c>
      <c r="BH261" s="698">
        <f t="shared" ca="1" si="59"/>
        <v>0</v>
      </c>
      <c r="BI261" s="698">
        <f t="shared" ca="1" si="60"/>
        <v>0</v>
      </c>
      <c r="BJ261" s="698">
        <f t="shared" ca="1" si="61"/>
        <v>0</v>
      </c>
      <c r="BK261" s="698">
        <f t="shared" ca="1" si="62"/>
        <v>0</v>
      </c>
      <c r="BL261" s="698">
        <f t="shared" ca="1" si="63"/>
        <v>0</v>
      </c>
      <c r="BM261" s="698">
        <f t="shared" ca="1" si="64"/>
        <v>0</v>
      </c>
      <c r="BN261" s="1523"/>
      <c r="BO261" s="1523"/>
      <c r="BP261" s="1523"/>
      <c r="BQ261" s="623"/>
      <c r="BR261" s="623"/>
      <c r="BS261" s="972" t="s">
        <v>1476</v>
      </c>
      <c r="BT261" s="979"/>
      <c r="BU261" s="979"/>
      <c r="BV261" s="630"/>
      <c r="BW261" s="630"/>
    </row>
    <row r="262" spans="1:75" s="1334" customFormat="1" ht="14.25" customHeight="1" x14ac:dyDescent="0.15">
      <c r="A262" s="1184"/>
      <c r="B262" s="354" t="b" cm="1">
        <f t="array" ref="B262">B261</f>
        <v>1</v>
      </c>
      <c r="C262" s="26"/>
      <c r="D262" s="26"/>
      <c r="E262" s="545">
        <v>15</v>
      </c>
      <c r="F262" s="3" t="str" cm="1">
        <f t="array" aca="1" ref="F262" ca="1">OFFSET(E262,-1,1)</f>
        <v>1</v>
      </c>
      <c r="G262" s="26"/>
      <c r="H262" s="26"/>
      <c r="I262" s="26" t="s">
        <v>579</v>
      </c>
      <c r="J262" s="26"/>
      <c r="K262" s="1184"/>
      <c r="L262" s="889"/>
      <c r="M262" s="26"/>
      <c r="N262" s="26"/>
      <c r="O262" s="26"/>
      <c r="P262" s="26"/>
      <c r="Q262" s="26"/>
      <c r="R262" s="26"/>
      <c r="S262" s="26"/>
      <c r="T262" s="388" t="b" cm="1">
        <f t="array" aca="1" ref="T262" ca="1">T261</f>
        <v>1</v>
      </c>
      <c r="U262" s="26"/>
      <c r="V262" s="26"/>
      <c r="W262" s="26"/>
      <c r="X262" s="2066"/>
      <c r="Y262" s="1184"/>
      <c r="Z262" s="2012"/>
      <c r="AA262" s="1184"/>
      <c r="AB262" s="218" t="s">
        <v>707</v>
      </c>
      <c r="AC262" s="682" t="s">
        <v>2086</v>
      </c>
      <c r="AD262" s="218" t="s">
        <v>831</v>
      </c>
      <c r="AE262" s="1514">
        <f ca="1">SUMIFS('ИП + источники'!AF$27:AF$116,'ИП + источники'!$F$27:$F$116,$F262,'ИП + источники'!$AC$27:$AC$116,"погашение займов и кредитов из нормативной прибыли")</f>
        <v>0</v>
      </c>
      <c r="AF262" s="1514">
        <f ca="1">SUMIFS('ИП + источники'!AG$27:AG$116,'ИП + источники'!$F$27:$F$116,$F262,'ИП + источники'!$AC$27:$AC$116,"погашение займов и кредитов из нормативной прибыли")</f>
        <v>0</v>
      </c>
      <c r="AG262" s="1514">
        <f ca="1">SUMIFS('ИП + источники'!AH$27:AH$116,'ИП + источники'!$F$27:$F$116,$F262,'ИП + источники'!$AC$27:$AC$116,"погашение займов и кредитов из нормативной прибыли")</f>
        <v>0</v>
      </c>
      <c r="AH262" s="1022">
        <f t="shared" ca="1" si="53"/>
        <v>0</v>
      </c>
      <c r="AI262" s="1514">
        <f ca="1">SUMIFS('ИП + источники'!AJ$27:AJ$116,'ИП + источники'!$F$27:$F$116,$F262,'ИП + источники'!$AC$27:$AC$116,"погашение займов и кредитов из нормативной прибыли")</f>
        <v>0</v>
      </c>
      <c r="AJ262" s="1514">
        <f ca="1">SUMIFS('ИП + источники'!AK$27:AK$116,'ИП + источники'!$F$27:$F$116,$F262,'ИП + источники'!$AC$27:$AC$116,"погашение займов и кредитов из нормативной прибыли")</f>
        <v>0</v>
      </c>
      <c r="AK262" s="1148">
        <f ca="1">SUMIFS('ИП + источники'!AL$27:AL$116,'ИП + источники'!$F$27:$F$116,$F262,'ИП + источники'!$AC$27:$AC$116,"погашение займов и кредитов из нормативной прибыли")</f>
        <v>0</v>
      </c>
      <c r="AL262" s="1148">
        <f ca="1">SUMIFS('ИП + источники'!AM$27:AM$116,'ИП + источники'!$F$27:$F$116,$F262,'ИП + источники'!$AC$27:$AC$116,"погашение займов и кредитов из нормативной прибыли")</f>
        <v>0</v>
      </c>
      <c r="AM262" s="1148">
        <f ca="1">SUMIFS('ИП + источники'!AN$27:AN$116,'ИП + источники'!$F$27:$F$116,$F262,'ИП + источники'!$AC$27:$AC$116,"погашение займов и кредитов из нормативной прибыли")</f>
        <v>0</v>
      </c>
      <c r="AN262" s="1148">
        <f ca="1">SUMIFS('ИП + источники'!AO$27:AO$116,'ИП + источники'!$F$27:$F$116,$F262,'ИП + источники'!$AC$27:$AC$116,"погашение займов и кредитов из нормативной прибыли")</f>
        <v>0</v>
      </c>
      <c r="AO262" s="1148">
        <f ca="1">SUMIFS('ИП + источники'!AP$27:AP$116,'ИП + источники'!$F$27:$F$116,$F262,'ИП + источники'!$AC$27:$AC$116,"погашение займов и кредитов из нормативной прибыли")</f>
        <v>0</v>
      </c>
      <c r="AP262" s="1148">
        <f ca="1">SUMIFS('ИП + источники'!AQ$27:AQ$116,'ИП + источники'!$F$27:$F$116,$F262,'ИП + источники'!$AC$27:$AC$116,"погашение займов и кредитов из нормативной прибыли")</f>
        <v>0</v>
      </c>
      <c r="AQ262" s="1514">
        <f ca="1">SUMIFS('ИП + источники'!AR$27:AR$116,'ИП + источники'!$F$27:$F$116,$F262,'ИП + источники'!$AC$27:$AC$116,"погашение займов и кредитов из нормативной прибыли")</f>
        <v>0</v>
      </c>
      <c r="AR262" s="1514">
        <f ca="1">SUMIFS('ИП + источники'!AS$27:AS$116,'ИП + источники'!$F$27:$F$116,$F262,'ИП + источники'!$AC$27:$AC$116,"погашение займов и кредитов из нормативной прибыли")</f>
        <v>0</v>
      </c>
      <c r="AS262" s="1514">
        <f ca="1">SUMIFS('ИП + источники'!AT$27:AT$116,'ИП + источники'!$F$27:$F$116,$F262,'ИП + источники'!$AC$27:$AC$116,"погашение займов и кредитов из нормативной прибыли")</f>
        <v>0</v>
      </c>
      <c r="AT262" s="1514">
        <f ca="1">SUMIFS('ИП + источники'!AU$27:AU$116,'ИП + источники'!$F$27:$F$116,$F262,'ИП + источники'!$AC$27:$AC$116,"погашение займов и кредитов из нормативной прибыли")</f>
        <v>0</v>
      </c>
      <c r="AU262" s="1148">
        <f ca="1">SUMIFS('ИП + источники'!AV$27:AV$116,'ИП + источники'!$F$27:$F$116,$F262,'ИП + источники'!$AC$27:$AC$116,"погашение займов и кредитов из нормативной прибыли")</f>
        <v>0</v>
      </c>
      <c r="AV262" s="1148">
        <f ca="1">SUMIFS('ИП + источники'!AW$27:AW$116,'ИП + источники'!$F$27:$F$116,$F262,'ИП + источники'!$AC$27:$AC$116,"погашение займов и кредитов из нормативной прибыли")</f>
        <v>0</v>
      </c>
      <c r="AW262" s="1148">
        <f ca="1">SUMIFS('ИП + источники'!AX$27:AX$116,'ИП + источники'!$F$27:$F$116,$F262,'ИП + источники'!$AC$27:$AC$116,"погашение займов и кредитов из нормативной прибыли")</f>
        <v>0</v>
      </c>
      <c r="AX262" s="1148">
        <f ca="1">SUMIFS('ИП + источники'!AY$27:AY$116,'ИП + источники'!$F$27:$F$116,$F262,'ИП + источники'!$AC$27:$AC$116,"погашение займов и кредитов из нормативной прибыли")</f>
        <v>0</v>
      </c>
      <c r="AY262" s="1148">
        <f ca="1">SUMIFS('ИП + источники'!AZ$27:AZ$116,'ИП + источники'!$F$27:$F$116,$F262,'ИП + источники'!$AC$27:$AC$116,"погашение займов и кредитов из нормативной прибыли")</f>
        <v>0</v>
      </c>
      <c r="AZ262" s="1148">
        <f ca="1">SUMIFS('ИП + источники'!BA$27:BA$116,'ИП + источники'!$F$27:$F$116,$F262,'ИП + источники'!$AC$27:$AC$116,"погашение займов и кредитов из нормативной прибыли")</f>
        <v>0</v>
      </c>
      <c r="BA262" s="1514">
        <f ca="1">SUMIFS('ИП + источники'!BB$27:BB$116,'ИП + источники'!$F$27:$F$116,$F262,'ИП + источники'!$AC$27:$AC$116,"погашение займов и кредитов из нормативной прибыли")</f>
        <v>0</v>
      </c>
      <c r="BB262" s="1514">
        <f ca="1">SUMIFS('ИП + источники'!BC$27:BC$116,'ИП + источники'!$F$27:$F$116,$F262,'ИП + источники'!$AC$27:$AC$116,"погашение займов и кредитов из нормативной прибыли")</f>
        <v>0</v>
      </c>
      <c r="BC262" s="1514">
        <f ca="1">SUMIFS('ИП + источники'!BD$27:BD$116,'ИП + источники'!$F$27:$F$116,$F262,'ИП + источники'!$AC$27:$AC$116,"погашение займов и кредитов из нормативной прибыли")</f>
        <v>0</v>
      </c>
      <c r="BD262" s="1022">
        <f t="shared" ca="1" si="55"/>
        <v>0</v>
      </c>
      <c r="BE262" s="1022">
        <f t="shared" ca="1" si="56"/>
        <v>0</v>
      </c>
      <c r="BF262" s="1022">
        <f t="shared" ca="1" si="57"/>
        <v>0</v>
      </c>
      <c r="BG262" s="1022">
        <f t="shared" ca="1" si="58"/>
        <v>0</v>
      </c>
      <c r="BH262" s="1022">
        <f t="shared" ca="1" si="59"/>
        <v>0</v>
      </c>
      <c r="BI262" s="1022">
        <f t="shared" ca="1" si="60"/>
        <v>0</v>
      </c>
      <c r="BJ262" s="1022">
        <f t="shared" ca="1" si="61"/>
        <v>0</v>
      </c>
      <c r="BK262" s="1022">
        <f t="shared" ca="1" si="62"/>
        <v>0</v>
      </c>
      <c r="BL262" s="1022">
        <f t="shared" ca="1" si="63"/>
        <v>0</v>
      </c>
      <c r="BM262" s="1022">
        <f t="shared" ca="1" si="64"/>
        <v>0</v>
      </c>
      <c r="BN262" s="1523"/>
      <c r="BO262" s="1525" t="str">
        <f ca="1">IF(IFERROR(INDEX('ИП + источники'!$K$28:$L$116,MATCH($F262&amp;"2komm",'ИП + источники'!$K$28:$K$116,0),2),"")=0,"",IFERROR(INDEX('ИП + источники'!$K$28:$L$116,MATCH($F262&amp;"2komm",'ИП + источники'!$K$28:$K$116,0),2),""))</f>
        <v/>
      </c>
      <c r="BP262" s="1523"/>
      <c r="BQ262" s="1184"/>
      <c r="BR262" s="1184"/>
      <c r="BS262" s="973" t="s">
        <v>2087</v>
      </c>
      <c r="BT262" s="973"/>
      <c r="BU262" s="973"/>
      <c r="BV262" s="888"/>
      <c r="BW262" s="888"/>
    </row>
    <row r="263" spans="1:75" s="1334" customFormat="1" ht="14.25" customHeight="1" x14ac:dyDescent="0.15">
      <c r="A263" s="1184"/>
      <c r="B263" s="354" t="b" cm="1">
        <f t="array" ref="B263">B262</f>
        <v>1</v>
      </c>
      <c r="C263" s="26"/>
      <c r="D263" s="26"/>
      <c r="E263" s="545">
        <v>15</v>
      </c>
      <c r="F263" s="3" t="str" cm="1">
        <f t="array" aca="1" ref="F263" ca="1">OFFSET(E263,-1,1)</f>
        <v>1</v>
      </c>
      <c r="G263" s="26"/>
      <c r="H263" s="26"/>
      <c r="I263" s="26" t="s">
        <v>583</v>
      </c>
      <c r="J263" s="26"/>
      <c r="K263" s="1184"/>
      <c r="L263" s="889"/>
      <c r="M263" s="26"/>
      <c r="N263" s="26"/>
      <c r="O263" s="26"/>
      <c r="P263" s="26"/>
      <c r="Q263" s="26"/>
      <c r="R263" s="26"/>
      <c r="S263" s="26"/>
      <c r="T263" s="388" t="b" cm="1">
        <f t="array" aca="1" ref="T263" ca="1">T262</f>
        <v>1</v>
      </c>
      <c r="U263" s="26"/>
      <c r="V263" s="26"/>
      <c r="W263" s="26"/>
      <c r="X263" s="2066"/>
      <c r="Y263" s="1184"/>
      <c r="Z263" s="2012"/>
      <c r="AA263" s="1184"/>
      <c r="AB263" s="218" t="s">
        <v>710</v>
      </c>
      <c r="AC263" s="682" t="s">
        <v>2088</v>
      </c>
      <c r="AD263" s="218" t="s">
        <v>831</v>
      </c>
      <c r="AE263" s="1514">
        <f ca="1">SUMIFS('ИП + источники'!AF$27:AF$116,'ИП + источники'!$F$27:$F$116,$F263,'ИП + источники'!$AC$27:$AC$116,"уплата процентов по кредитам из нормативной прибыли")</f>
        <v>0</v>
      </c>
      <c r="AF263" s="1514">
        <f ca="1">SUMIFS('ИП + источники'!AG$27:AG$116,'ИП + источники'!$F$27:$F$116,$F263,'ИП + источники'!$AC$27:$AC$116,"уплата процентов по кредитам из нормативной прибыли")</f>
        <v>0</v>
      </c>
      <c r="AG263" s="1514">
        <f ca="1">SUMIFS('ИП + источники'!AH$27:AH$116,'ИП + источники'!$F$27:$F$116,$F263,'ИП + источники'!$AC$27:$AC$116,"уплата процентов по кредитам из нормативной прибыли")</f>
        <v>0</v>
      </c>
      <c r="AH263" s="1022">
        <f t="shared" ca="1" si="53"/>
        <v>0</v>
      </c>
      <c r="AI263" s="1514">
        <f ca="1">SUMIFS('ИП + источники'!AJ$27:AJ$116,'ИП + источники'!$F$27:$F$116,$F263,'ИП + источники'!$AC$27:$AC$116,"уплата процентов по кредитам из нормативной прибыли")</f>
        <v>0</v>
      </c>
      <c r="AJ263" s="1514">
        <f ca="1">SUMIFS('ИП + источники'!AK$27:AK$116,'ИП + источники'!$F$27:$F$116,$F263,'ИП + источники'!$AC$27:$AC$116,"уплата процентов по кредитам из нормативной прибыли")</f>
        <v>0</v>
      </c>
      <c r="AK263" s="1148">
        <f ca="1">SUMIFS('ИП + источники'!AL$27:AL$116,'ИП + источники'!$F$27:$F$116,$F263,'ИП + источники'!$AC$27:$AC$116,"уплата процентов по кредитам из нормативной прибыли")</f>
        <v>0</v>
      </c>
      <c r="AL263" s="1148">
        <f ca="1">SUMIFS('ИП + источники'!AM$27:AM$116,'ИП + источники'!$F$27:$F$116,$F263,'ИП + источники'!$AC$27:$AC$116,"уплата процентов по кредитам из нормативной прибыли")</f>
        <v>0</v>
      </c>
      <c r="AM263" s="1148">
        <f ca="1">SUMIFS('ИП + источники'!AN$27:AN$116,'ИП + источники'!$F$27:$F$116,$F263,'ИП + источники'!$AC$27:$AC$116,"уплата процентов по кредитам из нормативной прибыли")</f>
        <v>0</v>
      </c>
      <c r="AN263" s="1148">
        <f ca="1">SUMIFS('ИП + источники'!AO$27:AO$116,'ИП + источники'!$F$27:$F$116,$F263,'ИП + источники'!$AC$27:$AC$116,"уплата процентов по кредитам из нормативной прибыли")</f>
        <v>0</v>
      </c>
      <c r="AO263" s="1148">
        <f ca="1">SUMIFS('ИП + источники'!AP$27:AP$116,'ИП + источники'!$F$27:$F$116,$F263,'ИП + источники'!$AC$27:$AC$116,"уплата процентов по кредитам из нормативной прибыли")</f>
        <v>0</v>
      </c>
      <c r="AP263" s="1148">
        <f ca="1">SUMIFS('ИП + источники'!AQ$27:AQ$116,'ИП + источники'!$F$27:$F$116,$F263,'ИП + источники'!$AC$27:$AC$116,"уплата процентов по кредитам из нормативной прибыли")</f>
        <v>0</v>
      </c>
      <c r="AQ263" s="1514">
        <f ca="1">SUMIFS('ИП + источники'!AR$27:AR$116,'ИП + источники'!$F$27:$F$116,$F263,'ИП + источники'!$AC$27:$AC$116,"уплата процентов по кредитам из нормативной прибыли")</f>
        <v>0</v>
      </c>
      <c r="AR263" s="1514">
        <f ca="1">SUMIFS('ИП + источники'!AS$27:AS$116,'ИП + источники'!$F$27:$F$116,$F263,'ИП + источники'!$AC$27:$AC$116,"уплата процентов по кредитам из нормативной прибыли")</f>
        <v>0</v>
      </c>
      <c r="AS263" s="1514">
        <f ca="1">SUMIFS('ИП + источники'!AT$27:AT$116,'ИП + источники'!$F$27:$F$116,$F263,'ИП + источники'!$AC$27:$AC$116,"уплата процентов по кредитам из нормативной прибыли")</f>
        <v>0</v>
      </c>
      <c r="AT263" s="1514">
        <f ca="1">SUMIFS('ИП + источники'!AU$27:AU$116,'ИП + источники'!$F$27:$F$116,$F263,'ИП + источники'!$AC$27:$AC$116,"уплата процентов по кредитам из нормативной прибыли")</f>
        <v>0</v>
      </c>
      <c r="AU263" s="1148">
        <f ca="1">SUMIFS('ИП + источники'!AV$27:AV$116,'ИП + источники'!$F$27:$F$116,$F263,'ИП + источники'!$AC$27:$AC$116,"уплата процентов по кредитам из нормативной прибыли")</f>
        <v>0</v>
      </c>
      <c r="AV263" s="1148">
        <f ca="1">SUMIFS('ИП + источники'!AW$27:AW$116,'ИП + источники'!$F$27:$F$116,$F263,'ИП + источники'!$AC$27:$AC$116,"уплата процентов по кредитам из нормативной прибыли")</f>
        <v>0</v>
      </c>
      <c r="AW263" s="1148">
        <f ca="1">SUMIFS('ИП + источники'!AX$27:AX$116,'ИП + источники'!$F$27:$F$116,$F263,'ИП + источники'!$AC$27:$AC$116,"уплата процентов по кредитам из нормативной прибыли")</f>
        <v>0</v>
      </c>
      <c r="AX263" s="1148">
        <f ca="1">SUMIFS('ИП + источники'!AY$27:AY$116,'ИП + источники'!$F$27:$F$116,$F263,'ИП + источники'!$AC$27:$AC$116,"уплата процентов по кредитам из нормативной прибыли")</f>
        <v>0</v>
      </c>
      <c r="AY263" s="1148">
        <f ca="1">SUMIFS('ИП + источники'!AZ$27:AZ$116,'ИП + источники'!$F$27:$F$116,$F263,'ИП + источники'!$AC$27:$AC$116,"уплата процентов по кредитам из нормативной прибыли")</f>
        <v>0</v>
      </c>
      <c r="AZ263" s="1148">
        <f ca="1">SUMIFS('ИП + источники'!BA$27:BA$116,'ИП + источники'!$F$27:$F$116,$F263,'ИП + источники'!$AC$27:$AC$116,"уплата процентов по кредитам из нормативной прибыли")</f>
        <v>0</v>
      </c>
      <c r="BA263" s="1514">
        <f ca="1">SUMIFS('ИП + источники'!BB$27:BB$116,'ИП + источники'!$F$27:$F$116,$F263,'ИП + источники'!$AC$27:$AC$116,"уплата процентов по кредитам из нормативной прибыли")</f>
        <v>0</v>
      </c>
      <c r="BB263" s="1514">
        <f ca="1">SUMIFS('ИП + источники'!BC$27:BC$116,'ИП + источники'!$F$27:$F$116,$F263,'ИП + источники'!$AC$27:$AC$116,"уплата процентов по кредитам из нормативной прибыли")</f>
        <v>0</v>
      </c>
      <c r="BC263" s="1514">
        <f ca="1">SUMIFS('ИП + источники'!BD$27:BD$116,'ИП + источники'!$F$27:$F$116,$F263,'ИП + источники'!$AC$27:$AC$116,"уплата процентов по кредитам из нормативной прибыли")</f>
        <v>0</v>
      </c>
      <c r="BD263" s="1022">
        <f t="shared" ca="1" si="55"/>
        <v>0</v>
      </c>
      <c r="BE263" s="1022">
        <f t="shared" ca="1" si="56"/>
        <v>0</v>
      </c>
      <c r="BF263" s="1022">
        <f t="shared" ca="1" si="57"/>
        <v>0</v>
      </c>
      <c r="BG263" s="1022">
        <f t="shared" ca="1" si="58"/>
        <v>0</v>
      </c>
      <c r="BH263" s="1022">
        <f t="shared" ca="1" si="59"/>
        <v>0</v>
      </c>
      <c r="BI263" s="1022">
        <f t="shared" ca="1" si="60"/>
        <v>0</v>
      </c>
      <c r="BJ263" s="1022">
        <f t="shared" ca="1" si="61"/>
        <v>0</v>
      </c>
      <c r="BK263" s="1022">
        <f t="shared" ca="1" si="62"/>
        <v>0</v>
      </c>
      <c r="BL263" s="1022">
        <f t="shared" ca="1" si="63"/>
        <v>0</v>
      </c>
      <c r="BM263" s="1022">
        <f t="shared" ca="1" si="64"/>
        <v>0</v>
      </c>
      <c r="BN263" s="1523"/>
      <c r="BO263" s="1525" t="str">
        <f ca="1">IF(IFERROR(INDEX('ИП + источники'!$K$28:$L$116,MATCH($F263&amp;"3komm",'ИП + источники'!$K$28:$K$116,0),2),"")=0,"",IFERROR(INDEX('ИП + источники'!$K$28:$L$116,MATCH($F263&amp;"3komm",'ИП + источники'!$K$28:$K$116,0),2),""))</f>
        <v/>
      </c>
      <c r="BP263" s="1523"/>
      <c r="BQ263" s="1184"/>
      <c r="BR263" s="1184"/>
      <c r="BS263" s="973" t="s">
        <v>2089</v>
      </c>
      <c r="BT263" s="973"/>
      <c r="BU263" s="973"/>
      <c r="BV263" s="888"/>
      <c r="BW263" s="888"/>
    </row>
    <row r="264" spans="1:75" s="1334" customFormat="1" ht="14.25" customHeight="1" x14ac:dyDescent="0.15">
      <c r="A264" s="1184"/>
      <c r="B264" s="354" t="b" cm="1">
        <f t="array" ref="B264">B263</f>
        <v>1</v>
      </c>
      <c r="C264" s="26"/>
      <c r="D264" s="26"/>
      <c r="E264" s="545">
        <v>15</v>
      </c>
      <c r="F264" s="3" t="str" cm="1">
        <f t="array" aca="1" ref="F264" ca="1">OFFSET(E264,-1,1)</f>
        <v>1</v>
      </c>
      <c r="G264" s="26"/>
      <c r="H264" s="26"/>
      <c r="I264" s="26" t="s">
        <v>795</v>
      </c>
      <c r="J264" s="26"/>
      <c r="K264" s="1184"/>
      <c r="L264" s="889" t="s">
        <v>598</v>
      </c>
      <c r="M264" s="26"/>
      <c r="N264" s="26"/>
      <c r="O264" s="26"/>
      <c r="P264" s="26"/>
      <c r="Q264" s="26"/>
      <c r="R264" s="26"/>
      <c r="S264" s="26"/>
      <c r="T264" s="388" t="b" cm="1">
        <f t="array" aca="1" ref="T264" ca="1">T263</f>
        <v>1</v>
      </c>
      <c r="U264" s="26"/>
      <c r="V264" s="26"/>
      <c r="W264" s="26"/>
      <c r="X264" s="2066"/>
      <c r="Y264" s="1184"/>
      <c r="Z264" s="2012"/>
      <c r="AA264" s="1184"/>
      <c r="AB264" s="218" t="s">
        <v>965</v>
      </c>
      <c r="AC264" s="682" t="s">
        <v>2090</v>
      </c>
      <c r="AD264" s="218" t="s">
        <v>831</v>
      </c>
      <c r="AE264" s="1514">
        <f ca="1">SUMIFS('ИП + источники'!AF$27:AF$116,'ИП + источники'!$F$27:$F$116,$F264,'ИП + источники'!$AC$27:$AC$116,"Прибыль на капвложения")</f>
        <v>0</v>
      </c>
      <c r="AF264" s="1514">
        <f ca="1">SUMIFS('ИП + источники'!AG$27:AG$116,'ИП + источники'!$F$27:$F$116,$F264,'ИП + источники'!$AC$27:$AC$116,"Прибыль на капвложения")</f>
        <v>0</v>
      </c>
      <c r="AG264" s="1514">
        <f ca="1">SUMIFS('ИП + источники'!AH$27:AH$116,'ИП + источники'!$F$27:$F$116,$F264,'ИП + источники'!$AC$27:$AC$116,"Прибыль на капвложения")</f>
        <v>0</v>
      </c>
      <c r="AH264" s="1022">
        <f t="shared" ca="1" si="53"/>
        <v>0</v>
      </c>
      <c r="AI264" s="1514">
        <f ca="1">SUMIFS('ИП + источники'!AJ$27:AJ$116,'ИП + источники'!$F$27:$F$116,$F264,'ИП + источники'!$AC$27:$AC$116,"Прибыль на капвложения")</f>
        <v>0</v>
      </c>
      <c r="AJ264" s="1514">
        <f ca="1">SUMIFS('ИП + источники'!AK$27:AK$116,'ИП + источники'!$F$27:$F$116,$F264,'ИП + источники'!$AC$27:$AC$116,"Прибыль на капвложения")</f>
        <v>0</v>
      </c>
      <c r="AK264" s="1148">
        <f ca="1">SUMIFS('ИП + источники'!AL$27:AL$116,'ИП + источники'!$F$27:$F$116,$F264,'ИП + источники'!$AC$27:$AC$116,"Прибыль на капвложения")</f>
        <v>0</v>
      </c>
      <c r="AL264" s="1148">
        <f ca="1">SUMIFS('ИП + источники'!AM$27:AM$116,'ИП + источники'!$F$27:$F$116,$F264,'ИП + источники'!$AC$27:$AC$116,"Прибыль на капвложения")</f>
        <v>0</v>
      </c>
      <c r="AM264" s="1148">
        <f ca="1">SUMIFS('ИП + источники'!AN$27:AN$116,'ИП + источники'!$F$27:$F$116,$F264,'ИП + источники'!$AC$27:$AC$116,"Прибыль на капвложения")</f>
        <v>0</v>
      </c>
      <c r="AN264" s="1148">
        <f ca="1">SUMIFS('ИП + источники'!AO$27:AO$116,'ИП + источники'!$F$27:$F$116,$F264,'ИП + источники'!$AC$27:$AC$116,"Прибыль на капвложения")</f>
        <v>0</v>
      </c>
      <c r="AO264" s="1148">
        <f ca="1">SUMIFS('ИП + источники'!AP$27:AP$116,'ИП + источники'!$F$27:$F$116,$F264,'ИП + источники'!$AC$27:$AC$116,"Прибыль на капвложения")</f>
        <v>0</v>
      </c>
      <c r="AP264" s="1148">
        <f ca="1">SUMIFS('ИП + источники'!AQ$27:AQ$116,'ИП + источники'!$F$27:$F$116,$F264,'ИП + источники'!$AC$27:$AC$116,"Прибыль на капвложения")</f>
        <v>0</v>
      </c>
      <c r="AQ264" s="1514">
        <f ca="1">SUMIFS('ИП + источники'!AR$27:AR$116,'ИП + источники'!$F$27:$F$116,$F264,'ИП + источники'!$AC$27:$AC$116,"Прибыль на капвложения")</f>
        <v>0</v>
      </c>
      <c r="AR264" s="1514">
        <f ca="1">SUMIFS('ИП + источники'!AS$27:AS$116,'ИП + источники'!$F$27:$F$116,$F264,'ИП + источники'!$AC$27:$AC$116,"Прибыль на капвложения")</f>
        <v>0</v>
      </c>
      <c r="AS264" s="1514">
        <f ca="1">SUMIFS('ИП + источники'!AT$27:AT$116,'ИП + источники'!$F$27:$F$116,$F264,'ИП + источники'!$AC$27:$AC$116,"Прибыль на капвложения")</f>
        <v>0</v>
      </c>
      <c r="AT264" s="1514">
        <f ca="1">SUMIFS('ИП + источники'!AU$27:AU$116,'ИП + источники'!$F$27:$F$116,$F264,'ИП + источники'!$AC$27:$AC$116,"Прибыль на капвложения")</f>
        <v>0</v>
      </c>
      <c r="AU264" s="1148">
        <f ca="1">SUMIFS('ИП + источники'!AV$27:AV$116,'ИП + источники'!$F$27:$F$116,$F264,'ИП + источники'!$AC$27:$AC$116,"Прибыль на капвложения")</f>
        <v>0</v>
      </c>
      <c r="AV264" s="1148">
        <f ca="1">SUMIFS('ИП + источники'!AW$27:AW$116,'ИП + источники'!$F$27:$F$116,$F264,'ИП + источники'!$AC$27:$AC$116,"Прибыль на капвложения")</f>
        <v>0</v>
      </c>
      <c r="AW264" s="1148">
        <f ca="1">SUMIFS('ИП + источники'!AX$27:AX$116,'ИП + источники'!$F$27:$F$116,$F264,'ИП + источники'!$AC$27:$AC$116,"Прибыль на капвложения")</f>
        <v>0</v>
      </c>
      <c r="AX264" s="1148">
        <f ca="1">SUMIFS('ИП + источники'!AY$27:AY$116,'ИП + источники'!$F$27:$F$116,$F264,'ИП + источники'!$AC$27:$AC$116,"Прибыль на капвложения")</f>
        <v>0</v>
      </c>
      <c r="AY264" s="1148">
        <f ca="1">SUMIFS('ИП + источники'!AZ$27:AZ$116,'ИП + источники'!$F$27:$F$116,$F264,'ИП + источники'!$AC$27:$AC$116,"Прибыль на капвложения")</f>
        <v>0</v>
      </c>
      <c r="AZ264" s="1148">
        <f ca="1">SUMIFS('ИП + источники'!BA$27:BA$116,'ИП + источники'!$F$27:$F$116,$F264,'ИП + источники'!$AC$27:$AC$116,"Прибыль на капвложения")</f>
        <v>0</v>
      </c>
      <c r="BA264" s="1514">
        <f ca="1">SUMIFS('ИП + источники'!BB$27:BB$116,'ИП + источники'!$F$27:$F$116,$F264,'ИП + источники'!$AC$27:$AC$116,"Прибыль на капвложения")</f>
        <v>0</v>
      </c>
      <c r="BB264" s="1514">
        <f ca="1">SUMIFS('ИП + источники'!BC$27:BC$116,'ИП + источники'!$F$27:$F$116,$F264,'ИП + источники'!$AC$27:$AC$116,"Прибыль на капвложения")</f>
        <v>0</v>
      </c>
      <c r="BC264" s="1514">
        <f ca="1">SUMIFS('ИП + источники'!BD$27:BD$116,'ИП + источники'!$F$27:$F$116,$F264,'ИП + источники'!$AC$27:$AC$116,"Прибыль на капвложения")</f>
        <v>0</v>
      </c>
      <c r="BD264" s="1022">
        <f t="shared" ca="1" si="55"/>
        <v>0</v>
      </c>
      <c r="BE264" s="1022">
        <f t="shared" ca="1" si="56"/>
        <v>0</v>
      </c>
      <c r="BF264" s="1022">
        <f t="shared" ca="1" si="57"/>
        <v>0</v>
      </c>
      <c r="BG264" s="1022">
        <f t="shared" ca="1" si="58"/>
        <v>0</v>
      </c>
      <c r="BH264" s="1022">
        <f t="shared" ca="1" si="59"/>
        <v>0</v>
      </c>
      <c r="BI264" s="1022">
        <f t="shared" ca="1" si="60"/>
        <v>0</v>
      </c>
      <c r="BJ264" s="1022">
        <f t="shared" ca="1" si="61"/>
        <v>0</v>
      </c>
      <c r="BK264" s="1022">
        <f t="shared" ca="1" si="62"/>
        <v>0</v>
      </c>
      <c r="BL264" s="1022">
        <f t="shared" ca="1" si="63"/>
        <v>0</v>
      </c>
      <c r="BM264" s="1022">
        <f t="shared" ca="1" si="64"/>
        <v>0</v>
      </c>
      <c r="BN264" s="1523"/>
      <c r="BO264" s="1525" t="str">
        <f ca="1">IF(IFERROR(INDEX('ИП + источники'!$K$28:$L$116,MATCH($F264&amp;"1komm",'ИП + источники'!$K$28:$K$116,0),2),"")=0,"",IFERROR(INDEX('ИП + источники'!$K$28:$L$116,MATCH($F264&amp;"1komm",'ИП + источники'!$K$28:$K$116,0),2),""))</f>
        <v/>
      </c>
      <c r="BP264" s="1523"/>
      <c r="BQ264" s="1184"/>
      <c r="BR264" s="1184"/>
      <c r="BS264" s="973" t="s">
        <v>1793</v>
      </c>
      <c r="BT264" s="973"/>
      <c r="BU264" s="973"/>
      <c r="BV264" s="888"/>
      <c r="BW264" s="888"/>
    </row>
    <row r="265" spans="1:75" s="1334" customFormat="1" ht="21.75" customHeight="1" x14ac:dyDescent="0.15">
      <c r="A265" s="1184"/>
      <c r="B265" s="354" t="b" cm="1">
        <f t="array" ref="B265">B264</f>
        <v>1</v>
      </c>
      <c r="C265" s="26"/>
      <c r="D265" s="26"/>
      <c r="E265" s="545">
        <v>22.5</v>
      </c>
      <c r="F265" s="3" t="str" cm="1">
        <f t="array" aca="1" ref="F265" ca="1">OFFSET(E265,-1,1)</f>
        <v>1</v>
      </c>
      <c r="G265" s="26" t="s">
        <v>2091</v>
      </c>
      <c r="H265" s="26"/>
      <c r="I265" s="26" t="s">
        <v>967</v>
      </c>
      <c r="J265" s="26"/>
      <c r="K265" s="1184"/>
      <c r="L265" s="889" t="s">
        <v>602</v>
      </c>
      <c r="M265" s="26"/>
      <c r="N265" s="26"/>
      <c r="O265" s="26"/>
      <c r="P265" s="26"/>
      <c r="Q265" s="26"/>
      <c r="R265" s="26"/>
      <c r="S265" s="26"/>
      <c r="T265" s="388" t="b" cm="1">
        <f t="array" aca="1" ref="T265" ca="1">T264</f>
        <v>1</v>
      </c>
      <c r="U265" s="26"/>
      <c r="V265" s="26"/>
      <c r="W265" s="26"/>
      <c r="X265" s="2066"/>
      <c r="Y265" s="1184"/>
      <c r="Z265" s="2012"/>
      <c r="AA265" s="1184"/>
      <c r="AB265" s="218" t="s">
        <v>968</v>
      </c>
      <c r="AC265" s="682" t="s">
        <v>2092</v>
      </c>
      <c r="AD265" s="218" t="s">
        <v>831</v>
      </c>
      <c r="AE265" s="1514"/>
      <c r="AF265" s="1514"/>
      <c r="AG265" s="1514"/>
      <c r="AH265" s="1022">
        <f t="shared" si="53"/>
        <v>0</v>
      </c>
      <c r="AI265" s="1514"/>
      <c r="AJ265" s="1514"/>
      <c r="AK265" s="1148"/>
      <c r="AL265" s="1148"/>
      <c r="AM265" s="1148"/>
      <c r="AN265" s="1148"/>
      <c r="AO265" s="1148"/>
      <c r="AP265" s="1148"/>
      <c r="AQ265" s="1514"/>
      <c r="AR265" s="1514"/>
      <c r="AS265" s="1514"/>
      <c r="AT265" s="1514"/>
      <c r="AU265" s="1148"/>
      <c r="AV265" s="1148"/>
      <c r="AW265" s="1148"/>
      <c r="AX265" s="1148"/>
      <c r="AY265" s="1148"/>
      <c r="AZ265" s="1148"/>
      <c r="BA265" s="1514"/>
      <c r="BB265" s="1514"/>
      <c r="BC265" s="1514"/>
      <c r="BD265" s="1022">
        <f t="shared" si="55"/>
        <v>0</v>
      </c>
      <c r="BE265" s="1022">
        <f t="shared" si="56"/>
        <v>0</v>
      </c>
      <c r="BF265" s="1022">
        <f t="shared" si="57"/>
        <v>0</v>
      </c>
      <c r="BG265" s="1022">
        <f t="shared" si="58"/>
        <v>0</v>
      </c>
      <c r="BH265" s="1022">
        <f t="shared" si="59"/>
        <v>0</v>
      </c>
      <c r="BI265" s="1022">
        <f t="shared" si="60"/>
        <v>0</v>
      </c>
      <c r="BJ265" s="1022">
        <f t="shared" si="61"/>
        <v>0</v>
      </c>
      <c r="BK265" s="1022">
        <f t="shared" si="62"/>
        <v>0</v>
      </c>
      <c r="BL265" s="1022">
        <f t="shared" si="63"/>
        <v>0</v>
      </c>
      <c r="BM265" s="1022">
        <f t="shared" si="64"/>
        <v>0</v>
      </c>
      <c r="BN265" s="1523"/>
      <c r="BO265" s="1523"/>
      <c r="BP265" s="1523"/>
      <c r="BQ265" s="1184"/>
      <c r="BR265" s="1184"/>
      <c r="BS265" s="973" t="s">
        <v>2093</v>
      </c>
      <c r="BT265" s="973"/>
      <c r="BU265" s="973"/>
      <c r="BV265" s="888"/>
      <c r="BW265" s="888"/>
    </row>
    <row r="266" spans="1:75" s="1334" customFormat="1" ht="14.25" customHeight="1" x14ac:dyDescent="0.15">
      <c r="A266" s="1184"/>
      <c r="B266" s="354" t="b">
        <f>AND(method_reg="Метод индексации",STATUS_GO="да")</f>
        <v>1</v>
      </c>
      <c r="C266" s="26"/>
      <c r="D266" s="26"/>
      <c r="E266" s="545">
        <v>15</v>
      </c>
      <c r="F266" s="3" t="str" cm="1">
        <f t="array" aca="1" ref="F266" ca="1">OFFSET(E266,-1,1)</f>
        <v>1</v>
      </c>
      <c r="G266" s="26" t="s">
        <v>1796</v>
      </c>
      <c r="H266" s="26"/>
      <c r="I266" s="26" t="s">
        <v>544</v>
      </c>
      <c r="J266" s="26"/>
      <c r="K266" s="1184"/>
      <c r="L266" s="889" t="s">
        <v>606</v>
      </c>
      <c r="M266" s="26"/>
      <c r="N266" s="26"/>
      <c r="O266" s="26"/>
      <c r="P266" s="26"/>
      <c r="Q266" s="26"/>
      <c r="R266" s="26"/>
      <c r="S266" s="26"/>
      <c r="T266" s="388" t="b" cm="1">
        <f t="array" aca="1" ref="T266" ca="1">T265</f>
        <v>1</v>
      </c>
      <c r="U266" s="26"/>
      <c r="V266" s="26"/>
      <c r="W266" s="26"/>
      <c r="X266" s="2066"/>
      <c r="Y266" s="1184"/>
      <c r="Z266" s="2012"/>
      <c r="AA266" s="1184"/>
      <c r="AB266" s="218" t="s">
        <v>446</v>
      </c>
      <c r="AC266" s="374" t="s">
        <v>1796</v>
      </c>
      <c r="AD266" s="218" t="s">
        <v>831</v>
      </c>
      <c r="AE266" s="1514"/>
      <c r="AF266" s="1514"/>
      <c r="AG266" s="1514"/>
      <c r="AH266" s="1022">
        <f t="shared" si="53"/>
        <v>0</v>
      </c>
      <c r="AI266" s="1514"/>
      <c r="AJ266" s="1514"/>
      <c r="AK266" s="1148"/>
      <c r="AL266" s="1148"/>
      <c r="AM266" s="1148"/>
      <c r="AN266" s="1148"/>
      <c r="AO266" s="1148"/>
      <c r="AP266" s="1148"/>
      <c r="AQ266" s="1514"/>
      <c r="AR266" s="1514"/>
      <c r="AS266" s="1514"/>
      <c r="AT266" s="1514"/>
      <c r="AU266" s="1148"/>
      <c r="AV266" s="1148"/>
      <c r="AW266" s="1148"/>
      <c r="AX266" s="1148"/>
      <c r="AY266" s="1148"/>
      <c r="AZ266" s="1148"/>
      <c r="BA266" s="1514"/>
      <c r="BB266" s="1514"/>
      <c r="BC266" s="1514"/>
      <c r="BD266" s="1022">
        <f t="shared" si="55"/>
        <v>0</v>
      </c>
      <c r="BE266" s="1022">
        <f t="shared" si="56"/>
        <v>0</v>
      </c>
      <c r="BF266" s="1022">
        <f t="shared" si="57"/>
        <v>0</v>
      </c>
      <c r="BG266" s="1022">
        <f t="shared" si="58"/>
        <v>0</v>
      </c>
      <c r="BH266" s="1022">
        <f t="shared" si="59"/>
        <v>0</v>
      </c>
      <c r="BI266" s="1022">
        <f t="shared" si="60"/>
        <v>0</v>
      </c>
      <c r="BJ266" s="1022">
        <f t="shared" si="61"/>
        <v>0</v>
      </c>
      <c r="BK266" s="1022">
        <f t="shared" si="62"/>
        <v>0</v>
      </c>
      <c r="BL266" s="1022">
        <f t="shared" si="63"/>
        <v>0</v>
      </c>
      <c r="BM266" s="1022">
        <f t="shared" si="64"/>
        <v>0</v>
      </c>
      <c r="BN266" s="1523"/>
      <c r="BO266" s="1523"/>
      <c r="BP266" s="1523"/>
      <c r="BQ266" s="1184"/>
      <c r="BR266" s="1184"/>
      <c r="BS266" s="973" t="s">
        <v>1797</v>
      </c>
      <c r="BT266" s="973"/>
      <c r="BU266" s="973"/>
      <c r="BV266" s="888"/>
      <c r="BW266" s="888"/>
    </row>
    <row r="267" spans="1:75" s="1334" customFormat="1" ht="14.25" hidden="1" customHeight="1" x14ac:dyDescent="0.15">
      <c r="A267" s="1184"/>
      <c r="B267" s="779" t="b">
        <f>method_reg="Метод обеспечения доходности инвестированного капитала"</f>
        <v>0</v>
      </c>
      <c r="C267" s="26"/>
      <c r="D267" s="26"/>
      <c r="E267" s="545">
        <v>15</v>
      </c>
      <c r="F267" s="3" t="str" cm="1">
        <f t="array" aca="1" ref="F267" ca="1">OFFSET(E267,-1,1)</f>
        <v>1</v>
      </c>
      <c r="G267" s="26"/>
      <c r="H267" s="26"/>
      <c r="I267" s="26"/>
      <c r="J267" s="26"/>
      <c r="K267" s="26" t="s">
        <v>335</v>
      </c>
      <c r="L267" s="889"/>
      <c r="M267" s="26"/>
      <c r="N267" s="26"/>
      <c r="O267" s="26"/>
      <c r="P267" s="26"/>
      <c r="Q267" s="26"/>
      <c r="R267" s="26"/>
      <c r="S267" s="26"/>
      <c r="T267" s="779" t="b" cm="1">
        <f t="array" aca="1" ref="T267" ca="1">T266</f>
        <v>1</v>
      </c>
      <c r="U267" s="26"/>
      <c r="V267" s="26"/>
      <c r="W267" s="26"/>
      <c r="X267" s="2066"/>
      <c r="Y267" s="1184"/>
      <c r="Z267" s="2012"/>
      <c r="AA267" s="1184"/>
      <c r="AB267" s="714" t="s">
        <v>441</v>
      </c>
      <c r="AC267" s="713" t="s">
        <v>2094</v>
      </c>
      <c r="AD267" s="714" t="s">
        <v>831</v>
      </c>
      <c r="AE267" s="1153"/>
      <c r="AF267" s="1153"/>
      <c r="AG267" s="1153"/>
      <c r="AH267" s="681">
        <f t="shared" si="53"/>
        <v>0</v>
      </c>
      <c r="AI267" s="1153"/>
      <c r="AJ267" s="1516"/>
      <c r="AK267" s="1153"/>
      <c r="AL267" s="1153"/>
      <c r="AM267" s="1153"/>
      <c r="AN267" s="1153"/>
      <c r="AO267" s="1153"/>
      <c r="AP267" s="1153"/>
      <c r="AQ267" s="1153"/>
      <c r="AR267" s="1153"/>
      <c r="AS267" s="1153"/>
      <c r="AT267" s="1516"/>
      <c r="AU267" s="1153"/>
      <c r="AV267" s="1153"/>
      <c r="AW267" s="1153"/>
      <c r="AX267" s="1153"/>
      <c r="AY267" s="1153"/>
      <c r="AZ267" s="1153"/>
      <c r="BA267" s="1153"/>
      <c r="BB267" s="1153"/>
      <c r="BC267" s="1153"/>
      <c r="BD267" s="681">
        <f t="shared" si="55"/>
        <v>0</v>
      </c>
      <c r="BE267" s="681">
        <f t="shared" si="56"/>
        <v>0</v>
      </c>
      <c r="BF267" s="681">
        <f t="shared" si="57"/>
        <v>0</v>
      </c>
      <c r="BG267" s="681">
        <f t="shared" si="58"/>
        <v>0</v>
      </c>
      <c r="BH267" s="681">
        <f t="shared" si="59"/>
        <v>0</v>
      </c>
      <c r="BI267" s="681">
        <f t="shared" si="60"/>
        <v>0</v>
      </c>
      <c r="BJ267" s="681">
        <f t="shared" si="61"/>
        <v>0</v>
      </c>
      <c r="BK267" s="681">
        <f t="shared" si="62"/>
        <v>0</v>
      </c>
      <c r="BL267" s="681">
        <f t="shared" si="63"/>
        <v>0</v>
      </c>
      <c r="BM267" s="681">
        <f t="shared" si="64"/>
        <v>0</v>
      </c>
      <c r="BN267" s="1154"/>
      <c r="BO267" s="1154"/>
      <c r="BP267" s="1154"/>
      <c r="BQ267" s="1184"/>
      <c r="BR267" s="1184"/>
      <c r="BS267" s="973" t="s">
        <v>2095</v>
      </c>
      <c r="BT267" s="973"/>
      <c r="BU267" s="973"/>
      <c r="BV267" s="888"/>
      <c r="BW267" s="888"/>
    </row>
    <row r="268" spans="1:75" s="1334" customFormat="1" ht="14.25" hidden="1" customHeight="1" x14ac:dyDescent="0.15">
      <c r="A268" s="1184"/>
      <c r="B268" s="779" t="b" cm="1">
        <f t="array" ref="B268">B267</f>
        <v>0</v>
      </c>
      <c r="C268" s="26"/>
      <c r="D268" s="26"/>
      <c r="E268" s="545">
        <v>15</v>
      </c>
      <c r="F268" s="3" t="str" cm="1">
        <f t="array" aca="1" ref="F268" ca="1">OFFSET(E268,-1,1)</f>
        <v>1</v>
      </c>
      <c r="G268" s="26"/>
      <c r="H268" s="26"/>
      <c r="I268" s="26"/>
      <c r="J268" s="26"/>
      <c r="K268" s="26" t="s">
        <v>565</v>
      </c>
      <c r="L268" s="889"/>
      <c r="M268" s="26"/>
      <c r="N268" s="26"/>
      <c r="O268" s="26"/>
      <c r="P268" s="26"/>
      <c r="Q268" s="26"/>
      <c r="R268" s="26"/>
      <c r="S268" s="26"/>
      <c r="T268" s="779" t="b" cm="1">
        <f t="array" aca="1" ref="T268" ca="1">T267</f>
        <v>1</v>
      </c>
      <c r="U268" s="26"/>
      <c r="V268" s="26"/>
      <c r="W268" s="26"/>
      <c r="X268" s="2066"/>
      <c r="Y268" s="1184"/>
      <c r="Z268" s="2012"/>
      <c r="AA268" s="1184"/>
      <c r="AB268" s="717" t="s">
        <v>700</v>
      </c>
      <c r="AC268" s="716" t="s">
        <v>2096</v>
      </c>
      <c r="AD268" s="717" t="s">
        <v>831</v>
      </c>
      <c r="AE268" s="1155"/>
      <c r="AF268" s="1155"/>
      <c r="AG268" s="1155"/>
      <c r="AH268" s="683"/>
      <c r="AI268" s="1155"/>
      <c r="AJ268" s="1517"/>
      <c r="AK268" s="1155"/>
      <c r="AL268" s="1155"/>
      <c r="AM268" s="1155"/>
      <c r="AN268" s="1155"/>
      <c r="AO268" s="1155"/>
      <c r="AP268" s="1155"/>
      <c r="AQ268" s="1155"/>
      <c r="AR268" s="1155"/>
      <c r="AS268" s="1155"/>
      <c r="AT268" s="1517"/>
      <c r="AU268" s="1155"/>
      <c r="AV268" s="1155"/>
      <c r="AW268" s="1155"/>
      <c r="AX268" s="1155"/>
      <c r="AY268" s="1155"/>
      <c r="AZ268" s="1155"/>
      <c r="BA268" s="1155"/>
      <c r="BB268" s="1155"/>
      <c r="BC268" s="1155"/>
      <c r="BD268" s="683"/>
      <c r="BE268" s="683"/>
      <c r="BF268" s="683"/>
      <c r="BG268" s="683"/>
      <c r="BH268" s="683"/>
      <c r="BI268" s="683"/>
      <c r="BJ268" s="683"/>
      <c r="BK268" s="683"/>
      <c r="BL268" s="683"/>
      <c r="BM268" s="683"/>
      <c r="BN268" s="1156"/>
      <c r="BO268" s="1156"/>
      <c r="BP268" s="1156"/>
      <c r="BQ268" s="1184"/>
      <c r="BR268" s="1184"/>
      <c r="BS268" s="973" t="s">
        <v>2097</v>
      </c>
      <c r="BT268" s="973"/>
      <c r="BU268" s="973"/>
      <c r="BV268" s="888"/>
      <c r="BW268" s="888"/>
    </row>
    <row r="269" spans="1:75" s="1334" customFormat="1" ht="14.25" hidden="1" customHeight="1" x14ac:dyDescent="0.15">
      <c r="A269" s="1184"/>
      <c r="B269" s="779" t="b" cm="1">
        <f t="array" ref="B269">B268</f>
        <v>0</v>
      </c>
      <c r="C269" s="26"/>
      <c r="D269" s="26"/>
      <c r="E269" s="545">
        <v>15</v>
      </c>
      <c r="F269" s="3" t="str" cm="1">
        <f t="array" aca="1" ref="F269" ca="1">OFFSET(E269,-1,1)</f>
        <v>1</v>
      </c>
      <c r="G269" s="26"/>
      <c r="H269" s="26"/>
      <c r="I269" s="26"/>
      <c r="J269" s="26"/>
      <c r="K269" s="26" t="s">
        <v>569</v>
      </c>
      <c r="L269" s="889"/>
      <c r="M269" s="26"/>
      <c r="N269" s="26"/>
      <c r="O269" s="26"/>
      <c r="P269" s="26"/>
      <c r="Q269" s="26"/>
      <c r="R269" s="26"/>
      <c r="S269" s="26"/>
      <c r="T269" s="779" t="b" cm="1">
        <f t="array" aca="1" ref="T269" ca="1">T268</f>
        <v>1</v>
      </c>
      <c r="U269" s="26"/>
      <c r="V269" s="26"/>
      <c r="W269" s="26"/>
      <c r="X269" s="2066"/>
      <c r="Y269" s="1184"/>
      <c r="Z269" s="2012"/>
      <c r="AA269" s="1184"/>
      <c r="AB269" s="717" t="s">
        <v>703</v>
      </c>
      <c r="AC269" s="716" t="s">
        <v>2098</v>
      </c>
      <c r="AD269" s="717" t="s">
        <v>2099</v>
      </c>
      <c r="AE269" s="1155"/>
      <c r="AF269" s="1155"/>
      <c r="AG269" s="1155"/>
      <c r="AH269" s="683"/>
      <c r="AI269" s="1155"/>
      <c r="AJ269" s="1517"/>
      <c r="AK269" s="1155"/>
      <c r="AL269" s="1155"/>
      <c r="AM269" s="1155"/>
      <c r="AN269" s="1155"/>
      <c r="AO269" s="1155"/>
      <c r="AP269" s="1155"/>
      <c r="AQ269" s="1155"/>
      <c r="AR269" s="1155"/>
      <c r="AS269" s="1155"/>
      <c r="AT269" s="1517"/>
      <c r="AU269" s="1155"/>
      <c r="AV269" s="1155"/>
      <c r="AW269" s="1155"/>
      <c r="AX269" s="1155"/>
      <c r="AY269" s="1155"/>
      <c r="AZ269" s="1155"/>
      <c r="BA269" s="1155"/>
      <c r="BB269" s="1155"/>
      <c r="BC269" s="1155"/>
      <c r="BD269" s="683"/>
      <c r="BE269" s="683"/>
      <c r="BF269" s="683"/>
      <c r="BG269" s="683"/>
      <c r="BH269" s="683"/>
      <c r="BI269" s="683"/>
      <c r="BJ269" s="683"/>
      <c r="BK269" s="683"/>
      <c r="BL269" s="683"/>
      <c r="BM269" s="683"/>
      <c r="BN269" s="1156"/>
      <c r="BO269" s="1156"/>
      <c r="BP269" s="1156"/>
      <c r="BQ269" s="1184"/>
      <c r="BR269" s="1184"/>
      <c r="BS269" s="973" t="s">
        <v>2100</v>
      </c>
      <c r="BT269" s="973"/>
      <c r="BU269" s="973"/>
      <c r="BV269" s="888"/>
      <c r="BW269" s="888"/>
    </row>
    <row r="270" spans="1:75" s="1334" customFormat="1" ht="14.25" hidden="1" customHeight="1" x14ac:dyDescent="0.15">
      <c r="A270" s="1184"/>
      <c r="B270" s="779" t="b" cm="1">
        <f t="array" ref="B270">B269</f>
        <v>0</v>
      </c>
      <c r="C270" s="26"/>
      <c r="D270" s="26"/>
      <c r="E270" s="545">
        <v>15</v>
      </c>
      <c r="F270" s="3" t="str" cm="1">
        <f t="array" aca="1" ref="F270" ca="1">OFFSET(E270,-1,1)</f>
        <v>1</v>
      </c>
      <c r="G270" s="26"/>
      <c r="H270" s="26"/>
      <c r="I270" s="26"/>
      <c r="J270" s="26"/>
      <c r="K270" s="26" t="s">
        <v>334</v>
      </c>
      <c r="L270" s="889"/>
      <c r="M270" s="26"/>
      <c r="N270" s="26"/>
      <c r="O270" s="26"/>
      <c r="P270" s="26"/>
      <c r="Q270" s="26"/>
      <c r="R270" s="26"/>
      <c r="S270" s="26"/>
      <c r="T270" s="779" t="b" cm="1">
        <f t="array" aca="1" ref="T270" ca="1">T269</f>
        <v>1</v>
      </c>
      <c r="U270" s="26"/>
      <c r="V270" s="26"/>
      <c r="W270" s="26"/>
      <c r="X270" s="2066"/>
      <c r="Y270" s="1184"/>
      <c r="Z270" s="2012"/>
      <c r="AA270" s="1184"/>
      <c r="AB270" s="714" t="s">
        <v>444</v>
      </c>
      <c r="AC270" s="713" t="s">
        <v>2101</v>
      </c>
      <c r="AD270" s="714" t="s">
        <v>831</v>
      </c>
      <c r="AE270" s="1153"/>
      <c r="AF270" s="1153"/>
      <c r="AG270" s="1153"/>
      <c r="AH270" s="681">
        <f>AG270-AF270</f>
        <v>0</v>
      </c>
      <c r="AI270" s="1153"/>
      <c r="AJ270" s="1516"/>
      <c r="AK270" s="1153"/>
      <c r="AL270" s="1153"/>
      <c r="AM270" s="1153"/>
      <c r="AN270" s="1153"/>
      <c r="AO270" s="1153"/>
      <c r="AP270" s="1153"/>
      <c r="AQ270" s="1153"/>
      <c r="AR270" s="1153"/>
      <c r="AS270" s="1153"/>
      <c r="AT270" s="1516"/>
      <c r="AU270" s="1153"/>
      <c r="AV270" s="1153"/>
      <c r="AW270" s="1153"/>
      <c r="AX270" s="1153"/>
      <c r="AY270" s="1153"/>
      <c r="AZ270" s="1153"/>
      <c r="BA270" s="1153"/>
      <c r="BB270" s="1153"/>
      <c r="BC270" s="1153"/>
      <c r="BD270" s="681">
        <f>IF(AI270=0,0,(AT270-AI270)/AI270*100)</f>
        <v>0</v>
      </c>
      <c r="BE270" s="681">
        <f t="shared" ref="BE270:BM270" si="69">IF(AT270=0,0,(AU270-AT270)/AT270*100)</f>
        <v>0</v>
      </c>
      <c r="BF270" s="681">
        <f t="shared" si="69"/>
        <v>0</v>
      </c>
      <c r="BG270" s="681">
        <f t="shared" si="69"/>
        <v>0</v>
      </c>
      <c r="BH270" s="681">
        <f t="shared" si="69"/>
        <v>0</v>
      </c>
      <c r="BI270" s="681">
        <f t="shared" si="69"/>
        <v>0</v>
      </c>
      <c r="BJ270" s="681">
        <f t="shared" si="69"/>
        <v>0</v>
      </c>
      <c r="BK270" s="681">
        <f t="shared" si="69"/>
        <v>0</v>
      </c>
      <c r="BL270" s="681">
        <f t="shared" si="69"/>
        <v>0</v>
      </c>
      <c r="BM270" s="681">
        <f t="shared" si="69"/>
        <v>0</v>
      </c>
      <c r="BN270" s="1154"/>
      <c r="BO270" s="1154"/>
      <c r="BP270" s="1154"/>
      <c r="BQ270" s="1184"/>
      <c r="BR270" s="1184"/>
      <c r="BS270" s="973" t="s">
        <v>2102</v>
      </c>
      <c r="BT270" s="973"/>
      <c r="BU270" s="973"/>
      <c r="BV270" s="888"/>
      <c r="BW270" s="888"/>
    </row>
    <row r="271" spans="1:75" s="1334" customFormat="1" ht="14.25" hidden="1" customHeight="1" x14ac:dyDescent="0.15">
      <c r="A271" s="1184"/>
      <c r="B271" s="779" t="b" cm="1">
        <f t="array" ref="B271">B270</f>
        <v>0</v>
      </c>
      <c r="C271" s="26"/>
      <c r="D271" s="26"/>
      <c r="E271" s="545">
        <v>15</v>
      </c>
      <c r="F271" s="3" t="str" cm="1">
        <f t="array" aca="1" ref="F271" ca="1">OFFSET(E271,-1,1)</f>
        <v>1</v>
      </c>
      <c r="G271" s="26"/>
      <c r="H271" s="26"/>
      <c r="I271" s="26"/>
      <c r="J271" s="26"/>
      <c r="K271" s="26" t="s">
        <v>579</v>
      </c>
      <c r="L271" s="889"/>
      <c r="M271" s="26"/>
      <c r="N271" s="26"/>
      <c r="O271" s="26"/>
      <c r="P271" s="26"/>
      <c r="Q271" s="26"/>
      <c r="R271" s="26"/>
      <c r="S271" s="26"/>
      <c r="T271" s="779" t="b" cm="1">
        <f t="array" aca="1" ref="T271" ca="1">T270</f>
        <v>1</v>
      </c>
      <c r="U271" s="26"/>
      <c r="V271" s="26"/>
      <c r="W271" s="26"/>
      <c r="X271" s="2066"/>
      <c r="Y271" s="1184"/>
      <c r="Z271" s="2012"/>
      <c r="AA271" s="1184"/>
      <c r="AB271" s="717" t="s">
        <v>707</v>
      </c>
      <c r="AC271" s="716" t="s">
        <v>2103</v>
      </c>
      <c r="AD271" s="717" t="s">
        <v>831</v>
      </c>
      <c r="AE271" s="1155"/>
      <c r="AF271" s="1155"/>
      <c r="AG271" s="1155"/>
      <c r="AH271" s="683"/>
      <c r="AI271" s="1155"/>
      <c r="AJ271" s="1517"/>
      <c r="AK271" s="1155"/>
      <c r="AL271" s="1155"/>
      <c r="AM271" s="1155"/>
      <c r="AN271" s="1155"/>
      <c r="AO271" s="1155"/>
      <c r="AP271" s="1155"/>
      <c r="AQ271" s="1155"/>
      <c r="AR271" s="1155"/>
      <c r="AS271" s="1155"/>
      <c r="AT271" s="1517"/>
      <c r="AU271" s="1155"/>
      <c r="AV271" s="1155"/>
      <c r="AW271" s="1155"/>
      <c r="AX271" s="1155"/>
      <c r="AY271" s="1155"/>
      <c r="AZ271" s="1155"/>
      <c r="BA271" s="1155"/>
      <c r="BB271" s="1155"/>
      <c r="BC271" s="1155"/>
      <c r="BD271" s="683"/>
      <c r="BE271" s="683"/>
      <c r="BF271" s="683"/>
      <c r="BG271" s="683"/>
      <c r="BH271" s="683"/>
      <c r="BI271" s="683"/>
      <c r="BJ271" s="683"/>
      <c r="BK271" s="683"/>
      <c r="BL271" s="683"/>
      <c r="BM271" s="683"/>
      <c r="BN271" s="1156"/>
      <c r="BO271" s="1156"/>
      <c r="BP271" s="1156"/>
      <c r="BQ271" s="1184"/>
      <c r="BR271" s="1184"/>
      <c r="BS271" s="973" t="s">
        <v>2104</v>
      </c>
      <c r="BT271" s="973"/>
      <c r="BU271" s="973"/>
      <c r="BV271" s="888"/>
      <c r="BW271" s="888"/>
    </row>
    <row r="272" spans="1:75" s="1334" customFormat="1" ht="14.25" hidden="1" customHeight="1" x14ac:dyDescent="0.15">
      <c r="A272" s="1184"/>
      <c r="B272" s="779" t="b" cm="1">
        <f t="array" ref="B272">B271</f>
        <v>0</v>
      </c>
      <c r="C272" s="26"/>
      <c r="D272" s="26"/>
      <c r="E272" s="545">
        <v>15</v>
      </c>
      <c r="F272" s="3" t="str" cm="1">
        <f t="array" aca="1" ref="F272" ca="1">OFFSET(E272,-1,1)</f>
        <v>1</v>
      </c>
      <c r="G272" s="26"/>
      <c r="H272" s="26"/>
      <c r="I272" s="26"/>
      <c r="J272" s="26"/>
      <c r="K272" s="26" t="s">
        <v>583</v>
      </c>
      <c r="L272" s="889"/>
      <c r="M272" s="26"/>
      <c r="N272" s="26"/>
      <c r="O272" s="26"/>
      <c r="P272" s="26"/>
      <c r="Q272" s="26"/>
      <c r="R272" s="26"/>
      <c r="S272" s="26"/>
      <c r="T272" s="779" t="b" cm="1">
        <f t="array" aca="1" ref="T272" ca="1">T271</f>
        <v>1</v>
      </c>
      <c r="U272" s="26"/>
      <c r="V272" s="26"/>
      <c r="W272" s="26"/>
      <c r="X272" s="2066"/>
      <c r="Y272" s="1184"/>
      <c r="Z272" s="2012"/>
      <c r="AA272" s="1184"/>
      <c r="AB272" s="717" t="s">
        <v>710</v>
      </c>
      <c r="AC272" s="716" t="s">
        <v>2105</v>
      </c>
      <c r="AD272" s="717" t="s">
        <v>490</v>
      </c>
      <c r="AE272" s="1155"/>
      <c r="AF272" s="1155"/>
      <c r="AG272" s="1155"/>
      <c r="AH272" s="683"/>
      <c r="AI272" s="1155"/>
      <c r="AJ272" s="1517"/>
      <c r="AK272" s="1155"/>
      <c r="AL272" s="1155"/>
      <c r="AM272" s="1155"/>
      <c r="AN272" s="1155"/>
      <c r="AO272" s="1155"/>
      <c r="AP272" s="1155"/>
      <c r="AQ272" s="1155"/>
      <c r="AR272" s="1155"/>
      <c r="AS272" s="1155"/>
      <c r="AT272" s="1517"/>
      <c r="AU272" s="1155"/>
      <c r="AV272" s="1155"/>
      <c r="AW272" s="1155"/>
      <c r="AX272" s="1155"/>
      <c r="AY272" s="1155"/>
      <c r="AZ272" s="1155"/>
      <c r="BA272" s="1155"/>
      <c r="BB272" s="1155"/>
      <c r="BC272" s="1155"/>
      <c r="BD272" s="683"/>
      <c r="BE272" s="683"/>
      <c r="BF272" s="683"/>
      <c r="BG272" s="683"/>
      <c r="BH272" s="683"/>
      <c r="BI272" s="683"/>
      <c r="BJ272" s="683"/>
      <c r="BK272" s="683"/>
      <c r="BL272" s="683"/>
      <c r="BM272" s="683"/>
      <c r="BN272" s="1156"/>
      <c r="BO272" s="1156"/>
      <c r="BP272" s="1156"/>
      <c r="BQ272" s="1184"/>
      <c r="BR272" s="1184"/>
      <c r="BS272" s="973" t="s">
        <v>2106</v>
      </c>
      <c r="BT272" s="973"/>
      <c r="BU272" s="973"/>
      <c r="BV272" s="888"/>
      <c r="BW272" s="888"/>
    </row>
    <row r="273" spans="1:75" s="1334" customFormat="1" ht="14.25" hidden="1" customHeight="1" x14ac:dyDescent="0.15">
      <c r="A273" s="1184"/>
      <c r="B273" s="779" t="b" cm="1">
        <f t="array" ref="B273">B272</f>
        <v>0</v>
      </c>
      <c r="C273" s="26"/>
      <c r="D273" s="26"/>
      <c r="E273" s="545">
        <v>15</v>
      </c>
      <c r="F273" s="3" t="str" cm="1">
        <f t="array" aca="1" ref="F273" ca="1">OFFSET(E273,-1,1)</f>
        <v>1</v>
      </c>
      <c r="G273" s="26"/>
      <c r="H273" s="26"/>
      <c r="I273" s="26"/>
      <c r="J273" s="26"/>
      <c r="K273" s="26" t="s">
        <v>795</v>
      </c>
      <c r="L273" s="889"/>
      <c r="M273" s="26"/>
      <c r="N273" s="26"/>
      <c r="O273" s="26"/>
      <c r="P273" s="26"/>
      <c r="Q273" s="26"/>
      <c r="R273" s="26"/>
      <c r="S273" s="26"/>
      <c r="T273" s="779" t="b" cm="1">
        <f t="array" aca="1" ref="T273" ca="1">T272</f>
        <v>1</v>
      </c>
      <c r="U273" s="26"/>
      <c r="V273" s="26"/>
      <c r="W273" s="26"/>
      <c r="X273" s="2066"/>
      <c r="Y273" s="1184"/>
      <c r="Z273" s="2012"/>
      <c r="AA273" s="1184"/>
      <c r="AB273" s="717" t="s">
        <v>965</v>
      </c>
      <c r="AC273" s="716" t="s">
        <v>2107</v>
      </c>
      <c r="AD273" s="717" t="s">
        <v>831</v>
      </c>
      <c r="AE273" s="1155"/>
      <c r="AF273" s="1155"/>
      <c r="AG273" s="1155"/>
      <c r="AH273" s="683"/>
      <c r="AI273" s="1155"/>
      <c r="AJ273" s="1517"/>
      <c r="AK273" s="1155"/>
      <c r="AL273" s="1155"/>
      <c r="AM273" s="1155"/>
      <c r="AN273" s="1155"/>
      <c r="AO273" s="1155"/>
      <c r="AP273" s="1155"/>
      <c r="AQ273" s="1155"/>
      <c r="AR273" s="1155"/>
      <c r="AS273" s="1155"/>
      <c r="AT273" s="1517"/>
      <c r="AU273" s="1155"/>
      <c r="AV273" s="1155"/>
      <c r="AW273" s="1155"/>
      <c r="AX273" s="1155"/>
      <c r="AY273" s="1155"/>
      <c r="AZ273" s="1155"/>
      <c r="BA273" s="1155"/>
      <c r="BB273" s="1155"/>
      <c r="BC273" s="1155"/>
      <c r="BD273" s="683"/>
      <c r="BE273" s="683"/>
      <c r="BF273" s="683"/>
      <c r="BG273" s="683"/>
      <c r="BH273" s="683"/>
      <c r="BI273" s="683"/>
      <c r="BJ273" s="683"/>
      <c r="BK273" s="683"/>
      <c r="BL273" s="683"/>
      <c r="BM273" s="683"/>
      <c r="BN273" s="1156"/>
      <c r="BO273" s="1156"/>
      <c r="BP273" s="1156"/>
      <c r="BQ273" s="1184"/>
      <c r="BR273" s="1184"/>
      <c r="BS273" s="973" t="s">
        <v>2108</v>
      </c>
      <c r="BT273" s="973"/>
      <c r="BU273" s="973"/>
      <c r="BV273" s="888"/>
      <c r="BW273" s="888"/>
    </row>
    <row r="274" spans="1:75" s="1334" customFormat="1" ht="14.25" hidden="1" customHeight="1" x14ac:dyDescent="0.15">
      <c r="A274" s="1184"/>
      <c r="B274" s="779" t="b" cm="1">
        <f t="array" ref="B274">B273</f>
        <v>0</v>
      </c>
      <c r="C274" s="26"/>
      <c r="D274" s="26"/>
      <c r="E274" s="545">
        <v>15</v>
      </c>
      <c r="F274" s="3" t="str" cm="1">
        <f t="array" aca="1" ref="F274" ca="1">OFFSET(E274,-1,1)</f>
        <v>1</v>
      </c>
      <c r="G274" s="26"/>
      <c r="H274" s="26"/>
      <c r="I274" s="26"/>
      <c r="J274" s="26"/>
      <c r="K274" s="26" t="s">
        <v>967</v>
      </c>
      <c r="L274" s="889"/>
      <c r="M274" s="26"/>
      <c r="N274" s="26"/>
      <c r="O274" s="26"/>
      <c r="P274" s="26"/>
      <c r="Q274" s="26"/>
      <c r="R274" s="26"/>
      <c r="S274" s="26"/>
      <c r="T274" s="779" t="b" cm="1">
        <f t="array" aca="1" ref="T274" ca="1">T273</f>
        <v>1</v>
      </c>
      <c r="U274" s="26"/>
      <c r="V274" s="26"/>
      <c r="W274" s="26"/>
      <c r="X274" s="2066"/>
      <c r="Y274" s="1184"/>
      <c r="Z274" s="2012"/>
      <c r="AA274" s="1184"/>
      <c r="AB274" s="717" t="s">
        <v>968</v>
      </c>
      <c r="AC274" s="716" t="s">
        <v>2109</v>
      </c>
      <c r="AD274" s="717" t="s">
        <v>831</v>
      </c>
      <c r="AE274" s="1155"/>
      <c r="AF274" s="1155"/>
      <c r="AG274" s="1155"/>
      <c r="AH274" s="683"/>
      <c r="AI274" s="1155"/>
      <c r="AJ274" s="1517"/>
      <c r="AK274" s="1155"/>
      <c r="AL274" s="1155"/>
      <c r="AM274" s="1155"/>
      <c r="AN274" s="1155"/>
      <c r="AO274" s="1155"/>
      <c r="AP274" s="1155"/>
      <c r="AQ274" s="1155"/>
      <c r="AR274" s="1155"/>
      <c r="AS274" s="1155"/>
      <c r="AT274" s="1517"/>
      <c r="AU274" s="1155"/>
      <c r="AV274" s="1155"/>
      <c r="AW274" s="1155"/>
      <c r="AX274" s="1155"/>
      <c r="AY274" s="1155"/>
      <c r="AZ274" s="1155"/>
      <c r="BA274" s="1155"/>
      <c r="BB274" s="1155"/>
      <c r="BC274" s="1155"/>
      <c r="BD274" s="683"/>
      <c r="BE274" s="683"/>
      <c r="BF274" s="683"/>
      <c r="BG274" s="683"/>
      <c r="BH274" s="683"/>
      <c r="BI274" s="683"/>
      <c r="BJ274" s="683"/>
      <c r="BK274" s="683"/>
      <c r="BL274" s="683"/>
      <c r="BM274" s="683"/>
      <c r="BN274" s="1156"/>
      <c r="BO274" s="1156"/>
      <c r="BP274" s="1156"/>
      <c r="BQ274" s="1184"/>
      <c r="BR274" s="1184"/>
      <c r="BS274" s="973" t="s">
        <v>2110</v>
      </c>
      <c r="BT274" s="973"/>
      <c r="BU274" s="973"/>
      <c r="BV274" s="888"/>
      <c r="BW274" s="888"/>
    </row>
    <row r="275" spans="1:75" s="1334" customFormat="1" ht="14.25" hidden="1" customHeight="1" x14ac:dyDescent="0.15">
      <c r="A275" s="1184"/>
      <c r="B275" s="779" t="b" cm="1">
        <f t="array" ref="B275">B274</f>
        <v>0</v>
      </c>
      <c r="C275" s="26"/>
      <c r="D275" s="26"/>
      <c r="E275" s="545">
        <v>15</v>
      </c>
      <c r="F275" s="3" t="str" cm="1">
        <f t="array" aca="1" ref="F275" ca="1">OFFSET(E275,-1,1)</f>
        <v>1</v>
      </c>
      <c r="G275" s="26"/>
      <c r="H275" s="26"/>
      <c r="I275" s="26"/>
      <c r="J275" s="26"/>
      <c r="K275" s="26" t="s">
        <v>2111</v>
      </c>
      <c r="L275" s="889"/>
      <c r="M275" s="26"/>
      <c r="N275" s="26"/>
      <c r="O275" s="26"/>
      <c r="P275" s="26"/>
      <c r="Q275" s="26"/>
      <c r="R275" s="26"/>
      <c r="S275" s="26"/>
      <c r="T275" s="779" t="b" cm="1">
        <f t="array" aca="1" ref="T275" ca="1">T274</f>
        <v>1</v>
      </c>
      <c r="U275" s="26"/>
      <c r="V275" s="26"/>
      <c r="W275" s="26"/>
      <c r="X275" s="2066"/>
      <c r="Y275" s="1184"/>
      <c r="Z275" s="2012"/>
      <c r="AA275" s="1184"/>
      <c r="AB275" s="717" t="s">
        <v>2112</v>
      </c>
      <c r="AC275" s="718" t="s">
        <v>2113</v>
      </c>
      <c r="AD275" s="717" t="s">
        <v>490</v>
      </c>
      <c r="AE275" s="1155"/>
      <c r="AF275" s="1155"/>
      <c r="AG275" s="1155"/>
      <c r="AH275" s="683"/>
      <c r="AI275" s="1155"/>
      <c r="AJ275" s="1517"/>
      <c r="AK275" s="1155"/>
      <c r="AL275" s="1155"/>
      <c r="AM275" s="1155"/>
      <c r="AN275" s="1155"/>
      <c r="AO275" s="1155"/>
      <c r="AP275" s="1155"/>
      <c r="AQ275" s="1155"/>
      <c r="AR275" s="1155"/>
      <c r="AS275" s="1155"/>
      <c r="AT275" s="1517"/>
      <c r="AU275" s="1155"/>
      <c r="AV275" s="1155"/>
      <c r="AW275" s="1155"/>
      <c r="AX275" s="1155"/>
      <c r="AY275" s="1155"/>
      <c r="AZ275" s="1155"/>
      <c r="BA275" s="1155"/>
      <c r="BB275" s="1155"/>
      <c r="BC275" s="1155"/>
      <c r="BD275" s="683"/>
      <c r="BE275" s="683"/>
      <c r="BF275" s="683"/>
      <c r="BG275" s="683"/>
      <c r="BH275" s="683"/>
      <c r="BI275" s="683"/>
      <c r="BJ275" s="683"/>
      <c r="BK275" s="683"/>
      <c r="BL275" s="683"/>
      <c r="BM275" s="683"/>
      <c r="BN275" s="1156"/>
      <c r="BO275" s="1156"/>
      <c r="BP275" s="1156"/>
      <c r="BQ275" s="1184"/>
      <c r="BR275" s="1184"/>
      <c r="BS275" s="973" t="s">
        <v>2114</v>
      </c>
      <c r="BT275" s="973"/>
      <c r="BU275" s="973"/>
      <c r="BV275" s="888"/>
      <c r="BW275" s="888"/>
    </row>
    <row r="276" spans="1:75" s="1334" customFormat="1" ht="14.25" hidden="1" customHeight="1" x14ac:dyDescent="0.15">
      <c r="A276" s="1184"/>
      <c r="B276" s="779" t="b" cm="1">
        <f t="array" ref="B276">B275</f>
        <v>0</v>
      </c>
      <c r="C276" s="26"/>
      <c r="D276" s="26"/>
      <c r="E276" s="545">
        <v>15</v>
      </c>
      <c r="F276" s="3" t="str" cm="1">
        <f t="array" aca="1" ref="F276" ca="1">OFFSET(E276,-1,1)</f>
        <v>1</v>
      </c>
      <c r="G276" s="26"/>
      <c r="H276" s="26"/>
      <c r="I276" s="26"/>
      <c r="J276" s="26"/>
      <c r="K276" s="26" t="s">
        <v>970</v>
      </c>
      <c r="L276" s="889"/>
      <c r="M276" s="26"/>
      <c r="N276" s="26"/>
      <c r="O276" s="26"/>
      <c r="P276" s="26"/>
      <c r="Q276" s="26"/>
      <c r="R276" s="26"/>
      <c r="S276" s="26"/>
      <c r="T276" s="779" t="b" cm="1">
        <f t="array" aca="1" ref="T276" ca="1">T275</f>
        <v>1</v>
      </c>
      <c r="U276" s="26"/>
      <c r="V276" s="26"/>
      <c r="W276" s="26"/>
      <c r="X276" s="2066"/>
      <c r="Y276" s="1184"/>
      <c r="Z276" s="2012"/>
      <c r="AA276" s="1184"/>
      <c r="AB276" s="717" t="s">
        <v>971</v>
      </c>
      <c r="AC276" s="716" t="s">
        <v>2115</v>
      </c>
      <c r="AD276" s="717" t="s">
        <v>490</v>
      </c>
      <c r="AE276" s="1155"/>
      <c r="AF276" s="1155"/>
      <c r="AG276" s="1155"/>
      <c r="AH276" s="683"/>
      <c r="AI276" s="1155"/>
      <c r="AJ276" s="1517"/>
      <c r="AK276" s="1155"/>
      <c r="AL276" s="1155"/>
      <c r="AM276" s="1155"/>
      <c r="AN276" s="1155"/>
      <c r="AO276" s="1155"/>
      <c r="AP276" s="1155"/>
      <c r="AQ276" s="1155"/>
      <c r="AR276" s="1155"/>
      <c r="AS276" s="1155"/>
      <c r="AT276" s="1517"/>
      <c r="AU276" s="1155"/>
      <c r="AV276" s="1155"/>
      <c r="AW276" s="1155"/>
      <c r="AX276" s="1155"/>
      <c r="AY276" s="1155"/>
      <c r="AZ276" s="1155"/>
      <c r="BA276" s="1155"/>
      <c r="BB276" s="1155"/>
      <c r="BC276" s="1155"/>
      <c r="BD276" s="683"/>
      <c r="BE276" s="683"/>
      <c r="BF276" s="683"/>
      <c r="BG276" s="683"/>
      <c r="BH276" s="683"/>
      <c r="BI276" s="683"/>
      <c r="BJ276" s="683"/>
      <c r="BK276" s="683"/>
      <c r="BL276" s="683"/>
      <c r="BM276" s="683"/>
      <c r="BN276" s="1156"/>
      <c r="BO276" s="1156"/>
      <c r="BP276" s="1156"/>
      <c r="BQ276" s="1184"/>
      <c r="BR276" s="1184"/>
      <c r="BS276" s="973" t="s">
        <v>2116</v>
      </c>
      <c r="BT276" s="973"/>
      <c r="BU276" s="973"/>
      <c r="BV276" s="888"/>
      <c r="BW276" s="888"/>
    </row>
    <row r="277" spans="1:75" s="1334" customFormat="1" ht="14.25" hidden="1" customHeight="1" x14ac:dyDescent="0.15">
      <c r="A277" s="1184"/>
      <c r="B277" s="779" t="b" cm="1">
        <f t="array" ref="B277">B276</f>
        <v>0</v>
      </c>
      <c r="C277" s="26"/>
      <c r="D277" s="26"/>
      <c r="E277" s="545">
        <v>15</v>
      </c>
      <c r="F277" s="3" t="str" cm="1">
        <f t="array" aca="1" ref="F277" ca="1">OFFSET(E277,-1,1)</f>
        <v>1</v>
      </c>
      <c r="G277" s="26"/>
      <c r="H277" s="26"/>
      <c r="I277" s="26"/>
      <c r="J277" s="26"/>
      <c r="K277" s="26" t="s">
        <v>2117</v>
      </c>
      <c r="L277" s="889"/>
      <c r="M277" s="26"/>
      <c r="N277" s="26"/>
      <c r="O277" s="26"/>
      <c r="P277" s="26"/>
      <c r="Q277" s="26"/>
      <c r="R277" s="26"/>
      <c r="S277" s="26"/>
      <c r="T277" s="779" t="b" cm="1">
        <f t="array" aca="1" ref="T277" ca="1">T276</f>
        <v>1</v>
      </c>
      <c r="U277" s="26"/>
      <c r="V277" s="26"/>
      <c r="W277" s="26"/>
      <c r="X277" s="2066"/>
      <c r="Y277" s="1184"/>
      <c r="Z277" s="2012"/>
      <c r="AA277" s="1184"/>
      <c r="AB277" s="717" t="s">
        <v>2118</v>
      </c>
      <c r="AC277" s="718" t="s">
        <v>2119</v>
      </c>
      <c r="AD277" s="717" t="s">
        <v>490</v>
      </c>
      <c r="AE277" s="1155"/>
      <c r="AF277" s="1155"/>
      <c r="AG277" s="1155"/>
      <c r="AH277" s="683"/>
      <c r="AI277" s="1155"/>
      <c r="AJ277" s="1517"/>
      <c r="AK277" s="1155"/>
      <c r="AL277" s="1155"/>
      <c r="AM277" s="1155"/>
      <c r="AN277" s="1155"/>
      <c r="AO277" s="1155"/>
      <c r="AP277" s="1155"/>
      <c r="AQ277" s="1155"/>
      <c r="AR277" s="1155"/>
      <c r="AS277" s="1155"/>
      <c r="AT277" s="1517"/>
      <c r="AU277" s="1155"/>
      <c r="AV277" s="1155"/>
      <c r="AW277" s="1155"/>
      <c r="AX277" s="1155"/>
      <c r="AY277" s="1155"/>
      <c r="AZ277" s="1155"/>
      <c r="BA277" s="1155"/>
      <c r="BB277" s="1155"/>
      <c r="BC277" s="1155"/>
      <c r="BD277" s="683"/>
      <c r="BE277" s="683"/>
      <c r="BF277" s="683"/>
      <c r="BG277" s="683"/>
      <c r="BH277" s="683"/>
      <c r="BI277" s="683"/>
      <c r="BJ277" s="683"/>
      <c r="BK277" s="683"/>
      <c r="BL277" s="683"/>
      <c r="BM277" s="683"/>
      <c r="BN277" s="1156"/>
      <c r="BO277" s="1156"/>
      <c r="BP277" s="1156"/>
      <c r="BQ277" s="1184"/>
      <c r="BR277" s="1184"/>
      <c r="BS277" s="973" t="s">
        <v>2120</v>
      </c>
      <c r="BT277" s="973"/>
      <c r="BU277" s="973"/>
      <c r="BV277" s="888"/>
      <c r="BW277" s="888"/>
    </row>
    <row r="278" spans="1:75" s="1334" customFormat="1" ht="14.25" hidden="1" customHeight="1" x14ac:dyDescent="0.15">
      <c r="A278" s="1184"/>
      <c r="B278" s="779" t="b" cm="1">
        <f t="array" ref="B278">B277</f>
        <v>0</v>
      </c>
      <c r="C278" s="26"/>
      <c r="D278" s="26"/>
      <c r="E278" s="545">
        <v>15</v>
      </c>
      <c r="F278" s="3" t="str" cm="1">
        <f t="array" aca="1" ref="F278" ca="1">OFFSET(E278,-1,1)</f>
        <v>1</v>
      </c>
      <c r="G278" s="26"/>
      <c r="H278" s="26"/>
      <c r="I278" s="26"/>
      <c r="J278" s="26"/>
      <c r="K278" s="26" t="s">
        <v>2121</v>
      </c>
      <c r="L278" s="889"/>
      <c r="M278" s="26"/>
      <c r="N278" s="26"/>
      <c r="O278" s="26"/>
      <c r="P278" s="26"/>
      <c r="Q278" s="26"/>
      <c r="R278" s="26"/>
      <c r="S278" s="26"/>
      <c r="T278" s="779" t="b" cm="1">
        <f t="array" aca="1" ref="T278" ca="1">T277</f>
        <v>1</v>
      </c>
      <c r="U278" s="26"/>
      <c r="V278" s="26"/>
      <c r="W278" s="26"/>
      <c r="X278" s="2066"/>
      <c r="Y278" s="1184"/>
      <c r="Z278" s="2012"/>
      <c r="AA278" s="1184"/>
      <c r="AB278" s="717" t="s">
        <v>2122</v>
      </c>
      <c r="AC278" s="718" t="s">
        <v>2123</v>
      </c>
      <c r="AD278" s="717" t="s">
        <v>490</v>
      </c>
      <c r="AE278" s="1155"/>
      <c r="AF278" s="1155"/>
      <c r="AG278" s="1155"/>
      <c r="AH278" s="683"/>
      <c r="AI278" s="1155"/>
      <c r="AJ278" s="1517"/>
      <c r="AK278" s="1155"/>
      <c r="AL278" s="1155"/>
      <c r="AM278" s="1155"/>
      <c r="AN278" s="1155"/>
      <c r="AO278" s="1155"/>
      <c r="AP278" s="1155"/>
      <c r="AQ278" s="1155"/>
      <c r="AR278" s="1155"/>
      <c r="AS278" s="1155"/>
      <c r="AT278" s="1517"/>
      <c r="AU278" s="1155"/>
      <c r="AV278" s="1155"/>
      <c r="AW278" s="1155"/>
      <c r="AX278" s="1155"/>
      <c r="AY278" s="1155"/>
      <c r="AZ278" s="1155"/>
      <c r="BA278" s="1155"/>
      <c r="BB278" s="1155"/>
      <c r="BC278" s="1155"/>
      <c r="BD278" s="683"/>
      <c r="BE278" s="683"/>
      <c r="BF278" s="683"/>
      <c r="BG278" s="683"/>
      <c r="BH278" s="683"/>
      <c r="BI278" s="683"/>
      <c r="BJ278" s="683"/>
      <c r="BK278" s="683"/>
      <c r="BL278" s="683"/>
      <c r="BM278" s="683"/>
      <c r="BN278" s="1156"/>
      <c r="BO278" s="1156"/>
      <c r="BP278" s="1156"/>
      <c r="BQ278" s="1184"/>
      <c r="BR278" s="1184"/>
      <c r="BS278" s="973" t="s">
        <v>2124</v>
      </c>
      <c r="BT278" s="973"/>
      <c r="BU278" s="973"/>
      <c r="BV278" s="888"/>
      <c r="BW278" s="888"/>
    </row>
    <row r="279" spans="1:75" s="1536" customFormat="1" ht="20.45" customHeight="1" x14ac:dyDescent="0.15">
      <c r="A279" s="623"/>
      <c r="B279" s="357"/>
      <c r="C279" s="28"/>
      <c r="D279" s="28" t="str">
        <f>IF(B278,"6","7")</f>
        <v>7</v>
      </c>
      <c r="E279" s="745">
        <v>21</v>
      </c>
      <c r="F279" s="3" t="str" cm="1">
        <f t="array" aca="1" ref="F279" ca="1">OFFSET(E279,-1,1)</f>
        <v>1</v>
      </c>
      <c r="G279" s="26" t="s">
        <v>2125</v>
      </c>
      <c r="H279" s="26"/>
      <c r="I279" s="300" t="s">
        <v>2126</v>
      </c>
      <c r="J279" s="28"/>
      <c r="K279" s="296" t="s">
        <v>2126</v>
      </c>
      <c r="L279" s="894"/>
      <c r="M279" s="28"/>
      <c r="N279" s="28"/>
      <c r="O279" s="28"/>
      <c r="P279" s="28"/>
      <c r="Q279" s="28"/>
      <c r="R279" s="28"/>
      <c r="S279" s="28"/>
      <c r="T279" s="388" t="b" cm="1">
        <f t="array" aca="1" ref="T279" ca="1">T278</f>
        <v>1</v>
      </c>
      <c r="U279" s="28"/>
      <c r="V279" s="28"/>
      <c r="W279" s="28"/>
      <c r="X279" s="2066"/>
      <c r="Y279" s="623"/>
      <c r="Z279" s="2012"/>
      <c r="AA279" s="623"/>
      <c r="AB279" s="130" t="str" cm="1">
        <f t="array" ref="AB279">D279</f>
        <v>7</v>
      </c>
      <c r="AC279" s="138" t="s">
        <v>1557</v>
      </c>
      <c r="AD279" s="130" t="s">
        <v>831</v>
      </c>
      <c r="AE279" s="1518">
        <v>0</v>
      </c>
      <c r="AF279" s="1518"/>
      <c r="AG279" s="1518"/>
      <c r="AH279" s="698">
        <f>AG279-AF279</f>
        <v>0</v>
      </c>
      <c r="AI279" s="1518"/>
      <c r="AJ279" s="1514">
        <f ca="1">SUMIFS('Корректировка НВВ'!$AF$25:$AF$180,'Корректировка НВВ'!$F$25:$F$180,$F279,'Корректировка НВВ'!$I$25:$I$180,$G279)</f>
        <v>39751.880000000005</v>
      </c>
      <c r="AK279" s="1144"/>
      <c r="AL279" s="1144"/>
      <c r="AM279" s="1144"/>
      <c r="AN279" s="1144"/>
      <c r="AO279" s="1144"/>
      <c r="AP279" s="1144"/>
      <c r="AQ279" s="1518"/>
      <c r="AR279" s="1518"/>
      <c r="AS279" s="1518"/>
      <c r="AT279" s="1514">
        <f ca="1">SUMIFS('Корректировка НВВ'!$AG$25:$AG$180,'Корректировка НВВ'!$F$25:$F$180,$F279,'Корректировка НВВ'!$I$25:$I$180,$G279)</f>
        <v>9589.0499999999884</v>
      </c>
      <c r="AU279" s="1144"/>
      <c r="AV279" s="1144"/>
      <c r="AW279" s="1144"/>
      <c r="AX279" s="1144"/>
      <c r="AY279" s="1144"/>
      <c r="AZ279" s="1144"/>
      <c r="BA279" s="1518"/>
      <c r="BB279" s="1518"/>
      <c r="BC279" s="1518"/>
      <c r="BD279" s="698">
        <f>IF(AI279=0,0,(AT279-AI279)/AI279*100)</f>
        <v>0</v>
      </c>
      <c r="BE279" s="698">
        <f t="shared" ref="BE279:BM279" ca="1" si="70">IF(AT279=0,0,(AU279-AT279)/AT279*100)</f>
        <v>-100</v>
      </c>
      <c r="BF279" s="698">
        <f t="shared" si="70"/>
        <v>0</v>
      </c>
      <c r="BG279" s="698">
        <f t="shared" si="70"/>
        <v>0</v>
      </c>
      <c r="BH279" s="698">
        <f t="shared" si="70"/>
        <v>0</v>
      </c>
      <c r="BI279" s="698">
        <f t="shared" si="70"/>
        <v>0</v>
      </c>
      <c r="BJ279" s="698">
        <f t="shared" si="70"/>
        <v>0</v>
      </c>
      <c r="BK279" s="698">
        <f t="shared" si="70"/>
        <v>0</v>
      </c>
      <c r="BL279" s="698">
        <f t="shared" si="70"/>
        <v>0</v>
      </c>
      <c r="BM279" s="698">
        <f t="shared" si="70"/>
        <v>0</v>
      </c>
      <c r="BN279" s="1524"/>
      <c r="BO279" s="1525" t="str">
        <f ca="1">IF(IFERROR(INDEX('Корректировка НВВ'!$K$26:$L$180,MATCH($F279&amp;"11komm",'Корректировка НВВ'!$K$26:$K$180,0),2),"")=0,"",IFERROR(INDEX('Корректировка НВВ'!$K$26:$L$180,MATCH($F279&amp;"11komm",'Корректировка НВВ'!$K$26:$K$180,0),2),""))</f>
        <v/>
      </c>
      <c r="BP279" s="1524"/>
      <c r="BQ279" s="623"/>
      <c r="BR279" s="623"/>
      <c r="BS279" s="979" t="s">
        <v>2127</v>
      </c>
      <c r="BT279" s="979"/>
      <c r="BU279" s="979"/>
      <c r="BV279" s="630"/>
      <c r="BW279" s="630"/>
    </row>
    <row r="280" spans="1:75" s="1334" customFormat="1" ht="14.25" customHeight="1" x14ac:dyDescent="0.15">
      <c r="A280" s="1184"/>
      <c r="B280" s="887"/>
      <c r="C280" s="26"/>
      <c r="D280" s="26" t="str" cm="1">
        <f t="array" ref="D280">D279</f>
        <v>7</v>
      </c>
      <c r="E280" s="545">
        <v>15</v>
      </c>
      <c r="F280" s="3" t="str" cm="1">
        <f t="array" aca="1" ref="F280" ca="1">OFFSET(E280,-1,1)</f>
        <v>1</v>
      </c>
      <c r="G280" s="26"/>
      <c r="H280" s="26"/>
      <c r="I280" s="26"/>
      <c r="J280" s="26"/>
      <c r="K280" s="1184"/>
      <c r="L280" s="889"/>
      <c r="M280" s="26"/>
      <c r="N280" s="26"/>
      <c r="O280" s="26"/>
      <c r="P280" s="26"/>
      <c r="Q280" s="26"/>
      <c r="R280" s="26"/>
      <c r="S280" s="26"/>
      <c r="T280" s="388" t="b" cm="1">
        <f t="array" aca="1" ref="T280" ca="1">T279</f>
        <v>1</v>
      </c>
      <c r="U280" s="26"/>
      <c r="V280" s="26"/>
      <c r="W280" s="26"/>
      <c r="X280" s="2066"/>
      <c r="Y280" s="1184"/>
      <c r="Z280" s="2012"/>
      <c r="AA280" s="1184"/>
      <c r="AB280" s="218"/>
      <c r="AC280" s="374" t="s">
        <v>2128</v>
      </c>
      <c r="AD280" s="218"/>
      <c r="AE280" s="1023"/>
      <c r="AF280" s="1023"/>
      <c r="AG280" s="1023"/>
      <c r="AH280" s="1023"/>
      <c r="AI280" s="1023"/>
      <c r="AJ280" s="1023"/>
      <c r="AK280" s="1023"/>
      <c r="AL280" s="1023"/>
      <c r="AM280" s="1023"/>
      <c r="AN280" s="1023"/>
      <c r="AO280" s="1023"/>
      <c r="AP280" s="1023"/>
      <c r="AQ280" s="1023"/>
      <c r="AR280" s="1023"/>
      <c r="AS280" s="1023"/>
      <c r="AT280" s="1023"/>
      <c r="AU280" s="1023"/>
      <c r="AV280" s="1023"/>
      <c r="AW280" s="1023"/>
      <c r="AX280" s="1023"/>
      <c r="AY280" s="1023"/>
      <c r="AZ280" s="1023"/>
      <c r="BA280" s="1023"/>
      <c r="BB280" s="1023"/>
      <c r="BC280" s="1023"/>
      <c r="BD280" s="1023"/>
      <c r="BE280" s="1023"/>
      <c r="BF280" s="1023"/>
      <c r="BG280" s="1023"/>
      <c r="BH280" s="1023"/>
      <c r="BI280" s="1023"/>
      <c r="BJ280" s="1023"/>
      <c r="BK280" s="1023"/>
      <c r="BL280" s="1023"/>
      <c r="BM280" s="1023"/>
      <c r="BN280" s="1025"/>
      <c r="BO280" s="1025"/>
      <c r="BP280" s="1025"/>
      <c r="BQ280" s="1184"/>
      <c r="BR280" s="1184"/>
      <c r="BS280" s="973"/>
      <c r="BT280" s="973"/>
      <c r="BU280" s="973"/>
      <c r="BV280" s="888"/>
      <c r="BW280" s="888"/>
    </row>
    <row r="281" spans="1:75" s="1334" customFormat="1" ht="23.25" customHeight="1" x14ac:dyDescent="0.15">
      <c r="A281" s="1184"/>
      <c r="B281" s="887"/>
      <c r="C281" s="26"/>
      <c r="D281" s="26" t="str" cm="1">
        <f t="array" ref="D281">D280</f>
        <v>7</v>
      </c>
      <c r="E281" s="545">
        <v>22.5</v>
      </c>
      <c r="F281" s="3" t="str" cm="1">
        <f t="array" aca="1" ref="F281" ca="1">OFFSET(E281,-1,1)</f>
        <v>1</v>
      </c>
      <c r="G281" s="26" t="s">
        <v>372</v>
      </c>
      <c r="H281" s="26"/>
      <c r="I281" s="26" t="s">
        <v>547</v>
      </c>
      <c r="J281" s="26"/>
      <c r="K281" s="77" t="s">
        <v>547</v>
      </c>
      <c r="L281" s="889"/>
      <c r="M281" s="26"/>
      <c r="N281" s="26"/>
      <c r="O281" s="26"/>
      <c r="P281" s="26"/>
      <c r="Q281" s="26"/>
      <c r="R281" s="26"/>
      <c r="S281" s="26"/>
      <c r="T281" s="388" t="b" cm="1">
        <f t="array" aca="1" ref="T281" ca="1">T280</f>
        <v>1</v>
      </c>
      <c r="U281" s="26"/>
      <c r="V281" s="26"/>
      <c r="W281" s="26"/>
      <c r="X281" s="2066"/>
      <c r="Y281" s="1184"/>
      <c r="Z281" s="2012"/>
      <c r="AA281" s="1184"/>
      <c r="AB281" s="218" t="str">
        <f>D281&amp;".1"</f>
        <v>7.1</v>
      </c>
      <c r="AC281" s="682" t="s">
        <v>2129</v>
      </c>
      <c r="AD281" s="218" t="s">
        <v>831</v>
      </c>
      <c r="AE281" s="1514">
        <v>0</v>
      </c>
      <c r="AF281" s="1514"/>
      <c r="AG281" s="1514"/>
      <c r="AH281" s="1022">
        <f t="shared" ref="AH281:AH294" si="71">AG281-AF281</f>
        <v>0</v>
      </c>
      <c r="AI281" s="1514"/>
      <c r="AJ281" s="1514">
        <f ca="1">SUMIFS('Корректировка НВВ'!$AF$25:$AF$180,'Корректировка НВВ'!$F$25:$F$180,$F281,'Корректировка НВВ'!$I$25:$I$180,$G281)</f>
        <v>0</v>
      </c>
      <c r="AK281" s="1148"/>
      <c r="AL281" s="1148"/>
      <c r="AM281" s="1148"/>
      <c r="AN281" s="1148"/>
      <c r="AO281" s="1148"/>
      <c r="AP281" s="1148"/>
      <c r="AQ281" s="1514"/>
      <c r="AR281" s="1514"/>
      <c r="AS281" s="1514"/>
      <c r="AT281" s="1514">
        <f ca="1">SUMIFS('Корректировка НВВ'!$AG$25:$AG$180,'Корректировка НВВ'!$F$25:$F$180,$F281,'Корректировка НВВ'!$I$25:$I$180,$G281)</f>
        <v>0</v>
      </c>
      <c r="AU281" s="1148"/>
      <c r="AV281" s="1148"/>
      <c r="AW281" s="1148"/>
      <c r="AX281" s="1148"/>
      <c r="AY281" s="1148"/>
      <c r="AZ281" s="1148"/>
      <c r="BA281" s="1514"/>
      <c r="BB281" s="1514"/>
      <c r="BC281" s="1514"/>
      <c r="BD281" s="1023"/>
      <c r="BE281" s="1023"/>
      <c r="BF281" s="1023"/>
      <c r="BG281" s="1023"/>
      <c r="BH281" s="1023"/>
      <c r="BI281" s="1023"/>
      <c r="BJ281" s="1023"/>
      <c r="BK281" s="1023"/>
      <c r="BL281" s="1023"/>
      <c r="BM281" s="1023"/>
      <c r="BN281" s="1523"/>
      <c r="BO281" s="1525" t="str">
        <f ca="1">IF(IFERROR(INDEX('Корректировка НВВ'!$K$26:$L$180,MATCH($F281&amp;"1komm",'Корректировка НВВ'!$K$26:$K$180,0),2),"")=0,"",IFERROR(INDEX('Корректировка НВВ'!$K$26:$L$180,MATCH($F281&amp;"1komm",'Корректировка НВВ'!$K$26:$K$180,0),2),""))</f>
        <v/>
      </c>
      <c r="BP281" s="1523"/>
      <c r="BQ281" s="1184"/>
      <c r="BR281" s="1184"/>
      <c r="BS281" s="973" t="s">
        <v>2130</v>
      </c>
      <c r="BT281" s="973"/>
      <c r="BU281" s="973"/>
      <c r="BV281" s="888"/>
      <c r="BW281" s="888"/>
    </row>
    <row r="282" spans="1:75" s="1334" customFormat="1" ht="98.65" customHeight="1" x14ac:dyDescent="0.15">
      <c r="A282" s="1184"/>
      <c r="B282" s="887"/>
      <c r="C282" s="26"/>
      <c r="D282" s="26" t="str" cm="1">
        <f t="array" ref="D282">D281</f>
        <v>7</v>
      </c>
      <c r="E282" s="545">
        <v>101.25</v>
      </c>
      <c r="F282" s="3" t="str" cm="1">
        <f t="array" aca="1" ref="F282" ca="1">OFFSET(E282,-1,1)</f>
        <v>1</v>
      </c>
      <c r="G282" s="26" t="s">
        <v>2131</v>
      </c>
      <c r="H282" s="26"/>
      <c r="I282" s="26" t="s">
        <v>591</v>
      </c>
      <c r="J282" s="26"/>
      <c r="K282" s="77" t="s">
        <v>591</v>
      </c>
      <c r="L282" s="889"/>
      <c r="M282" s="26"/>
      <c r="N282" s="26"/>
      <c r="O282" s="26"/>
      <c r="P282" s="26"/>
      <c r="Q282" s="26"/>
      <c r="R282" s="26"/>
      <c r="S282" s="26"/>
      <c r="T282" s="388" t="b" cm="1">
        <f t="array" aca="1" ref="T282" ca="1">T281</f>
        <v>1</v>
      </c>
      <c r="U282" s="26"/>
      <c r="V282" s="26"/>
      <c r="W282" s="26"/>
      <c r="X282" s="2066"/>
      <c r="Y282" s="1184"/>
      <c r="Z282" s="2012"/>
      <c r="AA282" s="1184"/>
      <c r="AB282" s="218" t="str">
        <f>D282&amp;".2"</f>
        <v>7.2</v>
      </c>
      <c r="AC282" s="682" t="s">
        <v>2132</v>
      </c>
      <c r="AD282" s="218" t="s">
        <v>831</v>
      </c>
      <c r="AE282" s="1514">
        <v>0</v>
      </c>
      <c r="AF282" s="1514"/>
      <c r="AG282" s="1514"/>
      <c r="AH282" s="1022">
        <f t="shared" si="71"/>
        <v>0</v>
      </c>
      <c r="AI282" s="1514"/>
      <c r="AJ282" s="1514">
        <f ca="1">SUMIFS('Корректировка НВВ'!$AF$25:$AF$180,'Корректировка НВВ'!$F$25:$F$180,$F282,'Корректировка НВВ'!$I$25:$I$180,$G282)</f>
        <v>0</v>
      </c>
      <c r="AK282" s="1148"/>
      <c r="AL282" s="1148"/>
      <c r="AM282" s="1148"/>
      <c r="AN282" s="1148"/>
      <c r="AO282" s="1148"/>
      <c r="AP282" s="1148"/>
      <c r="AQ282" s="1514"/>
      <c r="AR282" s="1514"/>
      <c r="AS282" s="1514"/>
      <c r="AT282" s="1514">
        <f ca="1">SUMIFS('Корректировка НВВ'!$AG$25:$AG$180,'Корректировка НВВ'!$F$25:$F$180,$F282,'Корректировка НВВ'!$I$25:$I$180,$G282)</f>
        <v>0</v>
      </c>
      <c r="AU282" s="1148"/>
      <c r="AV282" s="1148"/>
      <c r="AW282" s="1148"/>
      <c r="AX282" s="1148"/>
      <c r="AY282" s="1148"/>
      <c r="AZ282" s="1148"/>
      <c r="BA282" s="1514"/>
      <c r="BB282" s="1514"/>
      <c r="BC282" s="1514"/>
      <c r="BD282" s="1023"/>
      <c r="BE282" s="1023"/>
      <c r="BF282" s="1023"/>
      <c r="BG282" s="1023"/>
      <c r="BH282" s="1023"/>
      <c r="BI282" s="1023"/>
      <c r="BJ282" s="1023"/>
      <c r="BK282" s="1023"/>
      <c r="BL282" s="1023"/>
      <c r="BM282" s="1023"/>
      <c r="BN282" s="1523"/>
      <c r="BO282" s="1525" t="str">
        <f ca="1">IF(IFERROR(INDEX('Корректировка НВВ'!$K$26:$L$180,MATCH($F282&amp;"2komm",'Корректировка НВВ'!$K$26:$K$180,0),2),"")=0,"",IFERROR(INDEX('Корректировка НВВ'!$K$26:$L$180,MATCH($F282&amp;"2komm",'Корректировка НВВ'!$K$26:$K$180,0),2),""))</f>
        <v/>
      </c>
      <c r="BP282" s="1523"/>
      <c r="BQ282" s="1184"/>
      <c r="BR282" s="1184"/>
      <c r="BS282" s="973" t="s">
        <v>2133</v>
      </c>
      <c r="BT282" s="973"/>
      <c r="BU282" s="973"/>
      <c r="BV282" s="888"/>
      <c r="BW282" s="888"/>
    </row>
    <row r="283" spans="1:75" s="1334" customFormat="1" ht="43.9" customHeight="1" x14ac:dyDescent="0.15">
      <c r="A283" s="1184"/>
      <c r="B283" s="887"/>
      <c r="C283" s="26"/>
      <c r="D283" s="26" t="str" cm="1">
        <f t="array" ref="D283">D282</f>
        <v>7</v>
      </c>
      <c r="E283" s="545">
        <v>45</v>
      </c>
      <c r="F283" s="3" t="str" cm="1">
        <f t="array" aca="1" ref="F283" ca="1">OFFSET(E283,-1,1)</f>
        <v>1</v>
      </c>
      <c r="G283" s="26"/>
      <c r="H283" s="26"/>
      <c r="I283" s="26" t="s">
        <v>606</v>
      </c>
      <c r="J283" s="26"/>
      <c r="K283" s="77" t="s">
        <v>606</v>
      </c>
      <c r="L283" s="889"/>
      <c r="M283" s="26"/>
      <c r="N283" s="26"/>
      <c r="O283" s="26"/>
      <c r="P283" s="26"/>
      <c r="Q283" s="26"/>
      <c r="R283" s="26"/>
      <c r="S283" s="26"/>
      <c r="T283" s="388" t="b" cm="1">
        <f t="array" aca="1" ref="T283" ca="1">T282</f>
        <v>1</v>
      </c>
      <c r="U283" s="26"/>
      <c r="V283" s="26"/>
      <c r="W283" s="26"/>
      <c r="X283" s="2066"/>
      <c r="Y283" s="1184"/>
      <c r="Z283" s="2012"/>
      <c r="AA283" s="1184"/>
      <c r="AB283" s="218" t="str">
        <f>D283&amp;".3"</f>
        <v>7.3</v>
      </c>
      <c r="AC283" s="682" t="s">
        <v>2134</v>
      </c>
      <c r="AD283" s="218" t="s">
        <v>831</v>
      </c>
      <c r="AE283" s="1514">
        <v>0</v>
      </c>
      <c r="AF283" s="1514"/>
      <c r="AG283" s="1514"/>
      <c r="AH283" s="1022">
        <f t="shared" si="71"/>
        <v>0</v>
      </c>
      <c r="AI283" s="1514"/>
      <c r="AJ283" s="1514">
        <f ca="1">SUMIFS('Корректировка НВВ'!$AF$25:$AF$180,'Корректировка НВВ'!$F$25:$F$180,$F283,'Корректировка НВВ'!$I$25:$I$180,"L1")+SUMIFS('Корректировка НВВ'!$AF$25:$AF$180,'Корректировка НВВ'!$F$25:$F$180,$F283,'Корректировка НВВ'!$I$25:$I$180,"L2")</f>
        <v>39751.880000000005</v>
      </c>
      <c r="AK283" s="1148"/>
      <c r="AL283" s="1148"/>
      <c r="AM283" s="1148"/>
      <c r="AN283" s="1148"/>
      <c r="AO283" s="1148"/>
      <c r="AP283" s="1148"/>
      <c r="AQ283" s="1514"/>
      <c r="AR283" s="1514"/>
      <c r="AS283" s="1514"/>
      <c r="AT283" s="1514">
        <f ca="1">SUMIFS('Корректировка НВВ'!$AG$25:$AG$180,'Корректировка НВВ'!$F$25:$F$180,$F283,'Корректировка НВВ'!$I$25:$I$180,"L1")+SUMIFS('Корректировка НВВ'!$AF$25:$AF$180,'Корректировка НВВ'!$F$25:$F$180,$F283,'Корректировка НВВ'!$I$25:$I$180,"L2")</f>
        <v>9589.0499999999884</v>
      </c>
      <c r="AU283" s="1148"/>
      <c r="AV283" s="1148"/>
      <c r="AW283" s="1148"/>
      <c r="AX283" s="1148"/>
      <c r="AY283" s="1148"/>
      <c r="AZ283" s="1148"/>
      <c r="BA283" s="1514"/>
      <c r="BB283" s="1514"/>
      <c r="BC283" s="1514"/>
      <c r="BD283" s="1023"/>
      <c r="BE283" s="1023"/>
      <c r="BF283" s="1023"/>
      <c r="BG283" s="1023"/>
      <c r="BH283" s="1023"/>
      <c r="BI283" s="1023"/>
      <c r="BJ283" s="1023"/>
      <c r="BK283" s="1023"/>
      <c r="BL283" s="1023"/>
      <c r="BM283" s="1023"/>
      <c r="BN283" s="1523"/>
      <c r="BO283" s="1525"/>
      <c r="BP283" s="1523"/>
      <c r="BQ283" s="1184"/>
      <c r="BR283" s="1184"/>
      <c r="BS283" s="973" t="s">
        <v>2135</v>
      </c>
      <c r="BT283" s="973"/>
      <c r="BU283" s="973"/>
      <c r="BV283" s="888"/>
      <c r="BW283" s="888"/>
    </row>
    <row r="284" spans="1:75" s="1334" customFormat="1" ht="87.75" hidden="1" customHeight="1" x14ac:dyDescent="0.25">
      <c r="A284" s="1184"/>
      <c r="B284" s="367" t="b">
        <f>S171="Водоотведение"</f>
        <v>0</v>
      </c>
      <c r="C284" s="26"/>
      <c r="D284" s="26" t="str" cm="1">
        <f t="array" ref="D284">D283</f>
        <v>7</v>
      </c>
      <c r="E284" s="545">
        <v>90</v>
      </c>
      <c r="F284" s="3" t="str" cm="1">
        <f t="array" aca="1" ref="F284" ca="1">OFFSET(E284,-1,1)</f>
        <v>1</v>
      </c>
      <c r="G284" s="26" t="s">
        <v>2136</v>
      </c>
      <c r="H284" s="767"/>
      <c r="I284" s="26" t="s">
        <v>772</v>
      </c>
      <c r="J284" s="26"/>
      <c r="K284" s="77" t="s">
        <v>772</v>
      </c>
      <c r="L284" s="889" t="s">
        <v>770</v>
      </c>
      <c r="M284" s="26"/>
      <c r="N284" s="26"/>
      <c r="O284" s="26"/>
      <c r="P284" s="26"/>
      <c r="Q284" s="26"/>
      <c r="R284" s="26"/>
      <c r="S284" s="26"/>
      <c r="T284" s="388" t="b" cm="1">
        <f t="array" aca="1" ref="T284" ca="1">T283</f>
        <v>1</v>
      </c>
      <c r="U284" s="26"/>
      <c r="V284" s="26"/>
      <c r="W284" s="26"/>
      <c r="X284" s="2066"/>
      <c r="Y284" s="1184"/>
      <c r="Z284" s="2012"/>
      <c r="AA284" s="1184"/>
      <c r="AB284" s="218" t="str">
        <f>D284&amp;".4"</f>
        <v>7.4</v>
      </c>
      <c r="AC284" s="682" t="s">
        <v>1799</v>
      </c>
      <c r="AD284" s="686" t="s">
        <v>831</v>
      </c>
      <c r="AE284" s="1148"/>
      <c r="AF284" s="1148"/>
      <c r="AG284" s="1148"/>
      <c r="AH284" s="1022">
        <f t="shared" si="71"/>
        <v>0</v>
      </c>
      <c r="AI284" s="1148"/>
      <c r="AJ284" s="1514">
        <f ca="1">SUMIFS('Корректировка НВВ'!$AF$25:$AF$180,'Корректировка НВВ'!$F$25:$F$180,$F284,'Корректировка НВВ'!$I$25:$I$180,$G284)</f>
        <v>0</v>
      </c>
      <c r="AK284" s="1148"/>
      <c r="AL284" s="1148"/>
      <c r="AM284" s="1148"/>
      <c r="AN284" s="1148"/>
      <c r="AO284" s="1148"/>
      <c r="AP284" s="1148"/>
      <c r="AQ284" s="1148"/>
      <c r="AR284" s="1148"/>
      <c r="AS284" s="1148"/>
      <c r="AT284" s="1514">
        <f ca="1">SUMIFS('Корректировка НВВ'!$AG$25:$AG$180,'Корректировка НВВ'!$F$25:$F$180,$F284,'Корректировка НВВ'!$I$25:$I$180,$G284)</f>
        <v>0</v>
      </c>
      <c r="AU284" s="1148"/>
      <c r="AV284" s="1148"/>
      <c r="AW284" s="1148"/>
      <c r="AX284" s="1148"/>
      <c r="AY284" s="1148"/>
      <c r="AZ284" s="1148"/>
      <c r="BA284" s="1148"/>
      <c r="BB284" s="1148"/>
      <c r="BC284" s="1148"/>
      <c r="BD284" s="1023"/>
      <c r="BE284" s="1023"/>
      <c r="BF284" s="1023"/>
      <c r="BG284" s="1023"/>
      <c r="BH284" s="1023"/>
      <c r="BI284" s="1023"/>
      <c r="BJ284" s="1023"/>
      <c r="BK284" s="1023"/>
      <c r="BL284" s="1023"/>
      <c r="BM284" s="1023"/>
      <c r="BN284" s="1145"/>
      <c r="BO284" s="1149" t="str">
        <f ca="1">IF(IFERROR(INDEX('Корректировка НВВ'!$K$26:$L$180,MATCH($F284&amp;"3komm",'Корректировка НВВ'!$K$26:$K$180,0),2),"")=0,"",IFERROR(INDEX('Корректировка НВВ'!$K$26:$L$180,MATCH($F284&amp;"3komm",'Корректировка НВВ'!$K$26:$K$180,0),2),""))</f>
        <v/>
      </c>
      <c r="BP284" s="1145"/>
      <c r="BQ284" s="1184"/>
      <c r="BR284" s="1184"/>
      <c r="BS284" s="973" t="s">
        <v>1331</v>
      </c>
      <c r="BT284" s="973"/>
      <c r="BU284" s="973"/>
      <c r="BV284" s="888"/>
      <c r="BW284" s="888"/>
    </row>
    <row r="285" spans="1:75" s="1334" customFormat="1" ht="54.75" hidden="1" customHeight="1" x14ac:dyDescent="0.25">
      <c r="A285" s="1184"/>
      <c r="B285" s="367" t="b" cm="1">
        <f t="array" ref="B285">B284</f>
        <v>0</v>
      </c>
      <c r="C285" s="26"/>
      <c r="D285" s="26" t="str" cm="1">
        <f t="array" ref="D285">D284</f>
        <v>7</v>
      </c>
      <c r="E285" s="545">
        <v>56.25</v>
      </c>
      <c r="F285" s="3" t="str" cm="1">
        <f t="array" aca="1" ref="F285" ca="1">OFFSET(E285,-1,1)</f>
        <v>1</v>
      </c>
      <c r="G285" s="26" t="s">
        <v>2137</v>
      </c>
      <c r="H285" s="767"/>
      <c r="I285" s="26" t="s">
        <v>809</v>
      </c>
      <c r="J285" s="26"/>
      <c r="K285" s="77" t="s">
        <v>809</v>
      </c>
      <c r="L285" s="889" t="s">
        <v>772</v>
      </c>
      <c r="M285" s="26"/>
      <c r="N285" s="26"/>
      <c r="O285" s="26"/>
      <c r="P285" s="26"/>
      <c r="Q285" s="26"/>
      <c r="R285" s="26"/>
      <c r="S285" s="26"/>
      <c r="T285" s="388" t="b" cm="1">
        <f t="array" aca="1" ref="T285" ca="1">T284</f>
        <v>1</v>
      </c>
      <c r="U285" s="26"/>
      <c r="V285" s="26"/>
      <c r="W285" s="26"/>
      <c r="X285" s="2066"/>
      <c r="Y285" s="1184"/>
      <c r="Z285" s="2012"/>
      <c r="AA285" s="1184"/>
      <c r="AB285" s="218" t="str">
        <f>D285&amp;".5"</f>
        <v>7.5</v>
      </c>
      <c r="AC285" s="682" t="s">
        <v>1800</v>
      </c>
      <c r="AD285" s="686" t="s">
        <v>831</v>
      </c>
      <c r="AE285" s="1148"/>
      <c r="AF285" s="1148"/>
      <c r="AG285" s="1148"/>
      <c r="AH285" s="1022">
        <f t="shared" si="71"/>
        <v>0</v>
      </c>
      <c r="AI285" s="1148"/>
      <c r="AJ285" s="1514">
        <f ca="1">SUMIFS('Корректировка НВВ'!$AF$25:$AF$180,'Корректировка НВВ'!$F$25:$F$180,$F285,'Корректировка НВВ'!$I$25:$I$180,$G285)</f>
        <v>0</v>
      </c>
      <c r="AK285" s="1148"/>
      <c r="AL285" s="1148"/>
      <c r="AM285" s="1148"/>
      <c r="AN285" s="1148"/>
      <c r="AO285" s="1148"/>
      <c r="AP285" s="1148"/>
      <c r="AQ285" s="1148"/>
      <c r="AR285" s="1148"/>
      <c r="AS285" s="1148"/>
      <c r="AT285" s="1514">
        <f ca="1">SUMIFS('Корректировка НВВ'!$AG$25:$AG$180,'Корректировка НВВ'!$F$25:$F$180,$F285,'Корректировка НВВ'!$I$25:$I$180,$G285)</f>
        <v>0</v>
      </c>
      <c r="AU285" s="1148"/>
      <c r="AV285" s="1148"/>
      <c r="AW285" s="1148"/>
      <c r="AX285" s="1148"/>
      <c r="AY285" s="1148"/>
      <c r="AZ285" s="1148"/>
      <c r="BA285" s="1148"/>
      <c r="BB285" s="1148"/>
      <c r="BC285" s="1148"/>
      <c r="BD285" s="1023"/>
      <c r="BE285" s="1023"/>
      <c r="BF285" s="1023"/>
      <c r="BG285" s="1023"/>
      <c r="BH285" s="1023"/>
      <c r="BI285" s="1023"/>
      <c r="BJ285" s="1023"/>
      <c r="BK285" s="1023"/>
      <c r="BL285" s="1023"/>
      <c r="BM285" s="1023"/>
      <c r="BN285" s="1145"/>
      <c r="BO285" s="1149" t="str">
        <f ca="1">IF(IFERROR(INDEX('Корректировка НВВ'!$K$26:$L$180,MATCH($F285&amp;"4komm",'Корректировка НВВ'!$K$26:$K$180,0),2),"")=0,"",IFERROR(INDEX('Корректировка НВВ'!$K$26:$L$180,MATCH($F285&amp;"4komm",'Корректировка НВВ'!$K$26:$K$180,0),2),""))</f>
        <v/>
      </c>
      <c r="BP285" s="1145"/>
      <c r="BQ285" s="1184"/>
      <c r="BR285" s="1184"/>
      <c r="BS285" s="973" t="s">
        <v>1335</v>
      </c>
      <c r="BT285" s="973"/>
      <c r="BU285" s="973"/>
      <c r="BV285" s="888"/>
      <c r="BW285" s="888"/>
    </row>
    <row r="286" spans="1:75" s="1334" customFormat="1" ht="14.65" customHeight="1" x14ac:dyDescent="0.15">
      <c r="A286" s="1184"/>
      <c r="B286" s="349"/>
      <c r="C286" s="26"/>
      <c r="D286" s="26" t="str" cm="1">
        <f t="array" ref="D286">D285</f>
        <v>7</v>
      </c>
      <c r="E286" s="545">
        <v>15</v>
      </c>
      <c r="F286" s="3" t="str" cm="1">
        <f t="array" aca="1" ref="F286" ca="1">OFFSET(E286,-1,1)</f>
        <v>1</v>
      </c>
      <c r="G286" s="26" t="s">
        <v>2138</v>
      </c>
      <c r="H286" s="26"/>
      <c r="I286" s="26" t="s">
        <v>810</v>
      </c>
      <c r="J286" s="26"/>
      <c r="K286" s="77" t="s">
        <v>810</v>
      </c>
      <c r="L286" s="889" t="s">
        <v>809</v>
      </c>
      <c r="M286" s="26"/>
      <c r="N286" s="26"/>
      <c r="O286" s="26"/>
      <c r="P286" s="26"/>
      <c r="Q286" s="26"/>
      <c r="R286" s="26"/>
      <c r="S286" s="26"/>
      <c r="T286" s="388" t="b" cm="1">
        <f t="array" aca="1" ref="T286" ca="1">T285</f>
        <v>1</v>
      </c>
      <c r="U286" s="26"/>
      <c r="V286" s="26"/>
      <c r="W286" s="26"/>
      <c r="X286" s="2066"/>
      <c r="Y286" s="1184"/>
      <c r="Z286" s="2012"/>
      <c r="AA286" s="1184"/>
      <c r="AB286" s="218" t="str">
        <f>IF(B285,D286&amp;".6",D286&amp;".4")</f>
        <v>7.4</v>
      </c>
      <c r="AC286" s="682" t="s">
        <v>1550</v>
      </c>
      <c r="AD286" s="218" t="s">
        <v>831</v>
      </c>
      <c r="AE286" s="1514">
        <v>0</v>
      </c>
      <c r="AF286" s="1514"/>
      <c r="AG286" s="1514"/>
      <c r="AH286" s="1022">
        <f t="shared" si="71"/>
        <v>0</v>
      </c>
      <c r="AI286" s="1514"/>
      <c r="AJ286" s="1514">
        <f ca="1">SUMIFS('Корректировка НВВ'!$AF$25:$AF$180,'Корректировка НВВ'!$F$25:$F$180,$F286,'Корректировка НВВ'!$I$25:$I$180,$G286)</f>
        <v>0</v>
      </c>
      <c r="AK286" s="1148"/>
      <c r="AL286" s="1148"/>
      <c r="AM286" s="1148"/>
      <c r="AN286" s="1148"/>
      <c r="AO286" s="1148"/>
      <c r="AP286" s="1148"/>
      <c r="AQ286" s="1514"/>
      <c r="AR286" s="1514"/>
      <c r="AS286" s="1514"/>
      <c r="AT286" s="1514">
        <f ca="1">SUMIFS('Корректировка НВВ'!$AG$25:$AG$180,'Корректировка НВВ'!$F$25:$F$180,$F286,'Корректировка НВВ'!$I$25:$I$180,$G286)</f>
        <v>0</v>
      </c>
      <c r="AU286" s="1148"/>
      <c r="AV286" s="1148"/>
      <c r="AW286" s="1148"/>
      <c r="AX286" s="1148"/>
      <c r="AY286" s="1148"/>
      <c r="AZ286" s="1148"/>
      <c r="BA286" s="1514"/>
      <c r="BB286" s="1514"/>
      <c r="BC286" s="1514"/>
      <c r="BD286" s="1023"/>
      <c r="BE286" s="1023"/>
      <c r="BF286" s="1023"/>
      <c r="BG286" s="1023"/>
      <c r="BH286" s="1023"/>
      <c r="BI286" s="1023"/>
      <c r="BJ286" s="1023"/>
      <c r="BK286" s="1023"/>
      <c r="BL286" s="1023"/>
      <c r="BM286" s="1023"/>
      <c r="BN286" s="1523"/>
      <c r="BO286" s="1525" t="str">
        <f ca="1">IF(IFERROR(INDEX('Корректировка НВВ'!$K$26:$L$180,MATCH($F286&amp;"5komm",'Корректировка НВВ'!$K$26:$K$180,0),2),"")=0,"",IFERROR(INDEX('Корректировка НВВ'!$K$26:$L$180,MATCH($F286&amp;"5komm",'Корректировка НВВ'!$K$26:$K$180,0),2),""))</f>
        <v/>
      </c>
      <c r="BP286" s="1523"/>
      <c r="BQ286" s="1184"/>
      <c r="BR286" s="1184"/>
      <c r="BS286" s="973" t="s">
        <v>2139</v>
      </c>
      <c r="BT286" s="973"/>
      <c r="BU286" s="973"/>
      <c r="BV286" s="888"/>
      <c r="BW286" s="888"/>
    </row>
    <row r="287" spans="1:75" s="1334" customFormat="1" ht="14.25" customHeight="1" x14ac:dyDescent="0.15">
      <c r="A287" s="1184"/>
      <c r="B287" s="887"/>
      <c r="C287" s="26"/>
      <c r="D287" s="26" t="str" cm="1">
        <f t="array" ref="D287">D286</f>
        <v>7</v>
      </c>
      <c r="E287" s="545">
        <v>15</v>
      </c>
      <c r="F287" s="3" t="str" cm="1">
        <f t="array" aca="1" ref="F287" ca="1">OFFSET(E287,-1,1)</f>
        <v>1</v>
      </c>
      <c r="G287" s="26" t="s">
        <v>2140</v>
      </c>
      <c r="H287" s="26"/>
      <c r="I287" s="26" t="s">
        <v>1809</v>
      </c>
      <c r="J287" s="26"/>
      <c r="K287" s="77" t="s">
        <v>1809</v>
      </c>
      <c r="L287" s="889" t="s">
        <v>810</v>
      </c>
      <c r="M287" s="26"/>
      <c r="N287" s="26"/>
      <c r="O287" s="26"/>
      <c r="P287" s="26"/>
      <c r="Q287" s="26"/>
      <c r="R287" s="26"/>
      <c r="S287" s="26"/>
      <c r="T287" s="388" t="b" cm="1">
        <f t="array" aca="1" ref="T287" ca="1">T286</f>
        <v>1</v>
      </c>
      <c r="U287" s="26"/>
      <c r="V287" s="26"/>
      <c r="W287" s="26"/>
      <c r="X287" s="2066"/>
      <c r="Y287" s="1184"/>
      <c r="Z287" s="2012"/>
      <c r="AA287" s="1184"/>
      <c r="AB287" s="218" t="str">
        <f>IF(B285,D286&amp;".7",D286&amp;".5")</f>
        <v>7.5</v>
      </c>
      <c r="AC287" s="682" t="s">
        <v>1512</v>
      </c>
      <c r="AD287" s="218" t="s">
        <v>831</v>
      </c>
      <c r="AE287" s="1514">
        <f>AE288+AE289</f>
        <v>0</v>
      </c>
      <c r="AF287" s="1514">
        <f>AF288+AF289</f>
        <v>0</v>
      </c>
      <c r="AG287" s="1514">
        <f>AG288+AG289</f>
        <v>0</v>
      </c>
      <c r="AH287" s="1022">
        <f t="shared" si="71"/>
        <v>0</v>
      </c>
      <c r="AI287" s="1514">
        <f>AI288+AI289</f>
        <v>0</v>
      </c>
      <c r="AJ287" s="1514">
        <f ca="1">SUMIFS('Корректировка НВВ'!$AF$25:$AF$180,'Корректировка НВВ'!$F$25:$F$180,$F287,'Корректировка НВВ'!$I$25:$I$180,$G287)</f>
        <v>0</v>
      </c>
      <c r="AK287" s="1148">
        <f t="shared" ref="AK287:AS287" si="72">AK288+AK289</f>
        <v>0</v>
      </c>
      <c r="AL287" s="1148">
        <f t="shared" si="72"/>
        <v>0</v>
      </c>
      <c r="AM287" s="1148">
        <f t="shared" si="72"/>
        <v>0</v>
      </c>
      <c r="AN287" s="1148">
        <f t="shared" si="72"/>
        <v>0</v>
      </c>
      <c r="AO287" s="1148">
        <f t="shared" si="72"/>
        <v>0</v>
      </c>
      <c r="AP287" s="1148">
        <f t="shared" si="72"/>
        <v>0</v>
      </c>
      <c r="AQ287" s="1514">
        <f t="shared" si="72"/>
        <v>0</v>
      </c>
      <c r="AR287" s="1514">
        <f t="shared" si="72"/>
        <v>0</v>
      </c>
      <c r="AS287" s="1514">
        <f t="shared" si="72"/>
        <v>0</v>
      </c>
      <c r="AT287" s="1514">
        <f ca="1">SUMIFS('Корректировка НВВ'!$AG$25:$AG$180,'Корректировка НВВ'!$F$25:$F$180,$F287,'Корректировка НВВ'!$I$25:$I$180,$G287)</f>
        <v>0</v>
      </c>
      <c r="AU287" s="1148">
        <f t="shared" ref="AU287:BC287" si="73">AU288+AU289</f>
        <v>0</v>
      </c>
      <c r="AV287" s="1148">
        <f t="shared" si="73"/>
        <v>0</v>
      </c>
      <c r="AW287" s="1148">
        <f t="shared" si="73"/>
        <v>0</v>
      </c>
      <c r="AX287" s="1148">
        <f t="shared" si="73"/>
        <v>0</v>
      </c>
      <c r="AY287" s="1148">
        <f t="shared" si="73"/>
        <v>0</v>
      </c>
      <c r="AZ287" s="1148">
        <f t="shared" si="73"/>
        <v>0</v>
      </c>
      <c r="BA287" s="1514">
        <f t="shared" si="73"/>
        <v>0</v>
      </c>
      <c r="BB287" s="1514">
        <f t="shared" si="73"/>
        <v>0</v>
      </c>
      <c r="BC287" s="1514">
        <f t="shared" si="73"/>
        <v>0</v>
      </c>
      <c r="BD287" s="1022">
        <f>IF(AI287=0,0,(AT287-AI287)/AI287*100)</f>
        <v>0</v>
      </c>
      <c r="BE287" s="1022">
        <f t="shared" ref="BE287:BM287" ca="1" si="74">IF(AT287=0,0,(AU287-AT287)/AT287*100)</f>
        <v>0</v>
      </c>
      <c r="BF287" s="1022">
        <f t="shared" si="74"/>
        <v>0</v>
      </c>
      <c r="BG287" s="1022">
        <f t="shared" si="74"/>
        <v>0</v>
      </c>
      <c r="BH287" s="1022">
        <f t="shared" si="74"/>
        <v>0</v>
      </c>
      <c r="BI287" s="1022">
        <f t="shared" si="74"/>
        <v>0</v>
      </c>
      <c r="BJ287" s="1022">
        <f t="shared" si="74"/>
        <v>0</v>
      </c>
      <c r="BK287" s="1022">
        <f t="shared" si="74"/>
        <v>0</v>
      </c>
      <c r="BL287" s="1022">
        <f t="shared" si="74"/>
        <v>0</v>
      </c>
      <c r="BM287" s="1022">
        <f t="shared" si="74"/>
        <v>0</v>
      </c>
      <c r="BN287" s="1523"/>
      <c r="BO287" s="1525" t="str">
        <f ca="1">IF(IFERROR(INDEX('Корректировка НВВ'!$K$26:$L$180,MATCH($F287&amp;"6komm",'Корректировка НВВ'!$K$26:$K$180,0),2),"")=0,"",IFERROR(INDEX('Корректировка НВВ'!$K$26:$L$180,MATCH($F287&amp;"6komm",'Корректировка НВВ'!$K$26:$K$180,0),2),""))</f>
        <v/>
      </c>
      <c r="BP287" s="1523"/>
      <c r="BQ287" s="1184"/>
      <c r="BR287" s="1184"/>
      <c r="BS287" s="973" t="s">
        <v>1514</v>
      </c>
      <c r="BT287" s="973"/>
      <c r="BU287" s="973"/>
      <c r="BV287" s="888"/>
      <c r="BW287" s="888"/>
    </row>
    <row r="288" spans="1:75" s="1334" customFormat="1" ht="21.95" customHeight="1" x14ac:dyDescent="0.15">
      <c r="A288" s="1184"/>
      <c r="B288" s="887"/>
      <c r="C288" s="26"/>
      <c r="D288" s="26" t="str" cm="1">
        <f t="array" ref="D288">D287</f>
        <v>7</v>
      </c>
      <c r="E288" s="545">
        <v>22.5</v>
      </c>
      <c r="F288" s="3" t="str" cm="1">
        <f t="array" aca="1" ref="F288" ca="1">OFFSET(E288,-1,1)</f>
        <v>1</v>
      </c>
      <c r="G288" s="26" t="s">
        <v>2141</v>
      </c>
      <c r="H288" s="26"/>
      <c r="I288" s="26" t="s">
        <v>2142</v>
      </c>
      <c r="J288" s="26"/>
      <c r="K288" s="77" t="s">
        <v>2142</v>
      </c>
      <c r="L288" s="889" t="s">
        <v>1804</v>
      </c>
      <c r="M288" s="26"/>
      <c r="N288" s="26"/>
      <c r="O288" s="26"/>
      <c r="P288" s="26"/>
      <c r="Q288" s="26"/>
      <c r="R288" s="26"/>
      <c r="S288" s="26"/>
      <c r="T288" s="388" t="b" cm="1">
        <f t="array" aca="1" ref="T288" ca="1">T287</f>
        <v>1</v>
      </c>
      <c r="U288" s="26"/>
      <c r="V288" s="26"/>
      <c r="W288" s="26"/>
      <c r="X288" s="2066"/>
      <c r="Y288" s="1184"/>
      <c r="Z288" s="2012"/>
      <c r="AA288" s="1184"/>
      <c r="AB288" s="218" t="str">
        <f>AB287&amp;".1"</f>
        <v>7.5.1</v>
      </c>
      <c r="AC288" s="701" t="s">
        <v>1515</v>
      </c>
      <c r="AD288" s="218" t="s">
        <v>831</v>
      </c>
      <c r="AE288" s="1514">
        <v>0</v>
      </c>
      <c r="AF288" s="1514"/>
      <c r="AG288" s="1514"/>
      <c r="AH288" s="1022">
        <f t="shared" si="71"/>
        <v>0</v>
      </c>
      <c r="AI288" s="1514"/>
      <c r="AJ288" s="1514">
        <f ca="1">SUMIFS('Корректировка НВВ'!$AF$25:$AF$180,'Корректировка НВВ'!$F$25:$F$180,$F288,'Корректировка НВВ'!$I$25:$I$180,$G288)</f>
        <v>0</v>
      </c>
      <c r="AK288" s="1148"/>
      <c r="AL288" s="1148"/>
      <c r="AM288" s="1148"/>
      <c r="AN288" s="1148"/>
      <c r="AO288" s="1148"/>
      <c r="AP288" s="1148"/>
      <c r="AQ288" s="1514"/>
      <c r="AR288" s="1514"/>
      <c r="AS288" s="1514"/>
      <c r="AT288" s="1514">
        <f ca="1">SUMIFS('Корректировка НВВ'!$AG$25:$AG$180,'Корректировка НВВ'!$F$25:$F$180,$F288,'Корректировка НВВ'!$I$25:$I$180,$G288)</f>
        <v>0</v>
      </c>
      <c r="AU288" s="1148"/>
      <c r="AV288" s="1148"/>
      <c r="AW288" s="1148"/>
      <c r="AX288" s="1148"/>
      <c r="AY288" s="1148"/>
      <c r="AZ288" s="1148"/>
      <c r="BA288" s="1514"/>
      <c r="BB288" s="1514"/>
      <c r="BC288" s="1514"/>
      <c r="BD288" s="1023"/>
      <c r="BE288" s="1023"/>
      <c r="BF288" s="1023"/>
      <c r="BG288" s="1023"/>
      <c r="BH288" s="1023"/>
      <c r="BI288" s="1023"/>
      <c r="BJ288" s="1023"/>
      <c r="BK288" s="1023"/>
      <c r="BL288" s="1023"/>
      <c r="BM288" s="1023"/>
      <c r="BN288" s="1523"/>
      <c r="BO288" s="1525" t="str">
        <f ca="1">IF(IFERROR(INDEX('Корректировка НВВ'!$K$26:$L$180,MATCH($F288&amp;"7komm",'Корректировка НВВ'!$K$26:$K$180,0),2),"")=0,"",IFERROR(INDEX('Корректировка НВВ'!$K$26:$L$180,MATCH($F288&amp;"7komm",'Корректировка НВВ'!$K$26:$K$180,0),2),""))</f>
        <v/>
      </c>
      <c r="BP288" s="1523"/>
      <c r="BQ288" s="1184"/>
      <c r="BR288" s="1184"/>
      <c r="BS288" s="973" t="s">
        <v>1516</v>
      </c>
      <c r="BT288" s="973"/>
      <c r="BU288" s="973"/>
      <c r="BV288" s="888"/>
      <c r="BW288" s="888"/>
    </row>
    <row r="289" spans="1:75" s="1334" customFormat="1" ht="21.95" customHeight="1" x14ac:dyDescent="0.15">
      <c r="A289" s="1184"/>
      <c r="B289" s="887"/>
      <c r="C289" s="26"/>
      <c r="D289" s="26" t="str" cm="1">
        <f t="array" ref="D289">D288</f>
        <v>7</v>
      </c>
      <c r="E289" s="545">
        <v>22.5</v>
      </c>
      <c r="F289" s="3" t="str" cm="1">
        <f t="array" aca="1" ref="F289" ca="1">OFFSET(E289,-1,1)</f>
        <v>1</v>
      </c>
      <c r="G289" s="26" t="s">
        <v>2143</v>
      </c>
      <c r="H289" s="26"/>
      <c r="I289" s="26" t="s">
        <v>2144</v>
      </c>
      <c r="J289" s="26"/>
      <c r="K289" s="77" t="s">
        <v>2144</v>
      </c>
      <c r="L289" s="889" t="s">
        <v>1806</v>
      </c>
      <c r="M289" s="26"/>
      <c r="N289" s="26"/>
      <c r="O289" s="26"/>
      <c r="P289" s="26"/>
      <c r="Q289" s="26"/>
      <c r="R289" s="26"/>
      <c r="S289" s="26"/>
      <c r="T289" s="388" t="b" cm="1">
        <f t="array" aca="1" ref="T289" ca="1">T288</f>
        <v>1</v>
      </c>
      <c r="U289" s="26"/>
      <c r="V289" s="26"/>
      <c r="W289" s="26"/>
      <c r="X289" s="2066"/>
      <c r="Y289" s="1184"/>
      <c r="Z289" s="2012"/>
      <c r="AA289" s="1184"/>
      <c r="AB289" s="218" t="str">
        <f>AB287&amp;".2"</f>
        <v>7.5.2</v>
      </c>
      <c r="AC289" s="701" t="s">
        <v>1517</v>
      </c>
      <c r="AD289" s="218" t="s">
        <v>831</v>
      </c>
      <c r="AE289" s="1514">
        <v>0</v>
      </c>
      <c r="AF289" s="1514"/>
      <c r="AG289" s="1514"/>
      <c r="AH289" s="1022">
        <f t="shared" si="71"/>
        <v>0</v>
      </c>
      <c r="AI289" s="1514"/>
      <c r="AJ289" s="1514">
        <f ca="1">SUMIFS('Корректировка НВВ'!$AF$25:$AF$180,'Корректировка НВВ'!$F$25:$F$180,$F289,'Корректировка НВВ'!$I$25:$I$180,$G289)</f>
        <v>0</v>
      </c>
      <c r="AK289" s="1148"/>
      <c r="AL289" s="1148"/>
      <c r="AM289" s="1148"/>
      <c r="AN289" s="1148"/>
      <c r="AO289" s="1148"/>
      <c r="AP289" s="1148"/>
      <c r="AQ289" s="1514"/>
      <c r="AR289" s="1514"/>
      <c r="AS289" s="1514"/>
      <c r="AT289" s="1514">
        <f ca="1">SUMIFS('Корректировка НВВ'!$AG$25:$AG$180,'Корректировка НВВ'!$F$25:$F$180,$F289,'Корректировка НВВ'!$I$25:$I$180,$G289)</f>
        <v>0</v>
      </c>
      <c r="AU289" s="1148"/>
      <c r="AV289" s="1148"/>
      <c r="AW289" s="1148"/>
      <c r="AX289" s="1148"/>
      <c r="AY289" s="1148"/>
      <c r="AZ289" s="1148"/>
      <c r="BA289" s="1514"/>
      <c r="BB289" s="1514"/>
      <c r="BC289" s="1514"/>
      <c r="BD289" s="1023"/>
      <c r="BE289" s="1023"/>
      <c r="BF289" s="1023"/>
      <c r="BG289" s="1023"/>
      <c r="BH289" s="1023"/>
      <c r="BI289" s="1023"/>
      <c r="BJ289" s="1023"/>
      <c r="BK289" s="1023"/>
      <c r="BL289" s="1023"/>
      <c r="BM289" s="1023"/>
      <c r="BN289" s="1523"/>
      <c r="BO289" s="1525" t="str">
        <f ca="1">IF(IFERROR(INDEX('Корректировка НВВ'!$K$26:$L$180,MATCH($F289&amp;"8komm",'Корректировка НВВ'!$K$26:$K$180,0),2),"")=0,"",IFERROR(INDEX('Корректировка НВВ'!$K$26:$L$180,MATCH($F289&amp;"8komm",'Корректировка НВВ'!$K$26:$K$180,0),2),""))</f>
        <v/>
      </c>
      <c r="BP289" s="1523"/>
      <c r="BQ289" s="1184"/>
      <c r="BR289" s="1184"/>
      <c r="BS289" s="973" t="s">
        <v>1518</v>
      </c>
      <c r="BT289" s="973"/>
      <c r="BU289" s="973"/>
      <c r="BV289" s="888"/>
      <c r="BW289" s="888"/>
    </row>
    <row r="290" spans="1:75" s="1334" customFormat="1" ht="14.65" customHeight="1" x14ac:dyDescent="0.15">
      <c r="A290" s="1184"/>
      <c r="B290" s="887"/>
      <c r="C290" s="26"/>
      <c r="D290" s="26" t="str" cm="1">
        <f t="array" ref="D290">D289</f>
        <v>7</v>
      </c>
      <c r="E290" s="545">
        <v>15</v>
      </c>
      <c r="F290" s="3" t="str" cm="1">
        <f t="array" aca="1" ref="F290" ca="1">OFFSET(E290,-1,1)</f>
        <v>1</v>
      </c>
      <c r="G290" s="26" t="s">
        <v>318</v>
      </c>
      <c r="H290" s="26"/>
      <c r="I290" s="26" t="s">
        <v>1810</v>
      </c>
      <c r="J290" s="26"/>
      <c r="K290" s="77" t="s">
        <v>1810</v>
      </c>
      <c r="L290" s="889" t="s">
        <v>1809</v>
      </c>
      <c r="M290" s="26"/>
      <c r="N290" s="26"/>
      <c r="O290" s="26"/>
      <c r="P290" s="26"/>
      <c r="Q290" s="26"/>
      <c r="R290" s="26"/>
      <c r="S290" s="26"/>
      <c r="T290" s="388" t="b" cm="1">
        <f t="array" aca="1" ref="T290" ca="1">T289</f>
        <v>1</v>
      </c>
      <c r="U290" s="26"/>
      <c r="V290" s="26"/>
      <c r="W290" s="26"/>
      <c r="X290" s="2066"/>
      <c r="Y290" s="1184"/>
      <c r="Z290" s="2012"/>
      <c r="AA290" s="1184"/>
      <c r="AB290" s="218" t="str">
        <f>IF(B285,D286&amp;".8",D286&amp;".6")</f>
        <v>7.6</v>
      </c>
      <c r="AC290" s="702" t="s">
        <v>1519</v>
      </c>
      <c r="AD290" s="218" t="s">
        <v>831</v>
      </c>
      <c r="AE290" s="1514">
        <v>0</v>
      </c>
      <c r="AF290" s="1514"/>
      <c r="AG290" s="1514"/>
      <c r="AH290" s="1022">
        <f t="shared" si="71"/>
        <v>0</v>
      </c>
      <c r="AI290" s="1514"/>
      <c r="AJ290" s="1514">
        <f ca="1">SUMIFS('Корректировка НВВ'!$AF$25:$AF$180,'Корректировка НВВ'!$F$25:$F$180,$F290,'Корректировка НВВ'!$I$25:$I$180,$G290)</f>
        <v>0</v>
      </c>
      <c r="AK290" s="1148"/>
      <c r="AL290" s="1148"/>
      <c r="AM290" s="1148"/>
      <c r="AN290" s="1148"/>
      <c r="AO290" s="1148"/>
      <c r="AP290" s="1148"/>
      <c r="AQ290" s="1514"/>
      <c r="AR290" s="1514"/>
      <c r="AS290" s="1514"/>
      <c r="AT290" s="1514">
        <f ca="1">SUMIFS('Корректировка НВВ'!$AG$25:$AG$180,'Корректировка НВВ'!$F$25:$F$180,$F290,'Корректировка НВВ'!$I$25:$I$180,$G290)</f>
        <v>0</v>
      </c>
      <c r="AU290" s="1148"/>
      <c r="AV290" s="1148"/>
      <c r="AW290" s="1148"/>
      <c r="AX290" s="1148"/>
      <c r="AY290" s="1148"/>
      <c r="AZ290" s="1148"/>
      <c r="BA290" s="1514"/>
      <c r="BB290" s="1514"/>
      <c r="BC290" s="1514"/>
      <c r="BD290" s="1023"/>
      <c r="BE290" s="1023"/>
      <c r="BF290" s="1023"/>
      <c r="BG290" s="1023"/>
      <c r="BH290" s="1023"/>
      <c r="BI290" s="1023"/>
      <c r="BJ290" s="1023"/>
      <c r="BK290" s="1023"/>
      <c r="BL290" s="1023"/>
      <c r="BM290" s="1023"/>
      <c r="BN290" s="1523"/>
      <c r="BO290" s="1525" t="str">
        <f ca="1">IF(IFERROR(INDEX('Корректировка НВВ'!$K$26:$L$180,MATCH($F290&amp;"9komm",'Корректировка НВВ'!$K$26:$K$180,0),2),"")=0,"",IFERROR(INDEX('Корректировка НВВ'!$K$26:$L$180,MATCH($F290&amp;"9komm",'Корректировка НВВ'!$K$26:$K$180,0),2),""))</f>
        <v/>
      </c>
      <c r="BP290" s="1523"/>
      <c r="BQ290" s="1184"/>
      <c r="BR290" s="1184"/>
      <c r="BS290" s="973" t="s">
        <v>2145</v>
      </c>
      <c r="BT290" s="973"/>
      <c r="BU290" s="973"/>
      <c r="BV290" s="888"/>
      <c r="BW290" s="888"/>
    </row>
    <row r="291" spans="1:75" s="1334" customFormat="1" ht="14.65" customHeight="1" x14ac:dyDescent="0.15">
      <c r="A291" s="1184"/>
      <c r="B291" s="887"/>
      <c r="C291" s="26"/>
      <c r="D291" s="26" t="str" cm="1">
        <f t="array" ref="D291">D290</f>
        <v>7</v>
      </c>
      <c r="E291" s="545">
        <v>15</v>
      </c>
      <c r="F291" s="3" t="str" cm="1">
        <f t="array" aca="1" ref="F291" ca="1">OFFSET(E291,-1,1)</f>
        <v>1</v>
      </c>
      <c r="G291" s="26" t="s">
        <v>2146</v>
      </c>
      <c r="H291" s="26"/>
      <c r="I291" s="26" t="s">
        <v>1812</v>
      </c>
      <c r="J291" s="26"/>
      <c r="K291" s="77" t="s">
        <v>1812</v>
      </c>
      <c r="L291" s="889" t="s">
        <v>1810</v>
      </c>
      <c r="M291" s="26"/>
      <c r="N291" s="26"/>
      <c r="O291" s="26"/>
      <c r="P291" s="26"/>
      <c r="Q291" s="26"/>
      <c r="R291" s="26"/>
      <c r="S291" s="26"/>
      <c r="T291" s="388" t="b" cm="1">
        <f t="array" aca="1" ref="T291" ca="1">T290</f>
        <v>1</v>
      </c>
      <c r="U291" s="26"/>
      <c r="V291" s="26"/>
      <c r="W291" s="26"/>
      <c r="X291" s="2066"/>
      <c r="Y291" s="1184"/>
      <c r="Z291" s="2012"/>
      <c r="AA291" s="1184"/>
      <c r="AB291" s="218" t="str">
        <f>IF(B285,D286&amp;".9",D286&amp;".7")</f>
        <v>7.7</v>
      </c>
      <c r="AC291" s="702" t="s">
        <v>1521</v>
      </c>
      <c r="AD291" s="218" t="s">
        <v>831</v>
      </c>
      <c r="AE291" s="1514">
        <v>0</v>
      </c>
      <c r="AF291" s="1514"/>
      <c r="AG291" s="1514"/>
      <c r="AH291" s="1022">
        <f t="shared" si="71"/>
        <v>0</v>
      </c>
      <c r="AI291" s="1514"/>
      <c r="AJ291" s="1514">
        <f ca="1">SUMIFS('Корректировка НВВ'!$AF$25:$AF$180,'Корректировка НВВ'!$F$25:$F$180,$F291,'Корректировка НВВ'!$I$25:$I$180,$G291)</f>
        <v>0</v>
      </c>
      <c r="AK291" s="1148"/>
      <c r="AL291" s="1148"/>
      <c r="AM291" s="1148"/>
      <c r="AN291" s="1148"/>
      <c r="AO291" s="1148"/>
      <c r="AP291" s="1148"/>
      <c r="AQ291" s="1514"/>
      <c r="AR291" s="1514"/>
      <c r="AS291" s="1514"/>
      <c r="AT291" s="1514">
        <f ca="1">SUMIFS('Корректировка НВВ'!$AG$25:$AG$180,'Корректировка НВВ'!$F$25:$F$180,$F291,'Корректировка НВВ'!$I$25:$I$180,$G291)</f>
        <v>0</v>
      </c>
      <c r="AU291" s="1148"/>
      <c r="AV291" s="1148"/>
      <c r="AW291" s="1148"/>
      <c r="AX291" s="1148"/>
      <c r="AY291" s="1148"/>
      <c r="AZ291" s="1148"/>
      <c r="BA291" s="1514"/>
      <c r="BB291" s="1514"/>
      <c r="BC291" s="1514"/>
      <c r="BD291" s="1023"/>
      <c r="BE291" s="1023"/>
      <c r="BF291" s="1023"/>
      <c r="BG291" s="1023"/>
      <c r="BH291" s="1023"/>
      <c r="BI291" s="1023"/>
      <c r="BJ291" s="1023"/>
      <c r="BK291" s="1023"/>
      <c r="BL291" s="1023"/>
      <c r="BM291" s="1023"/>
      <c r="BN291" s="1523"/>
      <c r="BO291" s="1525" t="str">
        <f ca="1">IF(IFERROR(INDEX('Корректировка НВВ'!$K$26:$L$180,MATCH($F291&amp;"10komm",'Корректировка НВВ'!$K$26:$K$180,0),2),"")=0,"",IFERROR(INDEX('Корректировка НВВ'!$K$26:$L$180,MATCH($F291&amp;"10komm",'Корректировка НВВ'!$K$26:$K$180,0),2),""))</f>
        <v/>
      </c>
      <c r="BP291" s="1523"/>
      <c r="BQ291" s="1184"/>
      <c r="BR291" s="1184"/>
      <c r="BS291" s="973" t="s">
        <v>1522</v>
      </c>
      <c r="BT291" s="973"/>
      <c r="BU291" s="973"/>
      <c r="BV291" s="888"/>
      <c r="BW291" s="888"/>
    </row>
    <row r="292" spans="1:75" s="1537" customFormat="1" ht="222.75" customHeight="1" x14ac:dyDescent="0.15">
      <c r="A292" s="623"/>
      <c r="B292" s="357"/>
      <c r="C292" s="28"/>
      <c r="D292" s="28">
        <f>D291+1</f>
        <v>8</v>
      </c>
      <c r="E292" s="745">
        <v>21</v>
      </c>
      <c r="F292" s="3" t="str" cm="1">
        <f t="array" aca="1" ref="F292" ca="1">OFFSET(E292,-1,1)</f>
        <v>1</v>
      </c>
      <c r="G292" s="28"/>
      <c r="H292" s="28"/>
      <c r="I292" s="28" t="s">
        <v>613</v>
      </c>
      <c r="J292" s="28"/>
      <c r="K292" s="81" t="s">
        <v>613</v>
      </c>
      <c r="L292" s="894"/>
      <c r="M292" s="28"/>
      <c r="N292" s="28"/>
      <c r="O292" s="28"/>
      <c r="P292" s="28"/>
      <c r="Q292" s="28"/>
      <c r="R292" s="28"/>
      <c r="S292" s="28"/>
      <c r="T292" s="388" t="b" cm="1">
        <f t="array" aca="1" ref="T292" ca="1">T291</f>
        <v>1</v>
      </c>
      <c r="U292" s="28"/>
      <c r="V292" s="28"/>
      <c r="W292" s="28"/>
      <c r="X292" s="2066"/>
      <c r="Y292" s="623"/>
      <c r="Z292" s="2012"/>
      <c r="AA292" s="623"/>
      <c r="AB292" s="130" cm="1">
        <f t="array" ref="AB292">D292</f>
        <v>8</v>
      </c>
      <c r="AC292" s="131" t="s">
        <v>2147</v>
      </c>
      <c r="AD292" s="130" t="s">
        <v>831</v>
      </c>
      <c r="AE292" s="1518"/>
      <c r="AF292" s="1518"/>
      <c r="AG292" s="1518"/>
      <c r="AH292" s="698">
        <f t="shared" si="71"/>
        <v>0</v>
      </c>
      <c r="AI292" s="1518">
        <v>-3500</v>
      </c>
      <c r="AJ292" s="1518"/>
      <c r="AK292" s="1144"/>
      <c r="AL292" s="1144"/>
      <c r="AM292" s="1144"/>
      <c r="AN292" s="1144"/>
      <c r="AO292" s="1144"/>
      <c r="AP292" s="1144"/>
      <c r="AQ292" s="1518"/>
      <c r="AR292" s="1518"/>
      <c r="AS292" s="1518"/>
      <c r="AT292" s="1518">
        <v>400</v>
      </c>
      <c r="AU292" s="1144">
        <v>3100</v>
      </c>
      <c r="AV292" s="1144">
        <v>4000</v>
      </c>
      <c r="AW292" s="1144"/>
      <c r="AX292" s="1144">
        <v>2500</v>
      </c>
      <c r="AY292" s="1144">
        <v>2000</v>
      </c>
      <c r="AZ292" s="1144">
        <v>-8500</v>
      </c>
      <c r="BA292" s="1518"/>
      <c r="BB292" s="1518"/>
      <c r="BC292" s="1518"/>
      <c r="BD292" s="135"/>
      <c r="BE292" s="135"/>
      <c r="BF292" s="135"/>
      <c r="BG292" s="135"/>
      <c r="BH292" s="135"/>
      <c r="BI292" s="135"/>
      <c r="BJ292" s="135"/>
      <c r="BK292" s="135"/>
      <c r="BL292" s="135"/>
      <c r="BM292" s="135"/>
      <c r="BN292" s="1524"/>
      <c r="BO292" s="1524" t="s">
        <v>2195</v>
      </c>
      <c r="BP292" s="1524"/>
      <c r="BQ292" s="623"/>
      <c r="BR292" s="623"/>
      <c r="BS292" s="979" t="s">
        <v>2148</v>
      </c>
      <c r="BT292" s="979"/>
      <c r="BU292" s="979"/>
      <c r="BV292" s="630"/>
      <c r="BW292" s="630"/>
    </row>
    <row r="293" spans="1:75" s="1334" customFormat="1" ht="14.25" customHeight="1" x14ac:dyDescent="0.15">
      <c r="A293" s="1184"/>
      <c r="B293" s="887"/>
      <c r="C293" s="26"/>
      <c r="D293" s="28" cm="1">
        <f t="array" ref="D293">D292</f>
        <v>8</v>
      </c>
      <c r="E293" s="545">
        <v>15</v>
      </c>
      <c r="F293" s="3" t="str" cm="1">
        <f t="array" aca="1" ref="F293" ca="1">OFFSET(E293,-1,1)</f>
        <v>1</v>
      </c>
      <c r="G293" s="26"/>
      <c r="H293" s="26"/>
      <c r="I293" s="26" t="s">
        <v>616</v>
      </c>
      <c r="J293" s="26"/>
      <c r="K293" s="77" t="s">
        <v>616</v>
      </c>
      <c r="L293" s="889"/>
      <c r="M293" s="26"/>
      <c r="N293" s="26"/>
      <c r="O293" s="26"/>
      <c r="P293" s="26"/>
      <c r="Q293" s="26"/>
      <c r="R293" s="26"/>
      <c r="S293" s="26"/>
      <c r="T293" s="388" t="b" cm="1">
        <f t="array" aca="1" ref="T293" ca="1">T292</f>
        <v>1</v>
      </c>
      <c r="U293" s="26"/>
      <c r="V293" s="26"/>
      <c r="W293" s="26"/>
      <c r="X293" s="2066"/>
      <c r="Y293" s="1184"/>
      <c r="Z293" s="2012"/>
      <c r="AA293" s="1184"/>
      <c r="AB293" s="218" t="str">
        <f>D293&amp;".1"</f>
        <v>8.1</v>
      </c>
      <c r="AC293" s="682" t="s">
        <v>2149</v>
      </c>
      <c r="AD293" s="218" t="s">
        <v>490</v>
      </c>
      <c r="AE293" s="1022">
        <f ca="1">IF(AE294=0,0,AE292/(AE294+AE279)*100)</f>
        <v>0</v>
      </c>
      <c r="AF293" s="1022">
        <f ca="1">IF(AF294=0,0,AF292/(AF294+AF279)*100)</f>
        <v>0</v>
      </c>
      <c r="AG293" s="1022">
        <f ca="1">IF(AG294=0,0,AG292/(AG294+AG279)*100)</f>
        <v>0</v>
      </c>
      <c r="AH293" s="1022">
        <f t="shared" ca="1" si="71"/>
        <v>0</v>
      </c>
      <c r="AI293" s="1022">
        <f t="shared" ref="AI293:BC293" ca="1" si="75">IF(AI294=0,0,AI292/(AI294+AI279)*100)</f>
        <v>-2.891108671262097</v>
      </c>
      <c r="AJ293" s="1022">
        <f t="shared" ca="1" si="75"/>
        <v>0</v>
      </c>
      <c r="AK293" s="1022">
        <f t="shared" ca="1" si="75"/>
        <v>0</v>
      </c>
      <c r="AL293" s="1022">
        <f t="shared" ca="1" si="75"/>
        <v>0</v>
      </c>
      <c r="AM293" s="1022">
        <f t="shared" ca="1" si="75"/>
        <v>0</v>
      </c>
      <c r="AN293" s="1022">
        <f t="shared" ca="1" si="75"/>
        <v>0</v>
      </c>
      <c r="AO293" s="1022">
        <f t="shared" ca="1" si="75"/>
        <v>0</v>
      </c>
      <c r="AP293" s="1022">
        <f t="shared" ca="1" si="75"/>
        <v>0</v>
      </c>
      <c r="AQ293" s="1022">
        <f t="shared" ca="1" si="75"/>
        <v>0</v>
      </c>
      <c r="AR293" s="1022">
        <f t="shared" ca="1" si="75"/>
        <v>0</v>
      </c>
      <c r="AS293" s="1022">
        <f t="shared" ca="1" si="75"/>
        <v>0</v>
      </c>
      <c r="AT293" s="1022">
        <f t="shared" ca="1" si="75"/>
        <v>0.28361616728292038</v>
      </c>
      <c r="AU293" s="1022">
        <f t="shared" ca="1" si="75"/>
        <v>1.2943749183734092</v>
      </c>
      <c r="AV293" s="1022">
        <f t="shared" ca="1" si="75"/>
        <v>1.606369201689567</v>
      </c>
      <c r="AW293" s="1022">
        <f t="shared" ca="1" si="75"/>
        <v>0</v>
      </c>
      <c r="AX293" s="1022">
        <f t="shared" ca="1" si="75"/>
        <v>0.91485998205416297</v>
      </c>
      <c r="AY293" s="1022">
        <f t="shared" ca="1" si="75"/>
        <v>0.70581199225548363</v>
      </c>
      <c r="AZ293" s="1022">
        <f t="shared" ca="1" si="75"/>
        <v>-2.8083474707074068</v>
      </c>
      <c r="BA293" s="1022">
        <f t="shared" ca="1" si="75"/>
        <v>0</v>
      </c>
      <c r="BB293" s="1022">
        <f t="shared" ca="1" si="75"/>
        <v>0</v>
      </c>
      <c r="BC293" s="1022">
        <f t="shared" ca="1" si="75"/>
        <v>0</v>
      </c>
      <c r="BD293" s="1023"/>
      <c r="BE293" s="1023"/>
      <c r="BF293" s="1023"/>
      <c r="BG293" s="1023"/>
      <c r="BH293" s="1023"/>
      <c r="BI293" s="1023"/>
      <c r="BJ293" s="1023"/>
      <c r="BK293" s="1023"/>
      <c r="BL293" s="1023"/>
      <c r="BM293" s="1023"/>
      <c r="BN293" s="1523"/>
      <c r="BO293" s="1523"/>
      <c r="BP293" s="1523"/>
      <c r="BQ293" s="1184"/>
      <c r="BR293" s="1184"/>
      <c r="BS293" s="973" t="s">
        <v>2150</v>
      </c>
      <c r="BT293" s="973"/>
      <c r="BU293" s="973"/>
      <c r="BV293" s="888"/>
      <c r="BW293" s="888"/>
    </row>
    <row r="294" spans="1:75" s="1538" customFormat="1" ht="20.25" customHeight="1" x14ac:dyDescent="0.15">
      <c r="A294" s="623"/>
      <c r="B294" s="357"/>
      <c r="C294" s="28"/>
      <c r="D294" s="28">
        <f>D293+1</f>
        <v>9</v>
      </c>
      <c r="E294" s="745">
        <v>21</v>
      </c>
      <c r="F294" s="3" t="str" cm="1">
        <f t="array" aca="1" ref="F294" ca="1">OFFSET(E294,-1,1)</f>
        <v>1</v>
      </c>
      <c r="G294" s="28"/>
      <c r="H294" s="26"/>
      <c r="I294" s="26" t="s">
        <v>770</v>
      </c>
      <c r="J294" s="28"/>
      <c r="K294" s="77" t="s">
        <v>770</v>
      </c>
      <c r="L294" s="894" t="s">
        <v>1812</v>
      </c>
      <c r="M294" s="28"/>
      <c r="N294" s="28"/>
      <c r="O294" s="28"/>
      <c r="P294" s="28"/>
      <c r="Q294" s="28"/>
      <c r="R294" s="28"/>
      <c r="S294" s="28"/>
      <c r="T294" s="388" t="b" cm="1">
        <f t="array" aca="1" ref="T294" ca="1">T293</f>
        <v>1</v>
      </c>
      <c r="U294" s="28"/>
      <c r="V294" s="28"/>
      <c r="W294" s="28"/>
      <c r="X294" s="2066"/>
      <c r="Y294" s="623"/>
      <c r="Z294" s="2012"/>
      <c r="AA294" s="623"/>
      <c r="AB294" s="130" cm="1">
        <f t="array" ref="AB294">D294</f>
        <v>9</v>
      </c>
      <c r="AC294" s="131" t="s">
        <v>1814</v>
      </c>
      <c r="AD294" s="153" t="s">
        <v>831</v>
      </c>
      <c r="AE294" s="132">
        <f ca="1">AE172+AE222+AE258+AE259+AE261+AE266+AE267+AE270</f>
        <v>213762.52934752998</v>
      </c>
      <c r="AF294" s="132">
        <f ca="1">AF172+AF222+AF258+AF259+AF261+AF266+AF267+AF270</f>
        <v>150047.24</v>
      </c>
      <c r="AG294" s="132">
        <f ca="1">AG172+AG222+AG258+AG259+AG261+AG266+AG267+AG270</f>
        <v>114056.06</v>
      </c>
      <c r="AH294" s="698">
        <f t="shared" ca="1" si="71"/>
        <v>-35991.179999999993</v>
      </c>
      <c r="AI294" s="132">
        <f t="shared" ref="AI294:BC294" ca="1" si="76">AI172+AI222+AI258+AI259+AI261+AI266+AI267+AI270</f>
        <v>121060.82468605702</v>
      </c>
      <c r="AJ294" s="132">
        <f t="shared" ca="1" si="76"/>
        <v>179504.4</v>
      </c>
      <c r="AK294" s="132">
        <f t="shared" ca="1" si="76"/>
        <v>281085.48981059855</v>
      </c>
      <c r="AL294" s="132">
        <f t="shared" ca="1" si="76"/>
        <v>291532.99803321564</v>
      </c>
      <c r="AM294" s="132">
        <f t="shared" ca="1" si="76"/>
        <v>302238.70782542031</v>
      </c>
      <c r="AN294" s="132">
        <f t="shared" ca="1" si="76"/>
        <v>313311.31433509523</v>
      </c>
      <c r="AO294" s="132">
        <f t="shared" ca="1" si="76"/>
        <v>324803.34209209902</v>
      </c>
      <c r="AP294" s="132">
        <f t="shared" ca="1" si="76"/>
        <v>336694.67599908652</v>
      </c>
      <c r="AQ294" s="132">
        <f t="shared" ca="1" si="76"/>
        <v>164333.088106468</v>
      </c>
      <c r="AR294" s="132">
        <f t="shared" ca="1" si="76"/>
        <v>164333.088106468</v>
      </c>
      <c r="AS294" s="132">
        <f t="shared" ca="1" si="76"/>
        <v>164333.088106468</v>
      </c>
      <c r="AT294" s="132">
        <f t="shared" ca="1" si="76"/>
        <v>131446.63348449662</v>
      </c>
      <c r="AU294" s="132">
        <f t="shared" ca="1" si="76"/>
        <v>239497.84223999409</v>
      </c>
      <c r="AV294" s="132">
        <f t="shared" ca="1" si="76"/>
        <v>249008.75812315312</v>
      </c>
      <c r="AW294" s="132">
        <f t="shared" ca="1" si="76"/>
        <v>264378.31386258069</v>
      </c>
      <c r="AX294" s="132">
        <f t="shared" ca="1" si="76"/>
        <v>273265.86024526658</v>
      </c>
      <c r="AY294" s="132">
        <f t="shared" ca="1" si="76"/>
        <v>283361.57814616128</v>
      </c>
      <c r="AZ294" s="132">
        <f t="shared" ca="1" si="76"/>
        <v>302669.0994850042</v>
      </c>
      <c r="BA294" s="132">
        <f t="shared" ca="1" si="76"/>
        <v>125191.369471513</v>
      </c>
      <c r="BB294" s="132">
        <f t="shared" ca="1" si="76"/>
        <v>125191.369471513</v>
      </c>
      <c r="BC294" s="132">
        <f t="shared" ca="1" si="76"/>
        <v>125191.369471513</v>
      </c>
      <c r="BD294" s="698">
        <f ca="1">IF(AI294=0,0,(AT294-AI294)/AI294*100)</f>
        <v>8.5790005357825425</v>
      </c>
      <c r="BE294" s="698">
        <f t="shared" ref="BE294:BM295" ca="1" si="77">IF(AT294=0,0,(AU294-AT294)/AT294*100)</f>
        <v>82.201579371936901</v>
      </c>
      <c r="BF294" s="698">
        <f t="shared" ca="1" si="77"/>
        <v>3.9711906354581723</v>
      </c>
      <c r="BG294" s="698">
        <f t="shared" ca="1" si="77"/>
        <v>6.1722952458668914</v>
      </c>
      <c r="BH294" s="698">
        <f t="shared" ca="1" si="77"/>
        <v>3.3616775343024106</v>
      </c>
      <c r="BI294" s="698">
        <f t="shared" ca="1" si="77"/>
        <v>3.6944673190545667</v>
      </c>
      <c r="BJ294" s="698">
        <f t="shared" ca="1" si="77"/>
        <v>6.813740050841993</v>
      </c>
      <c r="BK294" s="698">
        <f t="shared" ca="1" si="77"/>
        <v>-58.637545198856479</v>
      </c>
      <c r="BL294" s="698">
        <f t="shared" ca="1" si="77"/>
        <v>0</v>
      </c>
      <c r="BM294" s="698">
        <f t="shared" ca="1" si="77"/>
        <v>0</v>
      </c>
      <c r="BN294" s="1523"/>
      <c r="BO294" s="1523"/>
      <c r="BP294" s="1523"/>
      <c r="BQ294" s="623"/>
      <c r="BR294" s="623"/>
      <c r="BS294" s="979" t="s">
        <v>1815</v>
      </c>
      <c r="BT294" s="979"/>
      <c r="BU294" s="979"/>
      <c r="BV294" s="630"/>
      <c r="BW294" s="630"/>
    </row>
    <row r="295" spans="1:75" s="1539" customFormat="1" ht="20.25" customHeight="1" x14ac:dyDescent="0.15">
      <c r="A295" s="623"/>
      <c r="B295" s="357"/>
      <c r="C295" s="28"/>
      <c r="D295" s="28">
        <f>D294+1</f>
        <v>10</v>
      </c>
      <c r="E295" s="745">
        <v>21</v>
      </c>
      <c r="F295" s="3" t="str" cm="1">
        <f t="array" aca="1" ref="F295" ca="1">OFFSET(E295,-1,1)</f>
        <v>1</v>
      </c>
      <c r="G295" s="28"/>
      <c r="H295" s="26"/>
      <c r="I295" s="26" t="s">
        <v>1824</v>
      </c>
      <c r="J295" s="28"/>
      <c r="K295" s="77" t="s">
        <v>1824</v>
      </c>
      <c r="L295" s="894"/>
      <c r="M295" s="28"/>
      <c r="N295" s="28"/>
      <c r="O295" s="28"/>
      <c r="P295" s="28"/>
      <c r="Q295" s="28"/>
      <c r="R295" s="28"/>
      <c r="S295" s="28"/>
      <c r="T295" s="388" t="b" cm="1">
        <f t="array" aca="1" ref="T295" ca="1">T294</f>
        <v>1</v>
      </c>
      <c r="U295" s="28"/>
      <c r="V295" s="28"/>
      <c r="W295" s="28"/>
      <c r="X295" s="2066"/>
      <c r="Y295" s="623"/>
      <c r="Z295" s="2012"/>
      <c r="AA295" s="623"/>
      <c r="AB295" s="130" cm="1">
        <f t="array" ref="AB295">D295</f>
        <v>10</v>
      </c>
      <c r="AC295" s="131" t="s">
        <v>2151</v>
      </c>
      <c r="AD295" s="130" t="s">
        <v>831</v>
      </c>
      <c r="AE295" s="132">
        <f t="shared" ref="AE295:BC295" ca="1" si="78">AE294+AE279+AE292</f>
        <v>213762.52934752998</v>
      </c>
      <c r="AF295" s="132">
        <f t="shared" ca="1" si="78"/>
        <v>150047.24</v>
      </c>
      <c r="AG295" s="132">
        <f t="shared" ca="1" si="78"/>
        <v>114056.06</v>
      </c>
      <c r="AH295" s="132">
        <f t="shared" ca="1" si="78"/>
        <v>-35991.179999999993</v>
      </c>
      <c r="AI295" s="132">
        <f t="shared" ca="1" si="78"/>
        <v>117560.82468605702</v>
      </c>
      <c r="AJ295" s="132">
        <f t="shared" ca="1" si="78"/>
        <v>219256.28</v>
      </c>
      <c r="AK295" s="132">
        <f t="shared" ca="1" si="78"/>
        <v>281085.48981059855</v>
      </c>
      <c r="AL295" s="132">
        <f t="shared" ca="1" si="78"/>
        <v>291532.99803321564</v>
      </c>
      <c r="AM295" s="132">
        <f t="shared" ca="1" si="78"/>
        <v>302238.70782542031</v>
      </c>
      <c r="AN295" s="132">
        <f t="shared" ca="1" si="78"/>
        <v>313311.31433509523</v>
      </c>
      <c r="AO295" s="132">
        <f t="shared" ca="1" si="78"/>
        <v>324803.34209209902</v>
      </c>
      <c r="AP295" s="132">
        <f t="shared" ca="1" si="78"/>
        <v>336694.67599908652</v>
      </c>
      <c r="AQ295" s="132">
        <f t="shared" ca="1" si="78"/>
        <v>164333.088106468</v>
      </c>
      <c r="AR295" s="132">
        <f t="shared" ca="1" si="78"/>
        <v>164333.088106468</v>
      </c>
      <c r="AS295" s="132">
        <f t="shared" ca="1" si="78"/>
        <v>164333.088106468</v>
      </c>
      <c r="AT295" s="132">
        <f t="shared" ca="1" si="78"/>
        <v>141435.68348449661</v>
      </c>
      <c r="AU295" s="132">
        <f t="shared" ca="1" si="78"/>
        <v>242597.84223999409</v>
      </c>
      <c r="AV295" s="132">
        <f t="shared" ca="1" si="78"/>
        <v>253008.75812315312</v>
      </c>
      <c r="AW295" s="132">
        <f t="shared" ca="1" si="78"/>
        <v>264378.31386258069</v>
      </c>
      <c r="AX295" s="132">
        <f t="shared" ca="1" si="78"/>
        <v>275765.86024526658</v>
      </c>
      <c r="AY295" s="132">
        <f t="shared" ca="1" si="78"/>
        <v>285361.57814616128</v>
      </c>
      <c r="AZ295" s="132">
        <f t="shared" ca="1" si="78"/>
        <v>294169.0994850042</v>
      </c>
      <c r="BA295" s="132">
        <f t="shared" ca="1" si="78"/>
        <v>125191.369471513</v>
      </c>
      <c r="BB295" s="132">
        <f t="shared" ca="1" si="78"/>
        <v>125191.369471513</v>
      </c>
      <c r="BC295" s="132">
        <f t="shared" ca="1" si="78"/>
        <v>125191.369471513</v>
      </c>
      <c r="BD295" s="698">
        <f ca="1">IF(AI295=0,0,(AT295-AI295)/AI295*100)</f>
        <v>20.308515921181012</v>
      </c>
      <c r="BE295" s="698">
        <f t="shared" ca="1" si="77"/>
        <v>71.525202313308938</v>
      </c>
      <c r="BF295" s="698">
        <f t="shared" ca="1" si="77"/>
        <v>4.2914297122477514</v>
      </c>
      <c r="BG295" s="698">
        <f t="shared" ca="1" si="77"/>
        <v>4.4937399889901783</v>
      </c>
      <c r="BH295" s="698">
        <f t="shared" ca="1" si="77"/>
        <v>4.3072921588436115</v>
      </c>
      <c r="BI295" s="698">
        <f t="shared" ca="1" si="77"/>
        <v>3.4796612939543179</v>
      </c>
      <c r="BJ295" s="698">
        <f t="shared" ca="1" si="77"/>
        <v>3.0864426094292701</v>
      </c>
      <c r="BK295" s="698">
        <f t="shared" ca="1" si="77"/>
        <v>-57.442379335326876</v>
      </c>
      <c r="BL295" s="698">
        <f t="shared" ca="1" si="77"/>
        <v>0</v>
      </c>
      <c r="BM295" s="698">
        <f t="shared" ca="1" si="77"/>
        <v>0</v>
      </c>
      <c r="BN295" s="1523"/>
      <c r="BO295" s="1523"/>
      <c r="BP295" s="1523"/>
      <c r="BQ295" s="623"/>
      <c r="BR295" s="623"/>
      <c r="BS295" s="979" t="s">
        <v>2152</v>
      </c>
      <c r="BT295" s="979"/>
      <c r="BU295" s="979"/>
      <c r="BV295" s="630"/>
      <c r="BW295" s="630"/>
    </row>
    <row r="296" spans="1:75" s="1334" customFormat="1" ht="14.25" hidden="1" customHeight="1" x14ac:dyDescent="0.25">
      <c r="A296" s="1184"/>
      <c r="B296" s="367" t="b">
        <f>A171="двухставочный"</f>
        <v>0</v>
      </c>
      <c r="C296" s="26"/>
      <c r="D296" s="26" cm="1">
        <f t="array" ref="D296">D295</f>
        <v>10</v>
      </c>
      <c r="E296" s="545">
        <v>15</v>
      </c>
      <c r="F296" s="3" t="str" cm="1">
        <f t="array" aca="1" ref="F296" ca="1">OFFSET(E296,-1,1)</f>
        <v>1</v>
      </c>
      <c r="G296" s="26"/>
      <c r="H296" s="767"/>
      <c r="I296" s="767" t="s">
        <v>1828</v>
      </c>
      <c r="J296" s="26"/>
      <c r="K296" s="295" t="s">
        <v>1828</v>
      </c>
      <c r="L296" s="889" t="s">
        <v>1816</v>
      </c>
      <c r="M296" s="26"/>
      <c r="N296" s="26"/>
      <c r="O296" s="26"/>
      <c r="P296" s="26"/>
      <c r="Q296" s="26"/>
      <c r="R296" s="26"/>
      <c r="S296" s="26"/>
      <c r="T296" s="388" t="b" cm="1">
        <f t="array" aca="1" ref="T296" ca="1">T295</f>
        <v>1</v>
      </c>
      <c r="U296" s="26"/>
      <c r="V296" s="26"/>
      <c r="W296" s="26"/>
      <c r="X296" s="2066"/>
      <c r="Y296" s="1184"/>
      <c r="Z296" s="2012"/>
      <c r="AA296" s="1184"/>
      <c r="AB296" s="218" t="str">
        <f>D296&amp;".1"</f>
        <v>10.1</v>
      </c>
      <c r="AC296" s="1020" t="s">
        <v>1818</v>
      </c>
      <c r="AD296" s="218" t="s">
        <v>831</v>
      </c>
      <c r="AE296" s="1148"/>
      <c r="AF296" s="1148"/>
      <c r="AG296" s="1148"/>
      <c r="AH296" s="1022">
        <f t="shared" ref="AH296:AH302" si="79">AG296-AF296</f>
        <v>0</v>
      </c>
      <c r="AI296" s="1148"/>
      <c r="AJ296" s="1514"/>
      <c r="AK296" s="1148"/>
      <c r="AL296" s="1148"/>
      <c r="AM296" s="1148"/>
      <c r="AN296" s="1148"/>
      <c r="AO296" s="1148"/>
      <c r="AP296" s="1148"/>
      <c r="AQ296" s="1148"/>
      <c r="AR296" s="1148"/>
      <c r="AS296" s="1148"/>
      <c r="AT296" s="1514"/>
      <c r="AU296" s="1148"/>
      <c r="AV296" s="1148"/>
      <c r="AW296" s="1148"/>
      <c r="AX296" s="1148"/>
      <c r="AY296" s="1148"/>
      <c r="AZ296" s="1148"/>
      <c r="BA296" s="1148"/>
      <c r="BB296" s="1148"/>
      <c r="BC296" s="1148"/>
      <c r="BD296" s="1023"/>
      <c r="BE296" s="1023"/>
      <c r="BF296" s="1023"/>
      <c r="BG296" s="1023"/>
      <c r="BH296" s="1023"/>
      <c r="BI296" s="1023"/>
      <c r="BJ296" s="1023"/>
      <c r="BK296" s="1023"/>
      <c r="BL296" s="1023"/>
      <c r="BM296" s="1023"/>
      <c r="BN296" s="1145"/>
      <c r="BO296" s="1145"/>
      <c r="BP296" s="1145"/>
      <c r="BQ296" s="1184"/>
      <c r="BR296" s="1184"/>
      <c r="BS296" s="971" t="s">
        <v>1819</v>
      </c>
      <c r="BT296" s="973"/>
      <c r="BU296" s="973"/>
      <c r="BV296" s="888"/>
      <c r="BW296" s="888"/>
    </row>
    <row r="297" spans="1:75" s="1334" customFormat="1" ht="14.25" hidden="1" customHeight="1" x14ac:dyDescent="0.25">
      <c r="A297" s="1184"/>
      <c r="B297" s="367" t="b">
        <f>A171="двухставочный"</f>
        <v>0</v>
      </c>
      <c r="C297" s="26"/>
      <c r="D297" s="26" cm="1">
        <f t="array" ref="D297">D296</f>
        <v>10</v>
      </c>
      <c r="E297" s="545">
        <v>15</v>
      </c>
      <c r="F297" s="3" t="str" cm="1">
        <f t="array" aca="1" ref="F297" ca="1">OFFSET(E297,-1,1)</f>
        <v>1</v>
      </c>
      <c r="G297" s="26"/>
      <c r="H297" s="767"/>
      <c r="I297" s="767" t="s">
        <v>1832</v>
      </c>
      <c r="J297" s="26"/>
      <c r="K297" s="295" t="s">
        <v>1832</v>
      </c>
      <c r="L297" s="889" t="s">
        <v>1820</v>
      </c>
      <c r="M297" s="26"/>
      <c r="N297" s="26"/>
      <c r="O297" s="26"/>
      <c r="P297" s="26"/>
      <c r="Q297" s="26"/>
      <c r="R297" s="26"/>
      <c r="S297" s="26"/>
      <c r="T297" s="388" t="b" cm="1">
        <f t="array" aca="1" ref="T297" ca="1">T296</f>
        <v>1</v>
      </c>
      <c r="U297" s="26"/>
      <c r="V297" s="26"/>
      <c r="W297" s="26"/>
      <c r="X297" s="2066"/>
      <c r="Y297" s="1184"/>
      <c r="Z297" s="2012"/>
      <c r="AA297" s="1184"/>
      <c r="AB297" s="218" t="str">
        <f>D297&amp;".2"</f>
        <v>10.2</v>
      </c>
      <c r="AC297" s="1020" t="s">
        <v>1822</v>
      </c>
      <c r="AD297" s="218" t="s">
        <v>831</v>
      </c>
      <c r="AE297" s="1148"/>
      <c r="AF297" s="1148"/>
      <c r="AG297" s="1148"/>
      <c r="AH297" s="1022">
        <f t="shared" si="79"/>
        <v>0</v>
      </c>
      <c r="AI297" s="1148"/>
      <c r="AJ297" s="1514"/>
      <c r="AK297" s="1148"/>
      <c r="AL297" s="1148"/>
      <c r="AM297" s="1148"/>
      <c r="AN297" s="1148"/>
      <c r="AO297" s="1148"/>
      <c r="AP297" s="1148"/>
      <c r="AQ297" s="1148"/>
      <c r="AR297" s="1148"/>
      <c r="AS297" s="1148"/>
      <c r="AT297" s="1514"/>
      <c r="AU297" s="1148"/>
      <c r="AV297" s="1148"/>
      <c r="AW297" s="1148"/>
      <c r="AX297" s="1148"/>
      <c r="AY297" s="1148"/>
      <c r="AZ297" s="1148"/>
      <c r="BA297" s="1148"/>
      <c r="BB297" s="1148"/>
      <c r="BC297" s="1148"/>
      <c r="BD297" s="1023"/>
      <c r="BE297" s="1023"/>
      <c r="BF297" s="1023"/>
      <c r="BG297" s="1023"/>
      <c r="BH297" s="1023"/>
      <c r="BI297" s="1023"/>
      <c r="BJ297" s="1023"/>
      <c r="BK297" s="1023"/>
      <c r="BL297" s="1023"/>
      <c r="BM297" s="1023"/>
      <c r="BN297" s="1145"/>
      <c r="BO297" s="1145"/>
      <c r="BP297" s="1145"/>
      <c r="BQ297" s="1184"/>
      <c r="BR297" s="1184"/>
      <c r="BS297" s="971" t="s">
        <v>1823</v>
      </c>
      <c r="BT297" s="973"/>
      <c r="BU297" s="973"/>
      <c r="BV297" s="888"/>
      <c r="BW297" s="888"/>
    </row>
    <row r="298" spans="1:75" s="1540" customFormat="1" ht="20.25" customHeight="1" x14ac:dyDescent="0.25">
      <c r="A298" s="623"/>
      <c r="B298" s="357"/>
      <c r="C298" s="28"/>
      <c r="D298" s="28">
        <f>D297+1</f>
        <v>11</v>
      </c>
      <c r="E298" s="745">
        <v>21</v>
      </c>
      <c r="F298" s="3" t="str" cm="1">
        <f t="array" aca="1" ref="F298" ca="1">OFFSET(E298,-1,1)</f>
        <v>1</v>
      </c>
      <c r="G298" s="26" t="s">
        <v>1597</v>
      </c>
      <c r="H298" s="26"/>
      <c r="I298" s="26" t="s">
        <v>1852</v>
      </c>
      <c r="J298" s="28"/>
      <c r="K298" s="77" t="s">
        <v>1852</v>
      </c>
      <c r="L298" s="894" t="s">
        <v>1824</v>
      </c>
      <c r="M298" s="28"/>
      <c r="N298" s="28"/>
      <c r="O298" s="28"/>
      <c r="P298" s="28"/>
      <c r="Q298" s="28"/>
      <c r="R298" s="28"/>
      <c r="S298" s="28"/>
      <c r="T298" s="388" t="b" cm="1">
        <f t="array" aca="1" ref="T298" ca="1">T297</f>
        <v>1</v>
      </c>
      <c r="U298" s="28"/>
      <c r="V298" s="28"/>
      <c r="W298" s="28"/>
      <c r="X298" s="2066"/>
      <c r="Y298" s="623"/>
      <c r="Z298" s="2012"/>
      <c r="AA298" s="623"/>
      <c r="AB298" s="130" cm="1">
        <f t="array" ref="AB298">D298</f>
        <v>11</v>
      </c>
      <c r="AC298" s="131" t="s">
        <v>1826</v>
      </c>
      <c r="AD298" s="130" t="s">
        <v>563</v>
      </c>
      <c r="AE298" s="705">
        <f ca="1">SUMIFS(Баланс!AE$26:AE$300,Баланс!$F$26:$F$300,$F298,Баланс!$G$26:$G$300,"ПО")</f>
        <v>4526.2517653333998</v>
      </c>
      <c r="AF298" s="705">
        <f ca="1">SUMIFS(Баланс!AF$26:AF$300,Баланс!$F$26:$F$300,$F298,Баланс!$G$26:$G$300,"ПО")</f>
        <v>4334.1180000000004</v>
      </c>
      <c r="AG298" s="705">
        <f ca="1">SUMIFS(Баланс!AG$26:AG$300,Баланс!$F$26:$F$300,$F298,Баланс!$G$26:$G$300,"ПО")</f>
        <v>4334.1180000000004</v>
      </c>
      <c r="AH298" s="705">
        <f t="shared" ca="1" si="79"/>
        <v>0</v>
      </c>
      <c r="AI298" s="705">
        <f ca="1">SUMIFS(Баланс!AH$26:AH$300,Баланс!$F$26:$F$300,$F298,Баланс!$G$26:$G$300,"ПО")</f>
        <v>4526.2517653333998</v>
      </c>
      <c r="AJ298" s="705">
        <f ca="1">SUMIFS(Баланс!AI$26:AI$300,Баланс!$F$26:$F$300,$F298,Баланс!$G$26:$G$300,"ПО")</f>
        <v>4334.1180000000004</v>
      </c>
      <c r="AK298" s="705">
        <f ca="1">SUMIFS(Баланс!AJ$26:AJ$300,Баланс!$F$26:$F$300,$F298,Баланс!$G$26:$G$300,"ПО")</f>
        <v>4507.9322099999999</v>
      </c>
      <c r="AL298" s="705">
        <f ca="1">SUMIFS(Баланс!AK$26:AK$300,Баланс!$F$26:$F$300,$F298,Баланс!$G$26:$G$300,"ПО")</f>
        <v>4507.9322099999999</v>
      </c>
      <c r="AM298" s="705">
        <f ca="1">SUMIFS(Баланс!AL$26:AL$300,Баланс!$F$26:$F$300,$F298,Баланс!$G$26:$G$300,"ПО")</f>
        <v>4507.9322099999999</v>
      </c>
      <c r="AN298" s="705">
        <f ca="1">SUMIFS(Баланс!AM$26:AM$300,Баланс!$F$26:$F$300,$F298,Баланс!$G$26:$G$300,"ПО")</f>
        <v>4507.9322099999999</v>
      </c>
      <c r="AO298" s="705">
        <f ca="1">SUMIFS(Баланс!AN$26:AN$300,Баланс!$F$26:$F$300,$F298,Баланс!$G$26:$G$300,"ПО")</f>
        <v>4507.9322099999999</v>
      </c>
      <c r="AP298" s="705">
        <f ca="1">SUMIFS(Баланс!AO$26:AO$300,Баланс!$F$26:$F$300,$F298,Баланс!$G$26:$G$300,"ПО")</f>
        <v>4507.9322099999999</v>
      </c>
      <c r="AQ298" s="705">
        <f ca="1">SUMIFS(Баланс!AP$26:AP$300,Баланс!$F$26:$F$300,$F298,Баланс!$G$26:$G$300,"ПО")</f>
        <v>0</v>
      </c>
      <c r="AR298" s="705">
        <f ca="1">SUMIFS(Баланс!AQ$26:AQ$300,Баланс!$F$26:$F$300,$F298,Баланс!$G$26:$G$300,"ПО")</f>
        <v>0</v>
      </c>
      <c r="AS298" s="705">
        <f ca="1">SUMIFS(Баланс!AR$26:AR$300,Баланс!$F$26:$F$300,$F298,Баланс!$G$26:$G$300,"ПО")</f>
        <v>0</v>
      </c>
      <c r="AT298" s="705">
        <f ca="1">SUMIFS(Баланс!AS$26:AS$300,Баланс!$F$26:$F$300,$F298,Баланс!$G$26:$G$300,"ПО")</f>
        <v>4336.8803100000005</v>
      </c>
      <c r="AU298" s="705">
        <f ca="1">SUMIFS(Баланс!AT$26:AT$300,Баланс!$F$26:$F$300,$F298,Баланс!$G$26:$G$300,"ПО")</f>
        <v>4526.2517653333998</v>
      </c>
      <c r="AV298" s="705">
        <f ca="1">SUMIFS(Баланс!AU$26:AU$300,Баланс!$F$26:$F$300,$F298,Баланс!$G$26:$G$300,"ПО")</f>
        <v>4526.2517653333998</v>
      </c>
      <c r="AW298" s="705">
        <f ca="1">SUMIFS(Баланс!AV$26:AV$300,Баланс!$F$26:$F$300,$F298,Баланс!$G$26:$G$300,"ПО")</f>
        <v>4526.2517653333998</v>
      </c>
      <c r="AX298" s="705">
        <f ca="1">SUMIFS(Баланс!AW$26:AW$300,Баланс!$F$26:$F$300,$F298,Баланс!$G$26:$G$300,"ПО")</f>
        <v>4526.2517653333998</v>
      </c>
      <c r="AY298" s="705">
        <f ca="1">SUMIFS(Баланс!AX$26:AX$300,Баланс!$F$26:$F$300,$F298,Баланс!$G$26:$G$300,"ПО")</f>
        <v>4526.2517653333998</v>
      </c>
      <c r="AZ298" s="705">
        <f ca="1">SUMIFS(Баланс!AY$26:AY$300,Баланс!$F$26:$F$300,$F298,Баланс!$G$26:$G$300,"ПО")</f>
        <v>4526.2517653333998</v>
      </c>
      <c r="BA298" s="705">
        <f ca="1">SUMIFS(Баланс!AZ$26:AZ$300,Баланс!$F$26:$F$300,$F298,Баланс!$G$26:$G$300,"ПО")</f>
        <v>0</v>
      </c>
      <c r="BB298" s="705">
        <f ca="1">SUMIFS(Баланс!BA$26:BA$300,Баланс!$F$26:$F$300,$F298,Баланс!$G$26:$G$300,"ПО")</f>
        <v>0</v>
      </c>
      <c r="BC298" s="705">
        <f ca="1">SUMIFS(Баланс!BB$26:BB$300,Баланс!$F$26:$F$300,$F298,Баланс!$G$26:$G$300,"ПО")</f>
        <v>0</v>
      </c>
      <c r="BD298" s="135"/>
      <c r="BE298" s="135"/>
      <c r="BF298" s="135"/>
      <c r="BG298" s="135"/>
      <c r="BH298" s="135"/>
      <c r="BI298" s="135"/>
      <c r="BJ298" s="135"/>
      <c r="BK298" s="135"/>
      <c r="BL298" s="135"/>
      <c r="BM298" s="135"/>
      <c r="BN298" s="1523"/>
      <c r="BO298" s="1523"/>
      <c r="BP298" s="1523"/>
      <c r="BQ298" s="623"/>
      <c r="BR298" s="623"/>
      <c r="BS298" s="972" t="s">
        <v>1827</v>
      </c>
      <c r="BT298" s="979"/>
      <c r="BU298" s="979"/>
      <c r="BV298" s="630"/>
      <c r="BW298" s="630"/>
    </row>
    <row r="299" spans="1:75" s="1334" customFormat="1" ht="14.65" customHeight="1" x14ac:dyDescent="0.25">
      <c r="A299" s="1184"/>
      <c r="B299" s="887"/>
      <c r="C299" s="26"/>
      <c r="D299" s="26" cm="1">
        <f t="array" ref="D299">D298</f>
        <v>11</v>
      </c>
      <c r="E299" s="545">
        <v>15</v>
      </c>
      <c r="F299" s="3" t="str" cm="1">
        <f t="array" aca="1" ref="F299" ca="1">OFFSET(E299,-1,1)</f>
        <v>1</v>
      </c>
      <c r="G299" s="26" t="s">
        <v>1624</v>
      </c>
      <c r="H299" s="26"/>
      <c r="I299" s="26" t="s">
        <v>2153</v>
      </c>
      <c r="J299" s="26"/>
      <c r="K299" s="77" t="s">
        <v>2153</v>
      </c>
      <c r="L299" s="889" t="s">
        <v>1828</v>
      </c>
      <c r="M299" s="26"/>
      <c r="N299" s="26"/>
      <c r="O299" s="26"/>
      <c r="P299" s="26"/>
      <c r="Q299" s="26"/>
      <c r="R299" s="26"/>
      <c r="S299" s="26"/>
      <c r="T299" s="388" t="b" cm="1">
        <f t="array" aca="1" ref="T299" ca="1">T298</f>
        <v>1</v>
      </c>
      <c r="U299" s="26"/>
      <c r="V299" s="26"/>
      <c r="W299" s="26"/>
      <c r="X299" s="2066"/>
      <c r="Y299" s="1184"/>
      <c r="Z299" s="2012"/>
      <c r="AA299" s="1184"/>
      <c r="AB299" s="218" t="str">
        <f>D299&amp;".1"</f>
        <v>11.1</v>
      </c>
      <c r="AC299" s="1019" t="s">
        <v>1830</v>
      </c>
      <c r="AD299" s="218" t="s">
        <v>563</v>
      </c>
      <c r="AE299" s="1513">
        <v>2263.1258826666999</v>
      </c>
      <c r="AF299" s="1513">
        <f ca="1">AF298/2</f>
        <v>2167.0590000000002</v>
      </c>
      <c r="AG299" s="1513">
        <f ca="1">AG298/2</f>
        <v>2167.0590000000002</v>
      </c>
      <c r="AH299" s="1021">
        <f t="shared" ca="1" si="79"/>
        <v>0</v>
      </c>
      <c r="AI299" s="1513">
        <v>2263.1258826666999</v>
      </c>
      <c r="AJ299" s="1513">
        <v>2253.966105</v>
      </c>
      <c r="AK299" s="1146">
        <v>2253.966105</v>
      </c>
      <c r="AL299" s="1146">
        <v>2253.966105</v>
      </c>
      <c r="AM299" s="1146">
        <v>2253.966105</v>
      </c>
      <c r="AN299" s="1146">
        <v>2253.966105</v>
      </c>
      <c r="AO299" s="1146">
        <v>2253.966105</v>
      </c>
      <c r="AP299" s="1146">
        <v>2253.966105</v>
      </c>
      <c r="AQ299" s="1513">
        <f ca="1">AQ298/2</f>
        <v>0</v>
      </c>
      <c r="AR299" s="1513">
        <f ca="1">AR298/2</f>
        <v>0</v>
      </c>
      <c r="AS299" s="1513">
        <f ca="1">AS298/2</f>
        <v>0</v>
      </c>
      <c r="AT299" s="1519">
        <v>2263.1258826666999</v>
      </c>
      <c r="AU299" s="1168">
        <v>2263.1258826666999</v>
      </c>
      <c r="AV299" s="1146">
        <v>2263.1258826666999</v>
      </c>
      <c r="AW299" s="1146">
        <v>2263.1258826666999</v>
      </c>
      <c r="AX299" s="1146">
        <v>2263.1258826666999</v>
      </c>
      <c r="AY299" s="1146">
        <v>2263.1258826666999</v>
      </c>
      <c r="AZ299" s="1146">
        <v>2263.1258826666999</v>
      </c>
      <c r="BA299" s="1513">
        <f ca="1">BA298/2</f>
        <v>0</v>
      </c>
      <c r="BB299" s="1513">
        <f ca="1">BB298/2</f>
        <v>0</v>
      </c>
      <c r="BC299" s="1513">
        <f ca="1">BC298/2</f>
        <v>0</v>
      </c>
      <c r="BD299" s="1023"/>
      <c r="BE299" s="1023"/>
      <c r="BF299" s="1023"/>
      <c r="BG299" s="1023"/>
      <c r="BH299" s="1023"/>
      <c r="BI299" s="1023"/>
      <c r="BJ299" s="1023"/>
      <c r="BK299" s="1023"/>
      <c r="BL299" s="1023"/>
      <c r="BM299" s="1023"/>
      <c r="BN299" s="1523"/>
      <c r="BO299" s="1523"/>
      <c r="BP299" s="1523"/>
      <c r="BQ299" s="1184"/>
      <c r="BR299" s="1184"/>
      <c r="BS299" s="971" t="s">
        <v>1831</v>
      </c>
      <c r="BT299" s="973"/>
      <c r="BU299" s="973"/>
      <c r="BV299" s="888"/>
      <c r="BW299" s="888"/>
    </row>
    <row r="300" spans="1:75" s="1334" customFormat="1" ht="14.65" customHeight="1" x14ac:dyDescent="0.25">
      <c r="A300" s="1184"/>
      <c r="B300" s="887"/>
      <c r="C300" s="26"/>
      <c r="D300" s="26" cm="1">
        <f t="array" ref="D300">D299</f>
        <v>11</v>
      </c>
      <c r="E300" s="545">
        <v>15</v>
      </c>
      <c r="F300" s="3" t="str" cm="1">
        <f t="array" aca="1" ref="F300" ca="1">OFFSET(E300,-1,1)</f>
        <v>1</v>
      </c>
      <c r="G300" s="26" t="s">
        <v>1585</v>
      </c>
      <c r="H300" s="26"/>
      <c r="I300" s="26" t="s">
        <v>2154</v>
      </c>
      <c r="J300" s="26"/>
      <c r="K300" s="77" t="s">
        <v>2154</v>
      </c>
      <c r="L300" s="889" t="s">
        <v>1832</v>
      </c>
      <c r="M300" s="26"/>
      <c r="N300" s="26"/>
      <c r="O300" s="26"/>
      <c r="P300" s="26"/>
      <c r="Q300" s="26"/>
      <c r="R300" s="26"/>
      <c r="S300" s="26"/>
      <c r="T300" s="388" t="b" cm="1">
        <f t="array" aca="1" ref="T300" ca="1">T299</f>
        <v>1</v>
      </c>
      <c r="U300" s="26"/>
      <c r="V300" s="26"/>
      <c r="W300" s="26"/>
      <c r="X300" s="2066"/>
      <c r="Y300" s="1184"/>
      <c r="Z300" s="2012"/>
      <c r="AA300" s="1184"/>
      <c r="AB300" s="218" t="str">
        <f>D300&amp;".2"</f>
        <v>11.2</v>
      </c>
      <c r="AC300" s="1019" t="s">
        <v>1834</v>
      </c>
      <c r="AD300" s="218" t="s">
        <v>1588</v>
      </c>
      <c r="AE300" s="1514">
        <v>47.729405464999999</v>
      </c>
      <c r="AF300" s="1514"/>
      <c r="AG300" s="1514"/>
      <c r="AH300" s="1022">
        <f t="shared" si="79"/>
        <v>0</v>
      </c>
      <c r="AI300" s="1514">
        <v>47.729405464999999</v>
      </c>
      <c r="AJ300" s="1514">
        <v>60.6478008295</v>
      </c>
      <c r="AK300" s="1148">
        <v>62.907293322900003</v>
      </c>
      <c r="AL300" s="1148">
        <v>65.263337262799993</v>
      </c>
      <c r="AM300" s="1148">
        <v>67.739464045600002</v>
      </c>
      <c r="AN300" s="1148">
        <v>70.222836525000005</v>
      </c>
      <c r="AO300" s="1148">
        <v>72.810328324799997</v>
      </c>
      <c r="AP300" s="1148">
        <v>75.586172871299993</v>
      </c>
      <c r="AQ300" s="1514"/>
      <c r="AR300" s="1514"/>
      <c r="AS300" s="1514"/>
      <c r="AT300" s="1514">
        <v>50.313792702000001</v>
      </c>
      <c r="AU300" s="1148">
        <v>52.926890897600003</v>
      </c>
      <c r="AV300" s="1148">
        <v>55.3720632705</v>
      </c>
      <c r="AW300" s="1148">
        <v>57.603738131900002</v>
      </c>
      <c r="AX300" s="1148">
        <v>60.597604509</v>
      </c>
      <c r="AY300" s="1148">
        <v>62.68954213</v>
      </c>
      <c r="AZ300" s="1148">
        <v>64.913726668099997</v>
      </c>
      <c r="BA300" s="1514" cm="1">
        <f t="array" ref="BA300">AZ302</f>
        <v>66.856127181900007</v>
      </c>
      <c r="BB300" s="1514" cm="1">
        <f t="array" aca="1" ref="BB300" ca="1">BA302</f>
        <v>0</v>
      </c>
      <c r="BC300" s="1514" cm="1">
        <f t="array" aca="1" ref="BC300" ca="1">BB302</f>
        <v>0</v>
      </c>
      <c r="BD300" s="1023"/>
      <c r="BE300" s="1023"/>
      <c r="BF300" s="1023"/>
      <c r="BG300" s="1023"/>
      <c r="BH300" s="1023"/>
      <c r="BI300" s="1023"/>
      <c r="BJ300" s="1023"/>
      <c r="BK300" s="1023"/>
      <c r="BL300" s="1023"/>
      <c r="BM300" s="1023"/>
      <c r="BN300" s="1523"/>
      <c r="BO300" s="1523"/>
      <c r="BP300" s="1523"/>
      <c r="BQ300" s="1184"/>
      <c r="BR300" s="1184"/>
      <c r="BS300" s="971" t="s">
        <v>1835</v>
      </c>
      <c r="BT300" s="973"/>
      <c r="BU300" s="973"/>
      <c r="BV300" s="888"/>
      <c r="BW300" s="888"/>
    </row>
    <row r="301" spans="1:75" s="1334" customFormat="1" ht="14.25" customHeight="1" x14ac:dyDescent="0.25">
      <c r="A301" s="1184"/>
      <c r="B301" s="887"/>
      <c r="C301" s="26"/>
      <c r="D301" s="26" cm="1">
        <f t="array" ref="D301">D300</f>
        <v>11</v>
      </c>
      <c r="E301" s="545">
        <v>15</v>
      </c>
      <c r="F301" s="3" t="str" cm="1">
        <f t="array" aca="1" ref="F301" ca="1">OFFSET(E301,-1,1)</f>
        <v>1</v>
      </c>
      <c r="G301" s="26" t="s">
        <v>1637</v>
      </c>
      <c r="H301" s="26"/>
      <c r="I301" s="26" t="s">
        <v>2155</v>
      </c>
      <c r="J301" s="26"/>
      <c r="K301" s="77" t="s">
        <v>2155</v>
      </c>
      <c r="L301" s="889" t="s">
        <v>1836</v>
      </c>
      <c r="M301" s="26"/>
      <c r="N301" s="26"/>
      <c r="O301" s="26"/>
      <c r="P301" s="26"/>
      <c r="Q301" s="26"/>
      <c r="R301" s="26"/>
      <c r="S301" s="26"/>
      <c r="T301" s="388" t="b" cm="1">
        <f t="array" aca="1" ref="T301" ca="1">T300</f>
        <v>1</v>
      </c>
      <c r="U301" s="26"/>
      <c r="V301" s="26"/>
      <c r="W301" s="26"/>
      <c r="X301" s="2066"/>
      <c r="Y301" s="1184"/>
      <c r="Z301" s="2012"/>
      <c r="AA301" s="1184"/>
      <c r="AB301" s="218" t="str">
        <f>D301&amp;".3"</f>
        <v>11.3</v>
      </c>
      <c r="AC301" s="1019" t="s">
        <v>2156</v>
      </c>
      <c r="AD301" s="218" t="s">
        <v>563</v>
      </c>
      <c r="AE301" s="1021">
        <f ca="1">AE298-AE299</f>
        <v>2263.1258826666999</v>
      </c>
      <c r="AF301" s="1021">
        <f ca="1">AF298-AF299</f>
        <v>2167.0590000000002</v>
      </c>
      <c r="AG301" s="1021">
        <f ca="1">AG298-AG299</f>
        <v>2167.0590000000002</v>
      </c>
      <c r="AH301" s="1021">
        <f t="shared" ca="1" si="79"/>
        <v>0</v>
      </c>
      <c r="AI301" s="1021">
        <f t="shared" ref="AI301:BC301" ca="1" si="80">AI298-AI299</f>
        <v>2263.1258826666999</v>
      </c>
      <c r="AJ301" s="1021">
        <f t="shared" ca="1" si="80"/>
        <v>2080.1518950000004</v>
      </c>
      <c r="AK301" s="1021">
        <f t="shared" ca="1" si="80"/>
        <v>2253.966105</v>
      </c>
      <c r="AL301" s="1021">
        <f t="shared" ca="1" si="80"/>
        <v>2253.966105</v>
      </c>
      <c r="AM301" s="1021">
        <f t="shared" ca="1" si="80"/>
        <v>2253.966105</v>
      </c>
      <c r="AN301" s="1021">
        <f t="shared" ca="1" si="80"/>
        <v>2253.966105</v>
      </c>
      <c r="AO301" s="1021">
        <f t="shared" ca="1" si="80"/>
        <v>2253.966105</v>
      </c>
      <c r="AP301" s="1021">
        <f t="shared" ca="1" si="80"/>
        <v>2253.966105</v>
      </c>
      <c r="AQ301" s="1021">
        <f t="shared" ca="1" si="80"/>
        <v>0</v>
      </c>
      <c r="AR301" s="1021">
        <f t="shared" ca="1" si="80"/>
        <v>0</v>
      </c>
      <c r="AS301" s="1021">
        <f t="shared" ca="1" si="80"/>
        <v>0</v>
      </c>
      <c r="AT301" s="1021">
        <f t="shared" ca="1" si="80"/>
        <v>2073.7544273333006</v>
      </c>
      <c r="AU301" s="1021">
        <f t="shared" ca="1" si="80"/>
        <v>2263.1258826666999</v>
      </c>
      <c r="AV301" s="1021">
        <f t="shared" ca="1" si="80"/>
        <v>2263.1258826666999</v>
      </c>
      <c r="AW301" s="1021">
        <f t="shared" ca="1" si="80"/>
        <v>2263.1258826666999</v>
      </c>
      <c r="AX301" s="1021">
        <f t="shared" ca="1" si="80"/>
        <v>2263.1258826666999</v>
      </c>
      <c r="AY301" s="1021">
        <f t="shared" ca="1" si="80"/>
        <v>2263.1258826666999</v>
      </c>
      <c r="AZ301" s="1021">
        <f t="shared" ca="1" si="80"/>
        <v>2263.1258826666999</v>
      </c>
      <c r="BA301" s="1021">
        <f t="shared" ca="1" si="80"/>
        <v>0</v>
      </c>
      <c r="BB301" s="1021">
        <f t="shared" ca="1" si="80"/>
        <v>0</v>
      </c>
      <c r="BC301" s="1021">
        <f t="shared" ca="1" si="80"/>
        <v>0</v>
      </c>
      <c r="BD301" s="1023"/>
      <c r="BE301" s="1023"/>
      <c r="BF301" s="1023"/>
      <c r="BG301" s="1023"/>
      <c r="BH301" s="1023"/>
      <c r="BI301" s="1023"/>
      <c r="BJ301" s="1023"/>
      <c r="BK301" s="1023"/>
      <c r="BL301" s="1023"/>
      <c r="BM301" s="1023"/>
      <c r="BN301" s="1523"/>
      <c r="BO301" s="1523"/>
      <c r="BP301" s="1523"/>
      <c r="BQ301" s="1184"/>
      <c r="BR301" s="1184"/>
      <c r="BS301" s="971" t="s">
        <v>1839</v>
      </c>
      <c r="BT301" s="973"/>
      <c r="BU301" s="973"/>
      <c r="BV301" s="888"/>
      <c r="BW301" s="888"/>
    </row>
    <row r="302" spans="1:75" s="1334" customFormat="1" ht="14.65" customHeight="1" x14ac:dyDescent="0.25">
      <c r="A302" s="1184"/>
      <c r="B302" s="887"/>
      <c r="C302" s="26"/>
      <c r="D302" s="26" cm="1">
        <f t="array" ref="D302">D301</f>
        <v>11</v>
      </c>
      <c r="E302" s="545">
        <v>15</v>
      </c>
      <c r="F302" s="3" t="str" cm="1">
        <f t="array" aca="1" ref="F302" ca="1">OFFSET(E302,-1,1)</f>
        <v>1</v>
      </c>
      <c r="G302" s="26" t="s">
        <v>1590</v>
      </c>
      <c r="H302" s="26"/>
      <c r="I302" s="26" t="s">
        <v>2157</v>
      </c>
      <c r="J302" s="26"/>
      <c r="K302" s="77" t="s">
        <v>2157</v>
      </c>
      <c r="L302" s="889" t="s">
        <v>1840</v>
      </c>
      <c r="M302" s="26"/>
      <c r="N302" s="26"/>
      <c r="O302" s="26"/>
      <c r="P302" s="26"/>
      <c r="Q302" s="26"/>
      <c r="R302" s="26"/>
      <c r="S302" s="26"/>
      <c r="T302" s="388" t="b" cm="1">
        <f t="array" aca="1" ref="T302" ca="1">T301</f>
        <v>1</v>
      </c>
      <c r="U302" s="26"/>
      <c r="V302" s="26"/>
      <c r="W302" s="26"/>
      <c r="X302" s="2066"/>
      <c r="Y302" s="1184"/>
      <c r="Z302" s="2012"/>
      <c r="AA302" s="1184"/>
      <c r="AB302" s="218" t="str">
        <f>D302&amp;".4"</f>
        <v>11.4</v>
      </c>
      <c r="AC302" s="1019" t="s">
        <v>1842</v>
      </c>
      <c r="AD302" s="218" t="s">
        <v>1588</v>
      </c>
      <c r="AE302" s="1514">
        <v>47.729405464999999</v>
      </c>
      <c r="AF302" s="1514">
        <f ca="1">IF(AF301=0,0,(AF295-AF299*AF300)/AF301)</f>
        <v>69.240034535284906</v>
      </c>
      <c r="AG302" s="1514">
        <f ca="1">IF(AG301=0,0,(AG295-AG299*AG300)/AG301)</f>
        <v>52.631728070163291</v>
      </c>
      <c r="AH302" s="1022">
        <f t="shared" ca="1" si="79"/>
        <v>-16.608306465121615</v>
      </c>
      <c r="AI302" s="1514">
        <v>50.313792702000001</v>
      </c>
      <c r="AJ302" s="1514">
        <v>60.6478008295</v>
      </c>
      <c r="AK302" s="1148">
        <v>62.907293322900003</v>
      </c>
      <c r="AL302" s="1148">
        <v>65.263337262799993</v>
      </c>
      <c r="AM302" s="1148">
        <v>67.739464045600002</v>
      </c>
      <c r="AN302" s="1148">
        <v>70.222836525000005</v>
      </c>
      <c r="AO302" s="1148">
        <v>72.810328324799997</v>
      </c>
      <c r="AP302" s="1148">
        <v>75.586172871299993</v>
      </c>
      <c r="AQ302" s="1514">
        <f ca="1">IF(AQ301=0,0,(AQ295-AQ299*AQ300)/AQ301)</f>
        <v>0</v>
      </c>
      <c r="AR302" s="1514">
        <f ca="1">IF(AR301=0,0,(AR295-AR299*AR300)/AR301)</f>
        <v>0</v>
      </c>
      <c r="AS302" s="1514">
        <f ca="1">IF(AS301=0,0,(AS295-AS299*AS300)/AS301)</f>
        <v>0</v>
      </c>
      <c r="AT302" s="1514">
        <v>52.926890897600003</v>
      </c>
      <c r="AU302" s="1148">
        <v>55.3720632705</v>
      </c>
      <c r="AV302" s="1148">
        <v>57.603738131900002</v>
      </c>
      <c r="AW302" s="1148">
        <v>60.597604509</v>
      </c>
      <c r="AX302" s="1148">
        <v>62.68954213</v>
      </c>
      <c r="AY302" s="1148">
        <v>64.913726668099997</v>
      </c>
      <c r="AZ302" s="1148">
        <v>66.856127181900007</v>
      </c>
      <c r="BA302" s="1514">
        <f ca="1">IF(BA301=0,0,(BA295-BA299*BA300)/BA301)</f>
        <v>0</v>
      </c>
      <c r="BB302" s="1514">
        <f ca="1">IF(BB301=0,0,(BB295-BB299*BB300)/BB301)</f>
        <v>0</v>
      </c>
      <c r="BC302" s="1514">
        <f ca="1">IF(BC301=0,0,(BC295-BC299*BC300)/BC301)</f>
        <v>0</v>
      </c>
      <c r="BD302" s="1023"/>
      <c r="BE302" s="1023"/>
      <c r="BF302" s="1023"/>
      <c r="BG302" s="1023"/>
      <c r="BH302" s="1023"/>
      <c r="BI302" s="1023"/>
      <c r="BJ302" s="1023"/>
      <c r="BK302" s="1023"/>
      <c r="BL302" s="1023"/>
      <c r="BM302" s="1023"/>
      <c r="BN302" s="1523"/>
      <c r="BO302" s="1523"/>
      <c r="BP302" s="1523"/>
      <c r="BQ302" s="1184"/>
      <c r="BR302" s="1184"/>
      <c r="BS302" s="971" t="s">
        <v>1843</v>
      </c>
      <c r="BT302" s="973"/>
      <c r="BU302" s="973"/>
      <c r="BV302" s="888"/>
      <c r="BW302" s="888"/>
    </row>
    <row r="303" spans="1:75" s="1334" customFormat="1" ht="14.25" customHeight="1" x14ac:dyDescent="0.25">
      <c r="A303" s="1184"/>
      <c r="B303" s="887"/>
      <c r="C303" s="26"/>
      <c r="D303" s="26" cm="1">
        <f t="array" ref="D303">D302</f>
        <v>11</v>
      </c>
      <c r="E303" s="545">
        <v>15</v>
      </c>
      <c r="F303" s="3" t="str" cm="1">
        <f t="array" aca="1" ref="F303" ca="1">OFFSET(E303,-1,1)</f>
        <v>1</v>
      </c>
      <c r="G303" s="26"/>
      <c r="H303" s="26"/>
      <c r="I303" s="26" t="s">
        <v>2158</v>
      </c>
      <c r="J303" s="26"/>
      <c r="K303" s="77" t="s">
        <v>2158</v>
      </c>
      <c r="L303" s="889" t="s">
        <v>1844</v>
      </c>
      <c r="M303" s="26"/>
      <c r="N303" s="26"/>
      <c r="O303" s="26"/>
      <c r="P303" s="26"/>
      <c r="Q303" s="26"/>
      <c r="R303" s="26"/>
      <c r="S303" s="26"/>
      <c r="T303" s="388" t="b" cm="1">
        <f t="array" aca="1" ref="T303" ca="1">T302</f>
        <v>1</v>
      </c>
      <c r="U303" s="26"/>
      <c r="V303" s="26"/>
      <c r="W303" s="26"/>
      <c r="X303" s="2066"/>
      <c r="Y303" s="1184"/>
      <c r="Z303" s="2012"/>
      <c r="AA303" s="1184"/>
      <c r="AB303" s="218" t="str">
        <f>D303&amp;".5"</f>
        <v>11.5</v>
      </c>
      <c r="AC303" s="1019" t="s">
        <v>1846</v>
      </c>
      <c r="AD303" s="218" t="s">
        <v>490</v>
      </c>
      <c r="AE303" s="1022">
        <f>IF(AE300=0,0,AE302/AE300*100)</f>
        <v>100</v>
      </c>
      <c r="AF303" s="1022">
        <f>IF(AF300=0,0,AF302/AF300*100)</f>
        <v>0</v>
      </c>
      <c r="AG303" s="1022">
        <f>IF(AG300=0,0,AG302/AG300*100)</f>
        <v>0</v>
      </c>
      <c r="AH303" s="1023"/>
      <c r="AI303" s="1022">
        <f t="shared" ref="AI303:BC303" si="81">IF(AI300=0,0,AI302/AI300*100)</f>
        <v>105.41466463246674</v>
      </c>
      <c r="AJ303" s="1022">
        <f t="shared" si="81"/>
        <v>100</v>
      </c>
      <c r="AK303" s="1022">
        <f t="shared" si="81"/>
        <v>100</v>
      </c>
      <c r="AL303" s="1022">
        <f t="shared" si="81"/>
        <v>100</v>
      </c>
      <c r="AM303" s="1022">
        <f t="shared" si="81"/>
        <v>100</v>
      </c>
      <c r="AN303" s="1022">
        <f t="shared" si="81"/>
        <v>100</v>
      </c>
      <c r="AO303" s="1022">
        <f t="shared" si="81"/>
        <v>100</v>
      </c>
      <c r="AP303" s="1022">
        <f t="shared" si="81"/>
        <v>100</v>
      </c>
      <c r="AQ303" s="1022">
        <f t="shared" si="81"/>
        <v>0</v>
      </c>
      <c r="AR303" s="1022">
        <f t="shared" si="81"/>
        <v>0</v>
      </c>
      <c r="AS303" s="1022">
        <f t="shared" si="81"/>
        <v>0</v>
      </c>
      <c r="AT303" s="1022">
        <f t="shared" si="81"/>
        <v>105.19360210246312</v>
      </c>
      <c r="AU303" s="1022">
        <f t="shared" si="81"/>
        <v>104.61990555544021</v>
      </c>
      <c r="AV303" s="1022">
        <f t="shared" si="81"/>
        <v>104.03032635879572</v>
      </c>
      <c r="AW303" s="1022">
        <f t="shared" si="81"/>
        <v>105.19734738437407</v>
      </c>
      <c r="AX303" s="1022">
        <f t="shared" si="81"/>
        <v>103.45217874196547</v>
      </c>
      <c r="AY303" s="1022">
        <f t="shared" si="81"/>
        <v>103.54793552884416</v>
      </c>
      <c r="AZ303" s="1022">
        <f t="shared" si="81"/>
        <v>102.99228008234897</v>
      </c>
      <c r="BA303" s="1022">
        <f t="shared" ca="1" si="81"/>
        <v>0</v>
      </c>
      <c r="BB303" s="1022">
        <f t="shared" ca="1" si="81"/>
        <v>0</v>
      </c>
      <c r="BC303" s="1022">
        <f t="shared" ca="1" si="81"/>
        <v>0</v>
      </c>
      <c r="BD303" s="1023"/>
      <c r="BE303" s="1023"/>
      <c r="BF303" s="1023"/>
      <c r="BG303" s="1023"/>
      <c r="BH303" s="1023"/>
      <c r="BI303" s="1023"/>
      <c r="BJ303" s="1023"/>
      <c r="BK303" s="1023"/>
      <c r="BL303" s="1023"/>
      <c r="BM303" s="1023"/>
      <c r="BN303" s="1523"/>
      <c r="BO303" s="1523"/>
      <c r="BP303" s="1523"/>
      <c r="BQ303" s="1184"/>
      <c r="BR303" s="1184"/>
      <c r="BS303" s="971" t="s">
        <v>1847</v>
      </c>
      <c r="BT303" s="973"/>
      <c r="BU303" s="973"/>
      <c r="BV303" s="888"/>
      <c r="BW303" s="888"/>
    </row>
    <row r="304" spans="1:75" s="1334" customFormat="1" ht="14.65" customHeight="1" x14ac:dyDescent="0.25">
      <c r="A304" s="1184"/>
      <c r="B304" s="887"/>
      <c r="C304" s="26"/>
      <c r="D304" s="26" cm="1">
        <f t="array" ref="D304">D303</f>
        <v>11</v>
      </c>
      <c r="E304" s="545">
        <v>15</v>
      </c>
      <c r="F304" s="3" t="str" cm="1">
        <f t="array" aca="1" ref="F304" ca="1">OFFSET(E304,-1,1)</f>
        <v>1</v>
      </c>
      <c r="G304" s="26"/>
      <c r="H304" s="26"/>
      <c r="I304" s="26" t="s">
        <v>2159</v>
      </c>
      <c r="J304" s="26"/>
      <c r="K304" s="77" t="s">
        <v>2159</v>
      </c>
      <c r="L304" s="889" t="s">
        <v>1848</v>
      </c>
      <c r="M304" s="26"/>
      <c r="N304" s="26"/>
      <c r="O304" s="26"/>
      <c r="P304" s="26"/>
      <c r="Q304" s="26"/>
      <c r="R304" s="26"/>
      <c r="S304" s="26"/>
      <c r="T304" s="388" t="b" cm="1">
        <f t="array" aca="1" ref="T304" ca="1">T303</f>
        <v>1</v>
      </c>
      <c r="U304" s="26"/>
      <c r="V304" s="26"/>
      <c r="W304" s="26"/>
      <c r="X304" s="2066"/>
      <c r="Y304" s="1184"/>
      <c r="Z304" s="2012"/>
      <c r="AA304" s="1184"/>
      <c r="AB304" s="218" t="str">
        <f>D304&amp;".6"</f>
        <v>11.6</v>
      </c>
      <c r="AC304" s="1019" t="s">
        <v>1850</v>
      </c>
      <c r="AD304" s="218" t="s">
        <v>1588</v>
      </c>
      <c r="AE304" s="1514">
        <v>47.729405464999999</v>
      </c>
      <c r="AF304" s="1514">
        <f ca="1">IF(AF298=0,0,AF295/AF298)</f>
        <v>34.620017267642453</v>
      </c>
      <c r="AG304" s="1514">
        <f ca="1">IF(AG298=0,0,AG295/AG298)</f>
        <v>26.315864035081646</v>
      </c>
      <c r="AH304" s="1022">
        <f ca="1">AG304-AF304</f>
        <v>-8.3041532325608074</v>
      </c>
      <c r="AI304" s="1514">
        <v>49.0215990835</v>
      </c>
      <c r="AJ304" s="1514">
        <v>60.6478008295</v>
      </c>
      <c r="AK304" s="1148">
        <v>62.907293322900003</v>
      </c>
      <c r="AL304" s="1148">
        <v>65.263337262799993</v>
      </c>
      <c r="AM304" s="1148">
        <v>67.739464045600002</v>
      </c>
      <c r="AN304" s="1148">
        <v>70.222836525000005</v>
      </c>
      <c r="AO304" s="1148">
        <v>72.810328324799997</v>
      </c>
      <c r="AP304" s="1148">
        <v>75.586172871299993</v>
      </c>
      <c r="AQ304" s="1514">
        <f ca="1">IF(AQ298=0,0,AQ295/AQ298)</f>
        <v>0</v>
      </c>
      <c r="AR304" s="1514">
        <f ca="1">IF(AR298=0,0,AR295/AR298)</f>
        <v>0</v>
      </c>
      <c r="AS304" s="1514">
        <f ca="1">IF(AS298=0,0,AS295/AS298)</f>
        <v>0</v>
      </c>
      <c r="AT304" s="1514">
        <v>51.620341799800002</v>
      </c>
      <c r="AU304" s="1148">
        <v>54.149477083999997</v>
      </c>
      <c r="AV304" s="1148">
        <v>56.487900701199997</v>
      </c>
      <c r="AW304" s="1148">
        <v>59.100671320499998</v>
      </c>
      <c r="AX304" s="1148">
        <v>61.6435733195</v>
      </c>
      <c r="AY304" s="1148">
        <v>63.801634399100003</v>
      </c>
      <c r="AZ304" s="1148">
        <v>65.884926925000002</v>
      </c>
      <c r="BA304" s="1514">
        <f ca="1">IF(BA298=0,0,BA295/BA298)</f>
        <v>0</v>
      </c>
      <c r="BB304" s="1514">
        <f ca="1">IF(BB298=0,0,BB295/BB298)</f>
        <v>0</v>
      </c>
      <c r="BC304" s="1514">
        <f ca="1">IF(BC298=0,0,BC295/BC298)</f>
        <v>0</v>
      </c>
      <c r="BD304" s="1023"/>
      <c r="BE304" s="1023"/>
      <c r="BF304" s="1023"/>
      <c r="BG304" s="1023"/>
      <c r="BH304" s="1023"/>
      <c r="BI304" s="1023"/>
      <c r="BJ304" s="1023"/>
      <c r="BK304" s="1023"/>
      <c r="BL304" s="1023"/>
      <c r="BM304" s="1023"/>
      <c r="BN304" s="1523"/>
      <c r="BO304" s="1523"/>
      <c r="BP304" s="1523"/>
      <c r="BQ304" s="1184"/>
      <c r="BR304" s="1184"/>
      <c r="BS304" s="971" t="s">
        <v>1851</v>
      </c>
      <c r="BT304" s="973"/>
      <c r="BU304" s="973"/>
      <c r="BV304" s="888"/>
      <c r="BW304" s="888"/>
    </row>
    <row r="305" spans="1:75" s="1541" customFormat="1" ht="20.45" customHeight="1" x14ac:dyDescent="0.25">
      <c r="A305" s="623"/>
      <c r="B305" s="357"/>
      <c r="C305" s="28"/>
      <c r="D305" s="28">
        <f>D304+1</f>
        <v>12</v>
      </c>
      <c r="E305" s="745">
        <v>21</v>
      </c>
      <c r="F305" s="3" t="str" cm="1">
        <f t="array" aca="1" ref="F305" ca="1">OFFSET(E305,-1,1)</f>
        <v>1</v>
      </c>
      <c r="G305" s="28"/>
      <c r="H305" s="26"/>
      <c r="I305" s="26" t="s">
        <v>1856</v>
      </c>
      <c r="J305" s="28"/>
      <c r="K305" s="77" t="s">
        <v>1856</v>
      </c>
      <c r="L305" s="894" t="s">
        <v>1852</v>
      </c>
      <c r="M305" s="28"/>
      <c r="N305" s="28"/>
      <c r="O305" s="28"/>
      <c r="P305" s="28"/>
      <c r="Q305" s="28"/>
      <c r="R305" s="28"/>
      <c r="S305" s="28"/>
      <c r="T305" s="388" t="b" cm="1">
        <f t="array" aca="1" ref="T305" ca="1">T304</f>
        <v>1</v>
      </c>
      <c r="U305" s="28"/>
      <c r="V305" s="28"/>
      <c r="W305" s="28"/>
      <c r="X305" s="2066"/>
      <c r="Y305" s="623"/>
      <c r="Z305" s="2012"/>
      <c r="AA305" s="623"/>
      <c r="AB305" s="130" cm="1">
        <f t="array" ref="AB305">D305</f>
        <v>12</v>
      </c>
      <c r="AC305" s="131" t="s">
        <v>1854</v>
      </c>
      <c r="AD305" s="130" t="s">
        <v>831</v>
      </c>
      <c r="AE305" s="1520">
        <v>104352.433041079</v>
      </c>
      <c r="AF305" s="1520">
        <f ca="1">IF(AF298=0,0,AF295/AF298*AF306)</f>
        <v>65761.345960197665</v>
      </c>
      <c r="AG305" s="1520">
        <f ca="1">IF(AG298=0,0,AG295/AG298*AG306)</f>
        <v>49987.457420190221</v>
      </c>
      <c r="AH305" s="132">
        <f ca="1">AH307*AH308+AH309*AH310</f>
        <v>0</v>
      </c>
      <c r="AI305" s="1520">
        <v>107177.600183603</v>
      </c>
      <c r="AJ305" s="1520">
        <v>140294.17965859099</v>
      </c>
      <c r="AK305" s="1157">
        <v>145520.97504882299</v>
      </c>
      <c r="AL305" s="1157">
        <v>150971.11911447701</v>
      </c>
      <c r="AM305" s="1157">
        <v>156699.04611239</v>
      </c>
      <c r="AN305" s="1157">
        <v>162443.73429593799</v>
      </c>
      <c r="AO305" s="1157">
        <v>168429.27762070799</v>
      </c>
      <c r="AP305" s="1157">
        <v>174850.52996943801</v>
      </c>
      <c r="AQ305" s="1520">
        <f ca="1">IF(AQ298=0,0,AQ295/AQ298*AQ306)</f>
        <v>0</v>
      </c>
      <c r="AR305" s="1520">
        <f ca="1">IF(AR298=0,0,AR295/AR298*AR306)</f>
        <v>0</v>
      </c>
      <c r="AS305" s="1520">
        <f ca="1">IF(AS298=0,0,AS295/AS298*AS306)</f>
        <v>0</v>
      </c>
      <c r="AT305" s="1520">
        <v>112859.320344408</v>
      </c>
      <c r="AU305" s="1157">
        <v>118388.855393719</v>
      </c>
      <c r="AV305" s="1157">
        <v>123501.430996861</v>
      </c>
      <c r="AW305" s="1157">
        <v>129213.82084210801</v>
      </c>
      <c r="AX305" s="1157">
        <v>134773.45453126801</v>
      </c>
      <c r="AY305" s="1157">
        <v>139491.69734423899</v>
      </c>
      <c r="AZ305" s="1157">
        <v>144046.471109009</v>
      </c>
      <c r="BA305" s="1520">
        <f ca="1">IF(BA298=0,0,BA295/BA298*BA306)</f>
        <v>0</v>
      </c>
      <c r="BB305" s="1520">
        <f ca="1">IF(BB298=0,0,BB295/BB298*BB306)</f>
        <v>0</v>
      </c>
      <c r="BC305" s="1520">
        <f ca="1">IF(BC298=0,0,BC295/BC298*BC306)</f>
        <v>0</v>
      </c>
      <c r="BD305" s="698">
        <f>IF(AI305=0,0,(AT305-AI305)/AI305*100)</f>
        <v>5.3012197987935865</v>
      </c>
      <c r="BE305" s="698">
        <f t="shared" ref="BE305:BM305" si="82">IF(AT305=0,0,(AU305-AT305)/AT305*100)</f>
        <v>4.8994934866139133</v>
      </c>
      <c r="BF305" s="698">
        <f t="shared" si="82"/>
        <v>4.3184602014601827</v>
      </c>
      <c r="BG305" s="698">
        <f t="shared" si="82"/>
        <v>4.6253632845697084</v>
      </c>
      <c r="BH305" s="698">
        <f t="shared" si="82"/>
        <v>4.3026617841086567</v>
      </c>
      <c r="BI305" s="698">
        <f t="shared" si="82"/>
        <v>3.5008695364978726</v>
      </c>
      <c r="BJ305" s="698">
        <f t="shared" si="82"/>
        <v>3.2652651387054936</v>
      </c>
      <c r="BK305" s="698">
        <f t="shared" ca="1" si="82"/>
        <v>-100</v>
      </c>
      <c r="BL305" s="698">
        <f t="shared" ca="1" si="82"/>
        <v>0</v>
      </c>
      <c r="BM305" s="698">
        <f t="shared" ca="1" si="82"/>
        <v>0</v>
      </c>
      <c r="BN305" s="1523"/>
      <c r="BO305" s="1523"/>
      <c r="BP305" s="1523"/>
      <c r="BQ305" s="623"/>
      <c r="BR305" s="623"/>
      <c r="BS305" s="972" t="s">
        <v>1855</v>
      </c>
      <c r="BT305" s="979"/>
      <c r="BU305" s="979"/>
      <c r="BV305" s="630"/>
      <c r="BW305" s="630"/>
    </row>
    <row r="306" spans="1:75" s="1542" customFormat="1" ht="20.25" customHeight="1" x14ac:dyDescent="0.25">
      <c r="A306" s="623"/>
      <c r="B306" s="357"/>
      <c r="C306" s="28"/>
      <c r="D306" s="28">
        <f>D305+1</f>
        <v>13</v>
      </c>
      <c r="E306" s="745">
        <v>21</v>
      </c>
      <c r="F306" s="3" t="str" cm="1">
        <f t="array" aca="1" ref="F306" ca="1">OFFSET(E306,-1,1)</f>
        <v>1</v>
      </c>
      <c r="G306" s="26" t="s">
        <v>1610</v>
      </c>
      <c r="H306" s="26"/>
      <c r="I306" s="26" t="s">
        <v>2160</v>
      </c>
      <c r="J306" s="28"/>
      <c r="K306" s="77" t="s">
        <v>2160</v>
      </c>
      <c r="L306" s="894" t="s">
        <v>1856</v>
      </c>
      <c r="M306" s="28"/>
      <c r="N306" s="28"/>
      <c r="O306" s="28"/>
      <c r="P306" s="28"/>
      <c r="Q306" s="28"/>
      <c r="R306" s="28"/>
      <c r="S306" s="28"/>
      <c r="T306" s="388" t="b" cm="1">
        <f t="array" aca="1" ref="T306" ca="1">T305</f>
        <v>1</v>
      </c>
      <c r="U306" s="28"/>
      <c r="V306" s="28"/>
      <c r="W306" s="28"/>
      <c r="X306" s="2066"/>
      <c r="Y306" s="623"/>
      <c r="Z306" s="2012"/>
      <c r="AA306" s="623"/>
      <c r="AB306" s="130" cm="1">
        <f t="array" ref="AB306">D306</f>
        <v>13</v>
      </c>
      <c r="AC306" s="131" t="s">
        <v>1858</v>
      </c>
      <c r="AD306" s="130" t="s">
        <v>563</v>
      </c>
      <c r="AE306" s="705">
        <f ca="1">SUMIFS(Баланс!AE$26:AE$300,Баланс!$F$26:$F$300,$F306,Баланс!$G$26:$G$300,"население")</f>
        <v>2186.3342320000002</v>
      </c>
      <c r="AF306" s="705">
        <f ca="1">SUMIFS(Баланс!AF$26:AF$300,Баланс!$F$26:$F$300,$F306,Баланс!$G$26:$G$300,"население")</f>
        <v>1899.518</v>
      </c>
      <c r="AG306" s="705">
        <f ca="1">SUMIFS(Баланс!AG$26:AG$300,Баланс!$F$26:$F$300,$F306,Баланс!$G$26:$G$300,"население")</f>
        <v>1899.518</v>
      </c>
      <c r="AH306" s="705">
        <f t="shared" ref="AH306:AH314" ca="1" si="83">AG306-AF306</f>
        <v>0</v>
      </c>
      <c r="AI306" s="705">
        <f ca="1">SUMIFS(Баланс!AH$26:AH$300,Баланс!$F$26:$F$300,$F306,Баланс!$G$26:$G$300,"население")</f>
        <v>2186.3342320000002</v>
      </c>
      <c r="AJ306" s="705">
        <f ca="1">SUMIFS(Баланс!AI$26:AI$300,Баланс!$F$26:$F$300,$F306,Баланс!$G$26:$G$300,"население")</f>
        <v>1899.518</v>
      </c>
      <c r="AK306" s="705">
        <f ca="1">SUMIFS(Баланс!AJ$26:AJ$300,Баланс!$F$26:$F$300,$F306,Баланс!$G$26:$G$300,"население")</f>
        <v>2313.2607899999998</v>
      </c>
      <c r="AL306" s="705">
        <f ca="1">SUMIFS(Баланс!AK$26:AK$300,Баланс!$F$26:$F$300,$F306,Баланс!$G$26:$G$300,"население")</f>
        <v>2313.2607899999998</v>
      </c>
      <c r="AM306" s="705">
        <f ca="1">SUMIFS(Баланс!AL$26:AL$300,Баланс!$F$26:$F$300,$F306,Баланс!$G$26:$G$300,"население")</f>
        <v>2313.2607899999998</v>
      </c>
      <c r="AN306" s="705">
        <f ca="1">SUMIFS(Баланс!AM$26:AM$300,Баланс!$F$26:$F$300,$F306,Баланс!$G$26:$G$300,"население")</f>
        <v>2313.2607899999998</v>
      </c>
      <c r="AO306" s="705">
        <f ca="1">SUMIFS(Баланс!AN$26:AN$300,Баланс!$F$26:$F$300,$F306,Баланс!$G$26:$G$300,"население")</f>
        <v>2313.2607899999998</v>
      </c>
      <c r="AP306" s="705">
        <f ca="1">SUMIFS(Баланс!AO$26:AO$300,Баланс!$F$26:$F$300,$F306,Баланс!$G$26:$G$300,"население")</f>
        <v>2313.2607899999998</v>
      </c>
      <c r="AQ306" s="705">
        <f ca="1">SUMIFS(Баланс!AP$26:AP$300,Баланс!$F$26:$F$300,$F306,Баланс!$G$26:$G$300,"население")</f>
        <v>0</v>
      </c>
      <c r="AR306" s="705">
        <f ca="1">SUMIFS(Баланс!AQ$26:AQ$300,Баланс!$F$26:$F$300,$F306,Баланс!$G$26:$G$300,"население")</f>
        <v>0</v>
      </c>
      <c r="AS306" s="705">
        <f ca="1">SUMIFS(Баланс!AR$26:AR$300,Баланс!$F$26:$F$300,$F306,Баланс!$G$26:$G$300,"население")</f>
        <v>0</v>
      </c>
      <c r="AT306" s="705">
        <f ca="1">SUMIFS(Баланс!AS$26:AS$300,Баланс!$F$26:$F$300,$F306,Баланс!$G$26:$G$300,"население")</f>
        <v>1899.5178800000001</v>
      </c>
      <c r="AU306" s="705">
        <f ca="1">SUMIFS(Баланс!AT$26:AT$300,Баланс!$F$26:$F$300,$F306,Баланс!$G$26:$G$300,"население")</f>
        <v>2186.3342320000002</v>
      </c>
      <c r="AV306" s="705">
        <f ca="1">SUMIFS(Баланс!AU$26:AU$300,Баланс!$F$26:$F$300,$F306,Баланс!$G$26:$G$300,"население")</f>
        <v>2186.3342320000002</v>
      </c>
      <c r="AW306" s="705">
        <f ca="1">SUMIFS(Баланс!AV$26:AV$300,Баланс!$F$26:$F$300,$F306,Баланс!$G$26:$G$300,"население")</f>
        <v>2186.3342320000002</v>
      </c>
      <c r="AX306" s="705">
        <f ca="1">SUMIFS(Баланс!AW$26:AW$300,Баланс!$F$26:$F$300,$F306,Баланс!$G$26:$G$300,"население")</f>
        <v>2186.3342320000002</v>
      </c>
      <c r="AY306" s="705">
        <f ca="1">SUMIFS(Баланс!AX$26:AX$300,Баланс!$F$26:$F$300,$F306,Баланс!$G$26:$G$300,"население")</f>
        <v>2186.3342320000002</v>
      </c>
      <c r="AZ306" s="705">
        <f ca="1">SUMIFS(Баланс!AY$26:AY$300,Баланс!$F$26:$F$300,$F306,Баланс!$G$26:$G$300,"население")</f>
        <v>2186.3342320000002</v>
      </c>
      <c r="BA306" s="705">
        <f ca="1">SUMIFS(Баланс!AZ$26:AZ$300,Баланс!$F$26:$F$300,$F306,Баланс!$G$26:$G$300,"население")</f>
        <v>0</v>
      </c>
      <c r="BB306" s="705">
        <f ca="1">SUMIFS(Баланс!BA$26:BA$300,Баланс!$F$26:$F$300,$F306,Баланс!$G$26:$G$300,"население")</f>
        <v>0</v>
      </c>
      <c r="BC306" s="705">
        <f ca="1">SUMIFS(Баланс!BB$26:BB$300,Баланс!$F$26:$F$300,$F306,Баланс!$G$26:$G$300,"население")</f>
        <v>0</v>
      </c>
      <c r="BD306" s="135"/>
      <c r="BE306" s="135"/>
      <c r="BF306" s="135"/>
      <c r="BG306" s="135"/>
      <c r="BH306" s="135"/>
      <c r="BI306" s="135"/>
      <c r="BJ306" s="135"/>
      <c r="BK306" s="135"/>
      <c r="BL306" s="135"/>
      <c r="BM306" s="135"/>
      <c r="BN306" s="1523"/>
      <c r="BO306" s="1523"/>
      <c r="BP306" s="1523"/>
      <c r="BQ306" s="623"/>
      <c r="BR306" s="623"/>
      <c r="BS306" s="972" t="s">
        <v>1859</v>
      </c>
      <c r="BT306" s="979"/>
      <c r="BU306" s="979"/>
      <c r="BV306" s="630"/>
      <c r="BW306" s="630"/>
    </row>
    <row r="307" spans="1:75" s="1334" customFormat="1" ht="14.65" customHeight="1" x14ac:dyDescent="0.25">
      <c r="A307" s="1184"/>
      <c r="B307" s="887"/>
      <c r="C307" s="26"/>
      <c r="D307" s="26" cm="1">
        <f t="array" ref="D307">D306</f>
        <v>13</v>
      </c>
      <c r="E307" s="545">
        <v>15</v>
      </c>
      <c r="F307" s="3" t="str" cm="1">
        <f t="array" aca="1" ref="F307" ca="1">OFFSET(E307,-1,1)</f>
        <v>1</v>
      </c>
      <c r="G307" s="26" t="s">
        <v>1644</v>
      </c>
      <c r="H307" s="26"/>
      <c r="I307" s="26" t="s">
        <v>2161</v>
      </c>
      <c r="J307" s="26"/>
      <c r="K307" s="77" t="s">
        <v>2161</v>
      </c>
      <c r="L307" s="889" t="s">
        <v>1860</v>
      </c>
      <c r="M307" s="26"/>
      <c r="N307" s="26"/>
      <c r="O307" s="26"/>
      <c r="P307" s="26"/>
      <c r="Q307" s="26"/>
      <c r="R307" s="26"/>
      <c r="S307" s="26"/>
      <c r="T307" s="388" t="b" cm="1">
        <f t="array" aca="1" ref="T307" ca="1">T306</f>
        <v>1</v>
      </c>
      <c r="U307" s="26"/>
      <c r="V307" s="26"/>
      <c r="W307" s="26"/>
      <c r="X307" s="2066"/>
      <c r="Y307" s="1184"/>
      <c r="Z307" s="2012"/>
      <c r="AA307" s="1184"/>
      <c r="AB307" s="218" t="str">
        <f>D307&amp;".1"</f>
        <v>13.1</v>
      </c>
      <c r="AC307" s="1019" t="s">
        <v>1862</v>
      </c>
      <c r="AD307" s="218" t="s">
        <v>563</v>
      </c>
      <c r="AE307" s="1513">
        <v>1093.1671160000001</v>
      </c>
      <c r="AF307" s="1513">
        <f ca="1">AF306/2</f>
        <v>949.75900000000001</v>
      </c>
      <c r="AG307" s="1513">
        <f ca="1">AG306/2</f>
        <v>949.75900000000001</v>
      </c>
      <c r="AH307" s="1021">
        <f t="shared" ca="1" si="83"/>
        <v>0</v>
      </c>
      <c r="AI307" s="1513">
        <v>1093.1671160000001</v>
      </c>
      <c r="AJ307" s="1513">
        <v>1156.6303949999999</v>
      </c>
      <c r="AK307" s="1146">
        <v>1156.6303949999999</v>
      </c>
      <c r="AL307" s="1146">
        <v>1156.6303949999999</v>
      </c>
      <c r="AM307" s="1146">
        <v>1156.6303949999999</v>
      </c>
      <c r="AN307" s="1146">
        <v>1156.6303949999999</v>
      </c>
      <c r="AO307" s="1146">
        <v>1156.6303949999999</v>
      </c>
      <c r="AP307" s="1146">
        <v>1156.6303949999999</v>
      </c>
      <c r="AQ307" s="1513">
        <f ca="1">AQ306/2</f>
        <v>0</v>
      </c>
      <c r="AR307" s="1513">
        <f ca="1">AR306/2</f>
        <v>0</v>
      </c>
      <c r="AS307" s="1513">
        <f ca="1">AS306/2</f>
        <v>0</v>
      </c>
      <c r="AT307" s="1519">
        <v>1093.1671160000001</v>
      </c>
      <c r="AU307" s="1168">
        <v>1093.1671160000001</v>
      </c>
      <c r="AV307" s="1146">
        <v>1093.1671160000001</v>
      </c>
      <c r="AW307" s="1146">
        <v>1093.1671160000001</v>
      </c>
      <c r="AX307" s="1146">
        <v>1093.1671160000001</v>
      </c>
      <c r="AY307" s="1146">
        <v>1093.1671160000001</v>
      </c>
      <c r="AZ307" s="1146">
        <v>1093.1671160000001</v>
      </c>
      <c r="BA307" s="1513">
        <f ca="1">BA306/2</f>
        <v>0</v>
      </c>
      <c r="BB307" s="1513">
        <f ca="1">BB306/2</f>
        <v>0</v>
      </c>
      <c r="BC307" s="1513">
        <f ca="1">BC306/2</f>
        <v>0</v>
      </c>
      <c r="BD307" s="1023"/>
      <c r="BE307" s="1023"/>
      <c r="BF307" s="1023"/>
      <c r="BG307" s="1023"/>
      <c r="BH307" s="1023"/>
      <c r="BI307" s="1023"/>
      <c r="BJ307" s="1023"/>
      <c r="BK307" s="1023"/>
      <c r="BL307" s="1023"/>
      <c r="BM307" s="1023"/>
      <c r="BN307" s="1523"/>
      <c r="BO307" s="1523"/>
      <c r="BP307" s="1523"/>
      <c r="BQ307" s="1184"/>
      <c r="BR307" s="1184"/>
      <c r="BS307" s="971" t="s">
        <v>1863</v>
      </c>
      <c r="BT307" s="973"/>
      <c r="BU307" s="973"/>
      <c r="BV307" s="888"/>
      <c r="BW307" s="888"/>
    </row>
    <row r="308" spans="1:75" s="1334" customFormat="1" ht="14.65" customHeight="1" x14ac:dyDescent="0.25">
      <c r="A308" s="1184"/>
      <c r="B308" s="887"/>
      <c r="C308" s="26"/>
      <c r="D308" s="26" cm="1">
        <f t="array" ref="D308">D307</f>
        <v>13</v>
      </c>
      <c r="E308" s="545">
        <v>15</v>
      </c>
      <c r="F308" s="3" t="str" cm="1">
        <f t="array" aca="1" ref="F308" ca="1">OFFSET(E308,-1,1)</f>
        <v>1</v>
      </c>
      <c r="G308" s="26" t="s">
        <v>1600</v>
      </c>
      <c r="H308" s="26"/>
      <c r="I308" s="26" t="s">
        <v>2162</v>
      </c>
      <c r="J308" s="26"/>
      <c r="K308" s="77" t="s">
        <v>2162</v>
      </c>
      <c r="L308" s="889" t="s">
        <v>1864</v>
      </c>
      <c r="M308" s="26"/>
      <c r="N308" s="26"/>
      <c r="O308" s="26"/>
      <c r="P308" s="26"/>
      <c r="Q308" s="26"/>
      <c r="R308" s="26"/>
      <c r="S308" s="26"/>
      <c r="T308" s="388" t="b" cm="1">
        <f t="array" aca="1" ref="T308" ca="1">T307</f>
        <v>1</v>
      </c>
      <c r="U308" s="26"/>
      <c r="V308" s="26"/>
      <c r="W308" s="26"/>
      <c r="X308" s="2066"/>
      <c r="Y308" s="1184"/>
      <c r="Z308" s="2012"/>
      <c r="AA308" s="1184"/>
      <c r="AB308" s="218" t="str">
        <f>D308&amp;".2"</f>
        <v>13.2</v>
      </c>
      <c r="AC308" s="1019" t="s">
        <v>1866</v>
      </c>
      <c r="AD308" s="218" t="s">
        <v>1588</v>
      </c>
      <c r="AE308" s="1514">
        <v>47.729405464999999</v>
      </c>
      <c r="AF308" s="1521">
        <f ca="1">IF(AF306=0,0,AF300*(1+Сценарии!AF$26))</f>
        <v>0</v>
      </c>
      <c r="AG308" s="1521">
        <f ca="1">IF(AG306=0,0,AG300*(1+Сценарии!AG$26))</f>
        <v>0</v>
      </c>
      <c r="AH308" s="1022">
        <f t="shared" ca="1" si="83"/>
        <v>0</v>
      </c>
      <c r="AI308" s="1514">
        <v>47.729405464999999</v>
      </c>
      <c r="AJ308" s="1521">
        <v>60.6478008295</v>
      </c>
      <c r="AK308" s="1169">
        <v>62.907293322900003</v>
      </c>
      <c r="AL308" s="1169">
        <v>65.263337262799993</v>
      </c>
      <c r="AM308" s="1169">
        <v>67.739464045600002</v>
      </c>
      <c r="AN308" s="1169">
        <v>70.222836525000005</v>
      </c>
      <c r="AO308" s="1169">
        <v>72.810328324799997</v>
      </c>
      <c r="AP308" s="1169">
        <v>75.586172871299993</v>
      </c>
      <c r="AQ308" s="1521">
        <f ca="1">IF(AQ306=0,0,AQ300*(1+Сценарии!AU$26))</f>
        <v>0</v>
      </c>
      <c r="AR308" s="1521">
        <f ca="1">IF(AR306=0,0,AR300*(1+Сценарии!AV$26))</f>
        <v>0</v>
      </c>
      <c r="AS308" s="1521">
        <f ca="1">IF(AS306=0,0,AS300*(1+Сценарии!AW$26))</f>
        <v>0</v>
      </c>
      <c r="AT308" s="1514">
        <v>50.313792702000001</v>
      </c>
      <c r="AU308" s="1148">
        <v>52.926890897600003</v>
      </c>
      <c r="AV308" s="1169">
        <v>55.3720632705</v>
      </c>
      <c r="AW308" s="1169">
        <v>57.603738131900002</v>
      </c>
      <c r="AX308" s="1169">
        <v>60.597604509</v>
      </c>
      <c r="AY308" s="1169">
        <v>62.68954213</v>
      </c>
      <c r="AZ308" s="1169">
        <v>64.913726668099997</v>
      </c>
      <c r="BA308" s="1521">
        <f ca="1">IF(BA306=0,0,BA300*(1+Сценарии!BD$26))</f>
        <v>0</v>
      </c>
      <c r="BB308" s="1521">
        <f ca="1">IF(BB306=0,0,BB300*(1+Сценарии!BE$26))</f>
        <v>0</v>
      </c>
      <c r="BC308" s="1521">
        <f ca="1">IF(BC306=0,0,BC300*(1+Сценарии!BF$26))</f>
        <v>0</v>
      </c>
      <c r="BD308" s="1023"/>
      <c r="BE308" s="1023"/>
      <c r="BF308" s="1023"/>
      <c r="BG308" s="1023"/>
      <c r="BH308" s="1023"/>
      <c r="BI308" s="1023"/>
      <c r="BJ308" s="1023"/>
      <c r="BK308" s="1023"/>
      <c r="BL308" s="1023"/>
      <c r="BM308" s="1023"/>
      <c r="BN308" s="1523"/>
      <c r="BO308" s="1523"/>
      <c r="BP308" s="1523"/>
      <c r="BQ308" s="1184"/>
      <c r="BR308" s="1184"/>
      <c r="BS308" s="971" t="s">
        <v>1867</v>
      </c>
      <c r="BT308" s="973"/>
      <c r="BU308" s="973"/>
      <c r="BV308" s="888"/>
      <c r="BW308" s="888"/>
    </row>
    <row r="309" spans="1:75" s="1334" customFormat="1" ht="14.25" customHeight="1" x14ac:dyDescent="0.25">
      <c r="A309" s="1184"/>
      <c r="B309" s="887"/>
      <c r="C309" s="26"/>
      <c r="D309" s="26" cm="1">
        <f t="array" ref="D309">D308</f>
        <v>13</v>
      </c>
      <c r="E309" s="545">
        <v>15</v>
      </c>
      <c r="F309" s="3" t="str" cm="1">
        <f t="array" aca="1" ref="F309" ca="1">OFFSET(E309,-1,1)</f>
        <v>1</v>
      </c>
      <c r="G309" s="26" t="s">
        <v>1651</v>
      </c>
      <c r="H309" s="26"/>
      <c r="I309" s="26" t="s">
        <v>2163</v>
      </c>
      <c r="J309" s="26"/>
      <c r="K309" s="26" t="s">
        <v>2163</v>
      </c>
      <c r="L309" s="889" t="s">
        <v>1868</v>
      </c>
      <c r="M309" s="26"/>
      <c r="N309" s="26"/>
      <c r="O309" s="26"/>
      <c r="P309" s="26"/>
      <c r="Q309" s="26"/>
      <c r="R309" s="26"/>
      <c r="S309" s="26"/>
      <c r="T309" s="388" t="b" cm="1">
        <f t="array" aca="1" ref="T309" ca="1">T308</f>
        <v>1</v>
      </c>
      <c r="U309" s="26"/>
      <c r="V309" s="26"/>
      <c r="W309" s="26"/>
      <c r="X309" s="2066"/>
      <c r="Y309" s="1184"/>
      <c r="Z309" s="2012"/>
      <c r="AA309" s="1184"/>
      <c r="AB309" s="218" t="str">
        <f>D309&amp;".3"</f>
        <v>13.3</v>
      </c>
      <c r="AC309" s="1019" t="s">
        <v>1838</v>
      </c>
      <c r="AD309" s="218" t="s">
        <v>563</v>
      </c>
      <c r="AE309" s="1021">
        <f ca="1">AE306-AE307</f>
        <v>1093.1671160000001</v>
      </c>
      <c r="AF309" s="1021">
        <f ca="1">AF306-AF307</f>
        <v>949.75900000000001</v>
      </c>
      <c r="AG309" s="1021">
        <f ca="1">AG306-AG307</f>
        <v>949.75900000000001</v>
      </c>
      <c r="AH309" s="1021">
        <f t="shared" ca="1" si="83"/>
        <v>0</v>
      </c>
      <c r="AI309" s="1021">
        <f t="shared" ref="AI309:BC309" ca="1" si="84">AI306-AI307</f>
        <v>1093.1671160000001</v>
      </c>
      <c r="AJ309" s="1021">
        <f t="shared" ca="1" si="84"/>
        <v>742.88760500000012</v>
      </c>
      <c r="AK309" s="1021">
        <f t="shared" ca="1" si="84"/>
        <v>1156.6303949999999</v>
      </c>
      <c r="AL309" s="1021">
        <f t="shared" ca="1" si="84"/>
        <v>1156.6303949999999</v>
      </c>
      <c r="AM309" s="1021">
        <f t="shared" ca="1" si="84"/>
        <v>1156.6303949999999</v>
      </c>
      <c r="AN309" s="1021">
        <f t="shared" ca="1" si="84"/>
        <v>1156.6303949999999</v>
      </c>
      <c r="AO309" s="1021">
        <f t="shared" ca="1" si="84"/>
        <v>1156.6303949999999</v>
      </c>
      <c r="AP309" s="1021">
        <f t="shared" ca="1" si="84"/>
        <v>1156.6303949999999</v>
      </c>
      <c r="AQ309" s="1021">
        <f t="shared" ca="1" si="84"/>
        <v>0</v>
      </c>
      <c r="AR309" s="1021">
        <f t="shared" ca="1" si="84"/>
        <v>0</v>
      </c>
      <c r="AS309" s="1021">
        <f t="shared" ca="1" si="84"/>
        <v>0</v>
      </c>
      <c r="AT309" s="1021">
        <f t="shared" ca="1" si="84"/>
        <v>806.35076400000003</v>
      </c>
      <c r="AU309" s="1021">
        <f t="shared" ca="1" si="84"/>
        <v>1093.1671160000001</v>
      </c>
      <c r="AV309" s="1021">
        <f t="shared" ca="1" si="84"/>
        <v>1093.1671160000001</v>
      </c>
      <c r="AW309" s="1021">
        <f t="shared" ca="1" si="84"/>
        <v>1093.1671160000001</v>
      </c>
      <c r="AX309" s="1021">
        <f t="shared" ca="1" si="84"/>
        <v>1093.1671160000001</v>
      </c>
      <c r="AY309" s="1021">
        <f t="shared" ca="1" si="84"/>
        <v>1093.1671160000001</v>
      </c>
      <c r="AZ309" s="1021">
        <f t="shared" ca="1" si="84"/>
        <v>1093.1671160000001</v>
      </c>
      <c r="BA309" s="1021">
        <f t="shared" ca="1" si="84"/>
        <v>0</v>
      </c>
      <c r="BB309" s="1021">
        <f t="shared" ca="1" si="84"/>
        <v>0</v>
      </c>
      <c r="BC309" s="1021">
        <f t="shared" ca="1" si="84"/>
        <v>0</v>
      </c>
      <c r="BD309" s="1023"/>
      <c r="BE309" s="1023"/>
      <c r="BF309" s="1023"/>
      <c r="BG309" s="1023"/>
      <c r="BH309" s="1023"/>
      <c r="BI309" s="1023"/>
      <c r="BJ309" s="1023"/>
      <c r="BK309" s="1023"/>
      <c r="BL309" s="1023"/>
      <c r="BM309" s="1023"/>
      <c r="BN309" s="1523"/>
      <c r="BO309" s="1523"/>
      <c r="BP309" s="1523"/>
      <c r="BQ309" s="1184"/>
      <c r="BR309" s="1184"/>
      <c r="BS309" s="971" t="s">
        <v>1870</v>
      </c>
      <c r="BT309" s="973"/>
      <c r="BU309" s="973"/>
      <c r="BV309" s="888"/>
      <c r="BW309" s="888"/>
    </row>
    <row r="310" spans="1:75" s="1334" customFormat="1" ht="14.65" customHeight="1" x14ac:dyDescent="0.25">
      <c r="A310" s="1184"/>
      <c r="B310" s="887"/>
      <c r="C310" s="26"/>
      <c r="D310" s="26" cm="1">
        <f t="array" ref="D310">D309</f>
        <v>13</v>
      </c>
      <c r="E310" s="545">
        <v>15</v>
      </c>
      <c r="F310" s="3" t="str" cm="1">
        <f t="array" aca="1" ref="F310" ca="1">OFFSET(E310,-1,1)</f>
        <v>1</v>
      </c>
      <c r="G310" s="26" t="s">
        <v>1604</v>
      </c>
      <c r="H310" s="26"/>
      <c r="I310" s="26" t="s">
        <v>2164</v>
      </c>
      <c r="J310" s="26"/>
      <c r="K310" s="26" t="s">
        <v>2164</v>
      </c>
      <c r="L310" s="889" t="s">
        <v>1871</v>
      </c>
      <c r="M310" s="26"/>
      <c r="N310" s="26"/>
      <c r="O310" s="26"/>
      <c r="P310" s="26"/>
      <c r="Q310" s="26"/>
      <c r="R310" s="26"/>
      <c r="S310" s="26"/>
      <c r="T310" s="388" t="b" cm="1">
        <f t="array" aca="1" ref="T310" ca="1">T309</f>
        <v>1</v>
      </c>
      <c r="U310" s="26"/>
      <c r="V310" s="26"/>
      <c r="W310" s="26"/>
      <c r="X310" s="2066"/>
      <c r="Y310" s="1184"/>
      <c r="Z310" s="2012"/>
      <c r="AA310" s="1184"/>
      <c r="AB310" s="218" t="str">
        <f>D310&amp;".4"</f>
        <v>13.4</v>
      </c>
      <c r="AC310" s="1019" t="s">
        <v>1842</v>
      </c>
      <c r="AD310" s="218" t="s">
        <v>1588</v>
      </c>
      <c r="AE310" s="1514">
        <v>47.729405464999999</v>
      </c>
      <c r="AF310" s="1521">
        <f ca="1">IF(AF306=0,0,AF302*(1+Сценарии!AF$26))</f>
        <v>69.240034535284906</v>
      </c>
      <c r="AG310" s="1521">
        <f ca="1">IF(AG306=0,0,AG302*(1+Сценарии!AG$26))</f>
        <v>52.631728070163291</v>
      </c>
      <c r="AH310" s="1022">
        <f t="shared" ca="1" si="83"/>
        <v>-16.608306465121615</v>
      </c>
      <c r="AI310" s="1514">
        <v>50.313792702000001</v>
      </c>
      <c r="AJ310" s="1521">
        <v>60.6478008295</v>
      </c>
      <c r="AK310" s="1148">
        <v>62.907293322900003</v>
      </c>
      <c r="AL310" s="1169">
        <v>65.263337262799993</v>
      </c>
      <c r="AM310" s="1169">
        <v>67.739464045600002</v>
      </c>
      <c r="AN310" s="1169">
        <v>70.222836525000005</v>
      </c>
      <c r="AO310" s="1169">
        <v>72.810328324799997</v>
      </c>
      <c r="AP310" s="1169">
        <v>75.586172871299993</v>
      </c>
      <c r="AQ310" s="1521">
        <f ca="1">IF(AQ306=0,0,AQ302*(1+Сценарии!AU$26))</f>
        <v>0</v>
      </c>
      <c r="AR310" s="1521">
        <f ca="1">IF(AR306=0,0,AR302*(1+Сценарии!AV$26))</f>
        <v>0</v>
      </c>
      <c r="AS310" s="1521">
        <f ca="1">IF(AS306=0,0,AS302*(1+Сценарии!AW$26))</f>
        <v>0</v>
      </c>
      <c r="AT310" s="1514">
        <v>52.926890897600003</v>
      </c>
      <c r="AU310" s="1148">
        <v>55.3720632705</v>
      </c>
      <c r="AV310" s="1169">
        <v>57.603738131900002</v>
      </c>
      <c r="AW310" s="1169">
        <v>60.597604509</v>
      </c>
      <c r="AX310" s="1169">
        <v>62.68954213</v>
      </c>
      <c r="AY310" s="1169">
        <v>64.913726668099997</v>
      </c>
      <c r="AZ310" s="1169">
        <v>66.856127181900007</v>
      </c>
      <c r="BA310" s="1521">
        <f ca="1">IF(BA306=0,0,BA302*(1+Сценарии!BD$26))</f>
        <v>0</v>
      </c>
      <c r="BB310" s="1521">
        <f ca="1">IF(BB306=0,0,BB302*(1+Сценарии!BE$26))</f>
        <v>0</v>
      </c>
      <c r="BC310" s="1521">
        <f ca="1">IF(BC306=0,0,BC302*(1+Сценарии!BF$26))</f>
        <v>0</v>
      </c>
      <c r="BD310" s="1023"/>
      <c r="BE310" s="1023"/>
      <c r="BF310" s="1023"/>
      <c r="BG310" s="1023"/>
      <c r="BH310" s="1023"/>
      <c r="BI310" s="1023"/>
      <c r="BJ310" s="1023"/>
      <c r="BK310" s="1023"/>
      <c r="BL310" s="1023"/>
      <c r="BM310" s="1023"/>
      <c r="BN310" s="1523"/>
      <c r="BO310" s="1523"/>
      <c r="BP310" s="1523"/>
      <c r="BQ310" s="1184"/>
      <c r="BR310" s="1184"/>
      <c r="BS310" s="971" t="s">
        <v>1874</v>
      </c>
      <c r="BT310" s="973"/>
      <c r="BU310" s="973"/>
      <c r="BV310" s="888"/>
      <c r="BW310" s="888"/>
    </row>
    <row r="311" spans="1:75" s="1334" customFormat="1" ht="14.25" customHeight="1" x14ac:dyDescent="0.25">
      <c r="A311" s="1184"/>
      <c r="B311" s="887"/>
      <c r="C311" s="26"/>
      <c r="D311" s="26">
        <f>D310+1</f>
        <v>14</v>
      </c>
      <c r="E311" s="545">
        <v>15</v>
      </c>
      <c r="F311" s="3" t="str" cm="1">
        <f t="array" aca="1" ref="F311" ca="1">OFFSET(E311,-1,1)</f>
        <v>1</v>
      </c>
      <c r="G311" s="26"/>
      <c r="H311" s="26"/>
      <c r="I311" s="26"/>
      <c r="J311" s="26"/>
      <c r="K311" s="26"/>
      <c r="L311" s="889"/>
      <c r="M311" s="26"/>
      <c r="N311" s="26"/>
      <c r="O311" s="26"/>
      <c r="P311" s="26"/>
      <c r="Q311" s="26"/>
      <c r="R311" s="26"/>
      <c r="S311" s="26"/>
      <c r="T311" s="388" t="b" cm="1">
        <f t="array" aca="1" ref="T311" ca="1">T310</f>
        <v>1</v>
      </c>
      <c r="U311" s="26"/>
      <c r="V311" s="26"/>
      <c r="W311" s="26"/>
      <c r="X311" s="2066"/>
      <c r="Y311" s="1184"/>
      <c r="Z311" s="2012"/>
      <c r="AA311" s="1184"/>
      <c r="AB311" s="130" cm="1">
        <f t="array" ref="AB311">D311</f>
        <v>14</v>
      </c>
      <c r="AC311" s="131" t="s">
        <v>1876</v>
      </c>
      <c r="AD311" s="130" t="s">
        <v>831</v>
      </c>
      <c r="AE311" s="1514"/>
      <c r="AF311" s="1514"/>
      <c r="AG311" s="1514"/>
      <c r="AH311" s="1022">
        <f t="shared" si="83"/>
        <v>0</v>
      </c>
      <c r="AI311" s="1514"/>
      <c r="AJ311" s="1514"/>
      <c r="AK311" s="1148"/>
      <c r="AL311" s="1148"/>
      <c r="AM311" s="1148"/>
      <c r="AN311" s="1148"/>
      <c r="AO311" s="1148"/>
      <c r="AP311" s="1148"/>
      <c r="AQ311" s="1514"/>
      <c r="AR311" s="1514"/>
      <c r="AS311" s="1514"/>
      <c r="AT311" s="1514"/>
      <c r="AU311" s="1148"/>
      <c r="AV311" s="1148"/>
      <c r="AW311" s="1148"/>
      <c r="AX311" s="1148"/>
      <c r="AY311" s="1148"/>
      <c r="AZ311" s="1148"/>
      <c r="BA311" s="1514"/>
      <c r="BB311" s="1514"/>
      <c r="BC311" s="1514"/>
      <c r="BD311" s="1023"/>
      <c r="BE311" s="1023"/>
      <c r="BF311" s="1023"/>
      <c r="BG311" s="1023"/>
      <c r="BH311" s="1023"/>
      <c r="BI311" s="1023"/>
      <c r="BJ311" s="1023"/>
      <c r="BK311" s="1023"/>
      <c r="BL311" s="1023"/>
      <c r="BM311" s="1023"/>
      <c r="BN311" s="1523"/>
      <c r="BO311" s="1523"/>
      <c r="BP311" s="1523"/>
      <c r="BQ311" s="1184"/>
      <c r="BR311" s="1184"/>
      <c r="BS311" s="971" t="s">
        <v>1877</v>
      </c>
      <c r="BT311" s="973"/>
      <c r="BU311" s="973"/>
      <c r="BV311" s="888"/>
      <c r="BW311" s="888"/>
    </row>
    <row r="312" spans="1:75" s="1140" customFormat="1" ht="20.25" customHeight="1" x14ac:dyDescent="0.25">
      <c r="B312" s="673"/>
      <c r="C312" s="26"/>
      <c r="D312" s="26" cm="1">
        <f t="array" ref="D312">D311</f>
        <v>14</v>
      </c>
      <c r="E312" s="545">
        <v>21</v>
      </c>
      <c r="F312" s="3" t="str" cm="1">
        <f t="array" aca="1" ref="F312" ca="1">OFFSET(E312,-1,1)</f>
        <v>1</v>
      </c>
      <c r="G312" s="26"/>
      <c r="H312" s="26"/>
      <c r="I312" s="26"/>
      <c r="J312" s="26"/>
      <c r="K312" s="26"/>
      <c r="L312" s="889"/>
      <c r="M312" s="26"/>
      <c r="N312" s="26"/>
      <c r="O312" s="26"/>
      <c r="P312" s="26"/>
      <c r="Q312" s="26"/>
      <c r="R312" s="26"/>
      <c r="S312" s="26"/>
      <c r="T312" s="388" t="b" cm="1">
        <f t="array" aca="1" ref="T312" ca="1">T311</f>
        <v>1</v>
      </c>
      <c r="U312" s="26"/>
      <c r="V312" s="26"/>
      <c r="W312" s="26"/>
      <c r="X312" s="2066"/>
      <c r="Z312" s="2012"/>
      <c r="AB312" s="218" t="str">
        <f>D312&amp;".1"</f>
        <v>14.1</v>
      </c>
      <c r="AC312" s="682" t="s">
        <v>1879</v>
      </c>
      <c r="AD312" s="218" t="s">
        <v>831</v>
      </c>
      <c r="AE312" s="1514"/>
      <c r="AF312" s="1514"/>
      <c r="AG312" s="1514"/>
      <c r="AH312" s="1022">
        <f t="shared" si="83"/>
        <v>0</v>
      </c>
      <c r="AI312" s="1514"/>
      <c r="AJ312" s="1514"/>
      <c r="AK312" s="1148"/>
      <c r="AL312" s="1148"/>
      <c r="AM312" s="1148"/>
      <c r="AN312" s="1148"/>
      <c r="AO312" s="1148"/>
      <c r="AP312" s="1148"/>
      <c r="AQ312" s="1514"/>
      <c r="AR312" s="1514"/>
      <c r="AS312" s="1514"/>
      <c r="AT312" s="1514"/>
      <c r="AU312" s="1148"/>
      <c r="AV312" s="1148"/>
      <c r="AW312" s="1148"/>
      <c r="AX312" s="1148"/>
      <c r="AY312" s="1148"/>
      <c r="AZ312" s="1148"/>
      <c r="BA312" s="1514"/>
      <c r="BB312" s="1514"/>
      <c r="BC312" s="1514"/>
      <c r="BD312" s="1023"/>
      <c r="BE312" s="1023"/>
      <c r="BF312" s="1023"/>
      <c r="BG312" s="1023"/>
      <c r="BH312" s="1023"/>
      <c r="BI312" s="1023"/>
      <c r="BJ312" s="1023"/>
      <c r="BK312" s="1023"/>
      <c r="BL312" s="1023"/>
      <c r="BM312" s="1023"/>
      <c r="BN312" s="1523"/>
      <c r="BO312" s="1523"/>
      <c r="BP312" s="1523"/>
      <c r="BS312" s="971" t="s">
        <v>1880</v>
      </c>
      <c r="BT312" s="980"/>
      <c r="BU312" s="980"/>
      <c r="BV312" s="981"/>
      <c r="BW312" s="981"/>
    </row>
    <row r="313" spans="1:75" s="1140" customFormat="1" ht="64.5" customHeight="1" x14ac:dyDescent="0.25">
      <c r="B313" s="673"/>
      <c r="C313" s="26"/>
      <c r="D313" s="26" cm="1">
        <f t="array" ref="D313">D312</f>
        <v>14</v>
      </c>
      <c r="E313" s="545">
        <v>66.599999999999994</v>
      </c>
      <c r="F313" s="3" t="str" cm="1">
        <f t="array" aca="1" ref="F313" ca="1">OFFSET(E313,-1,1)</f>
        <v>1</v>
      </c>
      <c r="G313" s="26"/>
      <c r="H313" s="26"/>
      <c r="I313" s="26"/>
      <c r="J313" s="26"/>
      <c r="K313" s="26"/>
      <c r="L313" s="889"/>
      <c r="M313" s="26"/>
      <c r="N313" s="26"/>
      <c r="O313" s="26"/>
      <c r="P313" s="26"/>
      <c r="Q313" s="26"/>
      <c r="R313" s="26"/>
      <c r="S313" s="26"/>
      <c r="T313" s="388" t="b" cm="1">
        <f t="array" aca="1" ref="T313" ca="1">T312</f>
        <v>1</v>
      </c>
      <c r="U313" s="26"/>
      <c r="V313" s="26"/>
      <c r="W313" s="26"/>
      <c r="X313" s="2066"/>
      <c r="Z313" s="2012"/>
      <c r="AB313" s="218" t="str">
        <f>D313&amp;".2"</f>
        <v>14.2</v>
      </c>
      <c r="AC313" s="682" t="s">
        <v>1882</v>
      </c>
      <c r="AD313" s="218" t="s">
        <v>831</v>
      </c>
      <c r="AE313" s="1514"/>
      <c r="AF313" s="1514"/>
      <c r="AG313" s="1514"/>
      <c r="AH313" s="1022">
        <f t="shared" si="83"/>
        <v>0</v>
      </c>
      <c r="AI313" s="1514"/>
      <c r="AJ313" s="1514"/>
      <c r="AK313" s="1148"/>
      <c r="AL313" s="1148"/>
      <c r="AM313" s="1148"/>
      <c r="AN313" s="1148"/>
      <c r="AO313" s="1148"/>
      <c r="AP313" s="1148"/>
      <c r="AQ313" s="1514"/>
      <c r="AR313" s="1514"/>
      <c r="AS313" s="1514"/>
      <c r="AT313" s="1514"/>
      <c r="AU313" s="1148"/>
      <c r="AV313" s="1148"/>
      <c r="AW313" s="1148"/>
      <c r="AX313" s="1148"/>
      <c r="AY313" s="1148"/>
      <c r="AZ313" s="1148"/>
      <c r="BA313" s="1514"/>
      <c r="BB313" s="1514"/>
      <c r="BC313" s="1514"/>
      <c r="BD313" s="1023"/>
      <c r="BE313" s="1023"/>
      <c r="BF313" s="1023"/>
      <c r="BG313" s="1023"/>
      <c r="BH313" s="1023"/>
      <c r="BI313" s="1023"/>
      <c r="BJ313" s="1023"/>
      <c r="BK313" s="1023"/>
      <c r="BL313" s="1023"/>
      <c r="BM313" s="1023"/>
      <c r="BN313" s="1523"/>
      <c r="BO313" s="1523"/>
      <c r="BP313" s="1523"/>
      <c r="BS313" s="971" t="s">
        <v>1883</v>
      </c>
      <c r="BT313" s="980"/>
      <c r="BU313" s="980"/>
      <c r="BV313" s="981"/>
      <c r="BW313" s="981"/>
    </row>
    <row r="314" spans="1:75" s="1140" customFormat="1" ht="44.25" customHeight="1" x14ac:dyDescent="0.15">
      <c r="B314" s="673"/>
      <c r="C314" s="26"/>
      <c r="D314" s="26" cm="1">
        <f t="array" ref="D314">D313</f>
        <v>14</v>
      </c>
      <c r="E314" s="545">
        <v>45.6</v>
      </c>
      <c r="F314" s="3" t="str" cm="1">
        <f t="array" aca="1" ref="F314" ca="1">OFFSET(E314,-1,1)</f>
        <v>1</v>
      </c>
      <c r="G314" s="26"/>
      <c r="H314" s="26"/>
      <c r="I314" s="26"/>
      <c r="J314" s="26"/>
      <c r="K314" s="26"/>
      <c r="L314" s="889"/>
      <c r="M314" s="26"/>
      <c r="N314" s="26"/>
      <c r="O314" s="26"/>
      <c r="P314" s="26"/>
      <c r="Q314" s="26"/>
      <c r="R314" s="26"/>
      <c r="S314" s="26"/>
      <c r="T314" s="388" t="b" cm="1">
        <f t="array" aca="1" ref="T314" ca="1">T313</f>
        <v>1</v>
      </c>
      <c r="U314" s="26"/>
      <c r="V314" s="26"/>
      <c r="W314" s="26"/>
      <c r="X314" s="2066"/>
      <c r="Z314" s="2012"/>
      <c r="AB314" s="218" t="str">
        <f>D314&amp;".3"</f>
        <v>14.3</v>
      </c>
      <c r="AC314" s="682" t="s">
        <v>2165</v>
      </c>
      <c r="AD314" s="218" t="s">
        <v>831</v>
      </c>
      <c r="AE314" s="1023"/>
      <c r="AF314" s="1514"/>
      <c r="AG314" s="1514"/>
      <c r="AH314" s="1022">
        <f t="shared" si="83"/>
        <v>0</v>
      </c>
      <c r="AI314" s="1023"/>
      <c r="AJ314" s="1023"/>
      <c r="AK314" s="1023"/>
      <c r="AL314" s="1023"/>
      <c r="AM314" s="1023"/>
      <c r="AN314" s="1023"/>
      <c r="AO314" s="1023"/>
      <c r="AP314" s="1023"/>
      <c r="AQ314" s="1023"/>
      <c r="AR314" s="1023"/>
      <c r="AS314" s="1023"/>
      <c r="AT314" s="1023"/>
      <c r="AU314" s="1023"/>
      <c r="AV314" s="1023"/>
      <c r="AW314" s="1023"/>
      <c r="AX314" s="1023"/>
      <c r="AY314" s="1023"/>
      <c r="AZ314" s="1023"/>
      <c r="BA314" s="1023"/>
      <c r="BB314" s="1023"/>
      <c r="BC314" s="1023"/>
      <c r="BD314" s="1023"/>
      <c r="BE314" s="1023"/>
      <c r="BF314" s="1023"/>
      <c r="BG314" s="1023"/>
      <c r="BH314" s="1023"/>
      <c r="BI314" s="1023"/>
      <c r="BJ314" s="1023"/>
      <c r="BK314" s="1023"/>
      <c r="BL314" s="1023"/>
      <c r="BM314" s="1023"/>
      <c r="BN314" s="1523"/>
      <c r="BO314" s="1523"/>
      <c r="BP314" s="1523"/>
      <c r="BS314" s="980" t="s">
        <v>2166</v>
      </c>
      <c r="BT314" s="980"/>
      <c r="BU314" s="980"/>
      <c r="BV314" s="981"/>
      <c r="BW314" s="981"/>
    </row>
    <row r="315" spans="1:75" s="461" customFormat="1" ht="14.25" customHeight="1" x14ac:dyDescent="0.15">
      <c r="A315" s="1217"/>
      <c r="B315" s="350"/>
      <c r="C315" s="348"/>
      <c r="D315" s="348"/>
      <c r="E315" s="543">
        <v>15</v>
      </c>
      <c r="F315" s="416" t="str" cm="1">
        <f t="array" ref="F315">X315</f>
        <v>2</v>
      </c>
      <c r="G315" s="416" t="str" cm="1">
        <f t="array" ref="G315">INDEX('Общие сведения'!$AK$185:$AK$228,MATCH($X315,'Общие сведения'!$Z$185:$Z$228,0))</f>
        <v>одноставочный</v>
      </c>
      <c r="H315" s="348"/>
      <c r="I315" s="416"/>
      <c r="J315" s="348"/>
      <c r="K315" s="348"/>
      <c r="L315" s="891"/>
      <c r="M315" s="348"/>
      <c r="N315" s="348"/>
      <c r="O315" s="348"/>
      <c r="P315" s="348"/>
      <c r="Q315" s="348"/>
      <c r="R315" s="348"/>
      <c r="S315" s="348" t="str" cm="1">
        <f t="array" ref="S315">INDEX('Общие сведения'!$AE$185:$AE$228,MATCH($X315,'Общие сведения'!$Z$185:$Z$228,0))</f>
        <v>Водоотведение</v>
      </c>
      <c r="T315" s="388" t="b">
        <f>X315&gt;0</f>
        <v>1</v>
      </c>
      <c r="U315" s="348"/>
      <c r="V315" s="348" t="str" cm="1">
        <f t="array" ref="V315">'Калькуляция (МЭОР)'!$AB$197</f>
        <v>Тариф 2 (Водоотведение) - тариф на водоотведение</v>
      </c>
      <c r="W315" s="348"/>
      <c r="X315" s="2066" t="s">
        <v>289</v>
      </c>
      <c r="Y315" s="1217"/>
      <c r="Z315" s="2012"/>
      <c r="AA315" s="1217"/>
      <c r="AB315" s="297" t="str" cm="1">
        <f t="array" ref="AB315">'Калькуляция (МЭОР)'!$AB$197</f>
        <v>Тариф 2 (Водоотведение) - тариф на водоотведение</v>
      </c>
      <c r="AC315" s="171"/>
      <c r="AD315" s="171"/>
      <c r="AE315" s="171"/>
      <c r="AF315" s="171"/>
      <c r="AG315" s="171"/>
      <c r="AH315" s="171"/>
      <c r="AI315" s="171"/>
      <c r="AJ315" s="171"/>
      <c r="AK315" s="171"/>
      <c r="AL315" s="171"/>
      <c r="AM315" s="171"/>
      <c r="AN315" s="171"/>
      <c r="AO315" s="171"/>
      <c r="AP315" s="171"/>
      <c r="AQ315" s="171"/>
      <c r="AR315" s="171"/>
      <c r="AS315" s="171"/>
      <c r="AT315" s="171"/>
      <c r="AU315" s="171"/>
      <c r="AV315" s="171"/>
      <c r="AW315" s="171"/>
      <c r="AX315" s="171"/>
      <c r="AY315" s="171"/>
      <c r="AZ315" s="171"/>
      <c r="BA315" s="171"/>
      <c r="BB315" s="171"/>
      <c r="BC315" s="171"/>
      <c r="BD315" s="171"/>
      <c r="BE315" s="171"/>
      <c r="BF315" s="171"/>
      <c r="BG315" s="171"/>
      <c r="BH315" s="171"/>
      <c r="BI315" s="171"/>
      <c r="BJ315" s="171"/>
      <c r="BK315" s="171"/>
      <c r="BL315" s="171"/>
      <c r="BM315" s="171"/>
      <c r="BN315" s="171"/>
      <c r="BO315" s="171"/>
      <c r="BP315" s="171"/>
      <c r="BQ315" s="1217"/>
      <c r="BR315" s="1217"/>
      <c r="BS315" s="906"/>
      <c r="BT315" s="906"/>
      <c r="BU315" s="906"/>
      <c r="BV315" s="542"/>
      <c r="BW315" s="542"/>
    </row>
    <row r="316" spans="1:75" s="1543" customFormat="1" ht="285.75" customHeight="1" x14ac:dyDescent="0.15">
      <c r="A316" s="80"/>
      <c r="B316" s="356"/>
      <c r="C316" s="774"/>
      <c r="D316" s="774"/>
      <c r="E316" s="775">
        <v>21</v>
      </c>
      <c r="F316" s="3" t="str" cm="1">
        <f t="array" aca="1" ref="F316" ca="1">OFFSET(E316,-1,1)</f>
        <v>2</v>
      </c>
      <c r="G316" s="774"/>
      <c r="H316" s="31"/>
      <c r="I316" s="31" t="s">
        <v>331</v>
      </c>
      <c r="J316" s="774"/>
      <c r="K316" s="293" t="s">
        <v>331</v>
      </c>
      <c r="L316" s="892"/>
      <c r="M316" s="774"/>
      <c r="N316" s="774"/>
      <c r="O316" s="774"/>
      <c r="P316" s="774"/>
      <c r="Q316" s="774"/>
      <c r="R316" s="774"/>
      <c r="S316" s="774"/>
      <c r="T316" s="388" t="b" cm="1">
        <f t="array" ref="T316">T315</f>
        <v>1</v>
      </c>
      <c r="U316" s="774"/>
      <c r="V316" s="774"/>
      <c r="W316" s="774"/>
      <c r="X316" s="2066"/>
      <c r="Y316" s="80"/>
      <c r="Z316" s="2012"/>
      <c r="AA316" s="80"/>
      <c r="AB316" s="153" t="s">
        <v>282</v>
      </c>
      <c r="AC316" s="131" t="s">
        <v>1890</v>
      </c>
      <c r="AD316" s="153" t="s">
        <v>831</v>
      </c>
      <c r="AE316" s="698">
        <f ca="1">SUM(AE318,AE335,AE341,AE361,AE362,AE363)</f>
        <v>86701.471012656097</v>
      </c>
      <c r="AF316" s="698">
        <f ca="1">SUM(AF318,AF335,AF341,AF361,AF362,AF363)</f>
        <v>0</v>
      </c>
      <c r="AG316" s="698">
        <f ca="1">SUM(AG318,AG335,AG341,AG361,AG362,AG363)</f>
        <v>0</v>
      </c>
      <c r="AH316" s="698">
        <f t="shared" ref="AH316:AH347" ca="1" si="85">AG316-AF316</f>
        <v>0</v>
      </c>
      <c r="AI316" s="698">
        <f ca="1">SUM(AI318,AI335,AI341,AI361,AI362,AI363)</f>
        <v>0</v>
      </c>
      <c r="AJ316" s="698">
        <f ca="1">SUM(AJ318,AJ335,AJ341,AJ361,AJ362,AJ363)</f>
        <v>0</v>
      </c>
      <c r="AK316" s="1144">
        <f t="shared" ref="AK316:AS316" ca="1" si="86">AJ316*AK317</f>
        <v>0</v>
      </c>
      <c r="AL316" s="1144">
        <f t="shared" ca="1" si="86"/>
        <v>0</v>
      </c>
      <c r="AM316" s="1144">
        <f t="shared" ca="1" si="86"/>
        <v>0</v>
      </c>
      <c r="AN316" s="1144">
        <f t="shared" ca="1" si="86"/>
        <v>0</v>
      </c>
      <c r="AO316" s="1144">
        <f t="shared" ca="1" si="86"/>
        <v>0</v>
      </c>
      <c r="AP316" s="1144">
        <f t="shared" ca="1" si="86"/>
        <v>0</v>
      </c>
      <c r="AQ316" s="1518">
        <f t="shared" ca="1" si="86"/>
        <v>0</v>
      </c>
      <c r="AR316" s="1518">
        <f t="shared" ca="1" si="86"/>
        <v>0</v>
      </c>
      <c r="AS316" s="1518">
        <f t="shared" ca="1" si="86"/>
        <v>0</v>
      </c>
      <c r="AT316" s="698">
        <f ca="1">SUM(AT318,AT335,AT341,AT361,AT362,AT363)</f>
        <v>0</v>
      </c>
      <c r="AU316" s="1144">
        <f t="shared" ref="AU316:BC316" ca="1" si="87">AT316*AU317</f>
        <v>0</v>
      </c>
      <c r="AV316" s="1144">
        <f t="shared" ca="1" si="87"/>
        <v>0</v>
      </c>
      <c r="AW316" s="1144">
        <f t="shared" ca="1" si="87"/>
        <v>0</v>
      </c>
      <c r="AX316" s="1144">
        <f t="shared" ca="1" si="87"/>
        <v>0</v>
      </c>
      <c r="AY316" s="1144">
        <f t="shared" ca="1" si="87"/>
        <v>0</v>
      </c>
      <c r="AZ316" s="1144">
        <f t="shared" ca="1" si="87"/>
        <v>0</v>
      </c>
      <c r="BA316" s="1518">
        <f t="shared" ca="1" si="87"/>
        <v>0</v>
      </c>
      <c r="BB316" s="1518">
        <f t="shared" ca="1" si="87"/>
        <v>0</v>
      </c>
      <c r="BC316" s="1518">
        <f t="shared" ca="1" si="87"/>
        <v>0</v>
      </c>
      <c r="BD316" s="698">
        <f t="shared" ref="BD316:BD347" ca="1" si="88">IF(AI316=0,0,(AT316-AI316)/AI316*100)</f>
        <v>0</v>
      </c>
      <c r="BE316" s="698">
        <f t="shared" ref="BE316:BM316" ca="1" si="89">IF(AT316=0,0,(AU316-AT316)/AT316*100)</f>
        <v>0</v>
      </c>
      <c r="BF316" s="698">
        <f t="shared" ca="1" si="89"/>
        <v>0</v>
      </c>
      <c r="BG316" s="698">
        <f t="shared" ca="1" si="89"/>
        <v>0</v>
      </c>
      <c r="BH316" s="698">
        <f t="shared" ca="1" si="89"/>
        <v>0</v>
      </c>
      <c r="BI316" s="698">
        <f t="shared" ca="1" si="89"/>
        <v>0</v>
      </c>
      <c r="BJ316" s="698">
        <f t="shared" ca="1" si="89"/>
        <v>0</v>
      </c>
      <c r="BK316" s="698">
        <f t="shared" ca="1" si="89"/>
        <v>0</v>
      </c>
      <c r="BL316" s="698">
        <f t="shared" ca="1" si="89"/>
        <v>0</v>
      </c>
      <c r="BM316" s="698">
        <f t="shared" ca="1" si="89"/>
        <v>0</v>
      </c>
      <c r="BN316" s="1523" t="s">
        <v>2196</v>
      </c>
      <c r="BO316" s="1523" t="s">
        <v>2168</v>
      </c>
      <c r="BP316" s="1523"/>
      <c r="BQ316" s="79"/>
      <c r="BR316" s="80"/>
      <c r="BS316" s="977" t="s">
        <v>555</v>
      </c>
      <c r="BT316" s="977"/>
      <c r="BU316" s="977"/>
      <c r="BV316" s="628"/>
      <c r="BW316" s="628"/>
    </row>
    <row r="317" spans="1:75" s="1334" customFormat="1" ht="14.65" customHeight="1" x14ac:dyDescent="0.15">
      <c r="A317" s="1184"/>
      <c r="B317" s="887"/>
      <c r="C317" s="26"/>
      <c r="D317" s="26"/>
      <c r="E317" s="545">
        <v>15</v>
      </c>
      <c r="F317" s="3" t="str" cm="1">
        <f t="array" aca="1" ref="F317" ca="1">OFFSET(E317,-1,1)</f>
        <v>2</v>
      </c>
      <c r="G317" s="26"/>
      <c r="H317" s="776"/>
      <c r="I317" s="776" t="s">
        <v>494</v>
      </c>
      <c r="J317" s="26"/>
      <c r="K317" s="294" t="s">
        <v>494</v>
      </c>
      <c r="L317" s="889"/>
      <c r="M317" s="26"/>
      <c r="N317" s="26"/>
      <c r="O317" s="26"/>
      <c r="P317" s="26"/>
      <c r="Q317" s="26"/>
      <c r="R317" s="26"/>
      <c r="S317" s="26"/>
      <c r="T317" s="388" t="b" cm="1">
        <f t="array" ref="T317">T316</f>
        <v>1</v>
      </c>
      <c r="U317" s="26"/>
      <c r="V317" s="26"/>
      <c r="W317" s="26"/>
      <c r="X317" s="2066"/>
      <c r="Y317" s="1184"/>
      <c r="Z317" s="2012"/>
      <c r="AA317" s="1184"/>
      <c r="AB317" s="218" t="s">
        <v>910</v>
      </c>
      <c r="AC317" s="682" t="s">
        <v>1891</v>
      </c>
      <c r="AD317" s="218"/>
      <c r="AE317" s="1513"/>
      <c r="AF317" s="1513"/>
      <c r="AG317" s="1513"/>
      <c r="AH317" s="1021">
        <f t="shared" si="85"/>
        <v>0</v>
      </c>
      <c r="AI317" s="1513">
        <v>1.0315799999999999</v>
      </c>
      <c r="AJ317" s="1513"/>
      <c r="AK317" s="1146">
        <f ca="1">SUMIFS(INDEX(Сценарии!$AE$25:$BF$109,,MATCH(AK$8,Сценарии!$AE$8:$BF$8,0)),Сценарии!$F$25:$F$109,$F317,Сценарии!$G$25:$G$109,"ИОР")</f>
        <v>1</v>
      </c>
      <c r="AL317" s="1146">
        <f ca="1">SUMIFS(INDEX(Сценарии!$AE$25:$BF$109,,MATCH(AL$8,Сценарии!$AE$8:$BF$8,0)),Сценарии!$F$25:$F$109,$F317,Сценарии!$G$25:$G$109,"ИОР")</f>
        <v>1</v>
      </c>
      <c r="AM317" s="1146">
        <f ca="1">SUMIFS(INDEX(Сценарии!$AE$25:$BF$109,,MATCH(AM$8,Сценарии!$AE$8:$BF$8,0)),Сценарии!$F$25:$F$109,$F317,Сценарии!$G$25:$G$109,"ИОР")</f>
        <v>1</v>
      </c>
      <c r="AN317" s="1146">
        <f ca="1">SUMIFS(INDEX(Сценарии!$AE$25:$BF$109,,MATCH(AN$8,Сценарии!$AE$8:$BF$8,0)),Сценарии!$F$25:$F$109,$F317,Сценарии!$G$25:$G$109,"ИОР")</f>
        <v>1</v>
      </c>
      <c r="AO317" s="1146">
        <f ca="1">SUMIFS(INDEX(Сценарии!$AE$25:$BF$109,,MATCH(AO$8,Сценарии!$AE$8:$BF$8,0)),Сценарии!$F$25:$F$109,$F317,Сценарии!$G$25:$G$109,"ИОР")</f>
        <v>1</v>
      </c>
      <c r="AP317" s="1146">
        <f ca="1">SUMIFS(INDEX(Сценарии!$AE$25:$BF$109,,MATCH(AP$8,Сценарии!$AE$8:$BF$8,0)),Сценарии!$F$25:$F$109,$F317,Сценарии!$G$25:$G$109,"ИОР")</f>
        <v>1</v>
      </c>
      <c r="AQ317" s="1513">
        <f ca="1">SUMIFS(INDEX(Сценарии!$AE$25:$BF$109,,MATCH(AQ$8,Сценарии!$AE$8:$BF$8,0)),Сценарии!$F$25:$F$109,$F317,Сценарии!$G$25:$G$109,"ИОР")</f>
        <v>1</v>
      </c>
      <c r="AR317" s="1513">
        <f ca="1">SUMIFS(INDEX(Сценарии!$AE$25:$BF$109,,MATCH(AR$8,Сценарии!$AE$8:$BF$8,0)),Сценарии!$F$25:$F$109,$F317,Сценарии!$G$25:$G$109,"ИОР")</f>
        <v>1</v>
      </c>
      <c r="AS317" s="1513">
        <f ca="1">SUMIFS(INDEX(Сценарии!$AE$25:$BF$109,,MATCH(AS$8,Сценарии!$AE$8:$BF$8,0)),Сценарии!$F$25:$F$109,$F317,Сценарии!$G$25:$G$109,"ИОР")</f>
        <v>1</v>
      </c>
      <c r="AT317" s="1513"/>
      <c r="AU317" s="1146">
        <f ca="1">SUMIFS(INDEX(Сценарии!$AE$25:$BF$109,,MATCH(AU$8,Сценарии!$AE$8:$BF$8,0)),Сценарии!$F$25:$F$109,$F317,Сценарии!$G$25:$G$109,"ИОР")</f>
        <v>1</v>
      </c>
      <c r="AV317" s="1146">
        <f ca="1">SUMIFS(INDEX(Сценарии!$AE$25:$BF$109,,MATCH(AV$8,Сценарии!$AE$8:$BF$8,0)),Сценарии!$F$25:$F$109,$F317,Сценарии!$G$25:$G$109,"ИОР")</f>
        <v>1</v>
      </c>
      <c r="AW317" s="1146">
        <f ca="1">SUMIFS(INDEX(Сценарии!$AE$25:$BF$109,,MATCH(AW$8,Сценарии!$AE$8:$BF$8,0)),Сценарии!$F$25:$F$109,$F317,Сценарии!$G$25:$G$109,"ИОР")</f>
        <v>1</v>
      </c>
      <c r="AX317" s="1146">
        <f ca="1">SUMIFS(INDEX(Сценарии!$AE$25:$BF$109,,MATCH(AX$8,Сценарии!$AE$8:$BF$8,0)),Сценарии!$F$25:$F$109,$F317,Сценарии!$G$25:$G$109,"ИОР")</f>
        <v>1</v>
      </c>
      <c r="AY317" s="1146">
        <f ca="1">SUMIFS(INDEX(Сценарии!$AE$25:$BF$109,,MATCH(AY$8,Сценарии!$AE$8:$BF$8,0)),Сценарии!$F$25:$F$109,$F317,Сценарии!$G$25:$G$109,"ИОР")</f>
        <v>1</v>
      </c>
      <c r="AZ317" s="1146">
        <f ca="1">SUMIFS(INDEX(Сценарии!$AE$25:$BF$109,,MATCH(AZ$8,Сценарии!$AE$8:$BF$8,0)),Сценарии!$F$25:$F$109,$F317,Сценарии!$G$25:$G$109,"ИОР")</f>
        <v>1</v>
      </c>
      <c r="BA317" s="1513">
        <f ca="1">SUMIFS(INDEX(Сценарии!$AE$25:$BF$109,,MATCH(BA$8,Сценарии!$AE$8:$BF$8,0)),Сценарии!$F$25:$F$109,$F317,Сценарии!$G$25:$G$109,"ИОР")</f>
        <v>1</v>
      </c>
      <c r="BB317" s="1513">
        <f ca="1">SUMIFS(INDEX(Сценарии!$AE$25:$BF$109,,MATCH(BB$8,Сценарии!$AE$8:$BF$8,0)),Сценарии!$F$25:$F$109,$F317,Сценарии!$G$25:$G$109,"ИОР")</f>
        <v>1</v>
      </c>
      <c r="BC317" s="1513">
        <f ca="1">SUMIFS(INDEX(Сценарии!$AE$25:$BF$109,,MATCH(BC$8,Сценарии!$AE$8:$BF$8,0)),Сценарии!$F$25:$F$109,$F317,Сценарии!$G$25:$G$109,"ИОР")</f>
        <v>1</v>
      </c>
      <c r="BD317" s="1022">
        <f t="shared" si="88"/>
        <v>-100</v>
      </c>
      <c r="BE317" s="1023"/>
      <c r="BF317" s="1023"/>
      <c r="BG317" s="1023"/>
      <c r="BH317" s="1023"/>
      <c r="BI317" s="1023"/>
      <c r="BJ317" s="1023"/>
      <c r="BK317" s="1023"/>
      <c r="BL317" s="1023"/>
      <c r="BM317" s="1023"/>
      <c r="BN317" s="1523"/>
      <c r="BO317" s="1523"/>
      <c r="BP317" s="1523"/>
      <c r="BQ317" s="1184"/>
      <c r="BR317" s="1184"/>
      <c r="BS317" s="973" t="s">
        <v>1892</v>
      </c>
      <c r="BT317" s="973"/>
      <c r="BU317" s="973"/>
      <c r="BV317" s="888"/>
      <c r="BW317" s="888"/>
    </row>
    <row r="318" spans="1:75" s="356" customFormat="1" ht="20.25" customHeight="1" x14ac:dyDescent="0.25">
      <c r="A318" s="79"/>
      <c r="C318" s="777"/>
      <c r="D318" s="777"/>
      <c r="E318" s="778">
        <v>21</v>
      </c>
      <c r="F318" s="3" t="str" cm="1">
        <f t="array" aca="1" ref="F318" ca="1">OFFSET(E318,-1,1)</f>
        <v>2</v>
      </c>
      <c r="G318" s="777"/>
      <c r="H318" s="31"/>
      <c r="I318" s="31" t="s">
        <v>498</v>
      </c>
      <c r="J318" s="777"/>
      <c r="K318" s="293" t="s">
        <v>498</v>
      </c>
      <c r="L318" s="893" t="s">
        <v>331</v>
      </c>
      <c r="M318" s="777"/>
      <c r="N318" s="777"/>
      <c r="O318" s="777"/>
      <c r="P318" s="777"/>
      <c r="Q318" s="777"/>
      <c r="R318" s="777"/>
      <c r="S318" s="777"/>
      <c r="T318" s="388" t="b" cm="1">
        <f t="array" ref="T318">T317</f>
        <v>1</v>
      </c>
      <c r="U318" s="777"/>
      <c r="V318" s="777"/>
      <c r="W318" s="777"/>
      <c r="X318" s="2066"/>
      <c r="Y318" s="79"/>
      <c r="Z318" s="2012"/>
      <c r="AA318" s="79"/>
      <c r="AB318" s="153" t="s">
        <v>913</v>
      </c>
      <c r="AC318" s="277" t="s">
        <v>1680</v>
      </c>
      <c r="AD318" s="153" t="s">
        <v>831</v>
      </c>
      <c r="AE318" s="698">
        <f ca="1">SUM(AE319,AE322,AE323,AE326,AE327)</f>
        <v>52137.407566292502</v>
      </c>
      <c r="AF318" s="698">
        <f ca="1">SUM(AF319,AF322,AF323,AF326,AF327)</f>
        <v>0</v>
      </c>
      <c r="AG318" s="698">
        <f ca="1">SUM(AG319,AG322,AG323,AG326,AG327)</f>
        <v>0</v>
      </c>
      <c r="AH318" s="698">
        <f t="shared" ca="1" si="85"/>
        <v>0</v>
      </c>
      <c r="AI318" s="698">
        <f ca="1">SUM(AI319,AI322,AI323,AI326,AI327)</f>
        <v>0</v>
      </c>
      <c r="AJ318" s="698">
        <f ca="1">SUM(AJ319,AJ322,AJ323,AJ326,AJ327)</f>
        <v>0</v>
      </c>
      <c r="AK318" s="135"/>
      <c r="AL318" s="135"/>
      <c r="AM318" s="135"/>
      <c r="AN318" s="135"/>
      <c r="AO318" s="135"/>
      <c r="AP318" s="135"/>
      <c r="AQ318" s="135"/>
      <c r="AR318" s="135"/>
      <c r="AS318" s="135"/>
      <c r="AT318" s="698">
        <f ca="1">SUM(AT319,AT322,AT323,AT326,AT327)</f>
        <v>0</v>
      </c>
      <c r="AU318" s="135"/>
      <c r="AV318" s="135"/>
      <c r="AW318" s="135"/>
      <c r="AX318" s="135"/>
      <c r="AY318" s="135"/>
      <c r="AZ318" s="135"/>
      <c r="BA318" s="135"/>
      <c r="BB318" s="135"/>
      <c r="BC318" s="135"/>
      <c r="BD318" s="698">
        <f t="shared" ca="1" si="88"/>
        <v>0</v>
      </c>
      <c r="BE318" s="135"/>
      <c r="BF318" s="135"/>
      <c r="BG318" s="135"/>
      <c r="BH318" s="135"/>
      <c r="BI318" s="135"/>
      <c r="BJ318" s="135"/>
      <c r="BK318" s="135"/>
      <c r="BL318" s="135"/>
      <c r="BM318" s="135"/>
      <c r="BN318" s="1524"/>
      <c r="BO318" s="1524"/>
      <c r="BP318" s="1524"/>
      <c r="BQ318" s="79"/>
      <c r="BR318" s="79"/>
      <c r="BS318" s="971" t="s">
        <v>549</v>
      </c>
      <c r="BT318" s="978"/>
      <c r="BU318" s="978"/>
      <c r="BV318" s="629"/>
      <c r="BW318" s="629"/>
    </row>
    <row r="319" spans="1:75" s="1334" customFormat="1" ht="14.25" customHeight="1" x14ac:dyDescent="0.25">
      <c r="A319" s="1184"/>
      <c r="B319" s="887"/>
      <c r="C319" s="26"/>
      <c r="D319" s="26"/>
      <c r="E319" s="545">
        <v>15</v>
      </c>
      <c r="F319" s="3" t="str" cm="1">
        <f t="array" aca="1" ref="F319" ca="1">OFFSET(E319,-1,1)</f>
        <v>2</v>
      </c>
      <c r="G319" s="26"/>
      <c r="H319" s="776"/>
      <c r="I319" s="776" t="s">
        <v>1301</v>
      </c>
      <c r="J319" s="26"/>
      <c r="K319" s="294" t="s">
        <v>1301</v>
      </c>
      <c r="L319" s="889" t="s">
        <v>494</v>
      </c>
      <c r="M319" s="26"/>
      <c r="N319" s="26"/>
      <c r="O319" s="26"/>
      <c r="P319" s="26"/>
      <c r="Q319" s="26"/>
      <c r="R319" s="26"/>
      <c r="S319" s="26"/>
      <c r="T319" s="388" t="b" cm="1">
        <f t="array" ref="T319">T318</f>
        <v>1</v>
      </c>
      <c r="U319" s="26"/>
      <c r="V319" s="26"/>
      <c r="W319" s="26"/>
      <c r="X319" s="2066"/>
      <c r="Y319" s="1184"/>
      <c r="Z319" s="2012"/>
      <c r="AA319" s="1184"/>
      <c r="AB319" s="218" t="s">
        <v>1302</v>
      </c>
      <c r="AC319" s="685" t="s">
        <v>1893</v>
      </c>
      <c r="AD319" s="686" t="s">
        <v>831</v>
      </c>
      <c r="AE319" s="1022">
        <f>SUM(AE320,AE321)</f>
        <v>7213.9326700000001</v>
      </c>
      <c r="AF319" s="1022">
        <f>SUM(AF320,AF321)</f>
        <v>0</v>
      </c>
      <c r="AG319" s="1022">
        <f>SUM(AG320,AG321)</f>
        <v>0</v>
      </c>
      <c r="AH319" s="1022">
        <f t="shared" si="85"/>
        <v>0</v>
      </c>
      <c r="AI319" s="1022">
        <f>SUM(AI320,AI321)</f>
        <v>0</v>
      </c>
      <c r="AJ319" s="1022">
        <f>SUM(AJ320,AJ321)</f>
        <v>0</v>
      </c>
      <c r="AK319" s="1023"/>
      <c r="AL319" s="1023"/>
      <c r="AM319" s="1023"/>
      <c r="AN319" s="1023"/>
      <c r="AO319" s="1023"/>
      <c r="AP319" s="1023"/>
      <c r="AQ319" s="1023"/>
      <c r="AR319" s="1023"/>
      <c r="AS319" s="1023"/>
      <c r="AT319" s="1022">
        <f>SUM(AT320,AT321)</f>
        <v>0</v>
      </c>
      <c r="AU319" s="1023"/>
      <c r="AV319" s="1023"/>
      <c r="AW319" s="1023"/>
      <c r="AX319" s="1023"/>
      <c r="AY319" s="1023"/>
      <c r="AZ319" s="1023"/>
      <c r="BA319" s="1023"/>
      <c r="BB319" s="1023"/>
      <c r="BC319" s="1023"/>
      <c r="BD319" s="1022">
        <f t="shared" si="88"/>
        <v>0</v>
      </c>
      <c r="BE319" s="1023"/>
      <c r="BF319" s="1023"/>
      <c r="BG319" s="1023"/>
      <c r="BH319" s="1023"/>
      <c r="BI319" s="1023"/>
      <c r="BJ319" s="1023"/>
      <c r="BK319" s="1023"/>
      <c r="BL319" s="1023"/>
      <c r="BM319" s="1023"/>
      <c r="BN319" s="1523"/>
      <c r="BO319" s="1523"/>
      <c r="BP319" s="1523"/>
      <c r="BQ319" s="29"/>
      <c r="BR319" s="1184"/>
      <c r="BS319" s="972" t="s">
        <v>1682</v>
      </c>
      <c r="BT319" s="973"/>
      <c r="BU319" s="973"/>
      <c r="BV319" s="888"/>
      <c r="BW319" s="888"/>
    </row>
    <row r="320" spans="1:75" s="1334" customFormat="1" ht="409.6" customHeight="1" x14ac:dyDescent="0.25">
      <c r="A320" s="1184"/>
      <c r="B320" s="887"/>
      <c r="C320" s="26"/>
      <c r="D320" s="26"/>
      <c r="E320" s="545">
        <v>15</v>
      </c>
      <c r="F320" s="3" t="str" cm="1">
        <f t="array" aca="1" ref="F320" ca="1">OFFSET(E320,-1,1)</f>
        <v>2</v>
      </c>
      <c r="G320" s="26"/>
      <c r="H320" s="776"/>
      <c r="I320" s="776" t="s">
        <v>1894</v>
      </c>
      <c r="J320" s="26"/>
      <c r="K320" s="294" t="s">
        <v>1894</v>
      </c>
      <c r="L320" s="889" t="s">
        <v>1020</v>
      </c>
      <c r="M320" s="26"/>
      <c r="N320" s="26"/>
      <c r="O320" s="26"/>
      <c r="P320" s="26"/>
      <c r="Q320" s="26"/>
      <c r="R320" s="26"/>
      <c r="S320" s="26"/>
      <c r="T320" s="388" t="b" cm="1">
        <f t="array" ref="T320">T319</f>
        <v>1</v>
      </c>
      <c r="U320" s="26"/>
      <c r="V320" s="26"/>
      <c r="W320" s="26"/>
      <c r="X320" s="2066"/>
      <c r="Y320" s="1184"/>
      <c r="Z320" s="2012"/>
      <c r="AA320" s="1184"/>
      <c r="AB320" s="218" t="s">
        <v>1895</v>
      </c>
      <c r="AC320" s="688" t="s">
        <v>1685</v>
      </c>
      <c r="AD320" s="686" t="s">
        <v>831</v>
      </c>
      <c r="AE320" s="1514">
        <v>7213.9326700000001</v>
      </c>
      <c r="AF320" s="1514"/>
      <c r="AG320" s="1514"/>
      <c r="AH320" s="1022">
        <f t="shared" si="85"/>
        <v>0</v>
      </c>
      <c r="AI320" s="1514"/>
      <c r="AJ320" s="1514"/>
      <c r="AK320" s="1023"/>
      <c r="AL320" s="1023"/>
      <c r="AM320" s="1023"/>
      <c r="AN320" s="1023"/>
      <c r="AO320" s="1023"/>
      <c r="AP320" s="1023"/>
      <c r="AQ320" s="1023"/>
      <c r="AR320" s="1023"/>
      <c r="AS320" s="1023"/>
      <c r="AT320" s="1514"/>
      <c r="AU320" s="1023"/>
      <c r="AV320" s="1023"/>
      <c r="AW320" s="1023"/>
      <c r="AX320" s="1023"/>
      <c r="AY320" s="1023"/>
      <c r="AZ320" s="1023"/>
      <c r="BA320" s="1023"/>
      <c r="BB320" s="1023"/>
      <c r="BC320" s="1023"/>
      <c r="BD320" s="1022">
        <f t="shared" si="88"/>
        <v>0</v>
      </c>
      <c r="BE320" s="1023"/>
      <c r="BF320" s="1023"/>
      <c r="BG320" s="1023"/>
      <c r="BH320" s="1023"/>
      <c r="BI320" s="1023"/>
      <c r="BJ320" s="1023"/>
      <c r="BK320" s="1023"/>
      <c r="BL320" s="1023"/>
      <c r="BM320" s="1023"/>
      <c r="BN320" s="1523" t="s">
        <v>2169</v>
      </c>
      <c r="BO320" s="1523"/>
      <c r="BP320" s="1523" t="s">
        <v>2197</v>
      </c>
      <c r="BQ320" s="1184"/>
      <c r="BR320" s="1184"/>
      <c r="BS320" s="971" t="s">
        <v>1686</v>
      </c>
      <c r="BT320" s="973"/>
      <c r="BU320" s="973"/>
      <c r="BV320" s="888"/>
      <c r="BW320" s="888"/>
    </row>
    <row r="321" spans="1:75" s="1334" customFormat="1" ht="14.25" customHeight="1" x14ac:dyDescent="0.25">
      <c r="A321" s="1184"/>
      <c r="B321" s="887"/>
      <c r="C321" s="26"/>
      <c r="D321" s="26"/>
      <c r="E321" s="545">
        <v>15</v>
      </c>
      <c r="F321" s="3" t="str" cm="1">
        <f t="array" aca="1" ref="F321" ca="1">OFFSET(E321,-1,1)</f>
        <v>2</v>
      </c>
      <c r="G321" s="26"/>
      <c r="H321" s="776"/>
      <c r="I321" s="776" t="s">
        <v>1896</v>
      </c>
      <c r="J321" s="26"/>
      <c r="K321" s="294" t="s">
        <v>1896</v>
      </c>
      <c r="L321" s="889" t="s">
        <v>1276</v>
      </c>
      <c r="M321" s="26"/>
      <c r="N321" s="26"/>
      <c r="O321" s="26"/>
      <c r="P321" s="26"/>
      <c r="Q321" s="26"/>
      <c r="R321" s="26"/>
      <c r="S321" s="26"/>
      <c r="T321" s="388" t="b" cm="1">
        <f t="array" ref="T321">T320</f>
        <v>1</v>
      </c>
      <c r="U321" s="26"/>
      <c r="V321" s="26"/>
      <c r="W321" s="26"/>
      <c r="X321" s="2066"/>
      <c r="Y321" s="1184"/>
      <c r="Z321" s="2012"/>
      <c r="AA321" s="1184"/>
      <c r="AB321" s="218" t="s">
        <v>1897</v>
      </c>
      <c r="AC321" s="688" t="s">
        <v>1687</v>
      </c>
      <c r="AD321" s="686" t="s">
        <v>831</v>
      </c>
      <c r="AE321" s="1514"/>
      <c r="AF321" s="1514"/>
      <c r="AG321" s="1514"/>
      <c r="AH321" s="1022">
        <f t="shared" si="85"/>
        <v>0</v>
      </c>
      <c r="AI321" s="1514"/>
      <c r="AJ321" s="1514"/>
      <c r="AK321" s="1023"/>
      <c r="AL321" s="1023"/>
      <c r="AM321" s="1023"/>
      <c r="AN321" s="1023"/>
      <c r="AO321" s="1023"/>
      <c r="AP321" s="1023"/>
      <c r="AQ321" s="1023"/>
      <c r="AR321" s="1023"/>
      <c r="AS321" s="1023"/>
      <c r="AT321" s="1514"/>
      <c r="AU321" s="1023"/>
      <c r="AV321" s="1023"/>
      <c r="AW321" s="1023"/>
      <c r="AX321" s="1023"/>
      <c r="AY321" s="1023"/>
      <c r="AZ321" s="1023"/>
      <c r="BA321" s="1023"/>
      <c r="BB321" s="1023"/>
      <c r="BC321" s="1023"/>
      <c r="BD321" s="1022">
        <f t="shared" si="88"/>
        <v>0</v>
      </c>
      <c r="BE321" s="1023"/>
      <c r="BF321" s="1023"/>
      <c r="BG321" s="1023"/>
      <c r="BH321" s="1023"/>
      <c r="BI321" s="1023"/>
      <c r="BJ321" s="1023"/>
      <c r="BK321" s="1023"/>
      <c r="BL321" s="1023"/>
      <c r="BM321" s="1023"/>
      <c r="BN321" s="1523"/>
      <c r="BO321" s="1523"/>
      <c r="BP321" s="1523"/>
      <c r="BQ321" s="1184"/>
      <c r="BR321" s="1184"/>
      <c r="BS321" s="971" t="s">
        <v>1688</v>
      </c>
      <c r="BT321" s="973"/>
      <c r="BU321" s="973"/>
      <c r="BV321" s="888"/>
      <c r="BW321" s="888"/>
    </row>
    <row r="322" spans="1:75" s="1334" customFormat="1" ht="21.75" customHeight="1" x14ac:dyDescent="0.25">
      <c r="A322" s="1184"/>
      <c r="B322" s="887"/>
      <c r="C322" s="26"/>
      <c r="D322" s="26"/>
      <c r="E322" s="545">
        <v>22.5</v>
      </c>
      <c r="F322" s="3" t="str" cm="1">
        <f t="array" aca="1" ref="F322" ca="1">OFFSET(E322,-1,1)</f>
        <v>2</v>
      </c>
      <c r="G322" s="26"/>
      <c r="H322" s="776"/>
      <c r="I322" s="776" t="s">
        <v>1304</v>
      </c>
      <c r="J322" s="26"/>
      <c r="K322" s="294" t="s">
        <v>1304</v>
      </c>
      <c r="L322" s="889" t="s">
        <v>501</v>
      </c>
      <c r="M322" s="26"/>
      <c r="N322" s="26"/>
      <c r="O322" s="26"/>
      <c r="P322" s="26"/>
      <c r="Q322" s="26"/>
      <c r="R322" s="26"/>
      <c r="S322" s="26"/>
      <c r="T322" s="388" t="b" cm="1">
        <f t="array" ref="T322">T321</f>
        <v>1</v>
      </c>
      <c r="U322" s="26"/>
      <c r="V322" s="26"/>
      <c r="W322" s="26"/>
      <c r="X322" s="2066"/>
      <c r="Y322" s="1184"/>
      <c r="Z322" s="2012"/>
      <c r="AA322" s="1184"/>
      <c r="AB322" s="218" t="s">
        <v>1305</v>
      </c>
      <c r="AC322" s="685" t="s">
        <v>1898</v>
      </c>
      <c r="AD322" s="686" t="s">
        <v>831</v>
      </c>
      <c r="AE322" s="1514"/>
      <c r="AF322" s="1514"/>
      <c r="AG322" s="1514"/>
      <c r="AH322" s="1022">
        <f t="shared" si="85"/>
        <v>0</v>
      </c>
      <c r="AI322" s="1514"/>
      <c r="AJ322" s="1514"/>
      <c r="AK322" s="1023"/>
      <c r="AL322" s="1023"/>
      <c r="AM322" s="1023"/>
      <c r="AN322" s="1023"/>
      <c r="AO322" s="1023"/>
      <c r="AP322" s="1023"/>
      <c r="AQ322" s="1023"/>
      <c r="AR322" s="1023"/>
      <c r="AS322" s="1023"/>
      <c r="AT322" s="1514"/>
      <c r="AU322" s="1023"/>
      <c r="AV322" s="1023"/>
      <c r="AW322" s="1023"/>
      <c r="AX322" s="1023"/>
      <c r="AY322" s="1023"/>
      <c r="AZ322" s="1023"/>
      <c r="BA322" s="1023"/>
      <c r="BB322" s="1023"/>
      <c r="BC322" s="1023"/>
      <c r="BD322" s="1022">
        <f t="shared" si="88"/>
        <v>0</v>
      </c>
      <c r="BE322" s="1023"/>
      <c r="BF322" s="1023"/>
      <c r="BG322" s="1023"/>
      <c r="BH322" s="1023"/>
      <c r="BI322" s="1023"/>
      <c r="BJ322" s="1023"/>
      <c r="BK322" s="1023"/>
      <c r="BL322" s="1023"/>
      <c r="BM322" s="1023"/>
      <c r="BN322" s="1523"/>
      <c r="BO322" s="1523"/>
      <c r="BP322" s="1523"/>
      <c r="BQ322" s="1184"/>
      <c r="BR322" s="1184"/>
      <c r="BS322" s="972" t="s">
        <v>1713</v>
      </c>
      <c r="BT322" s="973"/>
      <c r="BU322" s="973"/>
      <c r="BV322" s="888"/>
      <c r="BW322" s="888"/>
    </row>
    <row r="323" spans="1:75" s="1334" customFormat="1" ht="159.75" customHeight="1" x14ac:dyDescent="0.25">
      <c r="A323" s="1184"/>
      <c r="B323" s="887"/>
      <c r="C323" s="26"/>
      <c r="D323" s="26"/>
      <c r="E323" s="545">
        <v>22.5</v>
      </c>
      <c r="F323" s="3" t="str" cm="1">
        <f t="array" aca="1" ref="F323" ca="1">OFFSET(E323,-1,1)</f>
        <v>2</v>
      </c>
      <c r="G323" s="26"/>
      <c r="H323" s="776"/>
      <c r="I323" s="776" t="s">
        <v>1308</v>
      </c>
      <c r="J323" s="26"/>
      <c r="K323" s="294" t="s">
        <v>1308</v>
      </c>
      <c r="L323" s="889" t="s">
        <v>505</v>
      </c>
      <c r="M323" s="26"/>
      <c r="N323" s="26"/>
      <c r="O323" s="26"/>
      <c r="P323" s="26"/>
      <c r="Q323" s="26"/>
      <c r="R323" s="26"/>
      <c r="S323" s="26"/>
      <c r="T323" s="388" t="b" cm="1">
        <f t="array" ref="T323">T322</f>
        <v>1</v>
      </c>
      <c r="U323" s="26"/>
      <c r="V323" s="26"/>
      <c r="W323" s="26"/>
      <c r="X323" s="2066"/>
      <c r="Y323" s="1184"/>
      <c r="Z323" s="2012"/>
      <c r="AA323" s="1184"/>
      <c r="AB323" s="218" t="s">
        <v>1309</v>
      </c>
      <c r="AC323" s="685" t="s">
        <v>1899</v>
      </c>
      <c r="AD323" s="686" t="s">
        <v>831</v>
      </c>
      <c r="AE323" s="1024">
        <f ca="1">AE324+AE325</f>
        <v>43463.894448132502</v>
      </c>
      <c r="AF323" s="1024">
        <f ca="1">AF324+AF325</f>
        <v>0</v>
      </c>
      <c r="AG323" s="1024">
        <f ca="1">AG324+AG325</f>
        <v>0</v>
      </c>
      <c r="AH323" s="1022">
        <f t="shared" ca="1" si="85"/>
        <v>0</v>
      </c>
      <c r="AI323" s="1024">
        <f ca="1">AI324+AI325</f>
        <v>0</v>
      </c>
      <c r="AJ323" s="1024">
        <f ca="1">AJ324+AJ325</f>
        <v>0</v>
      </c>
      <c r="AK323" s="1023"/>
      <c r="AL323" s="1023"/>
      <c r="AM323" s="1023"/>
      <c r="AN323" s="1023"/>
      <c r="AO323" s="1023"/>
      <c r="AP323" s="1023"/>
      <c r="AQ323" s="1023"/>
      <c r="AR323" s="1023"/>
      <c r="AS323" s="1023"/>
      <c r="AT323" s="1024">
        <f ca="1">AT324+AT325</f>
        <v>0</v>
      </c>
      <c r="AU323" s="1023"/>
      <c r="AV323" s="1023"/>
      <c r="AW323" s="1023"/>
      <c r="AX323" s="1023"/>
      <c r="AY323" s="1023"/>
      <c r="AZ323" s="1023"/>
      <c r="BA323" s="1023"/>
      <c r="BB323" s="1023"/>
      <c r="BC323" s="1023"/>
      <c r="BD323" s="1022">
        <f t="shared" ca="1" si="88"/>
        <v>0</v>
      </c>
      <c r="BE323" s="1023"/>
      <c r="BF323" s="1023"/>
      <c r="BG323" s="1023"/>
      <c r="BH323" s="1023"/>
      <c r="BI323" s="1023"/>
      <c r="BJ323" s="1023"/>
      <c r="BK323" s="1023"/>
      <c r="BL323" s="1023"/>
      <c r="BM323" s="1023"/>
      <c r="BN323" s="1523" t="s">
        <v>2170</v>
      </c>
      <c r="BO323" s="1523"/>
      <c r="BP323" s="1523" t="s">
        <v>2171</v>
      </c>
      <c r="BQ323" s="1184"/>
      <c r="BR323" s="1184"/>
      <c r="BS323" s="972" t="s">
        <v>1900</v>
      </c>
      <c r="BT323" s="973"/>
      <c r="BU323" s="973"/>
      <c r="BV323" s="888"/>
      <c r="BW323" s="888"/>
    </row>
    <row r="324" spans="1:75" s="1334" customFormat="1" ht="159.75" customHeight="1" x14ac:dyDescent="0.25">
      <c r="A324" s="1184"/>
      <c r="B324" s="887"/>
      <c r="C324" s="26"/>
      <c r="D324" s="26"/>
      <c r="E324" s="545">
        <v>15</v>
      </c>
      <c r="F324" s="3" t="str" cm="1">
        <f t="array" aca="1" ref="F324" ca="1">OFFSET(E324,-1,1)</f>
        <v>2</v>
      </c>
      <c r="G324" s="290" t="s">
        <v>1104</v>
      </c>
      <c r="H324" s="776"/>
      <c r="I324" s="776" t="s">
        <v>1454</v>
      </c>
      <c r="J324" s="26"/>
      <c r="K324" s="294" t="s">
        <v>1454</v>
      </c>
      <c r="L324" s="889" t="s">
        <v>1328</v>
      </c>
      <c r="M324" s="26"/>
      <c r="N324" s="26"/>
      <c r="O324" s="26"/>
      <c r="P324" s="26"/>
      <c r="Q324" s="26"/>
      <c r="R324" s="26"/>
      <c r="S324" s="26"/>
      <c r="T324" s="388" t="b" cm="1">
        <f t="array" ref="T324">T323</f>
        <v>1</v>
      </c>
      <c r="U324" s="26"/>
      <c r="V324" s="26"/>
      <c r="W324" s="26"/>
      <c r="X324" s="2066"/>
      <c r="Y324" s="1184"/>
      <c r="Z324" s="2012"/>
      <c r="AA324" s="1184"/>
      <c r="AB324" s="218" t="s">
        <v>1901</v>
      </c>
      <c r="AC324" s="688" t="s">
        <v>1716</v>
      </c>
      <c r="AD324" s="686" t="s">
        <v>831</v>
      </c>
      <c r="AE324" s="1022">
        <f ca="1">SUMIFS(ФОТ!AE$25:AE$138,ФОТ!$F$25:$F$138,$F324,ФОТ!$G$25:$G$138,$G324)</f>
        <v>33382.407410239997</v>
      </c>
      <c r="AF324" s="1022">
        <f ca="1">SUMIFS(ФОТ!AF$25:AF$138,ФОТ!$F$25:$F$138,$F324,ФОТ!$G$25:$G$138,$G324)</f>
        <v>0</v>
      </c>
      <c r="AG324" s="1022">
        <f ca="1">SUMIFS(ФОТ!AG$25:AG$138,ФОТ!$F$25:$F$138,$F324,ФОТ!$G$25:$G$138,$G324)</f>
        <v>0</v>
      </c>
      <c r="AH324" s="1022">
        <f t="shared" ca="1" si="85"/>
        <v>0</v>
      </c>
      <c r="AI324" s="1022">
        <f ca="1">SUMIFS(ФОТ!AH$25:AH$138,ФОТ!$F$25:$F$138,$F324,ФОТ!$G$25:$G$138,$G324)</f>
        <v>0</v>
      </c>
      <c r="AJ324" s="1022">
        <f ca="1">SUMIFS(ФОТ!AI$25:AI$138,ФОТ!$F$25:$F$138,$F324,ФОТ!$G$25:$G$138,$G324)</f>
        <v>0</v>
      </c>
      <c r="AK324" s="1023"/>
      <c r="AL324" s="1023"/>
      <c r="AM324" s="1023"/>
      <c r="AN324" s="1023"/>
      <c r="AO324" s="1023"/>
      <c r="AP324" s="1023"/>
      <c r="AQ324" s="1023"/>
      <c r="AR324" s="1023"/>
      <c r="AS324" s="1023"/>
      <c r="AT324" s="1022">
        <f ca="1">SUMIFS(ФОТ!AJ$25:AJ$138,ФОТ!$F$25:$F$138,$F324,ФОТ!$G$25:$G$138,$G324)</f>
        <v>0</v>
      </c>
      <c r="AU324" s="1023"/>
      <c r="AV324" s="1023"/>
      <c r="AW324" s="1023"/>
      <c r="AX324" s="1023"/>
      <c r="AY324" s="1023"/>
      <c r="AZ324" s="1023"/>
      <c r="BA324" s="1023"/>
      <c r="BB324" s="1023"/>
      <c r="BC324" s="1023"/>
      <c r="BD324" s="1022">
        <f t="shared" ca="1" si="88"/>
        <v>0</v>
      </c>
      <c r="BE324" s="1023"/>
      <c r="BF324" s="1023"/>
      <c r="BG324" s="1023"/>
      <c r="BH324" s="1023"/>
      <c r="BI324" s="1023"/>
      <c r="BJ324" s="1023"/>
      <c r="BK324" s="1023"/>
      <c r="BL324" s="1023"/>
      <c r="BM324" s="1023"/>
      <c r="BN324" s="1523" t="s">
        <v>2170</v>
      </c>
      <c r="BO324" s="1525" t="str">
        <f ca="1">IF(IFERROR(INDEX(ФОТ!$K$26:$L$138,MATCH($F324&amp;"1komm",ФОТ!$K$26:$K$138,0),2),"")=0,"",IFERROR(INDEX(ФОТ!$K$26:$L$138,MATCH($F324&amp;"1komm",ФОТ!$K$26:$K$138,0),2),""))</f>
        <v/>
      </c>
      <c r="BP324" s="1523" t="s">
        <v>2171</v>
      </c>
      <c r="BQ324" s="1184"/>
      <c r="BR324" s="1184"/>
      <c r="BS324" s="971" t="s">
        <v>1717</v>
      </c>
      <c r="BT324" s="973"/>
      <c r="BU324" s="973"/>
      <c r="BV324" s="888"/>
      <c r="BW324" s="888"/>
    </row>
    <row r="325" spans="1:75" s="1334" customFormat="1" ht="159.75" customHeight="1" x14ac:dyDescent="0.25">
      <c r="A325" s="1184"/>
      <c r="B325" s="887"/>
      <c r="C325" s="26"/>
      <c r="D325" s="26"/>
      <c r="E325" s="545">
        <v>22.5</v>
      </c>
      <c r="F325" s="3" t="str" cm="1">
        <f t="array" aca="1" ref="F325" ca="1">OFFSET(E325,-1,1)</f>
        <v>2</v>
      </c>
      <c r="G325" s="290" t="s">
        <v>1116</v>
      </c>
      <c r="H325" s="776"/>
      <c r="I325" s="776" t="s">
        <v>1458</v>
      </c>
      <c r="J325" s="26"/>
      <c r="K325" s="294" t="s">
        <v>1458</v>
      </c>
      <c r="L325" s="889" t="s">
        <v>1329</v>
      </c>
      <c r="M325" s="26"/>
      <c r="N325" s="26"/>
      <c r="O325" s="26"/>
      <c r="P325" s="26"/>
      <c r="Q325" s="26"/>
      <c r="R325" s="26"/>
      <c r="S325" s="26"/>
      <c r="T325" s="388" t="b" cm="1">
        <f t="array" ref="T325">T324</f>
        <v>1</v>
      </c>
      <c r="U325" s="26"/>
      <c r="V325" s="26"/>
      <c r="W325" s="26"/>
      <c r="X325" s="2066"/>
      <c r="Y325" s="1184"/>
      <c r="Z325" s="2012"/>
      <c r="AA325" s="1184"/>
      <c r="AB325" s="218" t="s">
        <v>1902</v>
      </c>
      <c r="AC325" s="688" t="s">
        <v>1903</v>
      </c>
      <c r="AD325" s="686" t="s">
        <v>831</v>
      </c>
      <c r="AE325" s="1022">
        <f ca="1">SUMIFS(ФОТ!AE$25:AE$138,ФОТ!$F$25:$F$138,$F325,ФОТ!$G$25:$G$138,$G325)</f>
        <v>10081.487037892501</v>
      </c>
      <c r="AF325" s="1022">
        <f ca="1">SUMIFS(ФОТ!AF$25:AF$138,ФОТ!$F$25:$F$138,$F325,ФОТ!$G$25:$G$138,$G325)</f>
        <v>0</v>
      </c>
      <c r="AG325" s="1022">
        <f ca="1">SUMIFS(ФОТ!AG$25:AG$138,ФОТ!$F$25:$F$138,$F325,ФОТ!$G$25:$G$138,$G325)</f>
        <v>0</v>
      </c>
      <c r="AH325" s="1022">
        <f t="shared" ca="1" si="85"/>
        <v>0</v>
      </c>
      <c r="AI325" s="1022">
        <f ca="1">SUMIFS(ФОТ!AH$25:AH$138,ФОТ!$F$25:$F$138,$F325,ФОТ!$G$25:$G$138,$G325)</f>
        <v>0</v>
      </c>
      <c r="AJ325" s="1022">
        <f ca="1">SUMIFS(ФОТ!AI$25:AI$138,ФОТ!$F$25:$F$138,$F325,ФОТ!$G$25:$G$138,$G325)</f>
        <v>0</v>
      </c>
      <c r="AK325" s="1023"/>
      <c r="AL325" s="1023"/>
      <c r="AM325" s="1023"/>
      <c r="AN325" s="1023"/>
      <c r="AO325" s="1023"/>
      <c r="AP325" s="1023"/>
      <c r="AQ325" s="1023"/>
      <c r="AR325" s="1023"/>
      <c r="AS325" s="1023"/>
      <c r="AT325" s="1022">
        <f ca="1">SUMIFS(ФОТ!AJ$25:AJ$138,ФОТ!$F$25:$F$138,$F325,ФОТ!$G$25:$G$138,$G325)</f>
        <v>0</v>
      </c>
      <c r="AU325" s="1023"/>
      <c r="AV325" s="1023"/>
      <c r="AW325" s="1023"/>
      <c r="AX325" s="1023"/>
      <c r="AY325" s="1023"/>
      <c r="AZ325" s="1023"/>
      <c r="BA325" s="1023"/>
      <c r="BB325" s="1023"/>
      <c r="BC325" s="1023"/>
      <c r="BD325" s="1022">
        <f t="shared" ca="1" si="88"/>
        <v>0</v>
      </c>
      <c r="BE325" s="1023"/>
      <c r="BF325" s="1023"/>
      <c r="BG325" s="1023"/>
      <c r="BH325" s="1023"/>
      <c r="BI325" s="1023"/>
      <c r="BJ325" s="1023"/>
      <c r="BK325" s="1023"/>
      <c r="BL325" s="1023"/>
      <c r="BM325" s="1023"/>
      <c r="BN325" s="1523" t="s">
        <v>2170</v>
      </c>
      <c r="BO325" s="1525" t="str">
        <f ca="1">IF(IFERROR(INDEX(ФОТ!$K$26:$L$138,MATCH($F325&amp;"2komm",ФОТ!$K$26:$K$138,0),2),"")=0,"",IFERROR(INDEX(ФОТ!$K$26:$L$138,MATCH($F325&amp;"2komm",ФОТ!$K$26:$K$138,0),2),""))</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BP325" s="1523" t="s">
        <v>2171</v>
      </c>
      <c r="BQ325" s="1184"/>
      <c r="BR325" s="1184"/>
      <c r="BS325" s="971" t="s">
        <v>1719</v>
      </c>
      <c r="BT325" s="973"/>
      <c r="BU325" s="973"/>
      <c r="BV325" s="888"/>
      <c r="BW325" s="888"/>
    </row>
    <row r="326" spans="1:75" s="1334" customFormat="1" ht="14.25" customHeight="1" x14ac:dyDescent="0.25">
      <c r="A326" s="1184"/>
      <c r="B326" s="887"/>
      <c r="C326" s="26"/>
      <c r="D326" s="26"/>
      <c r="E326" s="545">
        <v>15</v>
      </c>
      <c r="F326" s="3" t="str" cm="1">
        <f t="array" aca="1" ref="F326" ca="1">OFFSET(E326,-1,1)</f>
        <v>2</v>
      </c>
      <c r="G326" s="26"/>
      <c r="H326" s="776"/>
      <c r="I326" s="776" t="s">
        <v>1469</v>
      </c>
      <c r="J326" s="26"/>
      <c r="K326" s="294" t="s">
        <v>1469</v>
      </c>
      <c r="L326" s="889" t="s">
        <v>1721</v>
      </c>
      <c r="M326" s="26"/>
      <c r="N326" s="26"/>
      <c r="O326" s="26"/>
      <c r="P326" s="26"/>
      <c r="Q326" s="26"/>
      <c r="R326" s="26"/>
      <c r="S326" s="26"/>
      <c r="T326" s="388" t="b" cm="1">
        <f t="array" ref="T326">T325</f>
        <v>1</v>
      </c>
      <c r="U326" s="26"/>
      <c r="V326" s="26"/>
      <c r="W326" s="26"/>
      <c r="X326" s="2066"/>
      <c r="Y326" s="1184"/>
      <c r="Z326" s="2012"/>
      <c r="AA326" s="1184"/>
      <c r="AB326" s="218" t="s">
        <v>1695</v>
      </c>
      <c r="AC326" s="685" t="s">
        <v>1904</v>
      </c>
      <c r="AD326" s="686" t="s">
        <v>831</v>
      </c>
      <c r="AE326" s="1514"/>
      <c r="AF326" s="1514"/>
      <c r="AG326" s="1514"/>
      <c r="AH326" s="1022">
        <f t="shared" si="85"/>
        <v>0</v>
      </c>
      <c r="AI326" s="1514"/>
      <c r="AJ326" s="1514"/>
      <c r="AK326" s="1023"/>
      <c r="AL326" s="1023"/>
      <c r="AM326" s="1023"/>
      <c r="AN326" s="1023"/>
      <c r="AO326" s="1023"/>
      <c r="AP326" s="1023"/>
      <c r="AQ326" s="1023"/>
      <c r="AR326" s="1023"/>
      <c r="AS326" s="1023"/>
      <c r="AT326" s="1514"/>
      <c r="AU326" s="1023"/>
      <c r="AV326" s="1023"/>
      <c r="AW326" s="1023"/>
      <c r="AX326" s="1023"/>
      <c r="AY326" s="1023"/>
      <c r="AZ326" s="1023"/>
      <c r="BA326" s="1023"/>
      <c r="BB326" s="1023"/>
      <c r="BC326" s="1023"/>
      <c r="BD326" s="1022">
        <f t="shared" si="88"/>
        <v>0</v>
      </c>
      <c r="BE326" s="1023"/>
      <c r="BF326" s="1023"/>
      <c r="BG326" s="1023"/>
      <c r="BH326" s="1023"/>
      <c r="BI326" s="1023"/>
      <c r="BJ326" s="1023"/>
      <c r="BK326" s="1023"/>
      <c r="BL326" s="1023"/>
      <c r="BM326" s="1023"/>
      <c r="BN326" s="1523"/>
      <c r="BO326" s="1523"/>
      <c r="BP326" s="1523"/>
      <c r="BQ326" s="1184"/>
      <c r="BR326" s="1184"/>
      <c r="BS326" s="972" t="s">
        <v>1724</v>
      </c>
      <c r="BT326" s="973"/>
      <c r="BU326" s="973"/>
      <c r="BV326" s="888"/>
      <c r="BW326" s="888"/>
    </row>
    <row r="327" spans="1:75" s="1334" customFormat="1" ht="14.25" customHeight="1" x14ac:dyDescent="0.25">
      <c r="A327" s="1184"/>
      <c r="B327" s="887"/>
      <c r="C327" s="26"/>
      <c r="D327" s="26"/>
      <c r="E327" s="545">
        <v>15</v>
      </c>
      <c r="F327" s="3" t="str" cm="1">
        <f t="array" aca="1" ref="F327" ca="1">OFFSET(E327,-1,1)</f>
        <v>2</v>
      </c>
      <c r="G327" s="26"/>
      <c r="H327" s="776"/>
      <c r="I327" s="776" t="s">
        <v>1473</v>
      </c>
      <c r="J327" s="26"/>
      <c r="K327" s="294" t="s">
        <v>1473</v>
      </c>
      <c r="L327" s="889" t="s">
        <v>1725</v>
      </c>
      <c r="M327" s="1184"/>
      <c r="N327" s="26"/>
      <c r="O327" s="26"/>
      <c r="P327" s="26"/>
      <c r="Q327" s="26"/>
      <c r="R327" s="26"/>
      <c r="S327" s="26"/>
      <c r="T327" s="388" t="b" cm="1">
        <f t="array" ref="T327">T326</f>
        <v>1</v>
      </c>
      <c r="U327" s="26"/>
      <c r="V327" s="26"/>
      <c r="W327" s="26"/>
      <c r="X327" s="2066"/>
      <c r="Y327" s="1184"/>
      <c r="Z327" s="2012"/>
      <c r="AA327" s="1184"/>
      <c r="AB327" s="218" t="s">
        <v>1697</v>
      </c>
      <c r="AC327" s="685" t="s">
        <v>1905</v>
      </c>
      <c r="AD327" s="218" t="s">
        <v>831</v>
      </c>
      <c r="AE327" s="1024">
        <f>SUM(AE328:AE334)</f>
        <v>1459.5804481600001</v>
      </c>
      <c r="AF327" s="1024">
        <f>SUM(AF328:AF334)</f>
        <v>0</v>
      </c>
      <c r="AG327" s="1024">
        <f>SUM(AG328:AG334)</f>
        <v>0</v>
      </c>
      <c r="AH327" s="1022">
        <f t="shared" si="85"/>
        <v>0</v>
      </c>
      <c r="AI327" s="1024">
        <f>SUM(AI328:AI334)</f>
        <v>0</v>
      </c>
      <c r="AJ327" s="1024">
        <f>SUM(AJ328:AJ334)</f>
        <v>0</v>
      </c>
      <c r="AK327" s="1023"/>
      <c r="AL327" s="1023"/>
      <c r="AM327" s="1023"/>
      <c r="AN327" s="1023"/>
      <c r="AO327" s="1023"/>
      <c r="AP327" s="1023"/>
      <c r="AQ327" s="1023"/>
      <c r="AR327" s="1023"/>
      <c r="AS327" s="1023"/>
      <c r="AT327" s="1024">
        <f>SUM(AT328:AT334)</f>
        <v>0</v>
      </c>
      <c r="AU327" s="1023"/>
      <c r="AV327" s="1023"/>
      <c r="AW327" s="1023"/>
      <c r="AX327" s="1023"/>
      <c r="AY327" s="1023"/>
      <c r="AZ327" s="1023"/>
      <c r="BA327" s="1023"/>
      <c r="BB327" s="1023"/>
      <c r="BC327" s="1023"/>
      <c r="BD327" s="1022">
        <f t="shared" si="88"/>
        <v>0</v>
      </c>
      <c r="BE327" s="1023"/>
      <c r="BF327" s="1023"/>
      <c r="BG327" s="1023"/>
      <c r="BH327" s="1023"/>
      <c r="BI327" s="1023"/>
      <c r="BJ327" s="1023"/>
      <c r="BK327" s="1023"/>
      <c r="BL327" s="1023"/>
      <c r="BM327" s="1023"/>
      <c r="BN327" s="1523"/>
      <c r="BO327" s="1523"/>
      <c r="BP327" s="1523"/>
      <c r="BQ327" s="1184"/>
      <c r="BR327" s="1184"/>
      <c r="BS327" s="972" t="s">
        <v>1906</v>
      </c>
      <c r="BT327" s="973"/>
      <c r="BU327" s="973"/>
      <c r="BV327" s="888"/>
      <c r="BW327" s="888"/>
    </row>
    <row r="328" spans="1:75" s="1334" customFormat="1" ht="14.25" customHeight="1" x14ac:dyDescent="0.25">
      <c r="A328" s="1184"/>
      <c r="B328" s="887"/>
      <c r="C328" s="26"/>
      <c r="D328" s="26"/>
      <c r="E328" s="545">
        <v>15</v>
      </c>
      <c r="F328" s="3" t="str" cm="1">
        <f t="array" aca="1" ref="F328" ca="1">OFFSET(E328,-1,1)</f>
        <v>2</v>
      </c>
      <c r="G328" s="26"/>
      <c r="H328" s="776"/>
      <c r="I328" s="776" t="s">
        <v>1907</v>
      </c>
      <c r="J328" s="26"/>
      <c r="K328" s="294" t="s">
        <v>1907</v>
      </c>
      <c r="L328" s="889" t="s">
        <v>1725</v>
      </c>
      <c r="M328" s="26" t="s">
        <v>1733</v>
      </c>
      <c r="N328" s="26"/>
      <c r="O328" s="26"/>
      <c r="P328" s="26"/>
      <c r="Q328" s="26"/>
      <c r="R328" s="26"/>
      <c r="S328" s="26"/>
      <c r="T328" s="388" t="b" cm="1">
        <f t="array" ref="T328">T327</f>
        <v>1</v>
      </c>
      <c r="U328" s="26"/>
      <c r="V328" s="26"/>
      <c r="W328" s="26"/>
      <c r="X328" s="2066"/>
      <c r="Y328" s="1184"/>
      <c r="Z328" s="2012"/>
      <c r="AA328" s="1184"/>
      <c r="AB328" s="218" t="s">
        <v>1908</v>
      </c>
      <c r="AC328" s="688" t="s">
        <v>1909</v>
      </c>
      <c r="AD328" s="218" t="s">
        <v>831</v>
      </c>
      <c r="AE328" s="1514"/>
      <c r="AF328" s="1514"/>
      <c r="AG328" s="1514"/>
      <c r="AH328" s="1022">
        <f t="shared" si="85"/>
        <v>0</v>
      </c>
      <c r="AI328" s="1514"/>
      <c r="AJ328" s="1514"/>
      <c r="AK328" s="1023"/>
      <c r="AL328" s="1023"/>
      <c r="AM328" s="1023"/>
      <c r="AN328" s="1023"/>
      <c r="AO328" s="1023"/>
      <c r="AP328" s="1023"/>
      <c r="AQ328" s="1023"/>
      <c r="AR328" s="1023"/>
      <c r="AS328" s="1023"/>
      <c r="AT328" s="1514"/>
      <c r="AU328" s="1023"/>
      <c r="AV328" s="1023"/>
      <c r="AW328" s="1023"/>
      <c r="AX328" s="1023"/>
      <c r="AY328" s="1023"/>
      <c r="AZ328" s="1023"/>
      <c r="BA328" s="1023"/>
      <c r="BB328" s="1023"/>
      <c r="BC328" s="1023"/>
      <c r="BD328" s="1022">
        <f t="shared" si="88"/>
        <v>0</v>
      </c>
      <c r="BE328" s="1023"/>
      <c r="BF328" s="1023"/>
      <c r="BG328" s="1023"/>
      <c r="BH328" s="1023"/>
      <c r="BI328" s="1023"/>
      <c r="BJ328" s="1023"/>
      <c r="BK328" s="1023"/>
      <c r="BL328" s="1023"/>
      <c r="BM328" s="1023"/>
      <c r="BN328" s="1523"/>
      <c r="BO328" s="1523"/>
      <c r="BP328" s="1523"/>
      <c r="BQ328" s="1184"/>
      <c r="BR328" s="1184"/>
      <c r="BS328" s="971" t="s">
        <v>1736</v>
      </c>
      <c r="BT328" s="973"/>
      <c r="BU328" s="973"/>
      <c r="BV328" s="888"/>
      <c r="BW328" s="888"/>
    </row>
    <row r="329" spans="1:75" s="1334" customFormat="1" ht="21.75" customHeight="1" x14ac:dyDescent="0.15">
      <c r="A329" s="1184"/>
      <c r="B329" s="887"/>
      <c r="C329" s="26"/>
      <c r="D329" s="26"/>
      <c r="E329" s="545">
        <v>22.5</v>
      </c>
      <c r="F329" s="3" t="str" cm="1">
        <f t="array" aca="1" ref="F329" ca="1">OFFSET(E329,-1,1)</f>
        <v>2</v>
      </c>
      <c r="G329" s="26"/>
      <c r="H329" s="776"/>
      <c r="I329" s="776" t="s">
        <v>1910</v>
      </c>
      <c r="J329" s="26"/>
      <c r="K329" s="294" t="s">
        <v>1910</v>
      </c>
      <c r="L329" s="889" t="s">
        <v>1725</v>
      </c>
      <c r="M329" s="26" t="s">
        <v>1729</v>
      </c>
      <c r="N329" s="26"/>
      <c r="O329" s="26"/>
      <c r="P329" s="26"/>
      <c r="Q329" s="26"/>
      <c r="R329" s="26"/>
      <c r="S329" s="26"/>
      <c r="T329" s="388" t="b" cm="1">
        <f t="array" ref="T329">T328</f>
        <v>1</v>
      </c>
      <c r="U329" s="26"/>
      <c r="V329" s="26"/>
      <c r="W329" s="26"/>
      <c r="X329" s="2066"/>
      <c r="Y329" s="1184"/>
      <c r="Z329" s="2012"/>
      <c r="AA329" s="1184"/>
      <c r="AB329" s="218" t="s">
        <v>1911</v>
      </c>
      <c r="AC329" s="688" t="s">
        <v>1912</v>
      </c>
      <c r="AD329" s="218" t="s">
        <v>831</v>
      </c>
      <c r="AE329" s="1514"/>
      <c r="AF329" s="1514"/>
      <c r="AG329" s="1514"/>
      <c r="AH329" s="1022">
        <f t="shared" si="85"/>
        <v>0</v>
      </c>
      <c r="AI329" s="1514"/>
      <c r="AJ329" s="1514"/>
      <c r="AK329" s="1023"/>
      <c r="AL329" s="1023"/>
      <c r="AM329" s="1023"/>
      <c r="AN329" s="1023"/>
      <c r="AO329" s="1023"/>
      <c r="AP329" s="1023"/>
      <c r="AQ329" s="1023"/>
      <c r="AR329" s="1023"/>
      <c r="AS329" s="1023"/>
      <c r="AT329" s="1514"/>
      <c r="AU329" s="1023"/>
      <c r="AV329" s="1023"/>
      <c r="AW329" s="1023"/>
      <c r="AX329" s="1023"/>
      <c r="AY329" s="1023"/>
      <c r="AZ329" s="1023"/>
      <c r="BA329" s="1023"/>
      <c r="BB329" s="1023"/>
      <c r="BC329" s="1023"/>
      <c r="BD329" s="1022">
        <f t="shared" si="88"/>
        <v>0</v>
      </c>
      <c r="BE329" s="1023"/>
      <c r="BF329" s="1023"/>
      <c r="BG329" s="1023"/>
      <c r="BH329" s="1023"/>
      <c r="BI329" s="1023"/>
      <c r="BJ329" s="1023"/>
      <c r="BK329" s="1023"/>
      <c r="BL329" s="1023"/>
      <c r="BM329" s="1023"/>
      <c r="BN329" s="1523"/>
      <c r="BO329" s="1523"/>
      <c r="BP329" s="1523"/>
      <c r="BQ329" s="1184"/>
      <c r="BR329" s="1184"/>
      <c r="BS329" s="973" t="s">
        <v>1913</v>
      </c>
      <c r="BT329" s="973"/>
      <c r="BU329" s="973"/>
      <c r="BV329" s="888"/>
      <c r="BW329" s="888"/>
    </row>
    <row r="330" spans="1:75" s="1334" customFormat="1" ht="21.75" customHeight="1" x14ac:dyDescent="0.15">
      <c r="A330" s="1184"/>
      <c r="B330" s="887"/>
      <c r="C330" s="26"/>
      <c r="D330" s="26"/>
      <c r="E330" s="545">
        <v>22.5</v>
      </c>
      <c r="F330" s="3" t="str" cm="1">
        <f t="array" aca="1" ref="F330" ca="1">OFFSET(E330,-1,1)</f>
        <v>2</v>
      </c>
      <c r="G330" s="26"/>
      <c r="H330" s="776"/>
      <c r="I330" s="776" t="s">
        <v>1914</v>
      </c>
      <c r="J330" s="26"/>
      <c r="K330" s="294" t="s">
        <v>1914</v>
      </c>
      <c r="L330" s="1184"/>
      <c r="M330" s="1184"/>
      <c r="N330" s="26"/>
      <c r="O330" s="26"/>
      <c r="P330" s="26"/>
      <c r="Q330" s="26"/>
      <c r="R330" s="26"/>
      <c r="S330" s="26"/>
      <c r="T330" s="388" t="b" cm="1">
        <f t="array" ref="T330">T329</f>
        <v>1</v>
      </c>
      <c r="U330" s="26"/>
      <c r="V330" s="26"/>
      <c r="W330" s="26"/>
      <c r="X330" s="2066"/>
      <c r="Y330" s="1184"/>
      <c r="Z330" s="2012"/>
      <c r="AA330" s="1184"/>
      <c r="AB330" s="218" t="s">
        <v>1915</v>
      </c>
      <c r="AC330" s="689" t="s">
        <v>1916</v>
      </c>
      <c r="AD330" s="218" t="s">
        <v>831</v>
      </c>
      <c r="AE330" s="1514"/>
      <c r="AF330" s="1514"/>
      <c r="AG330" s="1514"/>
      <c r="AH330" s="1022">
        <f t="shared" si="85"/>
        <v>0</v>
      </c>
      <c r="AI330" s="1514"/>
      <c r="AJ330" s="1514"/>
      <c r="AK330" s="1023"/>
      <c r="AL330" s="1023"/>
      <c r="AM330" s="1023"/>
      <c r="AN330" s="1023"/>
      <c r="AO330" s="1023"/>
      <c r="AP330" s="1023"/>
      <c r="AQ330" s="1023"/>
      <c r="AR330" s="1023"/>
      <c r="AS330" s="1023"/>
      <c r="AT330" s="1514"/>
      <c r="AU330" s="1023"/>
      <c r="AV330" s="1023"/>
      <c r="AW330" s="1023"/>
      <c r="AX330" s="1023"/>
      <c r="AY330" s="1023"/>
      <c r="AZ330" s="1023"/>
      <c r="BA330" s="1023"/>
      <c r="BB330" s="1023"/>
      <c r="BC330" s="1023"/>
      <c r="BD330" s="1022">
        <f t="shared" si="88"/>
        <v>0</v>
      </c>
      <c r="BE330" s="1023"/>
      <c r="BF330" s="1023"/>
      <c r="BG330" s="1023"/>
      <c r="BH330" s="1023"/>
      <c r="BI330" s="1023"/>
      <c r="BJ330" s="1023"/>
      <c r="BK330" s="1023"/>
      <c r="BL330" s="1023"/>
      <c r="BM330" s="1023"/>
      <c r="BN330" s="1523"/>
      <c r="BO330" s="1523"/>
      <c r="BP330" s="1523"/>
      <c r="BQ330" s="1184"/>
      <c r="BR330" s="1184"/>
      <c r="BS330" s="973" t="s">
        <v>1917</v>
      </c>
      <c r="BT330" s="973"/>
      <c r="BU330" s="973"/>
      <c r="BV330" s="888"/>
      <c r="BW330" s="888"/>
    </row>
    <row r="331" spans="1:75" s="1334" customFormat="1" ht="21.75" customHeight="1" x14ac:dyDescent="0.15">
      <c r="A331" s="1184"/>
      <c r="B331" s="887"/>
      <c r="C331" s="26"/>
      <c r="D331" s="26"/>
      <c r="E331" s="545">
        <v>22.5</v>
      </c>
      <c r="F331" s="3" t="str" cm="1">
        <f t="array" aca="1" ref="F331" ca="1">OFFSET(E331,-1,1)</f>
        <v>2</v>
      </c>
      <c r="G331" s="26"/>
      <c r="H331" s="776"/>
      <c r="I331" s="776" t="s">
        <v>1918</v>
      </c>
      <c r="J331" s="26"/>
      <c r="K331" s="294" t="s">
        <v>1918</v>
      </c>
      <c r="L331" s="889"/>
      <c r="M331" s="1184"/>
      <c r="N331" s="26"/>
      <c r="O331" s="26"/>
      <c r="P331" s="26"/>
      <c r="Q331" s="26"/>
      <c r="R331" s="26"/>
      <c r="S331" s="26"/>
      <c r="T331" s="388" t="b" cm="1">
        <f t="array" ref="T331">T330</f>
        <v>1</v>
      </c>
      <c r="U331" s="26"/>
      <c r="V331" s="26"/>
      <c r="W331" s="26"/>
      <c r="X331" s="2066"/>
      <c r="Y331" s="1184"/>
      <c r="Z331" s="2012"/>
      <c r="AA331" s="1184"/>
      <c r="AB331" s="218" t="s">
        <v>1919</v>
      </c>
      <c r="AC331" s="689" t="s">
        <v>1920</v>
      </c>
      <c r="AD331" s="218" t="s">
        <v>831</v>
      </c>
      <c r="AE331" s="1514"/>
      <c r="AF331" s="1514"/>
      <c r="AG331" s="1514"/>
      <c r="AH331" s="1022">
        <f t="shared" si="85"/>
        <v>0</v>
      </c>
      <c r="AI331" s="1514"/>
      <c r="AJ331" s="1514"/>
      <c r="AK331" s="1023"/>
      <c r="AL331" s="1023"/>
      <c r="AM331" s="1023"/>
      <c r="AN331" s="1023"/>
      <c r="AO331" s="1023"/>
      <c r="AP331" s="1023"/>
      <c r="AQ331" s="1023"/>
      <c r="AR331" s="1023"/>
      <c r="AS331" s="1023"/>
      <c r="AT331" s="1514"/>
      <c r="AU331" s="1023"/>
      <c r="AV331" s="1023"/>
      <c r="AW331" s="1023"/>
      <c r="AX331" s="1023"/>
      <c r="AY331" s="1023"/>
      <c r="AZ331" s="1023"/>
      <c r="BA331" s="1023"/>
      <c r="BB331" s="1023"/>
      <c r="BC331" s="1023"/>
      <c r="BD331" s="1022">
        <f t="shared" si="88"/>
        <v>0</v>
      </c>
      <c r="BE331" s="1023"/>
      <c r="BF331" s="1023"/>
      <c r="BG331" s="1023"/>
      <c r="BH331" s="1023"/>
      <c r="BI331" s="1023"/>
      <c r="BJ331" s="1023"/>
      <c r="BK331" s="1023"/>
      <c r="BL331" s="1023"/>
      <c r="BM331" s="1023"/>
      <c r="BN331" s="1523"/>
      <c r="BO331" s="1523"/>
      <c r="BP331" s="1523"/>
      <c r="BQ331" s="1184"/>
      <c r="BR331" s="1184"/>
      <c r="BS331" s="973" t="s">
        <v>1921</v>
      </c>
      <c r="BT331" s="973"/>
      <c r="BU331" s="973"/>
      <c r="BV331" s="888"/>
      <c r="BW331" s="888"/>
    </row>
    <row r="332" spans="1:75" s="1334" customFormat="1" ht="409.6" customHeight="1" x14ac:dyDescent="0.15">
      <c r="A332" s="1184"/>
      <c r="B332" s="887"/>
      <c r="C332" s="26"/>
      <c r="D332" s="26"/>
      <c r="E332" s="545">
        <v>45</v>
      </c>
      <c r="F332" s="3" t="str" cm="1">
        <f t="array" aca="1" ref="F332" ca="1">OFFSET(E332,-1,1)</f>
        <v>2</v>
      </c>
      <c r="G332" s="26"/>
      <c r="H332" s="776"/>
      <c r="I332" s="776" t="s">
        <v>1922</v>
      </c>
      <c r="J332" s="26"/>
      <c r="K332" s="294" t="s">
        <v>1922</v>
      </c>
      <c r="L332" s="889" t="s">
        <v>1725</v>
      </c>
      <c r="M332" s="26" t="s">
        <v>1737</v>
      </c>
      <c r="N332" s="26"/>
      <c r="O332" s="26"/>
      <c r="P332" s="26"/>
      <c r="Q332" s="26"/>
      <c r="R332" s="26"/>
      <c r="S332" s="26"/>
      <c r="T332" s="388" t="b" cm="1">
        <f t="array" ref="T332">T331</f>
        <v>1</v>
      </c>
      <c r="U332" s="26"/>
      <c r="V332" s="26"/>
      <c r="W332" s="26"/>
      <c r="X332" s="2066"/>
      <c r="Y332" s="1184"/>
      <c r="Z332" s="2012"/>
      <c r="AA332" s="1184"/>
      <c r="AB332" s="218" t="s">
        <v>1923</v>
      </c>
      <c r="AC332" s="688" t="s">
        <v>1924</v>
      </c>
      <c r="AD332" s="218" t="s">
        <v>831</v>
      </c>
      <c r="AE332" s="1514">
        <v>404.12044816000002</v>
      </c>
      <c r="AF332" s="1514"/>
      <c r="AG332" s="1514"/>
      <c r="AH332" s="1022">
        <f t="shared" si="85"/>
        <v>0</v>
      </c>
      <c r="AI332" s="1514"/>
      <c r="AJ332" s="1514"/>
      <c r="AK332" s="1023"/>
      <c r="AL332" s="1023"/>
      <c r="AM332" s="1023"/>
      <c r="AN332" s="1023"/>
      <c r="AO332" s="1023"/>
      <c r="AP332" s="1023"/>
      <c r="AQ332" s="1023"/>
      <c r="AR332" s="1023"/>
      <c r="AS332" s="1023"/>
      <c r="AT332" s="1514"/>
      <c r="AU332" s="1023"/>
      <c r="AV332" s="1023"/>
      <c r="AW332" s="1023"/>
      <c r="AX332" s="1023"/>
      <c r="AY332" s="1023"/>
      <c r="AZ332" s="1023"/>
      <c r="BA332" s="1023"/>
      <c r="BB332" s="1023"/>
      <c r="BC332" s="1023"/>
      <c r="BD332" s="1022">
        <f t="shared" si="88"/>
        <v>0</v>
      </c>
      <c r="BE332" s="1023"/>
      <c r="BF332" s="1023"/>
      <c r="BG332" s="1023"/>
      <c r="BH332" s="1023"/>
      <c r="BI332" s="1023"/>
      <c r="BJ332" s="1023"/>
      <c r="BK332" s="1023"/>
      <c r="BL332" s="1023"/>
      <c r="BM332" s="1023"/>
      <c r="BN332" s="1523" t="s">
        <v>2172</v>
      </c>
      <c r="BO332" s="1523"/>
      <c r="BP332" s="1523" t="s">
        <v>1145</v>
      </c>
      <c r="BQ332" s="1184"/>
      <c r="BR332" s="1184"/>
      <c r="BS332" s="973" t="s">
        <v>1740</v>
      </c>
      <c r="BT332" s="973"/>
      <c r="BU332" s="973"/>
      <c r="BV332" s="888"/>
      <c r="BW332" s="888"/>
    </row>
    <row r="333" spans="1:75" s="1334" customFormat="1" ht="14.25" customHeight="1" x14ac:dyDescent="0.15">
      <c r="A333" s="1184"/>
      <c r="B333" s="887"/>
      <c r="C333" s="26"/>
      <c r="D333" s="26"/>
      <c r="E333" s="545">
        <v>15</v>
      </c>
      <c r="F333" s="3" t="str" cm="1">
        <f t="array" aca="1" ref="F333" ca="1">OFFSET(E333,-1,1)</f>
        <v>2</v>
      </c>
      <c r="G333" s="26"/>
      <c r="H333" s="776"/>
      <c r="I333" s="776" t="s">
        <v>1925</v>
      </c>
      <c r="J333" s="26"/>
      <c r="K333" s="294" t="s">
        <v>1925</v>
      </c>
      <c r="L333" s="889" t="s">
        <v>1725</v>
      </c>
      <c r="M333" s="26" t="s">
        <v>1741</v>
      </c>
      <c r="N333" s="26"/>
      <c r="O333" s="26"/>
      <c r="P333" s="26"/>
      <c r="Q333" s="26"/>
      <c r="R333" s="26"/>
      <c r="S333" s="26"/>
      <c r="T333" s="388" t="b" cm="1">
        <f t="array" ref="T333">T332</f>
        <v>1</v>
      </c>
      <c r="U333" s="26"/>
      <c r="V333" s="26"/>
      <c r="W333" s="26"/>
      <c r="X333" s="2066"/>
      <c r="Y333" s="1184"/>
      <c r="Z333" s="2012"/>
      <c r="AA333" s="1184"/>
      <c r="AB333" s="218" t="s">
        <v>1926</v>
      </c>
      <c r="AC333" s="688" t="s">
        <v>1743</v>
      </c>
      <c r="AD333" s="218" t="s">
        <v>831</v>
      </c>
      <c r="AE333" s="1514"/>
      <c r="AF333" s="1514"/>
      <c r="AG333" s="1514"/>
      <c r="AH333" s="1022">
        <f t="shared" si="85"/>
        <v>0</v>
      </c>
      <c r="AI333" s="1514"/>
      <c r="AJ333" s="1514"/>
      <c r="AK333" s="1023"/>
      <c r="AL333" s="1023"/>
      <c r="AM333" s="1023"/>
      <c r="AN333" s="1023"/>
      <c r="AO333" s="1023"/>
      <c r="AP333" s="1023"/>
      <c r="AQ333" s="1023"/>
      <c r="AR333" s="1023"/>
      <c r="AS333" s="1023"/>
      <c r="AT333" s="1514"/>
      <c r="AU333" s="1023"/>
      <c r="AV333" s="1023"/>
      <c r="AW333" s="1023"/>
      <c r="AX333" s="1023"/>
      <c r="AY333" s="1023"/>
      <c r="AZ333" s="1023"/>
      <c r="BA333" s="1023"/>
      <c r="BB333" s="1023"/>
      <c r="BC333" s="1023"/>
      <c r="BD333" s="1022">
        <f t="shared" si="88"/>
        <v>0</v>
      </c>
      <c r="BE333" s="1023"/>
      <c r="BF333" s="1023"/>
      <c r="BG333" s="1023"/>
      <c r="BH333" s="1023"/>
      <c r="BI333" s="1023"/>
      <c r="BJ333" s="1023"/>
      <c r="BK333" s="1023"/>
      <c r="BL333" s="1023"/>
      <c r="BM333" s="1023"/>
      <c r="BN333" s="1523"/>
      <c r="BO333" s="1523"/>
      <c r="BP333" s="1523"/>
      <c r="BQ333" s="1184"/>
      <c r="BR333" s="1184"/>
      <c r="BS333" s="973" t="s">
        <v>1744</v>
      </c>
      <c r="BT333" s="973"/>
      <c r="BU333" s="973"/>
      <c r="BV333" s="888"/>
      <c r="BW333" s="888"/>
    </row>
    <row r="334" spans="1:75" s="1334" customFormat="1" ht="409.6" customHeight="1" x14ac:dyDescent="0.15">
      <c r="A334" s="1184"/>
      <c r="B334" s="887"/>
      <c r="C334" s="26"/>
      <c r="D334" s="26"/>
      <c r="E334" s="545">
        <v>15</v>
      </c>
      <c r="F334" s="3" t="str" cm="1">
        <f t="array" aca="1" ref="F334" ca="1">OFFSET(E334,-1,1)</f>
        <v>2</v>
      </c>
      <c r="G334" s="26"/>
      <c r="H334" s="776"/>
      <c r="I334" s="776" t="s">
        <v>1927</v>
      </c>
      <c r="J334" s="26"/>
      <c r="K334" s="294" t="s">
        <v>1927</v>
      </c>
      <c r="L334" s="889"/>
      <c r="M334" s="26"/>
      <c r="N334" s="26"/>
      <c r="O334" s="26"/>
      <c r="P334" s="26"/>
      <c r="Q334" s="26"/>
      <c r="R334" s="26"/>
      <c r="S334" s="26"/>
      <c r="T334" s="388" t="b" cm="1">
        <f t="array" ref="T334">T333</f>
        <v>1</v>
      </c>
      <c r="U334" s="26"/>
      <c r="V334" s="26"/>
      <c r="W334" s="26"/>
      <c r="X334" s="2066"/>
      <c r="Y334" s="1184"/>
      <c r="Z334" s="2012"/>
      <c r="AA334" s="1184"/>
      <c r="AB334" s="218" t="s">
        <v>1928</v>
      </c>
      <c r="AC334" s="688" t="s">
        <v>1929</v>
      </c>
      <c r="AD334" s="218" t="s">
        <v>831</v>
      </c>
      <c r="AE334" s="1514">
        <v>1055.46</v>
      </c>
      <c r="AF334" s="1514"/>
      <c r="AG334" s="1514"/>
      <c r="AH334" s="1022">
        <f t="shared" si="85"/>
        <v>0</v>
      </c>
      <c r="AI334" s="1514"/>
      <c r="AJ334" s="1263"/>
      <c r="AK334" s="1023"/>
      <c r="AL334" s="1023"/>
      <c r="AM334" s="1023"/>
      <c r="AN334" s="1023"/>
      <c r="AO334" s="1023"/>
      <c r="AP334" s="1023"/>
      <c r="AQ334" s="1023"/>
      <c r="AR334" s="1023"/>
      <c r="AS334" s="1023"/>
      <c r="AT334" s="1327"/>
      <c r="AU334" s="1023"/>
      <c r="AV334" s="1023"/>
      <c r="AW334" s="1023"/>
      <c r="AX334" s="1023"/>
      <c r="AY334" s="1023"/>
      <c r="AZ334" s="1023"/>
      <c r="BA334" s="1023"/>
      <c r="BB334" s="1023"/>
      <c r="BC334" s="1023"/>
      <c r="BD334" s="1022">
        <f t="shared" si="88"/>
        <v>0</v>
      </c>
      <c r="BE334" s="1023"/>
      <c r="BF334" s="1023"/>
      <c r="BG334" s="1023"/>
      <c r="BH334" s="1023"/>
      <c r="BI334" s="1023"/>
      <c r="BJ334" s="1023"/>
      <c r="BK334" s="1023"/>
      <c r="BL334" s="1023"/>
      <c r="BM334" s="1023"/>
      <c r="BN334" s="1523" t="s">
        <v>2173</v>
      </c>
      <c r="BO334" s="1523"/>
      <c r="BP334" s="1523" t="s">
        <v>2198</v>
      </c>
      <c r="BQ334" s="1184"/>
      <c r="BR334" s="1184"/>
      <c r="BS334" s="973" t="s">
        <v>1728</v>
      </c>
      <c r="BT334" s="973"/>
      <c r="BU334" s="973"/>
      <c r="BV334" s="888"/>
      <c r="BW334" s="888"/>
    </row>
    <row r="335" spans="1:75" s="1544" customFormat="1" ht="20.25" customHeight="1" x14ac:dyDescent="0.25">
      <c r="A335" s="623"/>
      <c r="B335" s="357"/>
      <c r="C335" s="28"/>
      <c r="D335" s="28"/>
      <c r="E335" s="745">
        <v>21</v>
      </c>
      <c r="F335" s="3" t="str" cm="1">
        <f t="array" aca="1" ref="F335" ca="1">OFFSET(E335,-1,1)</f>
        <v>2</v>
      </c>
      <c r="G335" s="28"/>
      <c r="H335" s="776"/>
      <c r="I335" s="776" t="s">
        <v>501</v>
      </c>
      <c r="J335" s="28"/>
      <c r="K335" s="294" t="s">
        <v>501</v>
      </c>
      <c r="L335" s="894"/>
      <c r="M335" s="28"/>
      <c r="N335" s="28"/>
      <c r="O335" s="28"/>
      <c r="P335" s="28"/>
      <c r="Q335" s="28"/>
      <c r="R335" s="28"/>
      <c r="S335" s="28"/>
      <c r="T335" s="388" t="b" cm="1">
        <f t="array" ref="T335">T334</f>
        <v>1</v>
      </c>
      <c r="U335" s="28"/>
      <c r="V335" s="28"/>
      <c r="W335" s="28"/>
      <c r="X335" s="2066"/>
      <c r="Y335" s="623"/>
      <c r="Z335" s="2012"/>
      <c r="AA335" s="623"/>
      <c r="AB335" s="130" t="s">
        <v>916</v>
      </c>
      <c r="AC335" s="277" t="s">
        <v>1748</v>
      </c>
      <c r="AD335" s="130" t="s">
        <v>831</v>
      </c>
      <c r="AE335" s="132">
        <f ca="1">AE336+AE337+AE338</f>
        <v>18698.660787780798</v>
      </c>
      <c r="AF335" s="132">
        <f ca="1">AF336+AF337+AF338</f>
        <v>0</v>
      </c>
      <c r="AG335" s="132">
        <f ca="1">AG336+AG337+AG338</f>
        <v>0</v>
      </c>
      <c r="AH335" s="698">
        <f t="shared" ca="1" si="85"/>
        <v>0</v>
      </c>
      <c r="AI335" s="132">
        <f ca="1">AI336+AI337+AI338</f>
        <v>0</v>
      </c>
      <c r="AJ335" s="132">
        <f ca="1">AJ336+AJ337+AJ338</f>
        <v>0</v>
      </c>
      <c r="AK335" s="135"/>
      <c r="AL335" s="135"/>
      <c r="AM335" s="135"/>
      <c r="AN335" s="135"/>
      <c r="AO335" s="135"/>
      <c r="AP335" s="135"/>
      <c r="AQ335" s="135"/>
      <c r="AR335" s="135"/>
      <c r="AS335" s="135"/>
      <c r="AT335" s="132">
        <f ca="1">AT336+AT337+AT338</f>
        <v>0</v>
      </c>
      <c r="AU335" s="135"/>
      <c r="AV335" s="135"/>
      <c r="AW335" s="135"/>
      <c r="AX335" s="135"/>
      <c r="AY335" s="135"/>
      <c r="AZ335" s="135"/>
      <c r="BA335" s="135"/>
      <c r="BB335" s="135"/>
      <c r="BC335" s="135"/>
      <c r="BD335" s="698">
        <f t="shared" ca="1" si="88"/>
        <v>0</v>
      </c>
      <c r="BE335" s="135"/>
      <c r="BF335" s="135"/>
      <c r="BG335" s="135"/>
      <c r="BH335" s="135"/>
      <c r="BI335" s="135"/>
      <c r="BJ335" s="135"/>
      <c r="BK335" s="135"/>
      <c r="BL335" s="135"/>
      <c r="BM335" s="135"/>
      <c r="BN335" s="1524"/>
      <c r="BO335" s="1524"/>
      <c r="BP335" s="1524"/>
      <c r="BQ335" s="623"/>
      <c r="BR335" s="623"/>
      <c r="BS335" s="972" t="s">
        <v>1749</v>
      </c>
      <c r="BT335" s="979"/>
      <c r="BU335" s="979"/>
      <c r="BV335" s="630"/>
      <c r="BW335" s="630"/>
    </row>
    <row r="336" spans="1:75" s="1334" customFormat="1" ht="23.25" customHeight="1" x14ac:dyDescent="0.25">
      <c r="A336" s="1184"/>
      <c r="B336" s="887"/>
      <c r="C336" s="26"/>
      <c r="D336" s="26"/>
      <c r="E336" s="545">
        <v>22.5</v>
      </c>
      <c r="F336" s="3" t="str" cm="1">
        <f t="array" aca="1" ref="F336" ca="1">OFFSET(E336,-1,1)</f>
        <v>2</v>
      </c>
      <c r="G336" s="26"/>
      <c r="H336" s="776"/>
      <c r="I336" s="776" t="s">
        <v>1314</v>
      </c>
      <c r="J336" s="26"/>
      <c r="K336" s="294" t="s">
        <v>1314</v>
      </c>
      <c r="L336" s="889"/>
      <c r="M336" s="26"/>
      <c r="N336" s="26"/>
      <c r="O336" s="26"/>
      <c r="P336" s="26"/>
      <c r="Q336" s="26"/>
      <c r="R336" s="26"/>
      <c r="S336" s="26"/>
      <c r="T336" s="388" t="b" cm="1">
        <f t="array" ref="T336">T335</f>
        <v>1</v>
      </c>
      <c r="U336" s="26"/>
      <c r="V336" s="26"/>
      <c r="W336" s="26"/>
      <c r="X336" s="2066"/>
      <c r="Y336" s="1184"/>
      <c r="Z336" s="2012"/>
      <c r="AA336" s="1184"/>
      <c r="AB336" s="218" t="s">
        <v>1315</v>
      </c>
      <c r="AC336" s="685" t="s">
        <v>1930</v>
      </c>
      <c r="AD336" s="218" t="s">
        <v>831</v>
      </c>
      <c r="AE336" s="1514">
        <v>792.93377615999998</v>
      </c>
      <c r="AF336" s="1514"/>
      <c r="AG336" s="1514"/>
      <c r="AH336" s="1022">
        <f t="shared" si="85"/>
        <v>0</v>
      </c>
      <c r="AI336" s="1514"/>
      <c r="AJ336" s="1514"/>
      <c r="AK336" s="1023"/>
      <c r="AL336" s="1023"/>
      <c r="AM336" s="1023"/>
      <c r="AN336" s="1023"/>
      <c r="AO336" s="1023"/>
      <c r="AP336" s="1023"/>
      <c r="AQ336" s="1023"/>
      <c r="AR336" s="1023"/>
      <c r="AS336" s="1023"/>
      <c r="AT336" s="1514"/>
      <c r="AU336" s="1023"/>
      <c r="AV336" s="1023"/>
      <c r="AW336" s="1023"/>
      <c r="AX336" s="1023"/>
      <c r="AY336" s="1023"/>
      <c r="AZ336" s="1023"/>
      <c r="BA336" s="1023"/>
      <c r="BB336" s="1023"/>
      <c r="BC336" s="1023"/>
      <c r="BD336" s="1022">
        <f t="shared" si="88"/>
        <v>0</v>
      </c>
      <c r="BE336" s="1023"/>
      <c r="BF336" s="1023"/>
      <c r="BG336" s="1023"/>
      <c r="BH336" s="1023"/>
      <c r="BI336" s="1023"/>
      <c r="BJ336" s="1023"/>
      <c r="BK336" s="1023"/>
      <c r="BL336" s="1023"/>
      <c r="BM336" s="1023"/>
      <c r="BN336" s="1523"/>
      <c r="BO336" s="1523"/>
      <c r="BP336" s="1523" t="s">
        <v>1145</v>
      </c>
      <c r="BQ336" s="1184"/>
      <c r="BR336" s="1184"/>
      <c r="BS336" s="971" t="s">
        <v>1751</v>
      </c>
      <c r="BT336" s="973"/>
      <c r="BU336" s="973"/>
      <c r="BV336" s="888"/>
      <c r="BW336" s="888"/>
    </row>
    <row r="337" spans="1:75" s="1334" customFormat="1" ht="23.25" customHeight="1" x14ac:dyDescent="0.15">
      <c r="A337" s="1184"/>
      <c r="B337" s="887"/>
      <c r="C337" s="26"/>
      <c r="D337" s="26"/>
      <c r="E337" s="545">
        <v>22.5</v>
      </c>
      <c r="F337" s="3" t="str" cm="1">
        <f t="array" aca="1" ref="F337" ca="1">OFFSET(E337,-1,1)</f>
        <v>2</v>
      </c>
      <c r="G337" s="26"/>
      <c r="H337" s="776"/>
      <c r="I337" s="776" t="s">
        <v>1318</v>
      </c>
      <c r="J337" s="26"/>
      <c r="K337" s="294" t="s">
        <v>1318</v>
      </c>
      <c r="L337" s="889"/>
      <c r="M337" s="26"/>
      <c r="N337" s="26"/>
      <c r="O337" s="26"/>
      <c r="P337" s="26"/>
      <c r="Q337" s="26"/>
      <c r="R337" s="26"/>
      <c r="S337" s="26"/>
      <c r="T337" s="388" t="b" cm="1">
        <f t="array" ref="T337">T336</f>
        <v>1</v>
      </c>
      <c r="U337" s="26"/>
      <c r="V337" s="26"/>
      <c r="W337" s="26"/>
      <c r="X337" s="2066"/>
      <c r="Y337" s="1184"/>
      <c r="Z337" s="2012"/>
      <c r="AA337" s="1184"/>
      <c r="AB337" s="218" t="s">
        <v>1319</v>
      </c>
      <c r="AC337" s="685" t="s">
        <v>1931</v>
      </c>
      <c r="AD337" s="218" t="s">
        <v>831</v>
      </c>
      <c r="AE337" s="1514">
        <v>8414.1024498000006</v>
      </c>
      <c r="AF337" s="1514"/>
      <c r="AG337" s="1514"/>
      <c r="AH337" s="1022">
        <f t="shared" si="85"/>
        <v>0</v>
      </c>
      <c r="AI337" s="1514"/>
      <c r="AJ337" s="1514"/>
      <c r="AK337" s="1023"/>
      <c r="AL337" s="1023"/>
      <c r="AM337" s="1023"/>
      <c r="AN337" s="1023"/>
      <c r="AO337" s="1023"/>
      <c r="AP337" s="1023"/>
      <c r="AQ337" s="1023"/>
      <c r="AR337" s="1023"/>
      <c r="AS337" s="1023"/>
      <c r="AT337" s="1514"/>
      <c r="AU337" s="1023"/>
      <c r="AV337" s="1023"/>
      <c r="AW337" s="1023"/>
      <c r="AX337" s="1023"/>
      <c r="AY337" s="1023"/>
      <c r="AZ337" s="1023"/>
      <c r="BA337" s="1023"/>
      <c r="BB337" s="1023"/>
      <c r="BC337" s="1023"/>
      <c r="BD337" s="1022">
        <f t="shared" si="88"/>
        <v>0</v>
      </c>
      <c r="BE337" s="1023"/>
      <c r="BF337" s="1023"/>
      <c r="BG337" s="1023"/>
      <c r="BH337" s="1023"/>
      <c r="BI337" s="1023"/>
      <c r="BJ337" s="1023"/>
      <c r="BK337" s="1023"/>
      <c r="BL337" s="1023"/>
      <c r="BM337" s="1023"/>
      <c r="BN337" s="1523"/>
      <c r="BO337" s="1523"/>
      <c r="BP337" s="1523" t="s">
        <v>2175</v>
      </c>
      <c r="BQ337" s="1184"/>
      <c r="BR337" s="1184"/>
      <c r="BS337" s="973" t="s">
        <v>1932</v>
      </c>
      <c r="BT337" s="973"/>
      <c r="BU337" s="973"/>
      <c r="BV337" s="888"/>
      <c r="BW337" s="888"/>
    </row>
    <row r="338" spans="1:75" s="1334" customFormat="1" ht="159.75" customHeight="1" x14ac:dyDescent="0.25">
      <c r="A338" s="1184"/>
      <c r="B338" s="887"/>
      <c r="C338" s="26"/>
      <c r="D338" s="26"/>
      <c r="E338" s="545">
        <v>22.5</v>
      </c>
      <c r="F338" s="3" t="str" cm="1">
        <f t="array" aca="1" ref="F338" ca="1">OFFSET(E338,-1,1)</f>
        <v>2</v>
      </c>
      <c r="G338" s="26"/>
      <c r="H338" s="776"/>
      <c r="I338" s="776" t="s">
        <v>1322</v>
      </c>
      <c r="J338" s="26"/>
      <c r="K338" s="294" t="s">
        <v>1322</v>
      </c>
      <c r="L338" s="889" t="s">
        <v>515</v>
      </c>
      <c r="M338" s="26"/>
      <c r="N338" s="26"/>
      <c r="O338" s="26"/>
      <c r="P338" s="26"/>
      <c r="Q338" s="26"/>
      <c r="R338" s="26"/>
      <c r="S338" s="26"/>
      <c r="T338" s="388" t="b" cm="1">
        <f t="array" ref="T338">T337</f>
        <v>1</v>
      </c>
      <c r="U338" s="26"/>
      <c r="V338" s="26"/>
      <c r="W338" s="26"/>
      <c r="X338" s="2066"/>
      <c r="Y338" s="1184"/>
      <c r="Z338" s="2012"/>
      <c r="AA338" s="1184"/>
      <c r="AB338" s="218" t="s">
        <v>1323</v>
      </c>
      <c r="AC338" s="685" t="s">
        <v>1933</v>
      </c>
      <c r="AD338" s="218" t="s">
        <v>831</v>
      </c>
      <c r="AE338" s="1024">
        <f ca="1">AE339+AE340</f>
        <v>9491.6245618207995</v>
      </c>
      <c r="AF338" s="1024">
        <f ca="1">AF339+AF340</f>
        <v>0</v>
      </c>
      <c r="AG338" s="1024">
        <f ca="1">AG339+AG340</f>
        <v>0</v>
      </c>
      <c r="AH338" s="1022">
        <f t="shared" ca="1" si="85"/>
        <v>0</v>
      </c>
      <c r="AI338" s="1024">
        <f ca="1">AI339+AI340</f>
        <v>0</v>
      </c>
      <c r="AJ338" s="1024">
        <f ca="1">AJ339+AJ340</f>
        <v>0</v>
      </c>
      <c r="AK338" s="1023"/>
      <c r="AL338" s="1023"/>
      <c r="AM338" s="1023"/>
      <c r="AN338" s="1023"/>
      <c r="AO338" s="1023"/>
      <c r="AP338" s="1023"/>
      <c r="AQ338" s="1023"/>
      <c r="AR338" s="1023"/>
      <c r="AS338" s="1023"/>
      <c r="AT338" s="1024">
        <f ca="1">AT339+AT340</f>
        <v>0</v>
      </c>
      <c r="AU338" s="1023"/>
      <c r="AV338" s="1023"/>
      <c r="AW338" s="1023"/>
      <c r="AX338" s="1023"/>
      <c r="AY338" s="1023"/>
      <c r="AZ338" s="1023"/>
      <c r="BA338" s="1023"/>
      <c r="BB338" s="1023"/>
      <c r="BC338" s="1023"/>
      <c r="BD338" s="1022">
        <f t="shared" ca="1" si="88"/>
        <v>0</v>
      </c>
      <c r="BE338" s="1023"/>
      <c r="BF338" s="1023"/>
      <c r="BG338" s="1023"/>
      <c r="BH338" s="1023"/>
      <c r="BI338" s="1023"/>
      <c r="BJ338" s="1023"/>
      <c r="BK338" s="1023"/>
      <c r="BL338" s="1023"/>
      <c r="BM338" s="1023"/>
      <c r="BN338" s="1523" t="s">
        <v>2170</v>
      </c>
      <c r="BO338" s="1523"/>
      <c r="BP338" s="1523" t="s">
        <v>2171</v>
      </c>
      <c r="BQ338" s="1184"/>
      <c r="BR338" s="1184"/>
      <c r="BS338" s="971" t="s">
        <v>1753</v>
      </c>
      <c r="BT338" s="973"/>
      <c r="BU338" s="973"/>
      <c r="BV338" s="888"/>
      <c r="BW338" s="888"/>
    </row>
    <row r="339" spans="1:75" s="1334" customFormat="1" ht="159.75" customHeight="1" x14ac:dyDescent="0.25">
      <c r="A339" s="1184"/>
      <c r="B339" s="887"/>
      <c r="C339" s="26"/>
      <c r="D339" s="26"/>
      <c r="E339" s="545">
        <v>15</v>
      </c>
      <c r="F339" s="3" t="str" cm="1">
        <f t="array" aca="1" ref="F339" ca="1">OFFSET(E339,-1,1)</f>
        <v>2</v>
      </c>
      <c r="G339" s="767" t="s">
        <v>1119</v>
      </c>
      <c r="H339" s="776"/>
      <c r="I339" s="776" t="s">
        <v>1934</v>
      </c>
      <c r="J339" s="26"/>
      <c r="K339" s="294" t="s">
        <v>1934</v>
      </c>
      <c r="L339" s="889" t="s">
        <v>1754</v>
      </c>
      <c r="M339" s="26"/>
      <c r="N339" s="26"/>
      <c r="O339" s="26"/>
      <c r="P339" s="26"/>
      <c r="Q339" s="26"/>
      <c r="R339" s="26"/>
      <c r="S339" s="26"/>
      <c r="T339" s="388" t="b" cm="1">
        <f t="array" ref="T339">T338</f>
        <v>1</v>
      </c>
      <c r="U339" s="26"/>
      <c r="V339" s="26"/>
      <c r="W339" s="26"/>
      <c r="X339" s="2066"/>
      <c r="Y339" s="1184"/>
      <c r="Z339" s="2012"/>
      <c r="AA339" s="1184"/>
      <c r="AB339" s="218" t="s">
        <v>1935</v>
      </c>
      <c r="AC339" s="688" t="s">
        <v>1755</v>
      </c>
      <c r="AD339" s="218" t="s">
        <v>831</v>
      </c>
      <c r="AE339" s="1022">
        <f ca="1">SUMIFS(ФОТ!AE$25:AE$138,ФОТ!$F$25:$F$138,$F339,ФОТ!$G$25:$G$138,$G339)</f>
        <v>7290.0342256688</v>
      </c>
      <c r="AF339" s="1022">
        <f ca="1">SUMIFS(ФОТ!AF$25:AF$138,ФОТ!$F$25:$F$138,$F339,ФОТ!$G$25:$G$138,$G339)</f>
        <v>0</v>
      </c>
      <c r="AG339" s="1022">
        <f ca="1">SUMIFS(ФОТ!AG$25:AG$138,ФОТ!$F$25:$F$138,$F339,ФОТ!$G$25:$G$138,$G339)</f>
        <v>0</v>
      </c>
      <c r="AH339" s="1022">
        <f t="shared" ca="1" si="85"/>
        <v>0</v>
      </c>
      <c r="AI339" s="1022">
        <f ca="1">SUMIFS(ФОТ!AH$25:AH$138,ФОТ!$F$25:$F$138,$F339,ФОТ!$G$25:$G$138,$G339)</f>
        <v>0</v>
      </c>
      <c r="AJ339" s="1022">
        <f ca="1">SUMIFS(ФОТ!AI$25:AI$138,ФОТ!$F$25:$F$138,$F339,ФОТ!$G$25:$G$138,$G339)</f>
        <v>0</v>
      </c>
      <c r="AK339" s="1023"/>
      <c r="AL339" s="1023"/>
      <c r="AM339" s="1023"/>
      <c r="AN339" s="1023"/>
      <c r="AO339" s="1023"/>
      <c r="AP339" s="1023"/>
      <c r="AQ339" s="1023"/>
      <c r="AR339" s="1023"/>
      <c r="AS339" s="1023"/>
      <c r="AT339" s="1022">
        <f ca="1">SUMIFS(ФОТ!AJ$25:AJ$138,ФОТ!$F$25:$F$138,$F339,ФОТ!$G$25:$G$138,$G339)</f>
        <v>0</v>
      </c>
      <c r="AU339" s="1023"/>
      <c r="AV339" s="1023"/>
      <c r="AW339" s="1023"/>
      <c r="AX339" s="1023"/>
      <c r="AY339" s="1023"/>
      <c r="AZ339" s="1023"/>
      <c r="BA339" s="1023"/>
      <c r="BB339" s="1023"/>
      <c r="BC339" s="1023"/>
      <c r="BD339" s="1022">
        <f t="shared" ca="1" si="88"/>
        <v>0</v>
      </c>
      <c r="BE339" s="1023"/>
      <c r="BF339" s="1023"/>
      <c r="BG339" s="1023"/>
      <c r="BH339" s="1023"/>
      <c r="BI339" s="1023"/>
      <c r="BJ339" s="1023"/>
      <c r="BK339" s="1023"/>
      <c r="BL339" s="1023"/>
      <c r="BM339" s="1023"/>
      <c r="BN339" s="1523" t="s">
        <v>2170</v>
      </c>
      <c r="BO339" s="1525" t="str">
        <f ca="1">IF(IFERROR(INDEX(ФОТ!$K$26:$L$138,MATCH($F339&amp;"3komm",ФОТ!$K$26:$K$138,0),2),"")=0,"",IFERROR(INDEX(ФОТ!$K$26:$L$138,MATCH($F339&amp;"3komm",ФОТ!$K$26:$K$138,0),2),""))</f>
        <v/>
      </c>
      <c r="BP339" s="1523" t="s">
        <v>2171</v>
      </c>
      <c r="BQ339" s="1184"/>
      <c r="BR339" s="1184"/>
      <c r="BS339" s="971" t="s">
        <v>1756</v>
      </c>
      <c r="BT339" s="973"/>
      <c r="BU339" s="973"/>
      <c r="BV339" s="888"/>
      <c r="BW339" s="888"/>
    </row>
    <row r="340" spans="1:75" s="1334" customFormat="1" ht="159.75" customHeight="1" x14ac:dyDescent="0.25">
      <c r="A340" s="1184"/>
      <c r="B340" s="887"/>
      <c r="C340" s="26"/>
      <c r="D340" s="26"/>
      <c r="E340" s="545">
        <v>22.5</v>
      </c>
      <c r="F340" s="3" t="str" cm="1">
        <f t="array" aca="1" ref="F340" ca="1">OFFSET(E340,-1,1)</f>
        <v>2</v>
      </c>
      <c r="G340" s="767" t="s">
        <v>1124</v>
      </c>
      <c r="H340" s="776"/>
      <c r="I340" s="776" t="s">
        <v>1936</v>
      </c>
      <c r="J340" s="26"/>
      <c r="K340" s="294" t="s">
        <v>1936</v>
      </c>
      <c r="L340" s="889" t="s">
        <v>1757</v>
      </c>
      <c r="M340" s="26"/>
      <c r="N340" s="26"/>
      <c r="O340" s="26"/>
      <c r="P340" s="26"/>
      <c r="Q340" s="26"/>
      <c r="R340" s="26"/>
      <c r="S340" s="26"/>
      <c r="T340" s="388" t="b" cm="1">
        <f t="array" ref="T340">T339</f>
        <v>1</v>
      </c>
      <c r="U340" s="26"/>
      <c r="V340" s="26"/>
      <c r="W340" s="26"/>
      <c r="X340" s="2066"/>
      <c r="Y340" s="1184"/>
      <c r="Z340" s="2012"/>
      <c r="AA340" s="1184"/>
      <c r="AB340" s="218" t="s">
        <v>1937</v>
      </c>
      <c r="AC340" s="688" t="s">
        <v>1938</v>
      </c>
      <c r="AD340" s="218" t="s">
        <v>831</v>
      </c>
      <c r="AE340" s="1022">
        <f ca="1">SUMIFS(ФОТ!AE$25:AE$138,ФОТ!$F$25:$F$138,$F340,ФОТ!$G$25:$G$138,$G340)</f>
        <v>2201.590336152</v>
      </c>
      <c r="AF340" s="1022">
        <f ca="1">SUMIFS(ФОТ!AF$25:AF$138,ФОТ!$F$25:$F$138,$F340,ФОТ!$G$25:$G$138,$G340)</f>
        <v>0</v>
      </c>
      <c r="AG340" s="1022">
        <f ca="1">SUMIFS(ФОТ!AG$25:AG$138,ФОТ!$F$25:$F$138,$F340,ФОТ!$G$25:$G$138,$G340)</f>
        <v>0</v>
      </c>
      <c r="AH340" s="1022">
        <f t="shared" ca="1" si="85"/>
        <v>0</v>
      </c>
      <c r="AI340" s="1022">
        <f ca="1">SUMIFS(ФОТ!AH$25:AH$138,ФОТ!$F$25:$F$138,$F340,ФОТ!$G$25:$G$138,$G340)</f>
        <v>0</v>
      </c>
      <c r="AJ340" s="1022">
        <f ca="1">SUMIFS(ФОТ!AI$25:AI$138,ФОТ!$F$25:$F$138,$F340,ФОТ!$G$25:$G$138,$G340)</f>
        <v>0</v>
      </c>
      <c r="AK340" s="1023"/>
      <c r="AL340" s="1023"/>
      <c r="AM340" s="1023"/>
      <c r="AN340" s="1023"/>
      <c r="AO340" s="1023"/>
      <c r="AP340" s="1023"/>
      <c r="AQ340" s="1023"/>
      <c r="AR340" s="1023"/>
      <c r="AS340" s="1023"/>
      <c r="AT340" s="1022">
        <f ca="1">SUMIFS(ФОТ!AJ$25:AJ$138,ФОТ!$F$25:$F$138,$F340,ФОТ!$G$25:$G$138,$G340)</f>
        <v>0</v>
      </c>
      <c r="AU340" s="1023"/>
      <c r="AV340" s="1023"/>
      <c r="AW340" s="1023"/>
      <c r="AX340" s="1023"/>
      <c r="AY340" s="1023"/>
      <c r="AZ340" s="1023"/>
      <c r="BA340" s="1023"/>
      <c r="BB340" s="1023"/>
      <c r="BC340" s="1023"/>
      <c r="BD340" s="1022">
        <f t="shared" ca="1" si="88"/>
        <v>0</v>
      </c>
      <c r="BE340" s="1023"/>
      <c r="BF340" s="1023"/>
      <c r="BG340" s="1023"/>
      <c r="BH340" s="1023"/>
      <c r="BI340" s="1023"/>
      <c r="BJ340" s="1023"/>
      <c r="BK340" s="1023"/>
      <c r="BL340" s="1023"/>
      <c r="BM340" s="1023"/>
      <c r="BN340" s="1523" t="s">
        <v>2170</v>
      </c>
      <c r="BO340" s="1525" t="str">
        <f ca="1">IF(IFERROR(INDEX(ФОТ!$K$26:$L$138,MATCH($F340&amp;"4komm",ФОТ!$K$26:$K$138,0),2),"")=0,"",IFERROR(INDEX(ФОТ!$K$26:$L$138,MATCH($F340&amp;"4komm",ФОТ!$K$26:$K$138,0),2),""))</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BP340" s="1523" t="s">
        <v>2171</v>
      </c>
      <c r="BQ340" s="1184"/>
      <c r="BR340" s="1184"/>
      <c r="BS340" s="971" t="s">
        <v>1759</v>
      </c>
      <c r="BT340" s="973"/>
      <c r="BU340" s="973"/>
      <c r="BV340" s="888"/>
      <c r="BW340" s="888"/>
    </row>
    <row r="341" spans="1:75" s="1545" customFormat="1" ht="20.25" customHeight="1" x14ac:dyDescent="0.25">
      <c r="A341" s="623"/>
      <c r="B341" s="357"/>
      <c r="C341" s="28"/>
      <c r="D341" s="28"/>
      <c r="E341" s="745">
        <v>21</v>
      </c>
      <c r="F341" s="3" t="str" cm="1">
        <f t="array" aca="1" ref="F341" ca="1">OFFSET(E341,-1,1)</f>
        <v>2</v>
      </c>
      <c r="G341" s="28"/>
      <c r="H341" s="776"/>
      <c r="I341" s="776" t="s">
        <v>505</v>
      </c>
      <c r="J341" s="28"/>
      <c r="K341" s="294" t="s">
        <v>505</v>
      </c>
      <c r="L341" s="894" t="s">
        <v>333</v>
      </c>
      <c r="M341" s="28"/>
      <c r="N341" s="28"/>
      <c r="O341" s="28"/>
      <c r="P341" s="28"/>
      <c r="Q341" s="28"/>
      <c r="R341" s="28"/>
      <c r="S341" s="28"/>
      <c r="T341" s="388" t="b" cm="1">
        <f t="array" ref="T341">T340</f>
        <v>1</v>
      </c>
      <c r="U341" s="28"/>
      <c r="V341" s="28"/>
      <c r="W341" s="28"/>
      <c r="X341" s="2066"/>
      <c r="Y341" s="623"/>
      <c r="Z341" s="2012"/>
      <c r="AA341" s="623"/>
      <c r="AB341" s="130" t="s">
        <v>919</v>
      </c>
      <c r="AC341" s="277" t="s">
        <v>1939</v>
      </c>
      <c r="AD341" s="130" t="s">
        <v>831</v>
      </c>
      <c r="AE341" s="132">
        <f ca="1">AE342+AE350+AE353+AE354+AE355+AE356+AE357</f>
        <v>11111.801299130901</v>
      </c>
      <c r="AF341" s="132">
        <f ca="1">AF342+AF350+AF353+AF354+AF355+AF356+AF357</f>
        <v>0</v>
      </c>
      <c r="AG341" s="132">
        <f ca="1">AG342+AG350+AG353+AG354+AG355+AG356+AG357</f>
        <v>0</v>
      </c>
      <c r="AH341" s="698">
        <f t="shared" ca="1" si="85"/>
        <v>0</v>
      </c>
      <c r="AI341" s="132">
        <f ca="1">AI342+AI350+AI353+AI354+AI355+AI356+AI357</f>
        <v>0</v>
      </c>
      <c r="AJ341" s="132">
        <f ca="1">AJ342+AJ350+AJ353+AJ354+AJ355+AJ356+AJ357</f>
        <v>0</v>
      </c>
      <c r="AK341" s="135"/>
      <c r="AL341" s="135"/>
      <c r="AM341" s="135"/>
      <c r="AN341" s="135"/>
      <c r="AO341" s="135"/>
      <c r="AP341" s="135"/>
      <c r="AQ341" s="135"/>
      <c r="AR341" s="135"/>
      <c r="AS341" s="135"/>
      <c r="AT341" s="132">
        <f ca="1">AT342+AT350+AT353+AT354+AT355+AT356+AT357</f>
        <v>0</v>
      </c>
      <c r="AU341" s="135"/>
      <c r="AV341" s="135"/>
      <c r="AW341" s="135"/>
      <c r="AX341" s="135"/>
      <c r="AY341" s="135"/>
      <c r="AZ341" s="135"/>
      <c r="BA341" s="135"/>
      <c r="BB341" s="135"/>
      <c r="BC341" s="135"/>
      <c r="BD341" s="698">
        <f t="shared" ca="1" si="88"/>
        <v>0</v>
      </c>
      <c r="BE341" s="135"/>
      <c r="BF341" s="135"/>
      <c r="BG341" s="135"/>
      <c r="BH341" s="135"/>
      <c r="BI341" s="135"/>
      <c r="BJ341" s="135"/>
      <c r="BK341" s="135"/>
      <c r="BL341" s="135"/>
      <c r="BM341" s="135"/>
      <c r="BN341" s="1524"/>
      <c r="BO341" s="1524"/>
      <c r="BP341" s="1524"/>
      <c r="BQ341" s="623"/>
      <c r="BR341" s="623"/>
      <c r="BS341" s="972" t="s">
        <v>1761</v>
      </c>
      <c r="BT341" s="979"/>
      <c r="BU341" s="979"/>
      <c r="BV341" s="630"/>
      <c r="BW341" s="630"/>
    </row>
    <row r="342" spans="1:75" s="1334" customFormat="1" ht="21.75" customHeight="1" x14ac:dyDescent="0.25">
      <c r="A342" s="1184"/>
      <c r="B342" s="887"/>
      <c r="C342" s="26"/>
      <c r="D342" s="26"/>
      <c r="E342" s="545">
        <v>22.5</v>
      </c>
      <c r="F342" s="3" t="str" cm="1">
        <f t="array" aca="1" ref="F342" ca="1">OFFSET(E342,-1,1)</f>
        <v>2</v>
      </c>
      <c r="G342" s="26" t="s">
        <v>1155</v>
      </c>
      <c r="H342" s="776"/>
      <c r="I342" s="776" t="s">
        <v>1328</v>
      </c>
      <c r="J342" s="26"/>
      <c r="K342" s="294" t="s">
        <v>1328</v>
      </c>
      <c r="L342" s="889" t="s">
        <v>940</v>
      </c>
      <c r="M342" s="26"/>
      <c r="N342" s="26"/>
      <c r="O342" s="26"/>
      <c r="P342" s="26"/>
      <c r="Q342" s="26"/>
      <c r="R342" s="26"/>
      <c r="S342" s="26"/>
      <c r="T342" s="388" t="b" cm="1">
        <f t="array" ref="T342">T341</f>
        <v>1</v>
      </c>
      <c r="U342" s="26"/>
      <c r="V342" s="26"/>
      <c r="W342" s="26"/>
      <c r="X342" s="2066"/>
      <c r="Y342" s="1184"/>
      <c r="Z342" s="2012"/>
      <c r="AA342" s="1184"/>
      <c r="AB342" s="218" t="s">
        <v>1033</v>
      </c>
      <c r="AC342" s="685" t="s">
        <v>1940</v>
      </c>
      <c r="AD342" s="218" t="s">
        <v>831</v>
      </c>
      <c r="AE342" s="1022">
        <f ca="1">SUMIFS(Административные!AE$25:AE$84,Административные!$F$25:$F$84,$F342,Административные!$G$25:$G$84,$G342)</f>
        <v>0</v>
      </c>
      <c r="AF342" s="1022">
        <f ca="1">SUMIFS(Административные!AF$25:AF$84,Административные!$F$25:$F$84,$F342,Административные!$G$25:$G$84,$G342)</f>
        <v>0</v>
      </c>
      <c r="AG342" s="1022">
        <f ca="1">SUMIFS(Административные!AG$25:AG$84,Административные!$F$25:$F$84,$F342,Административные!$G$25:$G$84,$G342)</f>
        <v>0</v>
      </c>
      <c r="AH342" s="1022">
        <f t="shared" ca="1" si="85"/>
        <v>0</v>
      </c>
      <c r="AI342" s="1022">
        <f ca="1">SUMIFS(Административные!AH$25:AH$84,Административные!$F$25:$F$84,$F342,Административные!$G$25:$G$84,$G342)</f>
        <v>0</v>
      </c>
      <c r="AJ342" s="1022">
        <f ca="1">SUMIFS(Административные!AI$25:AI$84,Административные!$F$25:$F$84,$F342,Административные!$G$25:$G$84,$G342)</f>
        <v>0</v>
      </c>
      <c r="AK342" s="1023"/>
      <c r="AL342" s="1023"/>
      <c r="AM342" s="1023"/>
      <c r="AN342" s="1023"/>
      <c r="AO342" s="1023"/>
      <c r="AP342" s="1023"/>
      <c r="AQ342" s="1023"/>
      <c r="AR342" s="1023"/>
      <c r="AS342" s="1023"/>
      <c r="AT342" s="1022">
        <f ca="1">SUMIFS(Административные!AJ$25:AJ$84,Административные!$F$25:$F$84,$F342,Административные!$G$25:$G$84,$G342)</f>
        <v>0</v>
      </c>
      <c r="AU342" s="1023"/>
      <c r="AV342" s="1023"/>
      <c r="AW342" s="1023"/>
      <c r="AX342" s="1023"/>
      <c r="AY342" s="1023"/>
      <c r="AZ342" s="1023"/>
      <c r="BA342" s="1023"/>
      <c r="BB342" s="1023"/>
      <c r="BC342" s="1023"/>
      <c r="BD342" s="1022">
        <f t="shared" ca="1" si="88"/>
        <v>0</v>
      </c>
      <c r="BE342" s="1023"/>
      <c r="BF342" s="1023"/>
      <c r="BG342" s="1023"/>
      <c r="BH342" s="1023"/>
      <c r="BI342" s="1023"/>
      <c r="BJ342" s="1023"/>
      <c r="BK342" s="1023"/>
      <c r="BL342" s="1023"/>
      <c r="BM342" s="1023"/>
      <c r="BN342" s="1523"/>
      <c r="BO342" s="1525" t="str">
        <f ca="1">IF(IFERROR(INDEX(Административные!$K$26:$L$84,MATCH($F342&amp;"17komm",Административные!$K$26:$K$84,0),2),"")=0,"",IFERROR(INDEX(Административные!$K$26:$L$84,MATCH($F342&amp;"17komm",Административные!$K$26:$K$84,0),2),""))</f>
        <v/>
      </c>
      <c r="BP342" s="1523"/>
      <c r="BQ342" s="1184"/>
      <c r="BR342" s="1184"/>
      <c r="BS342" s="971" t="s">
        <v>1157</v>
      </c>
      <c r="BT342" s="973"/>
      <c r="BU342" s="973"/>
      <c r="BV342" s="888"/>
      <c r="BW342" s="888"/>
    </row>
    <row r="343" spans="1:75" s="1334" customFormat="1" ht="14.25" customHeight="1" x14ac:dyDescent="0.15">
      <c r="A343" s="1184"/>
      <c r="B343" s="887"/>
      <c r="C343" s="26"/>
      <c r="D343" s="26"/>
      <c r="E343" s="545">
        <v>15</v>
      </c>
      <c r="F343" s="3" t="str" cm="1">
        <f t="array" aca="1" ref="F343" ca="1">OFFSET(E343,-1,1)</f>
        <v>2</v>
      </c>
      <c r="G343" s="26" t="s">
        <v>1158</v>
      </c>
      <c r="H343" s="776"/>
      <c r="I343" s="776" t="s">
        <v>1941</v>
      </c>
      <c r="J343" s="26"/>
      <c r="K343" s="294" t="s">
        <v>1941</v>
      </c>
      <c r="L343" s="889"/>
      <c r="M343" s="26"/>
      <c r="N343" s="26"/>
      <c r="O343" s="26"/>
      <c r="P343" s="26"/>
      <c r="Q343" s="26"/>
      <c r="R343" s="26"/>
      <c r="S343" s="26"/>
      <c r="T343" s="388" t="b" cm="1">
        <f t="array" ref="T343">T342</f>
        <v>1</v>
      </c>
      <c r="U343" s="26"/>
      <c r="V343" s="26"/>
      <c r="W343" s="26"/>
      <c r="X343" s="2066"/>
      <c r="Y343" s="1184"/>
      <c r="Z343" s="2012"/>
      <c r="AA343" s="1184"/>
      <c r="AB343" s="218" t="s">
        <v>1942</v>
      </c>
      <c r="AC343" s="688" t="s">
        <v>1159</v>
      </c>
      <c r="AD343" s="218" t="s">
        <v>831</v>
      </c>
      <c r="AE343" s="1022">
        <f ca="1">SUMIFS(Административные!AE$25:AE$84,Административные!$F$25:$F$84,$F343,Административные!$G$25:$G$84,$G343)</f>
        <v>0</v>
      </c>
      <c r="AF343" s="1022">
        <f ca="1">SUMIFS(Административные!AF$25:AF$84,Административные!$F$25:$F$84,$F343,Административные!$G$25:$G$84,$G343)</f>
        <v>0</v>
      </c>
      <c r="AG343" s="1022">
        <f ca="1">SUMIFS(Административные!AG$25:AG$84,Административные!$F$25:$F$84,$F343,Административные!$G$25:$G$84,$G343)</f>
        <v>0</v>
      </c>
      <c r="AH343" s="1022">
        <f t="shared" ca="1" si="85"/>
        <v>0</v>
      </c>
      <c r="AI343" s="1022">
        <f ca="1">SUMIFS(Административные!AH$25:AH$84,Административные!$F$25:$F$84,$F343,Административные!$G$25:$G$84,$G343)</f>
        <v>0</v>
      </c>
      <c r="AJ343" s="1022">
        <f ca="1">SUMIFS(Административные!AI$25:AI$84,Административные!$F$25:$F$84,$F343,Административные!$G$25:$G$84,$G343)</f>
        <v>0</v>
      </c>
      <c r="AK343" s="1023"/>
      <c r="AL343" s="1023"/>
      <c r="AM343" s="1023"/>
      <c r="AN343" s="1023"/>
      <c r="AO343" s="1023"/>
      <c r="AP343" s="1023"/>
      <c r="AQ343" s="1023"/>
      <c r="AR343" s="1023"/>
      <c r="AS343" s="1023"/>
      <c r="AT343" s="1022">
        <f ca="1">SUMIFS(Административные!AJ$25:AJ$84,Административные!$F$25:$F$84,$F343,Административные!$G$25:$G$84,$G343)</f>
        <v>0</v>
      </c>
      <c r="AU343" s="1023"/>
      <c r="AV343" s="1023"/>
      <c r="AW343" s="1023"/>
      <c r="AX343" s="1023"/>
      <c r="AY343" s="1023"/>
      <c r="AZ343" s="1023"/>
      <c r="BA343" s="1023"/>
      <c r="BB343" s="1023"/>
      <c r="BC343" s="1023"/>
      <c r="BD343" s="1022">
        <f t="shared" ca="1" si="88"/>
        <v>0</v>
      </c>
      <c r="BE343" s="1023"/>
      <c r="BF343" s="1023"/>
      <c r="BG343" s="1023"/>
      <c r="BH343" s="1023"/>
      <c r="BI343" s="1023"/>
      <c r="BJ343" s="1023"/>
      <c r="BK343" s="1023"/>
      <c r="BL343" s="1023"/>
      <c r="BM343" s="1023"/>
      <c r="BN343" s="1523"/>
      <c r="BO343" s="1525" t="str">
        <f ca="1">IF(IFERROR(INDEX(Административные!$K$26:$L$84,MATCH($F343&amp;"18komm",Административные!$K$26:$K$84,0),2),"")=0,"",IFERROR(INDEX(Административные!$K$26:$L$84,MATCH($F343&amp;"18komm",Административные!$K$26:$K$84,0),2),""))</f>
        <v/>
      </c>
      <c r="BP343" s="1523"/>
      <c r="BQ343" s="1184"/>
      <c r="BR343" s="1184"/>
      <c r="BS343" s="973" t="s">
        <v>1160</v>
      </c>
      <c r="BT343" s="973"/>
      <c r="BU343" s="973"/>
      <c r="BV343" s="888"/>
      <c r="BW343" s="888"/>
    </row>
    <row r="344" spans="1:75" s="1334" customFormat="1" ht="14.25" customHeight="1" x14ac:dyDescent="0.15">
      <c r="A344" s="1184"/>
      <c r="B344" s="887"/>
      <c r="C344" s="26"/>
      <c r="D344" s="26"/>
      <c r="E344" s="545">
        <v>15</v>
      </c>
      <c r="F344" s="3" t="str" cm="1">
        <f t="array" aca="1" ref="F344" ca="1">OFFSET(E344,-1,1)</f>
        <v>2</v>
      </c>
      <c r="G344" s="26" t="s">
        <v>1161</v>
      </c>
      <c r="H344" s="776"/>
      <c r="I344" s="776" t="s">
        <v>1943</v>
      </c>
      <c r="J344" s="26"/>
      <c r="K344" s="294" t="s">
        <v>1943</v>
      </c>
      <c r="L344" s="889"/>
      <c r="M344" s="26"/>
      <c r="N344" s="26"/>
      <c r="O344" s="26"/>
      <c r="P344" s="26"/>
      <c r="Q344" s="26"/>
      <c r="R344" s="26"/>
      <c r="S344" s="26"/>
      <c r="T344" s="388" t="b" cm="1">
        <f t="array" ref="T344">T343</f>
        <v>1</v>
      </c>
      <c r="U344" s="26"/>
      <c r="V344" s="26"/>
      <c r="W344" s="26"/>
      <c r="X344" s="2066"/>
      <c r="Y344" s="1184"/>
      <c r="Z344" s="2012"/>
      <c r="AA344" s="1184"/>
      <c r="AB344" s="218" t="s">
        <v>1944</v>
      </c>
      <c r="AC344" s="688" t="s">
        <v>1162</v>
      </c>
      <c r="AD344" s="218" t="s">
        <v>831</v>
      </c>
      <c r="AE344" s="1022">
        <f ca="1">SUMIFS(Административные!AE$25:AE$84,Административные!$F$25:$F$84,$F344,Административные!$G$25:$G$84,$G344)</f>
        <v>0</v>
      </c>
      <c r="AF344" s="1022">
        <f ca="1">SUMIFS(Административные!AF$25:AF$84,Административные!$F$25:$F$84,$F344,Административные!$G$25:$G$84,$G344)</f>
        <v>0</v>
      </c>
      <c r="AG344" s="1022">
        <f ca="1">SUMIFS(Административные!AG$25:AG$84,Административные!$F$25:$F$84,$F344,Административные!$G$25:$G$84,$G344)</f>
        <v>0</v>
      </c>
      <c r="AH344" s="1022">
        <f t="shared" ca="1" si="85"/>
        <v>0</v>
      </c>
      <c r="AI344" s="1022">
        <f ca="1">SUMIFS(Административные!AH$25:AH$84,Административные!$F$25:$F$84,$F344,Административные!$G$25:$G$84,$G344)</f>
        <v>0</v>
      </c>
      <c r="AJ344" s="1022">
        <f ca="1">SUMIFS(Административные!AI$25:AI$84,Административные!$F$25:$F$84,$F344,Административные!$G$25:$G$84,$G344)</f>
        <v>0</v>
      </c>
      <c r="AK344" s="1023"/>
      <c r="AL344" s="1023"/>
      <c r="AM344" s="1023"/>
      <c r="AN344" s="1023"/>
      <c r="AO344" s="1023"/>
      <c r="AP344" s="1023"/>
      <c r="AQ344" s="1023"/>
      <c r="AR344" s="1023"/>
      <c r="AS344" s="1023"/>
      <c r="AT344" s="1022">
        <f ca="1">SUMIFS(Административные!AJ$25:AJ$84,Административные!$F$25:$F$84,$F344,Административные!$G$25:$G$84,$G344)</f>
        <v>0</v>
      </c>
      <c r="AU344" s="1023"/>
      <c r="AV344" s="1023"/>
      <c r="AW344" s="1023"/>
      <c r="AX344" s="1023"/>
      <c r="AY344" s="1023"/>
      <c r="AZ344" s="1023"/>
      <c r="BA344" s="1023"/>
      <c r="BB344" s="1023"/>
      <c r="BC344" s="1023"/>
      <c r="BD344" s="1022">
        <f t="shared" ca="1" si="88"/>
        <v>0</v>
      </c>
      <c r="BE344" s="1023"/>
      <c r="BF344" s="1023"/>
      <c r="BG344" s="1023"/>
      <c r="BH344" s="1023"/>
      <c r="BI344" s="1023"/>
      <c r="BJ344" s="1023"/>
      <c r="BK344" s="1023"/>
      <c r="BL344" s="1023"/>
      <c r="BM344" s="1023"/>
      <c r="BN344" s="1523"/>
      <c r="BO344" s="1525" t="str">
        <f ca="1">IF(IFERROR(INDEX(Административные!$K$26:$L$84,MATCH($F344&amp;"11komm",Административные!$K$26:$K$84,0),2),"")=0,"",IFERROR(INDEX(Административные!$K$26:$L$84,MATCH($F344&amp;"11komm",Административные!$K$26:$K$84,0),2),""))</f>
        <v/>
      </c>
      <c r="BP344" s="1523"/>
      <c r="BQ344" s="1184"/>
      <c r="BR344" s="1184"/>
      <c r="BS344" s="973" t="s">
        <v>1163</v>
      </c>
      <c r="BT344" s="973"/>
      <c r="BU344" s="973"/>
      <c r="BV344" s="888"/>
      <c r="BW344" s="888"/>
    </row>
    <row r="345" spans="1:75" s="1334" customFormat="1" ht="14.25" customHeight="1" x14ac:dyDescent="0.15">
      <c r="A345" s="1184"/>
      <c r="B345" s="887"/>
      <c r="C345" s="26"/>
      <c r="D345" s="26"/>
      <c r="E345" s="545">
        <v>15</v>
      </c>
      <c r="F345" s="3" t="str" cm="1">
        <f t="array" aca="1" ref="F345" ca="1">OFFSET(E345,-1,1)</f>
        <v>2</v>
      </c>
      <c r="G345" s="26" t="s">
        <v>1164</v>
      </c>
      <c r="H345" s="776"/>
      <c r="I345" s="776" t="s">
        <v>1945</v>
      </c>
      <c r="J345" s="26"/>
      <c r="K345" s="294" t="s">
        <v>1945</v>
      </c>
      <c r="L345" s="889"/>
      <c r="M345" s="26"/>
      <c r="N345" s="26"/>
      <c r="O345" s="26"/>
      <c r="P345" s="26"/>
      <c r="Q345" s="26"/>
      <c r="R345" s="26"/>
      <c r="S345" s="26"/>
      <c r="T345" s="388" t="b" cm="1">
        <f t="array" ref="T345">T344</f>
        <v>1</v>
      </c>
      <c r="U345" s="26"/>
      <c r="V345" s="26"/>
      <c r="W345" s="26"/>
      <c r="X345" s="2066"/>
      <c r="Y345" s="1184"/>
      <c r="Z345" s="2012"/>
      <c r="AA345" s="1184"/>
      <c r="AB345" s="218" t="s">
        <v>1946</v>
      </c>
      <c r="AC345" s="688" t="s">
        <v>1165</v>
      </c>
      <c r="AD345" s="218" t="s">
        <v>831</v>
      </c>
      <c r="AE345" s="1022">
        <f ca="1">SUMIFS(Административные!AE$25:AE$84,Административные!$F$25:$F$84,$F345,Административные!$G$25:$G$84,$G345)</f>
        <v>0</v>
      </c>
      <c r="AF345" s="1022">
        <f ca="1">SUMIFS(Административные!AF$25:AF$84,Административные!$F$25:$F$84,$F345,Административные!$G$25:$G$84,$G345)</f>
        <v>0</v>
      </c>
      <c r="AG345" s="1022">
        <f ca="1">SUMIFS(Административные!AG$25:AG$84,Административные!$F$25:$F$84,$F345,Административные!$G$25:$G$84,$G345)</f>
        <v>0</v>
      </c>
      <c r="AH345" s="1022">
        <f t="shared" ca="1" si="85"/>
        <v>0</v>
      </c>
      <c r="AI345" s="1022">
        <f ca="1">SUMIFS(Административные!AH$25:AH$84,Административные!$F$25:$F$84,$F345,Административные!$G$25:$G$84,$G345)</f>
        <v>0</v>
      </c>
      <c r="AJ345" s="1022">
        <f ca="1">SUMIFS(Административные!AI$25:AI$84,Административные!$F$25:$F$84,$F345,Административные!$G$25:$G$84,$G345)</f>
        <v>0</v>
      </c>
      <c r="AK345" s="1023"/>
      <c r="AL345" s="1023"/>
      <c r="AM345" s="1023"/>
      <c r="AN345" s="1023"/>
      <c r="AO345" s="1023"/>
      <c r="AP345" s="1023"/>
      <c r="AQ345" s="1023"/>
      <c r="AR345" s="1023"/>
      <c r="AS345" s="1023"/>
      <c r="AT345" s="1022">
        <f ca="1">SUMIFS(Административные!AJ$25:AJ$84,Административные!$F$25:$F$84,$F345,Административные!$G$25:$G$84,$G345)</f>
        <v>0</v>
      </c>
      <c r="AU345" s="1023"/>
      <c r="AV345" s="1023"/>
      <c r="AW345" s="1023"/>
      <c r="AX345" s="1023"/>
      <c r="AY345" s="1023"/>
      <c r="AZ345" s="1023"/>
      <c r="BA345" s="1023"/>
      <c r="BB345" s="1023"/>
      <c r="BC345" s="1023"/>
      <c r="BD345" s="1022">
        <f t="shared" ca="1" si="88"/>
        <v>0</v>
      </c>
      <c r="BE345" s="1023"/>
      <c r="BF345" s="1023"/>
      <c r="BG345" s="1023"/>
      <c r="BH345" s="1023"/>
      <c r="BI345" s="1023"/>
      <c r="BJ345" s="1023"/>
      <c r="BK345" s="1023"/>
      <c r="BL345" s="1023"/>
      <c r="BM345" s="1023"/>
      <c r="BN345" s="1523"/>
      <c r="BO345" s="1525" t="str">
        <f ca="1">IF(IFERROR(INDEX(Административные!$K$26:$L$84,MATCH($F345&amp;"12komm",Административные!$K$26:$K$84,0),2),"")=0,"",IFERROR(INDEX(Административные!$K$26:$L$84,MATCH($F345&amp;"12komm",Административные!$K$26:$K$84,0),2),""))</f>
        <v/>
      </c>
      <c r="BP345" s="1523"/>
      <c r="BQ345" s="1184"/>
      <c r="BR345" s="1184"/>
      <c r="BS345" s="973" t="s">
        <v>1166</v>
      </c>
      <c r="BT345" s="973"/>
      <c r="BU345" s="973"/>
      <c r="BV345" s="888"/>
      <c r="BW345" s="888"/>
    </row>
    <row r="346" spans="1:75" s="1334" customFormat="1" ht="14.25" customHeight="1" x14ac:dyDescent="0.15">
      <c r="A346" s="1184"/>
      <c r="B346" s="887"/>
      <c r="C346" s="26"/>
      <c r="D346" s="26"/>
      <c r="E346" s="545">
        <v>15</v>
      </c>
      <c r="F346" s="3" t="str" cm="1">
        <f t="array" aca="1" ref="F346" ca="1">OFFSET(E346,-1,1)</f>
        <v>2</v>
      </c>
      <c r="G346" s="26" t="s">
        <v>1167</v>
      </c>
      <c r="H346" s="776"/>
      <c r="I346" s="776" t="s">
        <v>1947</v>
      </c>
      <c r="J346" s="26"/>
      <c r="K346" s="294" t="s">
        <v>1947</v>
      </c>
      <c r="L346" s="889"/>
      <c r="M346" s="26"/>
      <c r="N346" s="26"/>
      <c r="O346" s="26"/>
      <c r="P346" s="26"/>
      <c r="Q346" s="26"/>
      <c r="R346" s="26"/>
      <c r="S346" s="26"/>
      <c r="T346" s="388" t="b" cm="1">
        <f t="array" ref="T346">T345</f>
        <v>1</v>
      </c>
      <c r="U346" s="26"/>
      <c r="V346" s="26"/>
      <c r="W346" s="26"/>
      <c r="X346" s="2066"/>
      <c r="Y346" s="1184"/>
      <c r="Z346" s="2012"/>
      <c r="AA346" s="1184"/>
      <c r="AB346" s="218" t="s">
        <v>1948</v>
      </c>
      <c r="AC346" s="688" t="s">
        <v>1168</v>
      </c>
      <c r="AD346" s="218" t="s">
        <v>831</v>
      </c>
      <c r="AE346" s="1022">
        <f ca="1">SUMIFS(Административные!AE$25:AE$84,Административные!$F$25:$F$84,$F346,Административные!$G$25:$G$84,$G346)</f>
        <v>0</v>
      </c>
      <c r="AF346" s="1022">
        <f ca="1">SUMIFS(Административные!AF$25:AF$84,Административные!$F$25:$F$84,$F346,Административные!$G$25:$G$84,$G346)</f>
        <v>0</v>
      </c>
      <c r="AG346" s="1022">
        <f ca="1">SUMIFS(Административные!AG$25:AG$84,Административные!$F$25:$F$84,$F346,Административные!$G$25:$G$84,$G346)</f>
        <v>0</v>
      </c>
      <c r="AH346" s="1022">
        <f t="shared" ca="1" si="85"/>
        <v>0</v>
      </c>
      <c r="AI346" s="1022">
        <f ca="1">SUMIFS(Административные!AH$25:AH$84,Административные!$F$25:$F$84,$F346,Административные!$G$25:$G$84,$G346)</f>
        <v>0</v>
      </c>
      <c r="AJ346" s="1022">
        <f ca="1">SUMIFS(Административные!AI$25:AI$84,Административные!$F$25:$F$84,$F346,Административные!$G$25:$G$84,$G346)</f>
        <v>0</v>
      </c>
      <c r="AK346" s="1023"/>
      <c r="AL346" s="1023"/>
      <c r="AM346" s="1023"/>
      <c r="AN346" s="1023"/>
      <c r="AO346" s="1023"/>
      <c r="AP346" s="1023"/>
      <c r="AQ346" s="1023"/>
      <c r="AR346" s="1023"/>
      <c r="AS346" s="1023"/>
      <c r="AT346" s="1022">
        <f ca="1">SUMIFS(Административные!AJ$25:AJ$84,Административные!$F$25:$F$84,$F346,Административные!$G$25:$G$84,$G346)</f>
        <v>0</v>
      </c>
      <c r="AU346" s="1023"/>
      <c r="AV346" s="1023"/>
      <c r="AW346" s="1023"/>
      <c r="AX346" s="1023"/>
      <c r="AY346" s="1023"/>
      <c r="AZ346" s="1023"/>
      <c r="BA346" s="1023"/>
      <c r="BB346" s="1023"/>
      <c r="BC346" s="1023"/>
      <c r="BD346" s="1022">
        <f t="shared" ca="1" si="88"/>
        <v>0</v>
      </c>
      <c r="BE346" s="1023"/>
      <c r="BF346" s="1023"/>
      <c r="BG346" s="1023"/>
      <c r="BH346" s="1023"/>
      <c r="BI346" s="1023"/>
      <c r="BJ346" s="1023"/>
      <c r="BK346" s="1023"/>
      <c r="BL346" s="1023"/>
      <c r="BM346" s="1023"/>
      <c r="BN346" s="1523"/>
      <c r="BO346" s="1525" t="str">
        <f ca="1">IF(IFERROR(INDEX(Административные!$K$26:$L$84,MATCH($F346&amp;"13komm",Административные!$K$26:$K$84,0),2),"")=0,"",IFERROR(INDEX(Административные!$K$26:$L$84,MATCH($F346&amp;"13komm",Административные!$K$26:$K$84,0),2),""))</f>
        <v/>
      </c>
      <c r="BP346" s="1523"/>
      <c r="BQ346" s="1184"/>
      <c r="BR346" s="1184"/>
      <c r="BS346" s="973" t="s">
        <v>1169</v>
      </c>
      <c r="BT346" s="973"/>
      <c r="BU346" s="973"/>
      <c r="BV346" s="888"/>
      <c r="BW346" s="888"/>
    </row>
    <row r="347" spans="1:75" s="1334" customFormat="1" ht="14.25" customHeight="1" x14ac:dyDescent="0.15">
      <c r="A347" s="1184"/>
      <c r="B347" s="887"/>
      <c r="C347" s="26"/>
      <c r="D347" s="26"/>
      <c r="E347" s="545">
        <v>15</v>
      </c>
      <c r="F347" s="3" t="str" cm="1">
        <f t="array" aca="1" ref="F347" ca="1">OFFSET(E347,-1,1)</f>
        <v>2</v>
      </c>
      <c r="G347" s="26" t="s">
        <v>1170</v>
      </c>
      <c r="H347" s="776"/>
      <c r="I347" s="776" t="s">
        <v>1949</v>
      </c>
      <c r="J347" s="26"/>
      <c r="K347" s="294" t="s">
        <v>1949</v>
      </c>
      <c r="L347" s="889"/>
      <c r="M347" s="26"/>
      <c r="N347" s="26"/>
      <c r="O347" s="26"/>
      <c r="P347" s="26"/>
      <c r="Q347" s="26"/>
      <c r="R347" s="26"/>
      <c r="S347" s="26"/>
      <c r="T347" s="388" t="b" cm="1">
        <f t="array" ref="T347">T346</f>
        <v>1</v>
      </c>
      <c r="U347" s="26"/>
      <c r="V347" s="26"/>
      <c r="W347" s="26"/>
      <c r="X347" s="2066"/>
      <c r="Y347" s="1184"/>
      <c r="Z347" s="2012"/>
      <c r="AA347" s="1184"/>
      <c r="AB347" s="218" t="s">
        <v>1950</v>
      </c>
      <c r="AC347" s="688" t="s">
        <v>1171</v>
      </c>
      <c r="AD347" s="218" t="s">
        <v>831</v>
      </c>
      <c r="AE347" s="707">
        <f ca="1">SUMIFS(Административные!AE$25:AE$84,Административные!$F$25:$F$84,$F347,Административные!$G$25:$G$84,$G347)</f>
        <v>0</v>
      </c>
      <c r="AF347" s="707">
        <f ca="1">SUMIFS(Административные!AF$25:AF$84,Административные!$F$25:$F$84,$F347,Административные!$G$25:$G$84,$G347)</f>
        <v>0</v>
      </c>
      <c r="AG347" s="707">
        <f ca="1">SUMIFS(Административные!AG$25:AG$84,Административные!$F$25:$F$84,$F347,Административные!$G$25:$G$84,$G347)</f>
        <v>0</v>
      </c>
      <c r="AH347" s="687">
        <f t="shared" ca="1" si="85"/>
        <v>0</v>
      </c>
      <c r="AI347" s="707">
        <f ca="1">SUMIFS(Административные!AH$25:AH$84,Административные!$F$25:$F$84,$F347,Административные!$G$25:$G$84,$G347)</f>
        <v>0</v>
      </c>
      <c r="AJ347" s="707">
        <f ca="1">SUMIFS(Административные!AI$25:AI$84,Административные!$F$25:$F$84,$F347,Административные!$G$25:$G$84,$G347)</f>
        <v>0</v>
      </c>
      <c r="AK347" s="683"/>
      <c r="AL347" s="683"/>
      <c r="AM347" s="683"/>
      <c r="AN347" s="683"/>
      <c r="AO347" s="683"/>
      <c r="AP347" s="683"/>
      <c r="AQ347" s="683"/>
      <c r="AR347" s="683"/>
      <c r="AS347" s="683"/>
      <c r="AT347" s="707">
        <f ca="1">SUMIFS(Административные!AJ$25:AJ$84,Административные!$F$25:$F$84,$F347,Административные!$G$25:$G$84,$G347)</f>
        <v>0</v>
      </c>
      <c r="AU347" s="1023"/>
      <c r="AV347" s="1023"/>
      <c r="AW347" s="1023"/>
      <c r="AX347" s="1023"/>
      <c r="AY347" s="1023"/>
      <c r="AZ347" s="1023"/>
      <c r="BA347" s="1023"/>
      <c r="BB347" s="1023"/>
      <c r="BC347" s="1023"/>
      <c r="BD347" s="1022">
        <f t="shared" ca="1" si="88"/>
        <v>0</v>
      </c>
      <c r="BE347" s="1023"/>
      <c r="BF347" s="1023"/>
      <c r="BG347" s="1023"/>
      <c r="BH347" s="1023"/>
      <c r="BI347" s="1023"/>
      <c r="BJ347" s="1023"/>
      <c r="BK347" s="1023"/>
      <c r="BL347" s="1023"/>
      <c r="BM347" s="1023"/>
      <c r="BN347" s="1523"/>
      <c r="BO347" s="1525" t="str">
        <f ca="1">IF(IFERROR(INDEX(Административные!$K$26:$L$84,MATCH($F347&amp;"14komm",Административные!$K$26:$K$84,0),2),"")=0,"",IFERROR(INDEX(Административные!$K$26:$L$84,MATCH($F347&amp;"14komm",Административные!$K$26:$K$84,0),2),""))</f>
        <v/>
      </c>
      <c r="BP347" s="1523"/>
      <c r="BQ347" s="1184"/>
      <c r="BR347" s="1184"/>
      <c r="BS347" s="973" t="s">
        <v>1951</v>
      </c>
      <c r="BT347" s="973"/>
      <c r="BU347" s="973"/>
      <c r="BV347" s="888"/>
      <c r="BW347" s="888"/>
    </row>
    <row r="348" spans="1:75" s="1334" customFormat="1" ht="14.25" customHeight="1" x14ac:dyDescent="0.15">
      <c r="A348" s="1184"/>
      <c r="B348" s="887"/>
      <c r="C348" s="26"/>
      <c r="D348" s="26"/>
      <c r="E348" s="545">
        <v>15</v>
      </c>
      <c r="F348" s="3" t="str" cm="1">
        <f t="array" aca="1" ref="F348" ca="1">OFFSET(E348,-1,1)</f>
        <v>2</v>
      </c>
      <c r="G348" s="26" t="s">
        <v>1173</v>
      </c>
      <c r="H348" s="776"/>
      <c r="I348" s="776" t="s">
        <v>1952</v>
      </c>
      <c r="J348" s="26"/>
      <c r="K348" s="294" t="s">
        <v>1952</v>
      </c>
      <c r="L348" s="889"/>
      <c r="M348" s="26"/>
      <c r="N348" s="26"/>
      <c r="O348" s="26"/>
      <c r="P348" s="26"/>
      <c r="Q348" s="26"/>
      <c r="R348" s="26"/>
      <c r="S348" s="26"/>
      <c r="T348" s="388" t="b" cm="1">
        <f t="array" ref="T348">T347</f>
        <v>1</v>
      </c>
      <c r="U348" s="26"/>
      <c r="V348" s="26"/>
      <c r="W348" s="26"/>
      <c r="X348" s="2066"/>
      <c r="Y348" s="1184"/>
      <c r="Z348" s="2012"/>
      <c r="AA348" s="1184"/>
      <c r="AB348" s="218" t="s">
        <v>1953</v>
      </c>
      <c r="AC348" s="688" t="s">
        <v>1176</v>
      </c>
      <c r="AD348" s="218" t="s">
        <v>831</v>
      </c>
      <c r="AE348" s="1022">
        <f ca="1">SUMIFS(Административные!AE$25:AE$84,Административные!$F$25:$F$84,$F348,Административные!$G$25:$G$84,$G348)</f>
        <v>0</v>
      </c>
      <c r="AF348" s="1022">
        <f ca="1">SUMIFS(Административные!AF$25:AF$84,Административные!$F$25:$F$84,$F348,Административные!$G$25:$G$84,$G348)</f>
        <v>0</v>
      </c>
      <c r="AG348" s="1022">
        <f ca="1">SUMIFS(Административные!AG$25:AG$84,Административные!$F$25:$F$84,$F348,Административные!$G$25:$G$84,$G348)</f>
        <v>0</v>
      </c>
      <c r="AH348" s="1022">
        <f t="shared" ref="AH348:AH379" ca="1" si="90">AG348-AF348</f>
        <v>0</v>
      </c>
      <c r="AI348" s="1022">
        <f ca="1">SUMIFS(Административные!AH$25:AH$84,Административные!$F$25:$F$84,$F348,Административные!$G$25:$G$84,$G348)</f>
        <v>0</v>
      </c>
      <c r="AJ348" s="1022">
        <f ca="1">SUMIFS(Административные!AI$25:AI$84,Административные!$F$25:$F$84,$F348,Административные!$G$25:$G$84,$G348)</f>
        <v>0</v>
      </c>
      <c r="AK348" s="1023"/>
      <c r="AL348" s="1023"/>
      <c r="AM348" s="1023"/>
      <c r="AN348" s="1023"/>
      <c r="AO348" s="1023"/>
      <c r="AP348" s="1023"/>
      <c r="AQ348" s="1023"/>
      <c r="AR348" s="1023"/>
      <c r="AS348" s="1023"/>
      <c r="AT348" s="1022">
        <f ca="1">SUMIFS(Административные!AJ$25:AJ$84,Административные!$F$25:$F$84,$F348,Административные!$G$25:$G$84,$G348)</f>
        <v>0</v>
      </c>
      <c r="AU348" s="1023"/>
      <c r="AV348" s="1023"/>
      <c r="AW348" s="1023"/>
      <c r="AX348" s="1023"/>
      <c r="AY348" s="1023"/>
      <c r="AZ348" s="1023"/>
      <c r="BA348" s="1023"/>
      <c r="BB348" s="1023"/>
      <c r="BC348" s="1023"/>
      <c r="BD348" s="1022">
        <f t="shared" ref="BD348:BD364" ca="1" si="91">IF(AI348=0,0,(AT348-AI348)/AI348*100)</f>
        <v>0</v>
      </c>
      <c r="BE348" s="1023"/>
      <c r="BF348" s="1023"/>
      <c r="BG348" s="1023"/>
      <c r="BH348" s="1023"/>
      <c r="BI348" s="1023"/>
      <c r="BJ348" s="1023"/>
      <c r="BK348" s="1023"/>
      <c r="BL348" s="1023"/>
      <c r="BM348" s="1023"/>
      <c r="BN348" s="1523"/>
      <c r="BO348" s="1525" t="str">
        <f ca="1">IF(IFERROR(INDEX(Административные!$K$26:$L$84,MATCH($F348&amp;"15komm",Административные!$K$26:$K$84,0),2),"")=0,"",IFERROR(INDEX(Административные!$K$26:$L$84,MATCH($F348&amp;"15komm",Административные!$K$26:$K$84,0),2),""))</f>
        <v/>
      </c>
      <c r="BP348" s="1523"/>
      <c r="BQ348" s="1184"/>
      <c r="BR348" s="1184"/>
      <c r="BS348" s="973" t="s">
        <v>1177</v>
      </c>
      <c r="BT348" s="973"/>
      <c r="BU348" s="973"/>
      <c r="BV348" s="888"/>
      <c r="BW348" s="888"/>
    </row>
    <row r="349" spans="1:75" s="1334" customFormat="1" ht="14.25" customHeight="1" x14ac:dyDescent="0.15">
      <c r="A349" s="1184"/>
      <c r="B349" s="887"/>
      <c r="C349" s="26"/>
      <c r="D349" s="26"/>
      <c r="E349" s="545">
        <v>15</v>
      </c>
      <c r="F349" s="3" t="str" cm="1">
        <f t="array" aca="1" ref="F349" ca="1">OFFSET(E349,-1,1)</f>
        <v>2</v>
      </c>
      <c r="G349" s="26" t="s">
        <v>1178</v>
      </c>
      <c r="H349" s="776"/>
      <c r="I349" s="776" t="s">
        <v>1954</v>
      </c>
      <c r="J349" s="26"/>
      <c r="K349" s="294" t="s">
        <v>1954</v>
      </c>
      <c r="L349" s="889"/>
      <c r="M349" s="26"/>
      <c r="N349" s="26"/>
      <c r="O349" s="26"/>
      <c r="P349" s="26"/>
      <c r="Q349" s="26"/>
      <c r="R349" s="26"/>
      <c r="S349" s="26"/>
      <c r="T349" s="388" t="b" cm="1">
        <f t="array" ref="T349">T348</f>
        <v>1</v>
      </c>
      <c r="U349" s="26"/>
      <c r="V349" s="26"/>
      <c r="W349" s="26"/>
      <c r="X349" s="2066"/>
      <c r="Y349" s="1184"/>
      <c r="Z349" s="2012"/>
      <c r="AA349" s="1184"/>
      <c r="AB349" s="218" t="s">
        <v>1955</v>
      </c>
      <c r="AC349" s="688" t="s">
        <v>1181</v>
      </c>
      <c r="AD349" s="218" t="s">
        <v>831</v>
      </c>
      <c r="AE349" s="1022">
        <f ca="1">SUMIFS(Административные!AE$25:AE$84,Административные!$F$25:$F$84,$F349,Административные!$G$25:$G$84,$G349)</f>
        <v>0</v>
      </c>
      <c r="AF349" s="1022">
        <f ca="1">SUMIFS(Административные!AF$25:AF$84,Административные!$F$25:$F$84,$F349,Административные!$G$25:$G$84,$G349)</f>
        <v>0</v>
      </c>
      <c r="AG349" s="1022">
        <f ca="1">SUMIFS(Административные!AG$25:AG$84,Административные!$F$25:$F$84,$F349,Административные!$G$25:$G$84,$G349)</f>
        <v>0</v>
      </c>
      <c r="AH349" s="1022">
        <f t="shared" ca="1" si="90"/>
        <v>0</v>
      </c>
      <c r="AI349" s="1022">
        <f ca="1">SUMIFS(Административные!AH$25:AH$84,Административные!$F$25:$F$84,$F349,Административные!$G$25:$G$84,$G349)</f>
        <v>0</v>
      </c>
      <c r="AJ349" s="1022">
        <f ca="1">SUMIFS(Административные!AI$25:AI$84,Административные!$F$25:$F$84,$F349,Административные!$G$25:$G$84,$G349)</f>
        <v>0</v>
      </c>
      <c r="AK349" s="1023"/>
      <c r="AL349" s="1023"/>
      <c r="AM349" s="1023"/>
      <c r="AN349" s="1023"/>
      <c r="AO349" s="1023"/>
      <c r="AP349" s="1023"/>
      <c r="AQ349" s="1023"/>
      <c r="AR349" s="1023"/>
      <c r="AS349" s="1023"/>
      <c r="AT349" s="1022">
        <f ca="1">SUMIFS(Административные!AJ$25:AJ$84,Административные!$F$25:$F$84,$F349,Административные!$G$25:$G$84,$G349)</f>
        <v>0</v>
      </c>
      <c r="AU349" s="1023"/>
      <c r="AV349" s="1023"/>
      <c r="AW349" s="1023"/>
      <c r="AX349" s="1023"/>
      <c r="AY349" s="1023"/>
      <c r="AZ349" s="1023"/>
      <c r="BA349" s="1023"/>
      <c r="BB349" s="1023"/>
      <c r="BC349" s="1023"/>
      <c r="BD349" s="1022">
        <f t="shared" ca="1" si="91"/>
        <v>0</v>
      </c>
      <c r="BE349" s="1023"/>
      <c r="BF349" s="1023"/>
      <c r="BG349" s="1023"/>
      <c r="BH349" s="1023"/>
      <c r="BI349" s="1023"/>
      <c r="BJ349" s="1023"/>
      <c r="BK349" s="1023"/>
      <c r="BL349" s="1023"/>
      <c r="BM349" s="1023"/>
      <c r="BN349" s="1523"/>
      <c r="BO349" s="1525" t="str">
        <f ca="1">IF(IFERROR(INDEX(Административные!$K$26:$L$84,MATCH($F349&amp;"16komm",Административные!$K$26:$K$84,0),2),"")=0,"",IFERROR(INDEX(Административные!$K$26:$L$84,MATCH($F349&amp;"16komm",Административные!$K$26:$K$84,0),2),""))</f>
        <v/>
      </c>
      <c r="BP349" s="1523"/>
      <c r="BQ349" s="1184"/>
      <c r="BR349" s="1184"/>
      <c r="BS349" s="973" t="s">
        <v>1956</v>
      </c>
      <c r="BT349" s="973"/>
      <c r="BU349" s="973"/>
      <c r="BV349" s="888"/>
      <c r="BW349" s="888"/>
    </row>
    <row r="350" spans="1:75" s="1334" customFormat="1" ht="159.75" customHeight="1" x14ac:dyDescent="0.25">
      <c r="A350" s="1184"/>
      <c r="B350" s="887"/>
      <c r="C350" s="26"/>
      <c r="D350" s="26"/>
      <c r="E350" s="545">
        <v>22.5</v>
      </c>
      <c r="F350" s="3" t="str" cm="1">
        <f t="array" aca="1" ref="F350" ca="1">OFFSET(E350,-1,1)</f>
        <v>2</v>
      </c>
      <c r="G350" s="26"/>
      <c r="H350" s="776"/>
      <c r="I350" s="776" t="s">
        <v>1329</v>
      </c>
      <c r="J350" s="26"/>
      <c r="K350" s="294" t="s">
        <v>1329</v>
      </c>
      <c r="L350" s="889" t="s">
        <v>942</v>
      </c>
      <c r="M350" s="26"/>
      <c r="N350" s="26"/>
      <c r="O350" s="26"/>
      <c r="P350" s="26"/>
      <c r="Q350" s="26"/>
      <c r="R350" s="26"/>
      <c r="S350" s="26"/>
      <c r="T350" s="388" t="b" cm="1">
        <f t="array" ref="T350">T349</f>
        <v>1</v>
      </c>
      <c r="U350" s="26"/>
      <c r="V350" s="26"/>
      <c r="W350" s="26"/>
      <c r="X350" s="2066"/>
      <c r="Y350" s="1184"/>
      <c r="Z350" s="2012"/>
      <c r="AA350" s="1184"/>
      <c r="AB350" s="218" t="s">
        <v>1036</v>
      </c>
      <c r="AC350" s="685" t="s">
        <v>1957</v>
      </c>
      <c r="AD350" s="218" t="s">
        <v>831</v>
      </c>
      <c r="AE350" s="1024">
        <f ca="1">AE351+AE352</f>
        <v>10308.3601568909</v>
      </c>
      <c r="AF350" s="1024">
        <f ca="1">AF351+AF352</f>
        <v>0</v>
      </c>
      <c r="AG350" s="1024">
        <f ca="1">AG351+AG352</f>
        <v>0</v>
      </c>
      <c r="AH350" s="1022">
        <f t="shared" ca="1" si="90"/>
        <v>0</v>
      </c>
      <c r="AI350" s="1024">
        <f ca="1">AI351+AI352</f>
        <v>0</v>
      </c>
      <c r="AJ350" s="1024">
        <f ca="1">AJ351+AJ352</f>
        <v>0</v>
      </c>
      <c r="AK350" s="1023"/>
      <c r="AL350" s="1023"/>
      <c r="AM350" s="1023"/>
      <c r="AN350" s="1023"/>
      <c r="AO350" s="1023"/>
      <c r="AP350" s="1023"/>
      <c r="AQ350" s="1023"/>
      <c r="AR350" s="1023"/>
      <c r="AS350" s="1023"/>
      <c r="AT350" s="1024">
        <f ca="1">AT351+AT352</f>
        <v>0</v>
      </c>
      <c r="AU350" s="1023"/>
      <c r="AV350" s="1023"/>
      <c r="AW350" s="1023"/>
      <c r="AX350" s="1023"/>
      <c r="AY350" s="1023"/>
      <c r="AZ350" s="1023"/>
      <c r="BA350" s="1023"/>
      <c r="BB350" s="1023"/>
      <c r="BC350" s="1023"/>
      <c r="BD350" s="1022">
        <f t="shared" ca="1" si="91"/>
        <v>0</v>
      </c>
      <c r="BE350" s="1023"/>
      <c r="BF350" s="1023"/>
      <c r="BG350" s="1023"/>
      <c r="BH350" s="1023"/>
      <c r="BI350" s="1023"/>
      <c r="BJ350" s="1023"/>
      <c r="BK350" s="1023"/>
      <c r="BL350" s="1023"/>
      <c r="BM350" s="1023"/>
      <c r="BN350" s="1523" t="s">
        <v>2170</v>
      </c>
      <c r="BO350" s="1523"/>
      <c r="BP350" s="1523" t="s">
        <v>2171</v>
      </c>
      <c r="BQ350" s="1184"/>
      <c r="BR350" s="1184"/>
      <c r="BS350" s="971" t="s">
        <v>1764</v>
      </c>
      <c r="BT350" s="973"/>
      <c r="BU350" s="973"/>
      <c r="BV350" s="888"/>
      <c r="BW350" s="888"/>
    </row>
    <row r="351" spans="1:75" s="1334" customFormat="1" ht="159.75" customHeight="1" x14ac:dyDescent="0.25">
      <c r="A351" s="1184"/>
      <c r="B351" s="887"/>
      <c r="C351" s="26"/>
      <c r="D351" s="26"/>
      <c r="E351" s="545">
        <v>15</v>
      </c>
      <c r="F351" s="3" t="str" cm="1">
        <f t="array" aca="1" ref="F351" ca="1">OFFSET(E351,-1,1)</f>
        <v>2</v>
      </c>
      <c r="G351" s="26" t="s">
        <v>1127</v>
      </c>
      <c r="H351" s="776"/>
      <c r="I351" s="776" t="s">
        <v>1958</v>
      </c>
      <c r="J351" s="26"/>
      <c r="K351" s="294" t="s">
        <v>1958</v>
      </c>
      <c r="L351" s="889" t="s">
        <v>530</v>
      </c>
      <c r="M351" s="26"/>
      <c r="N351" s="26"/>
      <c r="O351" s="26"/>
      <c r="P351" s="26"/>
      <c r="Q351" s="26"/>
      <c r="R351" s="26"/>
      <c r="S351" s="26"/>
      <c r="T351" s="388" t="b" cm="1">
        <f t="array" ref="T351">T350</f>
        <v>1</v>
      </c>
      <c r="U351" s="26"/>
      <c r="V351" s="26"/>
      <c r="W351" s="26"/>
      <c r="X351" s="2066"/>
      <c r="Y351" s="1184"/>
      <c r="Z351" s="2012"/>
      <c r="AA351" s="1184"/>
      <c r="AB351" s="218" t="s">
        <v>1959</v>
      </c>
      <c r="AC351" s="688" t="s">
        <v>1765</v>
      </c>
      <c r="AD351" s="691" t="s">
        <v>831</v>
      </c>
      <c r="AE351" s="1022">
        <f ca="1">SUMIFS(ФОТ!AE$25:AE$138,ФОТ!$F$25:$F$138,$F351,ФОТ!$G$25:$G$138,$G351)</f>
        <v>7917.3273094400001</v>
      </c>
      <c r="AF351" s="1022">
        <f ca="1">SUMIFS(ФОТ!AF$25:AF$138,ФОТ!$F$25:$F$138,$F351,ФОТ!$G$25:$G$138,$G351)</f>
        <v>0</v>
      </c>
      <c r="AG351" s="1022">
        <f ca="1">SUMIFS(ФОТ!AG$25:AG$138,ФОТ!$F$25:$F$138,$F351,ФОТ!$G$25:$G$138,$G351)</f>
        <v>0</v>
      </c>
      <c r="AH351" s="1022">
        <f t="shared" ca="1" si="90"/>
        <v>0</v>
      </c>
      <c r="AI351" s="1022">
        <f ca="1">SUMIFS(ФОТ!AH$25:AH$138,ФОТ!$F$25:$F$138,$F351,ФОТ!$G$25:$G$138,$G351)</f>
        <v>0</v>
      </c>
      <c r="AJ351" s="1022">
        <f ca="1">SUMIFS(ФОТ!AI$25:AI$138,ФОТ!$F$25:$F$138,$F351,ФОТ!$G$25:$G$138,$G351)</f>
        <v>0</v>
      </c>
      <c r="AK351" s="1023"/>
      <c r="AL351" s="1023"/>
      <c r="AM351" s="1023"/>
      <c r="AN351" s="1023"/>
      <c r="AO351" s="1023"/>
      <c r="AP351" s="1023"/>
      <c r="AQ351" s="1023"/>
      <c r="AR351" s="1023"/>
      <c r="AS351" s="1023"/>
      <c r="AT351" s="1022">
        <f ca="1">SUMIFS(ФОТ!AJ$25:AJ$138,ФОТ!$F$25:$F$138,$F351,ФОТ!$G$25:$G$138,$G351)</f>
        <v>0</v>
      </c>
      <c r="AU351" s="1023"/>
      <c r="AV351" s="1023"/>
      <c r="AW351" s="1023"/>
      <c r="AX351" s="1023"/>
      <c r="AY351" s="1023"/>
      <c r="AZ351" s="1023"/>
      <c r="BA351" s="1023"/>
      <c r="BB351" s="1023"/>
      <c r="BC351" s="1023"/>
      <c r="BD351" s="1022">
        <f t="shared" ca="1" si="91"/>
        <v>0</v>
      </c>
      <c r="BE351" s="1023"/>
      <c r="BF351" s="1023"/>
      <c r="BG351" s="1023"/>
      <c r="BH351" s="1023"/>
      <c r="BI351" s="1023"/>
      <c r="BJ351" s="1023"/>
      <c r="BK351" s="1023"/>
      <c r="BL351" s="1023"/>
      <c r="BM351" s="1023"/>
      <c r="BN351" s="1523" t="s">
        <v>2170</v>
      </c>
      <c r="BO351" s="1525" t="str">
        <f ca="1">IF(IFERROR(INDEX(ФОТ!$K$26:$L$138,MATCH($F351&amp;"5komm",ФОТ!$K$26:$K$138,0),2),"")=0,"",IFERROR(INDEX(ФОТ!$K$26:$L$138,MATCH($F351&amp;"5komm",ФОТ!$K$26:$K$138,0),2),""))</f>
        <v/>
      </c>
      <c r="BP351" s="1523" t="s">
        <v>2171</v>
      </c>
      <c r="BQ351" s="1184"/>
      <c r="BR351" s="1184"/>
      <c r="BS351" s="971" t="s">
        <v>1154</v>
      </c>
      <c r="BT351" s="973"/>
      <c r="BU351" s="973"/>
      <c r="BV351" s="888"/>
      <c r="BW351" s="888"/>
    </row>
    <row r="352" spans="1:75" s="1334" customFormat="1" ht="159.75" customHeight="1" x14ac:dyDescent="0.25">
      <c r="A352" s="1184"/>
      <c r="B352" s="887"/>
      <c r="C352" s="26"/>
      <c r="D352" s="26"/>
      <c r="E352" s="545">
        <v>22.5</v>
      </c>
      <c r="F352" s="3" t="str" cm="1">
        <f t="array" aca="1" ref="F352" ca="1">OFFSET(E352,-1,1)</f>
        <v>2</v>
      </c>
      <c r="G352" s="26" t="s">
        <v>1132</v>
      </c>
      <c r="H352" s="776"/>
      <c r="I352" s="776" t="s">
        <v>1960</v>
      </c>
      <c r="J352" s="26"/>
      <c r="K352" s="294" t="s">
        <v>1960</v>
      </c>
      <c r="L352" s="889" t="s">
        <v>535</v>
      </c>
      <c r="M352" s="26"/>
      <c r="N352" s="26"/>
      <c r="O352" s="26"/>
      <c r="P352" s="26"/>
      <c r="Q352" s="26"/>
      <c r="R352" s="26"/>
      <c r="S352" s="26"/>
      <c r="T352" s="388" t="b" cm="1">
        <f t="array" ref="T352">T351</f>
        <v>1</v>
      </c>
      <c r="U352" s="26"/>
      <c r="V352" s="26"/>
      <c r="W352" s="26"/>
      <c r="X352" s="2066"/>
      <c r="Y352" s="1184"/>
      <c r="Z352" s="2012"/>
      <c r="AA352" s="1184"/>
      <c r="AB352" s="218" t="s">
        <v>1961</v>
      </c>
      <c r="AC352" s="688" t="s">
        <v>1962</v>
      </c>
      <c r="AD352" s="218" t="s">
        <v>831</v>
      </c>
      <c r="AE352" s="1022">
        <f ca="1">SUMIFS(ФОТ!AE$25:AE$138,ФОТ!$F$25:$F$138,$F352,ФОТ!$G$25:$G$138,$G352)</f>
        <v>2391.0328474509001</v>
      </c>
      <c r="AF352" s="1022">
        <f ca="1">SUMIFS(ФОТ!AF$25:AF$138,ФОТ!$F$25:$F$138,$F352,ФОТ!$G$25:$G$138,$G352)</f>
        <v>0</v>
      </c>
      <c r="AG352" s="1022">
        <f ca="1">SUMIFS(ФОТ!AG$25:AG$138,ФОТ!$F$25:$F$138,$F352,ФОТ!$G$25:$G$138,$G352)</f>
        <v>0</v>
      </c>
      <c r="AH352" s="1022">
        <f t="shared" ca="1" si="90"/>
        <v>0</v>
      </c>
      <c r="AI352" s="1022">
        <f ca="1">SUMIFS(ФОТ!AH$25:AH$138,ФОТ!$F$25:$F$138,$F352,ФОТ!$G$25:$G$138,$G352)</f>
        <v>0</v>
      </c>
      <c r="AJ352" s="1022">
        <f ca="1">SUMIFS(ФОТ!AI$25:AI$138,ФОТ!$F$25:$F$138,$F352,ФОТ!$G$25:$G$138,$G352)</f>
        <v>0</v>
      </c>
      <c r="AK352" s="1023"/>
      <c r="AL352" s="1023"/>
      <c r="AM352" s="1023"/>
      <c r="AN352" s="1023"/>
      <c r="AO352" s="1023"/>
      <c r="AP352" s="1023"/>
      <c r="AQ352" s="1023"/>
      <c r="AR352" s="1023"/>
      <c r="AS352" s="1023"/>
      <c r="AT352" s="1022">
        <f ca="1">SUMIFS(ФОТ!AJ$25:AJ$138,ФОТ!$F$25:$F$138,$F352,ФОТ!$G$25:$G$138,$G352)</f>
        <v>0</v>
      </c>
      <c r="AU352" s="1023"/>
      <c r="AV352" s="1023"/>
      <c r="AW352" s="1023"/>
      <c r="AX352" s="1023"/>
      <c r="AY352" s="1023"/>
      <c r="AZ352" s="1023"/>
      <c r="BA352" s="1023"/>
      <c r="BB352" s="1023"/>
      <c r="BC352" s="1023"/>
      <c r="BD352" s="1022">
        <f t="shared" ca="1" si="91"/>
        <v>0</v>
      </c>
      <c r="BE352" s="1023"/>
      <c r="BF352" s="1023"/>
      <c r="BG352" s="1023"/>
      <c r="BH352" s="1023"/>
      <c r="BI352" s="1023"/>
      <c r="BJ352" s="1023"/>
      <c r="BK352" s="1023"/>
      <c r="BL352" s="1023"/>
      <c r="BM352" s="1023"/>
      <c r="BN352" s="1523" t="s">
        <v>2170</v>
      </c>
      <c r="BO352" s="1525" t="str">
        <f ca="1">IF(IFERROR(INDEX(ФОТ!$K$26:$L$138,MATCH($F352&amp;"6komm",ФОТ!$K$26:$K$138,0),2),"")=0,"",IFERROR(INDEX(ФОТ!$K$26:$L$138,MATCH($F352&amp;"6komm",ФОТ!$K$26:$K$138,0),2),""))</f>
        <v>учтено в соответствии с действующим законодательством 30,42%, представлены уведомление о страховых взносах, уведомление КРОФСС о размере страховых взносов, отчет по форме 4-ФСС</v>
      </c>
      <c r="BP352" s="1523" t="s">
        <v>2171</v>
      </c>
      <c r="BQ352" s="1184"/>
      <c r="BR352" s="1184"/>
      <c r="BS352" s="971" t="s">
        <v>1767</v>
      </c>
      <c r="BT352" s="973"/>
      <c r="BU352" s="973"/>
      <c r="BV352" s="888"/>
      <c r="BW352" s="888"/>
    </row>
    <row r="353" spans="1:75" s="1334" customFormat="1" ht="32.25" customHeight="1" x14ac:dyDescent="0.25">
      <c r="A353" s="1184"/>
      <c r="B353" s="887"/>
      <c r="C353" s="26"/>
      <c r="D353" s="26"/>
      <c r="E353" s="545">
        <v>33.75</v>
      </c>
      <c r="F353" s="3" t="str" cm="1">
        <f t="array" aca="1" ref="F353" ca="1">OFFSET(E353,-1,1)</f>
        <v>2</v>
      </c>
      <c r="G353" s="767" t="s">
        <v>1183</v>
      </c>
      <c r="H353" s="776"/>
      <c r="I353" s="776" t="s">
        <v>1332</v>
      </c>
      <c r="J353" s="26"/>
      <c r="K353" s="294" t="s">
        <v>1332</v>
      </c>
      <c r="L353" s="889" t="s">
        <v>944</v>
      </c>
      <c r="M353" s="26"/>
      <c r="N353" s="26"/>
      <c r="O353" s="26"/>
      <c r="P353" s="26"/>
      <c r="Q353" s="26"/>
      <c r="R353" s="26"/>
      <c r="S353" s="26"/>
      <c r="T353" s="388" t="b" cm="1">
        <f t="array" ref="T353">T352</f>
        <v>1</v>
      </c>
      <c r="U353" s="26"/>
      <c r="V353" s="26"/>
      <c r="W353" s="26"/>
      <c r="X353" s="2066"/>
      <c r="Y353" s="1184"/>
      <c r="Z353" s="2012"/>
      <c r="AA353" s="1184"/>
      <c r="AB353" s="218" t="s">
        <v>1333</v>
      </c>
      <c r="AC353" s="685" t="s">
        <v>1963</v>
      </c>
      <c r="AD353" s="218" t="s">
        <v>831</v>
      </c>
      <c r="AE353" s="1022">
        <f ca="1">SUMIFS(Административные!AE$25:AE$84,Административные!$F$25:$F$84,$F353,Административные!$G$25:$G$84,$G353)</f>
        <v>0</v>
      </c>
      <c r="AF353" s="1022">
        <f ca="1">SUMIFS(Административные!AF$25:AF$84,Административные!$F$25:$F$84,$F353,Административные!$G$25:$G$84,$G353)</f>
        <v>0</v>
      </c>
      <c r="AG353" s="1022">
        <f ca="1">SUMIFS(Административные!AG$25:AG$84,Административные!$F$25:$F$84,$F353,Административные!$G$25:$G$84,$G353)</f>
        <v>0</v>
      </c>
      <c r="AH353" s="1022">
        <f t="shared" ca="1" si="90"/>
        <v>0</v>
      </c>
      <c r="AI353" s="1022">
        <f ca="1">SUMIFS(Административные!AH$25:AH$84,Административные!$F$25:$F$84,$F353,Административные!$G$25:$G$84,$G353)</f>
        <v>0</v>
      </c>
      <c r="AJ353" s="1022">
        <f ca="1">SUMIFS(Административные!AI$25:AI$84,Административные!$F$25:$F$84,$F353,Административные!$G$25:$G$84,$G353)</f>
        <v>0</v>
      </c>
      <c r="AK353" s="1023"/>
      <c r="AL353" s="1023"/>
      <c r="AM353" s="1023"/>
      <c r="AN353" s="1023"/>
      <c r="AO353" s="1023"/>
      <c r="AP353" s="1023"/>
      <c r="AQ353" s="1023"/>
      <c r="AR353" s="1023"/>
      <c r="AS353" s="1023"/>
      <c r="AT353" s="1022">
        <f ca="1">SUMIFS(Административные!AJ$25:AJ$84,Административные!$F$25:$F$84,$F353,Административные!$G$25:$G$84,$G353)</f>
        <v>0</v>
      </c>
      <c r="AU353" s="1023"/>
      <c r="AV353" s="1023"/>
      <c r="AW353" s="1023"/>
      <c r="AX353" s="1023"/>
      <c r="AY353" s="1023"/>
      <c r="AZ353" s="1023"/>
      <c r="BA353" s="1023"/>
      <c r="BB353" s="1023"/>
      <c r="BC353" s="1023"/>
      <c r="BD353" s="1022">
        <f t="shared" ca="1" si="91"/>
        <v>0</v>
      </c>
      <c r="BE353" s="1023"/>
      <c r="BF353" s="1023"/>
      <c r="BG353" s="1023"/>
      <c r="BH353" s="1023"/>
      <c r="BI353" s="1023"/>
      <c r="BJ353" s="1023"/>
      <c r="BK353" s="1023"/>
      <c r="BL353" s="1023"/>
      <c r="BM353" s="1023"/>
      <c r="BN353" s="1523"/>
      <c r="BO353" s="1525" t="str">
        <f ca="1">IF(IFERROR(INDEX(Административные!$K$26:$L$84,MATCH($F353&amp;"2komm",Административные!$K$26:$K$84,0),2),"")=0,"",IFERROR(INDEX(Административные!$K$26:$L$84,MATCH($F353&amp;"2komm",Административные!$K$26:$K$84,0),2),""))</f>
        <v/>
      </c>
      <c r="BP353" s="1523"/>
      <c r="BQ353" s="1184"/>
      <c r="BR353" s="1184"/>
      <c r="BS353" s="971" t="s">
        <v>1185</v>
      </c>
      <c r="BT353" s="973"/>
      <c r="BU353" s="973"/>
      <c r="BV353" s="888"/>
      <c r="BW353" s="888"/>
    </row>
    <row r="354" spans="1:75" s="1334" customFormat="1" ht="14.25" customHeight="1" x14ac:dyDescent="0.25">
      <c r="A354" s="1184"/>
      <c r="B354" s="887"/>
      <c r="C354" s="26"/>
      <c r="D354" s="26"/>
      <c r="E354" s="545">
        <v>15</v>
      </c>
      <c r="F354" s="3" t="str" cm="1">
        <f t="array" aca="1" ref="F354" ca="1">OFFSET(E354,-1,1)</f>
        <v>2</v>
      </c>
      <c r="G354" s="767" t="s">
        <v>1186</v>
      </c>
      <c r="H354" s="776"/>
      <c r="I354" s="776" t="s">
        <v>1336</v>
      </c>
      <c r="J354" s="26"/>
      <c r="K354" s="294" t="s">
        <v>1336</v>
      </c>
      <c r="L354" s="889" t="s">
        <v>946</v>
      </c>
      <c r="M354" s="26"/>
      <c r="N354" s="26"/>
      <c r="O354" s="26"/>
      <c r="P354" s="26"/>
      <c r="Q354" s="26"/>
      <c r="R354" s="26"/>
      <c r="S354" s="26"/>
      <c r="T354" s="388" t="b" cm="1">
        <f t="array" ref="T354">T353</f>
        <v>1</v>
      </c>
      <c r="U354" s="26"/>
      <c r="V354" s="26"/>
      <c r="W354" s="26"/>
      <c r="X354" s="2066"/>
      <c r="Y354" s="1184"/>
      <c r="Z354" s="2012"/>
      <c r="AA354" s="1184"/>
      <c r="AB354" s="218" t="s">
        <v>1337</v>
      </c>
      <c r="AC354" s="685" t="s">
        <v>1964</v>
      </c>
      <c r="AD354" s="218" t="s">
        <v>831</v>
      </c>
      <c r="AE354" s="1022">
        <f ca="1">SUMIFS(Административные!AE$25:AE$84,Административные!$F$25:$F$84,$F354,Административные!$G$25:$G$84,$G354)</f>
        <v>0</v>
      </c>
      <c r="AF354" s="1022">
        <f ca="1">SUMIFS(Административные!AF$25:AF$84,Административные!$F$25:$F$84,$F354,Административные!$G$25:$G$84,$G354)</f>
        <v>0</v>
      </c>
      <c r="AG354" s="1022">
        <f ca="1">SUMIFS(Административные!AG$25:AG$84,Административные!$F$25:$F$84,$F354,Административные!$G$25:$G$84,$G354)</f>
        <v>0</v>
      </c>
      <c r="AH354" s="1022">
        <f t="shared" ca="1" si="90"/>
        <v>0</v>
      </c>
      <c r="AI354" s="1022">
        <f ca="1">SUMIFS(Административные!AH$25:AH$84,Административные!$F$25:$F$84,$F354,Административные!$G$25:$G$84,$G354)</f>
        <v>0</v>
      </c>
      <c r="AJ354" s="1022">
        <f ca="1">SUMIFS(Административные!AI$25:AI$84,Административные!$F$25:$F$84,$F354,Административные!$G$25:$G$84,$G354)</f>
        <v>0</v>
      </c>
      <c r="AK354" s="1023"/>
      <c r="AL354" s="1023"/>
      <c r="AM354" s="1023"/>
      <c r="AN354" s="1023"/>
      <c r="AO354" s="1023"/>
      <c r="AP354" s="1023"/>
      <c r="AQ354" s="1023"/>
      <c r="AR354" s="1023"/>
      <c r="AS354" s="1023"/>
      <c r="AT354" s="1022">
        <f ca="1">SUMIFS(Административные!AJ$25:AJ$84,Административные!$F$25:$F$84,$F354,Административные!$G$25:$G$84,$G354)</f>
        <v>0</v>
      </c>
      <c r="AU354" s="1023"/>
      <c r="AV354" s="1023"/>
      <c r="AW354" s="1023"/>
      <c r="AX354" s="1023"/>
      <c r="AY354" s="1023"/>
      <c r="AZ354" s="1023"/>
      <c r="BA354" s="1023"/>
      <c r="BB354" s="1023"/>
      <c r="BC354" s="1023"/>
      <c r="BD354" s="1022">
        <f t="shared" ca="1" si="91"/>
        <v>0</v>
      </c>
      <c r="BE354" s="1023"/>
      <c r="BF354" s="1023"/>
      <c r="BG354" s="1023"/>
      <c r="BH354" s="1023"/>
      <c r="BI354" s="1023"/>
      <c r="BJ354" s="1023"/>
      <c r="BK354" s="1023"/>
      <c r="BL354" s="1023"/>
      <c r="BM354" s="1023"/>
      <c r="BN354" s="1523"/>
      <c r="BO354" s="1525" t="str">
        <f ca="1">IF(IFERROR(INDEX(Административные!$K$26:$L$84,MATCH($F354&amp;"3komm",Административные!$K$26:$K$84,0),2),"")=0,"",IFERROR(INDEX(Административные!$K$26:$L$84,MATCH($F354&amp;"3komm",Административные!$K$26:$K$84,0),2),""))</f>
        <v/>
      </c>
      <c r="BP354" s="1523"/>
      <c r="BQ354" s="1184"/>
      <c r="BR354" s="1184"/>
      <c r="BS354" s="971" t="s">
        <v>1188</v>
      </c>
      <c r="BT354" s="973"/>
      <c r="BU354" s="973"/>
      <c r="BV354" s="888"/>
      <c r="BW354" s="888"/>
    </row>
    <row r="355" spans="1:75" s="1334" customFormat="1" ht="14.25" customHeight="1" x14ac:dyDescent="0.25">
      <c r="A355" s="1184"/>
      <c r="B355" s="887"/>
      <c r="C355" s="26"/>
      <c r="D355" s="26"/>
      <c r="E355" s="545">
        <v>15</v>
      </c>
      <c r="F355" s="3" t="str" cm="1">
        <f t="array" aca="1" ref="F355" ca="1">OFFSET(E355,-1,1)</f>
        <v>2</v>
      </c>
      <c r="G355" s="767" t="s">
        <v>1189</v>
      </c>
      <c r="H355" s="776"/>
      <c r="I355" s="776" t="s">
        <v>1965</v>
      </c>
      <c r="J355" s="26"/>
      <c r="K355" s="294" t="s">
        <v>1965</v>
      </c>
      <c r="L355" s="889" t="s">
        <v>949</v>
      </c>
      <c r="M355" s="26"/>
      <c r="N355" s="26"/>
      <c r="O355" s="26"/>
      <c r="P355" s="26"/>
      <c r="Q355" s="26"/>
      <c r="R355" s="26"/>
      <c r="S355" s="26"/>
      <c r="T355" s="388" t="b" cm="1">
        <f t="array" ref="T355">T354</f>
        <v>1</v>
      </c>
      <c r="U355" s="26"/>
      <c r="V355" s="26"/>
      <c r="W355" s="26"/>
      <c r="X355" s="2066"/>
      <c r="Y355" s="1184"/>
      <c r="Z355" s="2012"/>
      <c r="AA355" s="1184"/>
      <c r="AB355" s="218" t="s">
        <v>1966</v>
      </c>
      <c r="AC355" s="685" t="s">
        <v>1967</v>
      </c>
      <c r="AD355" s="218" t="s">
        <v>831</v>
      </c>
      <c r="AE355" s="1022">
        <f ca="1">SUMIFS(Административные!AE$25:AE$84,Административные!$F$25:$F$84,$F355,Административные!$G$25:$G$84,$G355)</f>
        <v>0</v>
      </c>
      <c r="AF355" s="1022">
        <f ca="1">SUMIFS(Административные!AF$25:AF$84,Административные!$F$25:$F$84,$F355,Административные!$G$25:$G$84,$G355)</f>
        <v>0</v>
      </c>
      <c r="AG355" s="1022">
        <f ca="1">SUMIFS(Административные!AG$25:AG$84,Административные!$F$25:$F$84,$F355,Административные!$G$25:$G$84,$G355)</f>
        <v>0</v>
      </c>
      <c r="AH355" s="1022">
        <f t="shared" ca="1" si="90"/>
        <v>0</v>
      </c>
      <c r="AI355" s="1022">
        <f ca="1">SUMIFS(Административные!AH$25:AH$84,Административные!$F$25:$F$84,$F355,Административные!$G$25:$G$84,$G355)</f>
        <v>0</v>
      </c>
      <c r="AJ355" s="1022">
        <f ca="1">SUMIFS(Административные!AI$25:AI$84,Административные!$F$25:$F$84,$F355,Административные!$G$25:$G$84,$G355)</f>
        <v>0</v>
      </c>
      <c r="AK355" s="1023"/>
      <c r="AL355" s="1023"/>
      <c r="AM355" s="1023"/>
      <c r="AN355" s="1023"/>
      <c r="AO355" s="1023"/>
      <c r="AP355" s="1023"/>
      <c r="AQ355" s="1023"/>
      <c r="AR355" s="1023"/>
      <c r="AS355" s="1023"/>
      <c r="AT355" s="1022">
        <f ca="1">SUMIFS(Административные!AJ$25:AJ$84,Административные!$F$25:$F$84,$F355,Административные!$G$25:$G$84,$G355)</f>
        <v>0</v>
      </c>
      <c r="AU355" s="1023"/>
      <c r="AV355" s="1023"/>
      <c r="AW355" s="1023"/>
      <c r="AX355" s="1023"/>
      <c r="AY355" s="1023"/>
      <c r="AZ355" s="1023"/>
      <c r="BA355" s="1023"/>
      <c r="BB355" s="1023"/>
      <c r="BC355" s="1023"/>
      <c r="BD355" s="1022">
        <f t="shared" ca="1" si="91"/>
        <v>0</v>
      </c>
      <c r="BE355" s="1023"/>
      <c r="BF355" s="1023"/>
      <c r="BG355" s="1023"/>
      <c r="BH355" s="1023"/>
      <c r="BI355" s="1023"/>
      <c r="BJ355" s="1023"/>
      <c r="BK355" s="1023"/>
      <c r="BL355" s="1023"/>
      <c r="BM355" s="1023"/>
      <c r="BN355" s="1523"/>
      <c r="BO355" s="1525" t="str">
        <f ca="1">IF(IFERROR(INDEX(Административные!$K$26:$L$84,MATCH($F355&amp;"4komm",Административные!$K$26:$K$84,0),2),"")=0,"",IFERROR(INDEX(Административные!$K$26:$L$84,MATCH($F355&amp;"4komm",Административные!$K$26:$K$84,0),2),""))</f>
        <v/>
      </c>
      <c r="BP355" s="1523"/>
      <c r="BQ355" s="1184"/>
      <c r="BR355" s="1184"/>
      <c r="BS355" s="971" t="s">
        <v>1191</v>
      </c>
      <c r="BT355" s="973"/>
      <c r="BU355" s="973"/>
      <c r="BV355" s="888"/>
      <c r="BW355" s="888"/>
    </row>
    <row r="356" spans="1:75" s="1334" customFormat="1" ht="14.25" customHeight="1" x14ac:dyDescent="0.25">
      <c r="A356" s="1184"/>
      <c r="B356" s="887"/>
      <c r="C356" s="26"/>
      <c r="D356" s="26"/>
      <c r="E356" s="545">
        <v>15</v>
      </c>
      <c r="F356" s="3" t="str" cm="1">
        <f t="array" aca="1" ref="F356" ca="1">OFFSET(E356,-1,1)</f>
        <v>2</v>
      </c>
      <c r="G356" s="767" t="s">
        <v>1192</v>
      </c>
      <c r="H356" s="776"/>
      <c r="I356" s="776" t="s">
        <v>1968</v>
      </c>
      <c r="J356" s="26"/>
      <c r="K356" s="294" t="s">
        <v>1968</v>
      </c>
      <c r="L356" s="889" t="s">
        <v>1174</v>
      </c>
      <c r="M356" s="26"/>
      <c r="N356" s="26"/>
      <c r="O356" s="26"/>
      <c r="P356" s="26"/>
      <c r="Q356" s="26"/>
      <c r="R356" s="26"/>
      <c r="S356" s="26"/>
      <c r="T356" s="388" t="b" cm="1">
        <f t="array" ref="T356">T355</f>
        <v>1</v>
      </c>
      <c r="U356" s="26"/>
      <c r="V356" s="26"/>
      <c r="W356" s="26"/>
      <c r="X356" s="2066"/>
      <c r="Y356" s="1184"/>
      <c r="Z356" s="2012"/>
      <c r="AA356" s="1184"/>
      <c r="AB356" s="218" t="s">
        <v>1969</v>
      </c>
      <c r="AC356" s="685" t="s">
        <v>1970</v>
      </c>
      <c r="AD356" s="218" t="s">
        <v>831</v>
      </c>
      <c r="AE356" s="1022">
        <f ca="1">SUMIFS(Административные!AE$25:AE$84,Административные!$F$25:$F$84,$F356,Административные!$G$25:$G$84,$G356)</f>
        <v>0</v>
      </c>
      <c r="AF356" s="1022">
        <f ca="1">SUMIFS(Административные!AF$25:AF$84,Административные!$F$25:$F$84,$F356,Административные!$G$25:$G$84,$G356)</f>
        <v>0</v>
      </c>
      <c r="AG356" s="1022">
        <f ca="1">SUMIFS(Административные!AG$25:AG$84,Административные!$F$25:$F$84,$F356,Административные!$G$25:$G$84,$G356)</f>
        <v>0</v>
      </c>
      <c r="AH356" s="1022">
        <f t="shared" ca="1" si="90"/>
        <v>0</v>
      </c>
      <c r="AI356" s="1022">
        <f ca="1">SUMIFS(Административные!AH$25:AH$84,Административные!$F$25:$F$84,$F356,Административные!$G$25:$G$84,$G356)</f>
        <v>0</v>
      </c>
      <c r="AJ356" s="1022">
        <f ca="1">SUMIFS(Административные!AI$25:AI$84,Административные!$F$25:$F$84,$F356,Административные!$G$25:$G$84,$G356)</f>
        <v>0</v>
      </c>
      <c r="AK356" s="1023"/>
      <c r="AL356" s="1023"/>
      <c r="AM356" s="1023"/>
      <c r="AN356" s="1023"/>
      <c r="AO356" s="1023"/>
      <c r="AP356" s="1023"/>
      <c r="AQ356" s="1023"/>
      <c r="AR356" s="1023"/>
      <c r="AS356" s="1023"/>
      <c r="AT356" s="1022">
        <f ca="1">SUMIFS(Административные!AJ$25:AJ$84,Административные!$F$25:$F$84,$F356,Административные!$G$25:$G$84,$G356)</f>
        <v>0</v>
      </c>
      <c r="AU356" s="1023"/>
      <c r="AV356" s="1023"/>
      <c r="AW356" s="1023"/>
      <c r="AX356" s="1023"/>
      <c r="AY356" s="1023"/>
      <c r="AZ356" s="1023"/>
      <c r="BA356" s="1023"/>
      <c r="BB356" s="1023"/>
      <c r="BC356" s="1023"/>
      <c r="BD356" s="1022">
        <f t="shared" ca="1" si="91"/>
        <v>0</v>
      </c>
      <c r="BE356" s="1023"/>
      <c r="BF356" s="1023"/>
      <c r="BG356" s="1023"/>
      <c r="BH356" s="1023"/>
      <c r="BI356" s="1023"/>
      <c r="BJ356" s="1023"/>
      <c r="BK356" s="1023"/>
      <c r="BL356" s="1023"/>
      <c r="BM356" s="1023"/>
      <c r="BN356" s="1523"/>
      <c r="BO356" s="1525" t="str">
        <f ca="1">IF(IFERROR(INDEX(Административные!$K$26:$L$84,MATCH($F356&amp;"5komm",Административные!$K$26:$K$84,0),2),"")=0,"",IFERROR(INDEX(Административные!$K$26:$L$84,MATCH($F356&amp;"5komm",Административные!$K$26:$K$84,0),2),""))</f>
        <v/>
      </c>
      <c r="BP356" s="1523"/>
      <c r="BQ356" s="1184"/>
      <c r="BR356" s="1184"/>
      <c r="BS356" s="971" t="s">
        <v>1769</v>
      </c>
      <c r="BT356" s="973"/>
      <c r="BU356" s="973"/>
      <c r="BV356" s="888"/>
      <c r="BW356" s="888"/>
    </row>
    <row r="357" spans="1:75" s="1334" customFormat="1" ht="409.6" customHeight="1" x14ac:dyDescent="0.25">
      <c r="A357" s="1184"/>
      <c r="B357" s="887"/>
      <c r="C357" s="26"/>
      <c r="D357" s="26"/>
      <c r="E357" s="545">
        <v>15</v>
      </c>
      <c r="F357" s="3" t="str" cm="1">
        <f t="array" aca="1" ref="F357" ca="1">OFFSET(E357,-1,1)</f>
        <v>2</v>
      </c>
      <c r="G357" s="767" t="s">
        <v>1195</v>
      </c>
      <c r="H357" s="776"/>
      <c r="I357" s="776" t="s">
        <v>1971</v>
      </c>
      <c r="J357" s="26"/>
      <c r="K357" s="294" t="s">
        <v>1971</v>
      </c>
      <c r="L357" s="889" t="s">
        <v>1179</v>
      </c>
      <c r="M357" s="26"/>
      <c r="N357" s="26"/>
      <c r="O357" s="26"/>
      <c r="P357" s="26"/>
      <c r="Q357" s="26"/>
      <c r="R357" s="26"/>
      <c r="S357" s="26"/>
      <c r="T357" s="388" t="b" cm="1">
        <f t="array" ref="T357">T356</f>
        <v>1</v>
      </c>
      <c r="U357" s="26"/>
      <c r="V357" s="26"/>
      <c r="W357" s="26"/>
      <c r="X357" s="2066"/>
      <c r="Y357" s="1184"/>
      <c r="Z357" s="2012"/>
      <c r="AA357" s="1184"/>
      <c r="AB357" s="218" t="s">
        <v>1972</v>
      </c>
      <c r="AC357" s="685" t="s">
        <v>1973</v>
      </c>
      <c r="AD357" s="218" t="s">
        <v>831</v>
      </c>
      <c r="AE357" s="1022">
        <f ca="1">SUMIFS(Административные!AE$25:AE$84,Административные!$F$25:$F$84,$F357,Административные!$G$25:$G$84,$G357)</f>
        <v>803.44114223999998</v>
      </c>
      <c r="AF357" s="1022">
        <f ca="1">SUMIFS(Административные!AF$25:AF$84,Административные!$F$25:$F$84,$F357,Административные!$G$25:$G$84,$G357)</f>
        <v>0</v>
      </c>
      <c r="AG357" s="1022">
        <f ca="1">SUMIFS(Административные!AG$25:AG$84,Административные!$F$25:$F$84,$F357,Административные!$G$25:$G$84,$G357)</f>
        <v>0</v>
      </c>
      <c r="AH357" s="1022">
        <f t="shared" ca="1" si="90"/>
        <v>0</v>
      </c>
      <c r="AI357" s="1022">
        <f ca="1">SUMIFS(Административные!AH$25:AH$84,Административные!$F$25:$F$84,$F357,Административные!$G$25:$G$84,$G357)</f>
        <v>0</v>
      </c>
      <c r="AJ357" s="1022">
        <f ca="1">SUMIFS(Административные!AI$25:AI$84,Административные!$F$25:$F$84,$F357,Административные!$G$25:$G$84,$G357)</f>
        <v>0</v>
      </c>
      <c r="AK357" s="1023"/>
      <c r="AL357" s="1023"/>
      <c r="AM357" s="1023"/>
      <c r="AN357" s="1023"/>
      <c r="AO357" s="1023"/>
      <c r="AP357" s="1023"/>
      <c r="AQ357" s="1023"/>
      <c r="AR357" s="1023"/>
      <c r="AS357" s="1023"/>
      <c r="AT357" s="1022">
        <f ca="1">SUMIFS(Административные!AJ$25:AJ$84,Административные!$F$25:$F$84,$F357,Административные!$G$25:$G$84,$G357)</f>
        <v>0</v>
      </c>
      <c r="AU357" s="1023"/>
      <c r="AV357" s="1023"/>
      <c r="AW357" s="1023"/>
      <c r="AX357" s="1023"/>
      <c r="AY357" s="1023"/>
      <c r="AZ357" s="1023"/>
      <c r="BA357" s="1023"/>
      <c r="BB357" s="1023"/>
      <c r="BC357" s="1023"/>
      <c r="BD357" s="1022">
        <f t="shared" ca="1" si="91"/>
        <v>0</v>
      </c>
      <c r="BE357" s="1023"/>
      <c r="BF357" s="1023"/>
      <c r="BG357" s="1023"/>
      <c r="BH357" s="1023"/>
      <c r="BI357" s="1023"/>
      <c r="BJ357" s="1023"/>
      <c r="BK357" s="1023"/>
      <c r="BL357" s="1023"/>
      <c r="BM357" s="1023"/>
      <c r="BN357" s="1523" t="s">
        <v>2176</v>
      </c>
      <c r="BO357" s="1525" t="str">
        <f ca="1">IF(IFERROR(INDEX(Административные!$K$26:$L$84,MATCH($F357&amp;"6komm",Административные!$K$26:$K$84,0),2),"")=0,"",IFERROR(INDEX(Административные!$K$26:$L$84,MATCH($F357&amp;"6komm",Административные!$K$26:$K$84,0),2),""))</f>
        <v/>
      </c>
      <c r="BP357" s="1523" t="s">
        <v>2177</v>
      </c>
      <c r="BQ357" s="1184"/>
      <c r="BR357" s="1184"/>
      <c r="BS357" s="971" t="s">
        <v>1771</v>
      </c>
      <c r="BT357" s="973"/>
      <c r="BU357" s="973"/>
      <c r="BV357" s="888"/>
      <c r="BW357" s="888"/>
    </row>
    <row r="358" spans="1:75" s="1334" customFormat="1" ht="14.25" customHeight="1" x14ac:dyDescent="0.25">
      <c r="A358" s="1184"/>
      <c r="B358" s="887"/>
      <c r="C358" s="26"/>
      <c r="D358" s="26"/>
      <c r="E358" s="545">
        <v>15</v>
      </c>
      <c r="F358" s="3" t="str" cm="1">
        <f t="array" aca="1" ref="F358" ca="1">OFFSET(E358,-1,1)</f>
        <v>2</v>
      </c>
      <c r="G358" s="767" t="s">
        <v>1197</v>
      </c>
      <c r="H358" s="776"/>
      <c r="I358" s="776" t="s">
        <v>1974</v>
      </c>
      <c r="J358" s="26"/>
      <c r="K358" s="294" t="s">
        <v>1974</v>
      </c>
      <c r="L358" s="889" t="s">
        <v>1772</v>
      </c>
      <c r="M358" s="26"/>
      <c r="N358" s="26"/>
      <c r="O358" s="26"/>
      <c r="P358" s="26"/>
      <c r="Q358" s="26"/>
      <c r="R358" s="26"/>
      <c r="S358" s="26"/>
      <c r="T358" s="388" t="b" cm="1">
        <f t="array" ref="T358">T357</f>
        <v>1</v>
      </c>
      <c r="U358" s="26"/>
      <c r="V358" s="26"/>
      <c r="W358" s="26"/>
      <c r="X358" s="2066"/>
      <c r="Y358" s="1184"/>
      <c r="Z358" s="2012"/>
      <c r="AA358" s="1184"/>
      <c r="AB358" s="218" t="s">
        <v>1975</v>
      </c>
      <c r="AC358" s="688" t="s">
        <v>1774</v>
      </c>
      <c r="AD358" s="218" t="s">
        <v>831</v>
      </c>
      <c r="AE358" s="1022">
        <f ca="1">SUMIFS(Административные!AE$25:AE$84,Административные!$F$25:$F$84,$F358,Административные!$G$25:$G$84,$G358)</f>
        <v>0</v>
      </c>
      <c r="AF358" s="1022">
        <f ca="1">SUMIFS(Административные!AF$25:AF$84,Административные!$F$25:$F$84,$F358,Административные!$G$25:$G$84,$G358)</f>
        <v>0</v>
      </c>
      <c r="AG358" s="1022">
        <f ca="1">SUMIFS(Административные!AG$25:AG$84,Административные!$F$25:$F$84,$F358,Административные!$G$25:$G$84,$G358)</f>
        <v>0</v>
      </c>
      <c r="AH358" s="1022">
        <f t="shared" ca="1" si="90"/>
        <v>0</v>
      </c>
      <c r="AI358" s="1022">
        <f ca="1">SUMIFS(Административные!AH$25:AH$84,Административные!$F$25:$F$84,$F358,Административные!$G$25:$G$84,$G358)</f>
        <v>0</v>
      </c>
      <c r="AJ358" s="1022">
        <f ca="1">SUMIFS(Административные!AI$25:AI$84,Административные!$F$25:$F$84,$F358,Административные!$G$25:$G$84,$G358)</f>
        <v>0</v>
      </c>
      <c r="AK358" s="1023"/>
      <c r="AL358" s="1023"/>
      <c r="AM358" s="1023"/>
      <c r="AN358" s="1023"/>
      <c r="AO358" s="1023"/>
      <c r="AP358" s="1023"/>
      <c r="AQ358" s="1023"/>
      <c r="AR358" s="1023"/>
      <c r="AS358" s="1023"/>
      <c r="AT358" s="1022">
        <f ca="1">SUMIFS(Административные!AJ$25:AJ$84,Административные!$F$25:$F$84,$F358,Административные!$G$25:$G$84,$G358)</f>
        <v>0</v>
      </c>
      <c r="AU358" s="1023"/>
      <c r="AV358" s="1023"/>
      <c r="AW358" s="1023"/>
      <c r="AX358" s="1023"/>
      <c r="AY358" s="1023"/>
      <c r="AZ358" s="1023"/>
      <c r="BA358" s="1023"/>
      <c r="BB358" s="1023"/>
      <c r="BC358" s="1023"/>
      <c r="BD358" s="1022">
        <f t="shared" ca="1" si="91"/>
        <v>0</v>
      </c>
      <c r="BE358" s="1023"/>
      <c r="BF358" s="1023"/>
      <c r="BG358" s="1023"/>
      <c r="BH358" s="1023"/>
      <c r="BI358" s="1023"/>
      <c r="BJ358" s="1023"/>
      <c r="BK358" s="1023"/>
      <c r="BL358" s="1023"/>
      <c r="BM358" s="1023"/>
      <c r="BN358" s="1523"/>
      <c r="BO358" s="1525" t="str">
        <f ca="1">IF(IFERROR(INDEX(Административные!$K$26:$L$84,MATCH($F358&amp;"7komm",Административные!$K$26:$K$84,0),2),"")=0,"",IFERROR(INDEX(Административные!$K$26:$L$84,MATCH($F358&amp;"7komm",Административные!$K$26:$K$84,0),2),""))</f>
        <v/>
      </c>
      <c r="BP358" s="1523"/>
      <c r="BQ358" s="1184"/>
      <c r="BR358" s="1184"/>
      <c r="BS358" s="971" t="s">
        <v>1775</v>
      </c>
      <c r="BT358" s="973"/>
      <c r="BU358" s="973"/>
      <c r="BV358" s="888"/>
      <c r="BW358" s="888"/>
    </row>
    <row r="359" spans="1:75" s="1334" customFormat="1" ht="14.25" customHeight="1" x14ac:dyDescent="0.25">
      <c r="A359" s="1184"/>
      <c r="B359" s="887"/>
      <c r="C359" s="26"/>
      <c r="D359" s="26"/>
      <c r="E359" s="545">
        <v>15</v>
      </c>
      <c r="F359" s="3" t="str" cm="1">
        <f t="array" aca="1" ref="F359" ca="1">OFFSET(E359,-1,1)</f>
        <v>2</v>
      </c>
      <c r="G359" s="767" t="s">
        <v>1200</v>
      </c>
      <c r="H359" s="776"/>
      <c r="I359" s="776" t="s">
        <v>1976</v>
      </c>
      <c r="J359" s="26"/>
      <c r="K359" s="294" t="s">
        <v>1976</v>
      </c>
      <c r="L359" s="889" t="s">
        <v>1776</v>
      </c>
      <c r="M359" s="26"/>
      <c r="N359" s="26"/>
      <c r="O359" s="26"/>
      <c r="P359" s="26"/>
      <c r="Q359" s="26"/>
      <c r="R359" s="26"/>
      <c r="S359" s="26"/>
      <c r="T359" s="388" t="b" cm="1">
        <f t="array" ref="T359">T358</f>
        <v>1</v>
      </c>
      <c r="U359" s="26"/>
      <c r="V359" s="26"/>
      <c r="W359" s="26"/>
      <c r="X359" s="2066"/>
      <c r="Y359" s="1184"/>
      <c r="Z359" s="2012"/>
      <c r="AA359" s="1184"/>
      <c r="AB359" s="218" t="s">
        <v>1977</v>
      </c>
      <c r="AC359" s="688" t="s">
        <v>1201</v>
      </c>
      <c r="AD359" s="218" t="s">
        <v>831</v>
      </c>
      <c r="AE359" s="1022">
        <f ca="1">SUMIFS(Административные!AE$25:AE$84,Административные!$F$25:$F$84,$F359,Административные!$G$25:$G$84,$G359)</f>
        <v>0</v>
      </c>
      <c r="AF359" s="1022">
        <f ca="1">SUMIFS(Административные!AF$25:AF$84,Административные!$F$25:$F$84,$F359,Административные!$G$25:$G$84,$G359)</f>
        <v>0</v>
      </c>
      <c r="AG359" s="1022">
        <f ca="1">SUMIFS(Административные!AG$25:AG$84,Административные!$F$25:$F$84,$F359,Административные!$G$25:$G$84,$G359)</f>
        <v>0</v>
      </c>
      <c r="AH359" s="1022">
        <f t="shared" ca="1" si="90"/>
        <v>0</v>
      </c>
      <c r="AI359" s="1022">
        <f ca="1">SUMIFS(Административные!AH$25:AH$84,Административные!$F$25:$F$84,$F359,Административные!$G$25:$G$84,$G359)</f>
        <v>0</v>
      </c>
      <c r="AJ359" s="1022">
        <f ca="1">SUMIFS(Административные!AI$25:AI$84,Административные!$F$25:$F$84,$F359,Административные!$G$25:$G$84,$G359)</f>
        <v>0</v>
      </c>
      <c r="AK359" s="1023"/>
      <c r="AL359" s="1023"/>
      <c r="AM359" s="1023"/>
      <c r="AN359" s="1023"/>
      <c r="AO359" s="1023"/>
      <c r="AP359" s="1023"/>
      <c r="AQ359" s="1023"/>
      <c r="AR359" s="1023"/>
      <c r="AS359" s="1023"/>
      <c r="AT359" s="1022">
        <f ca="1">SUMIFS(Административные!AJ$25:AJ$84,Административные!$F$25:$F$84,$F359,Административные!$G$25:$G$84,$G359)</f>
        <v>0</v>
      </c>
      <c r="AU359" s="1023"/>
      <c r="AV359" s="1023"/>
      <c r="AW359" s="1023"/>
      <c r="AX359" s="1023"/>
      <c r="AY359" s="1023"/>
      <c r="AZ359" s="1023"/>
      <c r="BA359" s="1023"/>
      <c r="BB359" s="1023"/>
      <c r="BC359" s="1023"/>
      <c r="BD359" s="1022">
        <f t="shared" ca="1" si="91"/>
        <v>0</v>
      </c>
      <c r="BE359" s="1023"/>
      <c r="BF359" s="1023"/>
      <c r="BG359" s="1023"/>
      <c r="BH359" s="1023"/>
      <c r="BI359" s="1023"/>
      <c r="BJ359" s="1023"/>
      <c r="BK359" s="1023"/>
      <c r="BL359" s="1023"/>
      <c r="BM359" s="1023"/>
      <c r="BN359" s="1523"/>
      <c r="BO359" s="1525" t="str">
        <f ca="1">IF(IFERROR(INDEX(Административные!$K$26:$L$84,MATCH($F359&amp;"8komm",Административные!$K$26:$K$84,0),2),"")=0,"",IFERROR(INDEX(Административные!$K$26:$L$84,MATCH($F359&amp;"8komm",Административные!$K$26:$K$84,0),2),""))</f>
        <v/>
      </c>
      <c r="BP359" s="1523"/>
      <c r="BQ359" s="1184"/>
      <c r="BR359" s="1184"/>
      <c r="BS359" s="971" t="s">
        <v>1778</v>
      </c>
      <c r="BT359" s="973"/>
      <c r="BU359" s="973"/>
      <c r="BV359" s="888"/>
      <c r="BW359" s="888"/>
    </row>
    <row r="360" spans="1:75" s="1334" customFormat="1" ht="14.65" customHeight="1" x14ac:dyDescent="0.25">
      <c r="A360" s="1184"/>
      <c r="B360" s="887"/>
      <c r="C360" s="26"/>
      <c r="D360" s="26"/>
      <c r="E360" s="545">
        <v>15</v>
      </c>
      <c r="F360" s="3" t="str" cm="1">
        <f t="array" aca="1" ref="F360" ca="1">OFFSET(E360,-1,1)</f>
        <v>2</v>
      </c>
      <c r="G360" s="26" t="s">
        <v>1203</v>
      </c>
      <c r="H360" s="776"/>
      <c r="I360" s="776" t="s">
        <v>1978</v>
      </c>
      <c r="J360" s="26"/>
      <c r="K360" s="294" t="s">
        <v>1978</v>
      </c>
      <c r="L360" s="889" t="s">
        <v>1779</v>
      </c>
      <c r="M360" s="26"/>
      <c r="N360" s="26"/>
      <c r="O360" s="26"/>
      <c r="P360" s="26"/>
      <c r="Q360" s="26"/>
      <c r="R360" s="26"/>
      <c r="S360" s="26"/>
      <c r="T360" s="388" t="b" cm="1">
        <f t="array" ref="T360">T359</f>
        <v>1</v>
      </c>
      <c r="U360" s="26"/>
      <c r="V360" s="26"/>
      <c r="W360" s="26"/>
      <c r="X360" s="2066"/>
      <c r="Y360" s="1184"/>
      <c r="Z360" s="2012"/>
      <c r="AA360" s="1184"/>
      <c r="AB360" s="218" t="s">
        <v>1979</v>
      </c>
      <c r="AC360" s="688" t="s">
        <v>1204</v>
      </c>
      <c r="AD360" s="218" t="s">
        <v>831</v>
      </c>
      <c r="AE360" s="1022">
        <f ca="1">SUMIFS(Административные!AE$25:AE$84,Административные!$F$25:$F$84,$F360,Административные!$G$25:$G$84,$G360)</f>
        <v>803.44114223999998</v>
      </c>
      <c r="AF360" s="1022">
        <f ca="1">SUMIFS(Административные!AF$25:AF$84,Административные!$F$25:$F$84,$F360,Административные!$G$25:$G$84,$G360)</f>
        <v>0</v>
      </c>
      <c r="AG360" s="1022">
        <f ca="1">SUMIFS(Административные!AG$25:AG$84,Административные!$F$25:$F$84,$F360,Административные!$G$25:$G$84,$G360)</f>
        <v>0</v>
      </c>
      <c r="AH360" s="1022">
        <f t="shared" ca="1" si="90"/>
        <v>0</v>
      </c>
      <c r="AI360" s="1022">
        <f ca="1">SUMIFS(Административные!AH$25:AH$84,Административные!$F$25:$F$84,$F360,Административные!$G$25:$G$84,$G360)</f>
        <v>0</v>
      </c>
      <c r="AJ360" s="1024">
        <f ca="1">SUMIFS(Административные!AI$25:AI$84,Административные!$F$25:$F$84,$F360,Административные!$G$25:$G$84,$G360)</f>
        <v>0</v>
      </c>
      <c r="AK360" s="1023"/>
      <c r="AL360" s="1023"/>
      <c r="AM360" s="1023"/>
      <c r="AN360" s="1023"/>
      <c r="AO360" s="1023"/>
      <c r="AP360" s="1023"/>
      <c r="AQ360" s="1023"/>
      <c r="AR360" s="1023"/>
      <c r="AS360" s="1023"/>
      <c r="AT360" s="1024">
        <f ca="1">SUMIFS(Административные!AJ$25:AJ$84,Административные!$F$25:$F$84,$F360,Административные!$G$25:$G$84,$G360)</f>
        <v>0</v>
      </c>
      <c r="AU360" s="1023"/>
      <c r="AV360" s="1023"/>
      <c r="AW360" s="1023"/>
      <c r="AX360" s="1023"/>
      <c r="AY360" s="1023"/>
      <c r="AZ360" s="1023"/>
      <c r="BA360" s="1023"/>
      <c r="BB360" s="1023"/>
      <c r="BC360" s="1023"/>
      <c r="BD360" s="1022">
        <f t="shared" ca="1" si="91"/>
        <v>0</v>
      </c>
      <c r="BE360" s="1023"/>
      <c r="BF360" s="1023"/>
      <c r="BG360" s="1023"/>
      <c r="BH360" s="1023"/>
      <c r="BI360" s="1023"/>
      <c r="BJ360" s="1023"/>
      <c r="BK360" s="1023"/>
      <c r="BL360" s="1023"/>
      <c r="BM360" s="1023"/>
      <c r="BN360" s="1523"/>
      <c r="BO360" s="1525" t="str">
        <f ca="1">IF(IFERROR(INDEX(Административные!$K$26:$L$84,MATCH($F360&amp;"9komm",Административные!$K$26:$K$84,0),2),"")=0,"",IFERROR(INDEX(Административные!$K$26:$L$84,MATCH($F360&amp;"9komm",Административные!$K$26:$K$84,0),2),""))</f>
        <v>Подробное описание смотреть в комментарии</v>
      </c>
      <c r="BP360" s="1523" t="s">
        <v>2177</v>
      </c>
      <c r="BQ360" s="1184"/>
      <c r="BR360" s="1184"/>
      <c r="BS360" s="971" t="s">
        <v>1781</v>
      </c>
      <c r="BT360" s="973"/>
      <c r="BU360" s="973"/>
      <c r="BV360" s="888"/>
      <c r="BW360" s="888"/>
    </row>
    <row r="361" spans="1:75" s="1334" customFormat="1" ht="21.75" customHeight="1" x14ac:dyDescent="0.25">
      <c r="A361" s="1184"/>
      <c r="B361" s="354" t="b">
        <f>STATUS_GO="да"</f>
        <v>1</v>
      </c>
      <c r="C361" s="26"/>
      <c r="D361" s="26"/>
      <c r="E361" s="545">
        <v>22.5</v>
      </c>
      <c r="F361" s="3" t="str" cm="1">
        <f t="array" aca="1" ref="F361" ca="1">OFFSET(E361,-1,1)</f>
        <v>2</v>
      </c>
      <c r="G361" s="26"/>
      <c r="H361" s="776"/>
      <c r="I361" s="776" t="s">
        <v>922</v>
      </c>
      <c r="J361" s="26"/>
      <c r="K361" s="294" t="s">
        <v>922</v>
      </c>
      <c r="L361" s="889" t="s">
        <v>335</v>
      </c>
      <c r="M361" s="26"/>
      <c r="N361" s="26"/>
      <c r="O361" s="26"/>
      <c r="P361" s="26"/>
      <c r="Q361" s="26"/>
      <c r="R361" s="26"/>
      <c r="S361" s="26"/>
      <c r="T361" s="388" t="b" cm="1">
        <f t="array" ref="T361">T360</f>
        <v>1</v>
      </c>
      <c r="U361" s="26"/>
      <c r="V361" s="26"/>
      <c r="W361" s="26"/>
      <c r="X361" s="2066"/>
      <c r="Y361" s="1184"/>
      <c r="Z361" s="2012"/>
      <c r="AA361" s="1184"/>
      <c r="AB361" s="218" t="s">
        <v>923</v>
      </c>
      <c r="AC361" s="682" t="s">
        <v>1980</v>
      </c>
      <c r="AD361" s="218" t="s">
        <v>831</v>
      </c>
      <c r="AE361" s="1022">
        <f ca="1">SUMIFS('Сбытовые расходы ГО'!AE$25:AE$65,'Сбытовые расходы ГО'!$F$25:$F$65,$F361,'Сбытовые расходы ГО'!$G$25:$G$65,"L0")-SUMIFS('Сбытовые расходы ГО'!AE$25:AE$65,'Сбытовые расходы ГО'!$F$25:$F$65,$F361,'Сбытовые расходы ГО'!$G$25:$G$65,"L1")</f>
        <v>4753.6013594519009</v>
      </c>
      <c r="AF361" s="1022">
        <f ca="1">SUMIFS('Сбытовые расходы ГО'!AF$25:AF$65,'Сбытовые расходы ГО'!$F$25:$F$65,$F361,'Сбытовые расходы ГО'!$G$25:$G$65,"L0")-SUMIFS('Сбытовые расходы ГО'!AF$25:AF$65,'Сбытовые расходы ГО'!$F$25:$F$65,$F361,'Сбытовые расходы ГО'!$G$25:$G$65,"L1")</f>
        <v>0</v>
      </c>
      <c r="AG361" s="1022">
        <f ca="1">SUMIFS('Сбытовые расходы ГО'!AG$25:AG$65,'Сбытовые расходы ГО'!$F$25:$F$65,$F361,'Сбытовые расходы ГО'!$G$25:$G$65,"L0")-SUMIFS('Сбытовые расходы ГО'!AG$25:AG$65,'Сбытовые расходы ГО'!$F$25:$F$65,$F361,'Сбытовые расходы ГО'!$G$25:$G$65,"L1")</f>
        <v>0</v>
      </c>
      <c r="AH361" s="1022">
        <f t="shared" ca="1" si="90"/>
        <v>0</v>
      </c>
      <c r="AI361" s="1022">
        <f ca="1">SUMIFS('Сбытовые расходы ГО'!AH$25:AH$65,'Сбытовые расходы ГО'!$F$25:$F$65,$F361,'Сбытовые расходы ГО'!$G$25:$G$65,"L0")-SUMIFS('Сбытовые расходы ГО'!AH$25:AH$65,'Сбытовые расходы ГО'!$F$25:$F$65,$F361,'Сбытовые расходы ГО'!$G$25:$G$65,"L1")</f>
        <v>0</v>
      </c>
      <c r="AJ361" s="1022">
        <f ca="1">SUMIFS('Сбытовые расходы ГО'!AI$25:AI$65,'Сбытовые расходы ГО'!$F$25:$F$65,$F361,'Сбытовые расходы ГО'!$G$25:$G$65,"L0")-SUMIFS('Сбытовые расходы ГО'!AI$25:AI$65,'Сбытовые расходы ГО'!$F$25:$F$65,$F361,'Сбытовые расходы ГО'!$G$25:$G$65,"L1")</f>
        <v>0</v>
      </c>
      <c r="AK361" s="1023"/>
      <c r="AL361" s="1023"/>
      <c r="AM361" s="1023"/>
      <c r="AN361" s="1023"/>
      <c r="AO361" s="1023"/>
      <c r="AP361" s="1023"/>
      <c r="AQ361" s="1023"/>
      <c r="AR361" s="1023"/>
      <c r="AS361" s="1023"/>
      <c r="AT361" s="1022">
        <f ca="1">SUMIFS('Сбытовые расходы ГО'!AJ$25:AJ$65,'Сбытовые расходы ГО'!$F$25:$F$65,$F361,'Сбытовые расходы ГО'!$G$25:$G$65,"L0")-SUMIFS('Сбытовые расходы ГО'!AJ$25:AJ$65,'Сбытовые расходы ГО'!$F$25:$F$65,$F361,'Сбытовые расходы ГО'!$G$25:$G$65,"L1")</f>
        <v>0</v>
      </c>
      <c r="AU361" s="1023"/>
      <c r="AV361" s="1023"/>
      <c r="AW361" s="1023"/>
      <c r="AX361" s="1023"/>
      <c r="AY361" s="1023"/>
      <c r="AZ361" s="1023"/>
      <c r="BA361" s="1023"/>
      <c r="BB361" s="1023"/>
      <c r="BC361" s="1023"/>
      <c r="BD361" s="1022">
        <f t="shared" ca="1" si="91"/>
        <v>0</v>
      </c>
      <c r="BE361" s="1023"/>
      <c r="BF361" s="1023"/>
      <c r="BG361" s="1023"/>
      <c r="BH361" s="1023"/>
      <c r="BI361" s="1023"/>
      <c r="BJ361" s="1023"/>
      <c r="BK361" s="1023"/>
      <c r="BL361" s="1023"/>
      <c r="BM361" s="1023"/>
      <c r="BN361" s="1523"/>
      <c r="BO361" s="1523"/>
      <c r="BP361" s="1523"/>
      <c r="BQ361" s="1184"/>
      <c r="BR361" s="1184"/>
      <c r="BS361" s="972" t="s">
        <v>1783</v>
      </c>
      <c r="BT361" s="973"/>
      <c r="BU361" s="973"/>
      <c r="BV361" s="888"/>
      <c r="BW361" s="888"/>
    </row>
    <row r="362" spans="1:75" s="1334" customFormat="1" ht="14.25" customHeight="1" x14ac:dyDescent="0.15">
      <c r="A362" s="1184"/>
      <c r="B362" s="887"/>
      <c r="C362" s="26"/>
      <c r="D362" s="26"/>
      <c r="E362" s="545">
        <v>15</v>
      </c>
      <c r="F362" s="3" t="str" cm="1">
        <f t="array" aca="1" ref="F362" ca="1">OFFSET(E362,-1,1)</f>
        <v>2</v>
      </c>
      <c r="G362" s="26"/>
      <c r="H362" s="776"/>
      <c r="I362" s="776" t="s">
        <v>1721</v>
      </c>
      <c r="J362" s="26"/>
      <c r="K362" s="294" t="s">
        <v>1721</v>
      </c>
      <c r="L362" s="889"/>
      <c r="M362" s="26"/>
      <c r="N362" s="26"/>
      <c r="O362" s="26"/>
      <c r="P362" s="26"/>
      <c r="Q362" s="26"/>
      <c r="R362" s="26"/>
      <c r="S362" s="26"/>
      <c r="T362" s="388" t="b" cm="1">
        <f t="array" ref="T362">T361</f>
        <v>1</v>
      </c>
      <c r="U362" s="26"/>
      <c r="V362" s="26"/>
      <c r="W362" s="26"/>
      <c r="X362" s="2066"/>
      <c r="Y362" s="1184"/>
      <c r="Z362" s="2012"/>
      <c r="AA362" s="1184"/>
      <c r="AB362" s="218" t="s">
        <v>1722</v>
      </c>
      <c r="AC362" s="682" t="s">
        <v>1981</v>
      </c>
      <c r="AD362" s="218" t="s">
        <v>831</v>
      </c>
      <c r="AE362" s="1514"/>
      <c r="AF362" s="1514"/>
      <c r="AG362" s="1514"/>
      <c r="AH362" s="1022">
        <f t="shared" si="90"/>
        <v>0</v>
      </c>
      <c r="AI362" s="1514"/>
      <c r="AJ362" s="1514"/>
      <c r="AK362" s="1023"/>
      <c r="AL362" s="1023"/>
      <c r="AM362" s="1023"/>
      <c r="AN362" s="1023"/>
      <c r="AO362" s="1023"/>
      <c r="AP362" s="1023"/>
      <c r="AQ362" s="1023"/>
      <c r="AR362" s="1023"/>
      <c r="AS362" s="1023"/>
      <c r="AT362" s="1514"/>
      <c r="AU362" s="1023"/>
      <c r="AV362" s="1023"/>
      <c r="AW362" s="1023"/>
      <c r="AX362" s="1023"/>
      <c r="AY362" s="1023"/>
      <c r="AZ362" s="1023"/>
      <c r="BA362" s="1023"/>
      <c r="BB362" s="1023"/>
      <c r="BC362" s="1023"/>
      <c r="BD362" s="1022">
        <f t="shared" si="91"/>
        <v>0</v>
      </c>
      <c r="BE362" s="1023"/>
      <c r="BF362" s="1023"/>
      <c r="BG362" s="1023"/>
      <c r="BH362" s="1023"/>
      <c r="BI362" s="1023"/>
      <c r="BJ362" s="1023"/>
      <c r="BK362" s="1023"/>
      <c r="BL362" s="1023"/>
      <c r="BM362" s="1023"/>
      <c r="BN362" s="1523"/>
      <c r="BO362" s="1523"/>
      <c r="BP362" s="1523"/>
      <c r="BQ362" s="1184"/>
      <c r="BR362" s="1184"/>
      <c r="BS362" s="973" t="s">
        <v>1982</v>
      </c>
      <c r="BT362" s="973"/>
      <c r="BU362" s="973"/>
      <c r="BV362" s="888"/>
      <c r="BW362" s="888"/>
    </row>
    <row r="363" spans="1:75" s="1546" customFormat="1" ht="20.25" customHeight="1" x14ac:dyDescent="0.15">
      <c r="A363" s="623"/>
      <c r="B363" s="357"/>
      <c r="C363" s="28"/>
      <c r="D363" s="28"/>
      <c r="E363" s="745">
        <v>21</v>
      </c>
      <c r="F363" s="3" t="str" cm="1">
        <f t="array" aca="1" ref="F363" ca="1">OFFSET(E363,-1,1)</f>
        <v>2</v>
      </c>
      <c r="G363" s="28"/>
      <c r="H363" s="776"/>
      <c r="I363" s="776" t="s">
        <v>1725</v>
      </c>
      <c r="J363" s="28"/>
      <c r="K363" s="294" t="s">
        <v>1725</v>
      </c>
      <c r="L363" s="894"/>
      <c r="M363" s="28"/>
      <c r="N363" s="28"/>
      <c r="O363" s="28"/>
      <c r="P363" s="28"/>
      <c r="Q363" s="28"/>
      <c r="R363" s="28"/>
      <c r="S363" s="28"/>
      <c r="T363" s="388" t="b">
        <f ca="1">AND(F363&gt;0,method_reg="Метод индексации")</f>
        <v>1</v>
      </c>
      <c r="U363" s="28"/>
      <c r="V363" s="28"/>
      <c r="W363" s="28"/>
      <c r="X363" s="2066"/>
      <c r="Y363" s="623"/>
      <c r="Z363" s="2012"/>
      <c r="AA363" s="623"/>
      <c r="AB363" s="130" t="s">
        <v>1726</v>
      </c>
      <c r="AC363" s="277" t="s">
        <v>1983</v>
      </c>
      <c r="AD363" s="130" t="s">
        <v>831</v>
      </c>
      <c r="AE363" s="132">
        <f>SUM(AE364:AE365)</f>
        <v>0</v>
      </c>
      <c r="AF363" s="132">
        <f>SUM(AF364:AF365)</f>
        <v>0</v>
      </c>
      <c r="AG363" s="132">
        <f>SUM(AG364:AG365)</f>
        <v>0</v>
      </c>
      <c r="AH363" s="698">
        <f t="shared" si="90"/>
        <v>0</v>
      </c>
      <c r="AI363" s="132">
        <f>SUM(AI364:AI365)</f>
        <v>0</v>
      </c>
      <c r="AJ363" s="132">
        <f>SUM(AJ364:AJ365)</f>
        <v>0</v>
      </c>
      <c r="AK363" s="135"/>
      <c r="AL363" s="135"/>
      <c r="AM363" s="135"/>
      <c r="AN363" s="135"/>
      <c r="AO363" s="135"/>
      <c r="AP363" s="135"/>
      <c r="AQ363" s="135"/>
      <c r="AR363" s="135"/>
      <c r="AS363" s="135"/>
      <c r="AT363" s="132">
        <f>SUM(AT364:AT365)</f>
        <v>0</v>
      </c>
      <c r="AU363" s="135"/>
      <c r="AV363" s="135"/>
      <c r="AW363" s="135"/>
      <c r="AX363" s="135"/>
      <c r="AY363" s="135"/>
      <c r="AZ363" s="135"/>
      <c r="BA363" s="135"/>
      <c r="BB363" s="135"/>
      <c r="BC363" s="135"/>
      <c r="BD363" s="698">
        <f t="shared" si="91"/>
        <v>0</v>
      </c>
      <c r="BE363" s="135"/>
      <c r="BF363" s="135"/>
      <c r="BG363" s="135"/>
      <c r="BH363" s="135"/>
      <c r="BI363" s="135"/>
      <c r="BJ363" s="135"/>
      <c r="BK363" s="135"/>
      <c r="BL363" s="135"/>
      <c r="BM363" s="135"/>
      <c r="BN363" s="1524"/>
      <c r="BO363" s="1524"/>
      <c r="BP363" s="1524"/>
      <c r="BQ363" s="623"/>
      <c r="BR363" s="623"/>
      <c r="BS363" s="979" t="s">
        <v>1984</v>
      </c>
      <c r="BT363" s="979"/>
      <c r="BU363" s="979"/>
      <c r="BV363" s="630"/>
      <c r="BW363" s="630"/>
    </row>
    <row r="364" spans="1:75" s="1334" customFormat="1" ht="14.25" hidden="1" customHeight="1" x14ac:dyDescent="0.15">
      <c r="A364" s="1184"/>
      <c r="B364" s="354" t="b">
        <f>method_reg="Метод индексации"</f>
        <v>1</v>
      </c>
      <c r="C364" s="26"/>
      <c r="D364" s="26"/>
      <c r="E364" s="545">
        <v>15</v>
      </c>
      <c r="F364" s="3" t="str" cm="1">
        <f t="array" aca="1" ref="F364" ca="1">OFFSET(E364,-1,1)</f>
        <v>2</v>
      </c>
      <c r="G364" s="26"/>
      <c r="H364" s="26"/>
      <c r="I364" s="776" t="s">
        <v>1725</v>
      </c>
      <c r="J364" s="26" cm="1">
        <f t="array" ref="J364">AC364</f>
        <v>0</v>
      </c>
      <c r="K364" s="294" t="s">
        <v>1725</v>
      </c>
      <c r="L364" s="889"/>
      <c r="M364" s="26"/>
      <c r="N364" s="26"/>
      <c r="O364" s="26"/>
      <c r="P364" s="26"/>
      <c r="Q364" s="26"/>
      <c r="R364" s="26"/>
      <c r="S364" s="26"/>
      <c r="T364" s="388" t="b">
        <f ca="1">AND(F364&gt;0,Y364&gt;0)</f>
        <v>0</v>
      </c>
      <c r="U364" s="26"/>
      <c r="V364" s="26"/>
      <c r="W364" s="26" t="s">
        <v>172</v>
      </c>
      <c r="X364" s="2066"/>
      <c r="Y364" s="77">
        <v>0</v>
      </c>
      <c r="Z364" s="2012"/>
      <c r="AA364" s="342" t="s">
        <v>173</v>
      </c>
      <c r="AB364" s="218" t="str">
        <f>"1.7."&amp;Y364</f>
        <v>1.7.0</v>
      </c>
      <c r="AC364" s="1150"/>
      <c r="AD364" s="218" t="s">
        <v>831</v>
      </c>
      <c r="AE364" s="1148"/>
      <c r="AF364" s="1148"/>
      <c r="AG364" s="1148"/>
      <c r="AH364" s="1022">
        <f t="shared" si="90"/>
        <v>0</v>
      </c>
      <c r="AI364" s="1148"/>
      <c r="AJ364" s="1514"/>
      <c r="AK364" s="1023"/>
      <c r="AL364" s="1023"/>
      <c r="AM364" s="1023"/>
      <c r="AN364" s="1023"/>
      <c r="AO364" s="1023"/>
      <c r="AP364" s="1023"/>
      <c r="AQ364" s="1023"/>
      <c r="AR364" s="1023"/>
      <c r="AS364" s="1023"/>
      <c r="AT364" s="1514"/>
      <c r="AU364" s="1023"/>
      <c r="AV364" s="1023"/>
      <c r="AW364" s="1023"/>
      <c r="AX364" s="1023"/>
      <c r="AY364" s="1023"/>
      <c r="AZ364" s="1023"/>
      <c r="BA364" s="1023"/>
      <c r="BB364" s="1023"/>
      <c r="BC364" s="1023"/>
      <c r="BD364" s="1022">
        <f t="shared" si="91"/>
        <v>0</v>
      </c>
      <c r="BE364" s="1023"/>
      <c r="BF364" s="1023"/>
      <c r="BG364" s="1023"/>
      <c r="BH364" s="1023"/>
      <c r="BI364" s="1023"/>
      <c r="BJ364" s="1023"/>
      <c r="BK364" s="1023"/>
      <c r="BL364" s="1023"/>
      <c r="BM364" s="1023"/>
      <c r="BN364" s="1145"/>
      <c r="BO364" s="1145"/>
      <c r="BP364" s="1145"/>
      <c r="BQ364" s="1184"/>
      <c r="BR364" s="1184"/>
      <c r="BS364" s="973" t="s">
        <v>1984</v>
      </c>
      <c r="BT364" s="973" t="s">
        <v>1985</v>
      </c>
      <c r="BU364" s="973" cm="1">
        <f t="array" ref="BU364">AC364</f>
        <v>0</v>
      </c>
      <c r="BV364" s="888"/>
      <c r="BW364" s="626" t="b">
        <v>1</v>
      </c>
    </row>
    <row r="365" spans="1:75" s="1334" customFormat="1" ht="14.25" customHeight="1" x14ac:dyDescent="0.15">
      <c r="A365" s="1184"/>
      <c r="B365" s="354" t="b" cm="1">
        <f t="array" ref="B365">B364</f>
        <v>1</v>
      </c>
      <c r="C365" s="26"/>
      <c r="D365" s="26"/>
      <c r="E365" s="545">
        <v>15</v>
      </c>
      <c r="F365" s="3" t="str" cm="1">
        <f t="array" aca="1" ref="F365" ca="1">OFFSET(E365,-1,1)</f>
        <v>2</v>
      </c>
      <c r="G365" s="403"/>
      <c r="H365" s="26"/>
      <c r="I365" s="26"/>
      <c r="J365" s="26" t="s">
        <v>1986</v>
      </c>
      <c r="K365" s="1184"/>
      <c r="L365" s="889"/>
      <c r="M365" s="26"/>
      <c r="N365" s="26"/>
      <c r="O365" s="26"/>
      <c r="P365" s="26"/>
      <c r="Q365" s="26"/>
      <c r="R365" s="26"/>
      <c r="S365" s="26"/>
      <c r="T365" s="388" t="b">
        <f ca="1">F365&gt;0</f>
        <v>1</v>
      </c>
      <c r="U365" s="26"/>
      <c r="V365" s="26"/>
      <c r="W365" s="748" t="s">
        <v>396</v>
      </c>
      <c r="X365" s="2066"/>
      <c r="Y365" s="1184"/>
      <c r="Z365" s="2012"/>
      <c r="AA365" s="1184"/>
      <c r="AB365" s="792"/>
      <c r="AC365" s="178" t="s">
        <v>176</v>
      </c>
      <c r="AD365" s="696"/>
      <c r="AE365" s="696"/>
      <c r="AF365" s="696"/>
      <c r="AG365" s="696"/>
      <c r="AH365" s="696"/>
      <c r="AI365" s="696"/>
      <c r="AJ365" s="696"/>
      <c r="AK365" s="696"/>
      <c r="AL365" s="696"/>
      <c r="AM365" s="696"/>
      <c r="AN365" s="696"/>
      <c r="AO365" s="696"/>
      <c r="AP365" s="696"/>
      <c r="AQ365" s="696"/>
      <c r="AR365" s="696"/>
      <c r="AS365" s="696"/>
      <c r="AT365" s="696"/>
      <c r="AU365" s="696"/>
      <c r="AV365" s="696"/>
      <c r="AW365" s="696"/>
      <c r="AX365" s="696"/>
      <c r="AY365" s="696"/>
      <c r="AZ365" s="696"/>
      <c r="BA365" s="696"/>
      <c r="BB365" s="696"/>
      <c r="BC365" s="696"/>
      <c r="BD365" s="696"/>
      <c r="BE365" s="696"/>
      <c r="BF365" s="696"/>
      <c r="BG365" s="696"/>
      <c r="BH365" s="696"/>
      <c r="BI365" s="696"/>
      <c r="BJ365" s="696"/>
      <c r="BK365" s="696"/>
      <c r="BL365" s="696"/>
      <c r="BM365" s="696"/>
      <c r="BN365" s="696"/>
      <c r="BO365" s="696"/>
      <c r="BP365" s="697"/>
      <c r="BQ365" s="1184"/>
      <c r="BR365" s="1184"/>
      <c r="BS365" s="973"/>
      <c r="BT365" s="973"/>
      <c r="BU365" s="973"/>
      <c r="BV365" s="626" t="s">
        <v>1985</v>
      </c>
      <c r="BW365" s="888"/>
    </row>
    <row r="366" spans="1:75" s="1547" customFormat="1" ht="23.25" customHeight="1" x14ac:dyDescent="0.15">
      <c r="A366" s="623"/>
      <c r="B366" s="357"/>
      <c r="C366" s="28"/>
      <c r="D366" s="28"/>
      <c r="E366" s="745">
        <v>21</v>
      </c>
      <c r="F366" s="3" t="str" cm="1">
        <f t="array" aca="1" ref="F366" ca="1">OFFSET(E366,-1,1)</f>
        <v>2</v>
      </c>
      <c r="G366" s="28"/>
      <c r="H366" s="26"/>
      <c r="I366" s="26" t="s">
        <v>332</v>
      </c>
      <c r="J366" s="28"/>
      <c r="K366" s="77" t="s">
        <v>332</v>
      </c>
      <c r="L366" s="894"/>
      <c r="M366" s="28"/>
      <c r="N366" s="28"/>
      <c r="O366" s="28"/>
      <c r="P366" s="28"/>
      <c r="Q366" s="28"/>
      <c r="R366" s="28"/>
      <c r="S366" s="28"/>
      <c r="T366" s="388" t="b">
        <f ca="1">F366&gt;0</f>
        <v>1</v>
      </c>
      <c r="U366" s="28"/>
      <c r="V366" s="28"/>
      <c r="W366" s="28"/>
      <c r="X366" s="2066"/>
      <c r="Y366" s="623"/>
      <c r="Z366" s="2012"/>
      <c r="AA366" s="623"/>
      <c r="AB366" s="153" t="s">
        <v>289</v>
      </c>
      <c r="AC366" s="131" t="s">
        <v>1987</v>
      </c>
      <c r="AD366" s="153" t="s">
        <v>831</v>
      </c>
      <c r="AE366" s="132">
        <f ca="1">AE367+AE379+AE380++AE391+AE392+AE393+AE395+AE396+AE397+AE398+AE401</f>
        <v>2847.101523974</v>
      </c>
      <c r="AF366" s="132">
        <f ca="1">AF367+AF379+AF380++AF391+AF392+AF393+AF395+AF396+AF397+AF398+AF401</f>
        <v>2310.81</v>
      </c>
      <c r="AG366" s="132">
        <f ca="1">AG367+AG379+AG380++AG391+AG392+AG393+AG395+AG396+AG397+AG398+AG401</f>
        <v>2130.2599999999998</v>
      </c>
      <c r="AH366" s="698">
        <f t="shared" ref="AH366:AH411" ca="1" si="92">AG366-AF366</f>
        <v>-180.55000000000018</v>
      </c>
      <c r="AI366" s="132">
        <f t="shared" ref="AI366:BC366" ca="1" si="93">AI367+AI379+AI380++AI391+AI392+AI393+AI395+AI396+AI397+AI398+AI401</f>
        <v>3070.4665707653003</v>
      </c>
      <c r="AJ366" s="132">
        <f t="shared" ca="1" si="93"/>
        <v>5107.2800000000007</v>
      </c>
      <c r="AK366" s="132">
        <f t="shared" ca="1" si="93"/>
        <v>0</v>
      </c>
      <c r="AL366" s="132">
        <f t="shared" ca="1" si="93"/>
        <v>0</v>
      </c>
      <c r="AM366" s="132">
        <f t="shared" ca="1" si="93"/>
        <v>0</v>
      </c>
      <c r="AN366" s="132">
        <f t="shared" ca="1" si="93"/>
        <v>0</v>
      </c>
      <c r="AO366" s="132">
        <f t="shared" ca="1" si="93"/>
        <v>0</v>
      </c>
      <c r="AP366" s="132">
        <f t="shared" ca="1" si="93"/>
        <v>0</v>
      </c>
      <c r="AQ366" s="132">
        <f t="shared" ca="1" si="93"/>
        <v>0</v>
      </c>
      <c r="AR366" s="132">
        <f t="shared" ca="1" si="93"/>
        <v>0</v>
      </c>
      <c r="AS366" s="132">
        <f t="shared" ca="1" si="93"/>
        <v>0</v>
      </c>
      <c r="AT366" s="132">
        <f t="shared" ca="1" si="93"/>
        <v>2447.98</v>
      </c>
      <c r="AU366" s="132">
        <f t="shared" ca="1" si="93"/>
        <v>0</v>
      </c>
      <c r="AV366" s="132">
        <f t="shared" ca="1" si="93"/>
        <v>0</v>
      </c>
      <c r="AW366" s="132">
        <f t="shared" ca="1" si="93"/>
        <v>0</v>
      </c>
      <c r="AX366" s="132">
        <f t="shared" ca="1" si="93"/>
        <v>0</v>
      </c>
      <c r="AY366" s="132">
        <f t="shared" ca="1" si="93"/>
        <v>0</v>
      </c>
      <c r="AZ366" s="132">
        <f t="shared" ca="1" si="93"/>
        <v>0</v>
      </c>
      <c r="BA366" s="132">
        <f t="shared" ca="1" si="93"/>
        <v>0</v>
      </c>
      <c r="BB366" s="132">
        <f t="shared" ca="1" si="93"/>
        <v>0</v>
      </c>
      <c r="BC366" s="132">
        <f t="shared" ca="1" si="93"/>
        <v>0</v>
      </c>
      <c r="BD366" s="698">
        <f t="shared" ref="BD366:BD411" ca="1" si="94">IF(AI366=0,0,(AT366-AI366)/AI366*100)</f>
        <v>-20.273354437144977</v>
      </c>
      <c r="BE366" s="698">
        <f t="shared" ref="BE366:BE411" ca="1" si="95">IF(AT366=0,0,(AU366-AT366)/AT366*100)</f>
        <v>-100</v>
      </c>
      <c r="BF366" s="698">
        <f t="shared" ref="BF366:BF411" ca="1" si="96">IF(AU366=0,0,(AV366-AU366)/AU366*100)</f>
        <v>0</v>
      </c>
      <c r="BG366" s="698">
        <f t="shared" ref="BG366:BG411" ca="1" si="97">IF(AV366=0,0,(AW366-AV366)/AV366*100)</f>
        <v>0</v>
      </c>
      <c r="BH366" s="698">
        <f t="shared" ref="BH366:BH411" ca="1" si="98">IF(AW366=0,0,(AX366-AW366)/AW366*100)</f>
        <v>0</v>
      </c>
      <c r="BI366" s="698">
        <f t="shared" ref="BI366:BI411" ca="1" si="99">IF(AX366=0,0,(AY366-AX366)/AX366*100)</f>
        <v>0</v>
      </c>
      <c r="BJ366" s="698">
        <f t="shared" ref="BJ366:BJ411" ca="1" si="100">IF(AY366=0,0,(AZ366-AY366)/AY366*100)</f>
        <v>0</v>
      </c>
      <c r="BK366" s="698">
        <f t="shared" ref="BK366:BK411" ca="1" si="101">IF(AZ366=0,0,(BA366-AZ366)/AZ366*100)</f>
        <v>0</v>
      </c>
      <c r="BL366" s="698">
        <f t="shared" ref="BL366:BL411" ca="1" si="102">IF(BA366=0,0,(BB366-BA366)/BA366*100)</f>
        <v>0</v>
      </c>
      <c r="BM366" s="698">
        <f t="shared" ref="BM366:BM411" ca="1" si="103">IF(BB366=0,0,(BC366-BB366)/BB366*100)</f>
        <v>0</v>
      </c>
      <c r="BN366" s="1523"/>
      <c r="BO366" s="1523" t="s">
        <v>2178</v>
      </c>
      <c r="BP366" s="1523"/>
      <c r="BQ366" s="79"/>
      <c r="BR366" s="623"/>
      <c r="BS366" s="979" t="s">
        <v>1988</v>
      </c>
      <c r="BT366" s="979"/>
      <c r="BU366" s="979"/>
      <c r="BV366" s="630"/>
      <c r="BW366" s="630"/>
    </row>
    <row r="367" spans="1:75" s="1548" customFormat="1" ht="21.75" customHeight="1" x14ac:dyDescent="0.15">
      <c r="A367" s="623"/>
      <c r="B367" s="357"/>
      <c r="C367" s="28"/>
      <c r="D367" s="28"/>
      <c r="E367" s="745">
        <v>22.5</v>
      </c>
      <c r="F367" s="3" t="str" cm="1">
        <f t="array" aca="1" ref="F367" ca="1">OFFSET(E367,-1,1)</f>
        <v>2</v>
      </c>
      <c r="G367" s="290" t="str" cm="1">
        <f t="array" aca="1" ref="G367" ca="1">F366</f>
        <v>2</v>
      </c>
      <c r="H367" s="26"/>
      <c r="I367" s="26" t="s">
        <v>512</v>
      </c>
      <c r="J367" s="28"/>
      <c r="K367" s="77" t="s">
        <v>512</v>
      </c>
      <c r="L367" s="894" t="s">
        <v>498</v>
      </c>
      <c r="M367" s="28"/>
      <c r="N367" s="28"/>
      <c r="O367" s="28"/>
      <c r="P367" s="28"/>
      <c r="Q367" s="28"/>
      <c r="R367" s="28"/>
      <c r="S367" s="28"/>
      <c r="T367" s="388" t="b" cm="1">
        <f t="array" aca="1" ref="T367" ca="1">T366</f>
        <v>1</v>
      </c>
      <c r="U367" s="28"/>
      <c r="V367" s="28"/>
      <c r="W367" s="28"/>
      <c r="X367" s="2066"/>
      <c r="Y367" s="623"/>
      <c r="Z367" s="2012"/>
      <c r="AA367" s="623"/>
      <c r="AB367" s="130" t="s">
        <v>566</v>
      </c>
      <c r="AC367" s="277" t="s">
        <v>1989</v>
      </c>
      <c r="AD367" s="130" t="s">
        <v>831</v>
      </c>
      <c r="AE367" s="132">
        <f ca="1">SUM(AE368:AE378)</f>
        <v>826.16</v>
      </c>
      <c r="AF367" s="132">
        <f ca="1">SUM(AF368:AF378)</f>
        <v>629.13</v>
      </c>
      <c r="AG367" s="132">
        <f ca="1">SUM(AG368:AG378)</f>
        <v>538.28</v>
      </c>
      <c r="AH367" s="698">
        <f t="shared" ca="1" si="92"/>
        <v>-90.850000000000023</v>
      </c>
      <c r="AI367" s="132">
        <f t="shared" ref="AI367:BC367" ca="1" si="104">SUM(AI368:AI378)</f>
        <v>866.64184</v>
      </c>
      <c r="AJ367" s="132">
        <f t="shared" ca="1" si="104"/>
        <v>1600.65</v>
      </c>
      <c r="AK367" s="132">
        <f t="shared" ca="1" si="104"/>
        <v>0</v>
      </c>
      <c r="AL367" s="132">
        <f t="shared" ca="1" si="104"/>
        <v>0</v>
      </c>
      <c r="AM367" s="132">
        <f t="shared" ca="1" si="104"/>
        <v>0</v>
      </c>
      <c r="AN367" s="132">
        <f t="shared" ca="1" si="104"/>
        <v>0</v>
      </c>
      <c r="AO367" s="132">
        <f t="shared" ca="1" si="104"/>
        <v>0</v>
      </c>
      <c r="AP367" s="132">
        <f t="shared" ca="1" si="104"/>
        <v>0</v>
      </c>
      <c r="AQ367" s="132">
        <f t="shared" ca="1" si="104"/>
        <v>0</v>
      </c>
      <c r="AR367" s="132">
        <f t="shared" ca="1" si="104"/>
        <v>0</v>
      </c>
      <c r="AS367" s="132">
        <f t="shared" ca="1" si="104"/>
        <v>0</v>
      </c>
      <c r="AT367" s="132">
        <f t="shared" ca="1" si="104"/>
        <v>695.96</v>
      </c>
      <c r="AU367" s="132">
        <f t="shared" ca="1" si="104"/>
        <v>0</v>
      </c>
      <c r="AV367" s="132">
        <f t="shared" ca="1" si="104"/>
        <v>0</v>
      </c>
      <c r="AW367" s="132">
        <f t="shared" ca="1" si="104"/>
        <v>0</v>
      </c>
      <c r="AX367" s="132">
        <f t="shared" ca="1" si="104"/>
        <v>0</v>
      </c>
      <c r="AY367" s="132">
        <f t="shared" ca="1" si="104"/>
        <v>0</v>
      </c>
      <c r="AZ367" s="132">
        <f t="shared" ca="1" si="104"/>
        <v>0</v>
      </c>
      <c r="BA367" s="132">
        <f t="shared" ca="1" si="104"/>
        <v>0</v>
      </c>
      <c r="BB367" s="132">
        <f t="shared" ca="1" si="104"/>
        <v>0</v>
      </c>
      <c r="BC367" s="132">
        <f t="shared" ca="1" si="104"/>
        <v>0</v>
      </c>
      <c r="BD367" s="698">
        <f t="shared" ca="1" si="94"/>
        <v>-19.69462263672845</v>
      </c>
      <c r="BE367" s="698">
        <f t="shared" ca="1" si="95"/>
        <v>-100</v>
      </c>
      <c r="BF367" s="698">
        <f t="shared" ca="1" si="96"/>
        <v>0</v>
      </c>
      <c r="BG367" s="698">
        <f t="shared" ca="1" si="97"/>
        <v>0</v>
      </c>
      <c r="BH367" s="698">
        <f t="shared" ca="1" si="98"/>
        <v>0</v>
      </c>
      <c r="BI367" s="698">
        <f t="shared" ca="1" si="99"/>
        <v>0</v>
      </c>
      <c r="BJ367" s="698">
        <f t="shared" ca="1" si="100"/>
        <v>0</v>
      </c>
      <c r="BK367" s="698">
        <f t="shared" ca="1" si="101"/>
        <v>0</v>
      </c>
      <c r="BL367" s="698">
        <f t="shared" ca="1" si="102"/>
        <v>0</v>
      </c>
      <c r="BM367" s="698">
        <f t="shared" ca="1" si="103"/>
        <v>0</v>
      </c>
      <c r="BN367" s="1524"/>
      <c r="BO367" s="1524"/>
      <c r="BP367" s="1524"/>
      <c r="BQ367" s="623"/>
      <c r="BR367" s="623"/>
      <c r="BS367" s="979" t="s">
        <v>1990</v>
      </c>
      <c r="BT367" s="979"/>
      <c r="BU367" s="979"/>
      <c r="BV367" s="630"/>
      <c r="BW367" s="630"/>
    </row>
    <row r="368" spans="1:75" s="1334" customFormat="1" ht="159.75" customHeight="1" x14ac:dyDescent="0.15">
      <c r="A368" s="1184"/>
      <c r="B368" s="887"/>
      <c r="C368" s="26"/>
      <c r="D368" s="26"/>
      <c r="E368" s="545">
        <v>15</v>
      </c>
      <c r="F368" s="3" t="str" cm="1">
        <f t="array" aca="1" ref="F368" ca="1">OFFSET(E368,-1,1)</f>
        <v>2</v>
      </c>
      <c r="G368" s="26" t="s">
        <v>1092</v>
      </c>
      <c r="H368" s="26"/>
      <c r="I368" s="26" t="s">
        <v>1529</v>
      </c>
      <c r="J368" s="26"/>
      <c r="K368" s="77" t="s">
        <v>1529</v>
      </c>
      <c r="L368" s="889" t="s">
        <v>1304</v>
      </c>
      <c r="M368" s="26"/>
      <c r="N368" s="26"/>
      <c r="O368" s="26"/>
      <c r="P368" s="26"/>
      <c r="Q368" s="26"/>
      <c r="R368" s="26"/>
      <c r="S368" s="26"/>
      <c r="T368" s="388" t="b" cm="1">
        <f t="array" aca="1" ref="T368" ca="1">T367</f>
        <v>1</v>
      </c>
      <c r="U368" s="26"/>
      <c r="V368" s="26"/>
      <c r="W368" s="26"/>
      <c r="X368" s="2066"/>
      <c r="Y368" s="1184"/>
      <c r="Z368" s="2012"/>
      <c r="AA368" s="1184"/>
      <c r="AB368" s="218" t="s">
        <v>520</v>
      </c>
      <c r="AC368" s="685" t="s">
        <v>1991</v>
      </c>
      <c r="AD368" s="218" t="s">
        <v>831</v>
      </c>
      <c r="AE368" s="1022">
        <f ca="1">SUMIFS(Покупка!AE$25:AE$117,Покупка!$F$25:$F$117,$F368,Покупка!$AC$25:$AC$117,$G368)</f>
        <v>826.16</v>
      </c>
      <c r="AF368" s="1022">
        <f ca="1">SUMIFS(Покупка!AF$25:AF$117,Покупка!$F$25:$F$117,$F368,Покупка!$AC$25:$AC$117,$G368)</f>
        <v>629.13</v>
      </c>
      <c r="AG368" s="1022">
        <f ca="1">SUMIFS(Покупка!AG$25:AG$117,Покупка!$F$25:$F$117,$F368,Покупка!$AC$25:$AC$117,$G368)</f>
        <v>538.28</v>
      </c>
      <c r="AH368" s="1022">
        <f t="shared" ca="1" si="92"/>
        <v>-90.850000000000023</v>
      </c>
      <c r="AI368" s="1022">
        <f ca="1">SUMIFS(Покупка!AH$25:AH$117,Покупка!$F$25:$F$117,$F368,Покупка!$AC$25:$AC$117,$G368)</f>
        <v>866.64184</v>
      </c>
      <c r="AJ368" s="1022">
        <f ca="1">SUMIFS(Покупка!AI$25:AI$117,Покупка!$F$25:$F$117,$F368,Покупка!$AC$25:$AC$117,$G368)</f>
        <v>1600.65</v>
      </c>
      <c r="AK368" s="1022">
        <f ca="1">SUMIFS(Покупка!AJ$25:AJ$117,Покупка!$F$25:$F$117,$F368,Покупка!$AC$25:$AC$117,$G368)</f>
        <v>0</v>
      </c>
      <c r="AL368" s="1022">
        <f ca="1">SUMIFS(Покупка!AK$25:AK$117,Покупка!$F$25:$F$117,$F368,Покупка!$AC$25:$AC$117,$G368)</f>
        <v>0</v>
      </c>
      <c r="AM368" s="1022">
        <f ca="1">SUMIFS(Покупка!AL$25:AL$117,Покупка!$F$25:$F$117,$F368,Покупка!$AC$25:$AC$117,$G368)</f>
        <v>0</v>
      </c>
      <c r="AN368" s="1022">
        <f ca="1">SUMIFS(Покупка!AM$25:AM$117,Покупка!$F$25:$F$117,$F368,Покупка!$AC$25:$AC$117,$G368)</f>
        <v>0</v>
      </c>
      <c r="AO368" s="1022">
        <f ca="1">SUMIFS(Покупка!AN$25:AN$117,Покупка!$F$25:$F$117,$F368,Покупка!$AC$25:$AC$117,$G368)</f>
        <v>0</v>
      </c>
      <c r="AP368" s="1022">
        <f ca="1">SUMIFS(Покупка!AO$25:AO$117,Покупка!$F$25:$F$117,$F368,Покупка!$AC$25:$AC$117,$G368)</f>
        <v>0</v>
      </c>
      <c r="AQ368" s="1022">
        <f ca="1">SUMIFS(Покупка!AP$25:AP$117,Покупка!$F$25:$F$117,$F368,Покупка!$AC$25:$AC$117,$G368)</f>
        <v>0</v>
      </c>
      <c r="AR368" s="1022">
        <f ca="1">SUMIFS(Покупка!AQ$25:AQ$117,Покупка!$F$25:$F$117,$F368,Покупка!$AC$25:$AC$117,$G368)</f>
        <v>0</v>
      </c>
      <c r="AS368" s="1022">
        <f ca="1">SUMIFS(Покупка!AR$25:AR$117,Покупка!$F$25:$F$117,$F368,Покупка!$AC$25:$AC$117,$G368)</f>
        <v>0</v>
      </c>
      <c r="AT368" s="1022">
        <f ca="1">SUMIFS(Покупка!AS$25:AS$117,Покупка!$F$25:$F$117,$F368,Покупка!$AC$25:$AC$117,$G368)</f>
        <v>695.96</v>
      </c>
      <c r="AU368" s="1022">
        <f ca="1">SUMIFS(Покупка!AT$25:AT$117,Покупка!$F$25:$F$117,$F368,Покупка!$AC$25:$AC$117,$G368)</f>
        <v>0</v>
      </c>
      <c r="AV368" s="1022">
        <f ca="1">SUMIFS(Покупка!AU$25:AU$117,Покупка!$F$25:$F$117,$F368,Покупка!$AC$25:$AC$117,$G368)</f>
        <v>0</v>
      </c>
      <c r="AW368" s="1022">
        <f ca="1">SUMIFS(Покупка!AV$25:AV$117,Покупка!$F$25:$F$117,$F368,Покупка!$AC$25:$AC$117,$G368)</f>
        <v>0</v>
      </c>
      <c r="AX368" s="1022">
        <f ca="1">SUMIFS(Покупка!AW$25:AW$117,Покупка!$F$25:$F$117,$F368,Покупка!$AC$25:$AC$117,$G368)</f>
        <v>0</v>
      </c>
      <c r="AY368" s="1022">
        <f ca="1">SUMIFS(Покупка!AX$25:AX$117,Покупка!$F$25:$F$117,$F368,Покупка!$AC$25:$AC$117,$G368)</f>
        <v>0</v>
      </c>
      <c r="AZ368" s="1022">
        <f ca="1">SUMIFS(Покупка!AY$25:AY$117,Покупка!$F$25:$F$117,$F368,Покупка!$AC$25:$AC$117,$G368)</f>
        <v>0</v>
      </c>
      <c r="BA368" s="1022">
        <f ca="1">SUMIFS(Покупка!AZ$25:AZ$117,Покупка!$F$25:$F$117,$F368,Покупка!$AC$25:$AC$117,$G368)</f>
        <v>0</v>
      </c>
      <c r="BB368" s="1022">
        <f ca="1">SUMIFS(Покупка!BA$25:BA$117,Покупка!$F$25:$F$117,$F368,Покупка!$AC$25:$AC$117,$G368)</f>
        <v>0</v>
      </c>
      <c r="BC368" s="1022">
        <f ca="1">SUMIFS(Покупка!BB$25:BB$117,Покупка!$F$25:$F$117,$F368,Покупка!$AC$25:$AC$117,$G368)</f>
        <v>0</v>
      </c>
      <c r="BD368" s="1022">
        <f t="shared" ca="1" si="94"/>
        <v>-19.69462263672845</v>
      </c>
      <c r="BE368" s="1022">
        <f t="shared" ca="1" si="95"/>
        <v>-100</v>
      </c>
      <c r="BF368" s="1022">
        <f t="shared" ca="1" si="96"/>
        <v>0</v>
      </c>
      <c r="BG368" s="1022">
        <f t="shared" ca="1" si="97"/>
        <v>0</v>
      </c>
      <c r="BH368" s="1022">
        <f t="shared" ca="1" si="98"/>
        <v>0</v>
      </c>
      <c r="BI368" s="1022">
        <f t="shared" ca="1" si="99"/>
        <v>0</v>
      </c>
      <c r="BJ368" s="1022">
        <f t="shared" ca="1" si="100"/>
        <v>0</v>
      </c>
      <c r="BK368" s="1022">
        <f t="shared" ca="1" si="101"/>
        <v>0</v>
      </c>
      <c r="BL368" s="1022">
        <f t="shared" ca="1" si="102"/>
        <v>0</v>
      </c>
      <c r="BM368" s="1022">
        <f t="shared" ca="1" si="103"/>
        <v>0</v>
      </c>
      <c r="BN368" s="1523" t="s">
        <v>2179</v>
      </c>
      <c r="BO368" s="1525" t="str">
        <f ca="1">IF(IFERROR(INDEX(Покупка!$K$26:$L$117,MATCH($F368&amp;"6komm",Покупка!$K$26:$K$117,0),2),"")=0,"",IFERROR(INDEX(Покупка!$K$26:$L$117,MATCH($F368&amp;"6komm",Покупка!$K$26:$K$117,0),2),""))</f>
        <v>учтено на 2026 год по расчету регулятора  по факту 2024 года в доле на водоотведение 0,06: объемы учтены на основании представленных счет фактур: тепло 2436,85 Гкал, горячая вода - 295,85 м3, тарифы на 2024 год учтены в соответствии с постановлениями РЭК Кузбасса для ООО "ТеплоРесурс" от 19.12.2024 № 721, от 24.07.2025 №216 без НДС: на 9 мес. на уровне установленного постановлением тарифа на 2 пол 2025 года, на 3 мес. 2026 года учтено на уровне 9 мес. 2026 с ИПЦ МИнэкономразвития России на 2026 год 105,1%: тепло 1 пол 2026 - 4292,87 руб/Гкал, 2 пол - 4511,806 руб/Гкал, на горячую воду с неизолированными стояками без полотенцесушителей на 1 полугодие - 318,33 руб./м3., 2 полугодие 334,57 руб./м3, на 1 полугодие для горячей воды   с неизолированными стояками+полотенцесущитель, тариф применен в размере 338,77 руб./м3</v>
      </c>
      <c r="BP368" s="1523" t="s">
        <v>2180</v>
      </c>
      <c r="BQ368" s="1184"/>
      <c r="BR368" s="1184"/>
      <c r="BS368" s="973" t="s">
        <v>1093</v>
      </c>
      <c r="BT368" s="973"/>
      <c r="BU368" s="973"/>
      <c r="BV368" s="888"/>
      <c r="BW368" s="888"/>
    </row>
    <row r="369" spans="1:75" s="1334" customFormat="1" ht="14.25" customHeight="1" x14ac:dyDescent="0.15">
      <c r="A369" s="1184"/>
      <c r="B369" s="887"/>
      <c r="C369" s="26"/>
      <c r="D369" s="26"/>
      <c r="E369" s="545">
        <v>15</v>
      </c>
      <c r="F369" s="3" t="str" cm="1">
        <f t="array" aca="1" ref="F369" ca="1">OFFSET(E369,-1,1)</f>
        <v>2</v>
      </c>
      <c r="G369" s="26" t="s">
        <v>1094</v>
      </c>
      <c r="H369" s="26"/>
      <c r="I369" s="26" t="s">
        <v>1533</v>
      </c>
      <c r="J369" s="26"/>
      <c r="K369" s="26" t="s">
        <v>1533</v>
      </c>
      <c r="L369" s="889" t="s">
        <v>1308</v>
      </c>
      <c r="M369" s="26"/>
      <c r="N369" s="26"/>
      <c r="O369" s="26"/>
      <c r="P369" s="26"/>
      <c r="Q369" s="26"/>
      <c r="R369" s="26"/>
      <c r="S369" s="26"/>
      <c r="T369" s="388" t="b" cm="1">
        <f t="array" aca="1" ref="T369" ca="1">T368</f>
        <v>1</v>
      </c>
      <c r="U369" s="26"/>
      <c r="V369" s="26"/>
      <c r="W369" s="26"/>
      <c r="X369" s="2066"/>
      <c r="Y369" s="1184"/>
      <c r="Z369" s="2012"/>
      <c r="AA369" s="1184"/>
      <c r="AB369" s="218" t="s">
        <v>1992</v>
      </c>
      <c r="AC369" s="685" t="s">
        <v>1993</v>
      </c>
      <c r="AD369" s="218" t="s">
        <v>831</v>
      </c>
      <c r="AE369" s="1022">
        <f ca="1">SUMIFS(Покупка!AE$25:AE$117,Покупка!$F$25:$F$117,$F369,Покупка!$AC$25:$AC$117,$G369)</f>
        <v>0</v>
      </c>
      <c r="AF369" s="1022">
        <f ca="1">SUMIFS(Покупка!AF$25:AF$117,Покупка!$F$25:$F$117,$F369,Покупка!$AC$25:$AC$117,$G369)</f>
        <v>0</v>
      </c>
      <c r="AG369" s="1022">
        <f ca="1">SUMIFS(Покупка!AG$25:AG$117,Покупка!$F$25:$F$117,$F369,Покупка!$AC$25:$AC$117,$G369)</f>
        <v>0</v>
      </c>
      <c r="AH369" s="1022">
        <f t="shared" ca="1" si="92"/>
        <v>0</v>
      </c>
      <c r="AI369" s="1022">
        <f ca="1">SUMIFS(Покупка!AH$25:AH$117,Покупка!$F$25:$F$117,$F369,Покупка!$AC$25:$AC$117,$G369)</f>
        <v>0</v>
      </c>
      <c r="AJ369" s="1022">
        <f ca="1">SUMIFS(Покупка!AI$25:AI$117,Покупка!$F$25:$F$117,$F369,Покупка!$AC$25:$AC$117,$G369)</f>
        <v>0</v>
      </c>
      <c r="AK369" s="1022">
        <f ca="1">SUMIFS(Покупка!AJ$25:AJ$117,Покупка!$F$25:$F$117,$F369,Покупка!$AC$25:$AC$117,$G369)</f>
        <v>0</v>
      </c>
      <c r="AL369" s="1022">
        <f ca="1">SUMIFS(Покупка!AK$25:AK$117,Покупка!$F$25:$F$117,$F369,Покупка!$AC$25:$AC$117,$G369)</f>
        <v>0</v>
      </c>
      <c r="AM369" s="1022">
        <f ca="1">SUMIFS(Покупка!AL$25:AL$117,Покупка!$F$25:$F$117,$F369,Покупка!$AC$25:$AC$117,$G369)</f>
        <v>0</v>
      </c>
      <c r="AN369" s="1022">
        <f ca="1">SUMIFS(Покупка!AM$25:AM$117,Покупка!$F$25:$F$117,$F369,Покупка!$AC$25:$AC$117,$G369)</f>
        <v>0</v>
      </c>
      <c r="AO369" s="1022">
        <f ca="1">SUMIFS(Покупка!AN$25:AN$117,Покупка!$F$25:$F$117,$F369,Покупка!$AC$25:$AC$117,$G369)</f>
        <v>0</v>
      </c>
      <c r="AP369" s="1022">
        <f ca="1">SUMIFS(Покупка!AO$25:AO$117,Покупка!$F$25:$F$117,$F369,Покупка!$AC$25:$AC$117,$G369)</f>
        <v>0</v>
      </c>
      <c r="AQ369" s="1022">
        <f ca="1">SUMIFS(Покупка!AP$25:AP$117,Покупка!$F$25:$F$117,$F369,Покупка!$AC$25:$AC$117,$G369)</f>
        <v>0</v>
      </c>
      <c r="AR369" s="1022">
        <f ca="1">SUMIFS(Покупка!AQ$25:AQ$117,Покупка!$F$25:$F$117,$F369,Покупка!$AC$25:$AC$117,$G369)</f>
        <v>0</v>
      </c>
      <c r="AS369" s="1022">
        <f ca="1">SUMIFS(Покупка!AR$25:AR$117,Покупка!$F$25:$F$117,$F369,Покупка!$AC$25:$AC$117,$G369)</f>
        <v>0</v>
      </c>
      <c r="AT369" s="1022">
        <f ca="1">SUMIFS(Покупка!AS$25:AS$117,Покупка!$F$25:$F$117,$F369,Покупка!$AC$25:$AC$117,$G369)</f>
        <v>0</v>
      </c>
      <c r="AU369" s="1022">
        <f ca="1">SUMIFS(Покупка!AT$25:AT$117,Покупка!$F$25:$F$117,$F369,Покупка!$AC$25:$AC$117,$G369)</f>
        <v>0</v>
      </c>
      <c r="AV369" s="1022">
        <f ca="1">SUMIFS(Покупка!AU$25:AU$117,Покупка!$F$25:$F$117,$F369,Покупка!$AC$25:$AC$117,$G369)</f>
        <v>0</v>
      </c>
      <c r="AW369" s="1022">
        <f ca="1">SUMIFS(Покупка!AV$25:AV$117,Покупка!$F$25:$F$117,$F369,Покупка!$AC$25:$AC$117,$G369)</f>
        <v>0</v>
      </c>
      <c r="AX369" s="1022">
        <f ca="1">SUMIFS(Покупка!AW$25:AW$117,Покупка!$F$25:$F$117,$F369,Покупка!$AC$25:$AC$117,$G369)</f>
        <v>0</v>
      </c>
      <c r="AY369" s="1022">
        <f ca="1">SUMIFS(Покупка!AX$25:AX$117,Покупка!$F$25:$F$117,$F369,Покупка!$AC$25:$AC$117,$G369)</f>
        <v>0</v>
      </c>
      <c r="AZ369" s="1022">
        <f ca="1">SUMIFS(Покупка!AY$25:AY$117,Покупка!$F$25:$F$117,$F369,Покупка!$AC$25:$AC$117,$G369)</f>
        <v>0</v>
      </c>
      <c r="BA369" s="1022">
        <f ca="1">SUMIFS(Покупка!AZ$25:AZ$117,Покупка!$F$25:$F$117,$F369,Покупка!$AC$25:$AC$117,$G369)</f>
        <v>0</v>
      </c>
      <c r="BB369" s="1022">
        <f ca="1">SUMIFS(Покупка!BA$25:BA$117,Покупка!$F$25:$F$117,$F369,Покупка!$AC$25:$AC$117,$G369)</f>
        <v>0</v>
      </c>
      <c r="BC369" s="1022">
        <f ca="1">SUMIFS(Покупка!BB$25:BB$117,Покупка!$F$25:$F$117,$F369,Покупка!$AC$25:$AC$117,$G369)</f>
        <v>0</v>
      </c>
      <c r="BD369" s="1022">
        <f t="shared" ca="1" si="94"/>
        <v>0</v>
      </c>
      <c r="BE369" s="1022">
        <f t="shared" ca="1" si="95"/>
        <v>0</v>
      </c>
      <c r="BF369" s="1022">
        <f t="shared" ca="1" si="96"/>
        <v>0</v>
      </c>
      <c r="BG369" s="1022">
        <f t="shared" ca="1" si="97"/>
        <v>0</v>
      </c>
      <c r="BH369" s="1022">
        <f t="shared" ca="1" si="98"/>
        <v>0</v>
      </c>
      <c r="BI369" s="1022">
        <f t="shared" ca="1" si="99"/>
        <v>0</v>
      </c>
      <c r="BJ369" s="1022">
        <f t="shared" ca="1" si="100"/>
        <v>0</v>
      </c>
      <c r="BK369" s="1022">
        <f t="shared" ca="1" si="101"/>
        <v>0</v>
      </c>
      <c r="BL369" s="1022">
        <f t="shared" ca="1" si="102"/>
        <v>0</v>
      </c>
      <c r="BM369" s="1022">
        <f t="shared" ca="1" si="103"/>
        <v>0</v>
      </c>
      <c r="BN369" s="1523"/>
      <c r="BO369" s="1525" t="str">
        <f ca="1">IF(IFERROR(INDEX(Покупка!$K$26:$L$117,MATCH($F369&amp;"7komm",Покупка!$K$26:$K$117,0),2),"")=0,"",IFERROR(INDEX(Покупка!$K$26:$L$117,MATCH($F369&amp;"7komm",Покупка!$K$26:$K$117,0),2),""))</f>
        <v/>
      </c>
      <c r="BP369" s="1523"/>
      <c r="BQ369" s="1184"/>
      <c r="BR369" s="1184"/>
      <c r="BS369" s="973" t="s">
        <v>1095</v>
      </c>
      <c r="BT369" s="973"/>
      <c r="BU369" s="973"/>
      <c r="BV369" s="888"/>
      <c r="BW369" s="888"/>
    </row>
    <row r="370" spans="1:75" s="1334" customFormat="1" ht="14.25" customHeight="1" x14ac:dyDescent="0.15">
      <c r="A370" s="1184"/>
      <c r="B370" s="887"/>
      <c r="C370" s="26"/>
      <c r="D370" s="26"/>
      <c r="E370" s="545">
        <v>15</v>
      </c>
      <c r="F370" s="3" t="str" cm="1">
        <f t="array" aca="1" ref="F370" ca="1">OFFSET(E370,-1,1)</f>
        <v>2</v>
      </c>
      <c r="G370" s="26" t="s">
        <v>1069</v>
      </c>
      <c r="H370" s="26"/>
      <c r="I370" s="26" t="s">
        <v>1625</v>
      </c>
      <c r="J370" s="26"/>
      <c r="K370" s="26" t="s">
        <v>1625</v>
      </c>
      <c r="L370" s="889" t="s">
        <v>1478</v>
      </c>
      <c r="M370" s="26"/>
      <c r="N370" s="26"/>
      <c r="O370" s="26"/>
      <c r="P370" s="26"/>
      <c r="Q370" s="26"/>
      <c r="R370" s="26"/>
      <c r="S370" s="26"/>
      <c r="T370" s="388" t="b" cm="1">
        <f t="array" aca="1" ref="T370" ca="1">T369</f>
        <v>1</v>
      </c>
      <c r="U370" s="26"/>
      <c r="V370" s="26"/>
      <c r="W370" s="26"/>
      <c r="X370" s="2066"/>
      <c r="Y370" s="1184"/>
      <c r="Z370" s="2012"/>
      <c r="AA370" s="1184"/>
      <c r="AB370" s="218" t="s">
        <v>1994</v>
      </c>
      <c r="AC370" s="685" t="s">
        <v>1995</v>
      </c>
      <c r="AD370" s="218" t="s">
        <v>831</v>
      </c>
      <c r="AE370" s="1022">
        <f ca="1">SUMIFS(Покупка!AE$25:AE$117,Покупка!$F$25:$F$117,$F370,Покупка!$AC$25:$AC$117,$G370)</f>
        <v>0</v>
      </c>
      <c r="AF370" s="1022">
        <f ca="1">SUMIFS(Покупка!AF$25:AF$117,Покупка!$F$25:$F$117,$F370,Покупка!$AC$25:$AC$117,$G370)</f>
        <v>0</v>
      </c>
      <c r="AG370" s="1022">
        <f ca="1">SUMIFS(Покупка!AG$25:AG$117,Покупка!$F$25:$F$117,$F370,Покупка!$AC$25:$AC$117,$G370)</f>
        <v>0</v>
      </c>
      <c r="AH370" s="1022">
        <f t="shared" ca="1" si="92"/>
        <v>0</v>
      </c>
      <c r="AI370" s="1022">
        <f ca="1">SUMIFS(Покупка!AH$25:AH$117,Покупка!$F$25:$F$117,$F370,Покупка!$AC$25:$AC$117,$G370)</f>
        <v>0</v>
      </c>
      <c r="AJ370" s="1022">
        <f ca="1">SUMIFS(Покупка!AI$25:AI$117,Покупка!$F$25:$F$117,$F370,Покупка!$AC$25:$AC$117,$G370)</f>
        <v>0</v>
      </c>
      <c r="AK370" s="1022">
        <f ca="1">SUMIFS(Покупка!AJ$25:AJ$117,Покупка!$F$25:$F$117,$F370,Покупка!$AC$25:$AC$117,$G370)</f>
        <v>0</v>
      </c>
      <c r="AL370" s="1022">
        <f ca="1">SUMIFS(Покупка!AK$25:AK$117,Покупка!$F$25:$F$117,$F370,Покупка!$AC$25:$AC$117,$G370)</f>
        <v>0</v>
      </c>
      <c r="AM370" s="1022">
        <f ca="1">SUMIFS(Покупка!AL$25:AL$117,Покупка!$F$25:$F$117,$F370,Покупка!$AC$25:$AC$117,$G370)</f>
        <v>0</v>
      </c>
      <c r="AN370" s="1022">
        <f ca="1">SUMIFS(Покупка!AM$25:AM$117,Покупка!$F$25:$F$117,$F370,Покупка!$AC$25:$AC$117,$G370)</f>
        <v>0</v>
      </c>
      <c r="AO370" s="1022">
        <f ca="1">SUMIFS(Покупка!AN$25:AN$117,Покупка!$F$25:$F$117,$F370,Покупка!$AC$25:$AC$117,$G370)</f>
        <v>0</v>
      </c>
      <c r="AP370" s="1022">
        <f ca="1">SUMIFS(Покупка!AO$25:AO$117,Покупка!$F$25:$F$117,$F370,Покупка!$AC$25:$AC$117,$G370)</f>
        <v>0</v>
      </c>
      <c r="AQ370" s="1022">
        <f ca="1">SUMIFS(Покупка!AP$25:AP$117,Покупка!$F$25:$F$117,$F370,Покупка!$AC$25:$AC$117,$G370)</f>
        <v>0</v>
      </c>
      <c r="AR370" s="1022">
        <f ca="1">SUMIFS(Покупка!AQ$25:AQ$117,Покупка!$F$25:$F$117,$F370,Покупка!$AC$25:$AC$117,$G370)</f>
        <v>0</v>
      </c>
      <c r="AS370" s="1022">
        <f ca="1">SUMIFS(Покупка!AR$25:AR$117,Покупка!$F$25:$F$117,$F370,Покупка!$AC$25:$AC$117,$G370)</f>
        <v>0</v>
      </c>
      <c r="AT370" s="1022">
        <f ca="1">SUMIFS(Покупка!AS$25:AS$117,Покупка!$F$25:$F$117,$F370,Покупка!$AC$25:$AC$117,$G370)</f>
        <v>0</v>
      </c>
      <c r="AU370" s="1022">
        <f ca="1">SUMIFS(Покупка!AT$25:AT$117,Покупка!$F$25:$F$117,$F370,Покупка!$AC$25:$AC$117,$G370)</f>
        <v>0</v>
      </c>
      <c r="AV370" s="1022">
        <f ca="1">SUMIFS(Покупка!AU$25:AU$117,Покупка!$F$25:$F$117,$F370,Покупка!$AC$25:$AC$117,$G370)</f>
        <v>0</v>
      </c>
      <c r="AW370" s="1022">
        <f ca="1">SUMIFS(Покупка!AV$25:AV$117,Покупка!$F$25:$F$117,$F370,Покупка!$AC$25:$AC$117,$G370)</f>
        <v>0</v>
      </c>
      <c r="AX370" s="1022">
        <f ca="1">SUMIFS(Покупка!AW$25:AW$117,Покупка!$F$25:$F$117,$F370,Покупка!$AC$25:$AC$117,$G370)</f>
        <v>0</v>
      </c>
      <c r="AY370" s="1022">
        <f ca="1">SUMIFS(Покупка!AX$25:AX$117,Покупка!$F$25:$F$117,$F370,Покупка!$AC$25:$AC$117,$G370)</f>
        <v>0</v>
      </c>
      <c r="AZ370" s="1022">
        <f ca="1">SUMIFS(Покупка!AY$25:AY$117,Покупка!$F$25:$F$117,$F370,Покупка!$AC$25:$AC$117,$G370)</f>
        <v>0</v>
      </c>
      <c r="BA370" s="1022">
        <f ca="1">SUMIFS(Покупка!AZ$25:AZ$117,Покупка!$F$25:$F$117,$F370,Покупка!$AC$25:$AC$117,$G370)</f>
        <v>0</v>
      </c>
      <c r="BB370" s="1022">
        <f ca="1">SUMIFS(Покупка!BA$25:BA$117,Покупка!$F$25:$F$117,$F370,Покупка!$AC$25:$AC$117,$G370)</f>
        <v>0</v>
      </c>
      <c r="BC370" s="1022">
        <f ca="1">SUMIFS(Покупка!BB$25:BB$117,Покупка!$F$25:$F$117,$F370,Покупка!$AC$25:$AC$117,$G370)</f>
        <v>0</v>
      </c>
      <c r="BD370" s="1022">
        <f t="shared" ca="1" si="94"/>
        <v>0</v>
      </c>
      <c r="BE370" s="1022">
        <f t="shared" ca="1" si="95"/>
        <v>0</v>
      </c>
      <c r="BF370" s="1022">
        <f t="shared" ca="1" si="96"/>
        <v>0</v>
      </c>
      <c r="BG370" s="1022">
        <f t="shared" ca="1" si="97"/>
        <v>0</v>
      </c>
      <c r="BH370" s="1022">
        <f t="shared" ca="1" si="98"/>
        <v>0</v>
      </c>
      <c r="BI370" s="1022">
        <f t="shared" ca="1" si="99"/>
        <v>0</v>
      </c>
      <c r="BJ370" s="1022">
        <f t="shared" ca="1" si="100"/>
        <v>0</v>
      </c>
      <c r="BK370" s="1022">
        <f t="shared" ca="1" si="101"/>
        <v>0</v>
      </c>
      <c r="BL370" s="1022">
        <f t="shared" ca="1" si="102"/>
        <v>0</v>
      </c>
      <c r="BM370" s="1022">
        <f t="shared" ca="1" si="103"/>
        <v>0</v>
      </c>
      <c r="BN370" s="1523"/>
      <c r="BO370" s="1525" t="str">
        <f ca="1">IF(IFERROR(INDEX(Покупка!$K$26:$L$117,MATCH($F370&amp;"2komm",Покупка!$K$26:$K$117,0),2),"")=0,"",IFERROR(INDEX(Покупка!$K$26:$L$117,MATCH($F370&amp;"2komm",Покупка!$K$26:$K$117,0),2),""))</f>
        <v/>
      </c>
      <c r="BP370" s="1523"/>
      <c r="BQ370" s="1184"/>
      <c r="BR370" s="1184"/>
      <c r="BS370" s="973" t="s">
        <v>1996</v>
      </c>
      <c r="BT370" s="973"/>
      <c r="BU370" s="973"/>
      <c r="BV370" s="888"/>
      <c r="BW370" s="888"/>
    </row>
    <row r="371" spans="1:75" s="1334" customFormat="1" ht="14.25" customHeight="1" x14ac:dyDescent="0.15">
      <c r="A371" s="1184"/>
      <c r="B371" s="887"/>
      <c r="C371" s="26"/>
      <c r="D371" s="26"/>
      <c r="E371" s="545">
        <v>15</v>
      </c>
      <c r="F371" s="3" t="str" cm="1">
        <f t="array" aca="1" ref="F371" ca="1">OFFSET(E371,-1,1)</f>
        <v>2</v>
      </c>
      <c r="G371" s="26" t="s">
        <v>1060</v>
      </c>
      <c r="H371" s="26"/>
      <c r="I371" s="26" t="s">
        <v>1627</v>
      </c>
      <c r="J371" s="26"/>
      <c r="K371" s="26" t="s">
        <v>1627</v>
      </c>
      <c r="L371" s="889" t="s">
        <v>1473</v>
      </c>
      <c r="M371" s="26"/>
      <c r="N371" s="26"/>
      <c r="O371" s="26"/>
      <c r="P371" s="26"/>
      <c r="Q371" s="26"/>
      <c r="R371" s="26"/>
      <c r="S371" s="26"/>
      <c r="T371" s="388" t="b" cm="1">
        <f t="array" aca="1" ref="T371" ca="1">T370</f>
        <v>1</v>
      </c>
      <c r="U371" s="26"/>
      <c r="V371" s="26"/>
      <c r="W371" s="26"/>
      <c r="X371" s="2066"/>
      <c r="Y371" s="1184"/>
      <c r="Z371" s="2012"/>
      <c r="AA371" s="1184"/>
      <c r="AB371" s="218" t="s">
        <v>1997</v>
      </c>
      <c r="AC371" s="685" t="s">
        <v>1998</v>
      </c>
      <c r="AD371" s="218" t="s">
        <v>831</v>
      </c>
      <c r="AE371" s="1022">
        <f ca="1">SUMIFS(Покупка!AE$25:AE$117,Покупка!$F$25:$F$117,$F371,Покупка!$AC$25:$AC$117,$G371)</f>
        <v>0</v>
      </c>
      <c r="AF371" s="1022">
        <f ca="1">SUMIFS(Покупка!AF$25:AF$117,Покупка!$F$25:$F$117,$F371,Покупка!$AC$25:$AC$117,$G371)</f>
        <v>0</v>
      </c>
      <c r="AG371" s="1022">
        <f ca="1">SUMIFS(Покупка!AG$25:AG$117,Покупка!$F$25:$F$117,$F371,Покупка!$AC$25:$AC$117,$G371)</f>
        <v>0</v>
      </c>
      <c r="AH371" s="1022">
        <f t="shared" ca="1" si="92"/>
        <v>0</v>
      </c>
      <c r="AI371" s="1022">
        <f ca="1">SUMIFS(Покупка!AH$25:AH$117,Покупка!$F$25:$F$117,$F371,Покупка!$AC$25:$AC$117,$G371)</f>
        <v>0</v>
      </c>
      <c r="AJ371" s="1022">
        <f ca="1">SUMIFS(Покупка!AI$25:AI$117,Покупка!$F$25:$F$117,$F371,Покупка!$AC$25:$AC$117,$G371)</f>
        <v>0</v>
      </c>
      <c r="AK371" s="1022">
        <f ca="1">SUMIFS(Покупка!AJ$25:AJ$117,Покупка!$F$25:$F$117,$F371,Покупка!$AC$25:$AC$117,$G371)</f>
        <v>0</v>
      </c>
      <c r="AL371" s="1022">
        <f ca="1">SUMIFS(Покупка!AK$25:AK$117,Покупка!$F$25:$F$117,$F371,Покупка!$AC$25:$AC$117,$G371)</f>
        <v>0</v>
      </c>
      <c r="AM371" s="1022">
        <f ca="1">SUMIFS(Покупка!AL$25:AL$117,Покупка!$F$25:$F$117,$F371,Покупка!$AC$25:$AC$117,$G371)</f>
        <v>0</v>
      </c>
      <c r="AN371" s="1022">
        <f ca="1">SUMIFS(Покупка!AM$25:AM$117,Покупка!$F$25:$F$117,$F371,Покупка!$AC$25:$AC$117,$G371)</f>
        <v>0</v>
      </c>
      <c r="AO371" s="1022">
        <f ca="1">SUMIFS(Покупка!AN$25:AN$117,Покупка!$F$25:$F$117,$F371,Покупка!$AC$25:$AC$117,$G371)</f>
        <v>0</v>
      </c>
      <c r="AP371" s="1022">
        <f ca="1">SUMIFS(Покупка!AO$25:AO$117,Покупка!$F$25:$F$117,$F371,Покупка!$AC$25:$AC$117,$G371)</f>
        <v>0</v>
      </c>
      <c r="AQ371" s="1022">
        <f ca="1">SUMIFS(Покупка!AP$25:AP$117,Покупка!$F$25:$F$117,$F371,Покупка!$AC$25:$AC$117,$G371)</f>
        <v>0</v>
      </c>
      <c r="AR371" s="1022">
        <f ca="1">SUMIFS(Покупка!AQ$25:AQ$117,Покупка!$F$25:$F$117,$F371,Покупка!$AC$25:$AC$117,$G371)</f>
        <v>0</v>
      </c>
      <c r="AS371" s="1022">
        <f ca="1">SUMIFS(Покупка!AR$25:AR$117,Покупка!$F$25:$F$117,$F371,Покупка!$AC$25:$AC$117,$G371)</f>
        <v>0</v>
      </c>
      <c r="AT371" s="1022">
        <f ca="1">SUMIFS(Покупка!AS$25:AS$117,Покупка!$F$25:$F$117,$F371,Покупка!$AC$25:$AC$117,$G371)</f>
        <v>0</v>
      </c>
      <c r="AU371" s="1022">
        <f ca="1">SUMIFS(Покупка!AT$25:AT$117,Покупка!$F$25:$F$117,$F371,Покупка!$AC$25:$AC$117,$G371)</f>
        <v>0</v>
      </c>
      <c r="AV371" s="1022">
        <f ca="1">SUMIFS(Покупка!AU$25:AU$117,Покупка!$F$25:$F$117,$F371,Покупка!$AC$25:$AC$117,$G371)</f>
        <v>0</v>
      </c>
      <c r="AW371" s="1022">
        <f ca="1">SUMIFS(Покупка!AV$25:AV$117,Покупка!$F$25:$F$117,$F371,Покупка!$AC$25:$AC$117,$G371)</f>
        <v>0</v>
      </c>
      <c r="AX371" s="1022">
        <f ca="1">SUMIFS(Покупка!AW$25:AW$117,Покупка!$F$25:$F$117,$F371,Покупка!$AC$25:$AC$117,$G371)</f>
        <v>0</v>
      </c>
      <c r="AY371" s="1022">
        <f ca="1">SUMIFS(Покупка!AX$25:AX$117,Покупка!$F$25:$F$117,$F371,Покупка!$AC$25:$AC$117,$G371)</f>
        <v>0</v>
      </c>
      <c r="AZ371" s="1022">
        <f ca="1">SUMIFS(Покупка!AY$25:AY$117,Покупка!$F$25:$F$117,$F371,Покупка!$AC$25:$AC$117,$G371)</f>
        <v>0</v>
      </c>
      <c r="BA371" s="1022">
        <f ca="1">SUMIFS(Покупка!AZ$25:AZ$117,Покупка!$F$25:$F$117,$F371,Покупка!$AC$25:$AC$117,$G371)</f>
        <v>0</v>
      </c>
      <c r="BB371" s="1022">
        <f ca="1">SUMIFS(Покупка!BA$25:BA$117,Покупка!$F$25:$F$117,$F371,Покупка!$AC$25:$AC$117,$G371)</f>
        <v>0</v>
      </c>
      <c r="BC371" s="1022">
        <f ca="1">SUMIFS(Покупка!BB$25:BB$117,Покупка!$F$25:$F$117,$F371,Покупка!$AC$25:$AC$117,$G371)</f>
        <v>0</v>
      </c>
      <c r="BD371" s="1022">
        <f t="shared" ca="1" si="94"/>
        <v>0</v>
      </c>
      <c r="BE371" s="1022">
        <f t="shared" ca="1" si="95"/>
        <v>0</v>
      </c>
      <c r="BF371" s="1022">
        <f t="shared" ca="1" si="96"/>
        <v>0</v>
      </c>
      <c r="BG371" s="1022">
        <f t="shared" ca="1" si="97"/>
        <v>0</v>
      </c>
      <c r="BH371" s="1022">
        <f t="shared" ca="1" si="98"/>
        <v>0</v>
      </c>
      <c r="BI371" s="1022">
        <f t="shared" ca="1" si="99"/>
        <v>0</v>
      </c>
      <c r="BJ371" s="1022">
        <f t="shared" ca="1" si="100"/>
        <v>0</v>
      </c>
      <c r="BK371" s="1022">
        <f t="shared" ca="1" si="101"/>
        <v>0</v>
      </c>
      <c r="BL371" s="1022">
        <f t="shared" ca="1" si="102"/>
        <v>0</v>
      </c>
      <c r="BM371" s="1022">
        <f t="shared" ca="1" si="103"/>
        <v>0</v>
      </c>
      <c r="BN371" s="1523"/>
      <c r="BO371" s="1525" t="str">
        <f ca="1">IF(IFERROR(INDEX(Покупка!$K$26:$L$117,MATCH($F371&amp;"1komm",Покупка!$K$26:$K$117,0),2),"")=0,"",IFERROR(INDEX(Покупка!$K$26:$L$117,MATCH($F371&amp;"1komm",Покупка!$K$26:$K$117,0),2),""))</f>
        <v/>
      </c>
      <c r="BP371" s="1523"/>
      <c r="BQ371" s="1184"/>
      <c r="BR371" s="1184"/>
      <c r="BS371" s="973" t="s">
        <v>1999</v>
      </c>
      <c r="BT371" s="973"/>
      <c r="BU371" s="973"/>
      <c r="BV371" s="888"/>
      <c r="BW371" s="888"/>
    </row>
    <row r="372" spans="1:75" s="1334" customFormat="1" ht="14.25" customHeight="1" x14ac:dyDescent="0.15">
      <c r="A372" s="1184"/>
      <c r="B372" s="887"/>
      <c r="C372" s="26"/>
      <c r="D372" s="26"/>
      <c r="E372" s="545">
        <v>15</v>
      </c>
      <c r="F372" s="3" t="str" cm="1">
        <f t="array" aca="1" ref="F372" ca="1">OFFSET(E372,-1,1)</f>
        <v>2</v>
      </c>
      <c r="G372" s="26" t="s">
        <v>1096</v>
      </c>
      <c r="H372" s="26"/>
      <c r="I372" s="26" t="s">
        <v>1630</v>
      </c>
      <c r="J372" s="26"/>
      <c r="K372" s="26" t="s">
        <v>1630</v>
      </c>
      <c r="L372" s="889"/>
      <c r="M372" s="26"/>
      <c r="N372" s="26"/>
      <c r="O372" s="26"/>
      <c r="P372" s="26"/>
      <c r="Q372" s="26"/>
      <c r="R372" s="26"/>
      <c r="S372" s="26"/>
      <c r="T372" s="388" t="b" cm="1">
        <f t="array" aca="1" ref="T372" ca="1">T371</f>
        <v>1</v>
      </c>
      <c r="U372" s="26"/>
      <c r="V372" s="26"/>
      <c r="W372" s="26"/>
      <c r="X372" s="2066"/>
      <c r="Y372" s="1184"/>
      <c r="Z372" s="2012"/>
      <c r="AA372" s="1184"/>
      <c r="AB372" s="218" t="s">
        <v>2000</v>
      </c>
      <c r="AC372" s="685" t="s">
        <v>2001</v>
      </c>
      <c r="AD372" s="218" t="s">
        <v>831</v>
      </c>
      <c r="AE372" s="1022">
        <f ca="1">SUMIFS(Покупка!AE$25:AE$117,Покупка!$F$25:$F$117,$F372,Покупка!$AC$25:$AC$117,$G372)</f>
        <v>0</v>
      </c>
      <c r="AF372" s="1022">
        <f ca="1">SUMIFS(Покупка!AF$25:AF$117,Покупка!$F$25:$F$117,$F372,Покупка!$AC$25:$AC$117,$G372)</f>
        <v>0</v>
      </c>
      <c r="AG372" s="1022">
        <f ca="1">SUMIFS(Покупка!AG$25:AG$117,Покупка!$F$25:$F$117,$F372,Покупка!$AC$25:$AC$117,$G372)</f>
        <v>0</v>
      </c>
      <c r="AH372" s="1022">
        <f t="shared" ca="1" si="92"/>
        <v>0</v>
      </c>
      <c r="AI372" s="1022">
        <f ca="1">SUMIFS(Покупка!AH$25:AH$117,Покупка!$F$25:$F$117,$F372,Покупка!$AC$25:$AC$117,$G372)</f>
        <v>0</v>
      </c>
      <c r="AJ372" s="1022">
        <f ca="1">SUMIFS(Покупка!AI$25:AI$117,Покупка!$F$25:$F$117,$F372,Покупка!$AC$25:$AC$117,$G372)</f>
        <v>0</v>
      </c>
      <c r="AK372" s="1022">
        <f ca="1">SUMIFS(Покупка!AJ$25:AJ$117,Покупка!$F$25:$F$117,$F372,Покупка!$AC$25:$AC$117,$G372)</f>
        <v>0</v>
      </c>
      <c r="AL372" s="1022">
        <f ca="1">SUMIFS(Покупка!AK$25:AK$117,Покупка!$F$25:$F$117,$F372,Покупка!$AC$25:$AC$117,$G372)</f>
        <v>0</v>
      </c>
      <c r="AM372" s="1022">
        <f ca="1">SUMIFS(Покупка!AL$25:AL$117,Покупка!$F$25:$F$117,$F372,Покупка!$AC$25:$AC$117,$G372)</f>
        <v>0</v>
      </c>
      <c r="AN372" s="1022">
        <f ca="1">SUMIFS(Покупка!AM$25:AM$117,Покупка!$F$25:$F$117,$F372,Покупка!$AC$25:$AC$117,$G372)</f>
        <v>0</v>
      </c>
      <c r="AO372" s="1022">
        <f ca="1">SUMIFS(Покупка!AN$25:AN$117,Покупка!$F$25:$F$117,$F372,Покупка!$AC$25:$AC$117,$G372)</f>
        <v>0</v>
      </c>
      <c r="AP372" s="1022">
        <f ca="1">SUMIFS(Покупка!AO$25:AO$117,Покупка!$F$25:$F$117,$F372,Покупка!$AC$25:$AC$117,$G372)</f>
        <v>0</v>
      </c>
      <c r="AQ372" s="1022">
        <f ca="1">SUMIFS(Покупка!AP$25:AP$117,Покупка!$F$25:$F$117,$F372,Покупка!$AC$25:$AC$117,$G372)</f>
        <v>0</v>
      </c>
      <c r="AR372" s="1022">
        <f ca="1">SUMIFS(Покупка!AQ$25:AQ$117,Покупка!$F$25:$F$117,$F372,Покупка!$AC$25:$AC$117,$G372)</f>
        <v>0</v>
      </c>
      <c r="AS372" s="1022">
        <f ca="1">SUMIFS(Покупка!AR$25:AR$117,Покупка!$F$25:$F$117,$F372,Покупка!$AC$25:$AC$117,$G372)</f>
        <v>0</v>
      </c>
      <c r="AT372" s="1022">
        <f ca="1">SUMIFS(Покупка!AS$25:AS$117,Покупка!$F$25:$F$117,$F372,Покупка!$AC$25:$AC$117,$G372)</f>
        <v>0</v>
      </c>
      <c r="AU372" s="1022">
        <f ca="1">SUMIFS(Покупка!AT$25:AT$117,Покупка!$F$25:$F$117,$F372,Покупка!$AC$25:$AC$117,$G372)</f>
        <v>0</v>
      </c>
      <c r="AV372" s="1022">
        <f ca="1">SUMIFS(Покупка!AU$25:AU$117,Покупка!$F$25:$F$117,$F372,Покупка!$AC$25:$AC$117,$G372)</f>
        <v>0</v>
      </c>
      <c r="AW372" s="1022">
        <f ca="1">SUMIFS(Покупка!AV$25:AV$117,Покупка!$F$25:$F$117,$F372,Покупка!$AC$25:$AC$117,$G372)</f>
        <v>0</v>
      </c>
      <c r="AX372" s="1022">
        <f ca="1">SUMIFS(Покупка!AW$25:AW$117,Покупка!$F$25:$F$117,$F372,Покупка!$AC$25:$AC$117,$G372)</f>
        <v>0</v>
      </c>
      <c r="AY372" s="1022">
        <f ca="1">SUMIFS(Покупка!AX$25:AX$117,Покупка!$F$25:$F$117,$F372,Покупка!$AC$25:$AC$117,$G372)</f>
        <v>0</v>
      </c>
      <c r="AZ372" s="1022">
        <f ca="1">SUMIFS(Покупка!AY$25:AY$117,Покупка!$F$25:$F$117,$F372,Покупка!$AC$25:$AC$117,$G372)</f>
        <v>0</v>
      </c>
      <c r="BA372" s="1022">
        <f ca="1">SUMIFS(Покупка!AZ$25:AZ$117,Покупка!$F$25:$F$117,$F372,Покупка!$AC$25:$AC$117,$G372)</f>
        <v>0</v>
      </c>
      <c r="BB372" s="1022">
        <f ca="1">SUMIFS(Покупка!BA$25:BA$117,Покупка!$F$25:$F$117,$F372,Покупка!$AC$25:$AC$117,$G372)</f>
        <v>0</v>
      </c>
      <c r="BC372" s="1022">
        <f ca="1">SUMIFS(Покупка!BB$25:BB$117,Покупка!$F$25:$F$117,$F372,Покупка!$AC$25:$AC$117,$G372)</f>
        <v>0</v>
      </c>
      <c r="BD372" s="1022">
        <f t="shared" ca="1" si="94"/>
        <v>0</v>
      </c>
      <c r="BE372" s="1022">
        <f t="shared" ca="1" si="95"/>
        <v>0</v>
      </c>
      <c r="BF372" s="1022">
        <f t="shared" ca="1" si="96"/>
        <v>0</v>
      </c>
      <c r="BG372" s="1022">
        <f t="shared" ca="1" si="97"/>
        <v>0</v>
      </c>
      <c r="BH372" s="1022">
        <f t="shared" ca="1" si="98"/>
        <v>0</v>
      </c>
      <c r="BI372" s="1022">
        <f t="shared" ca="1" si="99"/>
        <v>0</v>
      </c>
      <c r="BJ372" s="1022">
        <f t="shared" ca="1" si="100"/>
        <v>0</v>
      </c>
      <c r="BK372" s="1022">
        <f t="shared" ca="1" si="101"/>
        <v>0</v>
      </c>
      <c r="BL372" s="1022">
        <f t="shared" ca="1" si="102"/>
        <v>0</v>
      </c>
      <c r="BM372" s="1022">
        <f t="shared" ca="1" si="103"/>
        <v>0</v>
      </c>
      <c r="BN372" s="1523"/>
      <c r="BO372" s="1525" t="str">
        <f ca="1">IF(IFERROR(INDEX(Покупка!$K$26:$L$117,MATCH($F372&amp;"8komm",Покупка!$K$26:$K$117,0),2),"")=0,"",IFERROR(INDEX(Покупка!$K$26:$L$117,MATCH($F372&amp;"8komm",Покупка!$K$26:$K$117,0),2),""))</f>
        <v/>
      </c>
      <c r="BP372" s="1523"/>
      <c r="BQ372" s="1184"/>
      <c r="BR372" s="1184"/>
      <c r="BS372" s="973" t="s">
        <v>1097</v>
      </c>
      <c r="BT372" s="973"/>
      <c r="BU372" s="973"/>
      <c r="BV372" s="888"/>
      <c r="BW372" s="888"/>
    </row>
    <row r="373" spans="1:75" s="1334" customFormat="1" ht="14.25" customHeight="1" x14ac:dyDescent="0.15">
      <c r="A373" s="1184"/>
      <c r="B373" s="887"/>
      <c r="C373" s="26"/>
      <c r="D373" s="26"/>
      <c r="E373" s="545">
        <v>15</v>
      </c>
      <c r="F373" s="3" t="str" cm="1">
        <f t="array" aca="1" ref="F373" ca="1">OFFSET(E373,-1,1)</f>
        <v>2</v>
      </c>
      <c r="G373" s="26"/>
      <c r="H373" s="26"/>
      <c r="I373" s="26" t="s">
        <v>2002</v>
      </c>
      <c r="J373" s="26"/>
      <c r="K373" s="26" t="s">
        <v>2002</v>
      </c>
      <c r="L373" s="889"/>
      <c r="M373" s="26"/>
      <c r="N373" s="26"/>
      <c r="O373" s="26"/>
      <c r="P373" s="26"/>
      <c r="Q373" s="26"/>
      <c r="R373" s="26"/>
      <c r="S373" s="26"/>
      <c r="T373" s="388" t="b" cm="1">
        <f t="array" aca="1" ref="T373" ca="1">T372</f>
        <v>1</v>
      </c>
      <c r="U373" s="26"/>
      <c r="V373" s="26"/>
      <c r="W373" s="26"/>
      <c r="X373" s="2066"/>
      <c r="Y373" s="1184"/>
      <c r="Z373" s="2012"/>
      <c r="AA373" s="1184"/>
      <c r="AB373" s="218" t="s">
        <v>2003</v>
      </c>
      <c r="AC373" s="685" t="s">
        <v>2004</v>
      </c>
      <c r="AD373" s="218" t="s">
        <v>831</v>
      </c>
      <c r="AE373" s="1514"/>
      <c r="AF373" s="1514"/>
      <c r="AG373" s="1514"/>
      <c r="AH373" s="1022">
        <f t="shared" si="92"/>
        <v>0</v>
      </c>
      <c r="AI373" s="1514"/>
      <c r="AJ373" s="1514"/>
      <c r="AK373" s="1148"/>
      <c r="AL373" s="1148"/>
      <c r="AM373" s="1148"/>
      <c r="AN373" s="1148"/>
      <c r="AO373" s="1148"/>
      <c r="AP373" s="1148"/>
      <c r="AQ373" s="1514"/>
      <c r="AR373" s="1514"/>
      <c r="AS373" s="1514"/>
      <c r="AT373" s="1514"/>
      <c r="AU373" s="1148"/>
      <c r="AV373" s="1148"/>
      <c r="AW373" s="1148"/>
      <c r="AX373" s="1148"/>
      <c r="AY373" s="1148"/>
      <c r="AZ373" s="1148"/>
      <c r="BA373" s="1514"/>
      <c r="BB373" s="1514"/>
      <c r="BC373" s="1514"/>
      <c r="BD373" s="1022">
        <f t="shared" si="94"/>
        <v>0</v>
      </c>
      <c r="BE373" s="1022">
        <f t="shared" si="95"/>
        <v>0</v>
      </c>
      <c r="BF373" s="1022">
        <f t="shared" si="96"/>
        <v>0</v>
      </c>
      <c r="BG373" s="1022">
        <f t="shared" si="97"/>
        <v>0</v>
      </c>
      <c r="BH373" s="1022">
        <f t="shared" si="98"/>
        <v>0</v>
      </c>
      <c r="BI373" s="1022">
        <f t="shared" si="99"/>
        <v>0</v>
      </c>
      <c r="BJ373" s="1022">
        <f t="shared" si="100"/>
        <v>0</v>
      </c>
      <c r="BK373" s="1022">
        <f t="shared" si="101"/>
        <v>0</v>
      </c>
      <c r="BL373" s="1022">
        <f t="shared" si="102"/>
        <v>0</v>
      </c>
      <c r="BM373" s="1022">
        <f t="shared" si="103"/>
        <v>0</v>
      </c>
      <c r="BN373" s="1523"/>
      <c r="BO373" s="1523"/>
      <c r="BP373" s="1523"/>
      <c r="BQ373" s="1184"/>
      <c r="BR373" s="1184"/>
      <c r="BS373" s="973" t="s">
        <v>2005</v>
      </c>
      <c r="BT373" s="973"/>
      <c r="BU373" s="973"/>
      <c r="BV373" s="888"/>
      <c r="BW373" s="888"/>
    </row>
    <row r="374" spans="1:75" s="1334" customFormat="1" ht="14.25" customHeight="1" x14ac:dyDescent="0.15">
      <c r="A374" s="1184"/>
      <c r="B374" s="887"/>
      <c r="C374" s="26"/>
      <c r="D374" s="26"/>
      <c r="E374" s="545">
        <v>15</v>
      </c>
      <c r="F374" s="3" t="str" cm="1">
        <f t="array" aca="1" ref="F374" ca="1">OFFSET(E374,-1,1)</f>
        <v>2</v>
      </c>
      <c r="G374" s="26"/>
      <c r="H374" s="26"/>
      <c r="I374" s="26" t="s">
        <v>2006</v>
      </c>
      <c r="J374" s="26"/>
      <c r="K374" s="26" t="s">
        <v>2006</v>
      </c>
      <c r="L374" s="889"/>
      <c r="M374" s="26"/>
      <c r="N374" s="26"/>
      <c r="O374" s="26"/>
      <c r="P374" s="26"/>
      <c r="Q374" s="26"/>
      <c r="R374" s="26"/>
      <c r="S374" s="26"/>
      <c r="T374" s="388" t="b" cm="1">
        <f t="array" aca="1" ref="T374" ca="1">T373</f>
        <v>1</v>
      </c>
      <c r="U374" s="26"/>
      <c r="V374" s="26"/>
      <c r="W374" s="26"/>
      <c r="X374" s="2066"/>
      <c r="Y374" s="1184"/>
      <c r="Z374" s="2012"/>
      <c r="AA374" s="1184"/>
      <c r="AB374" s="218" t="s">
        <v>2007</v>
      </c>
      <c r="AC374" s="685" t="s">
        <v>2008</v>
      </c>
      <c r="AD374" s="218" t="s">
        <v>831</v>
      </c>
      <c r="AE374" s="1514"/>
      <c r="AF374" s="1514"/>
      <c r="AG374" s="1514"/>
      <c r="AH374" s="1022">
        <f t="shared" si="92"/>
        <v>0</v>
      </c>
      <c r="AI374" s="1514"/>
      <c r="AJ374" s="1514"/>
      <c r="AK374" s="1148"/>
      <c r="AL374" s="1148"/>
      <c r="AM374" s="1148"/>
      <c r="AN374" s="1148"/>
      <c r="AO374" s="1148"/>
      <c r="AP374" s="1148"/>
      <c r="AQ374" s="1514"/>
      <c r="AR374" s="1514"/>
      <c r="AS374" s="1514"/>
      <c r="AT374" s="1514"/>
      <c r="AU374" s="1148"/>
      <c r="AV374" s="1148"/>
      <c r="AW374" s="1148"/>
      <c r="AX374" s="1148"/>
      <c r="AY374" s="1148"/>
      <c r="AZ374" s="1148"/>
      <c r="BA374" s="1514"/>
      <c r="BB374" s="1514"/>
      <c r="BC374" s="1514"/>
      <c r="BD374" s="1022">
        <f t="shared" si="94"/>
        <v>0</v>
      </c>
      <c r="BE374" s="1022">
        <f t="shared" si="95"/>
        <v>0</v>
      </c>
      <c r="BF374" s="1022">
        <f t="shared" si="96"/>
        <v>0</v>
      </c>
      <c r="BG374" s="1022">
        <f t="shared" si="97"/>
        <v>0</v>
      </c>
      <c r="BH374" s="1022">
        <f t="shared" si="98"/>
        <v>0</v>
      </c>
      <c r="BI374" s="1022">
        <f t="shared" si="99"/>
        <v>0</v>
      </c>
      <c r="BJ374" s="1022">
        <f t="shared" si="100"/>
        <v>0</v>
      </c>
      <c r="BK374" s="1022">
        <f t="shared" si="101"/>
        <v>0</v>
      </c>
      <c r="BL374" s="1022">
        <f t="shared" si="102"/>
        <v>0</v>
      </c>
      <c r="BM374" s="1022">
        <f t="shared" si="103"/>
        <v>0</v>
      </c>
      <c r="BN374" s="1523"/>
      <c r="BO374" s="1523"/>
      <c r="BP374" s="1523"/>
      <c r="BQ374" s="1184"/>
      <c r="BR374" s="1184"/>
      <c r="BS374" s="973" t="s">
        <v>2009</v>
      </c>
      <c r="BT374" s="973"/>
      <c r="BU374" s="973"/>
      <c r="BV374" s="888"/>
      <c r="BW374" s="888"/>
    </row>
    <row r="375" spans="1:75" s="1334" customFormat="1" ht="14.25" customHeight="1" x14ac:dyDescent="0.15">
      <c r="A375" s="1184"/>
      <c r="B375" s="887"/>
      <c r="C375" s="26"/>
      <c r="D375" s="26"/>
      <c r="E375" s="545">
        <v>15</v>
      </c>
      <c r="F375" s="3" t="str" cm="1">
        <f t="array" aca="1" ref="F375" ca="1">OFFSET(E375,-1,1)</f>
        <v>2</v>
      </c>
      <c r="G375" s="26" t="s">
        <v>1074</v>
      </c>
      <c r="H375" s="26"/>
      <c r="I375" s="26" t="s">
        <v>2010</v>
      </c>
      <c r="J375" s="26"/>
      <c r="K375" s="26" t="s">
        <v>2010</v>
      </c>
      <c r="L375" s="889" t="s">
        <v>1487</v>
      </c>
      <c r="M375" s="26"/>
      <c r="N375" s="26"/>
      <c r="O375" s="26"/>
      <c r="P375" s="26"/>
      <c r="Q375" s="26"/>
      <c r="R375" s="26"/>
      <c r="S375" s="26"/>
      <c r="T375" s="388" t="b" cm="1">
        <f t="array" aca="1" ref="T375" ca="1">T374</f>
        <v>1</v>
      </c>
      <c r="U375" s="26"/>
      <c r="V375" s="26"/>
      <c r="W375" s="26"/>
      <c r="X375" s="2066"/>
      <c r="Y375" s="1184"/>
      <c r="Z375" s="2012"/>
      <c r="AA375" s="1184"/>
      <c r="AB375" s="218" t="s">
        <v>2011</v>
      </c>
      <c r="AC375" s="685" t="s">
        <v>2012</v>
      </c>
      <c r="AD375" s="218" t="s">
        <v>831</v>
      </c>
      <c r="AE375" s="1022">
        <f ca="1">SUMIFS(Покупка!AE$25:AE$117,Покупка!$F$25:$F$117,$F375,Покупка!$AC$25:$AC$117,$G375)</f>
        <v>0</v>
      </c>
      <c r="AF375" s="1022">
        <f ca="1">SUMIFS(Покупка!AF$25:AF$117,Покупка!$F$25:$F$117,$F375,Покупка!$AC$25:$AC$117,$G375)</f>
        <v>0</v>
      </c>
      <c r="AG375" s="1022">
        <f ca="1">SUMIFS(Покупка!AG$25:AG$117,Покупка!$F$25:$F$117,$F375,Покупка!$AC$25:$AC$117,$G375)</f>
        <v>0</v>
      </c>
      <c r="AH375" s="1022">
        <f t="shared" ca="1" si="92"/>
        <v>0</v>
      </c>
      <c r="AI375" s="1022">
        <f ca="1">SUMIFS(Покупка!AH$25:AH$117,Покупка!$F$25:$F$117,$F375,Покупка!$AC$25:$AC$117,$G375)</f>
        <v>0</v>
      </c>
      <c r="AJ375" s="1022">
        <f ca="1">SUMIFS(Покупка!AI$25:AI$117,Покупка!$F$25:$F$117,$F375,Покупка!$AC$25:$AC$117,$G375)</f>
        <v>0</v>
      </c>
      <c r="AK375" s="1022">
        <f ca="1">SUMIFS(Покупка!AJ$25:AJ$117,Покупка!$F$25:$F$117,$F375,Покупка!$AC$25:$AC$117,$G375)</f>
        <v>0</v>
      </c>
      <c r="AL375" s="1022">
        <f ca="1">SUMIFS(Покупка!AK$25:AK$117,Покупка!$F$25:$F$117,$F375,Покупка!$AC$25:$AC$117,$G375)</f>
        <v>0</v>
      </c>
      <c r="AM375" s="1022">
        <f ca="1">SUMIFS(Покупка!AL$25:AL$117,Покупка!$F$25:$F$117,$F375,Покупка!$AC$25:$AC$117,$G375)</f>
        <v>0</v>
      </c>
      <c r="AN375" s="1022">
        <f ca="1">SUMIFS(Покупка!AM$25:AM$117,Покупка!$F$25:$F$117,$F375,Покупка!$AC$25:$AC$117,$G375)</f>
        <v>0</v>
      </c>
      <c r="AO375" s="1022">
        <f ca="1">SUMIFS(Покупка!AN$25:AN$117,Покупка!$F$25:$F$117,$F375,Покупка!$AC$25:$AC$117,$G375)</f>
        <v>0</v>
      </c>
      <c r="AP375" s="1022">
        <f ca="1">SUMIFS(Покупка!AO$25:AO$117,Покупка!$F$25:$F$117,$F375,Покупка!$AC$25:$AC$117,$G375)</f>
        <v>0</v>
      </c>
      <c r="AQ375" s="1022">
        <f ca="1">SUMIFS(Покупка!AP$25:AP$117,Покупка!$F$25:$F$117,$F375,Покупка!$AC$25:$AC$117,$G375)</f>
        <v>0</v>
      </c>
      <c r="AR375" s="1022">
        <f ca="1">SUMIFS(Покупка!AQ$25:AQ$117,Покупка!$F$25:$F$117,$F375,Покупка!$AC$25:$AC$117,$G375)</f>
        <v>0</v>
      </c>
      <c r="AS375" s="1022">
        <f ca="1">SUMIFS(Покупка!AR$25:AR$117,Покупка!$F$25:$F$117,$F375,Покупка!$AC$25:$AC$117,$G375)</f>
        <v>0</v>
      </c>
      <c r="AT375" s="1022">
        <f ca="1">SUMIFS(Покупка!AS$25:AS$117,Покупка!$F$25:$F$117,$F375,Покупка!$AC$25:$AC$117,$G375)</f>
        <v>0</v>
      </c>
      <c r="AU375" s="1022">
        <f ca="1">SUMIFS(Покупка!AT$25:AT$117,Покупка!$F$25:$F$117,$F375,Покупка!$AC$25:$AC$117,$G375)</f>
        <v>0</v>
      </c>
      <c r="AV375" s="1022">
        <f ca="1">SUMIFS(Покупка!AU$25:AU$117,Покупка!$F$25:$F$117,$F375,Покупка!$AC$25:$AC$117,$G375)</f>
        <v>0</v>
      </c>
      <c r="AW375" s="1022">
        <f ca="1">SUMIFS(Покупка!AV$25:AV$117,Покупка!$F$25:$F$117,$F375,Покупка!$AC$25:$AC$117,$G375)</f>
        <v>0</v>
      </c>
      <c r="AX375" s="1022">
        <f ca="1">SUMIFS(Покупка!AW$25:AW$117,Покупка!$F$25:$F$117,$F375,Покупка!$AC$25:$AC$117,$G375)</f>
        <v>0</v>
      </c>
      <c r="AY375" s="1022">
        <f ca="1">SUMIFS(Покупка!AX$25:AX$117,Покупка!$F$25:$F$117,$F375,Покупка!$AC$25:$AC$117,$G375)</f>
        <v>0</v>
      </c>
      <c r="AZ375" s="1022">
        <f ca="1">SUMIFS(Покупка!AY$25:AY$117,Покупка!$F$25:$F$117,$F375,Покупка!$AC$25:$AC$117,$G375)</f>
        <v>0</v>
      </c>
      <c r="BA375" s="1022">
        <f ca="1">SUMIFS(Покупка!AZ$25:AZ$117,Покупка!$F$25:$F$117,$F375,Покупка!$AC$25:$AC$117,$G375)</f>
        <v>0</v>
      </c>
      <c r="BB375" s="1022">
        <f ca="1">SUMIFS(Покупка!BA$25:BA$117,Покупка!$F$25:$F$117,$F375,Покупка!$AC$25:$AC$117,$G375)</f>
        <v>0</v>
      </c>
      <c r="BC375" s="1022">
        <f ca="1">SUMIFS(Покупка!BB$25:BB$117,Покупка!$F$25:$F$117,$F375,Покупка!$AC$25:$AC$117,$G375)</f>
        <v>0</v>
      </c>
      <c r="BD375" s="1022">
        <f t="shared" ca="1" si="94"/>
        <v>0</v>
      </c>
      <c r="BE375" s="1022">
        <f t="shared" ca="1" si="95"/>
        <v>0</v>
      </c>
      <c r="BF375" s="1022">
        <f t="shared" ca="1" si="96"/>
        <v>0</v>
      </c>
      <c r="BG375" s="1022">
        <f t="shared" ca="1" si="97"/>
        <v>0</v>
      </c>
      <c r="BH375" s="1022">
        <f t="shared" ca="1" si="98"/>
        <v>0</v>
      </c>
      <c r="BI375" s="1022">
        <f t="shared" ca="1" si="99"/>
        <v>0</v>
      </c>
      <c r="BJ375" s="1022">
        <f t="shared" ca="1" si="100"/>
        <v>0</v>
      </c>
      <c r="BK375" s="1022">
        <f t="shared" ca="1" si="101"/>
        <v>0</v>
      </c>
      <c r="BL375" s="1022">
        <f t="shared" ca="1" si="102"/>
        <v>0</v>
      </c>
      <c r="BM375" s="1022">
        <f t="shared" ca="1" si="103"/>
        <v>0</v>
      </c>
      <c r="BN375" s="1523"/>
      <c r="BO375" s="1525" t="str">
        <f ca="1">IF(IFERROR(INDEX(Покупка!$K$26:$L$117,MATCH($F375&amp;"3komm",Покупка!$K$26:$K$117,0),2),"")=0,"",IFERROR(INDEX(Покупка!$K$26:$L$117,MATCH($F375&amp;"3komm",Покупка!$K$26:$K$117,0),2),""))</f>
        <v/>
      </c>
      <c r="BP375" s="1523"/>
      <c r="BQ375" s="1184"/>
      <c r="BR375" s="1184"/>
      <c r="BS375" s="973" t="s">
        <v>1705</v>
      </c>
      <c r="BT375" s="973"/>
      <c r="BU375" s="973"/>
      <c r="BV375" s="888"/>
      <c r="BW375" s="888"/>
    </row>
    <row r="376" spans="1:75" s="1334" customFormat="1" ht="14.25" customHeight="1" x14ac:dyDescent="0.15">
      <c r="A376" s="1184"/>
      <c r="B376" s="887"/>
      <c r="C376" s="26"/>
      <c r="D376" s="26"/>
      <c r="E376" s="545">
        <v>15</v>
      </c>
      <c r="F376" s="3" t="str" cm="1">
        <f t="array" aca="1" ref="F376" ca="1">OFFSET(E376,-1,1)</f>
        <v>2</v>
      </c>
      <c r="G376" s="26" t="s">
        <v>1080</v>
      </c>
      <c r="H376" s="26"/>
      <c r="I376" s="26" t="s">
        <v>2013</v>
      </c>
      <c r="J376" s="26"/>
      <c r="K376" s="26" t="s">
        <v>2013</v>
      </c>
      <c r="L376" s="889" t="s">
        <v>1492</v>
      </c>
      <c r="M376" s="26"/>
      <c r="N376" s="26"/>
      <c r="O376" s="26"/>
      <c r="P376" s="26"/>
      <c r="Q376" s="26"/>
      <c r="R376" s="26"/>
      <c r="S376" s="26"/>
      <c r="T376" s="388" t="b" cm="1">
        <f t="array" aca="1" ref="T376" ca="1">T375</f>
        <v>1</v>
      </c>
      <c r="U376" s="26"/>
      <c r="V376" s="26"/>
      <c r="W376" s="26"/>
      <c r="X376" s="2066"/>
      <c r="Y376" s="1184"/>
      <c r="Z376" s="2012"/>
      <c r="AA376" s="1184"/>
      <c r="AB376" s="218" t="s">
        <v>2014</v>
      </c>
      <c r="AC376" s="685" t="s">
        <v>2015</v>
      </c>
      <c r="AD376" s="218" t="s">
        <v>831</v>
      </c>
      <c r="AE376" s="1022">
        <f ca="1">SUMIFS(Покупка!AE$25:AE$117,Покупка!$F$25:$F$117,$F376,Покупка!$AC$25:$AC$117,$G376)</f>
        <v>0</v>
      </c>
      <c r="AF376" s="1022">
        <f ca="1">SUMIFS(Покупка!AF$25:AF$117,Покупка!$F$25:$F$117,$F376,Покупка!$AC$25:$AC$117,$G376)</f>
        <v>0</v>
      </c>
      <c r="AG376" s="1022">
        <f ca="1">SUMIFS(Покупка!AG$25:AG$117,Покупка!$F$25:$F$117,$F376,Покупка!$AC$25:$AC$117,$G376)</f>
        <v>0</v>
      </c>
      <c r="AH376" s="1022">
        <f t="shared" ca="1" si="92"/>
        <v>0</v>
      </c>
      <c r="AI376" s="1022">
        <f ca="1">SUMIFS(Покупка!AH$25:AH$117,Покупка!$F$25:$F$117,$F376,Покупка!$AC$25:$AC$117,$G376)</f>
        <v>0</v>
      </c>
      <c r="AJ376" s="1022">
        <f ca="1">SUMIFS(Покупка!AI$25:AI$117,Покупка!$F$25:$F$117,$F376,Покупка!$AC$25:$AC$117,$G376)</f>
        <v>0</v>
      </c>
      <c r="AK376" s="1022">
        <f ca="1">SUMIFS(Покупка!AJ$25:AJ$117,Покупка!$F$25:$F$117,$F376,Покупка!$AC$25:$AC$117,$G376)</f>
        <v>0</v>
      </c>
      <c r="AL376" s="1022">
        <f ca="1">SUMIFS(Покупка!AK$25:AK$117,Покупка!$F$25:$F$117,$F376,Покупка!$AC$25:$AC$117,$G376)</f>
        <v>0</v>
      </c>
      <c r="AM376" s="1022">
        <f ca="1">SUMIFS(Покупка!AL$25:AL$117,Покупка!$F$25:$F$117,$F376,Покупка!$AC$25:$AC$117,$G376)</f>
        <v>0</v>
      </c>
      <c r="AN376" s="1022">
        <f ca="1">SUMIFS(Покупка!AM$25:AM$117,Покупка!$F$25:$F$117,$F376,Покупка!$AC$25:$AC$117,$G376)</f>
        <v>0</v>
      </c>
      <c r="AO376" s="1022">
        <f ca="1">SUMIFS(Покупка!AN$25:AN$117,Покупка!$F$25:$F$117,$F376,Покупка!$AC$25:$AC$117,$G376)</f>
        <v>0</v>
      </c>
      <c r="AP376" s="1022">
        <f ca="1">SUMIFS(Покупка!AO$25:AO$117,Покупка!$F$25:$F$117,$F376,Покупка!$AC$25:$AC$117,$G376)</f>
        <v>0</v>
      </c>
      <c r="AQ376" s="1022">
        <f ca="1">SUMIFS(Покупка!AP$25:AP$117,Покупка!$F$25:$F$117,$F376,Покупка!$AC$25:$AC$117,$G376)</f>
        <v>0</v>
      </c>
      <c r="AR376" s="1022">
        <f ca="1">SUMIFS(Покупка!AQ$25:AQ$117,Покупка!$F$25:$F$117,$F376,Покупка!$AC$25:$AC$117,$G376)</f>
        <v>0</v>
      </c>
      <c r="AS376" s="1022">
        <f ca="1">SUMIFS(Покупка!AR$25:AR$117,Покупка!$F$25:$F$117,$F376,Покупка!$AC$25:$AC$117,$G376)</f>
        <v>0</v>
      </c>
      <c r="AT376" s="1022">
        <f ca="1">SUMIFS(Покупка!AS$25:AS$117,Покупка!$F$25:$F$117,$F376,Покупка!$AC$25:$AC$117,$G376)</f>
        <v>0</v>
      </c>
      <c r="AU376" s="1022">
        <f ca="1">SUMIFS(Покупка!AT$25:AT$117,Покупка!$F$25:$F$117,$F376,Покупка!$AC$25:$AC$117,$G376)</f>
        <v>0</v>
      </c>
      <c r="AV376" s="1022">
        <f ca="1">SUMIFS(Покупка!AU$25:AU$117,Покупка!$F$25:$F$117,$F376,Покупка!$AC$25:$AC$117,$G376)</f>
        <v>0</v>
      </c>
      <c r="AW376" s="1022">
        <f ca="1">SUMIFS(Покупка!AV$25:AV$117,Покупка!$F$25:$F$117,$F376,Покупка!$AC$25:$AC$117,$G376)</f>
        <v>0</v>
      </c>
      <c r="AX376" s="1022">
        <f ca="1">SUMIFS(Покупка!AW$25:AW$117,Покупка!$F$25:$F$117,$F376,Покупка!$AC$25:$AC$117,$G376)</f>
        <v>0</v>
      </c>
      <c r="AY376" s="1022">
        <f ca="1">SUMIFS(Покупка!AX$25:AX$117,Покупка!$F$25:$F$117,$F376,Покупка!$AC$25:$AC$117,$G376)</f>
        <v>0</v>
      </c>
      <c r="AZ376" s="1022">
        <f ca="1">SUMIFS(Покупка!AY$25:AY$117,Покупка!$F$25:$F$117,$F376,Покупка!$AC$25:$AC$117,$G376)</f>
        <v>0</v>
      </c>
      <c r="BA376" s="1022">
        <f ca="1">SUMIFS(Покупка!AZ$25:AZ$117,Покупка!$F$25:$F$117,$F376,Покупка!$AC$25:$AC$117,$G376)</f>
        <v>0</v>
      </c>
      <c r="BB376" s="1022">
        <f ca="1">SUMIFS(Покупка!BA$25:BA$117,Покупка!$F$25:$F$117,$F376,Покупка!$AC$25:$AC$117,$G376)</f>
        <v>0</v>
      </c>
      <c r="BC376" s="1022">
        <f ca="1">SUMIFS(Покупка!BB$25:BB$117,Покупка!$F$25:$F$117,$F376,Покупка!$AC$25:$AC$117,$G376)</f>
        <v>0</v>
      </c>
      <c r="BD376" s="1022">
        <f t="shared" ca="1" si="94"/>
        <v>0</v>
      </c>
      <c r="BE376" s="1022">
        <f t="shared" ca="1" si="95"/>
        <v>0</v>
      </c>
      <c r="BF376" s="1022">
        <f t="shared" ca="1" si="96"/>
        <v>0</v>
      </c>
      <c r="BG376" s="1022">
        <f t="shared" ca="1" si="97"/>
        <v>0</v>
      </c>
      <c r="BH376" s="1022">
        <f t="shared" ca="1" si="98"/>
        <v>0</v>
      </c>
      <c r="BI376" s="1022">
        <f t="shared" ca="1" si="99"/>
        <v>0</v>
      </c>
      <c r="BJ376" s="1022">
        <f t="shared" ca="1" si="100"/>
        <v>0</v>
      </c>
      <c r="BK376" s="1022">
        <f t="shared" ca="1" si="101"/>
        <v>0</v>
      </c>
      <c r="BL376" s="1022">
        <f t="shared" ca="1" si="102"/>
        <v>0</v>
      </c>
      <c r="BM376" s="1022">
        <f t="shared" ca="1" si="103"/>
        <v>0</v>
      </c>
      <c r="BN376" s="1523"/>
      <c r="BO376" s="1525" t="str">
        <f ca="1">IF(IFERROR(INDEX(Покупка!$K$26:$L$117,MATCH($F376&amp;"4komm",Покупка!$K$26:$K$117,0),2),"")=0,"",IFERROR(INDEX(Покупка!$K$26:$L$117,MATCH($F375&amp;"3komm",Покупка!$K$26:$K$117,0),2),""))</f>
        <v/>
      </c>
      <c r="BP376" s="1523"/>
      <c r="BQ376" s="1184"/>
      <c r="BR376" s="1184"/>
      <c r="BS376" s="973" t="s">
        <v>1708</v>
      </c>
      <c r="BT376" s="973"/>
      <c r="BU376" s="973"/>
      <c r="BV376" s="888"/>
      <c r="BW376" s="888"/>
    </row>
    <row r="377" spans="1:75" s="1334" customFormat="1" ht="14.25" customHeight="1" x14ac:dyDescent="0.15">
      <c r="A377" s="1184"/>
      <c r="B377" s="887"/>
      <c r="C377" s="26"/>
      <c r="D377" s="26"/>
      <c r="E377" s="545">
        <v>15</v>
      </c>
      <c r="F377" s="3" t="str" cm="1">
        <f t="array" aca="1" ref="F377" ca="1">OFFSET(E377,-1,1)</f>
        <v>2</v>
      </c>
      <c r="G377" s="26" t="s">
        <v>1086</v>
      </c>
      <c r="H377" s="26"/>
      <c r="I377" s="26" t="s">
        <v>2016</v>
      </c>
      <c r="J377" s="26"/>
      <c r="K377" s="26" t="s">
        <v>2016</v>
      </c>
      <c r="L377" s="889" t="s">
        <v>1502</v>
      </c>
      <c r="M377" s="26"/>
      <c r="N377" s="26"/>
      <c r="O377" s="26"/>
      <c r="P377" s="26"/>
      <c r="Q377" s="26"/>
      <c r="R377" s="26"/>
      <c r="S377" s="26"/>
      <c r="T377" s="388" t="b" cm="1">
        <f t="array" aca="1" ref="T377" ca="1">T376</f>
        <v>1</v>
      </c>
      <c r="U377" s="26"/>
      <c r="V377" s="26"/>
      <c r="W377" s="26"/>
      <c r="X377" s="2066"/>
      <c r="Y377" s="1184"/>
      <c r="Z377" s="2012"/>
      <c r="AA377" s="1184"/>
      <c r="AB377" s="218" t="s">
        <v>2017</v>
      </c>
      <c r="AC377" s="685" t="s">
        <v>2018</v>
      </c>
      <c r="AD377" s="218" t="s">
        <v>831</v>
      </c>
      <c r="AE377" s="1022">
        <f ca="1">SUMIFS(Покупка!AE$25:AE$117,Покупка!$F$25:$F$117,$F377,Покупка!$AC$25:$AC$117,$G377)</f>
        <v>0</v>
      </c>
      <c r="AF377" s="1022">
        <f ca="1">SUMIFS(Покупка!AF$25:AF$117,Покупка!$F$25:$F$117,$F377,Покупка!$AC$25:$AC$117,$G377)</f>
        <v>0</v>
      </c>
      <c r="AG377" s="1022">
        <f ca="1">SUMIFS(Покупка!AG$25:AG$117,Покупка!$F$25:$F$117,$F377,Покупка!$AC$25:$AC$117,$G377)</f>
        <v>0</v>
      </c>
      <c r="AH377" s="1022">
        <f t="shared" ca="1" si="92"/>
        <v>0</v>
      </c>
      <c r="AI377" s="1022">
        <f ca="1">SUMIFS(Покупка!AH$25:AH$117,Покупка!$F$25:$F$117,$F377,Покупка!$AC$25:$AC$117,$G377)</f>
        <v>0</v>
      </c>
      <c r="AJ377" s="1022">
        <f ca="1">SUMIFS(Покупка!AI$25:AI$117,Покупка!$F$25:$F$117,$F377,Покупка!$AC$25:$AC$117,$G377)</f>
        <v>0</v>
      </c>
      <c r="AK377" s="1022">
        <f ca="1">SUMIFS(Покупка!AJ$25:AJ$117,Покупка!$F$25:$F$117,$F377,Покупка!$AC$25:$AC$117,$G377)</f>
        <v>0</v>
      </c>
      <c r="AL377" s="1022">
        <f ca="1">SUMIFS(Покупка!AK$25:AK$117,Покупка!$F$25:$F$117,$F377,Покупка!$AC$25:$AC$117,$G377)</f>
        <v>0</v>
      </c>
      <c r="AM377" s="1022">
        <f ca="1">SUMIFS(Покупка!AL$25:AL$117,Покупка!$F$25:$F$117,$F377,Покупка!$AC$25:$AC$117,$G377)</f>
        <v>0</v>
      </c>
      <c r="AN377" s="1022">
        <f ca="1">SUMIFS(Покупка!AM$25:AM$117,Покупка!$F$25:$F$117,$F377,Покупка!$AC$25:$AC$117,$G377)</f>
        <v>0</v>
      </c>
      <c r="AO377" s="1022">
        <f ca="1">SUMIFS(Покупка!AN$25:AN$117,Покупка!$F$25:$F$117,$F377,Покупка!$AC$25:$AC$117,$G377)</f>
        <v>0</v>
      </c>
      <c r="AP377" s="1022">
        <f ca="1">SUMIFS(Покупка!AO$25:AO$117,Покупка!$F$25:$F$117,$F377,Покупка!$AC$25:$AC$117,$G377)</f>
        <v>0</v>
      </c>
      <c r="AQ377" s="1022">
        <f ca="1">SUMIFS(Покупка!AP$25:AP$117,Покупка!$F$25:$F$117,$F377,Покупка!$AC$25:$AC$117,$G377)</f>
        <v>0</v>
      </c>
      <c r="AR377" s="1022">
        <f ca="1">SUMIFS(Покупка!AQ$25:AQ$117,Покупка!$F$25:$F$117,$F377,Покупка!$AC$25:$AC$117,$G377)</f>
        <v>0</v>
      </c>
      <c r="AS377" s="1022">
        <f ca="1">SUMIFS(Покупка!AR$25:AR$117,Покупка!$F$25:$F$117,$F377,Покупка!$AC$25:$AC$117,$G377)</f>
        <v>0</v>
      </c>
      <c r="AT377" s="1022">
        <f ca="1">SUMIFS(Покупка!AS$25:AS$117,Покупка!$F$25:$F$117,$F377,Покупка!$AC$25:$AC$117,$G377)</f>
        <v>0</v>
      </c>
      <c r="AU377" s="1022">
        <f ca="1">SUMIFS(Покупка!AT$25:AT$117,Покупка!$F$25:$F$117,$F377,Покупка!$AC$25:$AC$117,$G377)</f>
        <v>0</v>
      </c>
      <c r="AV377" s="1022">
        <f ca="1">SUMIFS(Покупка!AU$25:AU$117,Покупка!$F$25:$F$117,$F377,Покупка!$AC$25:$AC$117,$G377)</f>
        <v>0</v>
      </c>
      <c r="AW377" s="1022">
        <f ca="1">SUMIFS(Покупка!AV$25:AV$117,Покупка!$F$25:$F$117,$F377,Покупка!$AC$25:$AC$117,$G377)</f>
        <v>0</v>
      </c>
      <c r="AX377" s="1022">
        <f ca="1">SUMIFS(Покупка!AW$25:AW$117,Покупка!$F$25:$F$117,$F377,Покупка!$AC$25:$AC$117,$G377)</f>
        <v>0</v>
      </c>
      <c r="AY377" s="1022">
        <f ca="1">SUMIFS(Покупка!AX$25:AX$117,Покупка!$F$25:$F$117,$F377,Покупка!$AC$25:$AC$117,$G377)</f>
        <v>0</v>
      </c>
      <c r="AZ377" s="1022">
        <f ca="1">SUMIFS(Покупка!AY$25:AY$117,Покупка!$F$25:$F$117,$F377,Покупка!$AC$25:$AC$117,$G377)</f>
        <v>0</v>
      </c>
      <c r="BA377" s="1022">
        <f ca="1">SUMIFS(Покупка!AZ$25:AZ$117,Покупка!$F$25:$F$117,$F377,Покупка!$AC$25:$AC$117,$G377)</f>
        <v>0</v>
      </c>
      <c r="BB377" s="1022">
        <f ca="1">SUMIFS(Покупка!BA$25:BA$117,Покупка!$F$25:$F$117,$F377,Покупка!$AC$25:$AC$117,$G377)</f>
        <v>0</v>
      </c>
      <c r="BC377" s="1022">
        <f ca="1">SUMIFS(Покупка!BB$25:BB$117,Покупка!$F$25:$F$117,$F377,Покупка!$AC$25:$AC$117,$G377)</f>
        <v>0</v>
      </c>
      <c r="BD377" s="1022">
        <f t="shared" ca="1" si="94"/>
        <v>0</v>
      </c>
      <c r="BE377" s="1022">
        <f t="shared" ca="1" si="95"/>
        <v>0</v>
      </c>
      <c r="BF377" s="1022">
        <f t="shared" ca="1" si="96"/>
        <v>0</v>
      </c>
      <c r="BG377" s="1022">
        <f t="shared" ca="1" si="97"/>
        <v>0</v>
      </c>
      <c r="BH377" s="1022">
        <f t="shared" ca="1" si="98"/>
        <v>0</v>
      </c>
      <c r="BI377" s="1022">
        <f t="shared" ca="1" si="99"/>
        <v>0</v>
      </c>
      <c r="BJ377" s="1022">
        <f t="shared" ca="1" si="100"/>
        <v>0</v>
      </c>
      <c r="BK377" s="1022">
        <f t="shared" ca="1" si="101"/>
        <v>0</v>
      </c>
      <c r="BL377" s="1022">
        <f t="shared" ca="1" si="102"/>
        <v>0</v>
      </c>
      <c r="BM377" s="1022">
        <f t="shared" ca="1" si="103"/>
        <v>0</v>
      </c>
      <c r="BN377" s="1523"/>
      <c r="BO377" s="1525" t="str">
        <f ca="1">IF(IFERROR(INDEX(Покупка!$K$26:$L$117,MATCH($F377&amp;"5komm",Покупка!$K$26:$K$117,0),2),"")=0,"",IFERROR(INDEX(Покупка!$K$26:$L$117,MATCH($F377&amp;"5komm",Покупка!$K$26:$K$117,0),2),""))</f>
        <v/>
      </c>
      <c r="BP377" s="1523"/>
      <c r="BQ377" s="1184"/>
      <c r="BR377" s="1184"/>
      <c r="BS377" s="973" t="s">
        <v>1711</v>
      </c>
      <c r="BT377" s="973"/>
      <c r="BU377" s="973"/>
      <c r="BV377" s="888"/>
      <c r="BW377" s="888"/>
    </row>
    <row r="378" spans="1:75" s="1334" customFormat="1" ht="14.25" customHeight="1" x14ac:dyDescent="0.15">
      <c r="A378" s="1184"/>
      <c r="B378" s="887"/>
      <c r="C378" s="26"/>
      <c r="D378" s="26"/>
      <c r="E378" s="545">
        <v>15</v>
      </c>
      <c r="F378" s="3" t="str" cm="1">
        <f t="array" aca="1" ref="F378" ca="1">OFFSET(E378,-1,1)</f>
        <v>2</v>
      </c>
      <c r="G378" s="26" t="s">
        <v>1098</v>
      </c>
      <c r="H378" s="26"/>
      <c r="I378" s="26"/>
      <c r="J378" s="26"/>
      <c r="K378" s="26"/>
      <c r="L378" s="889" t="s">
        <v>1469</v>
      </c>
      <c r="M378" s="26"/>
      <c r="N378" s="26"/>
      <c r="O378" s="26"/>
      <c r="P378" s="26"/>
      <c r="Q378" s="26"/>
      <c r="R378" s="26"/>
      <c r="S378" s="26"/>
      <c r="T378" s="388" t="b" cm="1">
        <f t="array" aca="1" ref="T378" ca="1">T377</f>
        <v>1</v>
      </c>
      <c r="U378" s="26"/>
      <c r="V378" s="26"/>
      <c r="W378" s="26"/>
      <c r="X378" s="2066"/>
      <c r="Y378" s="1184"/>
      <c r="Z378" s="2012"/>
      <c r="AA378" s="1184"/>
      <c r="AB378" s="218" t="s">
        <v>2019</v>
      </c>
      <c r="AC378" s="685" t="s">
        <v>2020</v>
      </c>
      <c r="AD378" s="218" t="s">
        <v>831</v>
      </c>
      <c r="AE378" s="1022">
        <f ca="1">SUMIFS(Покупка!AE$25:AE$117,Покупка!$F$25:$F$117,$F378,Покупка!$AC$25:$AC$117,$G378)</f>
        <v>0</v>
      </c>
      <c r="AF378" s="1022">
        <f ca="1">SUMIFS(Покупка!AF$25:AF$117,Покупка!$F$25:$F$117,$F378,Покупка!$AC$25:$AC$117,$G378)</f>
        <v>0</v>
      </c>
      <c r="AG378" s="1022">
        <f ca="1">SUMIFS(Покупка!AG$25:AG$117,Покупка!$F$25:$F$117,$F378,Покупка!$AC$25:$AC$117,$G378)</f>
        <v>0</v>
      </c>
      <c r="AH378" s="1022">
        <f t="shared" ca="1" si="92"/>
        <v>0</v>
      </c>
      <c r="AI378" s="1022">
        <f ca="1">SUMIFS(Покупка!AH$25:AH$117,Покупка!$F$25:$F$117,$F378,Покупка!$AC$25:$AC$117,$G378)</f>
        <v>0</v>
      </c>
      <c r="AJ378" s="1022">
        <f ca="1">SUMIFS(Покупка!AI$25:AI$117,Покупка!$F$25:$F$117,$F378,Покупка!$AC$25:$AC$117,$G378)</f>
        <v>0</v>
      </c>
      <c r="AK378" s="1022">
        <f ca="1">SUMIFS(Покупка!AJ$25:AJ$117,Покупка!$F$25:$F$117,$F378,Покупка!$AC$25:$AC$117,$G378)</f>
        <v>0</v>
      </c>
      <c r="AL378" s="1022">
        <f ca="1">SUMIFS(Покупка!AK$25:AK$117,Покупка!$F$25:$F$117,$F378,Покупка!$AC$25:$AC$117,$G378)</f>
        <v>0</v>
      </c>
      <c r="AM378" s="1022">
        <f ca="1">SUMIFS(Покупка!AL$25:AL$117,Покупка!$F$25:$F$117,$F378,Покупка!$AC$25:$AC$117,$G378)</f>
        <v>0</v>
      </c>
      <c r="AN378" s="1022">
        <f ca="1">SUMIFS(Покупка!AM$25:AM$117,Покупка!$F$25:$F$117,$F378,Покупка!$AC$25:$AC$117,$G378)</f>
        <v>0</v>
      </c>
      <c r="AO378" s="1022">
        <f ca="1">SUMIFS(Покупка!AN$25:AN$117,Покупка!$F$25:$F$117,$F378,Покупка!$AC$25:$AC$117,$G378)</f>
        <v>0</v>
      </c>
      <c r="AP378" s="1022">
        <f ca="1">SUMIFS(Покупка!AO$25:AO$117,Покупка!$F$25:$F$117,$F378,Покупка!$AC$25:$AC$117,$G378)</f>
        <v>0</v>
      </c>
      <c r="AQ378" s="1022">
        <f ca="1">SUMIFS(Покупка!AP$25:AP$117,Покупка!$F$25:$F$117,$F378,Покупка!$AC$25:$AC$117,$G378)</f>
        <v>0</v>
      </c>
      <c r="AR378" s="1022">
        <f ca="1">SUMIFS(Покупка!AQ$25:AQ$117,Покупка!$F$25:$F$117,$F378,Покупка!$AC$25:$AC$117,$G378)</f>
        <v>0</v>
      </c>
      <c r="AS378" s="1022">
        <f ca="1">SUMIFS(Покупка!AR$25:AR$117,Покупка!$F$25:$F$117,$F378,Покупка!$AC$25:$AC$117,$G378)</f>
        <v>0</v>
      </c>
      <c r="AT378" s="1022">
        <f ca="1">SUMIFS(Покупка!AS$25:AS$117,Покупка!$F$25:$F$117,$F378,Покупка!$AC$25:$AC$117,$G378)</f>
        <v>0</v>
      </c>
      <c r="AU378" s="1022">
        <f ca="1">SUMIFS(Покупка!AT$25:AT$117,Покупка!$F$25:$F$117,$F378,Покупка!$AC$25:$AC$117,$G378)</f>
        <v>0</v>
      </c>
      <c r="AV378" s="1022">
        <f ca="1">SUMIFS(Покупка!AU$25:AU$117,Покупка!$F$25:$F$117,$F378,Покупка!$AC$25:$AC$117,$G378)</f>
        <v>0</v>
      </c>
      <c r="AW378" s="1022">
        <f ca="1">SUMIFS(Покупка!AV$25:AV$117,Покупка!$F$25:$F$117,$F378,Покупка!$AC$25:$AC$117,$G378)</f>
        <v>0</v>
      </c>
      <c r="AX378" s="1022">
        <f ca="1">SUMIFS(Покупка!AW$25:AW$117,Покупка!$F$25:$F$117,$F378,Покупка!$AC$25:$AC$117,$G378)</f>
        <v>0</v>
      </c>
      <c r="AY378" s="1022">
        <f ca="1">SUMIFS(Покупка!AX$25:AX$117,Покупка!$F$25:$F$117,$F378,Покупка!$AC$25:$AC$117,$G378)</f>
        <v>0</v>
      </c>
      <c r="AZ378" s="1022">
        <f ca="1">SUMIFS(Покупка!AY$25:AY$117,Покупка!$F$25:$F$117,$F378,Покупка!$AC$25:$AC$117,$G378)</f>
        <v>0</v>
      </c>
      <c r="BA378" s="1022">
        <f ca="1">SUMIFS(Покупка!AZ$25:AZ$117,Покупка!$F$25:$F$117,$F378,Покупка!$AC$25:$AC$117,$G378)</f>
        <v>0</v>
      </c>
      <c r="BB378" s="1022">
        <f ca="1">SUMIFS(Покупка!BA$25:BA$117,Покупка!$F$25:$F$117,$F378,Покупка!$AC$25:$AC$117,$G378)</f>
        <v>0</v>
      </c>
      <c r="BC378" s="1022">
        <f ca="1">SUMIFS(Покупка!BB$25:BB$117,Покупка!$F$25:$F$117,$F378,Покупка!$AC$25:$AC$117,$G378)</f>
        <v>0</v>
      </c>
      <c r="BD378" s="1022">
        <f t="shared" ca="1" si="94"/>
        <v>0</v>
      </c>
      <c r="BE378" s="1022">
        <f t="shared" ca="1" si="95"/>
        <v>0</v>
      </c>
      <c r="BF378" s="1022">
        <f t="shared" ca="1" si="96"/>
        <v>0</v>
      </c>
      <c r="BG378" s="1022">
        <f t="shared" ca="1" si="97"/>
        <v>0</v>
      </c>
      <c r="BH378" s="1022">
        <f t="shared" ca="1" si="98"/>
        <v>0</v>
      </c>
      <c r="BI378" s="1022">
        <f t="shared" ca="1" si="99"/>
        <v>0</v>
      </c>
      <c r="BJ378" s="1022">
        <f t="shared" ca="1" si="100"/>
        <v>0</v>
      </c>
      <c r="BK378" s="1022">
        <f t="shared" ca="1" si="101"/>
        <v>0</v>
      </c>
      <c r="BL378" s="1022">
        <f t="shared" ca="1" si="102"/>
        <v>0</v>
      </c>
      <c r="BM378" s="1022">
        <f t="shared" ca="1" si="103"/>
        <v>0</v>
      </c>
      <c r="BN378" s="1523"/>
      <c r="BO378" s="1525" t="str">
        <f ca="1">IF(IFERROR(INDEX(Покупка!$K$26:$L$117,MATCH($F378&amp;"9komm",Покупка!$K$26:$K$117,0),2),"")=0,"",IFERROR(INDEX(Покупка!$K$26:$L$117,MATCH($F378&amp;"9komm",Покупка!$K$26:$K$117,0),2),""))</f>
        <v/>
      </c>
      <c r="BP378" s="1523"/>
      <c r="BQ378" s="1184"/>
      <c r="BR378" s="1184"/>
      <c r="BS378" s="973" t="s">
        <v>1099</v>
      </c>
      <c r="BT378" s="973"/>
      <c r="BU378" s="973"/>
      <c r="BV378" s="888"/>
      <c r="BW378" s="888"/>
    </row>
    <row r="379" spans="1:75" s="1334" customFormat="1" ht="264.75" customHeight="1" x14ac:dyDescent="0.15">
      <c r="A379" s="1184"/>
      <c r="B379" s="887"/>
      <c r="C379" s="26"/>
      <c r="D379" s="26"/>
      <c r="E379" s="545">
        <v>15</v>
      </c>
      <c r="F379" s="3" t="str" cm="1">
        <f t="array" aca="1" ref="F379" ca="1">OFFSET(E379,-1,1)</f>
        <v>2</v>
      </c>
      <c r="G379" s="26"/>
      <c r="H379" s="26"/>
      <c r="I379" s="26" t="s">
        <v>515</v>
      </c>
      <c r="J379" s="26"/>
      <c r="K379" s="26" t="s">
        <v>515</v>
      </c>
      <c r="L379" s="889"/>
      <c r="M379" s="26"/>
      <c r="N379" s="26"/>
      <c r="O379" s="26"/>
      <c r="P379" s="26"/>
      <c r="Q379" s="26"/>
      <c r="R379" s="26"/>
      <c r="S379" s="26"/>
      <c r="T379" s="388" t="b" cm="1">
        <f t="array" aca="1" ref="T379" ca="1">T378</f>
        <v>1</v>
      </c>
      <c r="U379" s="26"/>
      <c r="V379" s="26"/>
      <c r="W379" s="26"/>
      <c r="X379" s="2066"/>
      <c r="Y379" s="1184"/>
      <c r="Z379" s="2012"/>
      <c r="AA379" s="1184"/>
      <c r="AB379" s="218" t="s">
        <v>570</v>
      </c>
      <c r="AC379" s="682" t="s">
        <v>2021</v>
      </c>
      <c r="AD379" s="699" t="s">
        <v>831</v>
      </c>
      <c r="AE379" s="1022">
        <f ca="1">SUMIFS('Сырье и материалы'!AE$25:AE$46,'Сырье и материалы'!$F$25:$F$46,$F379,'Сырье и материалы'!$AC$25:$AC$46,"Всего по тарифу")</f>
        <v>1205.73</v>
      </c>
      <c r="AF379" s="1022">
        <f ca="1">SUMIFS('Сырье и материалы'!AF$25:AF$46,'Сырье и материалы'!$F$25:$F$46,$F379,'Сырье и материалы'!$AC$25:$AC$46,"Всего по тарифу")</f>
        <v>1124.97</v>
      </c>
      <c r="AG379" s="1022">
        <f ca="1">SUMIFS('Сырье и материалы'!AG$25:AG$46,'Сырье и материалы'!$F$25:$F$46,$F379,'Сырье и материалы'!$AC$25:$AC$46,"Всего по тарифу")</f>
        <v>1111.6199999999999</v>
      </c>
      <c r="AH379" s="1022">
        <f t="shared" ca="1" si="92"/>
        <v>-13.350000000000136</v>
      </c>
      <c r="AI379" s="1022">
        <f ca="1">SUMIFS('Сырье и материалы'!AH$25:AH$46,'Сырье и материалы'!$F$25:$F$46,$F379,'Сырье и материалы'!$AC$25:$AC$46,"Всего по тарифу")</f>
        <v>1376.150995297</v>
      </c>
      <c r="AJ379" s="1022">
        <f ca="1">SUMIFS('Сырье и материалы'!AI$25:AI$46,'Сырье и материалы'!$F$25:$F$46,$F379,'Сырье и материалы'!$AC$25:$AC$46,"Всего по тарифу")</f>
        <v>1436.24</v>
      </c>
      <c r="AK379" s="1022">
        <f ca="1">SUMIFS('Сырье и материалы'!AJ$25:AJ$46,'Сырье и материалы'!$F$25:$F$46,$F379,'Сырье и материалы'!$AC$25:$AC$46,"Всего по тарифу")</f>
        <v>0</v>
      </c>
      <c r="AL379" s="1022">
        <f ca="1">SUMIFS('Сырье и материалы'!AK$25:AK$46,'Сырье и материалы'!$F$25:$F$46,$F379,'Сырье и материалы'!$AC$25:$AC$46,"Всего по тарифу")</f>
        <v>0</v>
      </c>
      <c r="AM379" s="1022">
        <f ca="1">SUMIFS('Сырье и материалы'!AL$25:AL$46,'Сырье и материалы'!$F$25:$F$46,$F379,'Сырье и материалы'!$AC$25:$AC$46,"Всего по тарифу")</f>
        <v>0</v>
      </c>
      <c r="AN379" s="1022">
        <f ca="1">SUMIFS('Сырье и материалы'!AM$25:AM$46,'Сырье и материалы'!$F$25:$F$46,$F379,'Сырье и материалы'!$AC$25:$AC$46,"Всего по тарифу")</f>
        <v>0</v>
      </c>
      <c r="AO379" s="1022">
        <f ca="1">SUMIFS('Сырье и материалы'!AN$25:AN$46,'Сырье и материалы'!$F$25:$F$46,$F379,'Сырье и материалы'!$AC$25:$AC$46,"Всего по тарифу")</f>
        <v>0</v>
      </c>
      <c r="AP379" s="1022">
        <f ca="1">SUMIFS('Сырье и материалы'!AO$25:AO$46,'Сырье и материалы'!$F$25:$F$46,$F379,'Сырье и материалы'!$AC$25:$AC$46,"Всего по тарифу")</f>
        <v>0</v>
      </c>
      <c r="AQ379" s="1022">
        <f ca="1">SUMIFS('Сырье и материалы'!AP$25:AP$46,'Сырье и материалы'!$F$25:$F$46,$F379,'Сырье и материалы'!$AC$25:$AC$46,"Всего по тарифу")</f>
        <v>0</v>
      </c>
      <c r="AR379" s="1022">
        <f ca="1">SUMIFS('Сырье и материалы'!AQ$25:AQ$46,'Сырье и материалы'!$F$25:$F$46,$F379,'Сырье и материалы'!$AC$25:$AC$46,"Всего по тарифу")</f>
        <v>0</v>
      </c>
      <c r="AS379" s="1022">
        <f ca="1">SUMIFS('Сырье и материалы'!AR$25:AR$46,'Сырье и материалы'!$F$25:$F$46,$F379,'Сырье и материалы'!$AC$25:$AC$46,"Всего по тарифу")</f>
        <v>0</v>
      </c>
      <c r="AT379" s="1022">
        <f ca="1">SUMIFS('Сырье и материалы'!AS$25:AS$46,'Сырье и материалы'!$F$25:$F$46,$F379,'Сырье и материалы'!$AC$25:$AC$46,"Всего по тарифу")</f>
        <v>1137.17</v>
      </c>
      <c r="AU379" s="1022">
        <f ca="1">SUMIFS('Сырье и материалы'!AT$25:AT$46,'Сырье и материалы'!$F$25:$F$46,$F379,'Сырье и материалы'!$AC$25:$AC$46,"Всего по тарифу")</f>
        <v>0</v>
      </c>
      <c r="AV379" s="1022">
        <f ca="1">SUMIFS('Сырье и материалы'!AU$25:AU$46,'Сырье и материалы'!$F$25:$F$46,$F379,'Сырье и материалы'!$AC$25:$AC$46,"Всего по тарифу")</f>
        <v>0</v>
      </c>
      <c r="AW379" s="1022">
        <f ca="1">SUMIFS('Сырье и материалы'!AV$25:AV$46,'Сырье и материалы'!$F$25:$F$46,$F379,'Сырье и материалы'!$AC$25:$AC$46,"Всего по тарифу")</f>
        <v>0</v>
      </c>
      <c r="AX379" s="1022">
        <f ca="1">SUMIFS('Сырье и материалы'!AW$25:AW$46,'Сырье и материалы'!$F$25:$F$46,$F379,'Сырье и материалы'!$AC$25:$AC$46,"Всего по тарифу")</f>
        <v>0</v>
      </c>
      <c r="AY379" s="1022">
        <f ca="1">SUMIFS('Сырье и материалы'!AX$25:AX$46,'Сырье и материалы'!$F$25:$F$46,$F379,'Сырье и материалы'!$AC$25:$AC$46,"Всего по тарифу")</f>
        <v>0</v>
      </c>
      <c r="AZ379" s="1022">
        <f ca="1">SUMIFS('Сырье и материалы'!AY$25:AY$46,'Сырье и материалы'!$F$25:$F$46,$F379,'Сырье и материалы'!$AC$25:$AC$46,"Всего по тарифу")</f>
        <v>0</v>
      </c>
      <c r="BA379" s="1022">
        <f ca="1">SUMIFS('Сырье и материалы'!AZ$25:AZ$46,'Сырье и материалы'!$F$25:$F$46,$F379,'Сырье и материалы'!$AC$25:$AC$46,"Всего по тарифу")</f>
        <v>0</v>
      </c>
      <c r="BB379" s="1022">
        <f ca="1">SUMIFS('Сырье и материалы'!BA$25:BA$46,'Сырье и материалы'!$F$25:$F$46,$F379,'Сырье и материалы'!$AC$25:$AC$46,"Всего по тарифу")</f>
        <v>0</v>
      </c>
      <c r="BC379" s="1022">
        <f ca="1">SUMIFS('Сырье и материалы'!BB$25:BB$46,'Сырье и материалы'!$F$25:$F$46,$F379,'Сырье и материалы'!$AC$25:$AC$46,"Всего по тарифу")</f>
        <v>0</v>
      </c>
      <c r="BD379" s="1022">
        <f t="shared" ca="1" si="94"/>
        <v>-17.365899244611832</v>
      </c>
      <c r="BE379" s="1022">
        <f t="shared" ca="1" si="95"/>
        <v>-100</v>
      </c>
      <c r="BF379" s="1022">
        <f t="shared" ca="1" si="96"/>
        <v>0</v>
      </c>
      <c r="BG379" s="1022">
        <f t="shared" ca="1" si="97"/>
        <v>0</v>
      </c>
      <c r="BH379" s="1022">
        <f t="shared" ca="1" si="98"/>
        <v>0</v>
      </c>
      <c r="BI379" s="1022">
        <f t="shared" ca="1" si="99"/>
        <v>0</v>
      </c>
      <c r="BJ379" s="1022">
        <f t="shared" ca="1" si="100"/>
        <v>0</v>
      </c>
      <c r="BK379" s="1022">
        <f t="shared" ca="1" si="101"/>
        <v>0</v>
      </c>
      <c r="BL379" s="1022">
        <f t="shared" ca="1" si="102"/>
        <v>0</v>
      </c>
      <c r="BM379" s="1022">
        <f t="shared" ca="1" si="103"/>
        <v>0</v>
      </c>
      <c r="BN379" s="1523" t="s">
        <v>2181</v>
      </c>
      <c r="BO379" s="1525" t="str">
        <f ca="1">IF(IFERROR(INDEX('Сырье и материалы'!$K$26:$L$46,MATCH($F379&amp;"komm",'Сырье и материалы'!$K$26:$K$46,0),2),"")=0,"",IFERROR(INDEX('Сырье и материалы'!$K$26:$L$46,MATCH($F379&amp;"komm",'Сырье и материалы'!$K$26:$K$46,0),2),""))</f>
        <v>Согласно п. 49.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 Неподконтрольные расходы включают в себя: 10) расходы на реагенты. (пп. 10 введен Приказом ФАС России от 08.10.2020 N 976/20)</v>
      </c>
      <c r="BP379" s="1523" t="s">
        <v>2182</v>
      </c>
      <c r="BQ379" s="1184"/>
      <c r="BR379" s="1184"/>
      <c r="BS379" s="973" t="s">
        <v>1684</v>
      </c>
      <c r="BT379" s="973"/>
      <c r="BU379" s="973"/>
      <c r="BV379" s="888"/>
      <c r="BW379" s="888"/>
    </row>
    <row r="380" spans="1:75" s="1549" customFormat="1" ht="33.75" customHeight="1" x14ac:dyDescent="0.15">
      <c r="A380" s="623"/>
      <c r="B380" s="357"/>
      <c r="C380" s="28"/>
      <c r="D380" s="28"/>
      <c r="E380" s="745">
        <v>21</v>
      </c>
      <c r="F380" s="3" t="str" cm="1">
        <f t="array" aca="1" ref="F380" ca="1">OFFSET(E380,-1,1)</f>
        <v>2</v>
      </c>
      <c r="G380" s="28"/>
      <c r="H380" s="26"/>
      <c r="I380" s="26" t="s">
        <v>930</v>
      </c>
      <c r="J380" s="28"/>
      <c r="K380" s="26" t="s">
        <v>930</v>
      </c>
      <c r="L380" s="894" t="s">
        <v>547</v>
      </c>
      <c r="M380" s="28"/>
      <c r="N380" s="28"/>
      <c r="O380" s="28"/>
      <c r="P380" s="28"/>
      <c r="Q380" s="28"/>
      <c r="R380" s="28"/>
      <c r="S380" s="28"/>
      <c r="T380" s="388" t="b" cm="1">
        <f t="array" aca="1" ref="T380" ca="1">T379</f>
        <v>1</v>
      </c>
      <c r="U380" s="28"/>
      <c r="V380" s="28"/>
      <c r="W380" s="28"/>
      <c r="X380" s="2066"/>
      <c r="Y380" s="623"/>
      <c r="Z380" s="2012"/>
      <c r="AA380" s="623"/>
      <c r="AB380" s="130" t="s">
        <v>574</v>
      </c>
      <c r="AC380" s="277" t="s">
        <v>2022</v>
      </c>
      <c r="AD380" s="130" t="s">
        <v>831</v>
      </c>
      <c r="AE380" s="698">
        <f ca="1">SUM(AE381:AE390)</f>
        <v>465.75152397400001</v>
      </c>
      <c r="AF380" s="698">
        <f ca="1">SUM(AF381:AF390)</f>
        <v>370.29</v>
      </c>
      <c r="AG380" s="698">
        <f ca="1">SUM(AG381:AG390)</f>
        <v>370.29</v>
      </c>
      <c r="AH380" s="698">
        <f t="shared" ca="1" si="92"/>
        <v>0</v>
      </c>
      <c r="AI380" s="698">
        <f t="shared" ref="AI380:BC380" ca="1" si="105">SUM(AI381:AI390)</f>
        <v>478.2137354683</v>
      </c>
      <c r="AJ380" s="132">
        <f t="shared" ca="1" si="105"/>
        <v>1023.22</v>
      </c>
      <c r="AK380" s="698">
        <f t="shared" ca="1" si="105"/>
        <v>0</v>
      </c>
      <c r="AL380" s="698">
        <f t="shared" ca="1" si="105"/>
        <v>0</v>
      </c>
      <c r="AM380" s="698">
        <f t="shared" ca="1" si="105"/>
        <v>0</v>
      </c>
      <c r="AN380" s="698">
        <f t="shared" ca="1" si="105"/>
        <v>0</v>
      </c>
      <c r="AO380" s="698">
        <f t="shared" ca="1" si="105"/>
        <v>0</v>
      </c>
      <c r="AP380" s="698">
        <f t="shared" ca="1" si="105"/>
        <v>0</v>
      </c>
      <c r="AQ380" s="698">
        <f t="shared" ca="1" si="105"/>
        <v>0</v>
      </c>
      <c r="AR380" s="698">
        <f t="shared" ca="1" si="105"/>
        <v>0</v>
      </c>
      <c r="AS380" s="698">
        <f t="shared" ca="1" si="105"/>
        <v>0</v>
      </c>
      <c r="AT380" s="132">
        <f t="shared" ca="1" si="105"/>
        <v>505.21000000000004</v>
      </c>
      <c r="AU380" s="698">
        <f t="shared" ca="1" si="105"/>
        <v>0</v>
      </c>
      <c r="AV380" s="698">
        <f t="shared" ca="1" si="105"/>
        <v>0</v>
      </c>
      <c r="AW380" s="698">
        <f t="shared" ca="1" si="105"/>
        <v>0</v>
      </c>
      <c r="AX380" s="698">
        <f t="shared" ca="1" si="105"/>
        <v>0</v>
      </c>
      <c r="AY380" s="698">
        <f t="shared" ca="1" si="105"/>
        <v>0</v>
      </c>
      <c r="AZ380" s="698">
        <f t="shared" ca="1" si="105"/>
        <v>0</v>
      </c>
      <c r="BA380" s="698">
        <f t="shared" ca="1" si="105"/>
        <v>0</v>
      </c>
      <c r="BB380" s="698">
        <f t="shared" ca="1" si="105"/>
        <v>0</v>
      </c>
      <c r="BC380" s="698">
        <f t="shared" ca="1" si="105"/>
        <v>0</v>
      </c>
      <c r="BD380" s="698">
        <f t="shared" ca="1" si="94"/>
        <v>5.6452298479598086</v>
      </c>
      <c r="BE380" s="698">
        <f t="shared" ca="1" si="95"/>
        <v>-100</v>
      </c>
      <c r="BF380" s="698">
        <f t="shared" ca="1" si="96"/>
        <v>0</v>
      </c>
      <c r="BG380" s="698">
        <f t="shared" ca="1" si="97"/>
        <v>0</v>
      </c>
      <c r="BH380" s="698">
        <f t="shared" ca="1" si="98"/>
        <v>0</v>
      </c>
      <c r="BI380" s="698">
        <f t="shared" ca="1" si="99"/>
        <v>0</v>
      </c>
      <c r="BJ380" s="698">
        <f t="shared" ca="1" si="100"/>
        <v>0</v>
      </c>
      <c r="BK380" s="698">
        <f t="shared" ca="1" si="101"/>
        <v>0</v>
      </c>
      <c r="BL380" s="698">
        <f t="shared" ca="1" si="102"/>
        <v>0</v>
      </c>
      <c r="BM380" s="698">
        <f t="shared" ca="1" si="103"/>
        <v>0</v>
      </c>
      <c r="BN380" s="1524"/>
      <c r="BO380" s="1525" t="s">
        <v>2183</v>
      </c>
      <c r="BP380" s="1524" t="s">
        <v>2184</v>
      </c>
      <c r="BQ380" s="623"/>
      <c r="BR380" s="623"/>
      <c r="BS380" s="979" t="s">
        <v>1233</v>
      </c>
      <c r="BT380" s="979"/>
      <c r="BU380" s="979"/>
      <c r="BV380" s="630"/>
      <c r="BW380" s="630"/>
    </row>
    <row r="381" spans="1:75" s="1334" customFormat="1" ht="14.25" customHeight="1" x14ac:dyDescent="0.15">
      <c r="A381" s="1184"/>
      <c r="B381" s="887"/>
      <c r="C381" s="26"/>
      <c r="D381" s="26"/>
      <c r="E381" s="545">
        <v>15</v>
      </c>
      <c r="F381" s="3" t="str" cm="1">
        <f t="array" aca="1" ref="F381" ca="1">OFFSET(E381,-1,1)</f>
        <v>2</v>
      </c>
      <c r="G381" s="834">
        <v>7</v>
      </c>
      <c r="H381" s="26"/>
      <c r="I381" s="26" t="s">
        <v>2023</v>
      </c>
      <c r="J381" s="26"/>
      <c r="K381" s="26" t="s">
        <v>2023</v>
      </c>
      <c r="L381" s="889"/>
      <c r="M381" s="26"/>
      <c r="N381" s="26"/>
      <c r="O381" s="26"/>
      <c r="P381" s="26"/>
      <c r="Q381" s="26"/>
      <c r="R381" s="26"/>
      <c r="S381" s="26"/>
      <c r="T381" s="388" t="b" cm="1">
        <f t="array" aca="1" ref="T381" ca="1">T380</f>
        <v>1</v>
      </c>
      <c r="U381" s="26"/>
      <c r="V381" s="26"/>
      <c r="W381" s="26"/>
      <c r="X381" s="2066"/>
      <c r="Y381" s="1184"/>
      <c r="Z381" s="2012"/>
      <c r="AA381" s="1184"/>
      <c r="AB381" s="218" t="s">
        <v>531</v>
      </c>
      <c r="AC381" s="685" t="s">
        <v>1247</v>
      </c>
      <c r="AD381" s="218" t="s">
        <v>831</v>
      </c>
      <c r="AE381" s="1022">
        <f ca="1">SUMIFS(Налоги!AE$25:AE$69,Налоги!$F$25:$F$69,$F381,Налоги!$AB$25:$AB$69,$G381)</f>
        <v>0</v>
      </c>
      <c r="AF381" s="1022">
        <f ca="1">SUMIFS(Налоги!AF$25:AF$69,Налоги!$F$25:$F$69,$F381,Налоги!$AB$25:$AB$69,$G381)</f>
        <v>0</v>
      </c>
      <c r="AG381" s="1022">
        <f ca="1">SUMIFS(Налоги!AG$25:AG$69,Налоги!$F$25:$F$69,$F381,Налоги!$AB$25:$AB$69,$G381)</f>
        <v>0</v>
      </c>
      <c r="AH381" s="1022">
        <f t="shared" ca="1" si="92"/>
        <v>0</v>
      </c>
      <c r="AI381" s="1022">
        <f ca="1">SUMIFS(Налоги!AH$25:AH$69,Налоги!$F$25:$F$69,$F381,Налоги!$AB$25:$AB$69,$G381)</f>
        <v>0</v>
      </c>
      <c r="AJ381" s="1022">
        <f ca="1">SUMIFS(Налоги!AI$25:AI$69,Налоги!$F$25:$F$69,$F381,Налоги!$AB$25:$AB$69,$G381)</f>
        <v>0</v>
      </c>
      <c r="AK381" s="1022">
        <f ca="1">SUMIFS(Налоги!AJ$25:AJ$69,Налоги!$F$25:$F$69,$F381,Налоги!$AB$25:$AB$69,$G381)</f>
        <v>0</v>
      </c>
      <c r="AL381" s="1022">
        <f ca="1">SUMIFS(Налоги!AK$25:AK$69,Налоги!$F$25:$F$69,$F381,Налоги!$AB$25:$AB$69,$G381)</f>
        <v>0</v>
      </c>
      <c r="AM381" s="1022">
        <f ca="1">SUMIFS(Налоги!AL$25:AL$69,Налоги!$F$25:$F$69,$F381,Налоги!$AB$25:$AB$69,$G381)</f>
        <v>0</v>
      </c>
      <c r="AN381" s="1022">
        <f ca="1">SUMIFS(Налоги!AM$25:AM$69,Налоги!$F$25:$F$69,$F381,Налоги!$AB$25:$AB$69,$G381)</f>
        <v>0</v>
      </c>
      <c r="AO381" s="1022">
        <f ca="1">SUMIFS(Налоги!AN$25:AN$69,Налоги!$F$25:$F$69,$F381,Налоги!$AB$25:$AB$69,$G381)</f>
        <v>0</v>
      </c>
      <c r="AP381" s="1022">
        <f ca="1">SUMIFS(Налоги!AO$25:AO$69,Налоги!$F$25:$F$69,$F381,Налоги!$AB$25:$AB$69,$G381)</f>
        <v>0</v>
      </c>
      <c r="AQ381" s="1022">
        <f ca="1">SUMIFS(Налоги!AP$25:AP$69,Налоги!$F$25:$F$69,$F381,Налоги!$AB$25:$AB$69,$G381)</f>
        <v>0</v>
      </c>
      <c r="AR381" s="1022">
        <f ca="1">SUMIFS(Налоги!AQ$25:AQ$69,Налоги!$F$25:$F$69,$F381,Налоги!$AB$25:$AB$69,$G381)</f>
        <v>0</v>
      </c>
      <c r="AS381" s="1022">
        <f ca="1">SUMIFS(Налоги!AR$25:AR$69,Налоги!$F$25:$F$69,$F381,Налоги!$AB$25:$AB$69,$G381)</f>
        <v>0</v>
      </c>
      <c r="AT381" s="1022">
        <f ca="1">SUMIFS(Налоги!AS$25:AS$69,Налоги!$F$25:$F$69,$F381,Налоги!$AB$25:$AB$69,$G381)</f>
        <v>0</v>
      </c>
      <c r="AU381" s="1022">
        <f ca="1">SUMIFS(Налоги!AT$25:AT$69,Налоги!$F$25:$F$69,$F381,Налоги!$AB$25:$AB$69,$G381)</f>
        <v>0</v>
      </c>
      <c r="AV381" s="1022">
        <f ca="1">SUMIFS(Налоги!AU$25:AU$69,Налоги!$F$25:$F$69,$F381,Налоги!$AB$25:$AB$69,$G381)</f>
        <v>0</v>
      </c>
      <c r="AW381" s="1022">
        <f ca="1">SUMIFS(Налоги!AV$25:AV$69,Налоги!$F$25:$F$69,$F381,Налоги!$AB$25:$AB$69,$G381)</f>
        <v>0</v>
      </c>
      <c r="AX381" s="1022">
        <f ca="1">SUMIFS(Налоги!AW$25:AW$69,Налоги!$F$25:$F$69,$F381,Налоги!$AB$25:$AB$69,$G381)</f>
        <v>0</v>
      </c>
      <c r="AY381" s="1022">
        <f ca="1">SUMIFS(Налоги!AX$25:AX$69,Налоги!$F$25:$F$69,$F381,Налоги!$AB$25:$AB$69,$G381)</f>
        <v>0</v>
      </c>
      <c r="AZ381" s="1022">
        <f ca="1">SUMIFS(Налоги!AY$25:AY$69,Налоги!$F$25:$F$69,$F381,Налоги!$AB$25:$AB$69,$G381)</f>
        <v>0</v>
      </c>
      <c r="BA381" s="1022">
        <f ca="1">SUMIFS(Налоги!AZ$25:AZ$69,Налоги!$F$25:$F$69,$F381,Налоги!$AB$25:$AB$69,$G381)</f>
        <v>0</v>
      </c>
      <c r="BB381" s="1022">
        <f ca="1">SUMIFS(Налоги!BA$25:BA$69,Налоги!$F$25:$F$69,$F381,Налоги!$AB$25:$AB$69,$G381)</f>
        <v>0</v>
      </c>
      <c r="BC381" s="1022">
        <f ca="1">SUMIFS(Налоги!BB$25:BB$69,Налоги!$F$25:$F$69,$F381,Налоги!$AB$25:$AB$69,$G381)</f>
        <v>0</v>
      </c>
      <c r="BD381" s="1022">
        <f t="shared" ca="1" si="94"/>
        <v>0</v>
      </c>
      <c r="BE381" s="1022">
        <f t="shared" ca="1" si="95"/>
        <v>0</v>
      </c>
      <c r="BF381" s="1022">
        <f t="shared" ca="1" si="96"/>
        <v>0</v>
      </c>
      <c r="BG381" s="1022">
        <f t="shared" ca="1" si="97"/>
        <v>0</v>
      </c>
      <c r="BH381" s="1022">
        <f t="shared" ca="1" si="98"/>
        <v>0</v>
      </c>
      <c r="BI381" s="1022">
        <f t="shared" ca="1" si="99"/>
        <v>0</v>
      </c>
      <c r="BJ381" s="1022">
        <f t="shared" ca="1" si="100"/>
        <v>0</v>
      </c>
      <c r="BK381" s="1022">
        <f t="shared" ca="1" si="101"/>
        <v>0</v>
      </c>
      <c r="BL381" s="1022">
        <f t="shared" ca="1" si="102"/>
        <v>0</v>
      </c>
      <c r="BM381" s="1022">
        <f t="shared" ca="1" si="103"/>
        <v>0</v>
      </c>
      <c r="BN381" s="1523"/>
      <c r="BO381" s="1525" t="str">
        <f ca="1">IF(IFERROR(INDEX(Налоги!$K$26:$L$69,MATCH($F381&amp;"7komm",Налоги!$K$26:$K$69,0),2),"")=0,"",IFERROR(INDEX(Налоги!$K$26:$L$69,MATCH($F381&amp;"7komm",Налоги!$K$26:$K$69,0),2),""))</f>
        <v/>
      </c>
      <c r="BP381" s="1523"/>
      <c r="BQ381" s="1184"/>
      <c r="BR381" s="1184"/>
      <c r="BS381" s="973" t="s">
        <v>2024</v>
      </c>
      <c r="BT381" s="973"/>
      <c r="BU381" s="973"/>
      <c r="BV381" s="888"/>
      <c r="BW381" s="888"/>
    </row>
    <row r="382" spans="1:75" s="1334" customFormat="1" ht="54.75" customHeight="1" x14ac:dyDescent="0.15">
      <c r="A382" s="1184"/>
      <c r="B382" s="887"/>
      <c r="C382" s="26"/>
      <c r="D382" s="26"/>
      <c r="E382" s="545">
        <v>15</v>
      </c>
      <c r="F382" s="3" t="str" cm="1">
        <f t="array" aca="1" ref="F382" ca="1">OFFSET(E382,-1,1)</f>
        <v>2</v>
      </c>
      <c r="G382" s="834">
        <v>6</v>
      </c>
      <c r="H382" s="26"/>
      <c r="I382" s="26" t="s">
        <v>2025</v>
      </c>
      <c r="J382" s="26"/>
      <c r="K382" s="26" t="s">
        <v>2025</v>
      </c>
      <c r="L382" s="889"/>
      <c r="M382" s="26"/>
      <c r="N382" s="26"/>
      <c r="O382" s="26"/>
      <c r="P382" s="26"/>
      <c r="Q382" s="26"/>
      <c r="R382" s="26"/>
      <c r="S382" s="26"/>
      <c r="T382" s="388" t="b" cm="1">
        <f t="array" aca="1" ref="T382" ca="1">T381</f>
        <v>1</v>
      </c>
      <c r="U382" s="26"/>
      <c r="V382" s="26"/>
      <c r="W382" s="26"/>
      <c r="X382" s="2066"/>
      <c r="Y382" s="1184"/>
      <c r="Z382" s="2012"/>
      <c r="AA382" s="1184"/>
      <c r="AB382" s="218" t="s">
        <v>1459</v>
      </c>
      <c r="AC382" s="685" t="s">
        <v>2026</v>
      </c>
      <c r="AD382" s="218" t="s">
        <v>831</v>
      </c>
      <c r="AE382" s="1022">
        <f ca="1">SUMIFS(Налоги!AE$25:AE$69,Налоги!$F$25:$F$69,$F382,Налоги!$AB$25:$AB$69,$G382)</f>
        <v>465.75152397400001</v>
      </c>
      <c r="AF382" s="1022">
        <f ca="1">SUMIFS(Налоги!AF$25:AF$69,Налоги!$F$25:$F$69,$F382,Налоги!$AB$25:$AB$69,$G382)</f>
        <v>333.97</v>
      </c>
      <c r="AG382" s="1022">
        <f ca="1">SUMIFS(Налоги!AG$25:AG$69,Налоги!$F$25:$F$69,$F382,Налоги!$AB$25:$AB$69,$G382)</f>
        <v>333.97</v>
      </c>
      <c r="AH382" s="1022">
        <f t="shared" ca="1" si="92"/>
        <v>0</v>
      </c>
      <c r="AI382" s="1022">
        <f ca="1">SUMIFS(Налоги!AH$25:AH$69,Налоги!$F$25:$F$69,$F382,Налоги!$AB$25:$AB$69,$G382)</f>
        <v>478.2137354683</v>
      </c>
      <c r="AJ382" s="1022">
        <f ca="1">SUMIFS(Налоги!AI$25:AI$69,Налоги!$F$25:$F$69,$F382,Налоги!$AB$25:$AB$69,$G382)</f>
        <v>983.6</v>
      </c>
      <c r="AK382" s="1022">
        <f ca="1">SUMIFS(Налоги!AJ$25:AJ$69,Налоги!$F$25:$F$69,$F382,Налоги!$AB$25:$AB$69,$G382)</f>
        <v>0</v>
      </c>
      <c r="AL382" s="1022">
        <f ca="1">SUMIFS(Налоги!AK$25:AK$69,Налоги!$F$25:$F$69,$F382,Налоги!$AB$25:$AB$69,$G382)</f>
        <v>0</v>
      </c>
      <c r="AM382" s="1022">
        <f ca="1">SUMIFS(Налоги!AL$25:AL$69,Налоги!$F$25:$F$69,$F382,Налоги!$AB$25:$AB$69,$G382)</f>
        <v>0</v>
      </c>
      <c r="AN382" s="1022">
        <f ca="1">SUMIFS(Налоги!AM$25:AM$69,Налоги!$F$25:$F$69,$F382,Налоги!$AB$25:$AB$69,$G382)</f>
        <v>0</v>
      </c>
      <c r="AO382" s="1022">
        <f ca="1">SUMIFS(Налоги!AN$25:AN$69,Налоги!$F$25:$F$69,$F382,Налоги!$AB$25:$AB$69,$G382)</f>
        <v>0</v>
      </c>
      <c r="AP382" s="1022">
        <f ca="1">SUMIFS(Налоги!AO$25:AO$69,Налоги!$F$25:$F$69,$F382,Налоги!$AB$25:$AB$69,$G382)</f>
        <v>0</v>
      </c>
      <c r="AQ382" s="1022">
        <f ca="1">SUMIFS(Налоги!AP$25:AP$69,Налоги!$F$25:$F$69,$F382,Налоги!$AB$25:$AB$69,$G382)</f>
        <v>0</v>
      </c>
      <c r="AR382" s="1022">
        <f ca="1">SUMIFS(Налоги!AQ$25:AQ$69,Налоги!$F$25:$F$69,$F382,Налоги!$AB$25:$AB$69,$G382)</f>
        <v>0</v>
      </c>
      <c r="AS382" s="1022">
        <f ca="1">SUMIFS(Налоги!AR$25:AR$69,Налоги!$F$25:$F$69,$F382,Налоги!$AB$25:$AB$69,$G382)</f>
        <v>0</v>
      </c>
      <c r="AT382" s="1022">
        <f ca="1">SUMIFS(Налоги!AS$25:AS$69,Налоги!$F$25:$F$69,$F382,Налоги!$AB$25:$AB$69,$G382)</f>
        <v>468.89000000000004</v>
      </c>
      <c r="AU382" s="1022">
        <f ca="1">SUMIFS(Налоги!AT$25:AT$69,Налоги!$F$25:$F$69,$F382,Налоги!$AB$25:$AB$69,$G382)</f>
        <v>0</v>
      </c>
      <c r="AV382" s="1022">
        <f ca="1">SUMIFS(Налоги!AU$25:AU$69,Налоги!$F$25:$F$69,$F382,Налоги!$AB$25:$AB$69,$G382)</f>
        <v>0</v>
      </c>
      <c r="AW382" s="1022">
        <f ca="1">SUMIFS(Налоги!AV$25:AV$69,Налоги!$F$25:$F$69,$F382,Налоги!$AB$25:$AB$69,$G382)</f>
        <v>0</v>
      </c>
      <c r="AX382" s="1022">
        <f ca="1">SUMIFS(Налоги!AW$25:AW$69,Налоги!$F$25:$F$69,$F382,Налоги!$AB$25:$AB$69,$G382)</f>
        <v>0</v>
      </c>
      <c r="AY382" s="1022">
        <f ca="1">SUMIFS(Налоги!AX$25:AX$69,Налоги!$F$25:$F$69,$F382,Налоги!$AB$25:$AB$69,$G382)</f>
        <v>0</v>
      </c>
      <c r="AZ382" s="1022">
        <f ca="1">SUMIFS(Налоги!AY$25:AY$69,Налоги!$F$25:$F$69,$F382,Налоги!$AB$25:$AB$69,$G382)</f>
        <v>0</v>
      </c>
      <c r="BA382" s="1022">
        <f ca="1">SUMIFS(Налоги!AZ$25:AZ$69,Налоги!$F$25:$F$69,$F382,Налоги!$AB$25:$AB$69,$G382)</f>
        <v>0</v>
      </c>
      <c r="BB382" s="1022">
        <f ca="1">SUMIFS(Налоги!BA$25:BA$69,Налоги!$F$25:$F$69,$F382,Налоги!$AB$25:$AB$69,$G382)</f>
        <v>0</v>
      </c>
      <c r="BC382" s="1022">
        <f ca="1">SUMIFS(Налоги!BB$25:BB$69,Налоги!$F$25:$F$69,$F382,Налоги!$AB$25:$AB$69,$G382)</f>
        <v>0</v>
      </c>
      <c r="BD382" s="1022">
        <f t="shared" ca="1" si="94"/>
        <v>-1.9497004742386814</v>
      </c>
      <c r="BE382" s="1022">
        <f t="shared" ca="1" si="95"/>
        <v>-100</v>
      </c>
      <c r="BF382" s="1022">
        <f t="shared" ca="1" si="96"/>
        <v>0</v>
      </c>
      <c r="BG382" s="1022">
        <f t="shared" ca="1" si="97"/>
        <v>0</v>
      </c>
      <c r="BH382" s="1022">
        <f t="shared" ca="1" si="98"/>
        <v>0</v>
      </c>
      <c r="BI382" s="1022">
        <f t="shared" ca="1" si="99"/>
        <v>0</v>
      </c>
      <c r="BJ382" s="1022">
        <f t="shared" ca="1" si="100"/>
        <v>0</v>
      </c>
      <c r="BK382" s="1022">
        <f t="shared" ca="1" si="101"/>
        <v>0</v>
      </c>
      <c r="BL382" s="1022">
        <f t="shared" ca="1" si="102"/>
        <v>0</v>
      </c>
      <c r="BM382" s="1022">
        <f t="shared" ca="1" si="103"/>
        <v>0</v>
      </c>
      <c r="BN382" s="1523" t="s">
        <v>2196</v>
      </c>
      <c r="BO382" s="1525" t="str">
        <f ca="1">IF(IFERROR(INDEX(Налоги!$K$26:$L$69,MATCH($F382&amp;"6komm",Налоги!$K$26:$K$69,0),2),"")=0,"",IFERROR(INDEX(Налоги!$K$26:$L$69,MATCH($F382&amp;"6komm",Налоги!$K$26:$K$69,0),2),""))</f>
        <v xml:space="preserve">Учтено по расчету регулятора  в соответствии с действующим законодательством, налог на имущество в соответствии с утвержденной ИП - 50,67 тыс. руб.. налог на иное имущество, переданное по концессионному соглашению № 24 - 418,22 тыс. руб. </v>
      </c>
      <c r="BP382" s="1523"/>
      <c r="BQ382" s="1184"/>
      <c r="BR382" s="1184"/>
      <c r="BS382" s="973" t="s">
        <v>2027</v>
      </c>
      <c r="BT382" s="973"/>
      <c r="BU382" s="973"/>
      <c r="BV382" s="888"/>
      <c r="BW382" s="888"/>
    </row>
    <row r="383" spans="1:75" s="1334" customFormat="1" ht="14.25" customHeight="1" x14ac:dyDescent="0.15">
      <c r="A383" s="1184"/>
      <c r="B383" s="887"/>
      <c r="C383" s="26"/>
      <c r="D383" s="26"/>
      <c r="E383" s="545">
        <v>15</v>
      </c>
      <c r="F383" s="3" t="str" cm="1">
        <f t="array" aca="1" ref="F383" ca="1">OFFSET(E383,-1,1)</f>
        <v>2</v>
      </c>
      <c r="G383" s="834">
        <v>2</v>
      </c>
      <c r="H383" s="26"/>
      <c r="I383" s="26" t="s">
        <v>2028</v>
      </c>
      <c r="J383" s="26"/>
      <c r="K383" s="26" t="s">
        <v>2028</v>
      </c>
      <c r="L383" s="889"/>
      <c r="M383" s="26"/>
      <c r="N383" s="26"/>
      <c r="O383" s="26"/>
      <c r="P383" s="26"/>
      <c r="Q383" s="26"/>
      <c r="R383" s="26"/>
      <c r="S383" s="26"/>
      <c r="T383" s="388" t="b" cm="1">
        <f t="array" aca="1" ref="T383" ca="1">T382</f>
        <v>1</v>
      </c>
      <c r="U383" s="26"/>
      <c r="V383" s="26"/>
      <c r="W383" s="26"/>
      <c r="X383" s="2066"/>
      <c r="Y383" s="1184"/>
      <c r="Z383" s="2012"/>
      <c r="AA383" s="1184"/>
      <c r="AB383" s="218" t="s">
        <v>1464</v>
      </c>
      <c r="AC383" s="685" t="s">
        <v>2029</v>
      </c>
      <c r="AD383" s="218" t="s">
        <v>831</v>
      </c>
      <c r="AE383" s="1022">
        <f ca="1">SUMIFS(Налоги!AE$25:AE$69,Налоги!$F$25:$F$69,$F383,Налоги!$AB$25:$AB$69,$G383)</f>
        <v>0</v>
      </c>
      <c r="AF383" s="1022">
        <f ca="1">SUMIFS(Налоги!AF$25:AF$69,Налоги!$F$25:$F$69,$F383,Налоги!$AB$25:$AB$69,$G383)</f>
        <v>0</v>
      </c>
      <c r="AG383" s="1022">
        <f ca="1">SUMIFS(Налоги!AG$25:AG$69,Налоги!$F$25:$F$69,$F383,Налоги!$AB$25:$AB$69,$G383)</f>
        <v>0</v>
      </c>
      <c r="AH383" s="1022">
        <f t="shared" ca="1" si="92"/>
        <v>0</v>
      </c>
      <c r="AI383" s="1022">
        <f ca="1">SUMIFS(Налоги!AH$25:AH$69,Налоги!$F$25:$F$69,$F383,Налоги!$AB$25:$AB$69,$G383)</f>
        <v>0</v>
      </c>
      <c r="AJ383" s="1022">
        <f ca="1">SUMIFS(Налоги!AI$25:AI$69,Налоги!$F$25:$F$69,$F383,Налоги!$AB$25:$AB$69,$G383)</f>
        <v>0</v>
      </c>
      <c r="AK383" s="1022">
        <f ca="1">SUMIFS(Налоги!AJ$25:AJ$69,Налоги!$F$25:$F$69,$F383,Налоги!$AB$25:$AB$69,$G383)</f>
        <v>0</v>
      </c>
      <c r="AL383" s="1022">
        <f ca="1">SUMIFS(Налоги!AK$25:AK$69,Налоги!$F$25:$F$69,$F383,Налоги!$AB$25:$AB$69,$G383)</f>
        <v>0</v>
      </c>
      <c r="AM383" s="1022">
        <f ca="1">SUMIFS(Налоги!AL$25:AL$69,Налоги!$F$25:$F$69,$F383,Налоги!$AB$25:$AB$69,$G383)</f>
        <v>0</v>
      </c>
      <c r="AN383" s="1022">
        <f ca="1">SUMIFS(Налоги!AM$25:AM$69,Налоги!$F$25:$F$69,$F383,Налоги!$AB$25:$AB$69,$G383)</f>
        <v>0</v>
      </c>
      <c r="AO383" s="1022">
        <f ca="1">SUMIFS(Налоги!AN$25:AN$69,Налоги!$F$25:$F$69,$F383,Налоги!$AB$25:$AB$69,$G383)</f>
        <v>0</v>
      </c>
      <c r="AP383" s="1022">
        <f ca="1">SUMIFS(Налоги!AO$25:AO$69,Налоги!$F$25:$F$69,$F383,Налоги!$AB$25:$AB$69,$G383)</f>
        <v>0</v>
      </c>
      <c r="AQ383" s="1022">
        <f ca="1">SUMIFS(Налоги!AP$25:AP$69,Налоги!$F$25:$F$69,$F383,Налоги!$AB$25:$AB$69,$G383)</f>
        <v>0</v>
      </c>
      <c r="AR383" s="1022">
        <f ca="1">SUMIFS(Налоги!AQ$25:AQ$69,Налоги!$F$25:$F$69,$F383,Налоги!$AB$25:$AB$69,$G383)</f>
        <v>0</v>
      </c>
      <c r="AS383" s="1022">
        <f ca="1">SUMIFS(Налоги!AR$25:AR$69,Налоги!$F$25:$F$69,$F383,Налоги!$AB$25:$AB$69,$G383)</f>
        <v>0</v>
      </c>
      <c r="AT383" s="1022">
        <f ca="1">SUMIFS(Налоги!AS$25:AS$69,Налоги!$F$25:$F$69,$F383,Налоги!$AB$25:$AB$69,$G383)</f>
        <v>0</v>
      </c>
      <c r="AU383" s="1022">
        <f ca="1">SUMIFS(Налоги!AT$25:AT$69,Налоги!$F$25:$F$69,$F383,Налоги!$AB$25:$AB$69,$G383)</f>
        <v>0</v>
      </c>
      <c r="AV383" s="1022">
        <f ca="1">SUMIFS(Налоги!AU$25:AU$69,Налоги!$F$25:$F$69,$F383,Налоги!$AB$25:$AB$69,$G383)</f>
        <v>0</v>
      </c>
      <c r="AW383" s="1022">
        <f ca="1">SUMIFS(Налоги!AV$25:AV$69,Налоги!$F$25:$F$69,$F383,Налоги!$AB$25:$AB$69,$G383)</f>
        <v>0</v>
      </c>
      <c r="AX383" s="1022">
        <f ca="1">SUMIFS(Налоги!AW$25:AW$69,Налоги!$F$25:$F$69,$F383,Налоги!$AB$25:$AB$69,$G383)</f>
        <v>0</v>
      </c>
      <c r="AY383" s="1022">
        <f ca="1">SUMIFS(Налоги!AX$25:AX$69,Налоги!$F$25:$F$69,$F383,Налоги!$AB$25:$AB$69,$G383)</f>
        <v>0</v>
      </c>
      <c r="AZ383" s="1022">
        <f ca="1">SUMIFS(Налоги!AY$25:AY$69,Налоги!$F$25:$F$69,$F383,Налоги!$AB$25:$AB$69,$G383)</f>
        <v>0</v>
      </c>
      <c r="BA383" s="1022">
        <f ca="1">SUMIFS(Налоги!AZ$25:AZ$69,Налоги!$F$25:$F$69,$F383,Налоги!$AB$25:$AB$69,$G383)</f>
        <v>0</v>
      </c>
      <c r="BB383" s="1022">
        <f ca="1">SUMIFS(Налоги!BA$25:BA$69,Налоги!$F$25:$F$69,$F383,Налоги!$AB$25:$AB$69,$G383)</f>
        <v>0</v>
      </c>
      <c r="BC383" s="1022">
        <f ca="1">SUMIFS(Налоги!BB$25:BB$69,Налоги!$F$25:$F$69,$F383,Налоги!$AB$25:$AB$69,$G383)</f>
        <v>0</v>
      </c>
      <c r="BD383" s="1022">
        <f t="shared" ca="1" si="94"/>
        <v>0</v>
      </c>
      <c r="BE383" s="1022">
        <f t="shared" ca="1" si="95"/>
        <v>0</v>
      </c>
      <c r="BF383" s="1022">
        <f t="shared" ca="1" si="96"/>
        <v>0</v>
      </c>
      <c r="BG383" s="1022">
        <f t="shared" ca="1" si="97"/>
        <v>0</v>
      </c>
      <c r="BH383" s="1022">
        <f t="shared" ca="1" si="98"/>
        <v>0</v>
      </c>
      <c r="BI383" s="1022">
        <f t="shared" ca="1" si="99"/>
        <v>0</v>
      </c>
      <c r="BJ383" s="1022">
        <f t="shared" ca="1" si="100"/>
        <v>0</v>
      </c>
      <c r="BK383" s="1022">
        <f t="shared" ca="1" si="101"/>
        <v>0</v>
      </c>
      <c r="BL383" s="1022">
        <f t="shared" ca="1" si="102"/>
        <v>0</v>
      </c>
      <c r="BM383" s="1022">
        <f t="shared" ca="1" si="103"/>
        <v>0</v>
      </c>
      <c r="BN383" s="1523"/>
      <c r="BO383" s="1525" t="str">
        <f ca="1">IF(IFERROR(INDEX(Налоги!$K$26:$L$69,MATCH($F383&amp;"2komm",Налоги!$K$26:$K$69,0),2),"")=0,"",IFERROR(INDEX(Налоги!$K$26:$L$69,MATCH($F383&amp;"2komm",Налоги!$K$26:$K$69,0),2),""))</f>
        <v/>
      </c>
      <c r="BP383" s="1523"/>
      <c r="BQ383" s="1184"/>
      <c r="BR383" s="1184"/>
      <c r="BS383" s="973" t="s">
        <v>2030</v>
      </c>
      <c r="BT383" s="973"/>
      <c r="BU383" s="973"/>
      <c r="BV383" s="888"/>
      <c r="BW383" s="888"/>
    </row>
    <row r="384" spans="1:75" s="1334" customFormat="1" ht="14.25" customHeight="1" x14ac:dyDescent="0.15">
      <c r="A384" s="1184"/>
      <c r="B384" s="887"/>
      <c r="C384" s="26"/>
      <c r="D384" s="26"/>
      <c r="E384" s="545">
        <v>15</v>
      </c>
      <c r="F384" s="3" t="str" cm="1">
        <f t="array" aca="1" ref="F384" ca="1">OFFSET(E384,-1,1)</f>
        <v>2</v>
      </c>
      <c r="G384" s="834">
        <v>4</v>
      </c>
      <c r="H384" s="26"/>
      <c r="I384" s="26" t="s">
        <v>2031</v>
      </c>
      <c r="J384" s="26"/>
      <c r="K384" s="26" t="s">
        <v>2031</v>
      </c>
      <c r="L384" s="889"/>
      <c r="M384" s="26"/>
      <c r="N384" s="26"/>
      <c r="O384" s="26"/>
      <c r="P384" s="26"/>
      <c r="Q384" s="26"/>
      <c r="R384" s="26"/>
      <c r="S384" s="26"/>
      <c r="T384" s="388" t="b" cm="1">
        <f t="array" aca="1" ref="T384" ca="1">T383</f>
        <v>1</v>
      </c>
      <c r="U384" s="26"/>
      <c r="V384" s="26"/>
      <c r="W384" s="26"/>
      <c r="X384" s="2066"/>
      <c r="Y384" s="1184"/>
      <c r="Z384" s="2012"/>
      <c r="AA384" s="1184"/>
      <c r="AB384" s="218" t="s">
        <v>2032</v>
      </c>
      <c r="AC384" s="685" t="s">
        <v>2033</v>
      </c>
      <c r="AD384" s="218" t="s">
        <v>831</v>
      </c>
      <c r="AE384" s="1022">
        <f ca="1">SUMIFS(Налоги!AE$25:AE$69,Налоги!$F$25:$F$69,$F384,Налоги!$AB$25:$AB$69,$G384)</f>
        <v>0</v>
      </c>
      <c r="AF384" s="1022">
        <f ca="1">SUMIFS(Налоги!AF$25:AF$69,Налоги!$F$25:$F$69,$F384,Налоги!$AB$25:$AB$69,$G384)</f>
        <v>0</v>
      </c>
      <c r="AG384" s="1022">
        <f ca="1">SUMIFS(Налоги!AG$25:AG$69,Налоги!$F$25:$F$69,$F384,Налоги!$AB$25:$AB$69,$G384)</f>
        <v>0</v>
      </c>
      <c r="AH384" s="1022">
        <f t="shared" ca="1" si="92"/>
        <v>0</v>
      </c>
      <c r="AI384" s="1022">
        <f ca="1">SUMIFS(Налоги!AH$25:AH$69,Налоги!$F$25:$F$69,$F384,Налоги!$AB$25:$AB$69,$G384)</f>
        <v>0</v>
      </c>
      <c r="AJ384" s="1022">
        <f ca="1">SUMIFS(Налоги!AI$25:AI$69,Налоги!$F$25:$F$69,$F384,Налоги!$AB$25:$AB$69,$G384)</f>
        <v>0</v>
      </c>
      <c r="AK384" s="1022">
        <f ca="1">SUMIFS(Налоги!AJ$25:AJ$69,Налоги!$F$25:$F$69,$F384,Налоги!$AB$25:$AB$69,$G384)</f>
        <v>0</v>
      </c>
      <c r="AL384" s="1022">
        <f ca="1">SUMIFS(Налоги!AK$25:AK$69,Налоги!$F$25:$F$69,$F384,Налоги!$AB$25:$AB$69,$G384)</f>
        <v>0</v>
      </c>
      <c r="AM384" s="1022">
        <f ca="1">SUMIFS(Налоги!AL$25:AL$69,Налоги!$F$25:$F$69,$F384,Налоги!$AB$25:$AB$69,$G384)</f>
        <v>0</v>
      </c>
      <c r="AN384" s="1022">
        <f ca="1">SUMIFS(Налоги!AM$25:AM$69,Налоги!$F$25:$F$69,$F384,Налоги!$AB$25:$AB$69,$G384)</f>
        <v>0</v>
      </c>
      <c r="AO384" s="1022">
        <f ca="1">SUMIFS(Налоги!AN$25:AN$69,Налоги!$F$25:$F$69,$F384,Налоги!$AB$25:$AB$69,$G384)</f>
        <v>0</v>
      </c>
      <c r="AP384" s="1022">
        <f ca="1">SUMIFS(Налоги!AO$25:AO$69,Налоги!$F$25:$F$69,$F384,Налоги!$AB$25:$AB$69,$G384)</f>
        <v>0</v>
      </c>
      <c r="AQ384" s="1022">
        <f ca="1">SUMIFS(Налоги!AP$25:AP$69,Налоги!$F$25:$F$69,$F384,Налоги!$AB$25:$AB$69,$G384)</f>
        <v>0</v>
      </c>
      <c r="AR384" s="1022">
        <f ca="1">SUMIFS(Налоги!AQ$25:AQ$69,Налоги!$F$25:$F$69,$F384,Налоги!$AB$25:$AB$69,$G384)</f>
        <v>0</v>
      </c>
      <c r="AS384" s="1022">
        <f ca="1">SUMIFS(Налоги!AR$25:AR$69,Налоги!$F$25:$F$69,$F384,Налоги!$AB$25:$AB$69,$G384)</f>
        <v>0</v>
      </c>
      <c r="AT384" s="1022">
        <f ca="1">SUMIFS(Налоги!AS$25:AS$69,Налоги!$F$25:$F$69,$F384,Налоги!$AB$25:$AB$69,$G384)</f>
        <v>0</v>
      </c>
      <c r="AU384" s="1022">
        <f ca="1">SUMIFS(Налоги!AT$25:AT$69,Налоги!$F$25:$F$69,$F384,Налоги!$AB$25:$AB$69,$G384)</f>
        <v>0</v>
      </c>
      <c r="AV384" s="1022">
        <f ca="1">SUMIFS(Налоги!AU$25:AU$69,Налоги!$F$25:$F$69,$F384,Налоги!$AB$25:$AB$69,$G384)</f>
        <v>0</v>
      </c>
      <c r="AW384" s="1022">
        <f ca="1">SUMIFS(Налоги!AV$25:AV$69,Налоги!$F$25:$F$69,$F384,Налоги!$AB$25:$AB$69,$G384)</f>
        <v>0</v>
      </c>
      <c r="AX384" s="1022">
        <f ca="1">SUMIFS(Налоги!AW$25:AW$69,Налоги!$F$25:$F$69,$F384,Налоги!$AB$25:$AB$69,$G384)</f>
        <v>0</v>
      </c>
      <c r="AY384" s="1022">
        <f ca="1">SUMIFS(Налоги!AX$25:AX$69,Налоги!$F$25:$F$69,$F384,Налоги!$AB$25:$AB$69,$G384)</f>
        <v>0</v>
      </c>
      <c r="AZ384" s="1022">
        <f ca="1">SUMIFS(Налоги!AY$25:AY$69,Налоги!$F$25:$F$69,$F384,Налоги!$AB$25:$AB$69,$G384)</f>
        <v>0</v>
      </c>
      <c r="BA384" s="1022">
        <f ca="1">SUMIFS(Налоги!AZ$25:AZ$69,Налоги!$F$25:$F$69,$F384,Налоги!$AB$25:$AB$69,$G384)</f>
        <v>0</v>
      </c>
      <c r="BB384" s="1022">
        <f ca="1">SUMIFS(Налоги!BA$25:BA$69,Налоги!$F$25:$F$69,$F384,Налоги!$AB$25:$AB$69,$G384)</f>
        <v>0</v>
      </c>
      <c r="BC384" s="1022">
        <f ca="1">SUMIFS(Налоги!BB$25:BB$69,Налоги!$F$25:$F$69,$F384,Налоги!$AB$25:$AB$69,$G384)</f>
        <v>0</v>
      </c>
      <c r="BD384" s="1022">
        <f t="shared" ca="1" si="94"/>
        <v>0</v>
      </c>
      <c r="BE384" s="1022">
        <f t="shared" ca="1" si="95"/>
        <v>0</v>
      </c>
      <c r="BF384" s="1022">
        <f t="shared" ca="1" si="96"/>
        <v>0</v>
      </c>
      <c r="BG384" s="1022">
        <f t="shared" ca="1" si="97"/>
        <v>0</v>
      </c>
      <c r="BH384" s="1022">
        <f t="shared" ca="1" si="98"/>
        <v>0</v>
      </c>
      <c r="BI384" s="1022">
        <f t="shared" ca="1" si="99"/>
        <v>0</v>
      </c>
      <c r="BJ384" s="1022">
        <f t="shared" ca="1" si="100"/>
        <v>0</v>
      </c>
      <c r="BK384" s="1022">
        <f t="shared" ca="1" si="101"/>
        <v>0</v>
      </c>
      <c r="BL384" s="1022">
        <f t="shared" ca="1" si="102"/>
        <v>0</v>
      </c>
      <c r="BM384" s="1022">
        <f t="shared" ca="1" si="103"/>
        <v>0</v>
      </c>
      <c r="BN384" s="1523"/>
      <c r="BO384" s="1525" t="str">
        <f ca="1">IF(IFERROR(INDEX(Налоги!$K$26:$L$69,MATCH($F384&amp;"4komm",Налоги!$K$26:$K$69,0),2),"")=0,"",IFERROR(INDEX(Налоги!$K$26:$L$69,MATCH($F384&amp;"4komm",Налоги!$K$26:$K$69,0),2),""))</f>
        <v/>
      </c>
      <c r="BP384" s="1523"/>
      <c r="BQ384" s="1184"/>
      <c r="BR384" s="1184"/>
      <c r="BS384" s="973" t="s">
        <v>2034</v>
      </c>
      <c r="BT384" s="973"/>
      <c r="BU384" s="973"/>
      <c r="BV384" s="888"/>
      <c r="BW384" s="888"/>
    </row>
    <row r="385" spans="1:75" s="1334" customFormat="1" ht="14.25" customHeight="1" x14ac:dyDescent="0.15">
      <c r="A385" s="1184"/>
      <c r="B385" s="887"/>
      <c r="C385" s="26"/>
      <c r="D385" s="26"/>
      <c r="E385" s="545">
        <v>15</v>
      </c>
      <c r="F385" s="3" t="str" cm="1">
        <f t="array" aca="1" ref="F385" ca="1">OFFSET(E385,-1,1)</f>
        <v>2</v>
      </c>
      <c r="G385" s="834">
        <v>5</v>
      </c>
      <c r="H385" s="26"/>
      <c r="I385" s="26" t="s">
        <v>2035</v>
      </c>
      <c r="J385" s="26"/>
      <c r="K385" s="26" t="s">
        <v>2035</v>
      </c>
      <c r="L385" s="889"/>
      <c r="M385" s="26"/>
      <c r="N385" s="26"/>
      <c r="O385" s="26"/>
      <c r="P385" s="26"/>
      <c r="Q385" s="26"/>
      <c r="R385" s="26"/>
      <c r="S385" s="26"/>
      <c r="T385" s="388" t="b" cm="1">
        <f t="array" aca="1" ref="T385" ca="1">T384</f>
        <v>1</v>
      </c>
      <c r="U385" s="26"/>
      <c r="V385" s="26"/>
      <c r="W385" s="26"/>
      <c r="X385" s="2066"/>
      <c r="Y385" s="1184"/>
      <c r="Z385" s="2012"/>
      <c r="AA385" s="1184"/>
      <c r="AB385" s="218" t="s">
        <v>2036</v>
      </c>
      <c r="AC385" s="685" t="s">
        <v>2037</v>
      </c>
      <c r="AD385" s="218" t="s">
        <v>831</v>
      </c>
      <c r="AE385" s="1022">
        <f ca="1">SUMIFS(Налоги!AE$25:AE$69,Налоги!$F$25:$F$69,$F385,Налоги!$AB$25:$AB$69,$G385)</f>
        <v>0</v>
      </c>
      <c r="AF385" s="1022">
        <f ca="1">SUMIFS(Налоги!AF$25:AF$69,Налоги!$F$25:$F$69,$F385,Налоги!$AB$25:$AB$69,$G385)</f>
        <v>0</v>
      </c>
      <c r="AG385" s="1022">
        <f ca="1">SUMIFS(Налоги!AG$25:AG$69,Налоги!$F$25:$F$69,$F385,Налоги!$AB$25:$AB$69,$G385)</f>
        <v>0</v>
      </c>
      <c r="AH385" s="1022">
        <f t="shared" ca="1" si="92"/>
        <v>0</v>
      </c>
      <c r="AI385" s="1022">
        <f ca="1">SUMIFS(Налоги!AH$25:AH$69,Налоги!$F$25:$F$69,$F385,Налоги!$AB$25:$AB$69,$G385)</f>
        <v>0</v>
      </c>
      <c r="AJ385" s="1022">
        <f ca="1">SUMIFS(Налоги!AI$25:AI$69,Налоги!$F$25:$F$69,$F385,Налоги!$AB$25:$AB$69,$G385)</f>
        <v>0</v>
      </c>
      <c r="AK385" s="1022">
        <f ca="1">SUMIFS(Налоги!AJ$25:AJ$69,Налоги!$F$25:$F$69,$F385,Налоги!$AB$25:$AB$69,$G385)</f>
        <v>0</v>
      </c>
      <c r="AL385" s="1022">
        <f ca="1">SUMIFS(Налоги!AK$25:AK$69,Налоги!$F$25:$F$69,$F385,Налоги!$AB$25:$AB$69,$G385)</f>
        <v>0</v>
      </c>
      <c r="AM385" s="1022">
        <f ca="1">SUMIFS(Налоги!AL$25:AL$69,Налоги!$F$25:$F$69,$F385,Налоги!$AB$25:$AB$69,$G385)</f>
        <v>0</v>
      </c>
      <c r="AN385" s="1022">
        <f ca="1">SUMIFS(Налоги!AM$25:AM$69,Налоги!$F$25:$F$69,$F385,Налоги!$AB$25:$AB$69,$G385)</f>
        <v>0</v>
      </c>
      <c r="AO385" s="1022">
        <f ca="1">SUMIFS(Налоги!AN$25:AN$69,Налоги!$F$25:$F$69,$F385,Налоги!$AB$25:$AB$69,$G385)</f>
        <v>0</v>
      </c>
      <c r="AP385" s="1022">
        <f ca="1">SUMIFS(Налоги!AO$25:AO$69,Налоги!$F$25:$F$69,$F385,Налоги!$AB$25:$AB$69,$G385)</f>
        <v>0</v>
      </c>
      <c r="AQ385" s="1022">
        <f ca="1">SUMIFS(Налоги!AP$25:AP$69,Налоги!$F$25:$F$69,$F385,Налоги!$AB$25:$AB$69,$G385)</f>
        <v>0</v>
      </c>
      <c r="AR385" s="1022">
        <f ca="1">SUMIFS(Налоги!AQ$25:AQ$69,Налоги!$F$25:$F$69,$F385,Налоги!$AB$25:$AB$69,$G385)</f>
        <v>0</v>
      </c>
      <c r="AS385" s="1022">
        <f ca="1">SUMIFS(Налоги!AR$25:AR$69,Налоги!$F$25:$F$69,$F385,Налоги!$AB$25:$AB$69,$G385)</f>
        <v>0</v>
      </c>
      <c r="AT385" s="1022">
        <f ca="1">SUMIFS(Налоги!AS$25:AS$69,Налоги!$F$25:$F$69,$F385,Налоги!$AB$25:$AB$69,$G385)</f>
        <v>0</v>
      </c>
      <c r="AU385" s="1022">
        <f ca="1">SUMIFS(Налоги!AT$25:AT$69,Налоги!$F$25:$F$69,$F385,Налоги!$AB$25:$AB$69,$G385)</f>
        <v>0</v>
      </c>
      <c r="AV385" s="1022">
        <f ca="1">SUMIFS(Налоги!AU$25:AU$69,Налоги!$F$25:$F$69,$F385,Налоги!$AB$25:$AB$69,$G385)</f>
        <v>0</v>
      </c>
      <c r="AW385" s="1022">
        <f ca="1">SUMIFS(Налоги!AV$25:AV$69,Налоги!$F$25:$F$69,$F385,Налоги!$AB$25:$AB$69,$G385)</f>
        <v>0</v>
      </c>
      <c r="AX385" s="1022">
        <f ca="1">SUMIFS(Налоги!AW$25:AW$69,Налоги!$F$25:$F$69,$F385,Налоги!$AB$25:$AB$69,$G385)</f>
        <v>0</v>
      </c>
      <c r="AY385" s="1022">
        <f ca="1">SUMIFS(Налоги!AX$25:AX$69,Налоги!$F$25:$F$69,$F385,Налоги!$AB$25:$AB$69,$G385)</f>
        <v>0</v>
      </c>
      <c r="AZ385" s="1022">
        <f ca="1">SUMIFS(Налоги!AY$25:AY$69,Налоги!$F$25:$F$69,$F385,Налоги!$AB$25:$AB$69,$G385)</f>
        <v>0</v>
      </c>
      <c r="BA385" s="1022">
        <f ca="1">SUMIFS(Налоги!AZ$25:AZ$69,Налоги!$F$25:$F$69,$F385,Налоги!$AB$25:$AB$69,$G385)</f>
        <v>0</v>
      </c>
      <c r="BB385" s="1022">
        <f ca="1">SUMIFS(Налоги!BA$25:BA$69,Налоги!$F$25:$F$69,$F385,Налоги!$AB$25:$AB$69,$G385)</f>
        <v>0</v>
      </c>
      <c r="BC385" s="1022">
        <f ca="1">SUMIFS(Налоги!BB$25:BB$69,Налоги!$F$25:$F$69,$F385,Налоги!$AB$25:$AB$69,$G385)</f>
        <v>0</v>
      </c>
      <c r="BD385" s="1022">
        <f t="shared" ca="1" si="94"/>
        <v>0</v>
      </c>
      <c r="BE385" s="1022">
        <f t="shared" ca="1" si="95"/>
        <v>0</v>
      </c>
      <c r="BF385" s="1022">
        <f t="shared" ca="1" si="96"/>
        <v>0</v>
      </c>
      <c r="BG385" s="1022">
        <f t="shared" ca="1" si="97"/>
        <v>0</v>
      </c>
      <c r="BH385" s="1022">
        <f t="shared" ca="1" si="98"/>
        <v>0</v>
      </c>
      <c r="BI385" s="1022">
        <f t="shared" ca="1" si="99"/>
        <v>0</v>
      </c>
      <c r="BJ385" s="1022">
        <f t="shared" ca="1" si="100"/>
        <v>0</v>
      </c>
      <c r="BK385" s="1022">
        <f t="shared" ca="1" si="101"/>
        <v>0</v>
      </c>
      <c r="BL385" s="1022">
        <f t="shared" ca="1" si="102"/>
        <v>0</v>
      </c>
      <c r="BM385" s="1022">
        <f t="shared" ca="1" si="103"/>
        <v>0</v>
      </c>
      <c r="BN385" s="1523"/>
      <c r="BO385" s="1525" t="str">
        <f ca="1">IF(IFERROR(INDEX(Налоги!$K$26:$L$69,MATCH($F385&amp;"5komm",Налоги!$K$26:$K$69,0),2),"")=0,"",IFERROR(INDEX(Налоги!$K$26:$L$69,MATCH($F385&amp;"5komm",Налоги!$K$26:$K$69,0),2),""))</f>
        <v/>
      </c>
      <c r="BP385" s="1523"/>
      <c r="BQ385" s="1184"/>
      <c r="BR385" s="1184"/>
      <c r="BS385" s="973" t="s">
        <v>2038</v>
      </c>
      <c r="BT385" s="973"/>
      <c r="BU385" s="973"/>
      <c r="BV385" s="888"/>
      <c r="BW385" s="888"/>
    </row>
    <row r="386" spans="1:75" s="1334" customFormat="1" ht="14.25" customHeight="1" x14ac:dyDescent="0.15">
      <c r="A386" s="1184"/>
      <c r="B386" s="887"/>
      <c r="C386" s="26"/>
      <c r="D386" s="26"/>
      <c r="E386" s="545">
        <v>15</v>
      </c>
      <c r="F386" s="3" t="str" cm="1">
        <f t="array" aca="1" ref="F386" ca="1">OFFSET(E386,-1,1)</f>
        <v>2</v>
      </c>
      <c r="G386" s="834">
        <v>1</v>
      </c>
      <c r="H386" s="26"/>
      <c r="I386" s="26" t="s">
        <v>2039</v>
      </c>
      <c r="J386" s="26"/>
      <c r="K386" s="26" t="s">
        <v>2039</v>
      </c>
      <c r="L386" s="889"/>
      <c r="M386" s="26"/>
      <c r="N386" s="26"/>
      <c r="O386" s="26"/>
      <c r="P386" s="26"/>
      <c r="Q386" s="26"/>
      <c r="R386" s="26"/>
      <c r="S386" s="26"/>
      <c r="T386" s="388" t="b" cm="1">
        <f t="array" aca="1" ref="T386" ca="1">T385</f>
        <v>1</v>
      </c>
      <c r="U386" s="26"/>
      <c r="V386" s="26"/>
      <c r="W386" s="26"/>
      <c r="X386" s="2066"/>
      <c r="Y386" s="1184"/>
      <c r="Z386" s="2012"/>
      <c r="AA386" s="1184"/>
      <c r="AB386" s="218" t="s">
        <v>2040</v>
      </c>
      <c r="AC386" s="685" t="s">
        <v>2041</v>
      </c>
      <c r="AD386" s="218" t="s">
        <v>831</v>
      </c>
      <c r="AE386" s="1022">
        <f ca="1">SUMIFS(Налоги!AE$25:AE$69,Налоги!$F$25:$F$69,$F386,Налоги!$AB$25:$AB$69,$G386)</f>
        <v>0</v>
      </c>
      <c r="AF386" s="1022">
        <f ca="1">SUMIFS(Налоги!AF$25:AF$69,Налоги!$F$25:$F$69,$F386,Налоги!$AB$25:$AB$69,$G386)</f>
        <v>0</v>
      </c>
      <c r="AG386" s="1022">
        <f ca="1">SUMIFS(Налоги!AG$25:AG$69,Налоги!$F$25:$F$69,$F386,Налоги!$AB$25:$AB$69,$G386)</f>
        <v>0</v>
      </c>
      <c r="AH386" s="1022">
        <f t="shared" ca="1" si="92"/>
        <v>0</v>
      </c>
      <c r="AI386" s="1022">
        <f ca="1">SUMIFS(Налоги!AH$25:AH$69,Налоги!$F$25:$F$69,$F386,Налоги!$AB$25:$AB$69,$G386)</f>
        <v>0</v>
      </c>
      <c r="AJ386" s="1022">
        <f ca="1">SUMIFS(Налоги!AI$25:AI$69,Налоги!$F$25:$F$69,$F386,Налоги!$AB$25:$AB$69,$G386)</f>
        <v>0</v>
      </c>
      <c r="AK386" s="1022">
        <f ca="1">SUMIFS(Налоги!AJ$25:AJ$69,Налоги!$F$25:$F$69,$F386,Налоги!$AB$25:$AB$69,$G386)</f>
        <v>0</v>
      </c>
      <c r="AL386" s="1022">
        <f ca="1">SUMIFS(Налоги!AK$25:AK$69,Налоги!$F$25:$F$69,$F386,Налоги!$AB$25:$AB$69,$G386)</f>
        <v>0</v>
      </c>
      <c r="AM386" s="1022">
        <f ca="1">SUMIFS(Налоги!AL$25:AL$69,Налоги!$F$25:$F$69,$F386,Налоги!$AB$25:$AB$69,$G386)</f>
        <v>0</v>
      </c>
      <c r="AN386" s="1022">
        <f ca="1">SUMIFS(Налоги!AM$25:AM$69,Налоги!$F$25:$F$69,$F386,Налоги!$AB$25:$AB$69,$G386)</f>
        <v>0</v>
      </c>
      <c r="AO386" s="1022">
        <f ca="1">SUMIFS(Налоги!AN$25:AN$69,Налоги!$F$25:$F$69,$F386,Налоги!$AB$25:$AB$69,$G386)</f>
        <v>0</v>
      </c>
      <c r="AP386" s="1022">
        <f ca="1">SUMIFS(Налоги!AO$25:AO$69,Налоги!$F$25:$F$69,$F386,Налоги!$AB$25:$AB$69,$G386)</f>
        <v>0</v>
      </c>
      <c r="AQ386" s="1022">
        <f ca="1">SUMIFS(Налоги!AP$25:AP$69,Налоги!$F$25:$F$69,$F386,Налоги!$AB$25:$AB$69,$G386)</f>
        <v>0</v>
      </c>
      <c r="AR386" s="1022">
        <f ca="1">SUMIFS(Налоги!AQ$25:AQ$69,Налоги!$F$25:$F$69,$F386,Налоги!$AB$25:$AB$69,$G386)</f>
        <v>0</v>
      </c>
      <c r="AS386" s="1022">
        <f ca="1">SUMIFS(Налоги!AR$25:AR$69,Налоги!$F$25:$F$69,$F386,Налоги!$AB$25:$AB$69,$G386)</f>
        <v>0</v>
      </c>
      <c r="AT386" s="1022">
        <f ca="1">SUMIFS(Налоги!AS$25:AS$69,Налоги!$F$25:$F$69,$F386,Налоги!$AB$25:$AB$69,$G386)</f>
        <v>0</v>
      </c>
      <c r="AU386" s="1022">
        <f ca="1">SUMIFS(Налоги!AT$25:AT$69,Налоги!$F$25:$F$69,$F386,Налоги!$AB$25:$AB$69,$G386)</f>
        <v>0</v>
      </c>
      <c r="AV386" s="1022">
        <f ca="1">SUMIFS(Налоги!AU$25:AU$69,Налоги!$F$25:$F$69,$F386,Налоги!$AB$25:$AB$69,$G386)</f>
        <v>0</v>
      </c>
      <c r="AW386" s="1022">
        <f ca="1">SUMIFS(Налоги!AV$25:AV$69,Налоги!$F$25:$F$69,$F386,Налоги!$AB$25:$AB$69,$G386)</f>
        <v>0</v>
      </c>
      <c r="AX386" s="1022">
        <f ca="1">SUMIFS(Налоги!AW$25:AW$69,Налоги!$F$25:$F$69,$F386,Налоги!$AB$25:$AB$69,$G386)</f>
        <v>0</v>
      </c>
      <c r="AY386" s="1022">
        <f ca="1">SUMIFS(Налоги!AX$25:AX$69,Налоги!$F$25:$F$69,$F386,Налоги!$AB$25:$AB$69,$G386)</f>
        <v>0</v>
      </c>
      <c r="AZ386" s="1022">
        <f ca="1">SUMIFS(Налоги!AY$25:AY$69,Налоги!$F$25:$F$69,$F386,Налоги!$AB$25:$AB$69,$G386)</f>
        <v>0</v>
      </c>
      <c r="BA386" s="1022">
        <f ca="1">SUMIFS(Налоги!AZ$25:AZ$69,Налоги!$F$25:$F$69,$F386,Налоги!$AB$25:$AB$69,$G386)</f>
        <v>0</v>
      </c>
      <c r="BB386" s="1022">
        <f ca="1">SUMIFS(Налоги!BA$25:BA$69,Налоги!$F$25:$F$69,$F386,Налоги!$AB$25:$AB$69,$G386)</f>
        <v>0</v>
      </c>
      <c r="BC386" s="1022">
        <f ca="1">SUMIFS(Налоги!BB$25:BB$69,Налоги!$F$25:$F$69,$F386,Налоги!$AB$25:$AB$69,$G386)</f>
        <v>0</v>
      </c>
      <c r="BD386" s="1022">
        <f t="shared" ca="1" si="94"/>
        <v>0</v>
      </c>
      <c r="BE386" s="1022">
        <f t="shared" ca="1" si="95"/>
        <v>0</v>
      </c>
      <c r="BF386" s="1022">
        <f t="shared" ca="1" si="96"/>
        <v>0</v>
      </c>
      <c r="BG386" s="1022">
        <f t="shared" ca="1" si="97"/>
        <v>0</v>
      </c>
      <c r="BH386" s="1022">
        <f t="shared" ca="1" si="98"/>
        <v>0</v>
      </c>
      <c r="BI386" s="1022">
        <f t="shared" ca="1" si="99"/>
        <v>0</v>
      </c>
      <c r="BJ386" s="1022">
        <f t="shared" ca="1" si="100"/>
        <v>0</v>
      </c>
      <c r="BK386" s="1022">
        <f t="shared" ca="1" si="101"/>
        <v>0</v>
      </c>
      <c r="BL386" s="1022">
        <f t="shared" ca="1" si="102"/>
        <v>0</v>
      </c>
      <c r="BM386" s="1022">
        <f t="shared" ca="1" si="103"/>
        <v>0</v>
      </c>
      <c r="BN386" s="1523"/>
      <c r="BO386" s="1525" t="str">
        <f ca="1">IF(IFERROR(INDEX(Налоги!$K$26:$L$69,MATCH($F386&amp;"1komm",Налоги!$K$26:$K$69,0),2),"")=0,"",IFERROR(INDEX(Налоги!$K$26:$L$69,MATCH($F386&amp;"1komm",Налоги!$K$26:$K$69,0),2),""))</f>
        <v/>
      </c>
      <c r="BP386" s="1523"/>
      <c r="BQ386" s="1184"/>
      <c r="BR386" s="1184"/>
      <c r="BS386" s="973" t="s">
        <v>2042</v>
      </c>
      <c r="BT386" s="973"/>
      <c r="BU386" s="973"/>
      <c r="BV386" s="888"/>
      <c r="BW386" s="888"/>
    </row>
    <row r="387" spans="1:75" s="1334" customFormat="1" ht="14.25" customHeight="1" x14ac:dyDescent="0.15">
      <c r="A387" s="1184"/>
      <c r="B387" s="887"/>
      <c r="C387" s="26"/>
      <c r="D387" s="26"/>
      <c r="E387" s="545">
        <v>15</v>
      </c>
      <c r="F387" s="3" t="str" cm="1">
        <f t="array" aca="1" ref="F387" ca="1">OFFSET(E387,-1,1)</f>
        <v>2</v>
      </c>
      <c r="G387" s="834">
        <v>3</v>
      </c>
      <c r="H387" s="26"/>
      <c r="I387" s="26" t="s">
        <v>2043</v>
      </c>
      <c r="J387" s="26"/>
      <c r="K387" s="26" t="s">
        <v>2043</v>
      </c>
      <c r="L387" s="889"/>
      <c r="M387" s="26"/>
      <c r="N387" s="26"/>
      <c r="O387" s="26"/>
      <c r="P387" s="26"/>
      <c r="Q387" s="26"/>
      <c r="R387" s="26"/>
      <c r="S387" s="26"/>
      <c r="T387" s="388" t="b" cm="1">
        <f t="array" aca="1" ref="T387" ca="1">T386</f>
        <v>1</v>
      </c>
      <c r="U387" s="26"/>
      <c r="V387" s="26"/>
      <c r="W387" s="26"/>
      <c r="X387" s="2066"/>
      <c r="Y387" s="1184"/>
      <c r="Z387" s="2012"/>
      <c r="AA387" s="1184"/>
      <c r="AB387" s="218" t="s">
        <v>2044</v>
      </c>
      <c r="AC387" s="685" t="s">
        <v>2045</v>
      </c>
      <c r="AD387" s="218" t="s">
        <v>831</v>
      </c>
      <c r="AE387" s="1022">
        <f ca="1">SUMIFS(Налоги!AE$25:AE$69,Налоги!$F$25:$F$69,$F387,Налоги!$AB$25:$AB$69,$G387)</f>
        <v>0</v>
      </c>
      <c r="AF387" s="1022">
        <f ca="1">SUMIFS(Налоги!AF$25:AF$69,Налоги!$F$25:$F$69,$F387,Налоги!$AB$25:$AB$69,$G387)</f>
        <v>36.32</v>
      </c>
      <c r="AG387" s="1022">
        <f ca="1">SUMIFS(Налоги!AG$25:AG$69,Налоги!$F$25:$F$69,$F387,Налоги!$AB$25:$AB$69,$G387)</f>
        <v>36.32</v>
      </c>
      <c r="AH387" s="1022">
        <f t="shared" ca="1" si="92"/>
        <v>0</v>
      </c>
      <c r="AI387" s="1022">
        <f ca="1">SUMIFS(Налоги!AH$25:AH$69,Налоги!$F$25:$F$69,$F387,Налоги!$AB$25:$AB$69,$G387)</f>
        <v>0</v>
      </c>
      <c r="AJ387" s="1022">
        <f ca="1">SUMIFS(Налоги!AI$25:AI$69,Налоги!$F$25:$F$69,$F387,Налоги!$AB$25:$AB$69,$G387)</f>
        <v>39.619999999999997</v>
      </c>
      <c r="AK387" s="1022">
        <f ca="1">SUMIFS(Налоги!AJ$25:AJ$69,Налоги!$F$25:$F$69,$F387,Налоги!$AB$25:$AB$69,$G387)</f>
        <v>0</v>
      </c>
      <c r="AL387" s="1022">
        <f ca="1">SUMIFS(Налоги!AK$25:AK$69,Налоги!$F$25:$F$69,$F387,Налоги!$AB$25:$AB$69,$G387)</f>
        <v>0</v>
      </c>
      <c r="AM387" s="1022">
        <f ca="1">SUMIFS(Налоги!AL$25:AL$69,Налоги!$F$25:$F$69,$F387,Налоги!$AB$25:$AB$69,$G387)</f>
        <v>0</v>
      </c>
      <c r="AN387" s="1022">
        <f ca="1">SUMIFS(Налоги!AM$25:AM$69,Налоги!$F$25:$F$69,$F387,Налоги!$AB$25:$AB$69,$G387)</f>
        <v>0</v>
      </c>
      <c r="AO387" s="1022">
        <f ca="1">SUMIFS(Налоги!AN$25:AN$69,Налоги!$F$25:$F$69,$F387,Налоги!$AB$25:$AB$69,$G387)</f>
        <v>0</v>
      </c>
      <c r="AP387" s="1022">
        <f ca="1">SUMIFS(Налоги!AO$25:AO$69,Налоги!$F$25:$F$69,$F387,Налоги!$AB$25:$AB$69,$G387)</f>
        <v>0</v>
      </c>
      <c r="AQ387" s="1022">
        <f ca="1">SUMIFS(Налоги!AP$25:AP$69,Налоги!$F$25:$F$69,$F387,Налоги!$AB$25:$AB$69,$G387)</f>
        <v>0</v>
      </c>
      <c r="AR387" s="1022">
        <f ca="1">SUMIFS(Налоги!AQ$25:AQ$69,Налоги!$F$25:$F$69,$F387,Налоги!$AB$25:$AB$69,$G387)</f>
        <v>0</v>
      </c>
      <c r="AS387" s="1022">
        <f ca="1">SUMIFS(Налоги!AR$25:AR$69,Налоги!$F$25:$F$69,$F387,Налоги!$AB$25:$AB$69,$G387)</f>
        <v>0</v>
      </c>
      <c r="AT387" s="1022">
        <f ca="1">SUMIFS(Налоги!AS$25:AS$69,Налоги!$F$25:$F$69,$F387,Налоги!$AB$25:$AB$69,$G387)</f>
        <v>36.32</v>
      </c>
      <c r="AU387" s="1022">
        <f ca="1">SUMIFS(Налоги!AT$25:AT$69,Налоги!$F$25:$F$69,$F387,Налоги!$AB$25:$AB$69,$G387)</f>
        <v>0</v>
      </c>
      <c r="AV387" s="1022">
        <f ca="1">SUMIFS(Налоги!AU$25:AU$69,Налоги!$F$25:$F$69,$F387,Налоги!$AB$25:$AB$69,$G387)</f>
        <v>0</v>
      </c>
      <c r="AW387" s="1022">
        <f ca="1">SUMIFS(Налоги!AV$25:AV$69,Налоги!$F$25:$F$69,$F387,Налоги!$AB$25:$AB$69,$G387)</f>
        <v>0</v>
      </c>
      <c r="AX387" s="1022">
        <f ca="1">SUMIFS(Налоги!AW$25:AW$69,Налоги!$F$25:$F$69,$F387,Налоги!$AB$25:$AB$69,$G387)</f>
        <v>0</v>
      </c>
      <c r="AY387" s="1022">
        <f ca="1">SUMIFS(Налоги!AX$25:AX$69,Налоги!$F$25:$F$69,$F387,Налоги!$AB$25:$AB$69,$G387)</f>
        <v>0</v>
      </c>
      <c r="AZ387" s="1022">
        <f ca="1">SUMIFS(Налоги!AY$25:AY$69,Налоги!$F$25:$F$69,$F387,Налоги!$AB$25:$AB$69,$G387)</f>
        <v>0</v>
      </c>
      <c r="BA387" s="1022">
        <f ca="1">SUMIFS(Налоги!AZ$25:AZ$69,Налоги!$F$25:$F$69,$F387,Налоги!$AB$25:$AB$69,$G387)</f>
        <v>0</v>
      </c>
      <c r="BB387" s="1022">
        <f ca="1">SUMIFS(Налоги!BA$25:BA$69,Налоги!$F$25:$F$69,$F387,Налоги!$AB$25:$AB$69,$G387)</f>
        <v>0</v>
      </c>
      <c r="BC387" s="1022">
        <f ca="1">SUMIFS(Налоги!BB$25:BB$69,Налоги!$F$25:$F$69,$F387,Налоги!$AB$25:$AB$69,$G387)</f>
        <v>0</v>
      </c>
      <c r="BD387" s="1022">
        <f t="shared" ca="1" si="94"/>
        <v>0</v>
      </c>
      <c r="BE387" s="1022">
        <f t="shared" ca="1" si="95"/>
        <v>-100</v>
      </c>
      <c r="BF387" s="1022">
        <f t="shared" ca="1" si="96"/>
        <v>0</v>
      </c>
      <c r="BG387" s="1022">
        <f t="shared" ca="1" si="97"/>
        <v>0</v>
      </c>
      <c r="BH387" s="1022">
        <f t="shared" ca="1" si="98"/>
        <v>0</v>
      </c>
      <c r="BI387" s="1022">
        <f t="shared" ca="1" si="99"/>
        <v>0</v>
      </c>
      <c r="BJ387" s="1022">
        <f t="shared" ca="1" si="100"/>
        <v>0</v>
      </c>
      <c r="BK387" s="1022">
        <f t="shared" ca="1" si="101"/>
        <v>0</v>
      </c>
      <c r="BL387" s="1022">
        <f t="shared" ca="1" si="102"/>
        <v>0</v>
      </c>
      <c r="BM387" s="1022">
        <f t="shared" ca="1" si="103"/>
        <v>0</v>
      </c>
      <c r="BN387" s="1523"/>
      <c r="BO387" s="1525" t="str">
        <f ca="1">IF(IFERROR(INDEX(Налоги!$K$26:$L$69,MATCH($F387&amp;"5komm",Налоги!$K$26:$K$69,0),2),"")=0,"",IFERROR(INDEX(Налоги!$K$26:$L$69,MATCH($F387&amp;"5komm",Налоги!$K$26:$K$69,0),2),""))</f>
        <v/>
      </c>
      <c r="BP387" s="1523"/>
      <c r="BQ387" s="1184"/>
      <c r="BR387" s="1184"/>
      <c r="BS387" s="973" t="s">
        <v>2046</v>
      </c>
      <c r="BT387" s="973"/>
      <c r="BU387" s="973"/>
      <c r="BV387" s="888"/>
      <c r="BW387" s="888"/>
    </row>
    <row r="388" spans="1:75" s="1334" customFormat="1" ht="14.25" customHeight="1" x14ac:dyDescent="0.15">
      <c r="A388" s="1184"/>
      <c r="B388" s="887"/>
      <c r="C388" s="26"/>
      <c r="D388" s="26"/>
      <c r="E388" s="545">
        <v>15</v>
      </c>
      <c r="F388" s="3" t="str" cm="1">
        <f t="array" aca="1" ref="F388" ca="1">OFFSET(E388,-1,1)</f>
        <v>2</v>
      </c>
      <c r="G388" s="834">
        <v>8</v>
      </c>
      <c r="H388" s="26"/>
      <c r="I388" s="26" t="s">
        <v>2047</v>
      </c>
      <c r="J388" s="26"/>
      <c r="K388" s="26" t="s">
        <v>2047</v>
      </c>
      <c r="L388" s="889"/>
      <c r="M388" s="26"/>
      <c r="N388" s="26"/>
      <c r="O388" s="26"/>
      <c r="P388" s="26"/>
      <c r="Q388" s="26"/>
      <c r="R388" s="26"/>
      <c r="S388" s="26"/>
      <c r="T388" s="388" t="b" cm="1">
        <f t="array" aca="1" ref="T388" ca="1">T387</f>
        <v>1</v>
      </c>
      <c r="U388" s="26"/>
      <c r="V388" s="26"/>
      <c r="W388" s="26"/>
      <c r="X388" s="2066"/>
      <c r="Y388" s="1184"/>
      <c r="Z388" s="2012"/>
      <c r="AA388" s="1184"/>
      <c r="AB388" s="218" t="s">
        <v>2048</v>
      </c>
      <c r="AC388" s="685" t="s">
        <v>2049</v>
      </c>
      <c r="AD388" s="218" t="s">
        <v>831</v>
      </c>
      <c r="AE388" s="1022">
        <f ca="1">SUMIFS(Налоги!AE$25:AE$69,Налоги!$F$25:$F$69,$F388,Налоги!$AB$25:$AB$69,$G388)</f>
        <v>0</v>
      </c>
      <c r="AF388" s="1022">
        <f ca="1">SUMIFS(Налоги!AF$25:AF$69,Налоги!$F$25:$F$69,$F388,Налоги!$AB$25:$AB$69,$G388)</f>
        <v>0</v>
      </c>
      <c r="AG388" s="1022">
        <f ca="1">SUMIFS(Налоги!AG$25:AG$69,Налоги!$F$25:$F$69,$F388,Налоги!$AB$25:$AB$69,$G388)</f>
        <v>0</v>
      </c>
      <c r="AH388" s="1022">
        <f t="shared" ca="1" si="92"/>
        <v>0</v>
      </c>
      <c r="AI388" s="1022">
        <f ca="1">SUMIFS(Налоги!AH$25:AH$69,Налоги!$F$25:$F$69,$F388,Налоги!$AB$25:$AB$69,$G388)</f>
        <v>0</v>
      </c>
      <c r="AJ388" s="1022">
        <f ca="1">SUMIFS(Налоги!AI$25:AI$69,Налоги!$F$25:$F$69,$F388,Налоги!$AB$25:$AB$69,$G388)</f>
        <v>0</v>
      </c>
      <c r="AK388" s="1022">
        <f ca="1">SUMIFS(Налоги!AJ$25:AJ$69,Налоги!$F$25:$F$69,$F388,Налоги!$AB$25:$AB$69,$G388)</f>
        <v>0</v>
      </c>
      <c r="AL388" s="1022">
        <f ca="1">SUMIFS(Налоги!AK$25:AK$69,Налоги!$F$25:$F$69,$F388,Налоги!$AB$25:$AB$69,$G388)</f>
        <v>0</v>
      </c>
      <c r="AM388" s="1022">
        <f ca="1">SUMIFS(Налоги!AL$25:AL$69,Налоги!$F$25:$F$69,$F388,Налоги!$AB$25:$AB$69,$G388)</f>
        <v>0</v>
      </c>
      <c r="AN388" s="1022">
        <f ca="1">SUMIFS(Налоги!AM$25:AM$69,Налоги!$F$25:$F$69,$F388,Налоги!$AB$25:$AB$69,$G388)</f>
        <v>0</v>
      </c>
      <c r="AO388" s="1022">
        <f ca="1">SUMIFS(Налоги!AN$25:AN$69,Налоги!$F$25:$F$69,$F388,Налоги!$AB$25:$AB$69,$G388)</f>
        <v>0</v>
      </c>
      <c r="AP388" s="1022">
        <f ca="1">SUMIFS(Налоги!AO$25:AO$69,Налоги!$F$25:$F$69,$F388,Налоги!$AB$25:$AB$69,$G388)</f>
        <v>0</v>
      </c>
      <c r="AQ388" s="1022">
        <f ca="1">SUMIFS(Налоги!AP$25:AP$69,Налоги!$F$25:$F$69,$F388,Налоги!$AB$25:$AB$69,$G388)</f>
        <v>0</v>
      </c>
      <c r="AR388" s="1022">
        <f ca="1">SUMIFS(Налоги!AQ$25:AQ$69,Налоги!$F$25:$F$69,$F388,Налоги!$AB$25:$AB$69,$G388)</f>
        <v>0</v>
      </c>
      <c r="AS388" s="1022">
        <f ca="1">SUMIFS(Налоги!AR$25:AR$69,Налоги!$F$25:$F$69,$F388,Налоги!$AB$25:$AB$69,$G388)</f>
        <v>0</v>
      </c>
      <c r="AT388" s="1022">
        <f ca="1">SUMIFS(Налоги!AS$25:AS$69,Налоги!$F$25:$F$69,$F388,Налоги!$AB$25:$AB$69,$G388)</f>
        <v>0</v>
      </c>
      <c r="AU388" s="1022">
        <f ca="1">SUMIFS(Налоги!AT$25:AT$69,Налоги!$F$25:$F$69,$F388,Налоги!$AB$25:$AB$69,$G388)</f>
        <v>0</v>
      </c>
      <c r="AV388" s="1022">
        <f ca="1">SUMIFS(Налоги!AU$25:AU$69,Налоги!$F$25:$F$69,$F388,Налоги!$AB$25:$AB$69,$G388)</f>
        <v>0</v>
      </c>
      <c r="AW388" s="1022">
        <f ca="1">SUMIFS(Налоги!AV$25:AV$69,Налоги!$F$25:$F$69,$F388,Налоги!$AB$25:$AB$69,$G388)</f>
        <v>0</v>
      </c>
      <c r="AX388" s="1022">
        <f ca="1">SUMIFS(Налоги!AW$25:AW$69,Налоги!$F$25:$F$69,$F388,Налоги!$AB$25:$AB$69,$G388)</f>
        <v>0</v>
      </c>
      <c r="AY388" s="1022">
        <f ca="1">SUMIFS(Налоги!AX$25:AX$69,Налоги!$F$25:$F$69,$F388,Налоги!$AB$25:$AB$69,$G388)</f>
        <v>0</v>
      </c>
      <c r="AZ388" s="1022">
        <f ca="1">SUMIFS(Налоги!AY$25:AY$69,Налоги!$F$25:$F$69,$F388,Налоги!$AB$25:$AB$69,$G388)</f>
        <v>0</v>
      </c>
      <c r="BA388" s="1022">
        <f ca="1">SUMIFS(Налоги!AZ$25:AZ$69,Налоги!$F$25:$F$69,$F388,Налоги!$AB$25:$AB$69,$G388)</f>
        <v>0</v>
      </c>
      <c r="BB388" s="1022">
        <f ca="1">SUMIFS(Налоги!BA$25:BA$69,Налоги!$F$25:$F$69,$F388,Налоги!$AB$25:$AB$69,$G388)</f>
        <v>0</v>
      </c>
      <c r="BC388" s="1022">
        <f ca="1">SUMIFS(Налоги!BB$25:BB$69,Налоги!$F$25:$F$69,$F388,Налоги!$AB$25:$AB$69,$G388)</f>
        <v>0</v>
      </c>
      <c r="BD388" s="1022">
        <f t="shared" ca="1" si="94"/>
        <v>0</v>
      </c>
      <c r="BE388" s="1022">
        <f t="shared" ca="1" si="95"/>
        <v>0</v>
      </c>
      <c r="BF388" s="1022">
        <f t="shared" ca="1" si="96"/>
        <v>0</v>
      </c>
      <c r="BG388" s="1022">
        <f t="shared" ca="1" si="97"/>
        <v>0</v>
      </c>
      <c r="BH388" s="1022">
        <f t="shared" ca="1" si="98"/>
        <v>0</v>
      </c>
      <c r="BI388" s="1022">
        <f t="shared" ca="1" si="99"/>
        <v>0</v>
      </c>
      <c r="BJ388" s="1022">
        <f t="shared" ca="1" si="100"/>
        <v>0</v>
      </c>
      <c r="BK388" s="1022">
        <f t="shared" ca="1" si="101"/>
        <v>0</v>
      </c>
      <c r="BL388" s="1022">
        <f t="shared" ca="1" si="102"/>
        <v>0</v>
      </c>
      <c r="BM388" s="1022">
        <f t="shared" ca="1" si="103"/>
        <v>0</v>
      </c>
      <c r="BN388" s="1523"/>
      <c r="BO388" s="1525" t="str">
        <f ca="1">IF(IFERROR(INDEX(Налоги!$K$26:$L$69,MATCH($F388&amp;"8komm",Налоги!$K$26:$K$69,0),2),"")=0,"",IFERROR(INDEX(Налоги!$K$26:$L$69,MATCH($F388&amp;"8komm",Налоги!$K$26:$K$69,0),2),""))</f>
        <v/>
      </c>
      <c r="BP388" s="1523"/>
      <c r="BQ388" s="1184"/>
      <c r="BR388" s="1184"/>
      <c r="BS388" s="973" t="s">
        <v>1251</v>
      </c>
      <c r="BT388" s="973"/>
      <c r="BU388" s="973"/>
      <c r="BV388" s="888"/>
      <c r="BW388" s="888"/>
    </row>
    <row r="389" spans="1:75" s="1140" customFormat="1" ht="14.25" customHeight="1" x14ac:dyDescent="0.15">
      <c r="B389" s="673"/>
      <c r="C389" s="26"/>
      <c r="D389" s="26"/>
      <c r="E389" s="545">
        <v>15</v>
      </c>
      <c r="F389" s="3" t="str" cm="1">
        <f t="array" aca="1" ref="F389" ca="1">OFFSET(E389,-1,1)</f>
        <v>2</v>
      </c>
      <c r="G389" s="834">
        <v>9</v>
      </c>
      <c r="H389" s="26"/>
      <c r="I389" s="26"/>
      <c r="J389" s="26"/>
      <c r="K389" s="26"/>
      <c r="L389" s="889"/>
      <c r="M389" s="26"/>
      <c r="N389" s="26"/>
      <c r="O389" s="26"/>
      <c r="P389" s="26"/>
      <c r="Q389" s="26"/>
      <c r="R389" s="26"/>
      <c r="S389" s="26"/>
      <c r="T389" s="388" t="b" cm="1">
        <f t="array" aca="1" ref="T389" ca="1">T388</f>
        <v>1</v>
      </c>
      <c r="U389" s="26"/>
      <c r="V389" s="26"/>
      <c r="W389" s="26"/>
      <c r="X389" s="2066"/>
      <c r="Z389" s="2012"/>
      <c r="AB389" s="218" t="s">
        <v>2050</v>
      </c>
      <c r="AC389" s="700" t="s">
        <v>2051</v>
      </c>
      <c r="AD389" s="218" t="s">
        <v>831</v>
      </c>
      <c r="AE389" s="1022">
        <f ca="1">SUMIFS(Налоги!AE$25:AE$69,Налоги!$F$25:$F$69,$F389,Налоги!$AB$25:$AB$69,$G389)</f>
        <v>0</v>
      </c>
      <c r="AF389" s="1022">
        <f ca="1">SUMIFS(Налоги!AF$25:AF$69,Налоги!$F$25:$F$69,$F389,Налоги!$AB$25:$AB$69,$G389)</f>
        <v>0</v>
      </c>
      <c r="AG389" s="1022">
        <f ca="1">SUMIFS(Налоги!AG$25:AG$69,Налоги!$F$25:$F$69,$F389,Налоги!$AB$25:$AB$69,$G389)</f>
        <v>0</v>
      </c>
      <c r="AH389" s="1022">
        <f t="shared" ca="1" si="92"/>
        <v>0</v>
      </c>
      <c r="AI389" s="1022">
        <f ca="1">SUMIFS(Налоги!AH$25:AH$69,Налоги!$F$25:$F$69,$F389,Налоги!$AB$25:$AB$69,$G389)</f>
        <v>0</v>
      </c>
      <c r="AJ389" s="1022">
        <f ca="1">SUMIFS(Налоги!AI$25:AI$69,Налоги!$F$25:$F$69,$F389,Налоги!$AB$25:$AB$69,$G389)</f>
        <v>0</v>
      </c>
      <c r="AK389" s="1022">
        <f ca="1">SUMIFS(Налоги!AJ$25:AJ$69,Налоги!$F$25:$F$69,$F389,Налоги!$AB$25:$AB$69,$G389)</f>
        <v>0</v>
      </c>
      <c r="AL389" s="1022">
        <f ca="1">SUMIFS(Налоги!AK$25:AK$69,Налоги!$F$25:$F$69,$F389,Налоги!$AB$25:$AB$69,$G389)</f>
        <v>0</v>
      </c>
      <c r="AM389" s="1022">
        <f ca="1">SUMIFS(Налоги!AL$25:AL$69,Налоги!$F$25:$F$69,$F389,Налоги!$AB$25:$AB$69,$G389)</f>
        <v>0</v>
      </c>
      <c r="AN389" s="1022">
        <f ca="1">SUMIFS(Налоги!AM$25:AM$69,Налоги!$F$25:$F$69,$F389,Налоги!$AB$25:$AB$69,$G389)</f>
        <v>0</v>
      </c>
      <c r="AO389" s="1022">
        <f ca="1">SUMIFS(Налоги!AN$25:AN$69,Налоги!$F$25:$F$69,$F389,Налоги!$AB$25:$AB$69,$G389)</f>
        <v>0</v>
      </c>
      <c r="AP389" s="1022">
        <f ca="1">SUMIFS(Налоги!AO$25:AO$69,Налоги!$F$25:$F$69,$F389,Налоги!$AB$25:$AB$69,$G389)</f>
        <v>0</v>
      </c>
      <c r="AQ389" s="1022">
        <f ca="1">SUMIFS(Налоги!AP$25:AP$69,Налоги!$F$25:$F$69,$F389,Налоги!$AB$25:$AB$69,$G389)</f>
        <v>0</v>
      </c>
      <c r="AR389" s="1022">
        <f ca="1">SUMIFS(Налоги!AQ$25:AQ$69,Налоги!$F$25:$F$69,$F389,Налоги!$AB$25:$AB$69,$G389)</f>
        <v>0</v>
      </c>
      <c r="AS389" s="1022">
        <f ca="1">SUMIFS(Налоги!AR$25:AR$69,Налоги!$F$25:$F$69,$F389,Налоги!$AB$25:$AB$69,$G389)</f>
        <v>0</v>
      </c>
      <c r="AT389" s="1022">
        <f ca="1">SUMIFS(Налоги!AS$25:AS$69,Налоги!$F$25:$F$69,$F389,Налоги!$AB$25:$AB$69,$G389)</f>
        <v>0</v>
      </c>
      <c r="AU389" s="1022">
        <f ca="1">SUMIFS(Налоги!AT$25:AT$69,Налоги!$F$25:$F$69,$F389,Налоги!$AB$25:$AB$69,$G389)</f>
        <v>0</v>
      </c>
      <c r="AV389" s="1022">
        <f ca="1">SUMIFS(Налоги!AU$25:AU$69,Налоги!$F$25:$F$69,$F389,Налоги!$AB$25:$AB$69,$G389)</f>
        <v>0</v>
      </c>
      <c r="AW389" s="1022">
        <f ca="1">SUMIFS(Налоги!AV$25:AV$69,Налоги!$F$25:$F$69,$F389,Налоги!$AB$25:$AB$69,$G389)</f>
        <v>0</v>
      </c>
      <c r="AX389" s="1022">
        <f ca="1">SUMIFS(Налоги!AW$25:AW$69,Налоги!$F$25:$F$69,$F389,Налоги!$AB$25:$AB$69,$G389)</f>
        <v>0</v>
      </c>
      <c r="AY389" s="1022">
        <f ca="1">SUMIFS(Налоги!AX$25:AX$69,Налоги!$F$25:$F$69,$F389,Налоги!$AB$25:$AB$69,$G389)</f>
        <v>0</v>
      </c>
      <c r="AZ389" s="1022">
        <f ca="1">SUMIFS(Налоги!AY$25:AY$69,Налоги!$F$25:$F$69,$F389,Налоги!$AB$25:$AB$69,$G389)</f>
        <v>0</v>
      </c>
      <c r="BA389" s="1022">
        <f ca="1">SUMIFS(Налоги!AZ$25:AZ$69,Налоги!$F$25:$F$69,$F389,Налоги!$AB$25:$AB$69,$G389)</f>
        <v>0</v>
      </c>
      <c r="BB389" s="1022">
        <f ca="1">SUMIFS(Налоги!BA$25:BA$69,Налоги!$F$25:$F$69,$F389,Налоги!$AB$25:$AB$69,$G389)</f>
        <v>0</v>
      </c>
      <c r="BC389" s="1022">
        <f ca="1">SUMIFS(Налоги!BB$25:BB$69,Налоги!$F$25:$F$69,$F389,Налоги!$AB$25:$AB$69,$G389)</f>
        <v>0</v>
      </c>
      <c r="BD389" s="1022">
        <f t="shared" ca="1" si="94"/>
        <v>0</v>
      </c>
      <c r="BE389" s="1022">
        <f t="shared" ca="1" si="95"/>
        <v>0</v>
      </c>
      <c r="BF389" s="1022">
        <f t="shared" ca="1" si="96"/>
        <v>0</v>
      </c>
      <c r="BG389" s="1022">
        <f t="shared" ca="1" si="97"/>
        <v>0</v>
      </c>
      <c r="BH389" s="1022">
        <f t="shared" ca="1" si="98"/>
        <v>0</v>
      </c>
      <c r="BI389" s="1022">
        <f t="shared" ca="1" si="99"/>
        <v>0</v>
      </c>
      <c r="BJ389" s="1022">
        <f t="shared" ca="1" si="100"/>
        <v>0</v>
      </c>
      <c r="BK389" s="1022">
        <f t="shared" ca="1" si="101"/>
        <v>0</v>
      </c>
      <c r="BL389" s="1022">
        <f t="shared" ca="1" si="102"/>
        <v>0</v>
      </c>
      <c r="BM389" s="1022">
        <f t="shared" ca="1" si="103"/>
        <v>0</v>
      </c>
      <c r="BN389" s="1523"/>
      <c r="BO389" s="1525" t="str">
        <f ca="1">IF(IFERROR(INDEX(Налоги!$K$26:$L$69,MATCH($F389&amp;"9komm",Налоги!$K$26:$K$69,0),2),"")=0,"",IFERROR(INDEX(Налоги!$K$26:$L$69,MATCH($F389&amp;"9komm",Налоги!$K$26:$K$69,0),2),""))</f>
        <v/>
      </c>
      <c r="BP389" s="1523"/>
      <c r="BS389" s="980" t="s">
        <v>2052</v>
      </c>
      <c r="BT389" s="980"/>
      <c r="BU389" s="980"/>
      <c r="BV389" s="981"/>
      <c r="BW389" s="981"/>
    </row>
    <row r="390" spans="1:75" s="1334" customFormat="1" ht="14.25" customHeight="1" x14ac:dyDescent="0.15">
      <c r="A390" s="1184"/>
      <c r="B390" s="887"/>
      <c r="C390" s="26"/>
      <c r="D390" s="26"/>
      <c r="E390" s="545">
        <v>15</v>
      </c>
      <c r="F390" s="3" t="str" cm="1">
        <f t="array" aca="1" ref="F390" ca="1">OFFSET(E390,-1,1)</f>
        <v>2</v>
      </c>
      <c r="G390" s="834">
        <v>10</v>
      </c>
      <c r="H390" s="26"/>
      <c r="I390" s="26" t="s">
        <v>2053</v>
      </c>
      <c r="J390" s="26"/>
      <c r="K390" s="26" t="s">
        <v>2053</v>
      </c>
      <c r="L390" s="889"/>
      <c r="M390" s="26"/>
      <c r="N390" s="26"/>
      <c r="O390" s="26"/>
      <c r="P390" s="26"/>
      <c r="Q390" s="26"/>
      <c r="R390" s="26"/>
      <c r="S390" s="26"/>
      <c r="T390" s="388" t="b" cm="1">
        <f t="array" aca="1" ref="T390" ca="1">T389</f>
        <v>1</v>
      </c>
      <c r="U390" s="26"/>
      <c r="V390" s="26"/>
      <c r="W390" s="26"/>
      <c r="X390" s="2066"/>
      <c r="Y390" s="1184"/>
      <c r="Z390" s="2012"/>
      <c r="AA390" s="1184"/>
      <c r="AB390" s="218" t="s">
        <v>2054</v>
      </c>
      <c r="AC390" s="701" t="s">
        <v>2055</v>
      </c>
      <c r="AD390" s="218" t="s">
        <v>831</v>
      </c>
      <c r="AE390" s="1022">
        <f ca="1">SUMIFS(Налоги!AE$25:AE$69,Налоги!$F$25:$F$69,$F390,Налоги!$AB$25:$AB$69,$G390)</f>
        <v>0</v>
      </c>
      <c r="AF390" s="1022">
        <f ca="1">SUMIFS(Налоги!AF$25:AF$69,Налоги!$F$25:$F$69,$F390,Налоги!$AB$25:$AB$69,$G390)</f>
        <v>0</v>
      </c>
      <c r="AG390" s="1022">
        <f ca="1">SUMIFS(Налоги!AG$25:AG$69,Налоги!$F$25:$F$69,$F390,Налоги!$AB$25:$AB$69,$G390)</f>
        <v>0</v>
      </c>
      <c r="AH390" s="1022">
        <f t="shared" ca="1" si="92"/>
        <v>0</v>
      </c>
      <c r="AI390" s="1022">
        <f ca="1">SUMIFS(Налоги!AH$25:AH$69,Налоги!$F$25:$F$69,$F390,Налоги!$AB$25:$AB$69,$G390)</f>
        <v>0</v>
      </c>
      <c r="AJ390" s="1022">
        <f ca="1">SUMIFS(Налоги!AI$25:AI$69,Налоги!$F$25:$F$69,$F390,Налоги!$AB$25:$AB$69,$G390)</f>
        <v>0</v>
      </c>
      <c r="AK390" s="1022">
        <f ca="1">SUMIFS(Налоги!AJ$25:AJ$69,Налоги!$F$25:$F$69,$F390,Налоги!$AB$25:$AB$69,$G390)</f>
        <v>0</v>
      </c>
      <c r="AL390" s="1022">
        <f ca="1">SUMIFS(Налоги!AK$25:AK$69,Налоги!$F$25:$F$69,$F390,Налоги!$AB$25:$AB$69,$G390)</f>
        <v>0</v>
      </c>
      <c r="AM390" s="1022">
        <f ca="1">SUMIFS(Налоги!AL$25:AL$69,Налоги!$F$25:$F$69,$F390,Налоги!$AB$25:$AB$69,$G390)</f>
        <v>0</v>
      </c>
      <c r="AN390" s="1022">
        <f ca="1">SUMIFS(Налоги!AM$25:AM$69,Налоги!$F$25:$F$69,$F390,Налоги!$AB$25:$AB$69,$G390)</f>
        <v>0</v>
      </c>
      <c r="AO390" s="1022">
        <f ca="1">SUMIFS(Налоги!AN$25:AN$69,Налоги!$F$25:$F$69,$F390,Налоги!$AB$25:$AB$69,$G390)</f>
        <v>0</v>
      </c>
      <c r="AP390" s="1022">
        <f ca="1">SUMIFS(Налоги!AO$25:AO$69,Налоги!$F$25:$F$69,$F390,Налоги!$AB$25:$AB$69,$G390)</f>
        <v>0</v>
      </c>
      <c r="AQ390" s="1022">
        <f ca="1">SUMIFS(Налоги!AP$25:AP$69,Налоги!$F$25:$F$69,$F390,Налоги!$AB$25:$AB$69,$G390)</f>
        <v>0</v>
      </c>
      <c r="AR390" s="1022">
        <f ca="1">SUMIFS(Налоги!AQ$25:AQ$69,Налоги!$F$25:$F$69,$F390,Налоги!$AB$25:$AB$69,$G390)</f>
        <v>0</v>
      </c>
      <c r="AS390" s="1022">
        <f ca="1">SUMIFS(Налоги!AR$25:AR$69,Налоги!$F$25:$F$69,$F390,Налоги!$AB$25:$AB$69,$G390)</f>
        <v>0</v>
      </c>
      <c r="AT390" s="1022">
        <f ca="1">SUMIFS(Налоги!AS$25:AS$69,Налоги!$F$25:$F$69,$F390,Налоги!$AB$25:$AB$69,$G390)</f>
        <v>0</v>
      </c>
      <c r="AU390" s="1022">
        <f ca="1">SUMIFS(Налоги!AT$25:AT$69,Налоги!$F$25:$F$69,$F390,Налоги!$AB$25:$AB$69,$G390)</f>
        <v>0</v>
      </c>
      <c r="AV390" s="1022">
        <f ca="1">SUMIFS(Налоги!AU$25:AU$69,Налоги!$F$25:$F$69,$F390,Налоги!$AB$25:$AB$69,$G390)</f>
        <v>0</v>
      </c>
      <c r="AW390" s="1022">
        <f ca="1">SUMIFS(Налоги!AV$25:AV$69,Налоги!$F$25:$F$69,$F390,Налоги!$AB$25:$AB$69,$G390)</f>
        <v>0</v>
      </c>
      <c r="AX390" s="1022">
        <f ca="1">SUMIFS(Налоги!AW$25:AW$69,Налоги!$F$25:$F$69,$F390,Налоги!$AB$25:$AB$69,$G390)</f>
        <v>0</v>
      </c>
      <c r="AY390" s="1022">
        <f ca="1">SUMIFS(Налоги!AX$25:AX$69,Налоги!$F$25:$F$69,$F390,Налоги!$AB$25:$AB$69,$G390)</f>
        <v>0</v>
      </c>
      <c r="AZ390" s="1022">
        <f ca="1">SUMIFS(Налоги!AY$25:AY$69,Налоги!$F$25:$F$69,$F390,Налоги!$AB$25:$AB$69,$G390)</f>
        <v>0</v>
      </c>
      <c r="BA390" s="1022">
        <f ca="1">SUMIFS(Налоги!AZ$25:AZ$69,Налоги!$F$25:$F$69,$F390,Налоги!$AB$25:$AB$69,$G390)</f>
        <v>0</v>
      </c>
      <c r="BB390" s="1022">
        <f ca="1">SUMIFS(Налоги!BA$25:BA$69,Налоги!$F$25:$F$69,$F390,Налоги!$AB$25:$AB$69,$G390)</f>
        <v>0</v>
      </c>
      <c r="BC390" s="1022">
        <f ca="1">SUMIFS(Налоги!BB$25:BB$69,Налоги!$F$25:$F$69,$F390,Налоги!$AB$25:$AB$69,$G390)</f>
        <v>0</v>
      </c>
      <c r="BD390" s="1022">
        <f t="shared" ca="1" si="94"/>
        <v>0</v>
      </c>
      <c r="BE390" s="1022">
        <f t="shared" ca="1" si="95"/>
        <v>0</v>
      </c>
      <c r="BF390" s="1022">
        <f t="shared" ca="1" si="96"/>
        <v>0</v>
      </c>
      <c r="BG390" s="1022">
        <f t="shared" ca="1" si="97"/>
        <v>0</v>
      </c>
      <c r="BH390" s="1022">
        <f t="shared" ca="1" si="98"/>
        <v>0</v>
      </c>
      <c r="BI390" s="1022">
        <f t="shared" ca="1" si="99"/>
        <v>0</v>
      </c>
      <c r="BJ390" s="1022">
        <f t="shared" ca="1" si="100"/>
        <v>0</v>
      </c>
      <c r="BK390" s="1022">
        <f t="shared" ca="1" si="101"/>
        <v>0</v>
      </c>
      <c r="BL390" s="1022">
        <f t="shared" ca="1" si="102"/>
        <v>0</v>
      </c>
      <c r="BM390" s="1022">
        <f t="shared" ca="1" si="103"/>
        <v>0</v>
      </c>
      <c r="BN390" s="1523"/>
      <c r="BO390" s="1525" t="str">
        <f ca="1">IF(IFERROR(INDEX(Налоги!$K$26:$L$69,MATCH($F390&amp;"10komm",Налоги!$K$26:$K$69,0),2),"")=0,"",IFERROR(INDEX(Налоги!$K$26:$L$69,MATCH($F390&amp;"10komm",Налоги!$K$26:$K$69,0),2),""))</f>
        <v/>
      </c>
      <c r="BP390" s="1523"/>
      <c r="BQ390" s="1184"/>
      <c r="BR390" s="1184"/>
      <c r="BS390" s="973" t="s">
        <v>2056</v>
      </c>
      <c r="BT390" s="973"/>
      <c r="BU390" s="973"/>
      <c r="BV390" s="888"/>
      <c r="BW390" s="888"/>
    </row>
    <row r="391" spans="1:75" s="1334" customFormat="1" ht="65.25" customHeight="1" x14ac:dyDescent="0.15">
      <c r="A391" s="1184"/>
      <c r="B391" s="887"/>
      <c r="C391" s="26"/>
      <c r="D391" s="26"/>
      <c r="E391" s="545">
        <v>67.5</v>
      </c>
      <c r="F391" s="3" t="str" cm="1">
        <f t="array" aca="1" ref="F391" ca="1">OFFSET(E391,-1,1)</f>
        <v>2</v>
      </c>
      <c r="G391" s="26" t="s">
        <v>1412</v>
      </c>
      <c r="H391" s="26"/>
      <c r="I391" s="26" t="s">
        <v>932</v>
      </c>
      <c r="J391" s="26"/>
      <c r="K391" s="77" t="s">
        <v>932</v>
      </c>
      <c r="L391" s="889"/>
      <c r="M391" s="26"/>
      <c r="N391" s="26"/>
      <c r="O391" s="26"/>
      <c r="P391" s="26"/>
      <c r="Q391" s="26"/>
      <c r="R391" s="26"/>
      <c r="S391" s="26"/>
      <c r="T391" s="388" t="b" cm="1">
        <f t="array" aca="1" ref="T391" ca="1">T390</f>
        <v>1</v>
      </c>
      <c r="U391" s="26"/>
      <c r="V391" s="26"/>
      <c r="W391" s="26"/>
      <c r="X391" s="2066"/>
      <c r="Y391" s="1184"/>
      <c r="Z391" s="2012"/>
      <c r="AA391" s="1184"/>
      <c r="AB391" s="218" t="s">
        <v>933</v>
      </c>
      <c r="AC391" s="702" t="s">
        <v>1415</v>
      </c>
      <c r="AD391" s="218" t="s">
        <v>831</v>
      </c>
      <c r="AE391" s="1515"/>
      <c r="AF391" s="1515"/>
      <c r="AG391" s="1515"/>
      <c r="AH391" s="1022">
        <f t="shared" si="92"/>
        <v>0</v>
      </c>
      <c r="AI391" s="1515"/>
      <c r="AJ391" s="1515"/>
      <c r="AK391" s="1151"/>
      <c r="AL391" s="1151"/>
      <c r="AM391" s="1151"/>
      <c r="AN391" s="1151"/>
      <c r="AO391" s="1151"/>
      <c r="AP391" s="1151"/>
      <c r="AQ391" s="1515"/>
      <c r="AR391" s="1515"/>
      <c r="AS391" s="1515"/>
      <c r="AT391" s="1515"/>
      <c r="AU391" s="1151"/>
      <c r="AV391" s="1151"/>
      <c r="AW391" s="1151"/>
      <c r="AX391" s="1151"/>
      <c r="AY391" s="1151"/>
      <c r="AZ391" s="1151"/>
      <c r="BA391" s="1515"/>
      <c r="BB391" s="1515"/>
      <c r="BC391" s="1515"/>
      <c r="BD391" s="1022">
        <f t="shared" si="94"/>
        <v>0</v>
      </c>
      <c r="BE391" s="1022">
        <f t="shared" si="95"/>
        <v>0</v>
      </c>
      <c r="BF391" s="1022">
        <f t="shared" si="96"/>
        <v>0</v>
      </c>
      <c r="BG391" s="1022">
        <f t="shared" si="97"/>
        <v>0</v>
      </c>
      <c r="BH391" s="1022">
        <f t="shared" si="98"/>
        <v>0</v>
      </c>
      <c r="BI391" s="1022">
        <f t="shared" si="99"/>
        <v>0</v>
      </c>
      <c r="BJ391" s="1022">
        <f t="shared" si="100"/>
        <v>0</v>
      </c>
      <c r="BK391" s="1022">
        <f t="shared" si="101"/>
        <v>0</v>
      </c>
      <c r="BL391" s="1022">
        <f t="shared" si="102"/>
        <v>0</v>
      </c>
      <c r="BM391" s="1022">
        <f t="shared" si="103"/>
        <v>0</v>
      </c>
      <c r="BN391" s="1523"/>
      <c r="BO391" s="1523"/>
      <c r="BP391" s="1523"/>
      <c r="BQ391" s="1184"/>
      <c r="BR391" s="1184"/>
      <c r="BS391" s="973" t="s">
        <v>2057</v>
      </c>
      <c r="BT391" s="973"/>
      <c r="BU391" s="973"/>
      <c r="BV391" s="888"/>
      <c r="BW391" s="888"/>
    </row>
    <row r="392" spans="1:75" s="1334" customFormat="1" ht="317.25" customHeight="1" x14ac:dyDescent="0.15">
      <c r="A392" s="1184"/>
      <c r="B392" s="887"/>
      <c r="C392" s="26"/>
      <c r="D392" s="26"/>
      <c r="E392" s="545">
        <v>15</v>
      </c>
      <c r="F392" s="3" t="str" cm="1">
        <f t="array" aca="1" ref="F392" ca="1">OFFSET(E392,-1,1)</f>
        <v>2</v>
      </c>
      <c r="G392" s="26" t="s">
        <v>1011</v>
      </c>
      <c r="H392" s="26"/>
      <c r="I392" s="26" t="s">
        <v>935</v>
      </c>
      <c r="J392" s="26"/>
      <c r="K392" s="77" t="s">
        <v>935</v>
      </c>
      <c r="L392" s="889" t="s">
        <v>544</v>
      </c>
      <c r="M392" s="26"/>
      <c r="N392" s="26"/>
      <c r="O392" s="26"/>
      <c r="P392" s="26"/>
      <c r="Q392" s="26"/>
      <c r="R392" s="26"/>
      <c r="S392" s="26"/>
      <c r="T392" s="388" t="b" cm="1">
        <f t="array" aca="1" ref="T392" ca="1">T391</f>
        <v>1</v>
      </c>
      <c r="U392" s="26"/>
      <c r="V392" s="26"/>
      <c r="W392" s="26"/>
      <c r="X392" s="2066"/>
      <c r="Y392" s="1184"/>
      <c r="Z392" s="2012"/>
      <c r="AA392" s="1184"/>
      <c r="AB392" s="218" t="s">
        <v>936</v>
      </c>
      <c r="AC392" s="682" t="s">
        <v>1011</v>
      </c>
      <c r="AD392" s="218" t="s">
        <v>831</v>
      </c>
      <c r="AE392" s="1022">
        <f ca="1">SUMIFS(Аренда!AE$25:AE$57,Аренда!$F$25:$F$57,$F392,Аренда!$G$25:$G$57,"Арендная и концессионная плата, лизинговые платежи")</f>
        <v>349.46</v>
      </c>
      <c r="AF392" s="1022">
        <f ca="1">SUMIFS(Аренда!AF$25:AF$57,Аренда!$F$25:$F$57,$F392,Аренда!$G$25:$G$57,"Арендная и концессионная плата, лизинговые платежи")</f>
        <v>186.42</v>
      </c>
      <c r="AG392" s="1022">
        <f ca="1">SUMIFS(Аренда!AG$25:AG$57,Аренда!$F$25:$F$57,$F392,Аренда!$G$25:$G$57,"Арендная и концессионная плата, лизинговые платежи")</f>
        <v>110.07</v>
      </c>
      <c r="AH392" s="1022">
        <f t="shared" ca="1" si="92"/>
        <v>-76.349999999999994</v>
      </c>
      <c r="AI392" s="1022">
        <f ca="1">SUMIFS(Аренда!AH$25:AH$57,Аренда!$F$25:$F$57,$F392,Аренда!$G$25:$G$57,"Арендная и концессионная плата, лизинговые платежи")</f>
        <v>349.46</v>
      </c>
      <c r="AJ392" s="1022">
        <f ca="1">SUMIFS(Аренда!AI$25:AI$57,Аренда!$F$25:$F$57,$F392,Аренда!$G$25:$G$57,"Арендная и концессионная плата, лизинговые платежи")</f>
        <v>1047.17</v>
      </c>
      <c r="AK392" s="1022">
        <f ca="1">SUMIFS(Аренда!AJ$25:AJ$57,Аренда!$F$25:$F$57,$F392,Аренда!$G$25:$G$57,"Арендная и концессионная плата, лизинговые платежи")</f>
        <v>0</v>
      </c>
      <c r="AL392" s="1022">
        <f ca="1">SUMIFS(Аренда!AK$25:AK$57,Аренда!$F$25:$F$57,$F392,Аренда!$G$25:$G$57,"Арендная и концессионная плата, лизинговые платежи")</f>
        <v>0</v>
      </c>
      <c r="AM392" s="1022">
        <f ca="1">SUMIFS(Аренда!AL$25:AL$57,Аренда!$F$25:$F$57,$F392,Аренда!$G$25:$G$57,"Арендная и концессионная плата, лизинговые платежи")</f>
        <v>0</v>
      </c>
      <c r="AN392" s="1022">
        <f ca="1">SUMIFS(Аренда!AM$25:AM$57,Аренда!$F$25:$F$57,$F392,Аренда!$G$25:$G$57,"Арендная и концессионная плата, лизинговые платежи")</f>
        <v>0</v>
      </c>
      <c r="AO392" s="1022">
        <f ca="1">SUMIFS(Аренда!AN$25:AN$57,Аренда!$F$25:$F$57,$F392,Аренда!$G$25:$G$57,"Арендная и концессионная плата, лизинговые платежи")</f>
        <v>0</v>
      </c>
      <c r="AP392" s="1022">
        <f ca="1">SUMIFS(Аренда!AO$25:AO$57,Аренда!$F$25:$F$57,$F392,Аренда!$G$25:$G$57,"Арендная и концессионная плата, лизинговые платежи")</f>
        <v>0</v>
      </c>
      <c r="AQ392" s="1022">
        <f ca="1">SUMIFS(Аренда!AP$25:AP$57,Аренда!$F$25:$F$57,$F392,Аренда!$G$25:$G$57,"Арендная и концессионная плата, лизинговые платежи")</f>
        <v>0</v>
      </c>
      <c r="AR392" s="1022">
        <f ca="1">SUMIFS(Аренда!AQ$25:AQ$57,Аренда!$F$25:$F$57,$F392,Аренда!$G$25:$G$57,"Арендная и концессионная плата, лизинговые платежи")</f>
        <v>0</v>
      </c>
      <c r="AS392" s="1022">
        <f ca="1">SUMIFS(Аренда!AR$25:AR$57,Аренда!$F$25:$F$57,$F392,Аренда!$G$25:$G$57,"Арендная и концессионная плата, лизинговые платежи")</f>
        <v>0</v>
      </c>
      <c r="AT392" s="1022">
        <f ca="1">SUMIFS(Аренда!AS$25:AS$57,Аренда!$F$25:$F$57,$F392,Аренда!$G$25:$G$57,"Арендная и концессионная плата, лизинговые платежи")</f>
        <v>109.64</v>
      </c>
      <c r="AU392" s="1022">
        <f ca="1">SUMIFS(Аренда!AT$25:AT$57,Аренда!$F$25:$F$57,$F392,Аренда!$G$25:$G$57,"Арендная и концессионная плата, лизинговые платежи")</f>
        <v>0</v>
      </c>
      <c r="AV392" s="1022">
        <f ca="1">SUMIFS(Аренда!AU$25:AU$57,Аренда!$F$25:$F$57,$F392,Аренда!$G$25:$G$57,"Арендная и концессионная плата, лизинговые платежи")</f>
        <v>0</v>
      </c>
      <c r="AW392" s="1022">
        <f ca="1">SUMIFS(Аренда!AV$25:AV$57,Аренда!$F$25:$F$57,$F392,Аренда!$G$25:$G$57,"Арендная и концессионная плата, лизинговые платежи")</f>
        <v>0</v>
      </c>
      <c r="AX392" s="1022">
        <f ca="1">SUMIFS(Аренда!AW$25:AW$57,Аренда!$F$25:$F$57,$F392,Аренда!$G$25:$G$57,"Арендная и концессионная плата, лизинговые платежи")</f>
        <v>0</v>
      </c>
      <c r="AY392" s="1022">
        <f ca="1">SUMIFS(Аренда!AX$25:AX$57,Аренда!$F$25:$F$57,$F392,Аренда!$G$25:$G$57,"Арендная и концессионная плата, лизинговые платежи")</f>
        <v>0</v>
      </c>
      <c r="AZ392" s="1022">
        <f ca="1">SUMIFS(Аренда!AY$25:AY$57,Аренда!$F$25:$F$57,$F392,Аренда!$G$25:$G$57,"Арендная и концессионная плата, лизинговые платежи")</f>
        <v>0</v>
      </c>
      <c r="BA392" s="1022">
        <f ca="1">SUMIFS(Аренда!AZ$25:AZ$57,Аренда!$F$25:$F$57,$F392,Аренда!$G$25:$G$57,"Арендная и концессионная плата, лизинговые платежи")</f>
        <v>0</v>
      </c>
      <c r="BB392" s="1022">
        <f ca="1">SUMIFS(Аренда!BA$25:BA$57,Аренда!$F$25:$F$57,$F392,Аренда!$G$25:$G$57,"Арендная и концессионная плата, лизинговые платежи")</f>
        <v>0</v>
      </c>
      <c r="BC392" s="1022">
        <f ca="1">SUMIFS(Аренда!BB$25:BB$57,Аренда!$F$25:$F$57,$F392,Аренда!$G$25:$G$57,"Арендная и концессионная плата, лизинговые платежи")</f>
        <v>0</v>
      </c>
      <c r="BD392" s="1022">
        <f t="shared" ca="1" si="94"/>
        <v>-68.625879929033374</v>
      </c>
      <c r="BE392" s="1022">
        <f t="shared" ca="1" si="95"/>
        <v>-100</v>
      </c>
      <c r="BF392" s="1022">
        <f t="shared" ca="1" si="96"/>
        <v>0</v>
      </c>
      <c r="BG392" s="1022">
        <f t="shared" ca="1" si="97"/>
        <v>0</v>
      </c>
      <c r="BH392" s="1022">
        <f t="shared" ca="1" si="98"/>
        <v>0</v>
      </c>
      <c r="BI392" s="1022">
        <f t="shared" ca="1" si="99"/>
        <v>0</v>
      </c>
      <c r="BJ392" s="1022">
        <f t="shared" ca="1" si="100"/>
        <v>0</v>
      </c>
      <c r="BK392" s="1022">
        <f t="shared" ca="1" si="101"/>
        <v>0</v>
      </c>
      <c r="BL392" s="1022">
        <f t="shared" ca="1" si="102"/>
        <v>0</v>
      </c>
      <c r="BM392" s="1022">
        <f t="shared" ca="1" si="103"/>
        <v>0</v>
      </c>
      <c r="BN392" s="1523" t="s">
        <v>2187</v>
      </c>
      <c r="BO392" s="1532" t="str">
        <f ca="1">IF(IFERROR(INDEX(Аренда!$K$26:$L$57,MATCH($F392&amp;"komm",Аренда!$K$26:$K$57,0),2),"")=0,"",IFERROR(INDEX(Аренда!$K$26:$L$57,MATCH($F392&amp;"komm",Аренда!$K$26:$K$57,0),2),""))</f>
        <v>Пункты 49 (3), 51, 29 Методических указаний ФСТ № 1746-э.</v>
      </c>
      <c r="BP392" s="1523" t="s">
        <v>2188</v>
      </c>
      <c r="BQ392" s="1184"/>
      <c r="BR392" s="1184"/>
      <c r="BS392" s="973" t="s">
        <v>2058</v>
      </c>
      <c r="BT392" s="973"/>
      <c r="BU392" s="973"/>
      <c r="BV392" s="888"/>
      <c r="BW392" s="888"/>
    </row>
    <row r="393" spans="1:75" s="1334" customFormat="1" ht="14.25" customHeight="1" x14ac:dyDescent="0.15">
      <c r="A393" s="1184"/>
      <c r="B393" s="354" t="b">
        <f>STATUS_GO="да"</f>
        <v>1</v>
      </c>
      <c r="C393" s="26"/>
      <c r="D393" s="26"/>
      <c r="E393" s="545">
        <v>15</v>
      </c>
      <c r="F393" s="3" t="str" cm="1">
        <f t="array" aca="1" ref="F393" ca="1">OFFSET(E393,-1,1)</f>
        <v>2</v>
      </c>
      <c r="G393" s="26"/>
      <c r="H393" s="26"/>
      <c r="I393" s="26" t="s">
        <v>2059</v>
      </c>
      <c r="J393" s="26"/>
      <c r="K393" s="77" t="s">
        <v>2059</v>
      </c>
      <c r="L393" s="889"/>
      <c r="M393" s="26"/>
      <c r="N393" s="26"/>
      <c r="O393" s="26"/>
      <c r="P393" s="26"/>
      <c r="Q393" s="26"/>
      <c r="R393" s="26"/>
      <c r="S393" s="26"/>
      <c r="T393" s="388" t="b" cm="1">
        <f t="array" aca="1" ref="T393" ca="1">T392</f>
        <v>1</v>
      </c>
      <c r="U393" s="26"/>
      <c r="V393" s="26"/>
      <c r="W393" s="26"/>
      <c r="X393" s="2066"/>
      <c r="Y393" s="1184"/>
      <c r="Z393" s="2012"/>
      <c r="AA393" s="1184"/>
      <c r="AB393" s="218" t="s">
        <v>1479</v>
      </c>
      <c r="AC393" s="682" t="s">
        <v>2060</v>
      </c>
      <c r="AD393" s="218" t="s">
        <v>831</v>
      </c>
      <c r="AE393" s="1514" cm="1">
        <f t="array" aca="1" ref="AE393" ca="1">AE394</f>
        <v>0</v>
      </c>
      <c r="AF393" s="1514" cm="1">
        <f t="array" aca="1" ref="AF393" ca="1">AF394</f>
        <v>0</v>
      </c>
      <c r="AG393" s="1514" cm="1">
        <f t="array" aca="1" ref="AG393" ca="1">AG394</f>
        <v>0</v>
      </c>
      <c r="AH393" s="1022">
        <f t="shared" ca="1" si="92"/>
        <v>0</v>
      </c>
      <c r="AI393" s="1514" cm="1">
        <f t="array" aca="1" ref="AI393" ca="1">AI394</f>
        <v>0</v>
      </c>
      <c r="AJ393" s="1514" cm="1">
        <f t="array" aca="1" ref="AJ393" ca="1">AJ394</f>
        <v>0</v>
      </c>
      <c r="AK393" s="1148" cm="1">
        <f t="array" ref="AK393">AK394</f>
        <v>0</v>
      </c>
      <c r="AL393" s="1148" cm="1">
        <f t="array" ref="AL393">AL394</f>
        <v>0</v>
      </c>
      <c r="AM393" s="1148" cm="1">
        <f t="array" ref="AM393">AM394</f>
        <v>0</v>
      </c>
      <c r="AN393" s="1148" cm="1">
        <f t="array" ref="AN393">AN394</f>
        <v>0</v>
      </c>
      <c r="AO393" s="1148" cm="1">
        <f t="array" ref="AO393">AO394</f>
        <v>0</v>
      </c>
      <c r="AP393" s="1148" cm="1">
        <f t="array" ref="AP393">AP394</f>
        <v>0</v>
      </c>
      <c r="AQ393" s="1514" cm="1">
        <f t="array" ref="AQ393">AQ394</f>
        <v>0</v>
      </c>
      <c r="AR393" s="1514" cm="1">
        <f t="array" ref="AR393">AR394</f>
        <v>0</v>
      </c>
      <c r="AS393" s="1514" cm="1">
        <f t="array" ref="AS393">AS394</f>
        <v>0</v>
      </c>
      <c r="AT393" s="1514" cm="1">
        <f t="array" aca="1" ref="AT393" ca="1">AT394</f>
        <v>0</v>
      </c>
      <c r="AU393" s="1148" cm="1">
        <f t="array" ref="AU393">AU394</f>
        <v>0</v>
      </c>
      <c r="AV393" s="1148" cm="1">
        <f t="array" ref="AV393">AV394</f>
        <v>0</v>
      </c>
      <c r="AW393" s="1148" cm="1">
        <f t="array" ref="AW393">AW394</f>
        <v>0</v>
      </c>
      <c r="AX393" s="1148" cm="1">
        <f t="array" ref="AX393">AX394</f>
        <v>0</v>
      </c>
      <c r="AY393" s="1148" cm="1">
        <f t="array" ref="AY393">AY394</f>
        <v>0</v>
      </c>
      <c r="AZ393" s="1148" cm="1">
        <f t="array" ref="AZ393">AZ394</f>
        <v>0</v>
      </c>
      <c r="BA393" s="1514" cm="1">
        <f t="array" ref="BA393">BA394</f>
        <v>0</v>
      </c>
      <c r="BB393" s="1514" cm="1">
        <f t="array" ref="BB393">BB394</f>
        <v>0</v>
      </c>
      <c r="BC393" s="1514" cm="1">
        <f t="array" ref="BC393">BC394</f>
        <v>0</v>
      </c>
      <c r="BD393" s="1022">
        <f t="shared" ca="1" si="94"/>
        <v>0</v>
      </c>
      <c r="BE393" s="1022">
        <f t="shared" ca="1" si="95"/>
        <v>0</v>
      </c>
      <c r="BF393" s="1022">
        <f t="shared" si="96"/>
        <v>0</v>
      </c>
      <c r="BG393" s="1022">
        <f t="shared" si="97"/>
        <v>0</v>
      </c>
      <c r="BH393" s="1022">
        <f t="shared" si="98"/>
        <v>0</v>
      </c>
      <c r="BI393" s="1022">
        <f t="shared" si="99"/>
        <v>0</v>
      </c>
      <c r="BJ393" s="1022">
        <f t="shared" si="100"/>
        <v>0</v>
      </c>
      <c r="BK393" s="1022">
        <f t="shared" si="101"/>
        <v>0</v>
      </c>
      <c r="BL393" s="1022">
        <f t="shared" si="102"/>
        <v>0</v>
      </c>
      <c r="BM393" s="1022">
        <f t="shared" si="103"/>
        <v>0</v>
      </c>
      <c r="BN393" s="1523"/>
      <c r="BO393" s="1523"/>
      <c r="BP393" s="1523"/>
      <c r="BQ393" s="1184"/>
      <c r="BR393" s="1184"/>
      <c r="BS393" s="973" t="s">
        <v>2061</v>
      </c>
      <c r="BT393" s="973"/>
      <c r="BU393" s="973"/>
      <c r="BV393" s="888"/>
      <c r="BW393" s="888"/>
    </row>
    <row r="394" spans="1:75" s="1334" customFormat="1" ht="14.25" customHeight="1" x14ac:dyDescent="0.15">
      <c r="A394" s="1184"/>
      <c r="B394" s="354" t="b">
        <f>STATUS_GO="да"</f>
        <v>1</v>
      </c>
      <c r="C394" s="26"/>
      <c r="D394" s="26"/>
      <c r="E394" s="545">
        <v>15</v>
      </c>
      <c r="F394" s="3" t="str" cm="1">
        <f t="array" aca="1" ref="F394" ca="1">OFFSET(E394,-1,1)</f>
        <v>2</v>
      </c>
      <c r="G394" s="26" t="s">
        <v>1421</v>
      </c>
      <c r="H394" s="26"/>
      <c r="I394" s="26" t="s">
        <v>2062</v>
      </c>
      <c r="J394" s="26"/>
      <c r="K394" s="77" t="s">
        <v>2062</v>
      </c>
      <c r="L394" s="889"/>
      <c r="M394" s="26"/>
      <c r="N394" s="26"/>
      <c r="O394" s="26"/>
      <c r="P394" s="26"/>
      <c r="Q394" s="26"/>
      <c r="R394" s="26"/>
      <c r="S394" s="26"/>
      <c r="T394" s="388" t="b" cm="1">
        <f t="array" aca="1" ref="T394" ca="1">T393</f>
        <v>1</v>
      </c>
      <c r="U394" s="26"/>
      <c r="V394" s="26"/>
      <c r="W394" s="26"/>
      <c r="X394" s="2066"/>
      <c r="Y394" s="1184"/>
      <c r="Z394" s="2012"/>
      <c r="AA394" s="1184"/>
      <c r="AB394" s="218" t="s">
        <v>2063</v>
      </c>
      <c r="AC394" s="685" t="s">
        <v>1421</v>
      </c>
      <c r="AD394" s="218" t="s">
        <v>831</v>
      </c>
      <c r="AE394" s="1022">
        <f ca="1">SUMIFS('Сбытовые расходы ГО'!AE$25:AE$65,'Сбытовые расходы ГО'!$F$25:$F$65,$F394,'Сбытовые расходы ГО'!$G$25:$G$65,"l1")</f>
        <v>0</v>
      </c>
      <c r="AF394" s="1022">
        <f ca="1">SUMIFS('Сбытовые расходы ГО'!AF$25:AF$65,'Сбытовые расходы ГО'!$F$25:$F$65,$F394,'Сбытовые расходы ГО'!$G$25:$G$65,"l1")</f>
        <v>0</v>
      </c>
      <c r="AG394" s="1022">
        <f ca="1">SUMIFS('Сбытовые расходы ГО'!AG$25:AG$65,'Сбытовые расходы ГО'!$F$25:$F$65,$F394,'Сбытовые расходы ГО'!$G$25:$G$65,"l1")</f>
        <v>0</v>
      </c>
      <c r="AH394" s="1022">
        <f t="shared" ca="1" si="92"/>
        <v>0</v>
      </c>
      <c r="AI394" s="1022">
        <f ca="1">SUMIFS('Сбытовые расходы ГО'!AH$25:AH$65,'Сбытовые расходы ГО'!$F$25:$F$65,$F394,'Сбытовые расходы ГО'!$G$25:$G$65,"l1")</f>
        <v>0</v>
      </c>
      <c r="AJ394" s="1022">
        <f ca="1">SUMIFS('Сбытовые расходы ГО'!AI$25:AI$65,'Сбытовые расходы ГО'!$F$25:$F$65,$F394,'Сбытовые расходы ГО'!$G$25:$G$65,"l1")</f>
        <v>0</v>
      </c>
      <c r="AK394" s="1148"/>
      <c r="AL394" s="1148"/>
      <c r="AM394" s="1148"/>
      <c r="AN394" s="1148"/>
      <c r="AO394" s="1148"/>
      <c r="AP394" s="1148"/>
      <c r="AQ394" s="1514"/>
      <c r="AR394" s="1514"/>
      <c r="AS394" s="1514"/>
      <c r="AT394" s="1022">
        <f ca="1">SUMIFS('Сбытовые расходы ГО'!AJ$25:AJ$65,'Сбытовые расходы ГО'!$F$25:$F$65,$F394,'Сбытовые расходы ГО'!$G$25:$G$65,"l1")</f>
        <v>0</v>
      </c>
      <c r="AU394" s="1148"/>
      <c r="AV394" s="1148"/>
      <c r="AW394" s="1148"/>
      <c r="AX394" s="1148"/>
      <c r="AY394" s="1148"/>
      <c r="AZ394" s="1148"/>
      <c r="BA394" s="1514"/>
      <c r="BB394" s="1514"/>
      <c r="BC394" s="1514"/>
      <c r="BD394" s="1022">
        <f t="shared" ca="1" si="94"/>
        <v>0</v>
      </c>
      <c r="BE394" s="1022">
        <f t="shared" ca="1" si="95"/>
        <v>0</v>
      </c>
      <c r="BF394" s="1022">
        <f t="shared" si="96"/>
        <v>0</v>
      </c>
      <c r="BG394" s="1022">
        <f t="shared" si="97"/>
        <v>0</v>
      </c>
      <c r="BH394" s="1022">
        <f t="shared" si="98"/>
        <v>0</v>
      </c>
      <c r="BI394" s="1022">
        <f t="shared" si="99"/>
        <v>0</v>
      </c>
      <c r="BJ394" s="1022">
        <f t="shared" si="100"/>
        <v>0</v>
      </c>
      <c r="BK394" s="1022">
        <f t="shared" si="101"/>
        <v>0</v>
      </c>
      <c r="BL394" s="1022">
        <f t="shared" si="102"/>
        <v>0</v>
      </c>
      <c r="BM394" s="1022">
        <f t="shared" si="103"/>
        <v>0</v>
      </c>
      <c r="BN394" s="1523"/>
      <c r="BO394" s="1532" t="str">
        <f ca="1">IF(IFERROR(INDEX('Сбытовые расходы ГО'!$K$26:$M$65,MATCH($F394&amp;"komm",'Сбытовые расходы ГО'!$K$26:$K$65,0),2),"")=0,"",IFERROR(INDEX('Сбытовые расходы ГО'!$K$26:$M$65,MATCH($F394&amp;"komm",'Сбытовые расходы ГО'!$K$26:$K$65,0),2),""))</f>
        <v/>
      </c>
      <c r="BP394" s="1523"/>
      <c r="BQ394" s="1184"/>
      <c r="BR394" s="1184"/>
      <c r="BS394" s="973" t="s">
        <v>2064</v>
      </c>
      <c r="BT394" s="973"/>
      <c r="BU394" s="973"/>
      <c r="BV394" s="888"/>
      <c r="BW394" s="888"/>
    </row>
    <row r="395" spans="1:75" s="1334" customFormat="1" ht="14.65" customHeight="1" x14ac:dyDescent="0.15">
      <c r="A395" s="1184"/>
      <c r="B395" s="887"/>
      <c r="C395" s="26"/>
      <c r="D395" s="26"/>
      <c r="E395" s="545">
        <v>15</v>
      </c>
      <c r="F395" s="3" t="str" cm="1">
        <f t="array" aca="1" ref="F395" ca="1">OFFSET(E395,-1,1)</f>
        <v>2</v>
      </c>
      <c r="G395" s="26" t="s">
        <v>1426</v>
      </c>
      <c r="H395" s="26"/>
      <c r="I395" s="26" t="s">
        <v>2065</v>
      </c>
      <c r="J395" s="26"/>
      <c r="K395" s="77" t="s">
        <v>2065</v>
      </c>
      <c r="L395" s="889"/>
      <c r="M395" s="26"/>
      <c r="N395" s="26"/>
      <c r="O395" s="26"/>
      <c r="P395" s="26"/>
      <c r="Q395" s="26"/>
      <c r="R395" s="26"/>
      <c r="S395" s="26"/>
      <c r="T395" s="388" t="b" cm="1">
        <f t="array" aca="1" ref="T395" ca="1">T394</f>
        <v>1</v>
      </c>
      <c r="U395" s="26"/>
      <c r="V395" s="26"/>
      <c r="W395" s="26"/>
      <c r="X395" s="2066"/>
      <c r="Y395" s="1184"/>
      <c r="Z395" s="2012"/>
      <c r="AA395" s="1184"/>
      <c r="AB395" s="218" t="s">
        <v>1484</v>
      </c>
      <c r="AC395" s="682" t="s">
        <v>1426</v>
      </c>
      <c r="AD395" s="218" t="s">
        <v>831</v>
      </c>
      <c r="AE395" s="1514">
        <v>0</v>
      </c>
      <c r="AF395" s="1514"/>
      <c r="AG395" s="1514"/>
      <c r="AH395" s="1022">
        <f t="shared" si="92"/>
        <v>0</v>
      </c>
      <c r="AI395" s="1514">
        <v>0</v>
      </c>
      <c r="AJ395" s="1514">
        <f ca="1">SUMIFS(Экономия_корр!AE$25:AE$51,Экономия_корр!$F$25:$F$51,$F395,Экономия_корр!$AC$25:$AC$51,"Экономия расходов с учетом ИПЦ")</f>
        <v>0</v>
      </c>
      <c r="AK395" s="1148">
        <f ca="1">SUMIFS(Экономия_корр!AF$25:AF$51,Экономия_корр!$F$25:$F$51,$F395,Экономия_корр!$AC$25:$AC$51,"Экономия расходов с учетом ИПЦ")</f>
        <v>0</v>
      </c>
      <c r="AL395" s="1148">
        <f ca="1">SUMIFS(Экономия_корр!AG$25:AG$51,Экономия_корр!$F$25:$F$51,$F395,Экономия_корр!$AC$25:$AC$51,"Экономия расходов с учетом ИПЦ")</f>
        <v>0</v>
      </c>
      <c r="AM395" s="1148">
        <f ca="1">SUMIFS(Экономия_корр!AH$25:AH$51,Экономия_корр!$F$25:$F$51,$F395,Экономия_корр!$AC$25:$AC$51,"Экономия расходов с учетом ИПЦ")</f>
        <v>0</v>
      </c>
      <c r="AN395" s="1148">
        <f ca="1">SUMIFS(Экономия_корр!AI$25:AI$51,Экономия_корр!$F$25:$F$51,$F395,Экономия_корр!$AC$25:$AC$51,"Экономия расходов с учетом ИПЦ")</f>
        <v>0</v>
      </c>
      <c r="AO395" s="1148">
        <f ca="1">SUMIFS(Экономия_корр!AJ$25:AJ$51,Экономия_корр!$F$25:$F$51,$F395,Экономия_корр!$AC$25:$AC$51,"Экономия расходов с учетом ИПЦ")</f>
        <v>0</v>
      </c>
      <c r="AP395" s="1148">
        <f ca="1">SUMIFS(Экономия_корр!AK$25:AK$51,Экономия_корр!$F$25:$F$51,$F395,Экономия_корр!$AC$25:$AC$51,"Экономия расходов с учетом ИПЦ")</f>
        <v>0</v>
      </c>
      <c r="AQ395" s="1514">
        <f ca="1">SUMIFS(Экономия_корр!AL$25:AL$51,Экономия_корр!$F$25:$F$51,$F395,Экономия_корр!$AC$25:$AC$51,"Экономия расходов с учетом ИПЦ")</f>
        <v>0</v>
      </c>
      <c r="AR395" s="1514">
        <f ca="1">SUMIFS(Экономия_корр!AM$25:AM$51,Экономия_корр!$F$25:$F$51,$F395,Экономия_корр!$AC$25:$AC$51,"Экономия расходов с учетом ИПЦ")</f>
        <v>0</v>
      </c>
      <c r="AS395" s="1514">
        <f ca="1">SUMIFS(Экономия_корр!AN$25:AN$51,Экономия_корр!$F$25:$F$51,$F395,Экономия_корр!$AC$25:$AC$51,"Экономия расходов с учетом ИПЦ")</f>
        <v>0</v>
      </c>
      <c r="AT395" s="1514">
        <f ca="1">SUMIFS(Экономия_корр!AO$25:AO$51,Экономия_корр!$F$25:$F$51,$F395,Экономия_корр!$AC$25:$AC$51,"Экономия расходов с учетом ИПЦ")</f>
        <v>0</v>
      </c>
      <c r="AU395" s="1148">
        <f ca="1">SUMIFS(Экономия_корр!AP$25:AP$51,Экономия_корр!$F$25:$F$51,$F395,Экономия_корр!$AC$25:$AC$51,"Экономия расходов с учетом ИПЦ")</f>
        <v>0</v>
      </c>
      <c r="AV395" s="1148">
        <f ca="1">SUMIFS(Экономия_корр!AQ$25:AQ$51,Экономия_корр!$F$25:$F$51,$F395,Экономия_корр!$AC$25:$AC$51,"Экономия расходов с учетом ИПЦ")</f>
        <v>0</v>
      </c>
      <c r="AW395" s="1148">
        <f ca="1">SUMIFS(Экономия_корр!AR$25:AR$51,Экономия_корр!$F$25:$F$51,$F395,Экономия_корр!$AC$25:$AC$51,"Экономия расходов с учетом ИПЦ")</f>
        <v>0</v>
      </c>
      <c r="AX395" s="1148">
        <f ca="1">SUMIFS(Экономия_корр!AS$25:AS$51,Экономия_корр!$F$25:$F$51,$F395,Экономия_корр!$AC$25:$AC$51,"Экономия расходов с учетом ИПЦ")</f>
        <v>0</v>
      </c>
      <c r="AY395" s="1148">
        <f ca="1">SUMIFS(Экономия_корр!AT$25:AT$51,Экономия_корр!$F$25:$F$51,$F395,Экономия_корр!$AC$25:$AC$51,"Экономия расходов с учетом ИПЦ")</f>
        <v>0</v>
      </c>
      <c r="AZ395" s="1148">
        <f ca="1">SUMIFS(Экономия_корр!AU$25:AU$51,Экономия_корр!$F$25:$F$51,$F395,Экономия_корр!$AC$25:$AC$51,"Экономия расходов с учетом ИПЦ")</f>
        <v>0</v>
      </c>
      <c r="BA395" s="1514">
        <f ca="1">SUMIFS(Экономия_корр!AV$25:AV$51,Экономия_корр!$F$25:$F$51,$F395,Экономия_корр!$AC$25:$AC$51,"Экономия расходов с учетом ИПЦ")</f>
        <v>0</v>
      </c>
      <c r="BB395" s="1514">
        <f ca="1">SUMIFS(Экономия_корр!AW$25:AW$51,Экономия_корр!$F$25:$F$51,$F395,Экономия_корр!$AC$25:$AC$51,"Экономия расходов с учетом ИПЦ")</f>
        <v>0</v>
      </c>
      <c r="BC395" s="1514">
        <f ca="1">SUMIFS(Экономия_корр!AX$25:AX$51,Экономия_корр!$F$25:$F$51,$F395,Экономия_корр!$AC$25:$AC$51,"Экономия расходов с учетом ИПЦ")</f>
        <v>0</v>
      </c>
      <c r="BD395" s="1022">
        <f t="shared" si="94"/>
        <v>0</v>
      </c>
      <c r="BE395" s="1022">
        <f t="shared" ca="1" si="95"/>
        <v>0</v>
      </c>
      <c r="BF395" s="1022">
        <f t="shared" ca="1" si="96"/>
        <v>0</v>
      </c>
      <c r="BG395" s="1022">
        <f t="shared" ca="1" si="97"/>
        <v>0</v>
      </c>
      <c r="BH395" s="1022">
        <f t="shared" ca="1" si="98"/>
        <v>0</v>
      </c>
      <c r="BI395" s="1022">
        <f t="shared" ca="1" si="99"/>
        <v>0</v>
      </c>
      <c r="BJ395" s="1022">
        <f t="shared" ca="1" si="100"/>
        <v>0</v>
      </c>
      <c r="BK395" s="1022">
        <f t="shared" ca="1" si="101"/>
        <v>0</v>
      </c>
      <c r="BL395" s="1022">
        <f t="shared" ca="1" si="102"/>
        <v>0</v>
      </c>
      <c r="BM395" s="1022">
        <f t="shared" ca="1" si="103"/>
        <v>0</v>
      </c>
      <c r="BN395" s="1523"/>
      <c r="BO395" s="1523"/>
      <c r="BP395" s="1523"/>
      <c r="BQ395" s="1184"/>
      <c r="BR395" s="1184"/>
      <c r="BS395" s="973" t="s">
        <v>2066</v>
      </c>
      <c r="BT395" s="973"/>
      <c r="BU395" s="973"/>
      <c r="BV395" s="888"/>
      <c r="BW395" s="888"/>
    </row>
    <row r="396" spans="1:75" s="1334" customFormat="1" ht="14.25" customHeight="1" x14ac:dyDescent="0.15">
      <c r="A396" s="1184"/>
      <c r="B396" s="887"/>
      <c r="C396" s="26"/>
      <c r="D396" s="26"/>
      <c r="E396" s="545">
        <v>15</v>
      </c>
      <c r="F396" s="3" t="str" cm="1">
        <f t="array" aca="1" ref="F396" ca="1">OFFSET(E396,-1,1)</f>
        <v>2</v>
      </c>
      <c r="G396" s="26" t="s">
        <v>1431</v>
      </c>
      <c r="H396" s="26"/>
      <c r="I396" s="26" t="s">
        <v>2067</v>
      </c>
      <c r="J396" s="26"/>
      <c r="K396" s="77" t="s">
        <v>2067</v>
      </c>
      <c r="L396" s="889"/>
      <c r="M396" s="26"/>
      <c r="N396" s="26"/>
      <c r="O396" s="26"/>
      <c r="P396" s="26"/>
      <c r="Q396" s="26"/>
      <c r="R396" s="26"/>
      <c r="S396" s="26"/>
      <c r="T396" s="388" t="b" cm="1">
        <f t="array" aca="1" ref="T396" ca="1">T395</f>
        <v>1</v>
      </c>
      <c r="U396" s="26"/>
      <c r="V396" s="26"/>
      <c r="W396" s="26"/>
      <c r="X396" s="2066"/>
      <c r="Y396" s="1184"/>
      <c r="Z396" s="2012"/>
      <c r="AA396" s="1184"/>
      <c r="AB396" s="218" t="s">
        <v>2068</v>
      </c>
      <c r="AC396" s="682" t="s">
        <v>1431</v>
      </c>
      <c r="AD396" s="218" t="s">
        <v>831</v>
      </c>
      <c r="AE396" s="1514"/>
      <c r="AF396" s="1514"/>
      <c r="AG396" s="1514"/>
      <c r="AH396" s="1022">
        <f t="shared" si="92"/>
        <v>0</v>
      </c>
      <c r="AI396" s="1514"/>
      <c r="AJ396" s="1514"/>
      <c r="AK396" s="1148"/>
      <c r="AL396" s="1148"/>
      <c r="AM396" s="1148"/>
      <c r="AN396" s="1148"/>
      <c r="AO396" s="1148"/>
      <c r="AP396" s="1148"/>
      <c r="AQ396" s="1514"/>
      <c r="AR396" s="1514"/>
      <c r="AS396" s="1514"/>
      <c r="AT396" s="1514"/>
      <c r="AU396" s="1148"/>
      <c r="AV396" s="1148"/>
      <c r="AW396" s="1148"/>
      <c r="AX396" s="1148"/>
      <c r="AY396" s="1148"/>
      <c r="AZ396" s="1148"/>
      <c r="BA396" s="1514"/>
      <c r="BB396" s="1514"/>
      <c r="BC396" s="1514"/>
      <c r="BD396" s="1022">
        <f t="shared" si="94"/>
        <v>0</v>
      </c>
      <c r="BE396" s="1022">
        <f t="shared" si="95"/>
        <v>0</v>
      </c>
      <c r="BF396" s="1022">
        <f t="shared" si="96"/>
        <v>0</v>
      </c>
      <c r="BG396" s="1022">
        <f t="shared" si="97"/>
        <v>0</v>
      </c>
      <c r="BH396" s="1022">
        <f t="shared" si="98"/>
        <v>0</v>
      </c>
      <c r="BI396" s="1022">
        <f t="shared" si="99"/>
        <v>0</v>
      </c>
      <c r="BJ396" s="1022">
        <f t="shared" si="100"/>
        <v>0</v>
      </c>
      <c r="BK396" s="1022">
        <f t="shared" si="101"/>
        <v>0</v>
      </c>
      <c r="BL396" s="1022">
        <f t="shared" si="102"/>
        <v>0</v>
      </c>
      <c r="BM396" s="1022">
        <f t="shared" si="103"/>
        <v>0</v>
      </c>
      <c r="BN396" s="1523"/>
      <c r="BO396" s="1523"/>
      <c r="BP396" s="1523"/>
      <c r="BQ396" s="1184"/>
      <c r="BR396" s="1184"/>
      <c r="BS396" s="973" t="s">
        <v>1798</v>
      </c>
      <c r="BT396" s="973"/>
      <c r="BU396" s="973"/>
      <c r="BV396" s="888"/>
      <c r="BW396" s="888"/>
    </row>
    <row r="397" spans="1:75" s="1334" customFormat="1" ht="14.25" customHeight="1" x14ac:dyDescent="0.15">
      <c r="A397" s="1184"/>
      <c r="B397" s="887"/>
      <c r="C397" s="26"/>
      <c r="D397" s="26"/>
      <c r="E397" s="545">
        <v>15</v>
      </c>
      <c r="F397" s="3" t="str" cm="1">
        <f t="array" aca="1" ref="F397" ca="1">OFFSET(E397,-1,1)</f>
        <v>2</v>
      </c>
      <c r="G397" s="26" t="s">
        <v>1436</v>
      </c>
      <c r="H397" s="26"/>
      <c r="I397" s="26" t="s">
        <v>2069</v>
      </c>
      <c r="J397" s="26"/>
      <c r="K397" s="77" t="s">
        <v>2069</v>
      </c>
      <c r="L397" s="889"/>
      <c r="M397" s="26"/>
      <c r="N397" s="26"/>
      <c r="O397" s="26"/>
      <c r="P397" s="26"/>
      <c r="Q397" s="26"/>
      <c r="R397" s="26"/>
      <c r="S397" s="26"/>
      <c r="T397" s="388" t="b" cm="1">
        <f t="array" aca="1" ref="T397" ca="1">T396</f>
        <v>1</v>
      </c>
      <c r="U397" s="26"/>
      <c r="V397" s="26"/>
      <c r="W397" s="26"/>
      <c r="X397" s="2066"/>
      <c r="Y397" s="1184"/>
      <c r="Z397" s="2012"/>
      <c r="AA397" s="1184"/>
      <c r="AB397" s="218" t="s">
        <v>1503</v>
      </c>
      <c r="AC397" s="682" t="s">
        <v>1436</v>
      </c>
      <c r="AD397" s="218" t="s">
        <v>831</v>
      </c>
      <c r="AE397" s="1514"/>
      <c r="AF397" s="1514"/>
      <c r="AG397" s="1514"/>
      <c r="AH397" s="1022">
        <f t="shared" si="92"/>
        <v>0</v>
      </c>
      <c r="AI397" s="1514"/>
      <c r="AJ397" s="1514"/>
      <c r="AK397" s="1148"/>
      <c r="AL397" s="1148"/>
      <c r="AM397" s="1148"/>
      <c r="AN397" s="1148"/>
      <c r="AO397" s="1148"/>
      <c r="AP397" s="1148"/>
      <c r="AQ397" s="1514"/>
      <c r="AR397" s="1514"/>
      <c r="AS397" s="1514"/>
      <c r="AT397" s="1514"/>
      <c r="AU397" s="1148"/>
      <c r="AV397" s="1148"/>
      <c r="AW397" s="1148"/>
      <c r="AX397" s="1148"/>
      <c r="AY397" s="1148"/>
      <c r="AZ397" s="1148"/>
      <c r="BA397" s="1514"/>
      <c r="BB397" s="1514"/>
      <c r="BC397" s="1514"/>
      <c r="BD397" s="1022">
        <f t="shared" si="94"/>
        <v>0</v>
      </c>
      <c r="BE397" s="1022">
        <f t="shared" si="95"/>
        <v>0</v>
      </c>
      <c r="BF397" s="1022">
        <f t="shared" si="96"/>
        <v>0</v>
      </c>
      <c r="BG397" s="1022">
        <f t="shared" si="97"/>
        <v>0</v>
      </c>
      <c r="BH397" s="1022">
        <f t="shared" si="98"/>
        <v>0</v>
      </c>
      <c r="BI397" s="1022">
        <f t="shared" si="99"/>
        <v>0</v>
      </c>
      <c r="BJ397" s="1022">
        <f t="shared" si="100"/>
        <v>0</v>
      </c>
      <c r="BK397" s="1022">
        <f t="shared" si="101"/>
        <v>0</v>
      </c>
      <c r="BL397" s="1022">
        <f t="shared" si="102"/>
        <v>0</v>
      </c>
      <c r="BM397" s="1022">
        <f t="shared" si="103"/>
        <v>0</v>
      </c>
      <c r="BN397" s="1523"/>
      <c r="BO397" s="1523"/>
      <c r="BP397" s="1523"/>
      <c r="BQ397" s="1184"/>
      <c r="BR397" s="1184"/>
      <c r="BS397" s="973" t="s">
        <v>2070</v>
      </c>
      <c r="BT397" s="973"/>
      <c r="BU397" s="973"/>
      <c r="BV397" s="888"/>
      <c r="BW397" s="888"/>
    </row>
    <row r="398" spans="1:75" s="1334" customFormat="1" ht="14.25" customHeight="1" x14ac:dyDescent="0.15">
      <c r="A398" s="1184"/>
      <c r="B398" s="887"/>
      <c r="C398" s="26"/>
      <c r="D398" s="26"/>
      <c r="E398" s="545">
        <v>15</v>
      </c>
      <c r="F398" s="3" t="str" cm="1">
        <f t="array" aca="1" ref="F398" ca="1">OFFSET(E398,-1,1)</f>
        <v>2</v>
      </c>
      <c r="G398" s="26" t="s">
        <v>1441</v>
      </c>
      <c r="H398" s="26"/>
      <c r="I398" s="26" t="s">
        <v>2071</v>
      </c>
      <c r="J398" s="26"/>
      <c r="K398" s="77" t="s">
        <v>2071</v>
      </c>
      <c r="L398" s="889"/>
      <c r="M398" s="26"/>
      <c r="N398" s="26"/>
      <c r="O398" s="26"/>
      <c r="P398" s="26"/>
      <c r="Q398" s="26"/>
      <c r="R398" s="26"/>
      <c r="S398" s="26"/>
      <c r="T398" s="388" t="b" cm="1">
        <f t="array" aca="1" ref="T398" ca="1">T397</f>
        <v>1</v>
      </c>
      <c r="U398" s="26"/>
      <c r="V398" s="26"/>
      <c r="W398" s="26"/>
      <c r="X398" s="2066"/>
      <c r="Y398" s="1184"/>
      <c r="Z398" s="2012"/>
      <c r="AA398" s="1184"/>
      <c r="AB398" s="218" t="s">
        <v>1507</v>
      </c>
      <c r="AC398" s="682" t="s">
        <v>1441</v>
      </c>
      <c r="AD398" s="218" t="s">
        <v>831</v>
      </c>
      <c r="AE398" s="1024">
        <f>SUM(AE399,AE400)</f>
        <v>0</v>
      </c>
      <c r="AF398" s="1022">
        <f>SUM(AF399,AF400)</f>
        <v>0</v>
      </c>
      <c r="AG398" s="1022">
        <f>SUM(AG399,AG400)</f>
        <v>0</v>
      </c>
      <c r="AH398" s="1022">
        <f t="shared" si="92"/>
        <v>0</v>
      </c>
      <c r="AI398" s="1022">
        <f t="shared" ref="AI398:BC398" si="106">SUM(AI399,AI400)</f>
        <v>0</v>
      </c>
      <c r="AJ398" s="1024">
        <f t="shared" si="106"/>
        <v>0</v>
      </c>
      <c r="AK398" s="1022">
        <f t="shared" si="106"/>
        <v>0</v>
      </c>
      <c r="AL398" s="1022">
        <f t="shared" si="106"/>
        <v>0</v>
      </c>
      <c r="AM398" s="1022">
        <f t="shared" si="106"/>
        <v>0</v>
      </c>
      <c r="AN398" s="1022">
        <f t="shared" si="106"/>
        <v>0</v>
      </c>
      <c r="AO398" s="1022">
        <f t="shared" si="106"/>
        <v>0</v>
      </c>
      <c r="AP398" s="1022">
        <f t="shared" si="106"/>
        <v>0</v>
      </c>
      <c r="AQ398" s="1022">
        <f t="shared" si="106"/>
        <v>0</v>
      </c>
      <c r="AR398" s="1022">
        <f t="shared" si="106"/>
        <v>0</v>
      </c>
      <c r="AS398" s="1022">
        <f t="shared" si="106"/>
        <v>0</v>
      </c>
      <c r="AT398" s="1024">
        <f t="shared" si="106"/>
        <v>0</v>
      </c>
      <c r="AU398" s="1022">
        <f t="shared" si="106"/>
        <v>0</v>
      </c>
      <c r="AV398" s="1022">
        <f t="shared" si="106"/>
        <v>0</v>
      </c>
      <c r="AW398" s="1022">
        <f t="shared" si="106"/>
        <v>0</v>
      </c>
      <c r="AX398" s="1022">
        <f t="shared" si="106"/>
        <v>0</v>
      </c>
      <c r="AY398" s="1022">
        <f t="shared" si="106"/>
        <v>0</v>
      </c>
      <c r="AZ398" s="1022">
        <f t="shared" si="106"/>
        <v>0</v>
      </c>
      <c r="BA398" s="1022">
        <f t="shared" si="106"/>
        <v>0</v>
      </c>
      <c r="BB398" s="1022">
        <f t="shared" si="106"/>
        <v>0</v>
      </c>
      <c r="BC398" s="1022">
        <f t="shared" si="106"/>
        <v>0</v>
      </c>
      <c r="BD398" s="1022">
        <f t="shared" si="94"/>
        <v>0</v>
      </c>
      <c r="BE398" s="1022">
        <f t="shared" si="95"/>
        <v>0</v>
      </c>
      <c r="BF398" s="1022">
        <f t="shared" si="96"/>
        <v>0</v>
      </c>
      <c r="BG398" s="1022">
        <f t="shared" si="97"/>
        <v>0</v>
      </c>
      <c r="BH398" s="1022">
        <f t="shared" si="98"/>
        <v>0</v>
      </c>
      <c r="BI398" s="1022">
        <f t="shared" si="99"/>
        <v>0</v>
      </c>
      <c r="BJ398" s="1022">
        <f t="shared" si="100"/>
        <v>0</v>
      </c>
      <c r="BK398" s="1022">
        <f t="shared" si="101"/>
        <v>0</v>
      </c>
      <c r="BL398" s="1022">
        <f t="shared" si="102"/>
        <v>0</v>
      </c>
      <c r="BM398" s="1022">
        <f t="shared" si="103"/>
        <v>0</v>
      </c>
      <c r="BN398" s="1523"/>
      <c r="BO398" s="1523"/>
      <c r="BP398" s="1523"/>
      <c r="BQ398" s="1184"/>
      <c r="BR398" s="1184"/>
      <c r="BS398" s="973" t="s">
        <v>2072</v>
      </c>
      <c r="BT398" s="973"/>
      <c r="BU398" s="973"/>
      <c r="BV398" s="888"/>
      <c r="BW398" s="888"/>
    </row>
    <row r="399" spans="1:75" s="1334" customFormat="1" ht="14.25" customHeight="1" x14ac:dyDescent="0.15">
      <c r="A399" s="1184"/>
      <c r="B399" s="887"/>
      <c r="C399" s="26"/>
      <c r="D399" s="26"/>
      <c r="E399" s="545">
        <v>15</v>
      </c>
      <c r="F399" s="3" t="str" cm="1">
        <f t="array" aca="1" ref="F399" ca="1">OFFSET(E399,-1,1)</f>
        <v>2</v>
      </c>
      <c r="G399" s="26"/>
      <c r="H399" s="26"/>
      <c r="I399" s="26" t="s">
        <v>2073</v>
      </c>
      <c r="J399" s="26"/>
      <c r="K399" s="77" t="s">
        <v>2073</v>
      </c>
      <c r="L399" s="889"/>
      <c r="M399" s="26"/>
      <c r="N399" s="26"/>
      <c r="O399" s="26"/>
      <c r="P399" s="26"/>
      <c r="Q399" s="26"/>
      <c r="R399" s="26"/>
      <c r="S399" s="26"/>
      <c r="T399" s="388" t="b" cm="1">
        <f t="array" aca="1" ref="T399" ca="1">T398</f>
        <v>1</v>
      </c>
      <c r="U399" s="26"/>
      <c r="V399" s="26"/>
      <c r="W399" s="26"/>
      <c r="X399" s="2066"/>
      <c r="Y399" s="1184"/>
      <c r="Z399" s="2012"/>
      <c r="AA399" s="1184"/>
      <c r="AB399" s="218" t="s">
        <v>2074</v>
      </c>
      <c r="AC399" s="685" t="s">
        <v>2075</v>
      </c>
      <c r="AD399" s="218" t="s">
        <v>831</v>
      </c>
      <c r="AE399" s="1514"/>
      <c r="AF399" s="1514"/>
      <c r="AG399" s="1514"/>
      <c r="AH399" s="1022">
        <f t="shared" si="92"/>
        <v>0</v>
      </c>
      <c r="AI399" s="1514"/>
      <c r="AJ399" s="1514"/>
      <c r="AK399" s="1148"/>
      <c r="AL399" s="1148"/>
      <c r="AM399" s="1148"/>
      <c r="AN399" s="1148"/>
      <c r="AO399" s="1148"/>
      <c r="AP399" s="1148"/>
      <c r="AQ399" s="1514"/>
      <c r="AR399" s="1514"/>
      <c r="AS399" s="1514"/>
      <c r="AT399" s="1514"/>
      <c r="AU399" s="1148"/>
      <c r="AV399" s="1148"/>
      <c r="AW399" s="1148"/>
      <c r="AX399" s="1148"/>
      <c r="AY399" s="1148"/>
      <c r="AZ399" s="1148"/>
      <c r="BA399" s="1514"/>
      <c r="BB399" s="1514"/>
      <c r="BC399" s="1514"/>
      <c r="BD399" s="1022">
        <f t="shared" si="94"/>
        <v>0</v>
      </c>
      <c r="BE399" s="1022">
        <f t="shared" si="95"/>
        <v>0</v>
      </c>
      <c r="BF399" s="1022">
        <f t="shared" si="96"/>
        <v>0</v>
      </c>
      <c r="BG399" s="1022">
        <f t="shared" si="97"/>
        <v>0</v>
      </c>
      <c r="BH399" s="1022">
        <f t="shared" si="98"/>
        <v>0</v>
      </c>
      <c r="BI399" s="1022">
        <f t="shared" si="99"/>
        <v>0</v>
      </c>
      <c r="BJ399" s="1022">
        <f t="shared" si="100"/>
        <v>0</v>
      </c>
      <c r="BK399" s="1022">
        <f t="shared" si="101"/>
        <v>0</v>
      </c>
      <c r="BL399" s="1022">
        <f t="shared" si="102"/>
        <v>0</v>
      </c>
      <c r="BM399" s="1022">
        <f t="shared" si="103"/>
        <v>0</v>
      </c>
      <c r="BN399" s="1523"/>
      <c r="BO399" s="1523"/>
      <c r="BP399" s="1523"/>
      <c r="BQ399" s="1184"/>
      <c r="BR399" s="1184"/>
      <c r="BS399" s="973" t="s">
        <v>1222</v>
      </c>
      <c r="BT399" s="973"/>
      <c r="BU399" s="973"/>
      <c r="BV399" s="888"/>
      <c r="BW399" s="888"/>
    </row>
    <row r="400" spans="1:75" s="1334" customFormat="1" ht="14.25" customHeight="1" x14ac:dyDescent="0.15">
      <c r="A400" s="1184"/>
      <c r="B400" s="887"/>
      <c r="C400" s="26"/>
      <c r="D400" s="26"/>
      <c r="E400" s="545">
        <v>15</v>
      </c>
      <c r="F400" s="3" t="str" cm="1">
        <f t="array" aca="1" ref="F400" ca="1">OFFSET(E400,-1,1)</f>
        <v>2</v>
      </c>
      <c r="G400" s="26"/>
      <c r="H400" s="26"/>
      <c r="I400" s="26" t="s">
        <v>2076</v>
      </c>
      <c r="J400" s="26"/>
      <c r="K400" s="77" t="s">
        <v>2076</v>
      </c>
      <c r="L400" s="889" t="s">
        <v>922</v>
      </c>
      <c r="M400" s="26"/>
      <c r="N400" s="26"/>
      <c r="O400" s="26"/>
      <c r="P400" s="26"/>
      <c r="Q400" s="26"/>
      <c r="R400" s="26"/>
      <c r="S400" s="26"/>
      <c r="T400" s="388" t="b" cm="1">
        <f t="array" aca="1" ref="T400" ca="1">T399</f>
        <v>1</v>
      </c>
      <c r="U400" s="26"/>
      <c r="V400" s="26"/>
      <c r="W400" s="26"/>
      <c r="X400" s="2066"/>
      <c r="Y400" s="1184"/>
      <c r="Z400" s="2012"/>
      <c r="AA400" s="1184"/>
      <c r="AB400" s="218" t="s">
        <v>2077</v>
      </c>
      <c r="AC400" s="685" t="s">
        <v>2078</v>
      </c>
      <c r="AD400" s="218" t="s">
        <v>831</v>
      </c>
      <c r="AE400" s="1514"/>
      <c r="AF400" s="1514"/>
      <c r="AG400" s="1514"/>
      <c r="AH400" s="1022">
        <f t="shared" si="92"/>
        <v>0</v>
      </c>
      <c r="AI400" s="1514"/>
      <c r="AJ400" s="1514"/>
      <c r="AK400" s="1148"/>
      <c r="AL400" s="1148"/>
      <c r="AM400" s="1148"/>
      <c r="AN400" s="1148"/>
      <c r="AO400" s="1148"/>
      <c r="AP400" s="1148"/>
      <c r="AQ400" s="1514"/>
      <c r="AR400" s="1514"/>
      <c r="AS400" s="1514"/>
      <c r="AT400" s="1514"/>
      <c r="AU400" s="1148"/>
      <c r="AV400" s="1148"/>
      <c r="AW400" s="1148"/>
      <c r="AX400" s="1148"/>
      <c r="AY400" s="1148"/>
      <c r="AZ400" s="1148"/>
      <c r="BA400" s="1514"/>
      <c r="BB400" s="1514"/>
      <c r="BC400" s="1514"/>
      <c r="BD400" s="1022">
        <f t="shared" si="94"/>
        <v>0</v>
      </c>
      <c r="BE400" s="1022">
        <f t="shared" si="95"/>
        <v>0</v>
      </c>
      <c r="BF400" s="1022">
        <f t="shared" si="96"/>
        <v>0</v>
      </c>
      <c r="BG400" s="1022">
        <f t="shared" si="97"/>
        <v>0</v>
      </c>
      <c r="BH400" s="1022">
        <f t="shared" si="98"/>
        <v>0</v>
      </c>
      <c r="BI400" s="1022">
        <f t="shared" si="99"/>
        <v>0</v>
      </c>
      <c r="BJ400" s="1022">
        <f t="shared" si="100"/>
        <v>0</v>
      </c>
      <c r="BK400" s="1022">
        <f t="shared" si="101"/>
        <v>0</v>
      </c>
      <c r="BL400" s="1022">
        <f t="shared" si="102"/>
        <v>0</v>
      </c>
      <c r="BM400" s="1022">
        <f t="shared" si="103"/>
        <v>0</v>
      </c>
      <c r="BN400" s="1523"/>
      <c r="BO400" s="1523"/>
      <c r="BP400" s="1523"/>
      <c r="BQ400" s="1184"/>
      <c r="BR400" s="1184"/>
      <c r="BS400" s="973" t="s">
        <v>2079</v>
      </c>
      <c r="BT400" s="973"/>
      <c r="BU400" s="973"/>
      <c r="BV400" s="888"/>
      <c r="BW400" s="888"/>
    </row>
    <row r="401" spans="1:75" s="1334" customFormat="1" ht="21.75" customHeight="1" x14ac:dyDescent="0.15">
      <c r="A401" s="1184"/>
      <c r="B401" s="887"/>
      <c r="C401" s="26"/>
      <c r="D401" s="26"/>
      <c r="E401" s="545">
        <v>22.5</v>
      </c>
      <c r="F401" s="3" t="str" cm="1">
        <f t="array" aca="1" ref="F401" ca="1">OFFSET(E401,-1,1)</f>
        <v>2</v>
      </c>
      <c r="G401" s="26" t="s">
        <v>1446</v>
      </c>
      <c r="H401" s="26"/>
      <c r="I401" s="26" t="s">
        <v>2080</v>
      </c>
      <c r="J401" s="26"/>
      <c r="K401" s="77" t="s">
        <v>2080</v>
      </c>
      <c r="L401" s="889"/>
      <c r="M401" s="26"/>
      <c r="N401" s="26"/>
      <c r="O401" s="26"/>
      <c r="P401" s="26"/>
      <c r="Q401" s="26"/>
      <c r="R401" s="26"/>
      <c r="S401" s="26"/>
      <c r="T401" s="388" t="b" cm="1">
        <f t="array" aca="1" ref="T401" ca="1">T400</f>
        <v>1</v>
      </c>
      <c r="U401" s="26"/>
      <c r="V401" s="26"/>
      <c r="W401" s="26"/>
      <c r="X401" s="2066"/>
      <c r="Y401" s="1184"/>
      <c r="Z401" s="2012"/>
      <c r="AA401" s="1184"/>
      <c r="AB401" s="218" t="s">
        <v>1510</v>
      </c>
      <c r="AC401" s="682" t="s">
        <v>2081</v>
      </c>
      <c r="AD401" s="218" t="s">
        <v>831</v>
      </c>
      <c r="AE401" s="1514"/>
      <c r="AF401" s="1514"/>
      <c r="AG401" s="1514"/>
      <c r="AH401" s="1022">
        <f t="shared" si="92"/>
        <v>0</v>
      </c>
      <c r="AI401" s="1514"/>
      <c r="AJ401" s="1514"/>
      <c r="AK401" s="1148"/>
      <c r="AL401" s="1148"/>
      <c r="AM401" s="1148"/>
      <c r="AN401" s="1148"/>
      <c r="AO401" s="1148"/>
      <c r="AP401" s="1148"/>
      <c r="AQ401" s="1514"/>
      <c r="AR401" s="1514"/>
      <c r="AS401" s="1514"/>
      <c r="AT401" s="1514"/>
      <c r="AU401" s="1148"/>
      <c r="AV401" s="1148"/>
      <c r="AW401" s="1148"/>
      <c r="AX401" s="1148"/>
      <c r="AY401" s="1148"/>
      <c r="AZ401" s="1148"/>
      <c r="BA401" s="1514"/>
      <c r="BB401" s="1514"/>
      <c r="BC401" s="1514"/>
      <c r="BD401" s="1022">
        <f t="shared" si="94"/>
        <v>0</v>
      </c>
      <c r="BE401" s="1022">
        <f t="shared" si="95"/>
        <v>0</v>
      </c>
      <c r="BF401" s="1022">
        <f t="shared" si="96"/>
        <v>0</v>
      </c>
      <c r="BG401" s="1022">
        <f t="shared" si="97"/>
        <v>0</v>
      </c>
      <c r="BH401" s="1022">
        <f t="shared" si="98"/>
        <v>0</v>
      </c>
      <c r="BI401" s="1022">
        <f t="shared" si="99"/>
        <v>0</v>
      </c>
      <c r="BJ401" s="1022">
        <f t="shared" si="100"/>
        <v>0</v>
      </c>
      <c r="BK401" s="1022">
        <f t="shared" si="101"/>
        <v>0</v>
      </c>
      <c r="BL401" s="1022">
        <f t="shared" si="102"/>
        <v>0</v>
      </c>
      <c r="BM401" s="1022">
        <f t="shared" si="103"/>
        <v>0</v>
      </c>
      <c r="BN401" s="1523"/>
      <c r="BO401" s="1523"/>
      <c r="BP401" s="1523"/>
      <c r="BQ401" s="1184"/>
      <c r="BR401" s="1184"/>
      <c r="BS401" s="973" t="s">
        <v>2082</v>
      </c>
      <c r="BT401" s="973"/>
      <c r="BU401" s="973"/>
      <c r="BV401" s="888"/>
      <c r="BW401" s="888"/>
    </row>
    <row r="402" spans="1:75" s="1550" customFormat="1" ht="409.6" customHeight="1" x14ac:dyDescent="0.15">
      <c r="A402" s="623"/>
      <c r="B402" s="357"/>
      <c r="C402" s="28"/>
      <c r="D402" s="28"/>
      <c r="E402" s="745">
        <v>21</v>
      </c>
      <c r="F402" s="3" t="str" cm="1">
        <f t="array" aca="1" ref="F402" ca="1">OFFSET(E402,-1,1)</f>
        <v>2</v>
      </c>
      <c r="G402" s="26" t="s">
        <v>2083</v>
      </c>
      <c r="H402" s="26"/>
      <c r="I402" s="26" t="s">
        <v>333</v>
      </c>
      <c r="J402" s="28"/>
      <c r="K402" s="77" t="s">
        <v>333</v>
      </c>
      <c r="L402" s="894" t="s">
        <v>1301</v>
      </c>
      <c r="M402" s="28"/>
      <c r="N402" s="28"/>
      <c r="O402" s="28"/>
      <c r="P402" s="28"/>
      <c r="Q402" s="28"/>
      <c r="R402" s="28"/>
      <c r="S402" s="28"/>
      <c r="T402" s="388" t="b" cm="1">
        <f t="array" aca="1" ref="T402" ca="1">T401</f>
        <v>1</v>
      </c>
      <c r="U402" s="28"/>
      <c r="V402" s="28"/>
      <c r="W402" s="28"/>
      <c r="X402" s="2066"/>
      <c r="Y402" s="623"/>
      <c r="Z402" s="2012"/>
      <c r="AA402" s="623"/>
      <c r="AB402" s="130" t="s">
        <v>329</v>
      </c>
      <c r="AC402" s="131" t="s">
        <v>2084</v>
      </c>
      <c r="AD402" s="130" t="s">
        <v>831</v>
      </c>
      <c r="AE402" s="698">
        <f ca="1">SUMIFS(ЭЭ!AE$25:AE$117,ЭЭ!$F$25:$F$117,$F402,ЭЭ!$AC$25:$AC$117,"Всего по тарифу")</f>
        <v>24354.220940921998</v>
      </c>
      <c r="AF402" s="698">
        <f ca="1">SUMIFS(ЭЭ!AF$25:AF$117,ЭЭ!$F$25:$F$117,$F402,ЭЭ!$AC$25:$AC$117,"Всего по тарифу")</f>
        <v>25759.190000000002</v>
      </c>
      <c r="AG402" s="698">
        <f ca="1">SUMIFS(ЭЭ!AG$25:AG$117,ЭЭ!$F$25:$F$117,$F402,ЭЭ!$AC$25:$AC$117,"Всего по тарифу")</f>
        <v>24612.294613923892</v>
      </c>
      <c r="AH402" s="698">
        <f t="shared" ca="1" si="92"/>
        <v>-1146.8953860761103</v>
      </c>
      <c r="AI402" s="698">
        <f ca="1">SUMIFS(ЭЭ!AH$25:AH$117,ЭЭ!$F$25:$F$117,$F402,ЭЭ!$AC$25:$AC$117,"Всего по тарифу")</f>
        <v>25547.577767027004</v>
      </c>
      <c r="AJ402" s="698">
        <f ca="1">SUMIFS(ЭЭ!AI$25:AI$117,ЭЭ!$F$25:$F$117,$F402,ЭЭ!$AC$25:$AC$117,"Всего по тарифу")</f>
        <v>28102.23</v>
      </c>
      <c r="AK402" s="698">
        <f ca="1">SUMIFS(ЭЭ!AJ$25:AJ$117,ЭЭ!$F$25:$F$117,$F402,ЭЭ!$AC$25:$AC$117,"Всего по тарифу")</f>
        <v>27716.99</v>
      </c>
      <c r="AL402" s="698">
        <f ca="1">SUMIFS(ЭЭ!AK$25:AK$117,ЭЭ!$F$25:$F$117,$F402,ЭЭ!$AC$25:$AC$117,"Всего по тарифу")</f>
        <v>28825.659999999996</v>
      </c>
      <c r="AM402" s="698">
        <f ca="1">SUMIFS(ЭЭ!AL$25:AL$117,ЭЭ!$F$25:$F$117,$F402,ЭЭ!$AC$25:$AC$117,"Всего по тарифу")</f>
        <v>29978.7</v>
      </c>
      <c r="AN402" s="698">
        <f ca="1">SUMIFS(ЭЭ!AM$25:AM$117,ЭЭ!$F$25:$F$117,$F402,ЭЭ!$AC$25:$AC$117,"Всего по тарифу")</f>
        <v>31177.840000000004</v>
      </c>
      <c r="AO402" s="698">
        <f ca="1">SUMIFS(ЭЭ!AN$25:AN$117,ЭЭ!$F$25:$F$117,$F402,ЭЭ!$AC$25:$AC$117,"Всего по тарифу")</f>
        <v>32424.959999999999</v>
      </c>
      <c r="AP402" s="698">
        <f ca="1">SUMIFS(ЭЭ!AO$25:AO$117,ЭЭ!$F$25:$F$117,$F402,ЭЭ!$AC$25:$AC$117,"Всего по тарифу")</f>
        <v>33721.96</v>
      </c>
      <c r="AQ402" s="698">
        <f ca="1">SUMIFS(ЭЭ!AP$25:AP$117,ЭЭ!$F$25:$F$117,$F402,ЭЭ!$AC$25:$AC$117,"Всего по тарифу")</f>
        <v>0</v>
      </c>
      <c r="AR402" s="698">
        <f ca="1">SUMIFS(ЭЭ!AQ$25:AQ$117,ЭЭ!$F$25:$F$117,$F402,ЭЭ!$AC$25:$AC$117,"Всего по тарифу")</f>
        <v>0</v>
      </c>
      <c r="AS402" s="698">
        <f ca="1">SUMIFS(ЭЭ!AR$25:AR$117,ЭЭ!$F$25:$F$117,$F402,ЭЭ!$AC$25:$AC$117,"Всего по тарифу")</f>
        <v>0</v>
      </c>
      <c r="AT402" s="698">
        <f ca="1">SUMIFS(ЭЭ!AS$25:AS$117,ЭЭ!$F$25:$F$117,$F402,ЭЭ!$AC$25:$AC$117,"Всего по тарифу")</f>
        <v>31057.649999999998</v>
      </c>
      <c r="AU402" s="698">
        <f ca="1">SUMIFS(ЭЭ!AT$25:AT$117,ЭЭ!$F$25:$F$117,$F402,ЭЭ!$AC$25:$AC$117,"Всего по тарифу")</f>
        <v>27103.42</v>
      </c>
      <c r="AV402" s="698">
        <f ca="1">SUMIFS(ЭЭ!AU$25:AU$117,ЭЭ!$F$25:$F$117,$F402,ЭЭ!$AC$25:$AC$117,"Всего по тарифу")</f>
        <v>27916.53</v>
      </c>
      <c r="AW402" s="698">
        <f ca="1">SUMIFS(ЭЭ!AV$25:AV$117,ЭЭ!$F$25:$F$117,$F402,ЭЭ!$AC$25:$AC$117,"Всего по тарифу")</f>
        <v>28754.020000000004</v>
      </c>
      <c r="AX402" s="698">
        <f ca="1">SUMIFS(ЭЭ!AW$25:AW$117,ЭЭ!$F$25:$F$117,$F402,ЭЭ!$AC$25:$AC$117,"Всего по тарифу")</f>
        <v>29616.649999999998</v>
      </c>
      <c r="AY402" s="698">
        <f ca="1">SUMIFS(ЭЭ!AX$25:AX$117,ЭЭ!$F$25:$F$117,$F402,ЭЭ!$AC$25:$AC$117,"Всего по тарифу")</f>
        <v>30505.149999999998</v>
      </c>
      <c r="AZ402" s="698">
        <f ca="1">SUMIFS(ЭЭ!AY$25:AY$117,ЭЭ!$F$25:$F$117,$F402,ЭЭ!$AC$25:$AC$117,"Всего по тарифу")</f>
        <v>31420.309999999998</v>
      </c>
      <c r="BA402" s="698">
        <f ca="1">SUMIFS(ЭЭ!AZ$25:AZ$117,ЭЭ!$F$25:$F$117,$F402,ЭЭ!$AC$25:$AC$117,"Всего по тарифу")</f>
        <v>0</v>
      </c>
      <c r="BB402" s="698">
        <f ca="1">SUMIFS(ЭЭ!BA$25:BA$117,ЭЭ!$F$25:$F$117,$F402,ЭЭ!$AC$25:$AC$117,"Всего по тарифу")</f>
        <v>0</v>
      </c>
      <c r="BC402" s="698">
        <f ca="1">SUMIFS(ЭЭ!BB$25:BB$117,ЭЭ!$F$25:$F$117,$F402,ЭЭ!$AC$25:$AC$117,"Всего по тарифу")</f>
        <v>0</v>
      </c>
      <c r="BD402" s="698">
        <f t="shared" ca="1" si="94"/>
        <v>21.567885156159782</v>
      </c>
      <c r="BE402" s="698">
        <f t="shared" ca="1" si="95"/>
        <v>-12.731903411880808</v>
      </c>
      <c r="BF402" s="698">
        <f t="shared" ca="1" si="96"/>
        <v>3.0000273028274687</v>
      </c>
      <c r="BG402" s="698">
        <f t="shared" ca="1" si="97"/>
        <v>2.9999788655681967</v>
      </c>
      <c r="BH402" s="698">
        <f t="shared" ca="1" si="98"/>
        <v>3.0000326910810857</v>
      </c>
      <c r="BI402" s="698">
        <f t="shared" ca="1" si="99"/>
        <v>3.0000016882395548</v>
      </c>
      <c r="BJ402" s="698">
        <f t="shared" ca="1" si="100"/>
        <v>3.0000180297425185</v>
      </c>
      <c r="BK402" s="698">
        <f t="shared" ca="1" si="101"/>
        <v>-100</v>
      </c>
      <c r="BL402" s="698">
        <f t="shared" ca="1" si="102"/>
        <v>0</v>
      </c>
      <c r="BM402" s="698">
        <f t="shared" ca="1" si="103"/>
        <v>0</v>
      </c>
      <c r="BN402" s="1523" t="s">
        <v>2189</v>
      </c>
      <c r="BO402" s="1532" t="s">
        <v>2190</v>
      </c>
      <c r="BP402" s="1523" t="s">
        <v>2191</v>
      </c>
      <c r="BQ402" s="623"/>
      <c r="BR402" s="623"/>
      <c r="BS402" s="979" t="s">
        <v>1692</v>
      </c>
      <c r="BT402" s="979"/>
      <c r="BU402" s="979"/>
      <c r="BV402" s="630"/>
      <c r="BW402" s="630"/>
    </row>
    <row r="403" spans="1:75" s="1551" customFormat="1" ht="159.75" customHeight="1" x14ac:dyDescent="0.15">
      <c r="A403" s="623"/>
      <c r="B403" s="81" t="b">
        <f>method_reg="Метод индексации"</f>
        <v>1</v>
      </c>
      <c r="C403" s="28"/>
      <c r="D403" s="28"/>
      <c r="E403" s="745">
        <v>22.5</v>
      </c>
      <c r="F403" s="3" t="str" cm="1">
        <f t="array" aca="1" ref="F403" ca="1">OFFSET(E403,-1,1)</f>
        <v>2</v>
      </c>
      <c r="G403" s="26" t="s">
        <v>1468</v>
      </c>
      <c r="H403" s="26"/>
      <c r="I403" s="26" t="s">
        <v>335</v>
      </c>
      <c r="J403" s="28"/>
      <c r="K403" s="77"/>
      <c r="L403" s="894" t="s">
        <v>334</v>
      </c>
      <c r="M403" s="28"/>
      <c r="N403" s="28"/>
      <c r="O403" s="28"/>
      <c r="P403" s="28"/>
      <c r="Q403" s="28"/>
      <c r="R403" s="28"/>
      <c r="S403" s="28"/>
      <c r="T403" s="388" t="b" cm="1">
        <f t="array" aca="1" ref="T403" ca="1">T402</f>
        <v>1</v>
      </c>
      <c r="U403" s="28"/>
      <c r="V403" s="28"/>
      <c r="W403" s="28"/>
      <c r="X403" s="2066"/>
      <c r="Y403" s="623"/>
      <c r="Z403" s="2012"/>
      <c r="AA403" s="623"/>
      <c r="AB403" s="130" t="s">
        <v>441</v>
      </c>
      <c r="AC403" s="131" t="s">
        <v>2085</v>
      </c>
      <c r="AD403" s="130" t="s">
        <v>831</v>
      </c>
      <c r="AE403" s="698">
        <f ca="1">SUMIFS(Амортизация!AE$25:AE$174,Амортизация!$F$25:$F$174,$F403,Амортизация!$AC$25:$AC$174,"Сумма амортизационных отчислений")</f>
        <v>0</v>
      </c>
      <c r="AF403" s="698">
        <f ca="1">SUMIFS(Амортизация!AF$25:AF$174,Амортизация!$F$25:$F$174,$F403,Амортизация!$AC$25:$AC$174,"Сумма амортизационных отчислений")</f>
        <v>3343.79</v>
      </c>
      <c r="AG403" s="698">
        <f ca="1">SUMIFS(Амортизация!AG$25:AG$174,Амортизация!$F$25:$F$174,$F403,Амортизация!$AC$25:$AC$174,"Сумма амортизационных отчислений")</f>
        <v>0</v>
      </c>
      <c r="AH403" s="698">
        <f t="shared" ca="1" si="92"/>
        <v>-3343.79</v>
      </c>
      <c r="AI403" s="698">
        <f ca="1">SUMIFS(Амортизация!AH$25:AH$174,Амортизация!$F$25:$F$174,$F403,Амортизация!$AC$25:$AC$174,"Сумма амортизационных отчислений")</f>
        <v>440.67124999999999</v>
      </c>
      <c r="AJ403" s="698">
        <f ca="1">SUMIFS(Амортизация!AI$25:AI$174,Амортизация!$F$25:$F$174,$F403,Амортизация!$AC$25:$AC$174,"Сумма амортизационных отчислений")</f>
        <v>3356.58</v>
      </c>
      <c r="AK403" s="698">
        <f ca="1">SUMIFS(Амортизация!AJ$25:AJ$174,Амортизация!$F$25:$F$174,$F403,Амортизация!$AC$25:$AC$174,"Сумма амортизационных отчислений")</f>
        <v>0</v>
      </c>
      <c r="AL403" s="698">
        <f ca="1">SUMIFS(Амортизация!AK$25:AK$174,Амортизация!$F$25:$F$174,$F403,Амортизация!$AC$25:$AC$174,"Сумма амортизационных отчислений")</f>
        <v>0</v>
      </c>
      <c r="AM403" s="698">
        <f ca="1">SUMIFS(Амортизация!AL$25:AL$174,Амортизация!$F$25:$F$174,$F403,Амортизация!$AC$25:$AC$174,"Сумма амортизационных отчислений")</f>
        <v>0</v>
      </c>
      <c r="AN403" s="698">
        <f ca="1">SUMIFS(Амортизация!AM$25:AM$174,Амортизация!$F$25:$F$174,$F403,Амортизация!$AC$25:$AC$174,"Сумма амортизационных отчислений")</f>
        <v>0</v>
      </c>
      <c r="AO403" s="698">
        <f ca="1">SUMIFS(Амортизация!AN$25:AN$174,Амортизация!$F$25:$F$174,$F403,Амортизация!$AC$25:$AC$174,"Сумма амортизационных отчислений")</f>
        <v>0</v>
      </c>
      <c r="AP403" s="698">
        <f ca="1">SUMIFS(Амортизация!AO$25:AO$174,Амортизация!$F$25:$F$174,$F403,Амортизация!$AC$25:$AC$174,"Сумма амортизационных отчислений")</f>
        <v>0</v>
      </c>
      <c r="AQ403" s="698">
        <f ca="1">SUMIFS(Амортизация!AP$25:AP$174,Амортизация!$F$25:$F$174,$F403,Амортизация!$AC$25:$AC$174,"Сумма амортизационных отчислений")</f>
        <v>0</v>
      </c>
      <c r="AR403" s="698">
        <f ca="1">SUMIFS(Амортизация!AQ$25:AQ$174,Амортизация!$F$25:$F$174,$F403,Амортизация!$AC$25:$AC$174,"Сумма амортизационных отчислений")</f>
        <v>0</v>
      </c>
      <c r="AS403" s="698">
        <f ca="1">SUMIFS(Амортизация!AR$25:AR$174,Амортизация!$F$25:$F$174,$F403,Амортизация!$AC$25:$AC$174,"Сумма амортизационных отчислений")</f>
        <v>0</v>
      </c>
      <c r="AT403" s="698">
        <f ca="1">SUMIFS(Амортизация!AS$25:AS$174,Амортизация!$F$25:$F$174,$F403,Амортизация!$AC$25:$AC$174,"Сумма амортизационных отчислений")</f>
        <v>708.72</v>
      </c>
      <c r="AU403" s="698">
        <f ca="1">SUMIFS(Амортизация!AT$25:AT$174,Амортизация!$F$25:$F$174,$F403,Амортизация!$AC$25:$AC$174,"Сумма амортизационных отчислений")</f>
        <v>0</v>
      </c>
      <c r="AV403" s="698">
        <f ca="1">SUMIFS(Амортизация!AU$25:AU$174,Амортизация!$F$25:$F$174,$F403,Амортизация!$AC$25:$AC$174,"Сумма амортизационных отчислений")</f>
        <v>0</v>
      </c>
      <c r="AW403" s="698">
        <f ca="1">SUMIFS(Амортизация!AV$25:AV$174,Амортизация!$F$25:$F$174,$F403,Амортизация!$AC$25:$AC$174,"Сумма амортизационных отчислений")</f>
        <v>0</v>
      </c>
      <c r="AX403" s="698">
        <f ca="1">SUMIFS(Амортизация!AW$25:AW$174,Амортизация!$F$25:$F$174,$F403,Амортизация!$AC$25:$AC$174,"Сумма амортизационных отчислений")</f>
        <v>0</v>
      </c>
      <c r="AY403" s="698">
        <f ca="1">SUMIFS(Амортизация!AX$25:AX$174,Амортизация!$F$25:$F$174,$F403,Амортизация!$AC$25:$AC$174,"Сумма амортизационных отчислений")</f>
        <v>0</v>
      </c>
      <c r="AZ403" s="698">
        <f ca="1">SUMIFS(Амортизация!AY$25:AY$174,Амортизация!$F$25:$F$174,$F403,Амортизация!$AC$25:$AC$174,"Сумма амортизационных отчислений")</f>
        <v>0</v>
      </c>
      <c r="BA403" s="698">
        <f ca="1">SUMIFS(Амортизация!AZ$25:AZ$174,Амортизация!$F$25:$F$174,$F403,Амортизация!$AC$25:$AC$174,"Сумма амортизационных отчислений")</f>
        <v>0</v>
      </c>
      <c r="BB403" s="698">
        <f ca="1">SUMIFS(Амортизация!BA$25:BA$174,Амортизация!$F$25:$F$174,$F403,Амортизация!$AC$25:$AC$174,"Сумма амортизационных отчислений")</f>
        <v>0</v>
      </c>
      <c r="BC403" s="698">
        <f ca="1">SUMIFS(Амортизация!BB$25:BB$174,Амортизация!$F$25:$F$174,$F403,Амортизация!$AC$25:$AC$174,"Сумма амортизационных отчислений")</f>
        <v>0</v>
      </c>
      <c r="BD403" s="698">
        <f t="shared" ca="1" si="94"/>
        <v>60.827374147961791</v>
      </c>
      <c r="BE403" s="698">
        <f t="shared" ca="1" si="95"/>
        <v>-100</v>
      </c>
      <c r="BF403" s="698">
        <f t="shared" ca="1" si="96"/>
        <v>0</v>
      </c>
      <c r="BG403" s="698">
        <f t="shared" ca="1" si="97"/>
        <v>0</v>
      </c>
      <c r="BH403" s="698">
        <f t="shared" ca="1" si="98"/>
        <v>0</v>
      </c>
      <c r="BI403" s="698">
        <f t="shared" ca="1" si="99"/>
        <v>0</v>
      </c>
      <c r="BJ403" s="698">
        <f t="shared" ca="1" si="100"/>
        <v>0</v>
      </c>
      <c r="BK403" s="698">
        <f t="shared" ca="1" si="101"/>
        <v>0</v>
      </c>
      <c r="BL403" s="698">
        <f t="shared" ca="1" si="102"/>
        <v>0</v>
      </c>
      <c r="BM403" s="698">
        <f t="shared" ca="1" si="103"/>
        <v>0</v>
      </c>
      <c r="BN403" s="1523" t="s">
        <v>2192</v>
      </c>
      <c r="BO403" s="1525" t="str">
        <f ca="1">IF(IFERROR(INDEX(Амортизация!$K$26:$L$174,MATCH($F403&amp;"komm",Амортизация!$K$26:$K$174,0),2),"")=0,"",IFERROR(INDEX(Амортизация!$K$26:$L$174,MATCH($F403&amp;"komm",Амортизация!$K$26:$K$174,0),2),""))</f>
        <v/>
      </c>
      <c r="BP403" s="1523" t="s">
        <v>2193</v>
      </c>
      <c r="BQ403" s="623"/>
      <c r="BR403" s="623"/>
      <c r="BS403" s="979" t="s">
        <v>1199</v>
      </c>
      <c r="BT403" s="979"/>
      <c r="BU403" s="979"/>
      <c r="BV403" s="630"/>
      <c r="BW403" s="630"/>
    </row>
    <row r="404" spans="1:75" s="1334" customFormat="1" ht="54.75" customHeight="1" x14ac:dyDescent="0.15">
      <c r="A404" s="1184"/>
      <c r="B404" s="354" t="b" cm="1">
        <f t="array" ref="B404">B403</f>
        <v>1</v>
      </c>
      <c r="C404" s="26"/>
      <c r="D404" s="26"/>
      <c r="E404" s="545">
        <v>15</v>
      </c>
      <c r="F404" s="3" t="str" cm="1">
        <f t="array" aca="1" ref="F404" ca="1">OFFSET(E404,-1,1)</f>
        <v>2</v>
      </c>
      <c r="G404" s="26"/>
      <c r="H404" s="26"/>
      <c r="I404" s="26" t="s">
        <v>565</v>
      </c>
      <c r="J404" s="26"/>
      <c r="K404" s="1184"/>
      <c r="L404" s="889" t="s">
        <v>579</v>
      </c>
      <c r="M404" s="26"/>
      <c r="N404" s="26"/>
      <c r="O404" s="26"/>
      <c r="P404" s="26"/>
      <c r="Q404" s="26"/>
      <c r="R404" s="26"/>
      <c r="S404" s="26"/>
      <c r="T404" s="388" t="b" cm="1">
        <f t="array" aca="1" ref="T404" ca="1">T403</f>
        <v>1</v>
      </c>
      <c r="U404" s="26"/>
      <c r="V404" s="26"/>
      <c r="W404" s="26"/>
      <c r="X404" s="2066"/>
      <c r="Y404" s="1184"/>
      <c r="Z404" s="2012"/>
      <c r="AA404" s="1184"/>
      <c r="AB404" s="218" t="s">
        <v>700</v>
      </c>
      <c r="AC404" s="682" t="s">
        <v>1785</v>
      </c>
      <c r="AD404" s="218" t="s">
        <v>831</v>
      </c>
      <c r="AE404" s="1514">
        <f ca="1">SUMIFS('ИП + источники'!AF$27:AF$116,'ИП + источники'!$F$27:$F$116,$F404,'ИП + источники'!$AC$27:$AC$116,"Амортизационные отчисления")+SUMIFS('ИП + источники'!AF$27:AF$116,'ИП + источники'!$F$27:$F$116,$F404,'ИП + источники'!$AC$27:$AC$116,"погашение займов и кредитов из амортизации")</f>
        <v>0</v>
      </c>
      <c r="AF404" s="1514">
        <f ca="1">SUMIFS('ИП + источники'!AG$27:AG$116,'ИП + источники'!$F$27:$F$116,$F404,'ИП + источники'!$AC$27:$AC$116,"Амортизационные отчисления")+SUMIFS('ИП + источники'!AG$27:AG$116,'ИП + источники'!$F$27:$F$116,$F404,'ИП + источники'!$AC$27:$AC$116,"погашение займов и кредитов из амортизации")</f>
        <v>0</v>
      </c>
      <c r="AG404" s="1514">
        <f ca="1">SUMIFS('ИП + источники'!AH$27:AH$116,'ИП + источники'!$F$27:$F$116,$F404,'ИП + источники'!$AC$27:$AC$116,"Амортизационные отчисления")+SUMIFS('ИП + источники'!AH$27:AH$116,'ИП + источники'!$F$27:$F$116,$F404,'ИП + источники'!$AC$27:$AC$116,"погашение займов и кредитов из амортизации")</f>
        <v>0</v>
      </c>
      <c r="AH404" s="1022">
        <f t="shared" ca="1" si="92"/>
        <v>0</v>
      </c>
      <c r="AI404" s="1514">
        <v>440.67124999999999</v>
      </c>
      <c r="AJ404" s="1514">
        <f ca="1">SUMIFS('ИП + источники'!AK$27:AK$116,'ИП + источники'!$F$27:$F$116,$F404,'ИП + источники'!$AC$27:$AC$116,"Амортизационные отчисления")+SUMIFS('ИП + источники'!AK$27:AK$116,'ИП + источники'!$F$27:$F$116,$F404,'ИП + источники'!$AC$27:$AC$116,"погашение займов и кредитов из амортизации")</f>
        <v>3356.58</v>
      </c>
      <c r="AK404" s="1148">
        <f ca="1">SUMIFS('ИП + источники'!AL$27:AL$116,'ИП + источники'!$F$27:$F$116,$F404,'ИП + источники'!$AC$27:$AC$116,"Амортизационные отчисления")+SUMIFS('ИП + источники'!AL$27:AL$116,'ИП + источники'!$F$27:$F$116,$F404,'ИП + источники'!$AC$27:$AC$116,"погашение займов и кредитов из амортизации")</f>
        <v>0</v>
      </c>
      <c r="AL404" s="1148">
        <f ca="1">SUMIFS('ИП + источники'!AM$27:AM$116,'ИП + источники'!$F$27:$F$116,$F404,'ИП + источники'!$AC$27:$AC$116,"Амортизационные отчисления")+SUMIFS('ИП + источники'!AM$27:AM$116,'ИП + источники'!$F$27:$F$116,$F404,'ИП + источники'!$AC$27:$AC$116,"погашение займов и кредитов из амортизации")</f>
        <v>0</v>
      </c>
      <c r="AM404" s="1148">
        <f ca="1">SUMIFS('ИП + источники'!AN$27:AN$116,'ИП + источники'!$F$27:$F$116,$F404,'ИП + источники'!$AC$27:$AC$116,"Амортизационные отчисления")+SUMIFS('ИП + источники'!AN$27:AN$116,'ИП + источники'!$F$27:$F$116,$F404,'ИП + источники'!$AC$27:$AC$116,"погашение займов и кредитов из амортизации")</f>
        <v>0</v>
      </c>
      <c r="AN404" s="1148">
        <f ca="1">SUMIFS('ИП + источники'!AO$27:AO$116,'ИП + источники'!$F$27:$F$116,$F404,'ИП + источники'!$AC$27:$AC$116,"Амортизационные отчисления")+SUMIFS('ИП + источники'!AO$27:AO$116,'ИП + источники'!$F$27:$F$116,$F404,'ИП + источники'!$AC$27:$AC$116,"погашение займов и кредитов из амортизации")</f>
        <v>0</v>
      </c>
      <c r="AO404" s="1148">
        <f ca="1">SUMIFS('ИП + источники'!AP$27:AP$116,'ИП + источники'!$F$27:$F$116,$F404,'ИП + источники'!$AC$27:$AC$116,"Амортизационные отчисления")+SUMIFS('ИП + источники'!AP$27:AP$116,'ИП + источники'!$F$27:$F$116,$F404,'ИП + источники'!$AC$27:$AC$116,"погашение займов и кредитов из амортизации")</f>
        <v>0</v>
      </c>
      <c r="AP404" s="1148">
        <f ca="1">SUMIFS('ИП + источники'!AQ$27:AQ$116,'ИП + источники'!$F$27:$F$116,$F404,'ИП + источники'!$AC$27:$AC$116,"Амортизационные отчисления")+SUMIFS('ИП + источники'!AQ$27:AQ$116,'ИП + источники'!$F$27:$F$116,$F404,'ИП + источники'!$AC$27:$AC$116,"погашение займов и кредитов из амортизации")</f>
        <v>0</v>
      </c>
      <c r="AQ404" s="1514">
        <f ca="1">SUMIFS('ИП + источники'!AR$27:AR$116,'ИП + источники'!$F$27:$F$116,$F404,'ИП + источники'!$AC$27:$AC$116,"Амортизационные отчисления")+SUMIFS('ИП + источники'!AR$27:AR$116,'ИП + источники'!$F$27:$F$116,$F404,'ИП + источники'!$AC$27:$AC$116,"погашение займов и кредитов из амортизации")</f>
        <v>0</v>
      </c>
      <c r="AR404" s="1514">
        <f ca="1">SUMIFS('ИП + источники'!AS$27:AS$116,'ИП + источники'!$F$27:$F$116,$F404,'ИП + источники'!$AC$27:$AC$116,"Амортизационные отчисления")+SUMIFS('ИП + источники'!AS$27:AS$116,'ИП + источники'!$F$27:$F$116,$F404,'ИП + источники'!$AC$27:$AC$116,"погашение займов и кредитов из амортизации")</f>
        <v>0</v>
      </c>
      <c r="AS404" s="1514">
        <f ca="1">SUMIFS('ИП + источники'!AT$27:AT$116,'ИП + источники'!$F$27:$F$116,$F404,'ИП + источники'!$AC$27:$AC$116,"Амортизационные отчисления")+SUMIFS('ИП + источники'!AT$27:AT$116,'ИП + источники'!$F$27:$F$116,$F404,'ИП + источники'!$AC$27:$AC$116,"погашение займов и кредитов из амортизации")</f>
        <v>0</v>
      </c>
      <c r="AT404" s="1514">
        <f ca="1">SUMIFS('ИП + источники'!AU$27:AU$116,'ИП + источники'!$F$27:$F$116,$F404,'ИП + источники'!$AC$27:$AC$116,"Амортизационные отчисления")+SUMIFS('ИП + источники'!AU$27:AU$116,'ИП + источники'!$F$27:$F$116,$F404,'ИП + источники'!$AC$27:$AC$116,"погашение займов и кредитов из амортизации")</f>
        <v>708.72</v>
      </c>
      <c r="AU404" s="1148">
        <f ca="1">SUMIFS('ИП + источники'!AV$27:AV$116,'ИП + источники'!$F$27:$F$116,$F404,'ИП + источники'!$AC$27:$AC$116,"Амортизационные отчисления")+SUMIFS('ИП + источники'!AV$27:AV$116,'ИП + источники'!$F$27:$F$116,$F404,'ИП + источники'!$AC$27:$AC$116,"погашение займов и кредитов из амортизации")</f>
        <v>0</v>
      </c>
      <c r="AV404" s="1148">
        <f ca="1">SUMIFS('ИП + источники'!AW$27:AW$116,'ИП + источники'!$F$27:$F$116,$F404,'ИП + источники'!$AC$27:$AC$116,"Амортизационные отчисления")+SUMIFS('ИП + источники'!AW$27:AW$116,'ИП + источники'!$F$27:$F$116,$F404,'ИП + источники'!$AC$27:$AC$116,"погашение займов и кредитов из амортизации")</f>
        <v>0</v>
      </c>
      <c r="AW404" s="1148">
        <f ca="1">SUMIFS('ИП + источники'!AX$27:AX$116,'ИП + источники'!$F$27:$F$116,$F404,'ИП + источники'!$AC$27:$AC$116,"Амортизационные отчисления")+SUMIFS('ИП + источники'!AX$27:AX$116,'ИП + источники'!$F$27:$F$116,$F404,'ИП + источники'!$AC$27:$AC$116,"погашение займов и кредитов из амортизации")</f>
        <v>0</v>
      </c>
      <c r="AX404" s="1148">
        <f ca="1">SUMIFS('ИП + источники'!AY$27:AY$116,'ИП + источники'!$F$27:$F$116,$F404,'ИП + источники'!$AC$27:$AC$116,"Амортизационные отчисления")+SUMIFS('ИП + источники'!AY$27:AY$116,'ИП + источники'!$F$27:$F$116,$F404,'ИП + источники'!$AC$27:$AC$116,"погашение займов и кредитов из амортизации")</f>
        <v>0</v>
      </c>
      <c r="AY404" s="1148">
        <f ca="1">SUMIFS('ИП + источники'!AZ$27:AZ$116,'ИП + источники'!$F$27:$F$116,$F404,'ИП + источники'!$AC$27:$AC$116,"Амортизационные отчисления")+SUMIFS('ИП + источники'!AZ$27:AZ$116,'ИП + источники'!$F$27:$F$116,$F404,'ИП + источники'!$AC$27:$AC$116,"погашение займов и кредитов из амортизации")</f>
        <v>0</v>
      </c>
      <c r="AZ404" s="1148">
        <f ca="1">SUMIFS('ИП + источники'!BA$27:BA$116,'ИП + источники'!$F$27:$F$116,$F404,'ИП + источники'!$AC$27:$AC$116,"Амортизационные отчисления")+SUMIFS('ИП + источники'!BA$27:BA$116,'ИП + источники'!$F$27:$F$116,$F404,'ИП + источники'!$AC$27:$AC$116,"погашение займов и кредитов из амортизации")</f>
        <v>0</v>
      </c>
      <c r="BA404" s="1514">
        <f ca="1">SUMIFS('ИП + источники'!BB$27:BB$116,'ИП + источники'!$F$27:$F$116,$F404,'ИП + источники'!$AC$27:$AC$116,"Амортизационные отчисления")+SUMIFS('ИП + источники'!BB$27:BB$116,'ИП + источники'!$F$27:$F$116,$F404,'ИП + источники'!$AC$27:$AC$116,"погашение займов и кредитов из амортизации")</f>
        <v>0</v>
      </c>
      <c r="BB404" s="1514">
        <f ca="1">SUMIFS('ИП + источники'!BC$27:BC$116,'ИП + источники'!$F$27:$F$116,$F404,'ИП + источники'!$AC$27:$AC$116,"Амортизационные отчисления")+SUMIFS('ИП + источники'!BC$27:BC$116,'ИП + источники'!$F$27:$F$116,$F404,'ИП + источники'!$AC$27:$AC$116,"погашение займов и кредитов из амортизации")</f>
        <v>0</v>
      </c>
      <c r="BC404" s="1514">
        <f ca="1">SUMIFS('ИП + источники'!BD$27:BD$116,'ИП + источники'!$F$27:$F$116,$F404,'ИП + источники'!$AC$27:$AC$116,"Амортизационные отчисления")+SUMIFS('ИП + источники'!BD$27:BD$116,'ИП + источники'!$F$27:$F$116,$F404,'ИП + источники'!$AC$27:$AC$116,"погашение займов и кредитов из амортизации")</f>
        <v>0</v>
      </c>
      <c r="BD404" s="1022">
        <f t="shared" ca="1" si="94"/>
        <v>60.827374147961791</v>
      </c>
      <c r="BE404" s="1022">
        <f t="shared" ca="1" si="95"/>
        <v>-100</v>
      </c>
      <c r="BF404" s="1022">
        <f t="shared" ca="1" si="96"/>
        <v>0</v>
      </c>
      <c r="BG404" s="1022">
        <f t="shared" ca="1" si="97"/>
        <v>0</v>
      </c>
      <c r="BH404" s="1022">
        <f t="shared" ca="1" si="98"/>
        <v>0</v>
      </c>
      <c r="BI404" s="1022">
        <f t="shared" ca="1" si="99"/>
        <v>0</v>
      </c>
      <c r="BJ404" s="1022">
        <f t="shared" ca="1" si="100"/>
        <v>0</v>
      </c>
      <c r="BK404" s="1022">
        <f t="shared" ca="1" si="101"/>
        <v>0</v>
      </c>
      <c r="BL404" s="1022">
        <f t="shared" ca="1" si="102"/>
        <v>0</v>
      </c>
      <c r="BM404" s="1022">
        <f t="shared" ca="1" si="103"/>
        <v>0</v>
      </c>
      <c r="BN404" s="1523" t="s">
        <v>2196</v>
      </c>
      <c r="BO404" s="1523"/>
      <c r="BP404" s="1523" t="s">
        <v>2194</v>
      </c>
      <c r="BQ404" s="1184"/>
      <c r="BR404" s="1184"/>
      <c r="BS404" s="973" t="s">
        <v>1786</v>
      </c>
      <c r="BT404" s="973"/>
      <c r="BU404" s="973"/>
      <c r="BV404" s="888"/>
      <c r="BW404" s="888"/>
    </row>
    <row r="405" spans="1:75" s="1552" customFormat="1" ht="20.25" customHeight="1" x14ac:dyDescent="0.25">
      <c r="A405" s="623"/>
      <c r="B405" s="354" t="b" cm="1">
        <f t="array" ref="B405">B404</f>
        <v>1</v>
      </c>
      <c r="C405" s="28"/>
      <c r="D405" s="28"/>
      <c r="E405" s="745">
        <v>21</v>
      </c>
      <c r="F405" s="3" t="str" cm="1">
        <f t="array" aca="1" ref="F405" ca="1">OFFSET(E405,-1,1)</f>
        <v>2</v>
      </c>
      <c r="G405" s="26" t="s">
        <v>1472</v>
      </c>
      <c r="H405" s="26"/>
      <c r="I405" s="26" t="s">
        <v>334</v>
      </c>
      <c r="J405" s="28"/>
      <c r="K405" s="77"/>
      <c r="L405" s="894" t="s">
        <v>591</v>
      </c>
      <c r="M405" s="28"/>
      <c r="N405" s="28"/>
      <c r="O405" s="28"/>
      <c r="P405" s="28"/>
      <c r="Q405" s="28"/>
      <c r="R405" s="28"/>
      <c r="S405" s="28"/>
      <c r="T405" s="388" t="b" cm="1">
        <f t="array" aca="1" ref="T405" ca="1">T404</f>
        <v>1</v>
      </c>
      <c r="U405" s="28"/>
      <c r="V405" s="28"/>
      <c r="W405" s="28"/>
      <c r="X405" s="2066"/>
      <c r="Y405" s="623"/>
      <c r="Z405" s="2012"/>
      <c r="AA405" s="623"/>
      <c r="AB405" s="130" t="s">
        <v>444</v>
      </c>
      <c r="AC405" s="131" t="s">
        <v>1472</v>
      </c>
      <c r="AD405" s="153" t="s">
        <v>831</v>
      </c>
      <c r="AE405" s="132">
        <f ca="1">AE406+AE407+AE408+AE409</f>
        <v>0</v>
      </c>
      <c r="AF405" s="132">
        <f ca="1">AF406+AF407+AF408+AF409</f>
        <v>0</v>
      </c>
      <c r="AG405" s="132">
        <f ca="1">AG406+AG407+AG408+AG409</f>
        <v>0</v>
      </c>
      <c r="AH405" s="132">
        <f t="shared" ca="1" si="92"/>
        <v>0</v>
      </c>
      <c r="AI405" s="132">
        <f t="shared" ref="AI405:BC405" ca="1" si="107">AI406+AI407+AI408+AI409</f>
        <v>0</v>
      </c>
      <c r="AJ405" s="132">
        <f t="shared" ca="1" si="107"/>
        <v>0</v>
      </c>
      <c r="AK405" s="132">
        <f t="shared" ca="1" si="107"/>
        <v>0</v>
      </c>
      <c r="AL405" s="132">
        <f t="shared" ca="1" si="107"/>
        <v>0</v>
      </c>
      <c r="AM405" s="132">
        <f t="shared" ca="1" si="107"/>
        <v>0</v>
      </c>
      <c r="AN405" s="132">
        <f t="shared" ca="1" si="107"/>
        <v>0</v>
      </c>
      <c r="AO405" s="132">
        <f t="shared" ca="1" si="107"/>
        <v>0</v>
      </c>
      <c r="AP405" s="132">
        <f t="shared" ca="1" si="107"/>
        <v>0</v>
      </c>
      <c r="AQ405" s="132">
        <f t="shared" ca="1" si="107"/>
        <v>0</v>
      </c>
      <c r="AR405" s="132">
        <f t="shared" ca="1" si="107"/>
        <v>0</v>
      </c>
      <c r="AS405" s="132">
        <f t="shared" ca="1" si="107"/>
        <v>0</v>
      </c>
      <c r="AT405" s="132">
        <f t="shared" ca="1" si="107"/>
        <v>0</v>
      </c>
      <c r="AU405" s="132">
        <f t="shared" ca="1" si="107"/>
        <v>0</v>
      </c>
      <c r="AV405" s="132">
        <f t="shared" ca="1" si="107"/>
        <v>0</v>
      </c>
      <c r="AW405" s="132">
        <f t="shared" ca="1" si="107"/>
        <v>0</v>
      </c>
      <c r="AX405" s="132">
        <f t="shared" ca="1" si="107"/>
        <v>0</v>
      </c>
      <c r="AY405" s="132">
        <f t="shared" ca="1" si="107"/>
        <v>0</v>
      </c>
      <c r="AZ405" s="132">
        <f t="shared" ca="1" si="107"/>
        <v>0</v>
      </c>
      <c r="BA405" s="132">
        <f t="shared" ca="1" si="107"/>
        <v>0</v>
      </c>
      <c r="BB405" s="132">
        <f t="shared" ca="1" si="107"/>
        <v>0</v>
      </c>
      <c r="BC405" s="132">
        <f t="shared" ca="1" si="107"/>
        <v>0</v>
      </c>
      <c r="BD405" s="698">
        <f t="shared" ca="1" si="94"/>
        <v>0</v>
      </c>
      <c r="BE405" s="698">
        <f t="shared" ca="1" si="95"/>
        <v>0</v>
      </c>
      <c r="BF405" s="698">
        <f t="shared" ca="1" si="96"/>
        <v>0</v>
      </c>
      <c r="BG405" s="698">
        <f t="shared" ca="1" si="97"/>
        <v>0</v>
      </c>
      <c r="BH405" s="698">
        <f t="shared" ca="1" si="98"/>
        <v>0</v>
      </c>
      <c r="BI405" s="698">
        <f t="shared" ca="1" si="99"/>
        <v>0</v>
      </c>
      <c r="BJ405" s="698">
        <f t="shared" ca="1" si="100"/>
        <v>0</v>
      </c>
      <c r="BK405" s="698">
        <f t="shared" ca="1" si="101"/>
        <v>0</v>
      </c>
      <c r="BL405" s="698">
        <f t="shared" ca="1" si="102"/>
        <v>0</v>
      </c>
      <c r="BM405" s="698">
        <f t="shared" ca="1" si="103"/>
        <v>0</v>
      </c>
      <c r="BN405" s="1523"/>
      <c r="BO405" s="1523"/>
      <c r="BP405" s="1523"/>
      <c r="BQ405" s="623"/>
      <c r="BR405" s="623"/>
      <c r="BS405" s="972" t="s">
        <v>1476</v>
      </c>
      <c r="BT405" s="979"/>
      <c r="BU405" s="979"/>
      <c r="BV405" s="630"/>
      <c r="BW405" s="630"/>
    </row>
    <row r="406" spans="1:75" s="1334" customFormat="1" ht="14.25" customHeight="1" x14ac:dyDescent="0.15">
      <c r="A406" s="1184"/>
      <c r="B406" s="354" t="b" cm="1">
        <f t="array" ref="B406">B405</f>
        <v>1</v>
      </c>
      <c r="C406" s="26"/>
      <c r="D406" s="26"/>
      <c r="E406" s="545">
        <v>15</v>
      </c>
      <c r="F406" s="3" t="str" cm="1">
        <f t="array" aca="1" ref="F406" ca="1">OFFSET(E406,-1,1)</f>
        <v>2</v>
      </c>
      <c r="G406" s="26"/>
      <c r="H406" s="26"/>
      <c r="I406" s="26" t="s">
        <v>579</v>
      </c>
      <c r="J406" s="26"/>
      <c r="K406" s="1184"/>
      <c r="L406" s="889"/>
      <c r="M406" s="26"/>
      <c r="N406" s="26"/>
      <c r="O406" s="26"/>
      <c r="P406" s="26"/>
      <c r="Q406" s="26"/>
      <c r="R406" s="26"/>
      <c r="S406" s="26"/>
      <c r="T406" s="388" t="b" cm="1">
        <f t="array" aca="1" ref="T406" ca="1">T405</f>
        <v>1</v>
      </c>
      <c r="U406" s="26"/>
      <c r="V406" s="26"/>
      <c r="W406" s="26"/>
      <c r="X406" s="2066"/>
      <c r="Y406" s="1184"/>
      <c r="Z406" s="2012"/>
      <c r="AA406" s="1184"/>
      <c r="AB406" s="218" t="s">
        <v>707</v>
      </c>
      <c r="AC406" s="682" t="s">
        <v>2086</v>
      </c>
      <c r="AD406" s="218" t="s">
        <v>831</v>
      </c>
      <c r="AE406" s="1514">
        <f ca="1">SUMIFS('ИП + источники'!AF$27:AF$116,'ИП + источники'!$F$27:$F$116,$F406,'ИП + источники'!$AC$27:$AC$116,"погашение займов и кредитов из нормативной прибыли")</f>
        <v>0</v>
      </c>
      <c r="AF406" s="1514">
        <f ca="1">SUMIFS('ИП + источники'!AG$27:AG$116,'ИП + источники'!$F$27:$F$116,$F406,'ИП + источники'!$AC$27:$AC$116,"погашение займов и кредитов из нормативной прибыли")</f>
        <v>0</v>
      </c>
      <c r="AG406" s="1514">
        <f ca="1">SUMIFS('ИП + источники'!AH$27:AH$116,'ИП + источники'!$F$27:$F$116,$F406,'ИП + источники'!$AC$27:$AC$116,"погашение займов и кредитов из нормативной прибыли")</f>
        <v>0</v>
      </c>
      <c r="AH406" s="1022">
        <f t="shared" ca="1" si="92"/>
        <v>0</v>
      </c>
      <c r="AI406" s="1514">
        <f ca="1">SUMIFS('ИП + источники'!AJ$27:AJ$116,'ИП + источники'!$F$27:$F$116,$F406,'ИП + источники'!$AC$27:$AC$116,"погашение займов и кредитов из нормативной прибыли")</f>
        <v>0</v>
      </c>
      <c r="AJ406" s="1514">
        <f ca="1">SUMIFS('ИП + источники'!AK$27:AK$116,'ИП + источники'!$F$27:$F$116,$F406,'ИП + источники'!$AC$27:$AC$116,"погашение займов и кредитов из нормативной прибыли")</f>
        <v>0</v>
      </c>
      <c r="AK406" s="1148">
        <f ca="1">SUMIFS('ИП + источники'!AL$27:AL$116,'ИП + источники'!$F$27:$F$116,$F406,'ИП + источники'!$AC$27:$AC$116,"погашение займов и кредитов из нормативной прибыли")</f>
        <v>0</v>
      </c>
      <c r="AL406" s="1148">
        <f ca="1">SUMIFS('ИП + источники'!AM$27:AM$116,'ИП + источники'!$F$27:$F$116,$F406,'ИП + источники'!$AC$27:$AC$116,"погашение займов и кредитов из нормативной прибыли")</f>
        <v>0</v>
      </c>
      <c r="AM406" s="1148">
        <f ca="1">SUMIFS('ИП + источники'!AN$27:AN$116,'ИП + источники'!$F$27:$F$116,$F406,'ИП + источники'!$AC$27:$AC$116,"погашение займов и кредитов из нормативной прибыли")</f>
        <v>0</v>
      </c>
      <c r="AN406" s="1148">
        <f ca="1">SUMIFS('ИП + источники'!AO$27:AO$116,'ИП + источники'!$F$27:$F$116,$F406,'ИП + источники'!$AC$27:$AC$116,"погашение займов и кредитов из нормативной прибыли")</f>
        <v>0</v>
      </c>
      <c r="AO406" s="1148">
        <f ca="1">SUMIFS('ИП + источники'!AP$27:AP$116,'ИП + источники'!$F$27:$F$116,$F406,'ИП + источники'!$AC$27:$AC$116,"погашение займов и кредитов из нормативной прибыли")</f>
        <v>0</v>
      </c>
      <c r="AP406" s="1148">
        <f ca="1">SUMIFS('ИП + источники'!AQ$27:AQ$116,'ИП + источники'!$F$27:$F$116,$F406,'ИП + источники'!$AC$27:$AC$116,"погашение займов и кредитов из нормативной прибыли")</f>
        <v>0</v>
      </c>
      <c r="AQ406" s="1514">
        <f ca="1">SUMIFS('ИП + источники'!AR$27:AR$116,'ИП + источники'!$F$27:$F$116,$F406,'ИП + источники'!$AC$27:$AC$116,"погашение займов и кредитов из нормативной прибыли")</f>
        <v>0</v>
      </c>
      <c r="AR406" s="1514">
        <f ca="1">SUMIFS('ИП + источники'!AS$27:AS$116,'ИП + источники'!$F$27:$F$116,$F406,'ИП + источники'!$AC$27:$AC$116,"погашение займов и кредитов из нормативной прибыли")</f>
        <v>0</v>
      </c>
      <c r="AS406" s="1514">
        <f ca="1">SUMIFS('ИП + источники'!AT$27:AT$116,'ИП + источники'!$F$27:$F$116,$F406,'ИП + источники'!$AC$27:$AC$116,"погашение займов и кредитов из нормативной прибыли")</f>
        <v>0</v>
      </c>
      <c r="AT406" s="1514">
        <f ca="1">SUMIFS('ИП + источники'!AU$27:AU$116,'ИП + источники'!$F$27:$F$116,$F406,'ИП + источники'!$AC$27:$AC$116,"погашение займов и кредитов из нормативной прибыли")</f>
        <v>0</v>
      </c>
      <c r="AU406" s="1148">
        <f ca="1">SUMIFS('ИП + источники'!AV$27:AV$116,'ИП + источники'!$F$27:$F$116,$F406,'ИП + источники'!$AC$27:$AC$116,"погашение займов и кредитов из нормативной прибыли")</f>
        <v>0</v>
      </c>
      <c r="AV406" s="1148">
        <f ca="1">SUMIFS('ИП + источники'!AW$27:AW$116,'ИП + источники'!$F$27:$F$116,$F406,'ИП + источники'!$AC$27:$AC$116,"погашение займов и кредитов из нормативной прибыли")</f>
        <v>0</v>
      </c>
      <c r="AW406" s="1148">
        <f ca="1">SUMIFS('ИП + источники'!AX$27:AX$116,'ИП + источники'!$F$27:$F$116,$F406,'ИП + источники'!$AC$27:$AC$116,"погашение займов и кредитов из нормативной прибыли")</f>
        <v>0</v>
      </c>
      <c r="AX406" s="1148">
        <f ca="1">SUMIFS('ИП + источники'!AY$27:AY$116,'ИП + источники'!$F$27:$F$116,$F406,'ИП + источники'!$AC$27:$AC$116,"погашение займов и кредитов из нормативной прибыли")</f>
        <v>0</v>
      </c>
      <c r="AY406" s="1148">
        <f ca="1">SUMIFS('ИП + источники'!AZ$27:AZ$116,'ИП + источники'!$F$27:$F$116,$F406,'ИП + источники'!$AC$27:$AC$116,"погашение займов и кредитов из нормативной прибыли")</f>
        <v>0</v>
      </c>
      <c r="AZ406" s="1148">
        <f ca="1">SUMIFS('ИП + источники'!BA$27:BA$116,'ИП + источники'!$F$27:$F$116,$F406,'ИП + источники'!$AC$27:$AC$116,"погашение займов и кредитов из нормативной прибыли")</f>
        <v>0</v>
      </c>
      <c r="BA406" s="1514">
        <f ca="1">SUMIFS('ИП + источники'!BB$27:BB$116,'ИП + источники'!$F$27:$F$116,$F406,'ИП + источники'!$AC$27:$AC$116,"погашение займов и кредитов из нормативной прибыли")</f>
        <v>0</v>
      </c>
      <c r="BB406" s="1514">
        <f ca="1">SUMIFS('ИП + источники'!BC$27:BC$116,'ИП + источники'!$F$27:$F$116,$F406,'ИП + источники'!$AC$27:$AC$116,"погашение займов и кредитов из нормативной прибыли")</f>
        <v>0</v>
      </c>
      <c r="BC406" s="1514">
        <f ca="1">SUMIFS('ИП + источники'!BD$27:BD$116,'ИП + источники'!$F$27:$F$116,$F406,'ИП + источники'!$AC$27:$AC$116,"погашение займов и кредитов из нормативной прибыли")</f>
        <v>0</v>
      </c>
      <c r="BD406" s="1022">
        <f t="shared" ca="1" si="94"/>
        <v>0</v>
      </c>
      <c r="BE406" s="1022">
        <f t="shared" ca="1" si="95"/>
        <v>0</v>
      </c>
      <c r="BF406" s="1022">
        <f t="shared" ca="1" si="96"/>
        <v>0</v>
      </c>
      <c r="BG406" s="1022">
        <f t="shared" ca="1" si="97"/>
        <v>0</v>
      </c>
      <c r="BH406" s="1022">
        <f t="shared" ca="1" si="98"/>
        <v>0</v>
      </c>
      <c r="BI406" s="1022">
        <f t="shared" ca="1" si="99"/>
        <v>0</v>
      </c>
      <c r="BJ406" s="1022">
        <f t="shared" ca="1" si="100"/>
        <v>0</v>
      </c>
      <c r="BK406" s="1022">
        <f t="shared" ca="1" si="101"/>
        <v>0</v>
      </c>
      <c r="BL406" s="1022">
        <f t="shared" ca="1" si="102"/>
        <v>0</v>
      </c>
      <c r="BM406" s="1022">
        <f t="shared" ca="1" si="103"/>
        <v>0</v>
      </c>
      <c r="BN406" s="1523"/>
      <c r="BO406" s="1525" t="str">
        <f ca="1">IF(IFERROR(INDEX('ИП + источники'!$K$28:$L$116,MATCH($F406&amp;"2komm",'ИП + источники'!$K$28:$K$116,0),2),"")=0,"",IFERROR(INDEX('ИП + источники'!$K$28:$L$116,MATCH($F406&amp;"2komm",'ИП + источники'!$K$28:$K$116,0),2),""))</f>
        <v/>
      </c>
      <c r="BP406" s="1523"/>
      <c r="BQ406" s="1184"/>
      <c r="BR406" s="1184"/>
      <c r="BS406" s="973" t="s">
        <v>2087</v>
      </c>
      <c r="BT406" s="973"/>
      <c r="BU406" s="973"/>
      <c r="BV406" s="888"/>
      <c r="BW406" s="888"/>
    </row>
    <row r="407" spans="1:75" s="1334" customFormat="1" ht="14.25" customHeight="1" x14ac:dyDescent="0.15">
      <c r="A407" s="1184"/>
      <c r="B407" s="354" t="b" cm="1">
        <f t="array" ref="B407">B406</f>
        <v>1</v>
      </c>
      <c r="C407" s="26"/>
      <c r="D407" s="26"/>
      <c r="E407" s="545">
        <v>15</v>
      </c>
      <c r="F407" s="3" t="str" cm="1">
        <f t="array" aca="1" ref="F407" ca="1">OFFSET(E407,-1,1)</f>
        <v>2</v>
      </c>
      <c r="G407" s="26"/>
      <c r="H407" s="26"/>
      <c r="I407" s="26" t="s">
        <v>583</v>
      </c>
      <c r="J407" s="26"/>
      <c r="K407" s="1184"/>
      <c r="L407" s="889"/>
      <c r="M407" s="26"/>
      <c r="N407" s="26"/>
      <c r="O407" s="26"/>
      <c r="P407" s="26"/>
      <c r="Q407" s="26"/>
      <c r="R407" s="26"/>
      <c r="S407" s="26"/>
      <c r="T407" s="388" t="b" cm="1">
        <f t="array" aca="1" ref="T407" ca="1">T406</f>
        <v>1</v>
      </c>
      <c r="U407" s="26"/>
      <c r="V407" s="26"/>
      <c r="W407" s="26"/>
      <c r="X407" s="2066"/>
      <c r="Y407" s="1184"/>
      <c r="Z407" s="2012"/>
      <c r="AA407" s="1184"/>
      <c r="AB407" s="218" t="s">
        <v>710</v>
      </c>
      <c r="AC407" s="682" t="s">
        <v>2088</v>
      </c>
      <c r="AD407" s="218" t="s">
        <v>831</v>
      </c>
      <c r="AE407" s="1514">
        <f ca="1">SUMIFS('ИП + источники'!AF$27:AF$116,'ИП + источники'!$F$27:$F$116,$F407,'ИП + источники'!$AC$27:$AC$116,"уплата процентов по кредитам из нормативной прибыли")</f>
        <v>0</v>
      </c>
      <c r="AF407" s="1514">
        <f ca="1">SUMIFS('ИП + источники'!AG$27:AG$116,'ИП + источники'!$F$27:$F$116,$F407,'ИП + источники'!$AC$27:$AC$116,"уплата процентов по кредитам из нормативной прибыли")</f>
        <v>0</v>
      </c>
      <c r="AG407" s="1514">
        <f ca="1">SUMIFS('ИП + источники'!AH$27:AH$116,'ИП + источники'!$F$27:$F$116,$F407,'ИП + источники'!$AC$27:$AC$116,"уплата процентов по кредитам из нормативной прибыли")</f>
        <v>0</v>
      </c>
      <c r="AH407" s="1022">
        <f t="shared" ca="1" si="92"/>
        <v>0</v>
      </c>
      <c r="AI407" s="1514">
        <f ca="1">SUMIFS('ИП + источники'!AJ$27:AJ$116,'ИП + источники'!$F$27:$F$116,$F407,'ИП + источники'!$AC$27:$AC$116,"уплата процентов по кредитам из нормативной прибыли")</f>
        <v>0</v>
      </c>
      <c r="AJ407" s="1514">
        <f ca="1">SUMIFS('ИП + источники'!AK$27:AK$116,'ИП + источники'!$F$27:$F$116,$F407,'ИП + источники'!$AC$27:$AC$116,"уплата процентов по кредитам из нормативной прибыли")</f>
        <v>0</v>
      </c>
      <c r="AK407" s="1148">
        <f ca="1">SUMIFS('ИП + источники'!AL$27:AL$116,'ИП + источники'!$F$27:$F$116,$F407,'ИП + источники'!$AC$27:$AC$116,"уплата процентов по кредитам из нормативной прибыли")</f>
        <v>0</v>
      </c>
      <c r="AL407" s="1148">
        <f ca="1">SUMIFS('ИП + источники'!AM$27:AM$116,'ИП + источники'!$F$27:$F$116,$F407,'ИП + источники'!$AC$27:$AC$116,"уплата процентов по кредитам из нормативной прибыли")</f>
        <v>0</v>
      </c>
      <c r="AM407" s="1148">
        <f ca="1">SUMIFS('ИП + источники'!AN$27:AN$116,'ИП + источники'!$F$27:$F$116,$F407,'ИП + источники'!$AC$27:$AC$116,"уплата процентов по кредитам из нормативной прибыли")</f>
        <v>0</v>
      </c>
      <c r="AN407" s="1148">
        <f ca="1">SUMIFS('ИП + источники'!AO$27:AO$116,'ИП + источники'!$F$27:$F$116,$F407,'ИП + источники'!$AC$27:$AC$116,"уплата процентов по кредитам из нормативной прибыли")</f>
        <v>0</v>
      </c>
      <c r="AO407" s="1148">
        <f ca="1">SUMIFS('ИП + источники'!AP$27:AP$116,'ИП + источники'!$F$27:$F$116,$F407,'ИП + источники'!$AC$27:$AC$116,"уплата процентов по кредитам из нормативной прибыли")</f>
        <v>0</v>
      </c>
      <c r="AP407" s="1148">
        <f ca="1">SUMIFS('ИП + источники'!AQ$27:AQ$116,'ИП + источники'!$F$27:$F$116,$F407,'ИП + источники'!$AC$27:$AC$116,"уплата процентов по кредитам из нормативной прибыли")</f>
        <v>0</v>
      </c>
      <c r="AQ407" s="1514">
        <f ca="1">SUMIFS('ИП + источники'!AR$27:AR$116,'ИП + источники'!$F$27:$F$116,$F407,'ИП + источники'!$AC$27:$AC$116,"уплата процентов по кредитам из нормативной прибыли")</f>
        <v>0</v>
      </c>
      <c r="AR407" s="1514">
        <f ca="1">SUMIFS('ИП + источники'!AS$27:AS$116,'ИП + источники'!$F$27:$F$116,$F407,'ИП + источники'!$AC$27:$AC$116,"уплата процентов по кредитам из нормативной прибыли")</f>
        <v>0</v>
      </c>
      <c r="AS407" s="1514">
        <f ca="1">SUMIFS('ИП + источники'!AT$27:AT$116,'ИП + источники'!$F$27:$F$116,$F407,'ИП + источники'!$AC$27:$AC$116,"уплата процентов по кредитам из нормативной прибыли")</f>
        <v>0</v>
      </c>
      <c r="AT407" s="1514">
        <f ca="1">SUMIFS('ИП + источники'!AU$27:AU$116,'ИП + источники'!$F$27:$F$116,$F407,'ИП + источники'!$AC$27:$AC$116,"уплата процентов по кредитам из нормативной прибыли")</f>
        <v>0</v>
      </c>
      <c r="AU407" s="1148">
        <f ca="1">SUMIFS('ИП + источники'!AV$27:AV$116,'ИП + источники'!$F$27:$F$116,$F407,'ИП + источники'!$AC$27:$AC$116,"уплата процентов по кредитам из нормативной прибыли")</f>
        <v>0</v>
      </c>
      <c r="AV407" s="1148">
        <f ca="1">SUMIFS('ИП + источники'!AW$27:AW$116,'ИП + источники'!$F$27:$F$116,$F407,'ИП + источники'!$AC$27:$AC$116,"уплата процентов по кредитам из нормативной прибыли")</f>
        <v>0</v>
      </c>
      <c r="AW407" s="1148">
        <f ca="1">SUMIFS('ИП + источники'!AX$27:AX$116,'ИП + источники'!$F$27:$F$116,$F407,'ИП + источники'!$AC$27:$AC$116,"уплата процентов по кредитам из нормативной прибыли")</f>
        <v>0</v>
      </c>
      <c r="AX407" s="1148">
        <f ca="1">SUMIFS('ИП + источники'!AY$27:AY$116,'ИП + источники'!$F$27:$F$116,$F407,'ИП + источники'!$AC$27:$AC$116,"уплата процентов по кредитам из нормативной прибыли")</f>
        <v>0</v>
      </c>
      <c r="AY407" s="1148">
        <f ca="1">SUMIFS('ИП + источники'!AZ$27:AZ$116,'ИП + источники'!$F$27:$F$116,$F407,'ИП + источники'!$AC$27:$AC$116,"уплата процентов по кредитам из нормативной прибыли")</f>
        <v>0</v>
      </c>
      <c r="AZ407" s="1148">
        <f ca="1">SUMIFS('ИП + источники'!BA$27:BA$116,'ИП + источники'!$F$27:$F$116,$F407,'ИП + источники'!$AC$27:$AC$116,"уплата процентов по кредитам из нормативной прибыли")</f>
        <v>0</v>
      </c>
      <c r="BA407" s="1514">
        <f ca="1">SUMIFS('ИП + источники'!BB$27:BB$116,'ИП + источники'!$F$27:$F$116,$F407,'ИП + источники'!$AC$27:$AC$116,"уплата процентов по кредитам из нормативной прибыли")</f>
        <v>0</v>
      </c>
      <c r="BB407" s="1514">
        <f ca="1">SUMIFS('ИП + источники'!BC$27:BC$116,'ИП + источники'!$F$27:$F$116,$F407,'ИП + источники'!$AC$27:$AC$116,"уплата процентов по кредитам из нормативной прибыли")</f>
        <v>0</v>
      </c>
      <c r="BC407" s="1514">
        <f ca="1">SUMIFS('ИП + источники'!BD$27:BD$116,'ИП + источники'!$F$27:$F$116,$F407,'ИП + источники'!$AC$27:$AC$116,"уплата процентов по кредитам из нормативной прибыли")</f>
        <v>0</v>
      </c>
      <c r="BD407" s="1022">
        <f t="shared" ca="1" si="94"/>
        <v>0</v>
      </c>
      <c r="BE407" s="1022">
        <f t="shared" ca="1" si="95"/>
        <v>0</v>
      </c>
      <c r="BF407" s="1022">
        <f t="shared" ca="1" si="96"/>
        <v>0</v>
      </c>
      <c r="BG407" s="1022">
        <f t="shared" ca="1" si="97"/>
        <v>0</v>
      </c>
      <c r="BH407" s="1022">
        <f t="shared" ca="1" si="98"/>
        <v>0</v>
      </c>
      <c r="BI407" s="1022">
        <f t="shared" ca="1" si="99"/>
        <v>0</v>
      </c>
      <c r="BJ407" s="1022">
        <f t="shared" ca="1" si="100"/>
        <v>0</v>
      </c>
      <c r="BK407" s="1022">
        <f t="shared" ca="1" si="101"/>
        <v>0</v>
      </c>
      <c r="BL407" s="1022">
        <f t="shared" ca="1" si="102"/>
        <v>0</v>
      </c>
      <c r="BM407" s="1022">
        <f t="shared" ca="1" si="103"/>
        <v>0</v>
      </c>
      <c r="BN407" s="1523"/>
      <c r="BO407" s="1525" t="str">
        <f ca="1">IF(IFERROR(INDEX('ИП + источники'!$K$28:$L$116,MATCH($F407&amp;"3komm",'ИП + источники'!$K$28:$K$116,0),2),"")=0,"",IFERROR(INDEX('ИП + источники'!$K$28:$L$116,MATCH($F407&amp;"3komm",'ИП + источники'!$K$28:$K$116,0),2),""))</f>
        <v/>
      </c>
      <c r="BP407" s="1523"/>
      <c r="BQ407" s="1184"/>
      <c r="BR407" s="1184"/>
      <c r="BS407" s="973" t="s">
        <v>2089</v>
      </c>
      <c r="BT407" s="973"/>
      <c r="BU407" s="973"/>
      <c r="BV407" s="888"/>
      <c r="BW407" s="888"/>
    </row>
    <row r="408" spans="1:75" s="1334" customFormat="1" ht="14.25" customHeight="1" x14ac:dyDescent="0.15">
      <c r="A408" s="1184"/>
      <c r="B408" s="354" t="b" cm="1">
        <f t="array" ref="B408">B407</f>
        <v>1</v>
      </c>
      <c r="C408" s="26"/>
      <c r="D408" s="26"/>
      <c r="E408" s="545">
        <v>15</v>
      </c>
      <c r="F408" s="3" t="str" cm="1">
        <f t="array" aca="1" ref="F408" ca="1">OFFSET(E408,-1,1)</f>
        <v>2</v>
      </c>
      <c r="G408" s="26"/>
      <c r="H408" s="26"/>
      <c r="I408" s="26" t="s">
        <v>795</v>
      </c>
      <c r="J408" s="26"/>
      <c r="K408" s="1184"/>
      <c r="L408" s="889" t="s">
        <v>598</v>
      </c>
      <c r="M408" s="26"/>
      <c r="N408" s="26"/>
      <c r="O408" s="26"/>
      <c r="P408" s="26"/>
      <c r="Q408" s="26"/>
      <c r="R408" s="26"/>
      <c r="S408" s="26"/>
      <c r="T408" s="388" t="b" cm="1">
        <f t="array" aca="1" ref="T408" ca="1">T407</f>
        <v>1</v>
      </c>
      <c r="U408" s="26"/>
      <c r="V408" s="26"/>
      <c r="W408" s="26"/>
      <c r="X408" s="2066"/>
      <c r="Y408" s="1184"/>
      <c r="Z408" s="2012"/>
      <c r="AA408" s="1184"/>
      <c r="AB408" s="218" t="s">
        <v>965</v>
      </c>
      <c r="AC408" s="682" t="s">
        <v>2090</v>
      </c>
      <c r="AD408" s="218" t="s">
        <v>831</v>
      </c>
      <c r="AE408" s="1514">
        <f ca="1">SUMIFS('ИП + источники'!AF$27:AF$116,'ИП + источники'!$F$27:$F$116,$F408,'ИП + источники'!$AC$27:$AC$116,"Прибыль на капвложения")</f>
        <v>0</v>
      </c>
      <c r="AF408" s="1514">
        <f ca="1">SUMIFS('ИП + источники'!AG$27:AG$116,'ИП + источники'!$F$27:$F$116,$F408,'ИП + источники'!$AC$27:$AC$116,"Прибыль на капвложения")</f>
        <v>0</v>
      </c>
      <c r="AG408" s="1514">
        <f ca="1">SUMIFS('ИП + источники'!AH$27:AH$116,'ИП + источники'!$F$27:$F$116,$F408,'ИП + источники'!$AC$27:$AC$116,"Прибыль на капвложения")</f>
        <v>0</v>
      </c>
      <c r="AH408" s="1022">
        <f t="shared" ca="1" si="92"/>
        <v>0</v>
      </c>
      <c r="AI408" s="1514">
        <f ca="1">SUMIFS('ИП + источники'!AJ$27:AJ$116,'ИП + источники'!$F$27:$F$116,$F408,'ИП + источники'!$AC$27:$AC$116,"Прибыль на капвложения")</f>
        <v>0</v>
      </c>
      <c r="AJ408" s="1514">
        <f ca="1">SUMIFS('ИП + источники'!AK$27:AK$116,'ИП + источники'!$F$27:$F$116,$F408,'ИП + источники'!$AC$27:$AC$116,"Прибыль на капвложения")</f>
        <v>0</v>
      </c>
      <c r="AK408" s="1148">
        <f ca="1">SUMIFS('ИП + источники'!AL$27:AL$116,'ИП + источники'!$F$27:$F$116,$F408,'ИП + источники'!$AC$27:$AC$116,"Прибыль на капвложения")</f>
        <v>0</v>
      </c>
      <c r="AL408" s="1148">
        <f ca="1">SUMIFS('ИП + источники'!AM$27:AM$116,'ИП + источники'!$F$27:$F$116,$F408,'ИП + источники'!$AC$27:$AC$116,"Прибыль на капвложения")</f>
        <v>0</v>
      </c>
      <c r="AM408" s="1148">
        <f ca="1">SUMIFS('ИП + источники'!AN$27:AN$116,'ИП + источники'!$F$27:$F$116,$F408,'ИП + источники'!$AC$27:$AC$116,"Прибыль на капвложения")</f>
        <v>0</v>
      </c>
      <c r="AN408" s="1148">
        <f ca="1">SUMIFS('ИП + источники'!AO$27:AO$116,'ИП + источники'!$F$27:$F$116,$F408,'ИП + источники'!$AC$27:$AC$116,"Прибыль на капвложения")</f>
        <v>0</v>
      </c>
      <c r="AO408" s="1148">
        <f ca="1">SUMIFS('ИП + источники'!AP$27:AP$116,'ИП + источники'!$F$27:$F$116,$F408,'ИП + источники'!$AC$27:$AC$116,"Прибыль на капвложения")</f>
        <v>0</v>
      </c>
      <c r="AP408" s="1148">
        <f ca="1">SUMIFS('ИП + источники'!AQ$27:AQ$116,'ИП + источники'!$F$27:$F$116,$F408,'ИП + источники'!$AC$27:$AC$116,"Прибыль на капвложения")</f>
        <v>0</v>
      </c>
      <c r="AQ408" s="1514">
        <f ca="1">SUMIFS('ИП + источники'!AR$27:AR$116,'ИП + источники'!$F$27:$F$116,$F408,'ИП + источники'!$AC$27:$AC$116,"Прибыль на капвложения")</f>
        <v>0</v>
      </c>
      <c r="AR408" s="1514">
        <f ca="1">SUMIFS('ИП + источники'!AS$27:AS$116,'ИП + источники'!$F$27:$F$116,$F408,'ИП + источники'!$AC$27:$AC$116,"Прибыль на капвложения")</f>
        <v>0</v>
      </c>
      <c r="AS408" s="1514">
        <f ca="1">SUMIFS('ИП + источники'!AT$27:AT$116,'ИП + источники'!$F$27:$F$116,$F408,'ИП + источники'!$AC$27:$AC$116,"Прибыль на капвложения")</f>
        <v>0</v>
      </c>
      <c r="AT408" s="1514">
        <f ca="1">SUMIFS('ИП + источники'!AU$27:AU$116,'ИП + источники'!$F$27:$F$116,$F408,'ИП + источники'!$AC$27:$AC$116,"Прибыль на капвложения")</f>
        <v>0</v>
      </c>
      <c r="AU408" s="1148">
        <f ca="1">SUMIFS('ИП + источники'!AV$27:AV$116,'ИП + источники'!$F$27:$F$116,$F408,'ИП + источники'!$AC$27:$AC$116,"Прибыль на капвложения")</f>
        <v>0</v>
      </c>
      <c r="AV408" s="1148">
        <f ca="1">SUMIFS('ИП + источники'!AW$27:AW$116,'ИП + источники'!$F$27:$F$116,$F408,'ИП + источники'!$AC$27:$AC$116,"Прибыль на капвложения")</f>
        <v>0</v>
      </c>
      <c r="AW408" s="1148">
        <f ca="1">SUMIFS('ИП + источники'!AX$27:AX$116,'ИП + источники'!$F$27:$F$116,$F408,'ИП + источники'!$AC$27:$AC$116,"Прибыль на капвложения")</f>
        <v>0</v>
      </c>
      <c r="AX408" s="1148">
        <f ca="1">SUMIFS('ИП + источники'!AY$27:AY$116,'ИП + источники'!$F$27:$F$116,$F408,'ИП + источники'!$AC$27:$AC$116,"Прибыль на капвложения")</f>
        <v>0</v>
      </c>
      <c r="AY408" s="1148">
        <f ca="1">SUMIFS('ИП + источники'!AZ$27:AZ$116,'ИП + источники'!$F$27:$F$116,$F408,'ИП + источники'!$AC$27:$AC$116,"Прибыль на капвложения")</f>
        <v>0</v>
      </c>
      <c r="AZ408" s="1148">
        <f ca="1">SUMIFS('ИП + источники'!BA$27:BA$116,'ИП + источники'!$F$27:$F$116,$F408,'ИП + источники'!$AC$27:$AC$116,"Прибыль на капвложения")</f>
        <v>0</v>
      </c>
      <c r="BA408" s="1514">
        <f ca="1">SUMIFS('ИП + источники'!BB$27:BB$116,'ИП + источники'!$F$27:$F$116,$F408,'ИП + источники'!$AC$27:$AC$116,"Прибыль на капвложения")</f>
        <v>0</v>
      </c>
      <c r="BB408" s="1514">
        <f ca="1">SUMIFS('ИП + источники'!BC$27:BC$116,'ИП + источники'!$F$27:$F$116,$F408,'ИП + источники'!$AC$27:$AC$116,"Прибыль на капвложения")</f>
        <v>0</v>
      </c>
      <c r="BC408" s="1514">
        <f ca="1">SUMIFS('ИП + источники'!BD$27:BD$116,'ИП + источники'!$F$27:$F$116,$F408,'ИП + источники'!$AC$27:$AC$116,"Прибыль на капвложения")</f>
        <v>0</v>
      </c>
      <c r="BD408" s="1022">
        <f t="shared" ca="1" si="94"/>
        <v>0</v>
      </c>
      <c r="BE408" s="1022">
        <f t="shared" ca="1" si="95"/>
        <v>0</v>
      </c>
      <c r="BF408" s="1022">
        <f t="shared" ca="1" si="96"/>
        <v>0</v>
      </c>
      <c r="BG408" s="1022">
        <f t="shared" ca="1" si="97"/>
        <v>0</v>
      </c>
      <c r="BH408" s="1022">
        <f t="shared" ca="1" si="98"/>
        <v>0</v>
      </c>
      <c r="BI408" s="1022">
        <f t="shared" ca="1" si="99"/>
        <v>0</v>
      </c>
      <c r="BJ408" s="1022">
        <f t="shared" ca="1" si="100"/>
        <v>0</v>
      </c>
      <c r="BK408" s="1022">
        <f t="shared" ca="1" si="101"/>
        <v>0</v>
      </c>
      <c r="BL408" s="1022">
        <f t="shared" ca="1" si="102"/>
        <v>0</v>
      </c>
      <c r="BM408" s="1022">
        <f t="shared" ca="1" si="103"/>
        <v>0</v>
      </c>
      <c r="BN408" s="1523"/>
      <c r="BO408" s="1525" t="str">
        <f ca="1">IF(IFERROR(INDEX('ИП + источники'!$K$28:$L$116,MATCH($F408&amp;"1komm",'ИП + источники'!$K$28:$K$116,0),2),"")=0,"",IFERROR(INDEX('ИП + источники'!$K$28:$L$116,MATCH($F408&amp;"1komm",'ИП + источники'!$K$28:$K$116,0),2),""))</f>
        <v/>
      </c>
      <c r="BP408" s="1523"/>
      <c r="BQ408" s="1184"/>
      <c r="BR408" s="1184"/>
      <c r="BS408" s="973" t="s">
        <v>1793</v>
      </c>
      <c r="BT408" s="973"/>
      <c r="BU408" s="973"/>
      <c r="BV408" s="888"/>
      <c r="BW408" s="888"/>
    </row>
    <row r="409" spans="1:75" s="1334" customFormat="1" ht="21.75" customHeight="1" x14ac:dyDescent="0.15">
      <c r="A409" s="1184"/>
      <c r="B409" s="354" t="b" cm="1">
        <f t="array" ref="B409">B408</f>
        <v>1</v>
      </c>
      <c r="C409" s="26"/>
      <c r="D409" s="26"/>
      <c r="E409" s="545">
        <v>22.5</v>
      </c>
      <c r="F409" s="3" t="str" cm="1">
        <f t="array" aca="1" ref="F409" ca="1">OFFSET(E409,-1,1)</f>
        <v>2</v>
      </c>
      <c r="G409" s="26" t="s">
        <v>2091</v>
      </c>
      <c r="H409" s="26"/>
      <c r="I409" s="26" t="s">
        <v>967</v>
      </c>
      <c r="J409" s="26"/>
      <c r="K409" s="1184"/>
      <c r="L409" s="889" t="s">
        <v>602</v>
      </c>
      <c r="M409" s="26"/>
      <c r="N409" s="26"/>
      <c r="O409" s="26"/>
      <c r="P409" s="26"/>
      <c r="Q409" s="26"/>
      <c r="R409" s="26"/>
      <c r="S409" s="26"/>
      <c r="T409" s="388" t="b" cm="1">
        <f t="array" aca="1" ref="T409" ca="1">T408</f>
        <v>1</v>
      </c>
      <c r="U409" s="26"/>
      <c r="V409" s="26"/>
      <c r="W409" s="26"/>
      <c r="X409" s="2066"/>
      <c r="Y409" s="1184"/>
      <c r="Z409" s="2012"/>
      <c r="AA409" s="1184"/>
      <c r="AB409" s="218" t="s">
        <v>968</v>
      </c>
      <c r="AC409" s="682" t="s">
        <v>2092</v>
      </c>
      <c r="AD409" s="218" t="s">
        <v>831</v>
      </c>
      <c r="AE409" s="1514"/>
      <c r="AF409" s="1514"/>
      <c r="AG409" s="1514"/>
      <c r="AH409" s="1022">
        <f t="shared" si="92"/>
        <v>0</v>
      </c>
      <c r="AI409" s="1514"/>
      <c r="AJ409" s="1514"/>
      <c r="AK409" s="1148"/>
      <c r="AL409" s="1148"/>
      <c r="AM409" s="1148"/>
      <c r="AN409" s="1148"/>
      <c r="AO409" s="1148"/>
      <c r="AP409" s="1148"/>
      <c r="AQ409" s="1514"/>
      <c r="AR409" s="1514"/>
      <c r="AS409" s="1514"/>
      <c r="AT409" s="1514"/>
      <c r="AU409" s="1148"/>
      <c r="AV409" s="1148"/>
      <c r="AW409" s="1148"/>
      <c r="AX409" s="1148"/>
      <c r="AY409" s="1148"/>
      <c r="AZ409" s="1148"/>
      <c r="BA409" s="1514"/>
      <c r="BB409" s="1514"/>
      <c r="BC409" s="1514"/>
      <c r="BD409" s="1022">
        <f t="shared" si="94"/>
        <v>0</v>
      </c>
      <c r="BE409" s="1022">
        <f t="shared" si="95"/>
        <v>0</v>
      </c>
      <c r="BF409" s="1022">
        <f t="shared" si="96"/>
        <v>0</v>
      </c>
      <c r="BG409" s="1022">
        <f t="shared" si="97"/>
        <v>0</v>
      </c>
      <c r="BH409" s="1022">
        <f t="shared" si="98"/>
        <v>0</v>
      </c>
      <c r="BI409" s="1022">
        <f t="shared" si="99"/>
        <v>0</v>
      </c>
      <c r="BJ409" s="1022">
        <f t="shared" si="100"/>
        <v>0</v>
      </c>
      <c r="BK409" s="1022">
        <f t="shared" si="101"/>
        <v>0</v>
      </c>
      <c r="BL409" s="1022">
        <f t="shared" si="102"/>
        <v>0</v>
      </c>
      <c r="BM409" s="1022">
        <f t="shared" si="103"/>
        <v>0</v>
      </c>
      <c r="BN409" s="1523"/>
      <c r="BO409" s="1523"/>
      <c r="BP409" s="1523"/>
      <c r="BQ409" s="1184"/>
      <c r="BR409" s="1184"/>
      <c r="BS409" s="973" t="s">
        <v>2093</v>
      </c>
      <c r="BT409" s="973"/>
      <c r="BU409" s="973"/>
      <c r="BV409" s="888"/>
      <c r="BW409" s="888"/>
    </row>
    <row r="410" spans="1:75" s="1334" customFormat="1" ht="14.25" customHeight="1" x14ac:dyDescent="0.15">
      <c r="A410" s="1184"/>
      <c r="B410" s="354" t="b">
        <f>AND(method_reg="Метод индексации",STATUS_GO="да")</f>
        <v>1</v>
      </c>
      <c r="C410" s="26"/>
      <c r="D410" s="26"/>
      <c r="E410" s="545">
        <v>15</v>
      </c>
      <c r="F410" s="3" t="str" cm="1">
        <f t="array" aca="1" ref="F410" ca="1">OFFSET(E410,-1,1)</f>
        <v>2</v>
      </c>
      <c r="G410" s="26" t="s">
        <v>1796</v>
      </c>
      <c r="H410" s="26"/>
      <c r="I410" s="26" t="s">
        <v>544</v>
      </c>
      <c r="J410" s="26"/>
      <c r="K410" s="1184"/>
      <c r="L410" s="889" t="s">
        <v>606</v>
      </c>
      <c r="M410" s="26"/>
      <c r="N410" s="26"/>
      <c r="O410" s="26"/>
      <c r="P410" s="26"/>
      <c r="Q410" s="26"/>
      <c r="R410" s="26"/>
      <c r="S410" s="26"/>
      <c r="T410" s="388" t="b" cm="1">
        <f t="array" aca="1" ref="T410" ca="1">T409</f>
        <v>1</v>
      </c>
      <c r="U410" s="26"/>
      <c r="V410" s="26"/>
      <c r="W410" s="26"/>
      <c r="X410" s="2066"/>
      <c r="Y410" s="1184"/>
      <c r="Z410" s="2012"/>
      <c r="AA410" s="1184"/>
      <c r="AB410" s="218" t="s">
        <v>446</v>
      </c>
      <c r="AC410" s="374" t="s">
        <v>1796</v>
      </c>
      <c r="AD410" s="218" t="s">
        <v>831</v>
      </c>
      <c r="AE410" s="1514"/>
      <c r="AF410" s="1514"/>
      <c r="AG410" s="1514"/>
      <c r="AH410" s="1022">
        <f t="shared" si="92"/>
        <v>0</v>
      </c>
      <c r="AI410" s="1514"/>
      <c r="AJ410" s="1514"/>
      <c r="AK410" s="1148"/>
      <c r="AL410" s="1148"/>
      <c r="AM410" s="1148"/>
      <c r="AN410" s="1148"/>
      <c r="AO410" s="1148"/>
      <c r="AP410" s="1148"/>
      <c r="AQ410" s="1514"/>
      <c r="AR410" s="1514"/>
      <c r="AS410" s="1514"/>
      <c r="AT410" s="1514"/>
      <c r="AU410" s="1148"/>
      <c r="AV410" s="1148"/>
      <c r="AW410" s="1148"/>
      <c r="AX410" s="1148"/>
      <c r="AY410" s="1148"/>
      <c r="AZ410" s="1148"/>
      <c r="BA410" s="1514"/>
      <c r="BB410" s="1514"/>
      <c r="BC410" s="1514"/>
      <c r="BD410" s="1022">
        <f t="shared" si="94"/>
        <v>0</v>
      </c>
      <c r="BE410" s="1022">
        <f t="shared" si="95"/>
        <v>0</v>
      </c>
      <c r="BF410" s="1022">
        <f t="shared" si="96"/>
        <v>0</v>
      </c>
      <c r="BG410" s="1022">
        <f t="shared" si="97"/>
        <v>0</v>
      </c>
      <c r="BH410" s="1022">
        <f t="shared" si="98"/>
        <v>0</v>
      </c>
      <c r="BI410" s="1022">
        <f t="shared" si="99"/>
        <v>0</v>
      </c>
      <c r="BJ410" s="1022">
        <f t="shared" si="100"/>
        <v>0</v>
      </c>
      <c r="BK410" s="1022">
        <f t="shared" si="101"/>
        <v>0</v>
      </c>
      <c r="BL410" s="1022">
        <f t="shared" si="102"/>
        <v>0</v>
      </c>
      <c r="BM410" s="1022">
        <f t="shared" si="103"/>
        <v>0</v>
      </c>
      <c r="BN410" s="1523"/>
      <c r="BO410" s="1523"/>
      <c r="BP410" s="1523"/>
      <c r="BQ410" s="1184"/>
      <c r="BR410" s="1184"/>
      <c r="BS410" s="973" t="s">
        <v>1797</v>
      </c>
      <c r="BT410" s="973"/>
      <c r="BU410" s="973"/>
      <c r="BV410" s="888"/>
      <c r="BW410" s="888"/>
    </row>
    <row r="411" spans="1:75" s="1334" customFormat="1" ht="14.25" hidden="1" customHeight="1" x14ac:dyDescent="0.15">
      <c r="A411" s="1184"/>
      <c r="B411" s="779" t="b">
        <f>method_reg="Метод обеспечения доходности инвестированного капитала"</f>
        <v>0</v>
      </c>
      <c r="C411" s="26"/>
      <c r="D411" s="26"/>
      <c r="E411" s="545">
        <v>15</v>
      </c>
      <c r="F411" s="3" t="str" cm="1">
        <f t="array" aca="1" ref="F411" ca="1">OFFSET(E411,-1,1)</f>
        <v>2</v>
      </c>
      <c r="G411" s="26"/>
      <c r="H411" s="26"/>
      <c r="I411" s="26"/>
      <c r="J411" s="26"/>
      <c r="K411" s="26" t="s">
        <v>335</v>
      </c>
      <c r="L411" s="889"/>
      <c r="M411" s="26"/>
      <c r="N411" s="26"/>
      <c r="O411" s="26"/>
      <c r="P411" s="26"/>
      <c r="Q411" s="26"/>
      <c r="R411" s="26"/>
      <c r="S411" s="26"/>
      <c r="T411" s="779" t="b" cm="1">
        <f t="array" aca="1" ref="T411" ca="1">T410</f>
        <v>1</v>
      </c>
      <c r="U411" s="26"/>
      <c r="V411" s="26"/>
      <c r="W411" s="26"/>
      <c r="X411" s="2066"/>
      <c r="Y411" s="1184"/>
      <c r="Z411" s="2012"/>
      <c r="AA411" s="1184"/>
      <c r="AB411" s="714" t="s">
        <v>441</v>
      </c>
      <c r="AC411" s="713" t="s">
        <v>2094</v>
      </c>
      <c r="AD411" s="714" t="s">
        <v>831</v>
      </c>
      <c r="AE411" s="1153"/>
      <c r="AF411" s="1153"/>
      <c r="AG411" s="1153"/>
      <c r="AH411" s="681">
        <f t="shared" si="92"/>
        <v>0</v>
      </c>
      <c r="AI411" s="1153"/>
      <c r="AJ411" s="1516"/>
      <c r="AK411" s="1153"/>
      <c r="AL411" s="1153"/>
      <c r="AM411" s="1153"/>
      <c r="AN411" s="1153"/>
      <c r="AO411" s="1153"/>
      <c r="AP411" s="1153"/>
      <c r="AQ411" s="1153"/>
      <c r="AR411" s="1153"/>
      <c r="AS411" s="1153"/>
      <c r="AT411" s="1516"/>
      <c r="AU411" s="1153"/>
      <c r="AV411" s="1153"/>
      <c r="AW411" s="1153"/>
      <c r="AX411" s="1153"/>
      <c r="AY411" s="1153"/>
      <c r="AZ411" s="1153"/>
      <c r="BA411" s="1153"/>
      <c r="BB411" s="1153"/>
      <c r="BC411" s="1153"/>
      <c r="BD411" s="681">
        <f t="shared" si="94"/>
        <v>0</v>
      </c>
      <c r="BE411" s="681">
        <f t="shared" si="95"/>
        <v>0</v>
      </c>
      <c r="BF411" s="681">
        <f t="shared" si="96"/>
        <v>0</v>
      </c>
      <c r="BG411" s="681">
        <f t="shared" si="97"/>
        <v>0</v>
      </c>
      <c r="BH411" s="681">
        <f t="shared" si="98"/>
        <v>0</v>
      </c>
      <c r="BI411" s="681">
        <f t="shared" si="99"/>
        <v>0</v>
      </c>
      <c r="BJ411" s="681">
        <f t="shared" si="100"/>
        <v>0</v>
      </c>
      <c r="BK411" s="681">
        <f t="shared" si="101"/>
        <v>0</v>
      </c>
      <c r="BL411" s="681">
        <f t="shared" si="102"/>
        <v>0</v>
      </c>
      <c r="BM411" s="681">
        <f t="shared" si="103"/>
        <v>0</v>
      </c>
      <c r="BN411" s="1154"/>
      <c r="BO411" s="1154"/>
      <c r="BP411" s="1154"/>
      <c r="BQ411" s="1184"/>
      <c r="BR411" s="1184"/>
      <c r="BS411" s="973" t="s">
        <v>2095</v>
      </c>
      <c r="BT411" s="973"/>
      <c r="BU411" s="973"/>
      <c r="BV411" s="888"/>
      <c r="BW411" s="888"/>
    </row>
    <row r="412" spans="1:75" s="1334" customFormat="1" ht="14.25" hidden="1" customHeight="1" x14ac:dyDescent="0.15">
      <c r="A412" s="1184"/>
      <c r="B412" s="779" t="b" cm="1">
        <f t="array" ref="B412">B411</f>
        <v>0</v>
      </c>
      <c r="C412" s="26"/>
      <c r="D412" s="26"/>
      <c r="E412" s="545">
        <v>15</v>
      </c>
      <c r="F412" s="3" t="str" cm="1">
        <f t="array" aca="1" ref="F412" ca="1">OFFSET(E412,-1,1)</f>
        <v>2</v>
      </c>
      <c r="G412" s="26"/>
      <c r="H412" s="26"/>
      <c r="I412" s="26"/>
      <c r="J412" s="26"/>
      <c r="K412" s="26" t="s">
        <v>565</v>
      </c>
      <c r="L412" s="889"/>
      <c r="M412" s="26"/>
      <c r="N412" s="26"/>
      <c r="O412" s="26"/>
      <c r="P412" s="26"/>
      <c r="Q412" s="26"/>
      <c r="R412" s="26"/>
      <c r="S412" s="26"/>
      <c r="T412" s="779" t="b" cm="1">
        <f t="array" aca="1" ref="T412" ca="1">T411</f>
        <v>1</v>
      </c>
      <c r="U412" s="26"/>
      <c r="V412" s="26"/>
      <c r="W412" s="26"/>
      <c r="X412" s="2066"/>
      <c r="Y412" s="1184"/>
      <c r="Z412" s="2012"/>
      <c r="AA412" s="1184"/>
      <c r="AB412" s="717" t="s">
        <v>700</v>
      </c>
      <c r="AC412" s="716" t="s">
        <v>2096</v>
      </c>
      <c r="AD412" s="717" t="s">
        <v>831</v>
      </c>
      <c r="AE412" s="1155"/>
      <c r="AF412" s="1155"/>
      <c r="AG412" s="1155"/>
      <c r="AH412" s="683"/>
      <c r="AI412" s="1155"/>
      <c r="AJ412" s="1517"/>
      <c r="AK412" s="1155"/>
      <c r="AL412" s="1155"/>
      <c r="AM412" s="1155"/>
      <c r="AN412" s="1155"/>
      <c r="AO412" s="1155"/>
      <c r="AP412" s="1155"/>
      <c r="AQ412" s="1155"/>
      <c r="AR412" s="1155"/>
      <c r="AS412" s="1155"/>
      <c r="AT412" s="1517"/>
      <c r="AU412" s="1155"/>
      <c r="AV412" s="1155"/>
      <c r="AW412" s="1155"/>
      <c r="AX412" s="1155"/>
      <c r="AY412" s="1155"/>
      <c r="AZ412" s="1155"/>
      <c r="BA412" s="1155"/>
      <c r="BB412" s="1155"/>
      <c r="BC412" s="1155"/>
      <c r="BD412" s="683"/>
      <c r="BE412" s="683"/>
      <c r="BF412" s="683"/>
      <c r="BG412" s="683"/>
      <c r="BH412" s="683"/>
      <c r="BI412" s="683"/>
      <c r="BJ412" s="683"/>
      <c r="BK412" s="683"/>
      <c r="BL412" s="683"/>
      <c r="BM412" s="683"/>
      <c r="BN412" s="1156"/>
      <c r="BO412" s="1156"/>
      <c r="BP412" s="1156"/>
      <c r="BQ412" s="1184"/>
      <c r="BR412" s="1184"/>
      <c r="BS412" s="973" t="s">
        <v>2097</v>
      </c>
      <c r="BT412" s="973"/>
      <c r="BU412" s="973"/>
      <c r="BV412" s="888"/>
      <c r="BW412" s="888"/>
    </row>
    <row r="413" spans="1:75" s="1334" customFormat="1" ht="14.25" hidden="1" customHeight="1" x14ac:dyDescent="0.15">
      <c r="A413" s="1184"/>
      <c r="B413" s="779" t="b" cm="1">
        <f t="array" ref="B413">B412</f>
        <v>0</v>
      </c>
      <c r="C413" s="26"/>
      <c r="D413" s="26"/>
      <c r="E413" s="545">
        <v>15</v>
      </c>
      <c r="F413" s="3" t="str" cm="1">
        <f t="array" aca="1" ref="F413" ca="1">OFFSET(E413,-1,1)</f>
        <v>2</v>
      </c>
      <c r="G413" s="26"/>
      <c r="H413" s="26"/>
      <c r="I413" s="26"/>
      <c r="J413" s="26"/>
      <c r="K413" s="26" t="s">
        <v>569</v>
      </c>
      <c r="L413" s="889"/>
      <c r="M413" s="26"/>
      <c r="N413" s="26"/>
      <c r="O413" s="26"/>
      <c r="P413" s="26"/>
      <c r="Q413" s="26"/>
      <c r="R413" s="26"/>
      <c r="S413" s="26"/>
      <c r="T413" s="779" t="b" cm="1">
        <f t="array" aca="1" ref="T413" ca="1">T412</f>
        <v>1</v>
      </c>
      <c r="U413" s="26"/>
      <c r="V413" s="26"/>
      <c r="W413" s="26"/>
      <c r="X413" s="2066"/>
      <c r="Y413" s="1184"/>
      <c r="Z413" s="2012"/>
      <c r="AA413" s="1184"/>
      <c r="AB413" s="717" t="s">
        <v>703</v>
      </c>
      <c r="AC413" s="716" t="s">
        <v>2098</v>
      </c>
      <c r="AD413" s="717" t="s">
        <v>2099</v>
      </c>
      <c r="AE413" s="1155"/>
      <c r="AF413" s="1155"/>
      <c r="AG413" s="1155"/>
      <c r="AH413" s="683"/>
      <c r="AI413" s="1155"/>
      <c r="AJ413" s="1517"/>
      <c r="AK413" s="1155"/>
      <c r="AL413" s="1155"/>
      <c r="AM413" s="1155"/>
      <c r="AN413" s="1155"/>
      <c r="AO413" s="1155"/>
      <c r="AP413" s="1155"/>
      <c r="AQ413" s="1155"/>
      <c r="AR413" s="1155"/>
      <c r="AS413" s="1155"/>
      <c r="AT413" s="1517"/>
      <c r="AU413" s="1155"/>
      <c r="AV413" s="1155"/>
      <c r="AW413" s="1155"/>
      <c r="AX413" s="1155"/>
      <c r="AY413" s="1155"/>
      <c r="AZ413" s="1155"/>
      <c r="BA413" s="1155"/>
      <c r="BB413" s="1155"/>
      <c r="BC413" s="1155"/>
      <c r="BD413" s="683"/>
      <c r="BE413" s="683"/>
      <c r="BF413" s="683"/>
      <c r="BG413" s="683"/>
      <c r="BH413" s="683"/>
      <c r="BI413" s="683"/>
      <c r="BJ413" s="683"/>
      <c r="BK413" s="683"/>
      <c r="BL413" s="683"/>
      <c r="BM413" s="683"/>
      <c r="BN413" s="1156"/>
      <c r="BO413" s="1156"/>
      <c r="BP413" s="1156"/>
      <c r="BQ413" s="1184"/>
      <c r="BR413" s="1184"/>
      <c r="BS413" s="973" t="s">
        <v>2100</v>
      </c>
      <c r="BT413" s="973"/>
      <c r="BU413" s="973"/>
      <c r="BV413" s="888"/>
      <c r="BW413" s="888"/>
    </row>
    <row r="414" spans="1:75" s="1334" customFormat="1" ht="14.25" hidden="1" customHeight="1" x14ac:dyDescent="0.15">
      <c r="A414" s="1184"/>
      <c r="B414" s="779" t="b" cm="1">
        <f t="array" ref="B414">B413</f>
        <v>0</v>
      </c>
      <c r="C414" s="26"/>
      <c r="D414" s="26"/>
      <c r="E414" s="545">
        <v>15</v>
      </c>
      <c r="F414" s="3" t="str" cm="1">
        <f t="array" aca="1" ref="F414" ca="1">OFFSET(E414,-1,1)</f>
        <v>2</v>
      </c>
      <c r="G414" s="26"/>
      <c r="H414" s="26"/>
      <c r="I414" s="26"/>
      <c r="J414" s="26"/>
      <c r="K414" s="26" t="s">
        <v>334</v>
      </c>
      <c r="L414" s="889"/>
      <c r="M414" s="26"/>
      <c r="N414" s="26"/>
      <c r="O414" s="26"/>
      <c r="P414" s="26"/>
      <c r="Q414" s="26"/>
      <c r="R414" s="26"/>
      <c r="S414" s="26"/>
      <c r="T414" s="779" t="b" cm="1">
        <f t="array" aca="1" ref="T414" ca="1">T413</f>
        <v>1</v>
      </c>
      <c r="U414" s="26"/>
      <c r="V414" s="26"/>
      <c r="W414" s="26"/>
      <c r="X414" s="2066"/>
      <c r="Y414" s="1184"/>
      <c r="Z414" s="2012"/>
      <c r="AA414" s="1184"/>
      <c r="AB414" s="714" t="s">
        <v>444</v>
      </c>
      <c r="AC414" s="713" t="s">
        <v>2101</v>
      </c>
      <c r="AD414" s="714" t="s">
        <v>831</v>
      </c>
      <c r="AE414" s="1153"/>
      <c r="AF414" s="1153"/>
      <c r="AG414" s="1153"/>
      <c r="AH414" s="681">
        <f>AG414-AF414</f>
        <v>0</v>
      </c>
      <c r="AI414" s="1153"/>
      <c r="AJ414" s="1516"/>
      <c r="AK414" s="1153"/>
      <c r="AL414" s="1153"/>
      <c r="AM414" s="1153"/>
      <c r="AN414" s="1153"/>
      <c r="AO414" s="1153"/>
      <c r="AP414" s="1153"/>
      <c r="AQ414" s="1153"/>
      <c r="AR414" s="1153"/>
      <c r="AS414" s="1153"/>
      <c r="AT414" s="1516"/>
      <c r="AU414" s="1153"/>
      <c r="AV414" s="1153"/>
      <c r="AW414" s="1153"/>
      <c r="AX414" s="1153"/>
      <c r="AY414" s="1153"/>
      <c r="AZ414" s="1153"/>
      <c r="BA414" s="1153"/>
      <c r="BB414" s="1153"/>
      <c r="BC414" s="1153"/>
      <c r="BD414" s="681">
        <f>IF(AI414=0,0,(AT414-AI414)/AI414*100)</f>
        <v>0</v>
      </c>
      <c r="BE414" s="681">
        <f t="shared" ref="BE414:BM414" si="108">IF(AT414=0,0,(AU414-AT414)/AT414*100)</f>
        <v>0</v>
      </c>
      <c r="BF414" s="681">
        <f t="shared" si="108"/>
        <v>0</v>
      </c>
      <c r="BG414" s="681">
        <f t="shared" si="108"/>
        <v>0</v>
      </c>
      <c r="BH414" s="681">
        <f t="shared" si="108"/>
        <v>0</v>
      </c>
      <c r="BI414" s="681">
        <f t="shared" si="108"/>
        <v>0</v>
      </c>
      <c r="BJ414" s="681">
        <f t="shared" si="108"/>
        <v>0</v>
      </c>
      <c r="BK414" s="681">
        <f t="shared" si="108"/>
        <v>0</v>
      </c>
      <c r="BL414" s="681">
        <f t="shared" si="108"/>
        <v>0</v>
      </c>
      <c r="BM414" s="681">
        <f t="shared" si="108"/>
        <v>0</v>
      </c>
      <c r="BN414" s="1154"/>
      <c r="BO414" s="1154"/>
      <c r="BP414" s="1154"/>
      <c r="BQ414" s="1184"/>
      <c r="BR414" s="1184"/>
      <c r="BS414" s="973" t="s">
        <v>2102</v>
      </c>
      <c r="BT414" s="973"/>
      <c r="BU414" s="973"/>
      <c r="BV414" s="888"/>
      <c r="BW414" s="888"/>
    </row>
    <row r="415" spans="1:75" s="1334" customFormat="1" ht="14.25" hidden="1" customHeight="1" x14ac:dyDescent="0.15">
      <c r="A415" s="1184"/>
      <c r="B415" s="779" t="b" cm="1">
        <f t="array" ref="B415">B414</f>
        <v>0</v>
      </c>
      <c r="C415" s="26"/>
      <c r="D415" s="26"/>
      <c r="E415" s="545">
        <v>15</v>
      </c>
      <c r="F415" s="3" t="str" cm="1">
        <f t="array" aca="1" ref="F415" ca="1">OFFSET(E415,-1,1)</f>
        <v>2</v>
      </c>
      <c r="G415" s="26"/>
      <c r="H415" s="26"/>
      <c r="I415" s="26"/>
      <c r="J415" s="26"/>
      <c r="K415" s="26" t="s">
        <v>579</v>
      </c>
      <c r="L415" s="889"/>
      <c r="M415" s="26"/>
      <c r="N415" s="26"/>
      <c r="O415" s="26"/>
      <c r="P415" s="26"/>
      <c r="Q415" s="26"/>
      <c r="R415" s="26"/>
      <c r="S415" s="26"/>
      <c r="T415" s="779" t="b" cm="1">
        <f t="array" aca="1" ref="T415" ca="1">T414</f>
        <v>1</v>
      </c>
      <c r="U415" s="26"/>
      <c r="V415" s="26"/>
      <c r="W415" s="26"/>
      <c r="X415" s="2066"/>
      <c r="Y415" s="1184"/>
      <c r="Z415" s="2012"/>
      <c r="AA415" s="1184"/>
      <c r="AB415" s="717" t="s">
        <v>707</v>
      </c>
      <c r="AC415" s="716" t="s">
        <v>2103</v>
      </c>
      <c r="AD415" s="717" t="s">
        <v>831</v>
      </c>
      <c r="AE415" s="1155"/>
      <c r="AF415" s="1155"/>
      <c r="AG415" s="1155"/>
      <c r="AH415" s="683"/>
      <c r="AI415" s="1155"/>
      <c r="AJ415" s="1517"/>
      <c r="AK415" s="1155"/>
      <c r="AL415" s="1155"/>
      <c r="AM415" s="1155"/>
      <c r="AN415" s="1155"/>
      <c r="AO415" s="1155"/>
      <c r="AP415" s="1155"/>
      <c r="AQ415" s="1155"/>
      <c r="AR415" s="1155"/>
      <c r="AS415" s="1155"/>
      <c r="AT415" s="1517"/>
      <c r="AU415" s="1155"/>
      <c r="AV415" s="1155"/>
      <c r="AW415" s="1155"/>
      <c r="AX415" s="1155"/>
      <c r="AY415" s="1155"/>
      <c r="AZ415" s="1155"/>
      <c r="BA415" s="1155"/>
      <c r="BB415" s="1155"/>
      <c r="BC415" s="1155"/>
      <c r="BD415" s="683"/>
      <c r="BE415" s="683"/>
      <c r="BF415" s="683"/>
      <c r="BG415" s="683"/>
      <c r="BH415" s="683"/>
      <c r="BI415" s="683"/>
      <c r="BJ415" s="683"/>
      <c r="BK415" s="683"/>
      <c r="BL415" s="683"/>
      <c r="BM415" s="683"/>
      <c r="BN415" s="1156"/>
      <c r="BO415" s="1156"/>
      <c r="BP415" s="1156"/>
      <c r="BQ415" s="1184"/>
      <c r="BR415" s="1184"/>
      <c r="BS415" s="973" t="s">
        <v>2104</v>
      </c>
      <c r="BT415" s="973"/>
      <c r="BU415" s="973"/>
      <c r="BV415" s="888"/>
      <c r="BW415" s="888"/>
    </row>
    <row r="416" spans="1:75" s="1334" customFormat="1" ht="14.25" hidden="1" customHeight="1" x14ac:dyDescent="0.15">
      <c r="A416" s="1184"/>
      <c r="B416" s="779" t="b" cm="1">
        <f t="array" ref="B416">B415</f>
        <v>0</v>
      </c>
      <c r="C416" s="26"/>
      <c r="D416" s="26"/>
      <c r="E416" s="545">
        <v>15</v>
      </c>
      <c r="F416" s="3" t="str" cm="1">
        <f t="array" aca="1" ref="F416" ca="1">OFFSET(E416,-1,1)</f>
        <v>2</v>
      </c>
      <c r="G416" s="26"/>
      <c r="H416" s="26"/>
      <c r="I416" s="26"/>
      <c r="J416" s="26"/>
      <c r="K416" s="26" t="s">
        <v>583</v>
      </c>
      <c r="L416" s="889"/>
      <c r="M416" s="26"/>
      <c r="N416" s="26"/>
      <c r="O416" s="26"/>
      <c r="P416" s="26"/>
      <c r="Q416" s="26"/>
      <c r="R416" s="26"/>
      <c r="S416" s="26"/>
      <c r="T416" s="779" t="b" cm="1">
        <f t="array" aca="1" ref="T416" ca="1">T415</f>
        <v>1</v>
      </c>
      <c r="U416" s="26"/>
      <c r="V416" s="26"/>
      <c r="W416" s="26"/>
      <c r="X416" s="2066"/>
      <c r="Y416" s="1184"/>
      <c r="Z416" s="2012"/>
      <c r="AA416" s="1184"/>
      <c r="AB416" s="717" t="s">
        <v>710</v>
      </c>
      <c r="AC416" s="716" t="s">
        <v>2105</v>
      </c>
      <c r="AD416" s="717" t="s">
        <v>490</v>
      </c>
      <c r="AE416" s="1155"/>
      <c r="AF416" s="1155"/>
      <c r="AG416" s="1155"/>
      <c r="AH416" s="683"/>
      <c r="AI416" s="1155"/>
      <c r="AJ416" s="1517"/>
      <c r="AK416" s="1155"/>
      <c r="AL416" s="1155"/>
      <c r="AM416" s="1155"/>
      <c r="AN416" s="1155"/>
      <c r="AO416" s="1155"/>
      <c r="AP416" s="1155"/>
      <c r="AQ416" s="1155"/>
      <c r="AR416" s="1155"/>
      <c r="AS416" s="1155"/>
      <c r="AT416" s="1517"/>
      <c r="AU416" s="1155"/>
      <c r="AV416" s="1155"/>
      <c r="AW416" s="1155"/>
      <c r="AX416" s="1155"/>
      <c r="AY416" s="1155"/>
      <c r="AZ416" s="1155"/>
      <c r="BA416" s="1155"/>
      <c r="BB416" s="1155"/>
      <c r="BC416" s="1155"/>
      <c r="BD416" s="683"/>
      <c r="BE416" s="683"/>
      <c r="BF416" s="683"/>
      <c r="BG416" s="683"/>
      <c r="BH416" s="683"/>
      <c r="BI416" s="683"/>
      <c r="BJ416" s="683"/>
      <c r="BK416" s="683"/>
      <c r="BL416" s="683"/>
      <c r="BM416" s="683"/>
      <c r="BN416" s="1156"/>
      <c r="BO416" s="1156"/>
      <c r="BP416" s="1156"/>
      <c r="BQ416" s="1184"/>
      <c r="BR416" s="1184"/>
      <c r="BS416" s="973" t="s">
        <v>2106</v>
      </c>
      <c r="BT416" s="973"/>
      <c r="BU416" s="973"/>
      <c r="BV416" s="888"/>
      <c r="BW416" s="888"/>
    </row>
    <row r="417" spans="1:75" s="1334" customFormat="1" ht="14.25" hidden="1" customHeight="1" x14ac:dyDescent="0.15">
      <c r="A417" s="1184"/>
      <c r="B417" s="779" t="b" cm="1">
        <f t="array" ref="B417">B416</f>
        <v>0</v>
      </c>
      <c r="C417" s="26"/>
      <c r="D417" s="26"/>
      <c r="E417" s="545">
        <v>15</v>
      </c>
      <c r="F417" s="3" t="str" cm="1">
        <f t="array" aca="1" ref="F417" ca="1">OFFSET(E417,-1,1)</f>
        <v>2</v>
      </c>
      <c r="G417" s="26"/>
      <c r="H417" s="26"/>
      <c r="I417" s="26"/>
      <c r="J417" s="26"/>
      <c r="K417" s="26" t="s">
        <v>795</v>
      </c>
      <c r="L417" s="889"/>
      <c r="M417" s="26"/>
      <c r="N417" s="26"/>
      <c r="O417" s="26"/>
      <c r="P417" s="26"/>
      <c r="Q417" s="26"/>
      <c r="R417" s="26"/>
      <c r="S417" s="26"/>
      <c r="T417" s="779" t="b" cm="1">
        <f t="array" aca="1" ref="T417" ca="1">T416</f>
        <v>1</v>
      </c>
      <c r="U417" s="26"/>
      <c r="V417" s="26"/>
      <c r="W417" s="26"/>
      <c r="X417" s="2066"/>
      <c r="Y417" s="1184"/>
      <c r="Z417" s="2012"/>
      <c r="AA417" s="1184"/>
      <c r="AB417" s="717" t="s">
        <v>965</v>
      </c>
      <c r="AC417" s="716" t="s">
        <v>2107</v>
      </c>
      <c r="AD417" s="717" t="s">
        <v>831</v>
      </c>
      <c r="AE417" s="1155"/>
      <c r="AF417" s="1155"/>
      <c r="AG417" s="1155"/>
      <c r="AH417" s="683"/>
      <c r="AI417" s="1155"/>
      <c r="AJ417" s="1517"/>
      <c r="AK417" s="1155"/>
      <c r="AL417" s="1155"/>
      <c r="AM417" s="1155"/>
      <c r="AN417" s="1155"/>
      <c r="AO417" s="1155"/>
      <c r="AP417" s="1155"/>
      <c r="AQ417" s="1155"/>
      <c r="AR417" s="1155"/>
      <c r="AS417" s="1155"/>
      <c r="AT417" s="1517"/>
      <c r="AU417" s="1155"/>
      <c r="AV417" s="1155"/>
      <c r="AW417" s="1155"/>
      <c r="AX417" s="1155"/>
      <c r="AY417" s="1155"/>
      <c r="AZ417" s="1155"/>
      <c r="BA417" s="1155"/>
      <c r="BB417" s="1155"/>
      <c r="BC417" s="1155"/>
      <c r="BD417" s="683"/>
      <c r="BE417" s="683"/>
      <c r="BF417" s="683"/>
      <c r="BG417" s="683"/>
      <c r="BH417" s="683"/>
      <c r="BI417" s="683"/>
      <c r="BJ417" s="683"/>
      <c r="BK417" s="683"/>
      <c r="BL417" s="683"/>
      <c r="BM417" s="683"/>
      <c r="BN417" s="1156"/>
      <c r="BO417" s="1156"/>
      <c r="BP417" s="1156"/>
      <c r="BQ417" s="1184"/>
      <c r="BR417" s="1184"/>
      <c r="BS417" s="973" t="s">
        <v>2108</v>
      </c>
      <c r="BT417" s="973"/>
      <c r="BU417" s="973"/>
      <c r="BV417" s="888"/>
      <c r="BW417" s="888"/>
    </row>
    <row r="418" spans="1:75" s="1334" customFormat="1" ht="14.25" hidden="1" customHeight="1" x14ac:dyDescent="0.15">
      <c r="A418" s="1184"/>
      <c r="B418" s="779" t="b" cm="1">
        <f t="array" ref="B418">B417</f>
        <v>0</v>
      </c>
      <c r="C418" s="26"/>
      <c r="D418" s="26"/>
      <c r="E418" s="545">
        <v>15</v>
      </c>
      <c r="F418" s="3" t="str" cm="1">
        <f t="array" aca="1" ref="F418" ca="1">OFFSET(E418,-1,1)</f>
        <v>2</v>
      </c>
      <c r="G418" s="26"/>
      <c r="H418" s="26"/>
      <c r="I418" s="26"/>
      <c r="J418" s="26"/>
      <c r="K418" s="26" t="s">
        <v>967</v>
      </c>
      <c r="L418" s="889"/>
      <c r="M418" s="26"/>
      <c r="N418" s="26"/>
      <c r="O418" s="26"/>
      <c r="P418" s="26"/>
      <c r="Q418" s="26"/>
      <c r="R418" s="26"/>
      <c r="S418" s="26"/>
      <c r="T418" s="779" t="b" cm="1">
        <f t="array" aca="1" ref="T418" ca="1">T417</f>
        <v>1</v>
      </c>
      <c r="U418" s="26"/>
      <c r="V418" s="26"/>
      <c r="W418" s="26"/>
      <c r="X418" s="2066"/>
      <c r="Y418" s="1184"/>
      <c r="Z418" s="2012"/>
      <c r="AA418" s="1184"/>
      <c r="AB418" s="717" t="s">
        <v>968</v>
      </c>
      <c r="AC418" s="716" t="s">
        <v>2109</v>
      </c>
      <c r="AD418" s="717" t="s">
        <v>831</v>
      </c>
      <c r="AE418" s="1155"/>
      <c r="AF418" s="1155"/>
      <c r="AG418" s="1155"/>
      <c r="AH418" s="683"/>
      <c r="AI418" s="1155"/>
      <c r="AJ418" s="1517"/>
      <c r="AK418" s="1155"/>
      <c r="AL418" s="1155"/>
      <c r="AM418" s="1155"/>
      <c r="AN418" s="1155"/>
      <c r="AO418" s="1155"/>
      <c r="AP418" s="1155"/>
      <c r="AQ418" s="1155"/>
      <c r="AR418" s="1155"/>
      <c r="AS418" s="1155"/>
      <c r="AT418" s="1517"/>
      <c r="AU418" s="1155"/>
      <c r="AV418" s="1155"/>
      <c r="AW418" s="1155"/>
      <c r="AX418" s="1155"/>
      <c r="AY418" s="1155"/>
      <c r="AZ418" s="1155"/>
      <c r="BA418" s="1155"/>
      <c r="BB418" s="1155"/>
      <c r="BC418" s="1155"/>
      <c r="BD418" s="683"/>
      <c r="BE418" s="683"/>
      <c r="BF418" s="683"/>
      <c r="BG418" s="683"/>
      <c r="BH418" s="683"/>
      <c r="BI418" s="683"/>
      <c r="BJ418" s="683"/>
      <c r="BK418" s="683"/>
      <c r="BL418" s="683"/>
      <c r="BM418" s="683"/>
      <c r="BN418" s="1156"/>
      <c r="BO418" s="1156"/>
      <c r="BP418" s="1156"/>
      <c r="BQ418" s="1184"/>
      <c r="BR418" s="1184"/>
      <c r="BS418" s="973" t="s">
        <v>2110</v>
      </c>
      <c r="BT418" s="973"/>
      <c r="BU418" s="973"/>
      <c r="BV418" s="888"/>
      <c r="BW418" s="888"/>
    </row>
    <row r="419" spans="1:75" s="1334" customFormat="1" ht="14.25" hidden="1" customHeight="1" x14ac:dyDescent="0.15">
      <c r="A419" s="1184"/>
      <c r="B419" s="779" t="b" cm="1">
        <f t="array" ref="B419">B418</f>
        <v>0</v>
      </c>
      <c r="C419" s="26"/>
      <c r="D419" s="26"/>
      <c r="E419" s="545">
        <v>15</v>
      </c>
      <c r="F419" s="3" t="str" cm="1">
        <f t="array" aca="1" ref="F419" ca="1">OFFSET(E419,-1,1)</f>
        <v>2</v>
      </c>
      <c r="G419" s="26"/>
      <c r="H419" s="26"/>
      <c r="I419" s="26"/>
      <c r="J419" s="26"/>
      <c r="K419" s="26" t="s">
        <v>2111</v>
      </c>
      <c r="L419" s="889"/>
      <c r="M419" s="26"/>
      <c r="N419" s="26"/>
      <c r="O419" s="26"/>
      <c r="P419" s="26"/>
      <c r="Q419" s="26"/>
      <c r="R419" s="26"/>
      <c r="S419" s="26"/>
      <c r="T419" s="779" t="b" cm="1">
        <f t="array" aca="1" ref="T419" ca="1">T418</f>
        <v>1</v>
      </c>
      <c r="U419" s="26"/>
      <c r="V419" s="26"/>
      <c r="W419" s="26"/>
      <c r="X419" s="2066"/>
      <c r="Y419" s="1184"/>
      <c r="Z419" s="2012"/>
      <c r="AA419" s="1184"/>
      <c r="AB419" s="717" t="s">
        <v>2112</v>
      </c>
      <c r="AC419" s="718" t="s">
        <v>2113</v>
      </c>
      <c r="AD419" s="717" t="s">
        <v>490</v>
      </c>
      <c r="AE419" s="1155"/>
      <c r="AF419" s="1155"/>
      <c r="AG419" s="1155"/>
      <c r="AH419" s="683"/>
      <c r="AI419" s="1155"/>
      <c r="AJ419" s="1517"/>
      <c r="AK419" s="1155"/>
      <c r="AL419" s="1155"/>
      <c r="AM419" s="1155"/>
      <c r="AN419" s="1155"/>
      <c r="AO419" s="1155"/>
      <c r="AP419" s="1155"/>
      <c r="AQ419" s="1155"/>
      <c r="AR419" s="1155"/>
      <c r="AS419" s="1155"/>
      <c r="AT419" s="1517"/>
      <c r="AU419" s="1155"/>
      <c r="AV419" s="1155"/>
      <c r="AW419" s="1155"/>
      <c r="AX419" s="1155"/>
      <c r="AY419" s="1155"/>
      <c r="AZ419" s="1155"/>
      <c r="BA419" s="1155"/>
      <c r="BB419" s="1155"/>
      <c r="BC419" s="1155"/>
      <c r="BD419" s="683"/>
      <c r="BE419" s="683"/>
      <c r="BF419" s="683"/>
      <c r="BG419" s="683"/>
      <c r="BH419" s="683"/>
      <c r="BI419" s="683"/>
      <c r="BJ419" s="683"/>
      <c r="BK419" s="683"/>
      <c r="BL419" s="683"/>
      <c r="BM419" s="683"/>
      <c r="BN419" s="1156"/>
      <c r="BO419" s="1156"/>
      <c r="BP419" s="1156"/>
      <c r="BQ419" s="1184"/>
      <c r="BR419" s="1184"/>
      <c r="BS419" s="973" t="s">
        <v>2114</v>
      </c>
      <c r="BT419" s="973"/>
      <c r="BU419" s="973"/>
      <c r="BV419" s="888"/>
      <c r="BW419" s="888"/>
    </row>
    <row r="420" spans="1:75" s="1334" customFormat="1" ht="14.25" hidden="1" customHeight="1" x14ac:dyDescent="0.15">
      <c r="A420" s="1184"/>
      <c r="B420" s="779" t="b" cm="1">
        <f t="array" ref="B420">B419</f>
        <v>0</v>
      </c>
      <c r="C420" s="26"/>
      <c r="D420" s="26"/>
      <c r="E420" s="545">
        <v>15</v>
      </c>
      <c r="F420" s="3" t="str" cm="1">
        <f t="array" aca="1" ref="F420" ca="1">OFFSET(E420,-1,1)</f>
        <v>2</v>
      </c>
      <c r="G420" s="26"/>
      <c r="H420" s="26"/>
      <c r="I420" s="26"/>
      <c r="J420" s="26"/>
      <c r="K420" s="26" t="s">
        <v>970</v>
      </c>
      <c r="L420" s="889"/>
      <c r="M420" s="26"/>
      <c r="N420" s="26"/>
      <c r="O420" s="26"/>
      <c r="P420" s="26"/>
      <c r="Q420" s="26"/>
      <c r="R420" s="26"/>
      <c r="S420" s="26"/>
      <c r="T420" s="779" t="b" cm="1">
        <f t="array" aca="1" ref="T420" ca="1">T419</f>
        <v>1</v>
      </c>
      <c r="U420" s="26"/>
      <c r="V420" s="26"/>
      <c r="W420" s="26"/>
      <c r="X420" s="2066"/>
      <c r="Y420" s="1184"/>
      <c r="Z420" s="2012"/>
      <c r="AA420" s="1184"/>
      <c r="AB420" s="717" t="s">
        <v>971</v>
      </c>
      <c r="AC420" s="716" t="s">
        <v>2115</v>
      </c>
      <c r="AD420" s="717" t="s">
        <v>490</v>
      </c>
      <c r="AE420" s="1155"/>
      <c r="AF420" s="1155"/>
      <c r="AG420" s="1155"/>
      <c r="AH420" s="683"/>
      <c r="AI420" s="1155"/>
      <c r="AJ420" s="1517"/>
      <c r="AK420" s="1155"/>
      <c r="AL420" s="1155"/>
      <c r="AM420" s="1155"/>
      <c r="AN420" s="1155"/>
      <c r="AO420" s="1155"/>
      <c r="AP420" s="1155"/>
      <c r="AQ420" s="1155"/>
      <c r="AR420" s="1155"/>
      <c r="AS420" s="1155"/>
      <c r="AT420" s="1517"/>
      <c r="AU420" s="1155"/>
      <c r="AV420" s="1155"/>
      <c r="AW420" s="1155"/>
      <c r="AX420" s="1155"/>
      <c r="AY420" s="1155"/>
      <c r="AZ420" s="1155"/>
      <c r="BA420" s="1155"/>
      <c r="BB420" s="1155"/>
      <c r="BC420" s="1155"/>
      <c r="BD420" s="683"/>
      <c r="BE420" s="683"/>
      <c r="BF420" s="683"/>
      <c r="BG420" s="683"/>
      <c r="BH420" s="683"/>
      <c r="BI420" s="683"/>
      <c r="BJ420" s="683"/>
      <c r="BK420" s="683"/>
      <c r="BL420" s="683"/>
      <c r="BM420" s="683"/>
      <c r="BN420" s="1156"/>
      <c r="BO420" s="1156"/>
      <c r="BP420" s="1156"/>
      <c r="BQ420" s="1184"/>
      <c r="BR420" s="1184"/>
      <c r="BS420" s="973" t="s">
        <v>2116</v>
      </c>
      <c r="BT420" s="973"/>
      <c r="BU420" s="973"/>
      <c r="BV420" s="888"/>
      <c r="BW420" s="888"/>
    </row>
    <row r="421" spans="1:75" s="1334" customFormat="1" ht="14.25" hidden="1" customHeight="1" x14ac:dyDescent="0.15">
      <c r="A421" s="1184"/>
      <c r="B421" s="779" t="b" cm="1">
        <f t="array" ref="B421">B420</f>
        <v>0</v>
      </c>
      <c r="C421" s="26"/>
      <c r="D421" s="26"/>
      <c r="E421" s="545">
        <v>15</v>
      </c>
      <c r="F421" s="3" t="str" cm="1">
        <f t="array" aca="1" ref="F421" ca="1">OFFSET(E421,-1,1)</f>
        <v>2</v>
      </c>
      <c r="G421" s="26"/>
      <c r="H421" s="26"/>
      <c r="I421" s="26"/>
      <c r="J421" s="26"/>
      <c r="K421" s="26" t="s">
        <v>2117</v>
      </c>
      <c r="L421" s="889"/>
      <c r="M421" s="26"/>
      <c r="N421" s="26"/>
      <c r="O421" s="26"/>
      <c r="P421" s="26"/>
      <c r="Q421" s="26"/>
      <c r="R421" s="26"/>
      <c r="S421" s="26"/>
      <c r="T421" s="779" t="b" cm="1">
        <f t="array" aca="1" ref="T421" ca="1">T420</f>
        <v>1</v>
      </c>
      <c r="U421" s="26"/>
      <c r="V421" s="26"/>
      <c r="W421" s="26"/>
      <c r="X421" s="2066"/>
      <c r="Y421" s="1184"/>
      <c r="Z421" s="2012"/>
      <c r="AA421" s="1184"/>
      <c r="AB421" s="717" t="s">
        <v>2118</v>
      </c>
      <c r="AC421" s="718" t="s">
        <v>2119</v>
      </c>
      <c r="AD421" s="717" t="s">
        <v>490</v>
      </c>
      <c r="AE421" s="1155"/>
      <c r="AF421" s="1155"/>
      <c r="AG421" s="1155"/>
      <c r="AH421" s="683"/>
      <c r="AI421" s="1155"/>
      <c r="AJ421" s="1517"/>
      <c r="AK421" s="1155"/>
      <c r="AL421" s="1155"/>
      <c r="AM421" s="1155"/>
      <c r="AN421" s="1155"/>
      <c r="AO421" s="1155"/>
      <c r="AP421" s="1155"/>
      <c r="AQ421" s="1155"/>
      <c r="AR421" s="1155"/>
      <c r="AS421" s="1155"/>
      <c r="AT421" s="1517"/>
      <c r="AU421" s="1155"/>
      <c r="AV421" s="1155"/>
      <c r="AW421" s="1155"/>
      <c r="AX421" s="1155"/>
      <c r="AY421" s="1155"/>
      <c r="AZ421" s="1155"/>
      <c r="BA421" s="1155"/>
      <c r="BB421" s="1155"/>
      <c r="BC421" s="1155"/>
      <c r="BD421" s="683"/>
      <c r="BE421" s="683"/>
      <c r="BF421" s="683"/>
      <c r="BG421" s="683"/>
      <c r="BH421" s="683"/>
      <c r="BI421" s="683"/>
      <c r="BJ421" s="683"/>
      <c r="BK421" s="683"/>
      <c r="BL421" s="683"/>
      <c r="BM421" s="683"/>
      <c r="BN421" s="1156"/>
      <c r="BO421" s="1156"/>
      <c r="BP421" s="1156"/>
      <c r="BQ421" s="1184"/>
      <c r="BR421" s="1184"/>
      <c r="BS421" s="973" t="s">
        <v>2120</v>
      </c>
      <c r="BT421" s="973"/>
      <c r="BU421" s="973"/>
      <c r="BV421" s="888"/>
      <c r="BW421" s="888"/>
    </row>
    <row r="422" spans="1:75" s="1334" customFormat="1" ht="14.25" hidden="1" customHeight="1" x14ac:dyDescent="0.15">
      <c r="A422" s="1184"/>
      <c r="B422" s="779" t="b" cm="1">
        <f t="array" ref="B422">B421</f>
        <v>0</v>
      </c>
      <c r="C422" s="26"/>
      <c r="D422" s="26"/>
      <c r="E422" s="545">
        <v>15</v>
      </c>
      <c r="F422" s="3" t="str" cm="1">
        <f t="array" aca="1" ref="F422" ca="1">OFFSET(E422,-1,1)</f>
        <v>2</v>
      </c>
      <c r="G422" s="26"/>
      <c r="H422" s="26"/>
      <c r="I422" s="26"/>
      <c r="J422" s="26"/>
      <c r="K422" s="26" t="s">
        <v>2121</v>
      </c>
      <c r="L422" s="889"/>
      <c r="M422" s="26"/>
      <c r="N422" s="26"/>
      <c r="O422" s="26"/>
      <c r="P422" s="26"/>
      <c r="Q422" s="26"/>
      <c r="R422" s="26"/>
      <c r="S422" s="26"/>
      <c r="T422" s="779" t="b" cm="1">
        <f t="array" aca="1" ref="T422" ca="1">T421</f>
        <v>1</v>
      </c>
      <c r="U422" s="26"/>
      <c r="V422" s="26"/>
      <c r="W422" s="26"/>
      <c r="X422" s="2066"/>
      <c r="Y422" s="1184"/>
      <c r="Z422" s="2012"/>
      <c r="AA422" s="1184"/>
      <c r="AB422" s="717" t="s">
        <v>2122</v>
      </c>
      <c r="AC422" s="718" t="s">
        <v>2123</v>
      </c>
      <c r="AD422" s="717" t="s">
        <v>490</v>
      </c>
      <c r="AE422" s="1155"/>
      <c r="AF422" s="1155"/>
      <c r="AG422" s="1155"/>
      <c r="AH422" s="683"/>
      <c r="AI422" s="1155"/>
      <c r="AJ422" s="1517"/>
      <c r="AK422" s="1155"/>
      <c r="AL422" s="1155"/>
      <c r="AM422" s="1155"/>
      <c r="AN422" s="1155"/>
      <c r="AO422" s="1155"/>
      <c r="AP422" s="1155"/>
      <c r="AQ422" s="1155"/>
      <c r="AR422" s="1155"/>
      <c r="AS422" s="1155"/>
      <c r="AT422" s="1517"/>
      <c r="AU422" s="1155"/>
      <c r="AV422" s="1155"/>
      <c r="AW422" s="1155"/>
      <c r="AX422" s="1155"/>
      <c r="AY422" s="1155"/>
      <c r="AZ422" s="1155"/>
      <c r="BA422" s="1155"/>
      <c r="BB422" s="1155"/>
      <c r="BC422" s="1155"/>
      <c r="BD422" s="683"/>
      <c r="BE422" s="683"/>
      <c r="BF422" s="683"/>
      <c r="BG422" s="683"/>
      <c r="BH422" s="683"/>
      <c r="BI422" s="683"/>
      <c r="BJ422" s="683"/>
      <c r="BK422" s="683"/>
      <c r="BL422" s="683"/>
      <c r="BM422" s="683"/>
      <c r="BN422" s="1156"/>
      <c r="BO422" s="1156"/>
      <c r="BP422" s="1156"/>
      <c r="BQ422" s="1184"/>
      <c r="BR422" s="1184"/>
      <c r="BS422" s="973" t="s">
        <v>2124</v>
      </c>
      <c r="BT422" s="973"/>
      <c r="BU422" s="973"/>
      <c r="BV422" s="888"/>
      <c r="BW422" s="888"/>
    </row>
    <row r="423" spans="1:75" s="1553" customFormat="1" ht="20.45" customHeight="1" x14ac:dyDescent="0.15">
      <c r="A423" s="623"/>
      <c r="B423" s="357"/>
      <c r="C423" s="28"/>
      <c r="D423" s="28" t="str">
        <f>IF(B422,"6","7")</f>
        <v>7</v>
      </c>
      <c r="E423" s="745">
        <v>21</v>
      </c>
      <c r="F423" s="3" t="str" cm="1">
        <f t="array" aca="1" ref="F423" ca="1">OFFSET(E423,-1,1)</f>
        <v>2</v>
      </c>
      <c r="G423" s="26" t="s">
        <v>2125</v>
      </c>
      <c r="H423" s="26"/>
      <c r="I423" s="300" t="s">
        <v>2126</v>
      </c>
      <c r="J423" s="28"/>
      <c r="K423" s="296" t="s">
        <v>2126</v>
      </c>
      <c r="L423" s="894"/>
      <c r="M423" s="28"/>
      <c r="N423" s="28"/>
      <c r="O423" s="28"/>
      <c r="P423" s="28"/>
      <c r="Q423" s="28"/>
      <c r="R423" s="28"/>
      <c r="S423" s="28"/>
      <c r="T423" s="388" t="b" cm="1">
        <f t="array" aca="1" ref="T423" ca="1">T422</f>
        <v>1</v>
      </c>
      <c r="U423" s="28"/>
      <c r="V423" s="28"/>
      <c r="W423" s="28"/>
      <c r="X423" s="2066"/>
      <c r="Y423" s="623"/>
      <c r="Z423" s="2012"/>
      <c r="AA423" s="623"/>
      <c r="AB423" s="130" t="str" cm="1">
        <f t="array" ref="AB423">D423</f>
        <v>7</v>
      </c>
      <c r="AC423" s="138" t="s">
        <v>1557</v>
      </c>
      <c r="AD423" s="130" t="s">
        <v>831</v>
      </c>
      <c r="AE423" s="1518">
        <v>0</v>
      </c>
      <c r="AF423" s="1518"/>
      <c r="AG423" s="1518"/>
      <c r="AH423" s="698">
        <f>AG423-AF423</f>
        <v>0</v>
      </c>
      <c r="AI423" s="1518"/>
      <c r="AJ423" s="1514">
        <f ca="1">SUMIFS('Корректировка НВВ'!$AF$25:$AF$180,'Корректировка НВВ'!$F$25:$F$180,$F423,'Корректировка НВВ'!$I$25:$I$180,$G423)</f>
        <v>3885.6199999999953</v>
      </c>
      <c r="AK423" s="1144"/>
      <c r="AL423" s="1144"/>
      <c r="AM423" s="1144"/>
      <c r="AN423" s="1144"/>
      <c r="AO423" s="1144"/>
      <c r="AP423" s="1144"/>
      <c r="AQ423" s="1518"/>
      <c r="AR423" s="1518"/>
      <c r="AS423" s="1518"/>
      <c r="AT423" s="1514">
        <f ca="1">SUMIFS('Корректировка НВВ'!$AG$25:$AG$180,'Корректировка НВВ'!$F$25:$F$180,$F423,'Корректировка НВВ'!$I$25:$I$180,$G423)</f>
        <v>18419.459219999997</v>
      </c>
      <c r="AU423" s="1144"/>
      <c r="AV423" s="1144"/>
      <c r="AW423" s="1144"/>
      <c r="AX423" s="1144"/>
      <c r="AY423" s="1144"/>
      <c r="AZ423" s="1144"/>
      <c r="BA423" s="1518"/>
      <c r="BB423" s="1518"/>
      <c r="BC423" s="1518"/>
      <c r="BD423" s="698">
        <f>IF(AI423=0,0,(AT423-AI423)/AI423*100)</f>
        <v>0</v>
      </c>
      <c r="BE423" s="698">
        <f t="shared" ref="BE423:BM423" ca="1" si="109">IF(AT423=0,0,(AU423-AT423)/AT423*100)</f>
        <v>-100</v>
      </c>
      <c r="BF423" s="698">
        <f t="shared" si="109"/>
        <v>0</v>
      </c>
      <c r="BG423" s="698">
        <f t="shared" si="109"/>
        <v>0</v>
      </c>
      <c r="BH423" s="698">
        <f t="shared" si="109"/>
        <v>0</v>
      </c>
      <c r="BI423" s="698">
        <f t="shared" si="109"/>
        <v>0</v>
      </c>
      <c r="BJ423" s="698">
        <f t="shared" si="109"/>
        <v>0</v>
      </c>
      <c r="BK423" s="698">
        <f t="shared" si="109"/>
        <v>0</v>
      </c>
      <c r="BL423" s="698">
        <f t="shared" si="109"/>
        <v>0</v>
      </c>
      <c r="BM423" s="698">
        <f t="shared" si="109"/>
        <v>0</v>
      </c>
      <c r="BN423" s="1524"/>
      <c r="BO423" s="1525" t="str">
        <f ca="1">IF(IFERROR(INDEX('Корректировка НВВ'!$K$26:$L$180,MATCH($F423&amp;"11komm",'Корректировка НВВ'!$K$26:$K$180,0),2),"")=0,"",IFERROR(INDEX('Корректировка НВВ'!$K$26:$L$180,MATCH($F423&amp;"11komm",'Корректировка НВВ'!$K$26:$K$180,0),2),""))</f>
        <v/>
      </c>
      <c r="BP423" s="1524"/>
      <c r="BQ423" s="623"/>
      <c r="BR423" s="623"/>
      <c r="BS423" s="979" t="s">
        <v>2127</v>
      </c>
      <c r="BT423" s="979"/>
      <c r="BU423" s="979"/>
      <c r="BV423" s="630"/>
      <c r="BW423" s="630"/>
    </row>
    <row r="424" spans="1:75" s="1334" customFormat="1" ht="14.25" customHeight="1" x14ac:dyDescent="0.15">
      <c r="A424" s="1184"/>
      <c r="B424" s="887"/>
      <c r="C424" s="26"/>
      <c r="D424" s="26" t="str" cm="1">
        <f t="array" ref="D424">D423</f>
        <v>7</v>
      </c>
      <c r="E424" s="545">
        <v>15</v>
      </c>
      <c r="F424" s="3" t="str" cm="1">
        <f t="array" aca="1" ref="F424" ca="1">OFFSET(E424,-1,1)</f>
        <v>2</v>
      </c>
      <c r="G424" s="26"/>
      <c r="H424" s="26"/>
      <c r="I424" s="26"/>
      <c r="J424" s="26"/>
      <c r="K424" s="1184"/>
      <c r="L424" s="889"/>
      <c r="M424" s="26"/>
      <c r="N424" s="26"/>
      <c r="O424" s="26"/>
      <c r="P424" s="26"/>
      <c r="Q424" s="26"/>
      <c r="R424" s="26"/>
      <c r="S424" s="26"/>
      <c r="T424" s="388" t="b" cm="1">
        <f t="array" aca="1" ref="T424" ca="1">T423</f>
        <v>1</v>
      </c>
      <c r="U424" s="26"/>
      <c r="V424" s="26"/>
      <c r="W424" s="26"/>
      <c r="X424" s="2066"/>
      <c r="Y424" s="1184"/>
      <c r="Z424" s="2012"/>
      <c r="AA424" s="1184"/>
      <c r="AB424" s="218"/>
      <c r="AC424" s="374" t="s">
        <v>2128</v>
      </c>
      <c r="AD424" s="218"/>
      <c r="AE424" s="1023"/>
      <c r="AF424" s="1023"/>
      <c r="AG424" s="1023"/>
      <c r="AH424" s="1023"/>
      <c r="AI424" s="1023"/>
      <c r="AJ424" s="1023"/>
      <c r="AK424" s="1023"/>
      <c r="AL424" s="1023"/>
      <c r="AM424" s="1023"/>
      <c r="AN424" s="1023"/>
      <c r="AO424" s="1023"/>
      <c r="AP424" s="1023"/>
      <c r="AQ424" s="1023"/>
      <c r="AR424" s="1023"/>
      <c r="AS424" s="1023"/>
      <c r="AT424" s="1023"/>
      <c r="AU424" s="1023"/>
      <c r="AV424" s="1023"/>
      <c r="AW424" s="1023"/>
      <c r="AX424" s="1023"/>
      <c r="AY424" s="1023"/>
      <c r="AZ424" s="1023"/>
      <c r="BA424" s="1023"/>
      <c r="BB424" s="1023"/>
      <c r="BC424" s="1023"/>
      <c r="BD424" s="1023"/>
      <c r="BE424" s="1023"/>
      <c r="BF424" s="1023"/>
      <c r="BG424" s="1023"/>
      <c r="BH424" s="1023"/>
      <c r="BI424" s="1023"/>
      <c r="BJ424" s="1023"/>
      <c r="BK424" s="1023"/>
      <c r="BL424" s="1023"/>
      <c r="BM424" s="1023"/>
      <c r="BN424" s="1025"/>
      <c r="BO424" s="1025"/>
      <c r="BP424" s="1025"/>
      <c r="BQ424" s="1184"/>
      <c r="BR424" s="1184"/>
      <c r="BS424" s="973"/>
      <c r="BT424" s="973"/>
      <c r="BU424" s="973"/>
      <c r="BV424" s="888"/>
      <c r="BW424" s="888"/>
    </row>
    <row r="425" spans="1:75" s="1334" customFormat="1" ht="23.25" customHeight="1" x14ac:dyDescent="0.15">
      <c r="A425" s="1184"/>
      <c r="B425" s="887"/>
      <c r="C425" s="26"/>
      <c r="D425" s="26" t="str" cm="1">
        <f t="array" ref="D425">D424</f>
        <v>7</v>
      </c>
      <c r="E425" s="545">
        <v>22.5</v>
      </c>
      <c r="F425" s="3" t="str" cm="1">
        <f t="array" aca="1" ref="F425" ca="1">OFFSET(E425,-1,1)</f>
        <v>2</v>
      </c>
      <c r="G425" s="26" t="s">
        <v>372</v>
      </c>
      <c r="H425" s="26"/>
      <c r="I425" s="26" t="s">
        <v>547</v>
      </c>
      <c r="J425" s="26"/>
      <c r="K425" s="77" t="s">
        <v>547</v>
      </c>
      <c r="L425" s="889"/>
      <c r="M425" s="26"/>
      <c r="N425" s="26"/>
      <c r="O425" s="26"/>
      <c r="P425" s="26"/>
      <c r="Q425" s="26"/>
      <c r="R425" s="26"/>
      <c r="S425" s="26"/>
      <c r="T425" s="388" t="b" cm="1">
        <f t="array" aca="1" ref="T425" ca="1">T424</f>
        <v>1</v>
      </c>
      <c r="U425" s="26"/>
      <c r="V425" s="26"/>
      <c r="W425" s="26"/>
      <c r="X425" s="2066"/>
      <c r="Y425" s="1184"/>
      <c r="Z425" s="2012"/>
      <c r="AA425" s="1184"/>
      <c r="AB425" s="218" t="str">
        <f>D425&amp;".1"</f>
        <v>7.1</v>
      </c>
      <c r="AC425" s="682" t="s">
        <v>2129</v>
      </c>
      <c r="AD425" s="218" t="s">
        <v>831</v>
      </c>
      <c r="AE425" s="1514">
        <v>0</v>
      </c>
      <c r="AF425" s="1514"/>
      <c r="AG425" s="1514"/>
      <c r="AH425" s="1022">
        <f t="shared" ref="AH425:AH438" si="110">AG425-AF425</f>
        <v>0</v>
      </c>
      <c r="AI425" s="1514"/>
      <c r="AJ425" s="1514">
        <f ca="1">SUMIFS('Корректировка НВВ'!$AF$25:$AF$180,'Корректировка НВВ'!$F$25:$F$180,$F425,'Корректировка НВВ'!$I$25:$I$180,$G425)</f>
        <v>0</v>
      </c>
      <c r="AK425" s="1148"/>
      <c r="AL425" s="1148"/>
      <c r="AM425" s="1148"/>
      <c r="AN425" s="1148"/>
      <c r="AO425" s="1148"/>
      <c r="AP425" s="1148"/>
      <c r="AQ425" s="1514"/>
      <c r="AR425" s="1514"/>
      <c r="AS425" s="1514"/>
      <c r="AT425" s="1514">
        <f ca="1">SUMIFS('Корректировка НВВ'!$AG$25:$AG$180,'Корректировка НВВ'!$F$25:$F$180,$F425,'Корректировка НВВ'!$I$25:$I$180,$G425)</f>
        <v>0</v>
      </c>
      <c r="AU425" s="1148"/>
      <c r="AV425" s="1148"/>
      <c r="AW425" s="1148"/>
      <c r="AX425" s="1148"/>
      <c r="AY425" s="1148"/>
      <c r="AZ425" s="1148"/>
      <c r="BA425" s="1514"/>
      <c r="BB425" s="1514"/>
      <c r="BC425" s="1514"/>
      <c r="BD425" s="1023"/>
      <c r="BE425" s="1023"/>
      <c r="BF425" s="1023"/>
      <c r="BG425" s="1023"/>
      <c r="BH425" s="1023"/>
      <c r="BI425" s="1023"/>
      <c r="BJ425" s="1023"/>
      <c r="BK425" s="1023"/>
      <c r="BL425" s="1023"/>
      <c r="BM425" s="1023"/>
      <c r="BN425" s="1523"/>
      <c r="BO425" s="1525" t="str">
        <f ca="1">IF(IFERROR(INDEX('Корректировка НВВ'!$K$26:$L$180,MATCH($F425&amp;"1komm",'Корректировка НВВ'!$K$26:$K$180,0),2),"")=0,"",IFERROR(INDEX('Корректировка НВВ'!$K$26:$L$180,MATCH($F425&amp;"1komm",'Корректировка НВВ'!$K$26:$K$180,0),2),""))</f>
        <v/>
      </c>
      <c r="BP425" s="1523"/>
      <c r="BQ425" s="1184"/>
      <c r="BR425" s="1184"/>
      <c r="BS425" s="973" t="s">
        <v>2130</v>
      </c>
      <c r="BT425" s="973"/>
      <c r="BU425" s="973"/>
      <c r="BV425" s="888"/>
      <c r="BW425" s="888"/>
    </row>
    <row r="426" spans="1:75" s="1334" customFormat="1" ht="98.65" customHeight="1" x14ac:dyDescent="0.15">
      <c r="A426" s="1184"/>
      <c r="B426" s="887"/>
      <c r="C426" s="26"/>
      <c r="D426" s="26" t="str" cm="1">
        <f t="array" ref="D426">D425</f>
        <v>7</v>
      </c>
      <c r="E426" s="545">
        <v>101.25</v>
      </c>
      <c r="F426" s="3" t="str" cm="1">
        <f t="array" aca="1" ref="F426" ca="1">OFFSET(E426,-1,1)</f>
        <v>2</v>
      </c>
      <c r="G426" s="26" t="s">
        <v>2131</v>
      </c>
      <c r="H426" s="26"/>
      <c r="I426" s="26" t="s">
        <v>591</v>
      </c>
      <c r="J426" s="26"/>
      <c r="K426" s="77" t="s">
        <v>591</v>
      </c>
      <c r="L426" s="889"/>
      <c r="M426" s="26"/>
      <c r="N426" s="26"/>
      <c r="O426" s="26"/>
      <c r="P426" s="26"/>
      <c r="Q426" s="26"/>
      <c r="R426" s="26"/>
      <c r="S426" s="26"/>
      <c r="T426" s="388" t="b" cm="1">
        <f t="array" aca="1" ref="T426" ca="1">T425</f>
        <v>1</v>
      </c>
      <c r="U426" s="26"/>
      <c r="V426" s="26"/>
      <c r="W426" s="26"/>
      <c r="X426" s="2066"/>
      <c r="Y426" s="1184"/>
      <c r="Z426" s="2012"/>
      <c r="AA426" s="1184"/>
      <c r="AB426" s="218" t="str">
        <f>D426&amp;".2"</f>
        <v>7.2</v>
      </c>
      <c r="AC426" s="682" t="s">
        <v>2132</v>
      </c>
      <c r="AD426" s="218" t="s">
        <v>831</v>
      </c>
      <c r="AE426" s="1514">
        <v>0</v>
      </c>
      <c r="AF426" s="1514"/>
      <c r="AG426" s="1514"/>
      <c r="AH426" s="1022">
        <f t="shared" si="110"/>
        <v>0</v>
      </c>
      <c r="AI426" s="1514"/>
      <c r="AJ426" s="1514">
        <f ca="1">SUMIFS('Корректировка НВВ'!$AF$25:$AF$180,'Корректировка НВВ'!$F$25:$F$180,$F426,'Корректировка НВВ'!$I$25:$I$180,$G426)</f>
        <v>0</v>
      </c>
      <c r="AK426" s="1148"/>
      <c r="AL426" s="1148"/>
      <c r="AM426" s="1148"/>
      <c r="AN426" s="1148"/>
      <c r="AO426" s="1148"/>
      <c r="AP426" s="1148"/>
      <c r="AQ426" s="1514"/>
      <c r="AR426" s="1514"/>
      <c r="AS426" s="1514"/>
      <c r="AT426" s="1514">
        <f ca="1">SUMIFS('Корректировка НВВ'!$AG$25:$AG$180,'Корректировка НВВ'!$F$25:$F$180,$F426,'Корректировка НВВ'!$I$25:$I$180,$G426)</f>
        <v>0</v>
      </c>
      <c r="AU426" s="1148"/>
      <c r="AV426" s="1148"/>
      <c r="AW426" s="1148"/>
      <c r="AX426" s="1148"/>
      <c r="AY426" s="1148"/>
      <c r="AZ426" s="1148"/>
      <c r="BA426" s="1514"/>
      <c r="BB426" s="1514"/>
      <c r="BC426" s="1514"/>
      <c r="BD426" s="1023"/>
      <c r="BE426" s="1023"/>
      <c r="BF426" s="1023"/>
      <c r="BG426" s="1023"/>
      <c r="BH426" s="1023"/>
      <c r="BI426" s="1023"/>
      <c r="BJ426" s="1023"/>
      <c r="BK426" s="1023"/>
      <c r="BL426" s="1023"/>
      <c r="BM426" s="1023"/>
      <c r="BN426" s="1523"/>
      <c r="BO426" s="1525" t="str">
        <f ca="1">IF(IFERROR(INDEX('Корректировка НВВ'!$K$26:$L$180,MATCH($F426&amp;"2komm",'Корректировка НВВ'!$K$26:$K$180,0),2),"")=0,"",IFERROR(INDEX('Корректировка НВВ'!$K$26:$L$180,MATCH($F426&amp;"2komm",'Корректировка НВВ'!$K$26:$K$180,0),2),""))</f>
        <v/>
      </c>
      <c r="BP426" s="1523"/>
      <c r="BQ426" s="1184"/>
      <c r="BR426" s="1184"/>
      <c r="BS426" s="973" t="s">
        <v>2133</v>
      </c>
      <c r="BT426" s="973"/>
      <c r="BU426" s="973"/>
      <c r="BV426" s="888"/>
      <c r="BW426" s="888"/>
    </row>
    <row r="427" spans="1:75" s="1334" customFormat="1" ht="43.9" customHeight="1" x14ac:dyDescent="0.15">
      <c r="A427" s="1184"/>
      <c r="B427" s="887"/>
      <c r="C427" s="26"/>
      <c r="D427" s="26" t="str" cm="1">
        <f t="array" ref="D427">D426</f>
        <v>7</v>
      </c>
      <c r="E427" s="545">
        <v>45</v>
      </c>
      <c r="F427" s="3" t="str" cm="1">
        <f t="array" aca="1" ref="F427" ca="1">OFFSET(E427,-1,1)</f>
        <v>2</v>
      </c>
      <c r="G427" s="26"/>
      <c r="H427" s="26"/>
      <c r="I427" s="26" t="s">
        <v>606</v>
      </c>
      <c r="J427" s="26"/>
      <c r="K427" s="77" t="s">
        <v>606</v>
      </c>
      <c r="L427" s="889"/>
      <c r="M427" s="26"/>
      <c r="N427" s="26"/>
      <c r="O427" s="26"/>
      <c r="P427" s="26"/>
      <c r="Q427" s="26"/>
      <c r="R427" s="26"/>
      <c r="S427" s="26"/>
      <c r="T427" s="388" t="b" cm="1">
        <f t="array" aca="1" ref="T427" ca="1">T426</f>
        <v>1</v>
      </c>
      <c r="U427" s="26"/>
      <c r="V427" s="26"/>
      <c r="W427" s="26"/>
      <c r="X427" s="2066"/>
      <c r="Y427" s="1184"/>
      <c r="Z427" s="2012"/>
      <c r="AA427" s="1184"/>
      <c r="AB427" s="218" t="str">
        <f>D427&amp;".3"</f>
        <v>7.3</v>
      </c>
      <c r="AC427" s="682" t="s">
        <v>2134</v>
      </c>
      <c r="AD427" s="218" t="s">
        <v>831</v>
      </c>
      <c r="AE427" s="1514">
        <v>0</v>
      </c>
      <c r="AF427" s="1514"/>
      <c r="AG427" s="1514"/>
      <c r="AH427" s="1022">
        <f t="shared" si="110"/>
        <v>0</v>
      </c>
      <c r="AI427" s="1514"/>
      <c r="AJ427" s="1514">
        <f ca="1">SUMIFS('Корректировка НВВ'!$AF$25:$AF$180,'Корректировка НВВ'!$F$25:$F$180,$F427,'Корректировка НВВ'!$I$25:$I$180,"L1")+SUMIFS('Корректировка НВВ'!$AF$25:$AF$180,'Корректировка НВВ'!$F$25:$F$180,$F427,'Корректировка НВВ'!$I$25:$I$180,"L2")</f>
        <v>3885.6199999999953</v>
      </c>
      <c r="AK427" s="1148"/>
      <c r="AL427" s="1148"/>
      <c r="AM427" s="1148"/>
      <c r="AN427" s="1148"/>
      <c r="AO427" s="1148"/>
      <c r="AP427" s="1148"/>
      <c r="AQ427" s="1514"/>
      <c r="AR427" s="1514"/>
      <c r="AS427" s="1514"/>
      <c r="AT427" s="1514">
        <f ca="1">SUMIFS('Корректировка НВВ'!$AG$25:$AG$180,'Корректировка НВВ'!$F$25:$F$180,$F427,'Корректировка НВВ'!$I$25:$I$180,"L1")+SUMIFS('Корректировка НВВ'!$AF$25:$AF$180,'Корректировка НВВ'!$F$25:$F$180,$F427,'Корректировка НВВ'!$I$25:$I$180,"L2")</f>
        <v>-1272.0620000000054</v>
      </c>
      <c r="AU427" s="1148"/>
      <c r="AV427" s="1148"/>
      <c r="AW427" s="1148"/>
      <c r="AX427" s="1148"/>
      <c r="AY427" s="1148"/>
      <c r="AZ427" s="1148"/>
      <c r="BA427" s="1514"/>
      <c r="BB427" s="1514"/>
      <c r="BC427" s="1514"/>
      <c r="BD427" s="1023"/>
      <c r="BE427" s="1023"/>
      <c r="BF427" s="1023"/>
      <c r="BG427" s="1023"/>
      <c r="BH427" s="1023"/>
      <c r="BI427" s="1023"/>
      <c r="BJ427" s="1023"/>
      <c r="BK427" s="1023"/>
      <c r="BL427" s="1023"/>
      <c r="BM427" s="1023"/>
      <c r="BN427" s="1523"/>
      <c r="BO427" s="1525"/>
      <c r="BP427" s="1523"/>
      <c r="BQ427" s="1184"/>
      <c r="BR427" s="1184"/>
      <c r="BS427" s="973" t="s">
        <v>2135</v>
      </c>
      <c r="BT427" s="973"/>
      <c r="BU427" s="973"/>
      <c r="BV427" s="888"/>
      <c r="BW427" s="888"/>
    </row>
    <row r="428" spans="1:75" s="1334" customFormat="1" ht="87.75" customHeight="1" x14ac:dyDescent="0.25">
      <c r="A428" s="1184"/>
      <c r="B428" s="367" t="b">
        <f>S315="Водоотведение"</f>
        <v>1</v>
      </c>
      <c r="C428" s="26"/>
      <c r="D428" s="26" t="str" cm="1">
        <f t="array" ref="D428">D427</f>
        <v>7</v>
      </c>
      <c r="E428" s="545">
        <v>90</v>
      </c>
      <c r="F428" s="3" t="str" cm="1">
        <f t="array" aca="1" ref="F428" ca="1">OFFSET(E428,-1,1)</f>
        <v>2</v>
      </c>
      <c r="G428" s="26" t="s">
        <v>2136</v>
      </c>
      <c r="H428" s="767"/>
      <c r="I428" s="26" t="s">
        <v>772</v>
      </c>
      <c r="J428" s="26"/>
      <c r="K428" s="77" t="s">
        <v>772</v>
      </c>
      <c r="L428" s="889" t="s">
        <v>770</v>
      </c>
      <c r="M428" s="26"/>
      <c r="N428" s="26"/>
      <c r="O428" s="26"/>
      <c r="P428" s="26"/>
      <c r="Q428" s="26"/>
      <c r="R428" s="26"/>
      <c r="S428" s="26"/>
      <c r="T428" s="388" t="b" cm="1">
        <f t="array" aca="1" ref="T428" ca="1">T427</f>
        <v>1</v>
      </c>
      <c r="U428" s="26"/>
      <c r="V428" s="26"/>
      <c r="W428" s="26"/>
      <c r="X428" s="2066"/>
      <c r="Y428" s="1184"/>
      <c r="Z428" s="2012"/>
      <c r="AA428" s="1184"/>
      <c r="AB428" s="218" t="str">
        <f>D428&amp;".4"</f>
        <v>7.4</v>
      </c>
      <c r="AC428" s="682" t="s">
        <v>1799</v>
      </c>
      <c r="AD428" s="686" t="s">
        <v>831</v>
      </c>
      <c r="AE428" s="1514">
        <v>0</v>
      </c>
      <c r="AF428" s="1514"/>
      <c r="AG428" s="1514"/>
      <c r="AH428" s="1022">
        <f t="shared" si="110"/>
        <v>0</v>
      </c>
      <c r="AI428" s="1514"/>
      <c r="AJ428" s="1514">
        <f ca="1">SUMIFS('Корректировка НВВ'!$AF$25:$AF$180,'Корректировка НВВ'!$F$25:$F$180,$F428,'Корректировка НВВ'!$I$25:$I$180,$G428)</f>
        <v>0</v>
      </c>
      <c r="AK428" s="1148"/>
      <c r="AL428" s="1148"/>
      <c r="AM428" s="1148"/>
      <c r="AN428" s="1148"/>
      <c r="AO428" s="1148"/>
      <c r="AP428" s="1148"/>
      <c r="AQ428" s="1514"/>
      <c r="AR428" s="1514"/>
      <c r="AS428" s="1514"/>
      <c r="AT428" s="1514">
        <f ca="1">SUMIFS('Корректировка НВВ'!$AG$25:$AG$180,'Корректировка НВВ'!$F$25:$F$180,$F428,'Корректировка НВВ'!$I$25:$I$180,$G428)</f>
        <v>15759.841990000001</v>
      </c>
      <c r="AU428" s="1148"/>
      <c r="AV428" s="1148"/>
      <c r="AW428" s="1148"/>
      <c r="AX428" s="1148"/>
      <c r="AY428" s="1148"/>
      <c r="AZ428" s="1148"/>
      <c r="BA428" s="1514"/>
      <c r="BB428" s="1514"/>
      <c r="BC428" s="1514"/>
      <c r="BD428" s="1023"/>
      <c r="BE428" s="1023"/>
      <c r="BF428" s="1023"/>
      <c r="BG428" s="1023"/>
      <c r="BH428" s="1023"/>
      <c r="BI428" s="1023"/>
      <c r="BJ428" s="1023"/>
      <c r="BK428" s="1023"/>
      <c r="BL428" s="1023"/>
      <c r="BM428" s="1023"/>
      <c r="BN428" s="1523"/>
      <c r="BO428" s="1525" t="str">
        <f ca="1">IF(IFERROR(INDEX('Корректировка НВВ'!$K$26:$L$180,MATCH($F428&amp;"3komm",'Корректировка НВВ'!$K$26:$K$180,0),2),"")=0,"",IFERROR(INDEX('Корректировка НВВ'!$K$26:$L$180,MATCH($F428&amp;"3komm",'Корректировка НВВ'!$K$26:$K$180,0),2),""))</f>
        <v/>
      </c>
      <c r="BP428" s="1523"/>
      <c r="BQ428" s="1184"/>
      <c r="BR428" s="1184"/>
      <c r="BS428" s="973" t="s">
        <v>1331</v>
      </c>
      <c r="BT428" s="973"/>
      <c r="BU428" s="973"/>
      <c r="BV428" s="888"/>
      <c r="BW428" s="888"/>
    </row>
    <row r="429" spans="1:75" s="1334" customFormat="1" ht="54.75" customHeight="1" x14ac:dyDescent="0.25">
      <c r="A429" s="1184"/>
      <c r="B429" s="367" t="b" cm="1">
        <f t="array" ref="B429">B428</f>
        <v>1</v>
      </c>
      <c r="C429" s="26"/>
      <c r="D429" s="26" t="str" cm="1">
        <f t="array" ref="D429">D428</f>
        <v>7</v>
      </c>
      <c r="E429" s="545">
        <v>56.25</v>
      </c>
      <c r="F429" s="3" t="str" cm="1">
        <f t="array" aca="1" ref="F429" ca="1">OFFSET(E429,-1,1)</f>
        <v>2</v>
      </c>
      <c r="G429" s="26" t="s">
        <v>2137</v>
      </c>
      <c r="H429" s="767"/>
      <c r="I429" s="26" t="s">
        <v>809</v>
      </c>
      <c r="J429" s="26"/>
      <c r="K429" s="77" t="s">
        <v>809</v>
      </c>
      <c r="L429" s="889" t="s">
        <v>772</v>
      </c>
      <c r="M429" s="26"/>
      <c r="N429" s="26"/>
      <c r="O429" s="26"/>
      <c r="P429" s="26"/>
      <c r="Q429" s="26"/>
      <c r="R429" s="26"/>
      <c r="S429" s="26"/>
      <c r="T429" s="388" t="b" cm="1">
        <f t="array" aca="1" ref="T429" ca="1">T428</f>
        <v>1</v>
      </c>
      <c r="U429" s="26"/>
      <c r="V429" s="26"/>
      <c r="W429" s="26"/>
      <c r="X429" s="2066"/>
      <c r="Y429" s="1184"/>
      <c r="Z429" s="2012"/>
      <c r="AA429" s="1184"/>
      <c r="AB429" s="218" t="str">
        <f>D429&amp;".5"</f>
        <v>7.5</v>
      </c>
      <c r="AC429" s="682" t="s">
        <v>1800</v>
      </c>
      <c r="AD429" s="686" t="s">
        <v>831</v>
      </c>
      <c r="AE429" s="1514">
        <v>0</v>
      </c>
      <c r="AF429" s="1514"/>
      <c r="AG429" s="1514"/>
      <c r="AH429" s="1022">
        <f t="shared" si="110"/>
        <v>0</v>
      </c>
      <c r="AI429" s="1514"/>
      <c r="AJ429" s="1514">
        <f ca="1">SUMIFS('Корректировка НВВ'!$AF$25:$AF$180,'Корректировка НВВ'!$F$25:$F$180,$F429,'Корректировка НВВ'!$I$25:$I$180,$G429)</f>
        <v>0</v>
      </c>
      <c r="AK429" s="1148"/>
      <c r="AL429" s="1148"/>
      <c r="AM429" s="1148"/>
      <c r="AN429" s="1148"/>
      <c r="AO429" s="1148"/>
      <c r="AP429" s="1148"/>
      <c r="AQ429" s="1514"/>
      <c r="AR429" s="1514"/>
      <c r="AS429" s="1514"/>
      <c r="AT429" s="1514">
        <f ca="1">SUMIFS('Корректировка НВВ'!$AG$25:$AG$180,'Корректировка НВВ'!$F$25:$F$180,$F429,'Корректировка НВВ'!$I$25:$I$180,$G429)</f>
        <v>3931.6792299999997</v>
      </c>
      <c r="AU429" s="1148"/>
      <c r="AV429" s="1148"/>
      <c r="AW429" s="1148"/>
      <c r="AX429" s="1148"/>
      <c r="AY429" s="1148"/>
      <c r="AZ429" s="1148"/>
      <c r="BA429" s="1514"/>
      <c r="BB429" s="1514"/>
      <c r="BC429" s="1514"/>
      <c r="BD429" s="1023"/>
      <c r="BE429" s="1023"/>
      <c r="BF429" s="1023"/>
      <c r="BG429" s="1023"/>
      <c r="BH429" s="1023"/>
      <c r="BI429" s="1023"/>
      <c r="BJ429" s="1023"/>
      <c r="BK429" s="1023"/>
      <c r="BL429" s="1023"/>
      <c r="BM429" s="1023"/>
      <c r="BN429" s="1523"/>
      <c r="BO429" s="1525" t="str">
        <f ca="1">IF(IFERROR(INDEX('Корректировка НВВ'!$K$26:$L$180,MATCH($F429&amp;"4komm",'Корректировка НВВ'!$K$26:$K$180,0),2),"")=0,"",IFERROR(INDEX('Корректировка НВВ'!$K$26:$L$180,MATCH($F429&amp;"4komm",'Корректировка НВВ'!$K$26:$K$180,0),2),""))</f>
        <v/>
      </c>
      <c r="BP429" s="1523"/>
      <c r="BQ429" s="1184"/>
      <c r="BR429" s="1184"/>
      <c r="BS429" s="973" t="s">
        <v>1335</v>
      </c>
      <c r="BT429" s="973"/>
      <c r="BU429" s="973"/>
      <c r="BV429" s="888"/>
      <c r="BW429" s="888"/>
    </row>
    <row r="430" spans="1:75" s="1334" customFormat="1" ht="14.65" customHeight="1" x14ac:dyDescent="0.15">
      <c r="A430" s="1184"/>
      <c r="B430" s="349"/>
      <c r="C430" s="26"/>
      <c r="D430" s="26" t="str" cm="1">
        <f t="array" ref="D430">D429</f>
        <v>7</v>
      </c>
      <c r="E430" s="545">
        <v>15</v>
      </c>
      <c r="F430" s="3" t="str" cm="1">
        <f t="array" aca="1" ref="F430" ca="1">OFFSET(E430,-1,1)</f>
        <v>2</v>
      </c>
      <c r="G430" s="26" t="s">
        <v>2138</v>
      </c>
      <c r="H430" s="26"/>
      <c r="I430" s="26" t="s">
        <v>810</v>
      </c>
      <c r="J430" s="26"/>
      <c r="K430" s="77" t="s">
        <v>810</v>
      </c>
      <c r="L430" s="889" t="s">
        <v>809</v>
      </c>
      <c r="M430" s="26"/>
      <c r="N430" s="26"/>
      <c r="O430" s="26"/>
      <c r="P430" s="26"/>
      <c r="Q430" s="26"/>
      <c r="R430" s="26"/>
      <c r="S430" s="26"/>
      <c r="T430" s="388" t="b" cm="1">
        <f t="array" aca="1" ref="T430" ca="1">T429</f>
        <v>1</v>
      </c>
      <c r="U430" s="26"/>
      <c r="V430" s="26"/>
      <c r="W430" s="26"/>
      <c r="X430" s="2066"/>
      <c r="Y430" s="1184"/>
      <c r="Z430" s="2012"/>
      <c r="AA430" s="1184"/>
      <c r="AB430" s="218" t="str">
        <f>IF(B429,D430&amp;".6",D430&amp;".4")</f>
        <v>7.6</v>
      </c>
      <c r="AC430" s="682" t="s">
        <v>1550</v>
      </c>
      <c r="AD430" s="218" t="s">
        <v>831</v>
      </c>
      <c r="AE430" s="1514">
        <v>0</v>
      </c>
      <c r="AF430" s="1514"/>
      <c r="AG430" s="1514"/>
      <c r="AH430" s="1022">
        <f t="shared" si="110"/>
        <v>0</v>
      </c>
      <c r="AI430" s="1514"/>
      <c r="AJ430" s="1514">
        <f ca="1">SUMIFS('Корректировка НВВ'!$AF$25:$AF$180,'Корректировка НВВ'!$F$25:$F$180,$F430,'Корректировка НВВ'!$I$25:$I$180,$G430)</f>
        <v>0</v>
      </c>
      <c r="AK430" s="1148"/>
      <c r="AL430" s="1148"/>
      <c r="AM430" s="1148"/>
      <c r="AN430" s="1148"/>
      <c r="AO430" s="1148"/>
      <c r="AP430" s="1148"/>
      <c r="AQ430" s="1514"/>
      <c r="AR430" s="1514"/>
      <c r="AS430" s="1514"/>
      <c r="AT430" s="1514">
        <f ca="1">SUMIFS('Корректировка НВВ'!$AG$25:$AG$180,'Корректировка НВВ'!$F$25:$F$180,$F430,'Корректировка НВВ'!$I$25:$I$180,$G430)</f>
        <v>0</v>
      </c>
      <c r="AU430" s="1148"/>
      <c r="AV430" s="1148"/>
      <c r="AW430" s="1148"/>
      <c r="AX430" s="1148"/>
      <c r="AY430" s="1148"/>
      <c r="AZ430" s="1148"/>
      <c r="BA430" s="1514"/>
      <c r="BB430" s="1514"/>
      <c r="BC430" s="1514"/>
      <c r="BD430" s="1023"/>
      <c r="BE430" s="1023"/>
      <c r="BF430" s="1023"/>
      <c r="BG430" s="1023"/>
      <c r="BH430" s="1023"/>
      <c r="BI430" s="1023"/>
      <c r="BJ430" s="1023"/>
      <c r="BK430" s="1023"/>
      <c r="BL430" s="1023"/>
      <c r="BM430" s="1023"/>
      <c r="BN430" s="1523"/>
      <c r="BO430" s="1525" t="str">
        <f ca="1">IF(IFERROR(INDEX('Корректировка НВВ'!$K$26:$L$180,MATCH($F430&amp;"5komm",'Корректировка НВВ'!$K$26:$K$180,0),2),"")=0,"",IFERROR(INDEX('Корректировка НВВ'!$K$26:$L$180,MATCH($F430&amp;"5komm",'Корректировка НВВ'!$K$26:$K$180,0),2),""))</f>
        <v/>
      </c>
      <c r="BP430" s="1523"/>
      <c r="BQ430" s="1184"/>
      <c r="BR430" s="1184"/>
      <c r="BS430" s="973" t="s">
        <v>2139</v>
      </c>
      <c r="BT430" s="973"/>
      <c r="BU430" s="973"/>
      <c r="BV430" s="888"/>
      <c r="BW430" s="888"/>
    </row>
    <row r="431" spans="1:75" s="1334" customFormat="1" ht="14.25" customHeight="1" x14ac:dyDescent="0.15">
      <c r="A431" s="1184"/>
      <c r="B431" s="887"/>
      <c r="C431" s="26"/>
      <c r="D431" s="26" t="str" cm="1">
        <f t="array" ref="D431">D430</f>
        <v>7</v>
      </c>
      <c r="E431" s="545">
        <v>15</v>
      </c>
      <c r="F431" s="3" t="str" cm="1">
        <f t="array" aca="1" ref="F431" ca="1">OFFSET(E431,-1,1)</f>
        <v>2</v>
      </c>
      <c r="G431" s="26" t="s">
        <v>2140</v>
      </c>
      <c r="H431" s="26"/>
      <c r="I431" s="26" t="s">
        <v>1809</v>
      </c>
      <c r="J431" s="26"/>
      <c r="K431" s="77" t="s">
        <v>1809</v>
      </c>
      <c r="L431" s="889" t="s">
        <v>810</v>
      </c>
      <c r="M431" s="26"/>
      <c r="N431" s="26"/>
      <c r="O431" s="26"/>
      <c r="P431" s="26"/>
      <c r="Q431" s="26"/>
      <c r="R431" s="26"/>
      <c r="S431" s="26"/>
      <c r="T431" s="388" t="b" cm="1">
        <f t="array" aca="1" ref="T431" ca="1">T430</f>
        <v>1</v>
      </c>
      <c r="U431" s="26"/>
      <c r="V431" s="26"/>
      <c r="W431" s="26"/>
      <c r="X431" s="2066"/>
      <c r="Y431" s="1184"/>
      <c r="Z431" s="2012"/>
      <c r="AA431" s="1184"/>
      <c r="AB431" s="218" t="str">
        <f>IF(B429,D430&amp;".7",D430&amp;".5")</f>
        <v>7.7</v>
      </c>
      <c r="AC431" s="682" t="s">
        <v>1512</v>
      </c>
      <c r="AD431" s="218" t="s">
        <v>831</v>
      </c>
      <c r="AE431" s="1514">
        <f>AE432+AE433</f>
        <v>0</v>
      </c>
      <c r="AF431" s="1514">
        <f>AF432+AF433</f>
        <v>0</v>
      </c>
      <c r="AG431" s="1514">
        <f>AG432+AG433</f>
        <v>0</v>
      </c>
      <c r="AH431" s="1022">
        <f t="shared" si="110"/>
        <v>0</v>
      </c>
      <c r="AI431" s="1514">
        <f>AI432+AI433</f>
        <v>0</v>
      </c>
      <c r="AJ431" s="1514">
        <f ca="1">SUMIFS('Корректировка НВВ'!$AF$25:$AF$180,'Корректировка НВВ'!$F$25:$F$180,$F431,'Корректировка НВВ'!$I$25:$I$180,$G431)</f>
        <v>0</v>
      </c>
      <c r="AK431" s="1148">
        <f t="shared" ref="AK431:AS431" si="111">AK432+AK433</f>
        <v>0</v>
      </c>
      <c r="AL431" s="1148">
        <f t="shared" si="111"/>
        <v>0</v>
      </c>
      <c r="AM431" s="1148">
        <f t="shared" si="111"/>
        <v>0</v>
      </c>
      <c r="AN431" s="1148">
        <f t="shared" si="111"/>
        <v>0</v>
      </c>
      <c r="AO431" s="1148">
        <f t="shared" si="111"/>
        <v>0</v>
      </c>
      <c r="AP431" s="1148">
        <f t="shared" si="111"/>
        <v>0</v>
      </c>
      <c r="AQ431" s="1514">
        <f t="shared" si="111"/>
        <v>0</v>
      </c>
      <c r="AR431" s="1514">
        <f t="shared" si="111"/>
        <v>0</v>
      </c>
      <c r="AS431" s="1514">
        <f t="shared" si="111"/>
        <v>0</v>
      </c>
      <c r="AT431" s="1514">
        <f ca="1">SUMIFS('Корректировка НВВ'!$AG$25:$AG$180,'Корректировка НВВ'!$F$25:$F$180,$F431,'Корректировка НВВ'!$I$25:$I$180,$G431)</f>
        <v>0</v>
      </c>
      <c r="AU431" s="1148">
        <f t="shared" ref="AU431:BC431" si="112">AU432+AU433</f>
        <v>0</v>
      </c>
      <c r="AV431" s="1148">
        <f t="shared" si="112"/>
        <v>0</v>
      </c>
      <c r="AW431" s="1148">
        <f t="shared" si="112"/>
        <v>0</v>
      </c>
      <c r="AX431" s="1148">
        <f t="shared" si="112"/>
        <v>0</v>
      </c>
      <c r="AY431" s="1148">
        <f t="shared" si="112"/>
        <v>0</v>
      </c>
      <c r="AZ431" s="1148">
        <f t="shared" si="112"/>
        <v>0</v>
      </c>
      <c r="BA431" s="1514">
        <f t="shared" si="112"/>
        <v>0</v>
      </c>
      <c r="BB431" s="1514">
        <f t="shared" si="112"/>
        <v>0</v>
      </c>
      <c r="BC431" s="1514">
        <f t="shared" si="112"/>
        <v>0</v>
      </c>
      <c r="BD431" s="1022">
        <f>IF(AI431=0,0,(AT431-AI431)/AI431*100)</f>
        <v>0</v>
      </c>
      <c r="BE431" s="1022">
        <f t="shared" ref="BE431:BM431" ca="1" si="113">IF(AT431=0,0,(AU431-AT431)/AT431*100)</f>
        <v>0</v>
      </c>
      <c r="BF431" s="1022">
        <f t="shared" si="113"/>
        <v>0</v>
      </c>
      <c r="BG431" s="1022">
        <f t="shared" si="113"/>
        <v>0</v>
      </c>
      <c r="BH431" s="1022">
        <f t="shared" si="113"/>
        <v>0</v>
      </c>
      <c r="BI431" s="1022">
        <f t="shared" si="113"/>
        <v>0</v>
      </c>
      <c r="BJ431" s="1022">
        <f t="shared" si="113"/>
        <v>0</v>
      </c>
      <c r="BK431" s="1022">
        <f t="shared" si="113"/>
        <v>0</v>
      </c>
      <c r="BL431" s="1022">
        <f t="shared" si="113"/>
        <v>0</v>
      </c>
      <c r="BM431" s="1022">
        <f t="shared" si="113"/>
        <v>0</v>
      </c>
      <c r="BN431" s="1523"/>
      <c r="BO431" s="1525" t="str">
        <f ca="1">IF(IFERROR(INDEX('Корректировка НВВ'!$K$26:$L$180,MATCH($F431&amp;"6komm",'Корректировка НВВ'!$K$26:$K$180,0),2),"")=0,"",IFERROR(INDEX('Корректировка НВВ'!$K$26:$L$180,MATCH($F431&amp;"6komm",'Корректировка НВВ'!$K$26:$K$180,0),2),""))</f>
        <v/>
      </c>
      <c r="BP431" s="1523"/>
      <c r="BQ431" s="1184"/>
      <c r="BR431" s="1184"/>
      <c r="BS431" s="973" t="s">
        <v>1514</v>
      </c>
      <c r="BT431" s="973"/>
      <c r="BU431" s="973"/>
      <c r="BV431" s="888"/>
      <c r="BW431" s="888"/>
    </row>
    <row r="432" spans="1:75" s="1334" customFormat="1" ht="21.95" customHeight="1" x14ac:dyDescent="0.15">
      <c r="A432" s="1184"/>
      <c r="B432" s="887"/>
      <c r="C432" s="26"/>
      <c r="D432" s="26" t="str" cm="1">
        <f t="array" ref="D432">D431</f>
        <v>7</v>
      </c>
      <c r="E432" s="545">
        <v>22.5</v>
      </c>
      <c r="F432" s="3" t="str" cm="1">
        <f t="array" aca="1" ref="F432" ca="1">OFFSET(E432,-1,1)</f>
        <v>2</v>
      </c>
      <c r="G432" s="26" t="s">
        <v>2141</v>
      </c>
      <c r="H432" s="26"/>
      <c r="I432" s="26" t="s">
        <v>2142</v>
      </c>
      <c r="J432" s="26"/>
      <c r="K432" s="77" t="s">
        <v>2142</v>
      </c>
      <c r="L432" s="889" t="s">
        <v>1804</v>
      </c>
      <c r="M432" s="26"/>
      <c r="N432" s="26"/>
      <c r="O432" s="26"/>
      <c r="P432" s="26"/>
      <c r="Q432" s="26"/>
      <c r="R432" s="26"/>
      <c r="S432" s="26"/>
      <c r="T432" s="388" t="b" cm="1">
        <f t="array" aca="1" ref="T432" ca="1">T431</f>
        <v>1</v>
      </c>
      <c r="U432" s="26"/>
      <c r="V432" s="26"/>
      <c r="W432" s="26"/>
      <c r="X432" s="2066"/>
      <c r="Y432" s="1184"/>
      <c r="Z432" s="2012"/>
      <c r="AA432" s="1184"/>
      <c r="AB432" s="218" t="str">
        <f>AB431&amp;".1"</f>
        <v>7.7.1</v>
      </c>
      <c r="AC432" s="701" t="s">
        <v>1515</v>
      </c>
      <c r="AD432" s="218" t="s">
        <v>831</v>
      </c>
      <c r="AE432" s="1514">
        <v>0</v>
      </c>
      <c r="AF432" s="1514"/>
      <c r="AG432" s="1514"/>
      <c r="AH432" s="1022">
        <f t="shared" si="110"/>
        <v>0</v>
      </c>
      <c r="AI432" s="1514"/>
      <c r="AJ432" s="1514">
        <f ca="1">SUMIFS('Корректировка НВВ'!$AF$25:$AF$180,'Корректировка НВВ'!$F$25:$F$180,$F432,'Корректировка НВВ'!$I$25:$I$180,$G432)</f>
        <v>0</v>
      </c>
      <c r="AK432" s="1148"/>
      <c r="AL432" s="1148"/>
      <c r="AM432" s="1148"/>
      <c r="AN432" s="1148"/>
      <c r="AO432" s="1148"/>
      <c r="AP432" s="1148"/>
      <c r="AQ432" s="1514"/>
      <c r="AR432" s="1514"/>
      <c r="AS432" s="1514"/>
      <c r="AT432" s="1514">
        <f ca="1">SUMIFS('Корректировка НВВ'!$AG$25:$AG$180,'Корректировка НВВ'!$F$25:$F$180,$F432,'Корректировка НВВ'!$I$25:$I$180,$G432)</f>
        <v>0</v>
      </c>
      <c r="AU432" s="1148"/>
      <c r="AV432" s="1148"/>
      <c r="AW432" s="1148"/>
      <c r="AX432" s="1148"/>
      <c r="AY432" s="1148"/>
      <c r="AZ432" s="1148"/>
      <c r="BA432" s="1514"/>
      <c r="BB432" s="1514"/>
      <c r="BC432" s="1514"/>
      <c r="BD432" s="1023"/>
      <c r="BE432" s="1023"/>
      <c r="BF432" s="1023"/>
      <c r="BG432" s="1023"/>
      <c r="BH432" s="1023"/>
      <c r="BI432" s="1023"/>
      <c r="BJ432" s="1023"/>
      <c r="BK432" s="1023"/>
      <c r="BL432" s="1023"/>
      <c r="BM432" s="1023"/>
      <c r="BN432" s="1523"/>
      <c r="BO432" s="1525" t="str">
        <f ca="1">IF(IFERROR(INDEX('Корректировка НВВ'!$K$26:$L$180,MATCH($F432&amp;"7komm",'Корректировка НВВ'!$K$26:$K$180,0),2),"")=0,"",IFERROR(INDEX('Корректировка НВВ'!$K$26:$L$180,MATCH($F432&amp;"7komm",'Корректировка НВВ'!$K$26:$K$180,0),2),""))</f>
        <v/>
      </c>
      <c r="BP432" s="1523"/>
      <c r="BQ432" s="1184"/>
      <c r="BR432" s="1184"/>
      <c r="BS432" s="973" t="s">
        <v>1516</v>
      </c>
      <c r="BT432" s="973"/>
      <c r="BU432" s="973"/>
      <c r="BV432" s="888"/>
      <c r="BW432" s="888"/>
    </row>
    <row r="433" spans="1:75" s="1334" customFormat="1" ht="21.95" customHeight="1" x14ac:dyDescent="0.15">
      <c r="A433" s="1184"/>
      <c r="B433" s="887"/>
      <c r="C433" s="26"/>
      <c r="D433" s="26" t="str" cm="1">
        <f t="array" ref="D433">D432</f>
        <v>7</v>
      </c>
      <c r="E433" s="545">
        <v>22.5</v>
      </c>
      <c r="F433" s="3" t="str" cm="1">
        <f t="array" aca="1" ref="F433" ca="1">OFFSET(E433,-1,1)</f>
        <v>2</v>
      </c>
      <c r="G433" s="26" t="s">
        <v>2143</v>
      </c>
      <c r="H433" s="26"/>
      <c r="I433" s="26" t="s">
        <v>2144</v>
      </c>
      <c r="J433" s="26"/>
      <c r="K433" s="77" t="s">
        <v>2144</v>
      </c>
      <c r="L433" s="889" t="s">
        <v>1806</v>
      </c>
      <c r="M433" s="26"/>
      <c r="N433" s="26"/>
      <c r="O433" s="26"/>
      <c r="P433" s="26"/>
      <c r="Q433" s="26"/>
      <c r="R433" s="26"/>
      <c r="S433" s="26"/>
      <c r="T433" s="388" t="b" cm="1">
        <f t="array" aca="1" ref="T433" ca="1">T432</f>
        <v>1</v>
      </c>
      <c r="U433" s="26"/>
      <c r="V433" s="26"/>
      <c r="W433" s="26"/>
      <c r="X433" s="2066"/>
      <c r="Y433" s="1184"/>
      <c r="Z433" s="2012"/>
      <c r="AA433" s="1184"/>
      <c r="AB433" s="218" t="str">
        <f>AB431&amp;".2"</f>
        <v>7.7.2</v>
      </c>
      <c r="AC433" s="701" t="s">
        <v>1517</v>
      </c>
      <c r="AD433" s="218" t="s">
        <v>831</v>
      </c>
      <c r="AE433" s="1514">
        <v>0</v>
      </c>
      <c r="AF433" s="1514"/>
      <c r="AG433" s="1514"/>
      <c r="AH433" s="1022">
        <f t="shared" si="110"/>
        <v>0</v>
      </c>
      <c r="AI433" s="1514"/>
      <c r="AJ433" s="1514">
        <f ca="1">SUMIFS('Корректировка НВВ'!$AF$25:$AF$180,'Корректировка НВВ'!$F$25:$F$180,$F433,'Корректировка НВВ'!$I$25:$I$180,$G433)</f>
        <v>0</v>
      </c>
      <c r="AK433" s="1148"/>
      <c r="AL433" s="1148"/>
      <c r="AM433" s="1148"/>
      <c r="AN433" s="1148"/>
      <c r="AO433" s="1148"/>
      <c r="AP433" s="1148"/>
      <c r="AQ433" s="1514"/>
      <c r="AR433" s="1514"/>
      <c r="AS433" s="1514"/>
      <c r="AT433" s="1514">
        <f ca="1">SUMIFS('Корректировка НВВ'!$AG$25:$AG$180,'Корректировка НВВ'!$F$25:$F$180,$F433,'Корректировка НВВ'!$I$25:$I$180,$G433)</f>
        <v>0</v>
      </c>
      <c r="AU433" s="1148"/>
      <c r="AV433" s="1148"/>
      <c r="AW433" s="1148"/>
      <c r="AX433" s="1148"/>
      <c r="AY433" s="1148"/>
      <c r="AZ433" s="1148"/>
      <c r="BA433" s="1514"/>
      <c r="BB433" s="1514"/>
      <c r="BC433" s="1514"/>
      <c r="BD433" s="1023"/>
      <c r="BE433" s="1023"/>
      <c r="BF433" s="1023"/>
      <c r="BG433" s="1023"/>
      <c r="BH433" s="1023"/>
      <c r="BI433" s="1023"/>
      <c r="BJ433" s="1023"/>
      <c r="BK433" s="1023"/>
      <c r="BL433" s="1023"/>
      <c r="BM433" s="1023"/>
      <c r="BN433" s="1523"/>
      <c r="BO433" s="1525" t="str">
        <f ca="1">IF(IFERROR(INDEX('Корректировка НВВ'!$K$26:$L$180,MATCH($F433&amp;"8komm",'Корректировка НВВ'!$K$26:$K$180,0),2),"")=0,"",IFERROR(INDEX('Корректировка НВВ'!$K$26:$L$180,MATCH($F433&amp;"8komm",'Корректировка НВВ'!$K$26:$K$180,0),2),""))</f>
        <v/>
      </c>
      <c r="BP433" s="1523"/>
      <c r="BQ433" s="1184"/>
      <c r="BR433" s="1184"/>
      <c r="BS433" s="973" t="s">
        <v>1518</v>
      </c>
      <c r="BT433" s="973"/>
      <c r="BU433" s="973"/>
      <c r="BV433" s="888"/>
      <c r="BW433" s="888"/>
    </row>
    <row r="434" spans="1:75" s="1334" customFormat="1" ht="14.65" customHeight="1" x14ac:dyDescent="0.15">
      <c r="A434" s="1184"/>
      <c r="B434" s="887"/>
      <c r="C434" s="26"/>
      <c r="D434" s="26" t="str" cm="1">
        <f t="array" ref="D434">D433</f>
        <v>7</v>
      </c>
      <c r="E434" s="545">
        <v>15</v>
      </c>
      <c r="F434" s="3" t="str" cm="1">
        <f t="array" aca="1" ref="F434" ca="1">OFFSET(E434,-1,1)</f>
        <v>2</v>
      </c>
      <c r="G434" s="26" t="s">
        <v>318</v>
      </c>
      <c r="H434" s="26"/>
      <c r="I434" s="26" t="s">
        <v>1810</v>
      </c>
      <c r="J434" s="26"/>
      <c r="K434" s="77" t="s">
        <v>1810</v>
      </c>
      <c r="L434" s="889" t="s">
        <v>1809</v>
      </c>
      <c r="M434" s="26"/>
      <c r="N434" s="26"/>
      <c r="O434" s="26"/>
      <c r="P434" s="26"/>
      <c r="Q434" s="26"/>
      <c r="R434" s="26"/>
      <c r="S434" s="26"/>
      <c r="T434" s="388" t="b" cm="1">
        <f t="array" aca="1" ref="T434" ca="1">T433</f>
        <v>1</v>
      </c>
      <c r="U434" s="26"/>
      <c r="V434" s="26"/>
      <c r="W434" s="26"/>
      <c r="X434" s="2066"/>
      <c r="Y434" s="1184"/>
      <c r="Z434" s="2012"/>
      <c r="AA434" s="1184"/>
      <c r="AB434" s="218" t="str">
        <f>IF(B429,D430&amp;".8",D430&amp;".6")</f>
        <v>7.8</v>
      </c>
      <c r="AC434" s="702" t="s">
        <v>1519</v>
      </c>
      <c r="AD434" s="218" t="s">
        <v>831</v>
      </c>
      <c r="AE434" s="1514">
        <v>0</v>
      </c>
      <c r="AF434" s="1514"/>
      <c r="AG434" s="1514"/>
      <c r="AH434" s="1022">
        <f t="shared" si="110"/>
        <v>0</v>
      </c>
      <c r="AI434" s="1514"/>
      <c r="AJ434" s="1514">
        <f ca="1">SUMIFS('Корректировка НВВ'!$AF$25:$AF$180,'Корректировка НВВ'!$F$25:$F$180,$F434,'Корректировка НВВ'!$I$25:$I$180,$G434)</f>
        <v>0</v>
      </c>
      <c r="AK434" s="1148"/>
      <c r="AL434" s="1148"/>
      <c r="AM434" s="1148"/>
      <c r="AN434" s="1148"/>
      <c r="AO434" s="1148"/>
      <c r="AP434" s="1148"/>
      <c r="AQ434" s="1514"/>
      <c r="AR434" s="1514"/>
      <c r="AS434" s="1514"/>
      <c r="AT434" s="1514">
        <f ca="1">SUMIFS('Корректировка НВВ'!$AG$25:$AG$180,'Корректировка НВВ'!$F$25:$F$180,$F434,'Корректировка НВВ'!$I$25:$I$180,$G434)</f>
        <v>0</v>
      </c>
      <c r="AU434" s="1148"/>
      <c r="AV434" s="1148"/>
      <c r="AW434" s="1148"/>
      <c r="AX434" s="1148"/>
      <c r="AY434" s="1148"/>
      <c r="AZ434" s="1148"/>
      <c r="BA434" s="1514"/>
      <c r="BB434" s="1514"/>
      <c r="BC434" s="1514"/>
      <c r="BD434" s="1023"/>
      <c r="BE434" s="1023"/>
      <c r="BF434" s="1023"/>
      <c r="BG434" s="1023"/>
      <c r="BH434" s="1023"/>
      <c r="BI434" s="1023"/>
      <c r="BJ434" s="1023"/>
      <c r="BK434" s="1023"/>
      <c r="BL434" s="1023"/>
      <c r="BM434" s="1023"/>
      <c r="BN434" s="1523"/>
      <c r="BO434" s="1525" t="str">
        <f ca="1">IF(IFERROR(INDEX('Корректировка НВВ'!$K$26:$L$180,MATCH($F434&amp;"9komm",'Корректировка НВВ'!$K$26:$K$180,0),2),"")=0,"",IFERROR(INDEX('Корректировка НВВ'!$K$26:$L$180,MATCH($F434&amp;"9komm",'Корректировка НВВ'!$K$26:$K$180,0),2),""))</f>
        <v/>
      </c>
      <c r="BP434" s="1523"/>
      <c r="BQ434" s="1184"/>
      <c r="BR434" s="1184"/>
      <c r="BS434" s="973" t="s">
        <v>2145</v>
      </c>
      <c r="BT434" s="973"/>
      <c r="BU434" s="973"/>
      <c r="BV434" s="888"/>
      <c r="BW434" s="888"/>
    </row>
    <row r="435" spans="1:75" s="1334" customFormat="1" ht="14.65" customHeight="1" x14ac:dyDescent="0.15">
      <c r="A435" s="1184"/>
      <c r="B435" s="887"/>
      <c r="C435" s="26"/>
      <c r="D435" s="26" t="str" cm="1">
        <f t="array" ref="D435">D434</f>
        <v>7</v>
      </c>
      <c r="E435" s="545">
        <v>15</v>
      </c>
      <c r="F435" s="3" t="str" cm="1">
        <f t="array" aca="1" ref="F435" ca="1">OFFSET(E435,-1,1)</f>
        <v>2</v>
      </c>
      <c r="G435" s="26" t="s">
        <v>2146</v>
      </c>
      <c r="H435" s="26"/>
      <c r="I435" s="26" t="s">
        <v>1812</v>
      </c>
      <c r="J435" s="26"/>
      <c r="K435" s="77" t="s">
        <v>1812</v>
      </c>
      <c r="L435" s="889" t="s">
        <v>1810</v>
      </c>
      <c r="M435" s="26"/>
      <c r="N435" s="26"/>
      <c r="O435" s="26"/>
      <c r="P435" s="26"/>
      <c r="Q435" s="26"/>
      <c r="R435" s="26"/>
      <c r="S435" s="26"/>
      <c r="T435" s="388" t="b" cm="1">
        <f t="array" aca="1" ref="T435" ca="1">T434</f>
        <v>1</v>
      </c>
      <c r="U435" s="26"/>
      <c r="V435" s="26"/>
      <c r="W435" s="26"/>
      <c r="X435" s="2066"/>
      <c r="Y435" s="1184"/>
      <c r="Z435" s="2012"/>
      <c r="AA435" s="1184"/>
      <c r="AB435" s="218" t="str">
        <f>IF(B429,D430&amp;".9",D430&amp;".7")</f>
        <v>7.9</v>
      </c>
      <c r="AC435" s="702" t="s">
        <v>1521</v>
      </c>
      <c r="AD435" s="218" t="s">
        <v>831</v>
      </c>
      <c r="AE435" s="1514">
        <v>0</v>
      </c>
      <c r="AF435" s="1514"/>
      <c r="AG435" s="1514"/>
      <c r="AH435" s="1022">
        <f t="shared" si="110"/>
        <v>0</v>
      </c>
      <c r="AI435" s="1514"/>
      <c r="AJ435" s="1514">
        <f ca="1">SUMIFS('Корректировка НВВ'!$AF$25:$AF$180,'Корректировка НВВ'!$F$25:$F$180,$F435,'Корректировка НВВ'!$I$25:$I$180,$G435)</f>
        <v>0</v>
      </c>
      <c r="AK435" s="1148"/>
      <c r="AL435" s="1148"/>
      <c r="AM435" s="1148"/>
      <c r="AN435" s="1148"/>
      <c r="AO435" s="1148"/>
      <c r="AP435" s="1148"/>
      <c r="AQ435" s="1514"/>
      <c r="AR435" s="1514"/>
      <c r="AS435" s="1514"/>
      <c r="AT435" s="1514">
        <f ca="1">SUMIFS('Корректировка НВВ'!$AG$25:$AG$180,'Корректировка НВВ'!$F$25:$F$180,$F435,'Корректировка НВВ'!$I$25:$I$180,$G435)</f>
        <v>0</v>
      </c>
      <c r="AU435" s="1148"/>
      <c r="AV435" s="1148"/>
      <c r="AW435" s="1148"/>
      <c r="AX435" s="1148"/>
      <c r="AY435" s="1148"/>
      <c r="AZ435" s="1148"/>
      <c r="BA435" s="1514"/>
      <c r="BB435" s="1514"/>
      <c r="BC435" s="1514"/>
      <c r="BD435" s="1023"/>
      <c r="BE435" s="1023"/>
      <c r="BF435" s="1023"/>
      <c r="BG435" s="1023"/>
      <c r="BH435" s="1023"/>
      <c r="BI435" s="1023"/>
      <c r="BJ435" s="1023"/>
      <c r="BK435" s="1023"/>
      <c r="BL435" s="1023"/>
      <c r="BM435" s="1023"/>
      <c r="BN435" s="1523"/>
      <c r="BO435" s="1525" t="str">
        <f ca="1">IF(IFERROR(INDEX('Корректировка НВВ'!$K$26:$L$180,MATCH($F435&amp;"10komm",'Корректировка НВВ'!$K$26:$K$180,0),2),"")=0,"",IFERROR(INDEX('Корректировка НВВ'!$K$26:$L$180,MATCH($F435&amp;"10komm",'Корректировка НВВ'!$K$26:$K$180,0),2),""))</f>
        <v/>
      </c>
      <c r="BP435" s="1523"/>
      <c r="BQ435" s="1184"/>
      <c r="BR435" s="1184"/>
      <c r="BS435" s="973" t="s">
        <v>1522</v>
      </c>
      <c r="BT435" s="973"/>
      <c r="BU435" s="973"/>
      <c r="BV435" s="888"/>
      <c r="BW435" s="888"/>
    </row>
    <row r="436" spans="1:75" s="1554" customFormat="1" ht="222.75" customHeight="1" x14ac:dyDescent="0.15">
      <c r="A436" s="623"/>
      <c r="B436" s="357"/>
      <c r="C436" s="28"/>
      <c r="D436" s="28">
        <f>D435+1</f>
        <v>8</v>
      </c>
      <c r="E436" s="745">
        <v>21</v>
      </c>
      <c r="F436" s="3" t="str" cm="1">
        <f t="array" aca="1" ref="F436" ca="1">OFFSET(E436,-1,1)</f>
        <v>2</v>
      </c>
      <c r="G436" s="28"/>
      <c r="H436" s="28"/>
      <c r="I436" s="28" t="s">
        <v>613</v>
      </c>
      <c r="J436" s="28"/>
      <c r="K436" s="81" t="s">
        <v>613</v>
      </c>
      <c r="L436" s="894"/>
      <c r="M436" s="28"/>
      <c r="N436" s="28"/>
      <c r="O436" s="28"/>
      <c r="P436" s="28"/>
      <c r="Q436" s="28"/>
      <c r="R436" s="28"/>
      <c r="S436" s="28"/>
      <c r="T436" s="388" t="b" cm="1">
        <f t="array" aca="1" ref="T436" ca="1">T435</f>
        <v>1</v>
      </c>
      <c r="U436" s="28"/>
      <c r="V436" s="28"/>
      <c r="W436" s="28"/>
      <c r="X436" s="2066"/>
      <c r="Y436" s="623"/>
      <c r="Z436" s="2012"/>
      <c r="AA436" s="623"/>
      <c r="AB436" s="130" cm="1">
        <f t="array" ref="AB436">D436</f>
        <v>8</v>
      </c>
      <c r="AC436" s="131" t="s">
        <v>2147</v>
      </c>
      <c r="AD436" s="130" t="s">
        <v>831</v>
      </c>
      <c r="AE436" s="1518"/>
      <c r="AF436" s="1518"/>
      <c r="AG436" s="1518"/>
      <c r="AH436" s="698">
        <f t="shared" si="110"/>
        <v>0</v>
      </c>
      <c r="AI436" s="1518">
        <v>-2000</v>
      </c>
      <c r="AJ436" s="1518"/>
      <c r="AK436" s="1144"/>
      <c r="AL436" s="1144"/>
      <c r="AM436" s="1144"/>
      <c r="AN436" s="1144"/>
      <c r="AO436" s="1144"/>
      <c r="AP436" s="1144"/>
      <c r="AQ436" s="1518"/>
      <c r="AR436" s="1518"/>
      <c r="AS436" s="1518"/>
      <c r="AT436" s="1518"/>
      <c r="AU436" s="1144"/>
      <c r="AV436" s="1144"/>
      <c r="AW436" s="1144"/>
      <c r="AX436" s="1144"/>
      <c r="AY436" s="1144"/>
      <c r="AZ436" s="1144"/>
      <c r="BA436" s="1518"/>
      <c r="BB436" s="1518"/>
      <c r="BC436" s="1518"/>
      <c r="BD436" s="135"/>
      <c r="BE436" s="135"/>
      <c r="BF436" s="135"/>
      <c r="BG436" s="135"/>
      <c r="BH436" s="135"/>
      <c r="BI436" s="135"/>
      <c r="BJ436" s="135"/>
      <c r="BK436" s="135"/>
      <c r="BL436" s="135"/>
      <c r="BM436" s="135"/>
      <c r="BN436" s="1524"/>
      <c r="BO436" s="1524" t="s">
        <v>2195</v>
      </c>
      <c r="BP436" s="1524"/>
      <c r="BQ436" s="623"/>
      <c r="BR436" s="623"/>
      <c r="BS436" s="979" t="s">
        <v>2148</v>
      </c>
      <c r="BT436" s="979"/>
      <c r="BU436" s="979"/>
      <c r="BV436" s="630"/>
      <c r="BW436" s="630"/>
    </row>
    <row r="437" spans="1:75" s="1334" customFormat="1" ht="14.25" customHeight="1" x14ac:dyDescent="0.15">
      <c r="A437" s="1184"/>
      <c r="B437" s="887"/>
      <c r="C437" s="26"/>
      <c r="D437" s="28" cm="1">
        <f t="array" ref="D437">D436</f>
        <v>8</v>
      </c>
      <c r="E437" s="545">
        <v>15</v>
      </c>
      <c r="F437" s="3" t="str" cm="1">
        <f t="array" aca="1" ref="F437" ca="1">OFFSET(E437,-1,1)</f>
        <v>2</v>
      </c>
      <c r="G437" s="26"/>
      <c r="H437" s="26"/>
      <c r="I437" s="26" t="s">
        <v>616</v>
      </c>
      <c r="J437" s="26"/>
      <c r="K437" s="77" t="s">
        <v>616</v>
      </c>
      <c r="L437" s="889"/>
      <c r="M437" s="26"/>
      <c r="N437" s="26"/>
      <c r="O437" s="26"/>
      <c r="P437" s="26"/>
      <c r="Q437" s="26"/>
      <c r="R437" s="26"/>
      <c r="S437" s="26"/>
      <c r="T437" s="388" t="b" cm="1">
        <f t="array" aca="1" ref="T437" ca="1">T436</f>
        <v>1</v>
      </c>
      <c r="U437" s="26"/>
      <c r="V437" s="26"/>
      <c r="W437" s="26"/>
      <c r="X437" s="2066"/>
      <c r="Y437" s="1184"/>
      <c r="Z437" s="2012"/>
      <c r="AA437" s="1184"/>
      <c r="AB437" s="218" t="str">
        <f>D437&amp;".1"</f>
        <v>8.1</v>
      </c>
      <c r="AC437" s="682" t="s">
        <v>2149</v>
      </c>
      <c r="AD437" s="218" t="s">
        <v>490</v>
      </c>
      <c r="AE437" s="1022">
        <f ca="1">IF(AE438=0,0,AE436/(AE438+AE423)*100)</f>
        <v>0</v>
      </c>
      <c r="AF437" s="1022">
        <f ca="1">IF(AF438=0,0,AF436/(AF438+AF423)*100)</f>
        <v>0</v>
      </c>
      <c r="AG437" s="1022">
        <f ca="1">IF(AG438=0,0,AG436/(AG438+AG423)*100)</f>
        <v>0</v>
      </c>
      <c r="AH437" s="1022">
        <f t="shared" ca="1" si="110"/>
        <v>0</v>
      </c>
      <c r="AI437" s="1022">
        <f t="shared" ref="AI437:BC437" ca="1" si="114">IF(AI438=0,0,AI436/(AI438+AI423)*100)</f>
        <v>-6.8826166592174127</v>
      </c>
      <c r="AJ437" s="1022">
        <f t="shared" ca="1" si="114"/>
        <v>0</v>
      </c>
      <c r="AK437" s="1022">
        <f t="shared" ca="1" si="114"/>
        <v>0</v>
      </c>
      <c r="AL437" s="1022">
        <f t="shared" ca="1" si="114"/>
        <v>0</v>
      </c>
      <c r="AM437" s="1022">
        <f t="shared" ca="1" si="114"/>
        <v>0</v>
      </c>
      <c r="AN437" s="1022">
        <f t="shared" ca="1" si="114"/>
        <v>0</v>
      </c>
      <c r="AO437" s="1022">
        <f t="shared" ca="1" si="114"/>
        <v>0</v>
      </c>
      <c r="AP437" s="1022">
        <f t="shared" ca="1" si="114"/>
        <v>0</v>
      </c>
      <c r="AQ437" s="1022">
        <f t="shared" ca="1" si="114"/>
        <v>0</v>
      </c>
      <c r="AR437" s="1022">
        <f t="shared" ca="1" si="114"/>
        <v>0</v>
      </c>
      <c r="AS437" s="1022">
        <f t="shared" ca="1" si="114"/>
        <v>0</v>
      </c>
      <c r="AT437" s="1022">
        <f t="shared" ca="1" si="114"/>
        <v>0</v>
      </c>
      <c r="AU437" s="1022">
        <f t="shared" ca="1" si="114"/>
        <v>0</v>
      </c>
      <c r="AV437" s="1022">
        <f t="shared" ca="1" si="114"/>
        <v>0</v>
      </c>
      <c r="AW437" s="1022">
        <f t="shared" ca="1" si="114"/>
        <v>0</v>
      </c>
      <c r="AX437" s="1022">
        <f t="shared" ca="1" si="114"/>
        <v>0</v>
      </c>
      <c r="AY437" s="1022">
        <f t="shared" ca="1" si="114"/>
        <v>0</v>
      </c>
      <c r="AZ437" s="1022">
        <f t="shared" ca="1" si="114"/>
        <v>0</v>
      </c>
      <c r="BA437" s="1022">
        <f t="shared" ca="1" si="114"/>
        <v>0</v>
      </c>
      <c r="BB437" s="1022">
        <f t="shared" ca="1" si="114"/>
        <v>0</v>
      </c>
      <c r="BC437" s="1022">
        <f t="shared" ca="1" si="114"/>
        <v>0</v>
      </c>
      <c r="BD437" s="1023"/>
      <c r="BE437" s="1023"/>
      <c r="BF437" s="1023"/>
      <c r="BG437" s="1023"/>
      <c r="BH437" s="1023"/>
      <c r="BI437" s="1023"/>
      <c r="BJ437" s="1023"/>
      <c r="BK437" s="1023"/>
      <c r="BL437" s="1023"/>
      <c r="BM437" s="1023"/>
      <c r="BN437" s="1523"/>
      <c r="BO437" s="1523"/>
      <c r="BP437" s="1523"/>
      <c r="BQ437" s="1184"/>
      <c r="BR437" s="1184"/>
      <c r="BS437" s="973" t="s">
        <v>2150</v>
      </c>
      <c r="BT437" s="973"/>
      <c r="BU437" s="973"/>
      <c r="BV437" s="888"/>
      <c r="BW437" s="888"/>
    </row>
    <row r="438" spans="1:75" s="1555" customFormat="1" ht="20.25" customHeight="1" x14ac:dyDescent="0.15">
      <c r="A438" s="623"/>
      <c r="B438" s="357"/>
      <c r="C438" s="28"/>
      <c r="D438" s="28">
        <f>D437+1</f>
        <v>9</v>
      </c>
      <c r="E438" s="745">
        <v>21</v>
      </c>
      <c r="F438" s="3" t="str" cm="1">
        <f t="array" aca="1" ref="F438" ca="1">OFFSET(E438,-1,1)</f>
        <v>2</v>
      </c>
      <c r="G438" s="28"/>
      <c r="H438" s="26"/>
      <c r="I438" s="26" t="s">
        <v>770</v>
      </c>
      <c r="J438" s="28"/>
      <c r="K438" s="77" t="s">
        <v>770</v>
      </c>
      <c r="L438" s="894" t="s">
        <v>1812</v>
      </c>
      <c r="M438" s="28"/>
      <c r="N438" s="28"/>
      <c r="O438" s="28"/>
      <c r="P438" s="28"/>
      <c r="Q438" s="28"/>
      <c r="R438" s="28"/>
      <c r="S438" s="28"/>
      <c r="T438" s="388" t="b" cm="1">
        <f t="array" aca="1" ref="T438" ca="1">T437</f>
        <v>1</v>
      </c>
      <c r="U438" s="28"/>
      <c r="V438" s="28"/>
      <c r="W438" s="28"/>
      <c r="X438" s="2066"/>
      <c r="Y438" s="623"/>
      <c r="Z438" s="2012"/>
      <c r="AA438" s="623"/>
      <c r="AB438" s="130" cm="1">
        <f t="array" ref="AB438">D438</f>
        <v>9</v>
      </c>
      <c r="AC438" s="131" t="s">
        <v>1814</v>
      </c>
      <c r="AD438" s="153" t="s">
        <v>831</v>
      </c>
      <c r="AE438" s="132">
        <f ca="1">AE316+AE366+AE402+AE403+AE405+AE410+AE411+AE414</f>
        <v>113902.79347755208</v>
      </c>
      <c r="AF438" s="132">
        <f ca="1">AF316+AF366+AF402+AF403+AF405+AF410+AF411+AF414</f>
        <v>31413.790000000005</v>
      </c>
      <c r="AG438" s="132">
        <f ca="1">AG316+AG366+AG402+AG403+AG405+AG410+AG411+AG414</f>
        <v>26742.55461392389</v>
      </c>
      <c r="AH438" s="698">
        <f t="shared" ca="1" si="110"/>
        <v>-4671.2353860761141</v>
      </c>
      <c r="AI438" s="132">
        <f t="shared" ref="AI438:BC438" ca="1" si="115">AI316+AI366+AI402+AI403+AI405+AI410+AI411+AI414</f>
        <v>29058.715587792303</v>
      </c>
      <c r="AJ438" s="132">
        <f t="shared" ca="1" si="115"/>
        <v>36566.090000000004</v>
      </c>
      <c r="AK438" s="132">
        <f t="shared" ca="1" si="115"/>
        <v>27716.99</v>
      </c>
      <c r="AL438" s="132">
        <f t="shared" ca="1" si="115"/>
        <v>28825.659999999996</v>
      </c>
      <c r="AM438" s="132">
        <f t="shared" ca="1" si="115"/>
        <v>29978.7</v>
      </c>
      <c r="AN438" s="132">
        <f t="shared" ca="1" si="115"/>
        <v>31177.840000000004</v>
      </c>
      <c r="AO438" s="132">
        <f t="shared" ca="1" si="115"/>
        <v>32424.959999999999</v>
      </c>
      <c r="AP438" s="132">
        <f t="shared" ca="1" si="115"/>
        <v>33721.96</v>
      </c>
      <c r="AQ438" s="132">
        <f t="shared" ca="1" si="115"/>
        <v>0</v>
      </c>
      <c r="AR438" s="132">
        <f t="shared" ca="1" si="115"/>
        <v>0</v>
      </c>
      <c r="AS438" s="132">
        <f t="shared" ca="1" si="115"/>
        <v>0</v>
      </c>
      <c r="AT438" s="132">
        <f t="shared" ca="1" si="115"/>
        <v>34214.35</v>
      </c>
      <c r="AU438" s="132">
        <f t="shared" ca="1" si="115"/>
        <v>27103.42</v>
      </c>
      <c r="AV438" s="132">
        <f t="shared" ca="1" si="115"/>
        <v>27916.53</v>
      </c>
      <c r="AW438" s="132">
        <f t="shared" ca="1" si="115"/>
        <v>28754.020000000004</v>
      </c>
      <c r="AX438" s="132">
        <f t="shared" ca="1" si="115"/>
        <v>29616.649999999998</v>
      </c>
      <c r="AY438" s="132">
        <f t="shared" ca="1" si="115"/>
        <v>30505.149999999998</v>
      </c>
      <c r="AZ438" s="132">
        <f t="shared" ca="1" si="115"/>
        <v>31420.309999999998</v>
      </c>
      <c r="BA438" s="132">
        <f t="shared" ca="1" si="115"/>
        <v>0</v>
      </c>
      <c r="BB438" s="132">
        <f t="shared" ca="1" si="115"/>
        <v>0</v>
      </c>
      <c r="BC438" s="132">
        <f t="shared" ca="1" si="115"/>
        <v>0</v>
      </c>
      <c r="BD438" s="698">
        <f ca="1">IF(AI438=0,0,(AT438-AI438)/AI438*100)</f>
        <v>17.742127647147626</v>
      </c>
      <c r="BE438" s="698">
        <f t="shared" ref="BE438:BM439" ca="1" si="116">IF(AT438=0,0,(AU438-AT438)/AT438*100)</f>
        <v>-20.78347243188896</v>
      </c>
      <c r="BF438" s="698">
        <f t="shared" ca="1" si="116"/>
        <v>3.0000273028274687</v>
      </c>
      <c r="BG438" s="698">
        <f t="shared" ca="1" si="116"/>
        <v>2.9999788655681967</v>
      </c>
      <c r="BH438" s="698">
        <f t="shared" ca="1" si="116"/>
        <v>3.0000326910810857</v>
      </c>
      <c r="BI438" s="698">
        <f t="shared" ca="1" si="116"/>
        <v>3.0000016882395548</v>
      </c>
      <c r="BJ438" s="698">
        <f t="shared" ca="1" si="116"/>
        <v>3.0000180297425185</v>
      </c>
      <c r="BK438" s="698">
        <f t="shared" ca="1" si="116"/>
        <v>-100</v>
      </c>
      <c r="BL438" s="698">
        <f t="shared" ca="1" si="116"/>
        <v>0</v>
      </c>
      <c r="BM438" s="698">
        <f t="shared" ca="1" si="116"/>
        <v>0</v>
      </c>
      <c r="BN438" s="1523"/>
      <c r="BO438" s="1523"/>
      <c r="BP438" s="1523"/>
      <c r="BQ438" s="623"/>
      <c r="BR438" s="623"/>
      <c r="BS438" s="979" t="s">
        <v>1815</v>
      </c>
      <c r="BT438" s="979"/>
      <c r="BU438" s="979"/>
      <c r="BV438" s="630"/>
      <c r="BW438" s="630"/>
    </row>
    <row r="439" spans="1:75" s="1556" customFormat="1" ht="20.25" customHeight="1" x14ac:dyDescent="0.15">
      <c r="A439" s="623"/>
      <c r="B439" s="357"/>
      <c r="C439" s="28"/>
      <c r="D439" s="28">
        <f>D438+1</f>
        <v>10</v>
      </c>
      <c r="E439" s="745">
        <v>21</v>
      </c>
      <c r="F439" s="3" t="str" cm="1">
        <f t="array" aca="1" ref="F439" ca="1">OFFSET(E439,-1,1)</f>
        <v>2</v>
      </c>
      <c r="G439" s="28"/>
      <c r="H439" s="26"/>
      <c r="I439" s="26" t="s">
        <v>1824</v>
      </c>
      <c r="J439" s="28"/>
      <c r="K439" s="77" t="s">
        <v>1824</v>
      </c>
      <c r="L439" s="894"/>
      <c r="M439" s="28"/>
      <c r="N439" s="28"/>
      <c r="O439" s="28"/>
      <c r="P439" s="28"/>
      <c r="Q439" s="28"/>
      <c r="R439" s="28"/>
      <c r="S439" s="28"/>
      <c r="T439" s="388" t="b" cm="1">
        <f t="array" aca="1" ref="T439" ca="1">T438</f>
        <v>1</v>
      </c>
      <c r="U439" s="28"/>
      <c r="V439" s="28"/>
      <c r="W439" s="28"/>
      <c r="X439" s="2066"/>
      <c r="Y439" s="623"/>
      <c r="Z439" s="2012"/>
      <c r="AA439" s="623"/>
      <c r="AB439" s="130" cm="1">
        <f t="array" ref="AB439">D439</f>
        <v>10</v>
      </c>
      <c r="AC439" s="131" t="s">
        <v>2151</v>
      </c>
      <c r="AD439" s="130" t="s">
        <v>831</v>
      </c>
      <c r="AE439" s="132">
        <f t="shared" ref="AE439:BC439" ca="1" si="117">AE438+AE423+AE436</f>
        <v>113902.79347755208</v>
      </c>
      <c r="AF439" s="132">
        <f t="shared" ca="1" si="117"/>
        <v>31413.790000000005</v>
      </c>
      <c r="AG439" s="132">
        <f t="shared" ca="1" si="117"/>
        <v>26742.55461392389</v>
      </c>
      <c r="AH439" s="132">
        <f t="shared" ca="1" si="117"/>
        <v>-4671.2353860761141</v>
      </c>
      <c r="AI439" s="132">
        <f t="shared" ca="1" si="117"/>
        <v>27058.715587792303</v>
      </c>
      <c r="AJ439" s="132">
        <f t="shared" ca="1" si="117"/>
        <v>40451.71</v>
      </c>
      <c r="AK439" s="132">
        <f t="shared" ca="1" si="117"/>
        <v>27716.99</v>
      </c>
      <c r="AL439" s="132">
        <f t="shared" ca="1" si="117"/>
        <v>28825.659999999996</v>
      </c>
      <c r="AM439" s="132">
        <f t="shared" ca="1" si="117"/>
        <v>29978.7</v>
      </c>
      <c r="AN439" s="132">
        <f t="shared" ca="1" si="117"/>
        <v>31177.840000000004</v>
      </c>
      <c r="AO439" s="132">
        <f t="shared" ca="1" si="117"/>
        <v>32424.959999999999</v>
      </c>
      <c r="AP439" s="132">
        <f t="shared" ca="1" si="117"/>
        <v>33721.96</v>
      </c>
      <c r="AQ439" s="132">
        <f t="shared" ca="1" si="117"/>
        <v>0</v>
      </c>
      <c r="AR439" s="132">
        <f t="shared" ca="1" si="117"/>
        <v>0</v>
      </c>
      <c r="AS439" s="132">
        <f t="shared" ca="1" si="117"/>
        <v>0</v>
      </c>
      <c r="AT439" s="132">
        <f t="shared" ca="1" si="117"/>
        <v>52633.809219999996</v>
      </c>
      <c r="AU439" s="132">
        <f t="shared" ca="1" si="117"/>
        <v>27103.42</v>
      </c>
      <c r="AV439" s="132">
        <f t="shared" ca="1" si="117"/>
        <v>27916.53</v>
      </c>
      <c r="AW439" s="132">
        <f t="shared" ca="1" si="117"/>
        <v>28754.020000000004</v>
      </c>
      <c r="AX439" s="132">
        <f t="shared" ca="1" si="117"/>
        <v>29616.649999999998</v>
      </c>
      <c r="AY439" s="132">
        <f t="shared" ca="1" si="117"/>
        <v>30505.149999999998</v>
      </c>
      <c r="AZ439" s="132">
        <f t="shared" ca="1" si="117"/>
        <v>31420.309999999998</v>
      </c>
      <c r="BA439" s="132">
        <f t="shared" ca="1" si="117"/>
        <v>0</v>
      </c>
      <c r="BB439" s="132">
        <f t="shared" ca="1" si="117"/>
        <v>0</v>
      </c>
      <c r="BC439" s="132">
        <f t="shared" ca="1" si="117"/>
        <v>0</v>
      </c>
      <c r="BD439" s="698">
        <f ca="1">IF(AI439=0,0,(AT439-AI439)/AI439*100)</f>
        <v>94.517027422196065</v>
      </c>
      <c r="BE439" s="698">
        <f t="shared" ca="1" si="116"/>
        <v>-48.50568408090605</v>
      </c>
      <c r="BF439" s="698">
        <f t="shared" ca="1" si="116"/>
        <v>3.0000273028274687</v>
      </c>
      <c r="BG439" s="698">
        <f t="shared" ca="1" si="116"/>
        <v>2.9999788655681967</v>
      </c>
      <c r="BH439" s="698">
        <f t="shared" ca="1" si="116"/>
        <v>3.0000326910810857</v>
      </c>
      <c r="BI439" s="698">
        <f t="shared" ca="1" si="116"/>
        <v>3.0000016882395548</v>
      </c>
      <c r="BJ439" s="698">
        <f t="shared" ca="1" si="116"/>
        <v>3.0000180297425185</v>
      </c>
      <c r="BK439" s="698">
        <f t="shared" ca="1" si="116"/>
        <v>-100</v>
      </c>
      <c r="BL439" s="698">
        <f t="shared" ca="1" si="116"/>
        <v>0</v>
      </c>
      <c r="BM439" s="698">
        <f t="shared" ca="1" si="116"/>
        <v>0</v>
      </c>
      <c r="BN439" s="1523"/>
      <c r="BO439" s="1523"/>
      <c r="BP439" s="1523"/>
      <c r="BQ439" s="623"/>
      <c r="BR439" s="623"/>
      <c r="BS439" s="979" t="s">
        <v>2152</v>
      </c>
      <c r="BT439" s="979"/>
      <c r="BU439" s="979"/>
      <c r="BV439" s="630"/>
      <c r="BW439" s="630"/>
    </row>
    <row r="440" spans="1:75" s="1334" customFormat="1" ht="14.25" hidden="1" customHeight="1" x14ac:dyDescent="0.25">
      <c r="A440" s="1184"/>
      <c r="B440" s="367" t="b">
        <f>A315="двухставочный"</f>
        <v>0</v>
      </c>
      <c r="C440" s="26"/>
      <c r="D440" s="26" cm="1">
        <f t="array" ref="D440">D439</f>
        <v>10</v>
      </c>
      <c r="E440" s="545">
        <v>15</v>
      </c>
      <c r="F440" s="3" t="str" cm="1">
        <f t="array" aca="1" ref="F440" ca="1">OFFSET(E440,-1,1)</f>
        <v>2</v>
      </c>
      <c r="G440" s="26"/>
      <c r="H440" s="767"/>
      <c r="I440" s="767" t="s">
        <v>1828</v>
      </c>
      <c r="J440" s="26"/>
      <c r="K440" s="295" t="s">
        <v>1828</v>
      </c>
      <c r="L440" s="889" t="s">
        <v>1816</v>
      </c>
      <c r="M440" s="26"/>
      <c r="N440" s="26"/>
      <c r="O440" s="26"/>
      <c r="P440" s="26"/>
      <c r="Q440" s="26"/>
      <c r="R440" s="26"/>
      <c r="S440" s="26"/>
      <c r="T440" s="388" t="b" cm="1">
        <f t="array" aca="1" ref="T440" ca="1">T439</f>
        <v>1</v>
      </c>
      <c r="U440" s="26"/>
      <c r="V440" s="26"/>
      <c r="W440" s="26"/>
      <c r="X440" s="2066"/>
      <c r="Y440" s="1184"/>
      <c r="Z440" s="2012"/>
      <c r="AA440" s="1184"/>
      <c r="AB440" s="218" t="str">
        <f>D440&amp;".1"</f>
        <v>10.1</v>
      </c>
      <c r="AC440" s="1020" t="s">
        <v>1818</v>
      </c>
      <c r="AD440" s="218" t="s">
        <v>831</v>
      </c>
      <c r="AE440" s="1148"/>
      <c r="AF440" s="1148"/>
      <c r="AG440" s="1148"/>
      <c r="AH440" s="1022">
        <f t="shared" ref="AH440:AH446" si="118">AG440-AF440</f>
        <v>0</v>
      </c>
      <c r="AI440" s="1148"/>
      <c r="AJ440" s="1514"/>
      <c r="AK440" s="1148"/>
      <c r="AL440" s="1148"/>
      <c r="AM440" s="1148"/>
      <c r="AN440" s="1148"/>
      <c r="AO440" s="1148"/>
      <c r="AP440" s="1148"/>
      <c r="AQ440" s="1148"/>
      <c r="AR440" s="1148"/>
      <c r="AS440" s="1148"/>
      <c r="AT440" s="1514"/>
      <c r="AU440" s="1148"/>
      <c r="AV440" s="1148"/>
      <c r="AW440" s="1148"/>
      <c r="AX440" s="1148"/>
      <c r="AY440" s="1148"/>
      <c r="AZ440" s="1148"/>
      <c r="BA440" s="1148"/>
      <c r="BB440" s="1148"/>
      <c r="BC440" s="1148"/>
      <c r="BD440" s="1023"/>
      <c r="BE440" s="1023"/>
      <c r="BF440" s="1023"/>
      <c r="BG440" s="1023"/>
      <c r="BH440" s="1023"/>
      <c r="BI440" s="1023"/>
      <c r="BJ440" s="1023"/>
      <c r="BK440" s="1023"/>
      <c r="BL440" s="1023"/>
      <c r="BM440" s="1023"/>
      <c r="BN440" s="1145"/>
      <c r="BO440" s="1145"/>
      <c r="BP440" s="1145"/>
      <c r="BQ440" s="1184"/>
      <c r="BR440" s="1184"/>
      <c r="BS440" s="971" t="s">
        <v>1819</v>
      </c>
      <c r="BT440" s="973"/>
      <c r="BU440" s="973"/>
      <c r="BV440" s="888"/>
      <c r="BW440" s="888"/>
    </row>
    <row r="441" spans="1:75" s="1334" customFormat="1" ht="14.25" hidden="1" customHeight="1" x14ac:dyDescent="0.25">
      <c r="A441" s="1184"/>
      <c r="B441" s="367" t="b">
        <f>A315="двухставочный"</f>
        <v>0</v>
      </c>
      <c r="C441" s="26"/>
      <c r="D441" s="26" cm="1">
        <f t="array" ref="D441">D440</f>
        <v>10</v>
      </c>
      <c r="E441" s="545">
        <v>15</v>
      </c>
      <c r="F441" s="3" t="str" cm="1">
        <f t="array" aca="1" ref="F441" ca="1">OFFSET(E441,-1,1)</f>
        <v>2</v>
      </c>
      <c r="G441" s="26"/>
      <c r="H441" s="767"/>
      <c r="I441" s="767" t="s">
        <v>1832</v>
      </c>
      <c r="J441" s="26"/>
      <c r="K441" s="295" t="s">
        <v>1832</v>
      </c>
      <c r="L441" s="889" t="s">
        <v>1820</v>
      </c>
      <c r="M441" s="26"/>
      <c r="N441" s="26"/>
      <c r="O441" s="26"/>
      <c r="P441" s="26"/>
      <c r="Q441" s="26"/>
      <c r="R441" s="26"/>
      <c r="S441" s="26"/>
      <c r="T441" s="388" t="b" cm="1">
        <f t="array" aca="1" ref="T441" ca="1">T440</f>
        <v>1</v>
      </c>
      <c r="U441" s="26"/>
      <c r="V441" s="26"/>
      <c r="W441" s="26"/>
      <c r="X441" s="2066"/>
      <c r="Y441" s="1184"/>
      <c r="Z441" s="2012"/>
      <c r="AA441" s="1184"/>
      <c r="AB441" s="218" t="str">
        <f>D441&amp;".2"</f>
        <v>10.2</v>
      </c>
      <c r="AC441" s="1020" t="s">
        <v>1822</v>
      </c>
      <c r="AD441" s="218" t="s">
        <v>831</v>
      </c>
      <c r="AE441" s="1148"/>
      <c r="AF441" s="1148"/>
      <c r="AG441" s="1148"/>
      <c r="AH441" s="1022">
        <f t="shared" si="118"/>
        <v>0</v>
      </c>
      <c r="AI441" s="1148"/>
      <c r="AJ441" s="1514"/>
      <c r="AK441" s="1148"/>
      <c r="AL441" s="1148"/>
      <c r="AM441" s="1148"/>
      <c r="AN441" s="1148"/>
      <c r="AO441" s="1148"/>
      <c r="AP441" s="1148"/>
      <c r="AQ441" s="1148"/>
      <c r="AR441" s="1148"/>
      <c r="AS441" s="1148"/>
      <c r="AT441" s="1514"/>
      <c r="AU441" s="1148"/>
      <c r="AV441" s="1148"/>
      <c r="AW441" s="1148"/>
      <c r="AX441" s="1148"/>
      <c r="AY441" s="1148"/>
      <c r="AZ441" s="1148"/>
      <c r="BA441" s="1148"/>
      <c r="BB441" s="1148"/>
      <c r="BC441" s="1148"/>
      <c r="BD441" s="1023"/>
      <c r="BE441" s="1023"/>
      <c r="BF441" s="1023"/>
      <c r="BG441" s="1023"/>
      <c r="BH441" s="1023"/>
      <c r="BI441" s="1023"/>
      <c r="BJ441" s="1023"/>
      <c r="BK441" s="1023"/>
      <c r="BL441" s="1023"/>
      <c r="BM441" s="1023"/>
      <c r="BN441" s="1145"/>
      <c r="BO441" s="1145"/>
      <c r="BP441" s="1145"/>
      <c r="BQ441" s="1184"/>
      <c r="BR441" s="1184"/>
      <c r="BS441" s="971" t="s">
        <v>1823</v>
      </c>
      <c r="BT441" s="973"/>
      <c r="BU441" s="973"/>
      <c r="BV441" s="888"/>
      <c r="BW441" s="888"/>
    </row>
    <row r="442" spans="1:75" s="1557" customFormat="1" ht="20.25" customHeight="1" x14ac:dyDescent="0.25">
      <c r="A442" s="623"/>
      <c r="B442" s="357"/>
      <c r="C442" s="28"/>
      <c r="D442" s="28">
        <f>D441+1</f>
        <v>11</v>
      </c>
      <c r="E442" s="745">
        <v>21</v>
      </c>
      <c r="F442" s="3" t="str" cm="1">
        <f t="array" aca="1" ref="F442" ca="1">OFFSET(E442,-1,1)</f>
        <v>2</v>
      </c>
      <c r="G442" s="26" t="s">
        <v>1597</v>
      </c>
      <c r="H442" s="26"/>
      <c r="I442" s="26" t="s">
        <v>1852</v>
      </c>
      <c r="J442" s="28"/>
      <c r="K442" s="77" t="s">
        <v>1852</v>
      </c>
      <c r="L442" s="894" t="s">
        <v>1824</v>
      </c>
      <c r="M442" s="28"/>
      <c r="N442" s="28"/>
      <c r="O442" s="28"/>
      <c r="P442" s="28"/>
      <c r="Q442" s="28"/>
      <c r="R442" s="28"/>
      <c r="S442" s="28"/>
      <c r="T442" s="388" t="b" cm="1">
        <f t="array" aca="1" ref="T442" ca="1">T441</f>
        <v>1</v>
      </c>
      <c r="U442" s="28"/>
      <c r="V442" s="28"/>
      <c r="W442" s="28"/>
      <c r="X442" s="2066"/>
      <c r="Y442" s="623"/>
      <c r="Z442" s="2012"/>
      <c r="AA442" s="623"/>
      <c r="AB442" s="130" cm="1">
        <f t="array" ref="AB442">D442</f>
        <v>11</v>
      </c>
      <c r="AC442" s="131" t="s">
        <v>1826</v>
      </c>
      <c r="AD442" s="130" t="s">
        <v>563</v>
      </c>
      <c r="AE442" s="705">
        <f ca="1">SUMIFS(Баланс!AE$26:AE$300,Баланс!$F$26:$F$300,$F442,Баланс!$G$26:$G$300,"ПО")</f>
        <v>2881.4542799999999</v>
      </c>
      <c r="AF442" s="705">
        <f ca="1">SUMIFS(Баланс!AF$26:AF$300,Баланс!$F$26:$F$300,$F442,Баланс!$G$26:$G$300,"ПО")</f>
        <v>2636.9479999999999</v>
      </c>
      <c r="AG442" s="705">
        <f ca="1">SUMIFS(Баланс!AG$26:AG$300,Баланс!$F$26:$F$300,$F442,Баланс!$G$26:$G$300,"ПО")</f>
        <v>2636.9479999999999</v>
      </c>
      <c r="AH442" s="705">
        <f t="shared" ca="1" si="118"/>
        <v>0</v>
      </c>
      <c r="AI442" s="705">
        <f ca="1">SUMIFS(Баланс!AH$26:AH$300,Баланс!$F$26:$F$300,$F442,Баланс!$G$26:$G$300,"ПО")</f>
        <v>2881.4542799999999</v>
      </c>
      <c r="AJ442" s="705">
        <f ca="1">SUMIFS(Баланс!AI$26:AI$300,Баланс!$F$26:$F$300,$F442,Баланс!$G$26:$G$300,"ПО")</f>
        <v>2636.9479999999999</v>
      </c>
      <c r="AK442" s="705">
        <f ca="1">SUMIFS(Баланс!AJ$26:AJ$300,Баланс!$F$26:$F$300,$F442,Баланс!$G$26:$G$300,"ПО")</f>
        <v>0</v>
      </c>
      <c r="AL442" s="705">
        <f ca="1">SUMIFS(Баланс!AK$26:AK$300,Баланс!$F$26:$F$300,$F442,Баланс!$G$26:$G$300,"ПО")</f>
        <v>0</v>
      </c>
      <c r="AM442" s="705">
        <f ca="1">SUMIFS(Баланс!AL$26:AL$300,Баланс!$F$26:$F$300,$F442,Баланс!$G$26:$G$300,"ПО")</f>
        <v>0</v>
      </c>
      <c r="AN442" s="705">
        <f ca="1">SUMIFS(Баланс!AM$26:AM$300,Баланс!$F$26:$F$300,$F442,Баланс!$G$26:$G$300,"ПО")</f>
        <v>0</v>
      </c>
      <c r="AO442" s="705">
        <f ca="1">SUMIFS(Баланс!AN$26:AN$300,Баланс!$F$26:$F$300,$F442,Баланс!$G$26:$G$300,"ПО")</f>
        <v>0</v>
      </c>
      <c r="AP442" s="705">
        <f ca="1">SUMIFS(Баланс!AO$26:AO$300,Баланс!$F$26:$F$300,$F442,Баланс!$G$26:$G$300,"ПО")</f>
        <v>0</v>
      </c>
      <c r="AQ442" s="705">
        <f ca="1">SUMIFS(Баланс!AP$26:AP$300,Баланс!$F$26:$F$300,$F442,Баланс!$G$26:$G$300,"ПО")</f>
        <v>0</v>
      </c>
      <c r="AR442" s="705">
        <f ca="1">SUMIFS(Баланс!AQ$26:AQ$300,Баланс!$F$26:$F$300,$F442,Баланс!$G$26:$G$300,"ПО")</f>
        <v>0</v>
      </c>
      <c r="AS442" s="705">
        <f ca="1">SUMIFS(Баланс!AR$26:AR$300,Баланс!$F$26:$F$300,$F442,Баланс!$G$26:$G$300,"ПО")</f>
        <v>0</v>
      </c>
      <c r="AT442" s="705">
        <f ca="1">SUMIFS(Баланс!AS$26:AS$300,Баланс!$F$26:$F$300,$F442,Баланс!$G$26:$G$300,"ПО")</f>
        <v>2451.4411899999996</v>
      </c>
      <c r="AU442" s="705">
        <f ca="1">SUMIFS(Баланс!AT$26:AT$300,Баланс!$F$26:$F$300,$F442,Баланс!$G$26:$G$300,"ПО")</f>
        <v>0</v>
      </c>
      <c r="AV442" s="705">
        <f ca="1">SUMIFS(Баланс!AU$26:AU$300,Баланс!$F$26:$F$300,$F442,Баланс!$G$26:$G$300,"ПО")</f>
        <v>0</v>
      </c>
      <c r="AW442" s="705">
        <f ca="1">SUMIFS(Баланс!AV$26:AV$300,Баланс!$F$26:$F$300,$F442,Баланс!$G$26:$G$300,"ПО")</f>
        <v>0</v>
      </c>
      <c r="AX442" s="705">
        <f ca="1">SUMIFS(Баланс!AW$26:AW$300,Баланс!$F$26:$F$300,$F442,Баланс!$G$26:$G$300,"ПО")</f>
        <v>0</v>
      </c>
      <c r="AY442" s="705">
        <f ca="1">SUMIFS(Баланс!AX$26:AX$300,Баланс!$F$26:$F$300,$F442,Баланс!$G$26:$G$300,"ПО")</f>
        <v>0</v>
      </c>
      <c r="AZ442" s="705">
        <f ca="1">SUMIFS(Баланс!AY$26:AY$300,Баланс!$F$26:$F$300,$F442,Баланс!$G$26:$G$300,"ПО")</f>
        <v>0</v>
      </c>
      <c r="BA442" s="705">
        <f ca="1">SUMIFS(Баланс!AZ$26:AZ$300,Баланс!$F$26:$F$300,$F442,Баланс!$G$26:$G$300,"ПО")</f>
        <v>0</v>
      </c>
      <c r="BB442" s="705">
        <f ca="1">SUMIFS(Баланс!BA$26:BA$300,Баланс!$F$26:$F$300,$F442,Баланс!$G$26:$G$300,"ПО")</f>
        <v>0</v>
      </c>
      <c r="BC442" s="705">
        <f ca="1">SUMIFS(Баланс!BB$26:BB$300,Баланс!$F$26:$F$300,$F442,Баланс!$G$26:$G$300,"ПО")</f>
        <v>0</v>
      </c>
      <c r="BD442" s="135"/>
      <c r="BE442" s="135"/>
      <c r="BF442" s="135"/>
      <c r="BG442" s="135"/>
      <c r="BH442" s="135"/>
      <c r="BI442" s="135"/>
      <c r="BJ442" s="135"/>
      <c r="BK442" s="135"/>
      <c r="BL442" s="135"/>
      <c r="BM442" s="135"/>
      <c r="BN442" s="1523"/>
      <c r="BO442" s="1523"/>
      <c r="BP442" s="1523"/>
      <c r="BQ442" s="623"/>
      <c r="BR442" s="623"/>
      <c r="BS442" s="972" t="s">
        <v>1827</v>
      </c>
      <c r="BT442" s="979"/>
      <c r="BU442" s="979"/>
      <c r="BV442" s="630"/>
      <c r="BW442" s="630"/>
    </row>
    <row r="443" spans="1:75" s="1334" customFormat="1" ht="14.65" customHeight="1" x14ac:dyDescent="0.25">
      <c r="A443" s="1184"/>
      <c r="B443" s="887"/>
      <c r="C443" s="26"/>
      <c r="D443" s="26" cm="1">
        <f t="array" ref="D443">D442</f>
        <v>11</v>
      </c>
      <c r="E443" s="545">
        <v>15</v>
      </c>
      <c r="F443" s="3" t="str" cm="1">
        <f t="array" aca="1" ref="F443" ca="1">OFFSET(E443,-1,1)</f>
        <v>2</v>
      </c>
      <c r="G443" s="26" t="s">
        <v>1624</v>
      </c>
      <c r="H443" s="26"/>
      <c r="I443" s="26" t="s">
        <v>2153</v>
      </c>
      <c r="J443" s="26"/>
      <c r="K443" s="77" t="s">
        <v>2153</v>
      </c>
      <c r="L443" s="889" t="s">
        <v>1828</v>
      </c>
      <c r="M443" s="26"/>
      <c r="N443" s="26"/>
      <c r="O443" s="26"/>
      <c r="P443" s="26"/>
      <c r="Q443" s="26"/>
      <c r="R443" s="26"/>
      <c r="S443" s="26"/>
      <c r="T443" s="388" t="b" cm="1">
        <f t="array" aca="1" ref="T443" ca="1">T442</f>
        <v>1</v>
      </c>
      <c r="U443" s="26"/>
      <c r="V443" s="26"/>
      <c r="W443" s="26"/>
      <c r="X443" s="2066"/>
      <c r="Y443" s="1184"/>
      <c r="Z443" s="2012"/>
      <c r="AA443" s="1184"/>
      <c r="AB443" s="218" t="str">
        <f>D443&amp;".1"</f>
        <v>11.1</v>
      </c>
      <c r="AC443" s="1019" t="s">
        <v>1830</v>
      </c>
      <c r="AD443" s="218" t="s">
        <v>563</v>
      </c>
      <c r="AE443" s="1513">
        <v>1440.72714</v>
      </c>
      <c r="AF443" s="1513">
        <f ca="1">AF442/2</f>
        <v>1318.4739999999999</v>
      </c>
      <c r="AG443" s="1513">
        <f ca="1">AG442/2</f>
        <v>1318.4739999999999</v>
      </c>
      <c r="AH443" s="1021">
        <f t="shared" ca="1" si="118"/>
        <v>0</v>
      </c>
      <c r="AI443" s="1513">
        <v>1440.72714</v>
      </c>
      <c r="AJ443" s="1513">
        <f ca="1">IF(god=2026,AJ442/12*9,AJ442/2)</f>
        <v>1977.711</v>
      </c>
      <c r="AK443" s="1146">
        <f ca="1">IF(god=2025,AK442/12*9,AK442/2)</f>
        <v>0</v>
      </c>
      <c r="AL443" s="1146">
        <f t="shared" ref="AL443:AS443" ca="1" si="119">AL442/2</f>
        <v>0</v>
      </c>
      <c r="AM443" s="1146">
        <f t="shared" ca="1" si="119"/>
        <v>0</v>
      </c>
      <c r="AN443" s="1146">
        <f t="shared" ca="1" si="119"/>
        <v>0</v>
      </c>
      <c r="AO443" s="1146">
        <f t="shared" ca="1" si="119"/>
        <v>0</v>
      </c>
      <c r="AP443" s="1146">
        <f t="shared" ca="1" si="119"/>
        <v>0</v>
      </c>
      <c r="AQ443" s="1513">
        <f t="shared" ca="1" si="119"/>
        <v>0</v>
      </c>
      <c r="AR443" s="1513">
        <f t="shared" ca="1" si="119"/>
        <v>0</v>
      </c>
      <c r="AS443" s="1513">
        <f t="shared" ca="1" si="119"/>
        <v>0</v>
      </c>
      <c r="AT443" s="1519">
        <f ca="1">IF(god=2026,AT442/12*9,AT442/2)</f>
        <v>1838.5808924999997</v>
      </c>
      <c r="AU443" s="1168">
        <f ca="1">IF(god=2025,AU442/12*9,AU442/2)</f>
        <v>0</v>
      </c>
      <c r="AV443" s="1146">
        <f t="shared" ref="AV443:BC443" ca="1" si="120">AV442/2</f>
        <v>0</v>
      </c>
      <c r="AW443" s="1146">
        <f t="shared" ca="1" si="120"/>
        <v>0</v>
      </c>
      <c r="AX443" s="1146">
        <f t="shared" ca="1" si="120"/>
        <v>0</v>
      </c>
      <c r="AY443" s="1146">
        <f t="shared" ca="1" si="120"/>
        <v>0</v>
      </c>
      <c r="AZ443" s="1146">
        <f t="shared" ca="1" si="120"/>
        <v>0</v>
      </c>
      <c r="BA443" s="1513">
        <f t="shared" ca="1" si="120"/>
        <v>0</v>
      </c>
      <c r="BB443" s="1513">
        <f t="shared" ca="1" si="120"/>
        <v>0</v>
      </c>
      <c r="BC443" s="1513">
        <f t="shared" ca="1" si="120"/>
        <v>0</v>
      </c>
      <c r="BD443" s="1023"/>
      <c r="BE443" s="1023"/>
      <c r="BF443" s="1023"/>
      <c r="BG443" s="1023"/>
      <c r="BH443" s="1023"/>
      <c r="BI443" s="1023"/>
      <c r="BJ443" s="1023"/>
      <c r="BK443" s="1023"/>
      <c r="BL443" s="1023"/>
      <c r="BM443" s="1023"/>
      <c r="BN443" s="1523"/>
      <c r="BO443" s="1523"/>
      <c r="BP443" s="1523"/>
      <c r="BQ443" s="1184"/>
      <c r="BR443" s="1184"/>
      <c r="BS443" s="971" t="s">
        <v>1831</v>
      </c>
      <c r="BT443" s="973"/>
      <c r="BU443" s="973"/>
      <c r="BV443" s="888"/>
      <c r="BW443" s="888"/>
    </row>
    <row r="444" spans="1:75" s="1334" customFormat="1" ht="14.65" customHeight="1" x14ac:dyDescent="0.25">
      <c r="A444" s="1184"/>
      <c r="B444" s="887"/>
      <c r="C444" s="26"/>
      <c r="D444" s="26" cm="1">
        <f t="array" ref="D444">D443</f>
        <v>11</v>
      </c>
      <c r="E444" s="545">
        <v>15</v>
      </c>
      <c r="F444" s="3" t="str" cm="1">
        <f t="array" aca="1" ref="F444" ca="1">OFFSET(E444,-1,1)</f>
        <v>2</v>
      </c>
      <c r="G444" s="26" t="s">
        <v>1585</v>
      </c>
      <c r="H444" s="26"/>
      <c r="I444" s="26" t="s">
        <v>2154</v>
      </c>
      <c r="J444" s="26"/>
      <c r="K444" s="77" t="s">
        <v>2154</v>
      </c>
      <c r="L444" s="889" t="s">
        <v>1832</v>
      </c>
      <c r="M444" s="26"/>
      <c r="N444" s="26"/>
      <c r="O444" s="26"/>
      <c r="P444" s="26"/>
      <c r="Q444" s="26"/>
      <c r="R444" s="26"/>
      <c r="S444" s="26"/>
      <c r="T444" s="388" t="b" cm="1">
        <f t="array" aca="1" ref="T444" ca="1">T443</f>
        <v>1</v>
      </c>
      <c r="U444" s="26"/>
      <c r="V444" s="26"/>
      <c r="W444" s="26"/>
      <c r="X444" s="2066"/>
      <c r="Y444" s="1184"/>
      <c r="Z444" s="2012"/>
      <c r="AA444" s="1184"/>
      <c r="AB444" s="218" t="str">
        <f>D444&amp;".2"</f>
        <v>11.2</v>
      </c>
      <c r="AC444" s="1019" t="s">
        <v>1834</v>
      </c>
      <c r="AD444" s="218" t="s">
        <v>1588</v>
      </c>
      <c r="AE444" s="1514">
        <v>39.815189084300002</v>
      </c>
      <c r="AF444" s="1514"/>
      <c r="AG444" s="1514"/>
      <c r="AH444" s="1022">
        <f t="shared" si="118"/>
        <v>0</v>
      </c>
      <c r="AI444" s="1514">
        <v>39.815189084300002</v>
      </c>
      <c r="AJ444" s="1514"/>
      <c r="AK444" s="1148"/>
      <c r="AL444" s="1148"/>
      <c r="AM444" s="1148"/>
      <c r="AN444" s="1148"/>
      <c r="AO444" s="1148"/>
      <c r="AP444" s="1148"/>
      <c r="AQ444" s="1514"/>
      <c r="AR444" s="1514"/>
      <c r="AS444" s="1514"/>
      <c r="AT444" s="1514"/>
      <c r="AU444" s="1148" cm="1">
        <f t="array" aca="1" ref="AU444" ca="1">AT446</f>
        <v>85.88223031367113</v>
      </c>
      <c r="AV444" s="1148" cm="1">
        <f t="array" aca="1" ref="AV444" ca="1">AU446</f>
        <v>0</v>
      </c>
      <c r="AW444" s="1148" cm="1">
        <f t="array" aca="1" ref="AW444" ca="1">AV446</f>
        <v>0</v>
      </c>
      <c r="AX444" s="1148" cm="1">
        <f t="array" aca="1" ref="AX444" ca="1">AW446</f>
        <v>0</v>
      </c>
      <c r="AY444" s="1148" cm="1">
        <f t="array" aca="1" ref="AY444" ca="1">AX446</f>
        <v>0</v>
      </c>
      <c r="AZ444" s="1148" cm="1">
        <f t="array" aca="1" ref="AZ444" ca="1">AY446</f>
        <v>0</v>
      </c>
      <c r="BA444" s="1514" cm="1">
        <f t="array" aca="1" ref="BA444" ca="1">AZ446</f>
        <v>0</v>
      </c>
      <c r="BB444" s="1514" cm="1">
        <f t="array" aca="1" ref="BB444" ca="1">BA446</f>
        <v>0</v>
      </c>
      <c r="BC444" s="1514" cm="1">
        <f t="array" aca="1" ref="BC444" ca="1">BB446</f>
        <v>0</v>
      </c>
      <c r="BD444" s="1023"/>
      <c r="BE444" s="1023"/>
      <c r="BF444" s="1023"/>
      <c r="BG444" s="1023"/>
      <c r="BH444" s="1023"/>
      <c r="BI444" s="1023"/>
      <c r="BJ444" s="1023"/>
      <c r="BK444" s="1023"/>
      <c r="BL444" s="1023"/>
      <c r="BM444" s="1023"/>
      <c r="BN444" s="1523"/>
      <c r="BO444" s="1523"/>
      <c r="BP444" s="1523"/>
      <c r="BQ444" s="1184"/>
      <c r="BR444" s="1184"/>
      <c r="BS444" s="971" t="s">
        <v>1835</v>
      </c>
      <c r="BT444" s="973"/>
      <c r="BU444" s="973"/>
      <c r="BV444" s="888"/>
      <c r="BW444" s="888"/>
    </row>
    <row r="445" spans="1:75" s="1334" customFormat="1" ht="14.25" customHeight="1" x14ac:dyDescent="0.25">
      <c r="A445" s="1184"/>
      <c r="B445" s="887"/>
      <c r="C445" s="26"/>
      <c r="D445" s="26" cm="1">
        <f t="array" ref="D445">D444</f>
        <v>11</v>
      </c>
      <c r="E445" s="545">
        <v>15</v>
      </c>
      <c r="F445" s="3" t="str" cm="1">
        <f t="array" aca="1" ref="F445" ca="1">OFFSET(E445,-1,1)</f>
        <v>2</v>
      </c>
      <c r="G445" s="26" t="s">
        <v>1637</v>
      </c>
      <c r="H445" s="26"/>
      <c r="I445" s="26" t="s">
        <v>2155</v>
      </c>
      <c r="J445" s="26"/>
      <c r="K445" s="77" t="s">
        <v>2155</v>
      </c>
      <c r="L445" s="889" t="s">
        <v>1836</v>
      </c>
      <c r="M445" s="26"/>
      <c r="N445" s="26"/>
      <c r="O445" s="26"/>
      <c r="P445" s="26"/>
      <c r="Q445" s="26"/>
      <c r="R445" s="26"/>
      <c r="S445" s="26"/>
      <c r="T445" s="388" t="b" cm="1">
        <f t="array" aca="1" ref="T445" ca="1">T444</f>
        <v>1</v>
      </c>
      <c r="U445" s="26"/>
      <c r="V445" s="26"/>
      <c r="W445" s="26"/>
      <c r="X445" s="2066"/>
      <c r="Y445" s="1184"/>
      <c r="Z445" s="2012"/>
      <c r="AA445" s="1184"/>
      <c r="AB445" s="218" t="str">
        <f>D445&amp;".3"</f>
        <v>11.3</v>
      </c>
      <c r="AC445" s="1019" t="s">
        <v>2156</v>
      </c>
      <c r="AD445" s="218" t="s">
        <v>563</v>
      </c>
      <c r="AE445" s="1021">
        <f ca="1">AE442-AE443</f>
        <v>1440.72714</v>
      </c>
      <c r="AF445" s="1021">
        <f ca="1">AF442-AF443</f>
        <v>1318.4739999999999</v>
      </c>
      <c r="AG445" s="1021">
        <f ca="1">AG442-AG443</f>
        <v>1318.4739999999999</v>
      </c>
      <c r="AH445" s="1021">
        <f t="shared" ca="1" si="118"/>
        <v>0</v>
      </c>
      <c r="AI445" s="1021">
        <f t="shared" ref="AI445:BC445" ca="1" si="121">AI442-AI443</f>
        <v>1440.72714</v>
      </c>
      <c r="AJ445" s="1021">
        <f t="shared" ca="1" si="121"/>
        <v>659.23699999999985</v>
      </c>
      <c r="AK445" s="1021">
        <f t="shared" ca="1" si="121"/>
        <v>0</v>
      </c>
      <c r="AL445" s="1021">
        <f t="shared" ca="1" si="121"/>
        <v>0</v>
      </c>
      <c r="AM445" s="1021">
        <f t="shared" ca="1" si="121"/>
        <v>0</v>
      </c>
      <c r="AN445" s="1021">
        <f t="shared" ca="1" si="121"/>
        <v>0</v>
      </c>
      <c r="AO445" s="1021">
        <f t="shared" ca="1" si="121"/>
        <v>0</v>
      </c>
      <c r="AP445" s="1021">
        <f t="shared" ca="1" si="121"/>
        <v>0</v>
      </c>
      <c r="AQ445" s="1021">
        <f t="shared" ca="1" si="121"/>
        <v>0</v>
      </c>
      <c r="AR445" s="1021">
        <f t="shared" ca="1" si="121"/>
        <v>0</v>
      </c>
      <c r="AS445" s="1021">
        <f t="shared" ca="1" si="121"/>
        <v>0</v>
      </c>
      <c r="AT445" s="1021">
        <f t="shared" ca="1" si="121"/>
        <v>612.86029749999989</v>
      </c>
      <c r="AU445" s="1021">
        <f t="shared" ca="1" si="121"/>
        <v>0</v>
      </c>
      <c r="AV445" s="1021">
        <f t="shared" ca="1" si="121"/>
        <v>0</v>
      </c>
      <c r="AW445" s="1021">
        <f t="shared" ca="1" si="121"/>
        <v>0</v>
      </c>
      <c r="AX445" s="1021">
        <f t="shared" ca="1" si="121"/>
        <v>0</v>
      </c>
      <c r="AY445" s="1021">
        <f t="shared" ca="1" si="121"/>
        <v>0</v>
      </c>
      <c r="AZ445" s="1021">
        <f t="shared" ca="1" si="121"/>
        <v>0</v>
      </c>
      <c r="BA445" s="1021">
        <f t="shared" ca="1" si="121"/>
        <v>0</v>
      </c>
      <c r="BB445" s="1021">
        <f t="shared" ca="1" si="121"/>
        <v>0</v>
      </c>
      <c r="BC445" s="1021">
        <f t="shared" ca="1" si="121"/>
        <v>0</v>
      </c>
      <c r="BD445" s="1023"/>
      <c r="BE445" s="1023"/>
      <c r="BF445" s="1023"/>
      <c r="BG445" s="1023"/>
      <c r="BH445" s="1023"/>
      <c r="BI445" s="1023"/>
      <c r="BJ445" s="1023"/>
      <c r="BK445" s="1023"/>
      <c r="BL445" s="1023"/>
      <c r="BM445" s="1023"/>
      <c r="BN445" s="1523"/>
      <c r="BO445" s="1523"/>
      <c r="BP445" s="1523"/>
      <c r="BQ445" s="1184"/>
      <c r="BR445" s="1184"/>
      <c r="BS445" s="971" t="s">
        <v>1839</v>
      </c>
      <c r="BT445" s="973"/>
      <c r="BU445" s="973"/>
      <c r="BV445" s="888"/>
      <c r="BW445" s="888"/>
    </row>
    <row r="446" spans="1:75" s="1334" customFormat="1" ht="14.65" customHeight="1" x14ac:dyDescent="0.25">
      <c r="A446" s="1184"/>
      <c r="B446" s="887"/>
      <c r="C446" s="26"/>
      <c r="D446" s="26" cm="1">
        <f t="array" ref="D446">D445</f>
        <v>11</v>
      </c>
      <c r="E446" s="545">
        <v>15</v>
      </c>
      <c r="F446" s="3" t="str" cm="1">
        <f t="array" aca="1" ref="F446" ca="1">OFFSET(E446,-1,1)</f>
        <v>2</v>
      </c>
      <c r="G446" s="26" t="s">
        <v>1590</v>
      </c>
      <c r="H446" s="26"/>
      <c r="I446" s="26" t="s">
        <v>2157</v>
      </c>
      <c r="J446" s="26"/>
      <c r="K446" s="77" t="s">
        <v>2157</v>
      </c>
      <c r="L446" s="889" t="s">
        <v>1840</v>
      </c>
      <c r="M446" s="26"/>
      <c r="N446" s="26"/>
      <c r="O446" s="26"/>
      <c r="P446" s="26"/>
      <c r="Q446" s="26"/>
      <c r="R446" s="26"/>
      <c r="S446" s="26"/>
      <c r="T446" s="388" t="b" cm="1">
        <f t="array" aca="1" ref="T446" ca="1">T445</f>
        <v>1</v>
      </c>
      <c r="U446" s="26"/>
      <c r="V446" s="26"/>
      <c r="W446" s="26"/>
      <c r="X446" s="2066"/>
      <c r="Y446" s="1184"/>
      <c r="Z446" s="2012"/>
      <c r="AA446" s="1184"/>
      <c r="AB446" s="218" t="str">
        <f>D446&amp;".4"</f>
        <v>11.4</v>
      </c>
      <c r="AC446" s="1019" t="s">
        <v>1842</v>
      </c>
      <c r="AD446" s="218" t="s">
        <v>1588</v>
      </c>
      <c r="AE446" s="1514">
        <v>39.8151932966</v>
      </c>
      <c r="AF446" s="1514">
        <f ca="1">IF(AF445=0,0,(AF439-AF443*AF444)/AF445)</f>
        <v>23.825869907180579</v>
      </c>
      <c r="AG446" s="1514">
        <f ca="1">IF(AG445=0,0,(AG439-AG443*AG444)/AG445)</f>
        <v>20.282959401492857</v>
      </c>
      <c r="AH446" s="1022">
        <f t="shared" ca="1" si="118"/>
        <v>-3.5429105056877219</v>
      </c>
      <c r="AI446" s="1514">
        <v>41.6493438603</v>
      </c>
      <c r="AJ446" s="1514">
        <f t="shared" ref="AJ446:BC446" ca="1" si="122">IF(AJ445=0,0,(AJ439-AJ443*AJ444)/AJ445)</f>
        <v>61.36140720256904</v>
      </c>
      <c r="AK446" s="1148">
        <f t="shared" ca="1" si="122"/>
        <v>0</v>
      </c>
      <c r="AL446" s="1148">
        <f t="shared" ca="1" si="122"/>
        <v>0</v>
      </c>
      <c r="AM446" s="1148">
        <f t="shared" ca="1" si="122"/>
        <v>0</v>
      </c>
      <c r="AN446" s="1148">
        <f t="shared" ca="1" si="122"/>
        <v>0</v>
      </c>
      <c r="AO446" s="1148">
        <f t="shared" ca="1" si="122"/>
        <v>0</v>
      </c>
      <c r="AP446" s="1148">
        <f t="shared" ca="1" si="122"/>
        <v>0</v>
      </c>
      <c r="AQ446" s="1514">
        <f t="shared" ca="1" si="122"/>
        <v>0</v>
      </c>
      <c r="AR446" s="1514">
        <f t="shared" ca="1" si="122"/>
        <v>0</v>
      </c>
      <c r="AS446" s="1514">
        <f t="shared" ca="1" si="122"/>
        <v>0</v>
      </c>
      <c r="AT446" s="1514">
        <f t="shared" ca="1" si="122"/>
        <v>85.88223031367113</v>
      </c>
      <c r="AU446" s="1148">
        <f t="shared" ca="1" si="122"/>
        <v>0</v>
      </c>
      <c r="AV446" s="1148">
        <f t="shared" ca="1" si="122"/>
        <v>0</v>
      </c>
      <c r="AW446" s="1148">
        <f t="shared" ca="1" si="122"/>
        <v>0</v>
      </c>
      <c r="AX446" s="1148">
        <f t="shared" ca="1" si="122"/>
        <v>0</v>
      </c>
      <c r="AY446" s="1148">
        <f t="shared" ca="1" si="122"/>
        <v>0</v>
      </c>
      <c r="AZ446" s="1148">
        <f t="shared" ca="1" si="122"/>
        <v>0</v>
      </c>
      <c r="BA446" s="1514">
        <f t="shared" ca="1" si="122"/>
        <v>0</v>
      </c>
      <c r="BB446" s="1514">
        <f t="shared" ca="1" si="122"/>
        <v>0</v>
      </c>
      <c r="BC446" s="1514">
        <f t="shared" ca="1" si="122"/>
        <v>0</v>
      </c>
      <c r="BD446" s="1023"/>
      <c r="BE446" s="1023"/>
      <c r="BF446" s="1023"/>
      <c r="BG446" s="1023"/>
      <c r="BH446" s="1023"/>
      <c r="BI446" s="1023"/>
      <c r="BJ446" s="1023"/>
      <c r="BK446" s="1023"/>
      <c r="BL446" s="1023"/>
      <c r="BM446" s="1023"/>
      <c r="BN446" s="1523"/>
      <c r="BO446" s="1523"/>
      <c r="BP446" s="1523"/>
      <c r="BQ446" s="1184"/>
      <c r="BR446" s="1184"/>
      <c r="BS446" s="971" t="s">
        <v>1843</v>
      </c>
      <c r="BT446" s="973"/>
      <c r="BU446" s="973"/>
      <c r="BV446" s="888"/>
      <c r="BW446" s="888"/>
    </row>
    <row r="447" spans="1:75" s="1334" customFormat="1" ht="14.25" customHeight="1" x14ac:dyDescent="0.25">
      <c r="A447" s="1184"/>
      <c r="B447" s="887"/>
      <c r="C447" s="26"/>
      <c r="D447" s="26" cm="1">
        <f t="array" ref="D447">D446</f>
        <v>11</v>
      </c>
      <c r="E447" s="545">
        <v>15</v>
      </c>
      <c r="F447" s="3" t="str" cm="1">
        <f t="array" aca="1" ref="F447" ca="1">OFFSET(E447,-1,1)</f>
        <v>2</v>
      </c>
      <c r="G447" s="26"/>
      <c r="H447" s="26"/>
      <c r="I447" s="26" t="s">
        <v>2158</v>
      </c>
      <c r="J447" s="26"/>
      <c r="K447" s="77" t="s">
        <v>2158</v>
      </c>
      <c r="L447" s="889" t="s">
        <v>1844</v>
      </c>
      <c r="M447" s="26"/>
      <c r="N447" s="26"/>
      <c r="O447" s="26"/>
      <c r="P447" s="26"/>
      <c r="Q447" s="26"/>
      <c r="R447" s="26"/>
      <c r="S447" s="26"/>
      <c r="T447" s="388" t="b" cm="1">
        <f t="array" aca="1" ref="T447" ca="1">T446</f>
        <v>1</v>
      </c>
      <c r="U447" s="26"/>
      <c r="V447" s="26"/>
      <c r="W447" s="26"/>
      <c r="X447" s="2066"/>
      <c r="Y447" s="1184"/>
      <c r="Z447" s="2012"/>
      <c r="AA447" s="1184"/>
      <c r="AB447" s="218" t="str">
        <f>D447&amp;".5"</f>
        <v>11.5</v>
      </c>
      <c r="AC447" s="1019" t="s">
        <v>1846</v>
      </c>
      <c r="AD447" s="218" t="s">
        <v>490</v>
      </c>
      <c r="AE447" s="1022">
        <f>IF(AE444=0,0,AE446/AE444*100)</f>
        <v>100.00001057963077</v>
      </c>
      <c r="AF447" s="1022">
        <f>IF(AF444=0,0,AF446/AF444*100)</f>
        <v>0</v>
      </c>
      <c r="AG447" s="1022">
        <f>IF(AG444=0,0,AG446/AG444*100)</f>
        <v>0</v>
      </c>
      <c r="AH447" s="1023"/>
      <c r="AI447" s="1022">
        <f t="shared" ref="AI447:BC447" si="123">IF(AI444=0,0,AI446/AI444*100)</f>
        <v>104.60667101722554</v>
      </c>
      <c r="AJ447" s="1022">
        <f t="shared" si="123"/>
        <v>0</v>
      </c>
      <c r="AK447" s="1022">
        <f t="shared" si="123"/>
        <v>0</v>
      </c>
      <c r="AL447" s="1022">
        <f t="shared" si="123"/>
        <v>0</v>
      </c>
      <c r="AM447" s="1022">
        <f t="shared" si="123"/>
        <v>0</v>
      </c>
      <c r="AN447" s="1022">
        <f t="shared" si="123"/>
        <v>0</v>
      </c>
      <c r="AO447" s="1022">
        <f t="shared" si="123"/>
        <v>0</v>
      </c>
      <c r="AP447" s="1022">
        <f t="shared" si="123"/>
        <v>0</v>
      </c>
      <c r="AQ447" s="1022">
        <f t="shared" si="123"/>
        <v>0</v>
      </c>
      <c r="AR447" s="1022">
        <f t="shared" si="123"/>
        <v>0</v>
      </c>
      <c r="AS447" s="1022">
        <f t="shared" si="123"/>
        <v>0</v>
      </c>
      <c r="AT447" s="1022">
        <f t="shared" si="123"/>
        <v>0</v>
      </c>
      <c r="AU447" s="1022">
        <f t="shared" ca="1" si="123"/>
        <v>0</v>
      </c>
      <c r="AV447" s="1022">
        <f t="shared" ca="1" si="123"/>
        <v>0</v>
      </c>
      <c r="AW447" s="1022">
        <f t="shared" ca="1" si="123"/>
        <v>0</v>
      </c>
      <c r="AX447" s="1022">
        <f t="shared" ca="1" si="123"/>
        <v>0</v>
      </c>
      <c r="AY447" s="1022">
        <f t="shared" ca="1" si="123"/>
        <v>0</v>
      </c>
      <c r="AZ447" s="1022">
        <f t="shared" ca="1" si="123"/>
        <v>0</v>
      </c>
      <c r="BA447" s="1022">
        <f t="shared" ca="1" si="123"/>
        <v>0</v>
      </c>
      <c r="BB447" s="1022">
        <f t="shared" ca="1" si="123"/>
        <v>0</v>
      </c>
      <c r="BC447" s="1022">
        <f t="shared" ca="1" si="123"/>
        <v>0</v>
      </c>
      <c r="BD447" s="1023"/>
      <c r="BE447" s="1023"/>
      <c r="BF447" s="1023"/>
      <c r="BG447" s="1023"/>
      <c r="BH447" s="1023"/>
      <c r="BI447" s="1023"/>
      <c r="BJ447" s="1023"/>
      <c r="BK447" s="1023"/>
      <c r="BL447" s="1023"/>
      <c r="BM447" s="1023"/>
      <c r="BN447" s="1523"/>
      <c r="BO447" s="1523"/>
      <c r="BP447" s="1523"/>
      <c r="BQ447" s="1184"/>
      <c r="BR447" s="1184"/>
      <c r="BS447" s="971" t="s">
        <v>1847</v>
      </c>
      <c r="BT447" s="973"/>
      <c r="BU447" s="973"/>
      <c r="BV447" s="888"/>
      <c r="BW447" s="888"/>
    </row>
    <row r="448" spans="1:75" s="1334" customFormat="1" ht="14.65" customHeight="1" x14ac:dyDescent="0.25">
      <c r="A448" s="1184"/>
      <c r="B448" s="887"/>
      <c r="C448" s="26"/>
      <c r="D448" s="26" cm="1">
        <f t="array" ref="D448">D447</f>
        <v>11</v>
      </c>
      <c r="E448" s="545">
        <v>15</v>
      </c>
      <c r="F448" s="3" t="str" cm="1">
        <f t="array" aca="1" ref="F448" ca="1">OFFSET(E448,-1,1)</f>
        <v>2</v>
      </c>
      <c r="G448" s="26"/>
      <c r="H448" s="26"/>
      <c r="I448" s="26" t="s">
        <v>2159</v>
      </c>
      <c r="J448" s="26"/>
      <c r="K448" s="77" t="s">
        <v>2159</v>
      </c>
      <c r="L448" s="889" t="s">
        <v>1848</v>
      </c>
      <c r="M448" s="26"/>
      <c r="N448" s="26"/>
      <c r="O448" s="26"/>
      <c r="P448" s="26"/>
      <c r="Q448" s="26"/>
      <c r="R448" s="26"/>
      <c r="S448" s="26"/>
      <c r="T448" s="388" t="b" cm="1">
        <f t="array" aca="1" ref="T448" ca="1">T447</f>
        <v>1</v>
      </c>
      <c r="U448" s="26"/>
      <c r="V448" s="26"/>
      <c r="W448" s="26"/>
      <c r="X448" s="2066"/>
      <c r="Y448" s="1184"/>
      <c r="Z448" s="2012"/>
      <c r="AA448" s="1184"/>
      <c r="AB448" s="218" t="str">
        <f>D448&amp;".6"</f>
        <v>11.6</v>
      </c>
      <c r="AC448" s="1019" t="s">
        <v>1850</v>
      </c>
      <c r="AD448" s="218" t="s">
        <v>1588</v>
      </c>
      <c r="AE448" s="1514">
        <v>39.815191190500002</v>
      </c>
      <c r="AF448" s="1514">
        <f ca="1">IF(AF442=0,0,AF439/AF442)</f>
        <v>11.912934953590289</v>
      </c>
      <c r="AG448" s="1514">
        <f ca="1">IF(AG442=0,0,AG439/AG442)</f>
        <v>10.141479700746428</v>
      </c>
      <c r="AH448" s="1022">
        <f ca="1">AG448-AF448</f>
        <v>-1.771455252843861</v>
      </c>
      <c r="AI448" s="1514">
        <v>40.732266472299997</v>
      </c>
      <c r="AJ448" s="1514">
        <f t="shared" ref="AJ448:BC448" ca="1" si="124">IF(AJ442=0,0,AJ439/AJ442)</f>
        <v>15.340351800642258</v>
      </c>
      <c r="AK448" s="1148">
        <f t="shared" ca="1" si="124"/>
        <v>0</v>
      </c>
      <c r="AL448" s="1148">
        <f t="shared" ca="1" si="124"/>
        <v>0</v>
      </c>
      <c r="AM448" s="1148">
        <f t="shared" ca="1" si="124"/>
        <v>0</v>
      </c>
      <c r="AN448" s="1148">
        <f t="shared" ca="1" si="124"/>
        <v>0</v>
      </c>
      <c r="AO448" s="1148">
        <f t="shared" ca="1" si="124"/>
        <v>0</v>
      </c>
      <c r="AP448" s="1148">
        <f t="shared" ca="1" si="124"/>
        <v>0</v>
      </c>
      <c r="AQ448" s="1514">
        <f t="shared" ca="1" si="124"/>
        <v>0</v>
      </c>
      <c r="AR448" s="1514">
        <f t="shared" ca="1" si="124"/>
        <v>0</v>
      </c>
      <c r="AS448" s="1514">
        <f t="shared" ca="1" si="124"/>
        <v>0</v>
      </c>
      <c r="AT448" s="1514">
        <f t="shared" ca="1" si="124"/>
        <v>21.470557578417782</v>
      </c>
      <c r="AU448" s="1148">
        <f t="shared" ca="1" si="124"/>
        <v>0</v>
      </c>
      <c r="AV448" s="1148">
        <f t="shared" ca="1" si="124"/>
        <v>0</v>
      </c>
      <c r="AW448" s="1148">
        <f t="shared" ca="1" si="124"/>
        <v>0</v>
      </c>
      <c r="AX448" s="1148">
        <f t="shared" ca="1" si="124"/>
        <v>0</v>
      </c>
      <c r="AY448" s="1148">
        <f t="shared" ca="1" si="124"/>
        <v>0</v>
      </c>
      <c r="AZ448" s="1148">
        <f t="shared" ca="1" si="124"/>
        <v>0</v>
      </c>
      <c r="BA448" s="1514">
        <f t="shared" ca="1" si="124"/>
        <v>0</v>
      </c>
      <c r="BB448" s="1514">
        <f t="shared" ca="1" si="124"/>
        <v>0</v>
      </c>
      <c r="BC448" s="1514">
        <f t="shared" ca="1" si="124"/>
        <v>0</v>
      </c>
      <c r="BD448" s="1023"/>
      <c r="BE448" s="1023"/>
      <c r="BF448" s="1023"/>
      <c r="BG448" s="1023"/>
      <c r="BH448" s="1023"/>
      <c r="BI448" s="1023"/>
      <c r="BJ448" s="1023"/>
      <c r="BK448" s="1023"/>
      <c r="BL448" s="1023"/>
      <c r="BM448" s="1023"/>
      <c r="BN448" s="1523"/>
      <c r="BO448" s="1523"/>
      <c r="BP448" s="1523"/>
      <c r="BQ448" s="1184"/>
      <c r="BR448" s="1184"/>
      <c r="BS448" s="971" t="s">
        <v>1851</v>
      </c>
      <c r="BT448" s="973"/>
      <c r="BU448" s="973"/>
      <c r="BV448" s="888"/>
      <c r="BW448" s="888"/>
    </row>
    <row r="449" spans="1:75" s="1558" customFormat="1" ht="20.45" customHeight="1" x14ac:dyDescent="0.25">
      <c r="A449" s="623"/>
      <c r="B449" s="357"/>
      <c r="C449" s="28"/>
      <c r="D449" s="28">
        <f>D448+1</f>
        <v>12</v>
      </c>
      <c r="E449" s="745">
        <v>21</v>
      </c>
      <c r="F449" s="3" t="str" cm="1">
        <f t="array" aca="1" ref="F449" ca="1">OFFSET(E449,-1,1)</f>
        <v>2</v>
      </c>
      <c r="G449" s="28"/>
      <c r="H449" s="26"/>
      <c r="I449" s="26" t="s">
        <v>1856</v>
      </c>
      <c r="J449" s="28"/>
      <c r="K449" s="77" t="s">
        <v>1856</v>
      </c>
      <c r="L449" s="894" t="s">
        <v>1852</v>
      </c>
      <c r="M449" s="28"/>
      <c r="N449" s="28"/>
      <c r="O449" s="28"/>
      <c r="P449" s="28"/>
      <c r="Q449" s="28"/>
      <c r="R449" s="28"/>
      <c r="S449" s="28"/>
      <c r="T449" s="388" t="b" cm="1">
        <f t="array" aca="1" ref="T449" ca="1">T448</f>
        <v>1</v>
      </c>
      <c r="U449" s="28"/>
      <c r="V449" s="28"/>
      <c r="W449" s="28"/>
      <c r="X449" s="2066"/>
      <c r="Y449" s="623"/>
      <c r="Z449" s="2012"/>
      <c r="AA449" s="623"/>
      <c r="AB449" s="130" cm="1">
        <f t="array" ref="AB449">D449</f>
        <v>12</v>
      </c>
      <c r="AC449" s="131" t="s">
        <v>1854</v>
      </c>
      <c r="AD449" s="130" t="s">
        <v>831</v>
      </c>
      <c r="AE449" s="1520">
        <v>81667.743630979196</v>
      </c>
      <c r="AF449" s="1520">
        <f ca="1">IF(AF442=0,0,AF439/AF442*AF450)</f>
        <v>17879.766683795056</v>
      </c>
      <c r="AG449" s="1520">
        <f ca="1">IF(AG442=0,0,AG439/AG442*AG450)</f>
        <v>15221.04263845929</v>
      </c>
      <c r="AH449" s="132">
        <f ca="1">AH451*AH452+AH453*AH454</f>
        <v>0</v>
      </c>
      <c r="AI449" s="1520">
        <v>83548.821349463193</v>
      </c>
      <c r="AJ449" s="1520">
        <f t="shared" ref="AJ449:BC449" ca="1" si="125">IF(AJ442=0,0,AJ439/AJ442*AJ450)</f>
        <v>23023.873807029944</v>
      </c>
      <c r="AK449" s="1157">
        <f t="shared" ca="1" si="125"/>
        <v>0</v>
      </c>
      <c r="AL449" s="1157">
        <f t="shared" ca="1" si="125"/>
        <v>0</v>
      </c>
      <c r="AM449" s="1157">
        <f t="shared" ca="1" si="125"/>
        <v>0</v>
      </c>
      <c r="AN449" s="1157">
        <f t="shared" ca="1" si="125"/>
        <v>0</v>
      </c>
      <c r="AO449" s="1157">
        <f t="shared" ca="1" si="125"/>
        <v>0</v>
      </c>
      <c r="AP449" s="1157">
        <f t="shared" ca="1" si="125"/>
        <v>0</v>
      </c>
      <c r="AQ449" s="1520">
        <f t="shared" ca="1" si="125"/>
        <v>0</v>
      </c>
      <c r="AR449" s="1520">
        <f t="shared" ca="1" si="125"/>
        <v>0</v>
      </c>
      <c r="AS449" s="1520">
        <f t="shared" ca="1" si="125"/>
        <v>0</v>
      </c>
      <c r="AT449" s="1520">
        <f t="shared" ca="1" si="125"/>
        <v>30640.696487716024</v>
      </c>
      <c r="AU449" s="1157">
        <f t="shared" ca="1" si="125"/>
        <v>0</v>
      </c>
      <c r="AV449" s="1157">
        <f t="shared" ca="1" si="125"/>
        <v>0</v>
      </c>
      <c r="AW449" s="1157">
        <f t="shared" ca="1" si="125"/>
        <v>0</v>
      </c>
      <c r="AX449" s="1157">
        <f t="shared" ca="1" si="125"/>
        <v>0</v>
      </c>
      <c r="AY449" s="1157">
        <f t="shared" ca="1" si="125"/>
        <v>0</v>
      </c>
      <c r="AZ449" s="1157">
        <f t="shared" ca="1" si="125"/>
        <v>0</v>
      </c>
      <c r="BA449" s="1520">
        <f t="shared" ca="1" si="125"/>
        <v>0</v>
      </c>
      <c r="BB449" s="1520">
        <f t="shared" ca="1" si="125"/>
        <v>0</v>
      </c>
      <c r="BC449" s="1520">
        <f t="shared" ca="1" si="125"/>
        <v>0</v>
      </c>
      <c r="BD449" s="698">
        <f ca="1">IF(AI449=0,0,(AT449-AI449)/AI449*100)</f>
        <v>-63.32599791018729</v>
      </c>
      <c r="BE449" s="698">
        <f t="shared" ref="BE449:BM449" ca="1" si="126">IF(AT449=0,0,(AU449-AT449)/AT449*100)</f>
        <v>-100</v>
      </c>
      <c r="BF449" s="698">
        <f t="shared" ca="1" si="126"/>
        <v>0</v>
      </c>
      <c r="BG449" s="698">
        <f t="shared" ca="1" si="126"/>
        <v>0</v>
      </c>
      <c r="BH449" s="698">
        <f t="shared" ca="1" si="126"/>
        <v>0</v>
      </c>
      <c r="BI449" s="698">
        <f t="shared" ca="1" si="126"/>
        <v>0</v>
      </c>
      <c r="BJ449" s="698">
        <f t="shared" ca="1" si="126"/>
        <v>0</v>
      </c>
      <c r="BK449" s="698">
        <f t="shared" ca="1" si="126"/>
        <v>0</v>
      </c>
      <c r="BL449" s="698">
        <f t="shared" ca="1" si="126"/>
        <v>0</v>
      </c>
      <c r="BM449" s="698">
        <f t="shared" ca="1" si="126"/>
        <v>0</v>
      </c>
      <c r="BN449" s="1523"/>
      <c r="BO449" s="1523"/>
      <c r="BP449" s="1523"/>
      <c r="BQ449" s="623"/>
      <c r="BR449" s="623"/>
      <c r="BS449" s="972" t="s">
        <v>1855</v>
      </c>
      <c r="BT449" s="979"/>
      <c r="BU449" s="979"/>
      <c r="BV449" s="630"/>
      <c r="BW449" s="630"/>
    </row>
    <row r="450" spans="1:75" s="1559" customFormat="1" ht="20.25" customHeight="1" x14ac:dyDescent="0.25">
      <c r="A450" s="623"/>
      <c r="B450" s="357"/>
      <c r="C450" s="28"/>
      <c r="D450" s="28">
        <f>D449+1</f>
        <v>13</v>
      </c>
      <c r="E450" s="745">
        <v>21</v>
      </c>
      <c r="F450" s="3" t="str" cm="1">
        <f t="array" aca="1" ref="F450" ca="1">OFFSET(E450,-1,1)</f>
        <v>2</v>
      </c>
      <c r="G450" s="26" t="s">
        <v>1610</v>
      </c>
      <c r="H450" s="26"/>
      <c r="I450" s="26" t="s">
        <v>2160</v>
      </c>
      <c r="J450" s="28"/>
      <c r="K450" s="77" t="s">
        <v>2160</v>
      </c>
      <c r="L450" s="894" t="s">
        <v>1856</v>
      </c>
      <c r="M450" s="28"/>
      <c r="N450" s="28"/>
      <c r="O450" s="28"/>
      <c r="P450" s="28"/>
      <c r="Q450" s="28"/>
      <c r="R450" s="28"/>
      <c r="S450" s="28"/>
      <c r="T450" s="388" t="b" cm="1">
        <f t="array" aca="1" ref="T450" ca="1">T449</f>
        <v>1</v>
      </c>
      <c r="U450" s="28"/>
      <c r="V450" s="28"/>
      <c r="W450" s="28"/>
      <c r="X450" s="2066"/>
      <c r="Y450" s="623"/>
      <c r="Z450" s="2012"/>
      <c r="AA450" s="623"/>
      <c r="AB450" s="130" cm="1">
        <f t="array" ref="AB450">D450</f>
        <v>13</v>
      </c>
      <c r="AC450" s="131" t="s">
        <v>1858</v>
      </c>
      <c r="AD450" s="130" t="s">
        <v>563</v>
      </c>
      <c r="AE450" s="705">
        <f ca="1">SUMIFS(Баланс!AE$26:AE$300,Баланс!$F$26:$F$300,$F450,Баланс!$G$26:$G$300,"население")</f>
        <v>2051.1704500000001</v>
      </c>
      <c r="AF450" s="705">
        <f ca="1">SUMIFS(Баланс!AF$26:AF$300,Баланс!$F$26:$F$300,$F450,Баланс!$G$26:$G$300,"население")</f>
        <v>1500.87</v>
      </c>
      <c r="AG450" s="705">
        <f ca="1">SUMIFS(Баланс!AG$26:AG$300,Баланс!$F$26:$F$300,$F450,Баланс!$G$26:$G$300,"население")</f>
        <v>1500.87</v>
      </c>
      <c r="AH450" s="705">
        <f t="shared" ref="AH450:AH458" ca="1" si="127">AG450-AF450</f>
        <v>0</v>
      </c>
      <c r="AI450" s="705">
        <f ca="1">SUMIFS(Баланс!AH$26:AH$300,Баланс!$F$26:$F$300,$F450,Баланс!$G$26:$G$300,"население")</f>
        <v>2051.1704500000001</v>
      </c>
      <c r="AJ450" s="705">
        <f ca="1">SUMIFS(Баланс!AI$26:AI$300,Баланс!$F$26:$F$300,$F450,Баланс!$G$26:$G$300,"население")</f>
        <v>1500.87</v>
      </c>
      <c r="AK450" s="705">
        <f ca="1">SUMIFS(Баланс!AJ$26:AJ$300,Баланс!$F$26:$F$300,$F450,Баланс!$G$26:$G$300,"население")</f>
        <v>0</v>
      </c>
      <c r="AL450" s="705">
        <f ca="1">SUMIFS(Баланс!AK$26:AK$300,Баланс!$F$26:$F$300,$F450,Баланс!$G$26:$G$300,"население")</f>
        <v>0</v>
      </c>
      <c r="AM450" s="705">
        <f ca="1">SUMIFS(Баланс!AL$26:AL$300,Баланс!$F$26:$F$300,$F450,Баланс!$G$26:$G$300,"население")</f>
        <v>0</v>
      </c>
      <c r="AN450" s="705">
        <f ca="1">SUMIFS(Баланс!AM$26:AM$300,Баланс!$F$26:$F$300,$F450,Баланс!$G$26:$G$300,"население")</f>
        <v>0</v>
      </c>
      <c r="AO450" s="705">
        <f ca="1">SUMIFS(Баланс!AN$26:AN$300,Баланс!$F$26:$F$300,$F450,Баланс!$G$26:$G$300,"население")</f>
        <v>0</v>
      </c>
      <c r="AP450" s="705">
        <f ca="1">SUMIFS(Баланс!AO$26:AO$300,Баланс!$F$26:$F$300,$F450,Баланс!$G$26:$G$300,"население")</f>
        <v>0</v>
      </c>
      <c r="AQ450" s="705">
        <f ca="1">SUMIFS(Баланс!AP$26:AP$300,Баланс!$F$26:$F$300,$F450,Баланс!$G$26:$G$300,"население")</f>
        <v>0</v>
      </c>
      <c r="AR450" s="705">
        <f ca="1">SUMIFS(Баланс!AQ$26:AQ$300,Баланс!$F$26:$F$300,$F450,Баланс!$G$26:$G$300,"население")</f>
        <v>0</v>
      </c>
      <c r="AS450" s="705">
        <f ca="1">SUMIFS(Баланс!AR$26:AR$300,Баланс!$F$26:$F$300,$F450,Баланс!$G$26:$G$300,"население")</f>
        <v>0</v>
      </c>
      <c r="AT450" s="705">
        <f ca="1">SUMIFS(Баланс!AS$26:AS$300,Баланс!$F$26:$F$300,$F450,Баланс!$G$26:$G$300,"население")</f>
        <v>1427.1029699999999</v>
      </c>
      <c r="AU450" s="705">
        <f ca="1">SUMIFS(Баланс!AT$26:AT$300,Баланс!$F$26:$F$300,$F450,Баланс!$G$26:$G$300,"население")</f>
        <v>0</v>
      </c>
      <c r="AV450" s="705">
        <f ca="1">SUMIFS(Баланс!AU$26:AU$300,Баланс!$F$26:$F$300,$F450,Баланс!$G$26:$G$300,"население")</f>
        <v>0</v>
      </c>
      <c r="AW450" s="705">
        <f ca="1">SUMIFS(Баланс!AV$26:AV$300,Баланс!$F$26:$F$300,$F450,Баланс!$G$26:$G$300,"население")</f>
        <v>0</v>
      </c>
      <c r="AX450" s="705">
        <f ca="1">SUMIFS(Баланс!AW$26:AW$300,Баланс!$F$26:$F$300,$F450,Баланс!$G$26:$G$300,"население")</f>
        <v>0</v>
      </c>
      <c r="AY450" s="705">
        <f ca="1">SUMIFS(Баланс!AX$26:AX$300,Баланс!$F$26:$F$300,$F450,Баланс!$G$26:$G$300,"население")</f>
        <v>0</v>
      </c>
      <c r="AZ450" s="705">
        <f ca="1">SUMIFS(Баланс!AY$26:AY$300,Баланс!$F$26:$F$300,$F450,Баланс!$G$26:$G$300,"население")</f>
        <v>0</v>
      </c>
      <c r="BA450" s="705">
        <f ca="1">SUMIFS(Баланс!AZ$26:AZ$300,Баланс!$F$26:$F$300,$F450,Баланс!$G$26:$G$300,"население")</f>
        <v>0</v>
      </c>
      <c r="BB450" s="705">
        <f ca="1">SUMIFS(Баланс!BA$26:BA$300,Баланс!$F$26:$F$300,$F450,Баланс!$G$26:$G$300,"население")</f>
        <v>0</v>
      </c>
      <c r="BC450" s="705">
        <f ca="1">SUMIFS(Баланс!BB$26:BB$300,Баланс!$F$26:$F$300,$F450,Баланс!$G$26:$G$300,"население")</f>
        <v>0</v>
      </c>
      <c r="BD450" s="135"/>
      <c r="BE450" s="135"/>
      <c r="BF450" s="135"/>
      <c r="BG450" s="135"/>
      <c r="BH450" s="135"/>
      <c r="BI450" s="135"/>
      <c r="BJ450" s="135"/>
      <c r="BK450" s="135"/>
      <c r="BL450" s="135"/>
      <c r="BM450" s="135"/>
      <c r="BN450" s="1523"/>
      <c r="BO450" s="1523"/>
      <c r="BP450" s="1523"/>
      <c r="BQ450" s="623"/>
      <c r="BR450" s="623"/>
      <c r="BS450" s="972" t="s">
        <v>1859</v>
      </c>
      <c r="BT450" s="979"/>
      <c r="BU450" s="979"/>
      <c r="BV450" s="630"/>
      <c r="BW450" s="630"/>
    </row>
    <row r="451" spans="1:75" s="1334" customFormat="1" ht="14.65" customHeight="1" x14ac:dyDescent="0.25">
      <c r="A451" s="1184"/>
      <c r="B451" s="887"/>
      <c r="C451" s="26"/>
      <c r="D451" s="26" cm="1">
        <f t="array" ref="D451">D450</f>
        <v>13</v>
      </c>
      <c r="E451" s="545">
        <v>15</v>
      </c>
      <c r="F451" s="3" t="str" cm="1">
        <f t="array" aca="1" ref="F451" ca="1">OFFSET(E451,-1,1)</f>
        <v>2</v>
      </c>
      <c r="G451" s="26" t="s">
        <v>1644</v>
      </c>
      <c r="H451" s="26"/>
      <c r="I451" s="26" t="s">
        <v>2161</v>
      </c>
      <c r="J451" s="26"/>
      <c r="K451" s="77" t="s">
        <v>2161</v>
      </c>
      <c r="L451" s="889" t="s">
        <v>1860</v>
      </c>
      <c r="M451" s="26"/>
      <c r="N451" s="26"/>
      <c r="O451" s="26"/>
      <c r="P451" s="26"/>
      <c r="Q451" s="26"/>
      <c r="R451" s="26"/>
      <c r="S451" s="26"/>
      <c r="T451" s="388" t="b" cm="1">
        <f t="array" aca="1" ref="T451" ca="1">T450</f>
        <v>1</v>
      </c>
      <c r="U451" s="26"/>
      <c r="V451" s="26"/>
      <c r="W451" s="26"/>
      <c r="X451" s="2066"/>
      <c r="Y451" s="1184"/>
      <c r="Z451" s="2012"/>
      <c r="AA451" s="1184"/>
      <c r="AB451" s="218" t="str">
        <f>D451&amp;".1"</f>
        <v>13.1</v>
      </c>
      <c r="AC451" s="1019" t="s">
        <v>1862</v>
      </c>
      <c r="AD451" s="218" t="s">
        <v>563</v>
      </c>
      <c r="AE451" s="1513">
        <v>1025.585225</v>
      </c>
      <c r="AF451" s="1513">
        <f ca="1">AF450/2</f>
        <v>750.43499999999995</v>
      </c>
      <c r="AG451" s="1513">
        <f ca="1">AG450/2</f>
        <v>750.43499999999995</v>
      </c>
      <c r="AH451" s="1021">
        <f t="shared" ca="1" si="127"/>
        <v>0</v>
      </c>
      <c r="AI451" s="1513">
        <v>1025.585225</v>
      </c>
      <c r="AJ451" s="1513">
        <f ca="1">IF(god=2026,AJ450/12*9,AJ450/2)</f>
        <v>1125.6524999999999</v>
      </c>
      <c r="AK451" s="1146">
        <f ca="1">IF(god=2025,AK450/12*9,AK450/2)</f>
        <v>0</v>
      </c>
      <c r="AL451" s="1146">
        <f t="shared" ref="AL451:AS451" ca="1" si="128">AL450/2</f>
        <v>0</v>
      </c>
      <c r="AM451" s="1146">
        <f t="shared" ca="1" si="128"/>
        <v>0</v>
      </c>
      <c r="AN451" s="1146">
        <f t="shared" ca="1" si="128"/>
        <v>0</v>
      </c>
      <c r="AO451" s="1146">
        <f t="shared" ca="1" si="128"/>
        <v>0</v>
      </c>
      <c r="AP451" s="1146">
        <f t="shared" ca="1" si="128"/>
        <v>0</v>
      </c>
      <c r="AQ451" s="1513">
        <f t="shared" ca="1" si="128"/>
        <v>0</v>
      </c>
      <c r="AR451" s="1513">
        <f t="shared" ca="1" si="128"/>
        <v>0</v>
      </c>
      <c r="AS451" s="1513">
        <f t="shared" ca="1" si="128"/>
        <v>0</v>
      </c>
      <c r="AT451" s="1519">
        <f ca="1">IF(god=2026,AT450/12*9,AT450/2)</f>
        <v>1070.3272274999999</v>
      </c>
      <c r="AU451" s="1168">
        <f ca="1">IF(god=2025,AU450/12*9,AU450/2)</f>
        <v>0</v>
      </c>
      <c r="AV451" s="1146">
        <f t="shared" ref="AV451:BC451" ca="1" si="129">AV450/2</f>
        <v>0</v>
      </c>
      <c r="AW451" s="1146">
        <f t="shared" ca="1" si="129"/>
        <v>0</v>
      </c>
      <c r="AX451" s="1146">
        <f t="shared" ca="1" si="129"/>
        <v>0</v>
      </c>
      <c r="AY451" s="1146">
        <f t="shared" ca="1" si="129"/>
        <v>0</v>
      </c>
      <c r="AZ451" s="1146">
        <f t="shared" ca="1" si="129"/>
        <v>0</v>
      </c>
      <c r="BA451" s="1513">
        <f t="shared" ca="1" si="129"/>
        <v>0</v>
      </c>
      <c r="BB451" s="1513">
        <f t="shared" ca="1" si="129"/>
        <v>0</v>
      </c>
      <c r="BC451" s="1513">
        <f t="shared" ca="1" si="129"/>
        <v>0</v>
      </c>
      <c r="BD451" s="1023"/>
      <c r="BE451" s="1023"/>
      <c r="BF451" s="1023"/>
      <c r="BG451" s="1023"/>
      <c r="BH451" s="1023"/>
      <c r="BI451" s="1023"/>
      <c r="BJ451" s="1023"/>
      <c r="BK451" s="1023"/>
      <c r="BL451" s="1023"/>
      <c r="BM451" s="1023"/>
      <c r="BN451" s="1523"/>
      <c r="BO451" s="1523"/>
      <c r="BP451" s="1523"/>
      <c r="BQ451" s="1184"/>
      <c r="BR451" s="1184"/>
      <c r="BS451" s="971" t="s">
        <v>1863</v>
      </c>
      <c r="BT451" s="973"/>
      <c r="BU451" s="973"/>
      <c r="BV451" s="888"/>
      <c r="BW451" s="888"/>
    </row>
    <row r="452" spans="1:75" s="1334" customFormat="1" ht="14.65" customHeight="1" x14ac:dyDescent="0.25">
      <c r="A452" s="1184"/>
      <c r="B452" s="887"/>
      <c r="C452" s="26"/>
      <c r="D452" s="26" cm="1">
        <f t="array" ref="D452">D451</f>
        <v>13</v>
      </c>
      <c r="E452" s="545">
        <v>15</v>
      </c>
      <c r="F452" s="3" t="str" cm="1">
        <f t="array" aca="1" ref="F452" ca="1">OFFSET(E452,-1,1)</f>
        <v>2</v>
      </c>
      <c r="G452" s="26" t="s">
        <v>1600</v>
      </c>
      <c r="H452" s="26"/>
      <c r="I452" s="26" t="s">
        <v>2162</v>
      </c>
      <c r="J452" s="26"/>
      <c r="K452" s="77" t="s">
        <v>2162</v>
      </c>
      <c r="L452" s="889" t="s">
        <v>1864</v>
      </c>
      <c r="M452" s="26"/>
      <c r="N452" s="26"/>
      <c r="O452" s="26"/>
      <c r="P452" s="26"/>
      <c r="Q452" s="26"/>
      <c r="R452" s="26"/>
      <c r="S452" s="26"/>
      <c r="T452" s="388" t="b" cm="1">
        <f t="array" aca="1" ref="T452" ca="1">T451</f>
        <v>1</v>
      </c>
      <c r="U452" s="26"/>
      <c r="V452" s="26"/>
      <c r="W452" s="26"/>
      <c r="X452" s="2066"/>
      <c r="Y452" s="1184"/>
      <c r="Z452" s="2012"/>
      <c r="AA452" s="1184"/>
      <c r="AB452" s="218" t="str">
        <f>D452&amp;".2"</f>
        <v>13.2</v>
      </c>
      <c r="AC452" s="1019" t="s">
        <v>1866</v>
      </c>
      <c r="AD452" s="218" t="s">
        <v>1588</v>
      </c>
      <c r="AE452" s="1514">
        <v>39.815189084300002</v>
      </c>
      <c r="AF452" s="1521">
        <f ca="1">IF(AF450=0,0,AF444*(1+Сценарии!AF$26))</f>
        <v>0</v>
      </c>
      <c r="AG452" s="1521">
        <f ca="1">IF(AG450=0,0,AG444*(1+Сценарии!AG$26))</f>
        <v>0</v>
      </c>
      <c r="AH452" s="1022">
        <f t="shared" ca="1" si="127"/>
        <v>0</v>
      </c>
      <c r="AI452" s="1514">
        <v>39.815189084300002</v>
      </c>
      <c r="AJ452" s="1521">
        <f ca="1">IF(AJ450=0,0,AJ444*(1+Сценарии!AJ$26))</f>
        <v>0</v>
      </c>
      <c r="AK452" s="1169">
        <f ca="1">IF(AK450=0,0,AK444*(1+Сценарии!AO$26))</f>
        <v>0</v>
      </c>
      <c r="AL452" s="1169">
        <f ca="1">IF(AL450=0,0,AL444*(1+Сценарии!AP$26))</f>
        <v>0</v>
      </c>
      <c r="AM452" s="1169">
        <f ca="1">IF(AM450=0,0,AM444*(1+Сценарии!AQ$26))</f>
        <v>0</v>
      </c>
      <c r="AN452" s="1169">
        <f ca="1">IF(AN450=0,0,AN444*(1+Сценарии!AR$26))</f>
        <v>0</v>
      </c>
      <c r="AO452" s="1169">
        <f ca="1">IF(AO450=0,0,AO444*(1+Сценарии!AS$26))</f>
        <v>0</v>
      </c>
      <c r="AP452" s="1169">
        <f ca="1">IF(AP450=0,0,AP444*(1+Сценарии!AT$26))</f>
        <v>0</v>
      </c>
      <c r="AQ452" s="1521">
        <f ca="1">IF(AQ450=0,0,AQ444*(1+Сценарии!AU$26))</f>
        <v>0</v>
      </c>
      <c r="AR452" s="1521">
        <f ca="1">IF(AR450=0,0,AR444*(1+Сценарии!AV$26))</f>
        <v>0</v>
      </c>
      <c r="AS452" s="1521">
        <f ca="1">IF(AS450=0,0,AS444*(1+Сценарии!AW$26))</f>
        <v>0</v>
      </c>
      <c r="AT452" s="1514">
        <f ca="1">IF(AT450=0,0,AT444*(1+Сценарии!AK$26))</f>
        <v>0</v>
      </c>
      <c r="AU452" s="1148">
        <f ca="1">IF(AU450=0,0,AU444*(1+Сценарии!AX$26))</f>
        <v>0</v>
      </c>
      <c r="AV452" s="1169">
        <f ca="1">IF(AV450=0,0,AV444*(1+Сценарии!AY$26))</f>
        <v>0</v>
      </c>
      <c r="AW452" s="1169">
        <f ca="1">IF(AW450=0,0,AW444*(1+Сценарии!AZ$26))</f>
        <v>0</v>
      </c>
      <c r="AX452" s="1169">
        <f ca="1">IF(AX450=0,0,AX444*(1+Сценарии!BA$26))</f>
        <v>0</v>
      </c>
      <c r="AY452" s="1169">
        <f ca="1">IF(AY450=0,0,AY444*(1+Сценарии!BB$26))</f>
        <v>0</v>
      </c>
      <c r="AZ452" s="1169">
        <f ca="1">IF(AZ450=0,0,AZ444*(1+Сценарии!BC$26))</f>
        <v>0</v>
      </c>
      <c r="BA452" s="1521">
        <f ca="1">IF(BA450=0,0,BA444*(1+Сценарии!BD$26))</f>
        <v>0</v>
      </c>
      <c r="BB452" s="1521">
        <f ca="1">IF(BB450=0,0,BB444*(1+Сценарии!BE$26))</f>
        <v>0</v>
      </c>
      <c r="BC452" s="1521">
        <f ca="1">IF(BC450=0,0,BC444*(1+Сценарии!BF$26))</f>
        <v>0</v>
      </c>
      <c r="BD452" s="1023"/>
      <c r="BE452" s="1023"/>
      <c r="BF452" s="1023"/>
      <c r="BG452" s="1023"/>
      <c r="BH452" s="1023"/>
      <c r="BI452" s="1023"/>
      <c r="BJ452" s="1023"/>
      <c r="BK452" s="1023"/>
      <c r="BL452" s="1023"/>
      <c r="BM452" s="1023"/>
      <c r="BN452" s="1523"/>
      <c r="BO452" s="1523"/>
      <c r="BP452" s="1523"/>
      <c r="BQ452" s="1184"/>
      <c r="BR452" s="1184"/>
      <c r="BS452" s="971" t="s">
        <v>1867</v>
      </c>
      <c r="BT452" s="973"/>
      <c r="BU452" s="973"/>
      <c r="BV452" s="888"/>
      <c r="BW452" s="888"/>
    </row>
    <row r="453" spans="1:75" s="1334" customFormat="1" ht="14.25" customHeight="1" x14ac:dyDescent="0.25">
      <c r="A453" s="1184"/>
      <c r="B453" s="887"/>
      <c r="C453" s="26"/>
      <c r="D453" s="26" cm="1">
        <f t="array" ref="D453">D452</f>
        <v>13</v>
      </c>
      <c r="E453" s="545">
        <v>15</v>
      </c>
      <c r="F453" s="3" t="str" cm="1">
        <f t="array" aca="1" ref="F453" ca="1">OFFSET(E453,-1,1)</f>
        <v>2</v>
      </c>
      <c r="G453" s="26" t="s">
        <v>1651</v>
      </c>
      <c r="H453" s="26"/>
      <c r="I453" s="26" t="s">
        <v>2163</v>
      </c>
      <c r="J453" s="26"/>
      <c r="K453" s="26" t="s">
        <v>2163</v>
      </c>
      <c r="L453" s="889" t="s">
        <v>1868</v>
      </c>
      <c r="M453" s="26"/>
      <c r="N453" s="26"/>
      <c r="O453" s="26"/>
      <c r="P453" s="26"/>
      <c r="Q453" s="26"/>
      <c r="R453" s="26"/>
      <c r="S453" s="26"/>
      <c r="T453" s="388" t="b" cm="1">
        <f t="array" aca="1" ref="T453" ca="1">T452</f>
        <v>1</v>
      </c>
      <c r="U453" s="26"/>
      <c r="V453" s="26"/>
      <c r="W453" s="26"/>
      <c r="X453" s="2066"/>
      <c r="Y453" s="1184"/>
      <c r="Z453" s="2012"/>
      <c r="AA453" s="1184"/>
      <c r="AB453" s="218" t="str">
        <f>D453&amp;".3"</f>
        <v>13.3</v>
      </c>
      <c r="AC453" s="1019" t="s">
        <v>1838</v>
      </c>
      <c r="AD453" s="218" t="s">
        <v>563</v>
      </c>
      <c r="AE453" s="1021">
        <f ca="1">AE450-AE451</f>
        <v>1025.585225</v>
      </c>
      <c r="AF453" s="1021">
        <f ca="1">AF450-AF451</f>
        <v>750.43499999999995</v>
      </c>
      <c r="AG453" s="1021">
        <f ca="1">AG450-AG451</f>
        <v>750.43499999999995</v>
      </c>
      <c r="AH453" s="1021">
        <f t="shared" ca="1" si="127"/>
        <v>0</v>
      </c>
      <c r="AI453" s="1021">
        <f t="shared" ref="AI453:BC453" ca="1" si="130">AI450-AI451</f>
        <v>1025.585225</v>
      </c>
      <c r="AJ453" s="1021">
        <f t="shared" ca="1" si="130"/>
        <v>375.21749999999997</v>
      </c>
      <c r="AK453" s="1021">
        <f t="shared" ca="1" si="130"/>
        <v>0</v>
      </c>
      <c r="AL453" s="1021">
        <f t="shared" ca="1" si="130"/>
        <v>0</v>
      </c>
      <c r="AM453" s="1021">
        <f t="shared" ca="1" si="130"/>
        <v>0</v>
      </c>
      <c r="AN453" s="1021">
        <f t="shared" ca="1" si="130"/>
        <v>0</v>
      </c>
      <c r="AO453" s="1021">
        <f t="shared" ca="1" si="130"/>
        <v>0</v>
      </c>
      <c r="AP453" s="1021">
        <f t="shared" ca="1" si="130"/>
        <v>0</v>
      </c>
      <c r="AQ453" s="1021">
        <f t="shared" ca="1" si="130"/>
        <v>0</v>
      </c>
      <c r="AR453" s="1021">
        <f t="shared" ca="1" si="130"/>
        <v>0</v>
      </c>
      <c r="AS453" s="1021">
        <f t="shared" ca="1" si="130"/>
        <v>0</v>
      </c>
      <c r="AT453" s="1021">
        <f t="shared" ca="1" si="130"/>
        <v>356.77574249999998</v>
      </c>
      <c r="AU453" s="1021">
        <f t="shared" ca="1" si="130"/>
        <v>0</v>
      </c>
      <c r="AV453" s="1021">
        <f t="shared" ca="1" si="130"/>
        <v>0</v>
      </c>
      <c r="AW453" s="1021">
        <f t="shared" ca="1" si="130"/>
        <v>0</v>
      </c>
      <c r="AX453" s="1021">
        <f t="shared" ca="1" si="130"/>
        <v>0</v>
      </c>
      <c r="AY453" s="1021">
        <f t="shared" ca="1" si="130"/>
        <v>0</v>
      </c>
      <c r="AZ453" s="1021">
        <f t="shared" ca="1" si="130"/>
        <v>0</v>
      </c>
      <c r="BA453" s="1021">
        <f t="shared" ca="1" si="130"/>
        <v>0</v>
      </c>
      <c r="BB453" s="1021">
        <f t="shared" ca="1" si="130"/>
        <v>0</v>
      </c>
      <c r="BC453" s="1021">
        <f t="shared" ca="1" si="130"/>
        <v>0</v>
      </c>
      <c r="BD453" s="1023"/>
      <c r="BE453" s="1023"/>
      <c r="BF453" s="1023"/>
      <c r="BG453" s="1023"/>
      <c r="BH453" s="1023"/>
      <c r="BI453" s="1023"/>
      <c r="BJ453" s="1023"/>
      <c r="BK453" s="1023"/>
      <c r="BL453" s="1023"/>
      <c r="BM453" s="1023"/>
      <c r="BN453" s="1523"/>
      <c r="BO453" s="1523"/>
      <c r="BP453" s="1523"/>
      <c r="BQ453" s="1184"/>
      <c r="BR453" s="1184"/>
      <c r="BS453" s="971" t="s">
        <v>1870</v>
      </c>
      <c r="BT453" s="973"/>
      <c r="BU453" s="973"/>
      <c r="BV453" s="888"/>
      <c r="BW453" s="888"/>
    </row>
    <row r="454" spans="1:75" s="1334" customFormat="1" ht="14.65" customHeight="1" x14ac:dyDescent="0.25">
      <c r="A454" s="1184"/>
      <c r="B454" s="887"/>
      <c r="C454" s="26"/>
      <c r="D454" s="26" cm="1">
        <f t="array" ref="D454">D453</f>
        <v>13</v>
      </c>
      <c r="E454" s="545">
        <v>15</v>
      </c>
      <c r="F454" s="3" t="str" cm="1">
        <f t="array" aca="1" ref="F454" ca="1">OFFSET(E454,-1,1)</f>
        <v>2</v>
      </c>
      <c r="G454" s="26" t="s">
        <v>1604</v>
      </c>
      <c r="H454" s="26"/>
      <c r="I454" s="26" t="s">
        <v>2164</v>
      </c>
      <c r="J454" s="26"/>
      <c r="K454" s="26" t="s">
        <v>2164</v>
      </c>
      <c r="L454" s="889" t="s">
        <v>1871</v>
      </c>
      <c r="M454" s="26"/>
      <c r="N454" s="26"/>
      <c r="O454" s="26"/>
      <c r="P454" s="26"/>
      <c r="Q454" s="26"/>
      <c r="R454" s="26"/>
      <c r="S454" s="26"/>
      <c r="T454" s="388" t="b" cm="1">
        <f t="array" aca="1" ref="T454" ca="1">T453</f>
        <v>1</v>
      </c>
      <c r="U454" s="26"/>
      <c r="V454" s="26"/>
      <c r="W454" s="26"/>
      <c r="X454" s="2066"/>
      <c r="Y454" s="1184"/>
      <c r="Z454" s="2012"/>
      <c r="AA454" s="1184"/>
      <c r="AB454" s="218" t="str">
        <f>D454&amp;".4"</f>
        <v>13.4</v>
      </c>
      <c r="AC454" s="1019" t="s">
        <v>1842</v>
      </c>
      <c r="AD454" s="218" t="s">
        <v>1588</v>
      </c>
      <c r="AE454" s="1514">
        <v>39.8151932966</v>
      </c>
      <c r="AF454" s="1521">
        <f ca="1">IF(AF450=0,0,AF446*(1+Сценарии!AF$26))</f>
        <v>23.825869907180579</v>
      </c>
      <c r="AG454" s="1521">
        <f ca="1">IF(AG450=0,0,AG446*(1+Сценарии!AG$26))</f>
        <v>20.282959401492857</v>
      </c>
      <c r="AH454" s="1022">
        <f t="shared" ca="1" si="127"/>
        <v>-3.5429105056877219</v>
      </c>
      <c r="AI454" s="1514">
        <v>41.6493438603</v>
      </c>
      <c r="AJ454" s="1521">
        <f ca="1">IF(AJ450=0,0,AJ446*(1+Сценарии!AJ$26))</f>
        <v>61.36140720256904</v>
      </c>
      <c r="AK454" s="1148">
        <f ca="1">IF(AK450=0,0,AK446*(1+Сценарии!AO$26))</f>
        <v>0</v>
      </c>
      <c r="AL454" s="1169">
        <f ca="1">IF(AL450=0,0,AL446*(1+Сценарии!AP$26))</f>
        <v>0</v>
      </c>
      <c r="AM454" s="1169">
        <f ca="1">IF(AM450=0,0,AM446*(1+Сценарии!AQ$26))</f>
        <v>0</v>
      </c>
      <c r="AN454" s="1169">
        <f ca="1">IF(AN450=0,0,AN446*(1+Сценарии!AR$26))</f>
        <v>0</v>
      </c>
      <c r="AO454" s="1169">
        <f ca="1">IF(AO450=0,0,AO446*(1+Сценарии!AS$26))</f>
        <v>0</v>
      </c>
      <c r="AP454" s="1169">
        <f ca="1">IF(AP450=0,0,AP446*(1+Сценарии!AT$26))</f>
        <v>0</v>
      </c>
      <c r="AQ454" s="1521">
        <f ca="1">IF(AQ450=0,0,AQ446*(1+Сценарии!AU$26))</f>
        <v>0</v>
      </c>
      <c r="AR454" s="1521">
        <f ca="1">IF(AR450=0,0,AR446*(1+Сценарии!AV$26))</f>
        <v>0</v>
      </c>
      <c r="AS454" s="1521">
        <f ca="1">IF(AS450=0,0,AS446*(1+Сценарии!AW$26))</f>
        <v>0</v>
      </c>
      <c r="AT454" s="1514">
        <f ca="1">IF(AT450=0,0,AT446*(1+Сценарии!AK$26))</f>
        <v>85.88223031367113</v>
      </c>
      <c r="AU454" s="1148">
        <f ca="1">IF(AU450=0,0,AU446*(1+Сценарии!AX$26))</f>
        <v>0</v>
      </c>
      <c r="AV454" s="1169">
        <f ca="1">IF(AV450=0,0,AV446*(1+Сценарии!AY$26))</f>
        <v>0</v>
      </c>
      <c r="AW454" s="1169">
        <f ca="1">IF(AW450=0,0,AW446*(1+Сценарии!AZ$26))</f>
        <v>0</v>
      </c>
      <c r="AX454" s="1169">
        <f ca="1">IF(AX450=0,0,AX446*(1+Сценарии!BA$26))</f>
        <v>0</v>
      </c>
      <c r="AY454" s="1169">
        <f ca="1">IF(AY450=0,0,AY446*(1+Сценарии!BB$26))</f>
        <v>0</v>
      </c>
      <c r="AZ454" s="1169">
        <f ca="1">IF(AZ450=0,0,AZ446*(1+Сценарии!BC$26))</f>
        <v>0</v>
      </c>
      <c r="BA454" s="1521">
        <f ca="1">IF(BA450=0,0,BA446*(1+Сценарии!BD$26))</f>
        <v>0</v>
      </c>
      <c r="BB454" s="1521">
        <f ca="1">IF(BB450=0,0,BB446*(1+Сценарии!BE$26))</f>
        <v>0</v>
      </c>
      <c r="BC454" s="1521">
        <f ca="1">IF(BC450=0,0,BC446*(1+Сценарии!BF$26))</f>
        <v>0</v>
      </c>
      <c r="BD454" s="1023"/>
      <c r="BE454" s="1023"/>
      <c r="BF454" s="1023"/>
      <c r="BG454" s="1023"/>
      <c r="BH454" s="1023"/>
      <c r="BI454" s="1023"/>
      <c r="BJ454" s="1023"/>
      <c r="BK454" s="1023"/>
      <c r="BL454" s="1023"/>
      <c r="BM454" s="1023"/>
      <c r="BN454" s="1523"/>
      <c r="BO454" s="1523"/>
      <c r="BP454" s="1523"/>
      <c r="BQ454" s="1184"/>
      <c r="BR454" s="1184"/>
      <c r="BS454" s="971" t="s">
        <v>1874</v>
      </c>
      <c r="BT454" s="973"/>
      <c r="BU454" s="973"/>
      <c r="BV454" s="888"/>
      <c r="BW454" s="888"/>
    </row>
    <row r="455" spans="1:75" s="1334" customFormat="1" ht="14.25" customHeight="1" x14ac:dyDescent="0.25">
      <c r="A455" s="1184"/>
      <c r="B455" s="887"/>
      <c r="C455" s="26"/>
      <c r="D455" s="26">
        <f>D454+1</f>
        <v>14</v>
      </c>
      <c r="E455" s="545">
        <v>15</v>
      </c>
      <c r="F455" s="3" t="str" cm="1">
        <f t="array" aca="1" ref="F455" ca="1">OFFSET(E455,-1,1)</f>
        <v>2</v>
      </c>
      <c r="G455" s="26"/>
      <c r="H455" s="26"/>
      <c r="I455" s="26"/>
      <c r="J455" s="26"/>
      <c r="K455" s="26"/>
      <c r="L455" s="889"/>
      <c r="M455" s="26"/>
      <c r="N455" s="26"/>
      <c r="O455" s="26"/>
      <c r="P455" s="26"/>
      <c r="Q455" s="26"/>
      <c r="R455" s="26"/>
      <c r="S455" s="26"/>
      <c r="T455" s="388" t="b" cm="1">
        <f t="array" aca="1" ref="T455" ca="1">T454</f>
        <v>1</v>
      </c>
      <c r="U455" s="26"/>
      <c r="V455" s="26"/>
      <c r="W455" s="26"/>
      <c r="X455" s="2066"/>
      <c r="Y455" s="1184"/>
      <c r="Z455" s="2012"/>
      <c r="AA455" s="1184"/>
      <c r="AB455" s="130" cm="1">
        <f t="array" ref="AB455">D455</f>
        <v>14</v>
      </c>
      <c r="AC455" s="131" t="s">
        <v>1876</v>
      </c>
      <c r="AD455" s="130" t="s">
        <v>831</v>
      </c>
      <c r="AE455" s="1514"/>
      <c r="AF455" s="1514"/>
      <c r="AG455" s="1514"/>
      <c r="AH455" s="1022">
        <f t="shared" si="127"/>
        <v>0</v>
      </c>
      <c r="AI455" s="1514"/>
      <c r="AJ455" s="1514"/>
      <c r="AK455" s="1148"/>
      <c r="AL455" s="1148"/>
      <c r="AM455" s="1148"/>
      <c r="AN455" s="1148"/>
      <c r="AO455" s="1148"/>
      <c r="AP455" s="1148"/>
      <c r="AQ455" s="1514"/>
      <c r="AR455" s="1514"/>
      <c r="AS455" s="1514"/>
      <c r="AT455" s="1514"/>
      <c r="AU455" s="1148"/>
      <c r="AV455" s="1148"/>
      <c r="AW455" s="1148"/>
      <c r="AX455" s="1148"/>
      <c r="AY455" s="1148"/>
      <c r="AZ455" s="1148"/>
      <c r="BA455" s="1514"/>
      <c r="BB455" s="1514"/>
      <c r="BC455" s="1514"/>
      <c r="BD455" s="1023"/>
      <c r="BE455" s="1023"/>
      <c r="BF455" s="1023"/>
      <c r="BG455" s="1023"/>
      <c r="BH455" s="1023"/>
      <c r="BI455" s="1023"/>
      <c r="BJ455" s="1023"/>
      <c r="BK455" s="1023"/>
      <c r="BL455" s="1023"/>
      <c r="BM455" s="1023"/>
      <c r="BN455" s="1523"/>
      <c r="BO455" s="1523"/>
      <c r="BP455" s="1523"/>
      <c r="BQ455" s="1184"/>
      <c r="BR455" s="1184"/>
      <c r="BS455" s="971" t="s">
        <v>1877</v>
      </c>
      <c r="BT455" s="973"/>
      <c r="BU455" s="973"/>
      <c r="BV455" s="888"/>
      <c r="BW455" s="888"/>
    </row>
    <row r="456" spans="1:75" s="1140" customFormat="1" ht="20.25" customHeight="1" x14ac:dyDescent="0.25">
      <c r="B456" s="673"/>
      <c r="C456" s="26"/>
      <c r="D456" s="26" cm="1">
        <f t="array" ref="D456">D455</f>
        <v>14</v>
      </c>
      <c r="E456" s="545">
        <v>21</v>
      </c>
      <c r="F456" s="3" t="str" cm="1">
        <f t="array" aca="1" ref="F456" ca="1">OFFSET(E456,-1,1)</f>
        <v>2</v>
      </c>
      <c r="G456" s="26"/>
      <c r="H456" s="26"/>
      <c r="I456" s="26"/>
      <c r="J456" s="26"/>
      <c r="K456" s="26"/>
      <c r="L456" s="889"/>
      <c r="M456" s="26"/>
      <c r="N456" s="26"/>
      <c r="O456" s="26"/>
      <c r="P456" s="26"/>
      <c r="Q456" s="26"/>
      <c r="R456" s="26"/>
      <c r="S456" s="26"/>
      <c r="T456" s="388" t="b" cm="1">
        <f t="array" aca="1" ref="T456" ca="1">T455</f>
        <v>1</v>
      </c>
      <c r="U456" s="26"/>
      <c r="V456" s="26"/>
      <c r="W456" s="26"/>
      <c r="X456" s="2066"/>
      <c r="Z456" s="2012"/>
      <c r="AB456" s="218" t="str">
        <f>D456&amp;".1"</f>
        <v>14.1</v>
      </c>
      <c r="AC456" s="682" t="s">
        <v>1879</v>
      </c>
      <c r="AD456" s="218" t="s">
        <v>831</v>
      </c>
      <c r="AE456" s="1514"/>
      <c r="AF456" s="1514"/>
      <c r="AG456" s="1514"/>
      <c r="AH456" s="1022">
        <f t="shared" si="127"/>
        <v>0</v>
      </c>
      <c r="AI456" s="1514"/>
      <c r="AJ456" s="1514"/>
      <c r="AK456" s="1148"/>
      <c r="AL456" s="1148"/>
      <c r="AM456" s="1148"/>
      <c r="AN456" s="1148"/>
      <c r="AO456" s="1148"/>
      <c r="AP456" s="1148"/>
      <c r="AQ456" s="1514"/>
      <c r="AR456" s="1514"/>
      <c r="AS456" s="1514"/>
      <c r="AT456" s="1514"/>
      <c r="AU456" s="1148"/>
      <c r="AV456" s="1148"/>
      <c r="AW456" s="1148"/>
      <c r="AX456" s="1148"/>
      <c r="AY456" s="1148"/>
      <c r="AZ456" s="1148"/>
      <c r="BA456" s="1514"/>
      <c r="BB456" s="1514"/>
      <c r="BC456" s="1514"/>
      <c r="BD456" s="1023"/>
      <c r="BE456" s="1023"/>
      <c r="BF456" s="1023"/>
      <c r="BG456" s="1023"/>
      <c r="BH456" s="1023"/>
      <c r="BI456" s="1023"/>
      <c r="BJ456" s="1023"/>
      <c r="BK456" s="1023"/>
      <c r="BL456" s="1023"/>
      <c r="BM456" s="1023"/>
      <c r="BN456" s="1523"/>
      <c r="BO456" s="1523"/>
      <c r="BP456" s="1523"/>
      <c r="BS456" s="971" t="s">
        <v>1880</v>
      </c>
      <c r="BT456" s="980"/>
      <c r="BU456" s="980"/>
      <c r="BV456" s="981"/>
      <c r="BW456" s="981"/>
    </row>
    <row r="457" spans="1:75" s="1140" customFormat="1" ht="64.5" customHeight="1" x14ac:dyDescent="0.25">
      <c r="B457" s="673"/>
      <c r="C457" s="26"/>
      <c r="D457" s="26" cm="1">
        <f t="array" ref="D457">D456</f>
        <v>14</v>
      </c>
      <c r="E457" s="545">
        <v>66.599999999999994</v>
      </c>
      <c r="F457" s="3" t="str" cm="1">
        <f t="array" aca="1" ref="F457" ca="1">OFFSET(E457,-1,1)</f>
        <v>2</v>
      </c>
      <c r="G457" s="26"/>
      <c r="H457" s="26"/>
      <c r="I457" s="26"/>
      <c r="J457" s="26"/>
      <c r="K457" s="26"/>
      <c r="L457" s="889"/>
      <c r="M457" s="26"/>
      <c r="N457" s="26"/>
      <c r="O457" s="26"/>
      <c r="P457" s="26"/>
      <c r="Q457" s="26"/>
      <c r="R457" s="26"/>
      <c r="S457" s="26"/>
      <c r="T457" s="388" t="b" cm="1">
        <f t="array" aca="1" ref="T457" ca="1">T456</f>
        <v>1</v>
      </c>
      <c r="U457" s="26"/>
      <c r="V457" s="26"/>
      <c r="W457" s="26"/>
      <c r="X457" s="2066"/>
      <c r="Z457" s="2012"/>
      <c r="AB457" s="218" t="str">
        <f>D457&amp;".2"</f>
        <v>14.2</v>
      </c>
      <c r="AC457" s="682" t="s">
        <v>1882</v>
      </c>
      <c r="AD457" s="218" t="s">
        <v>831</v>
      </c>
      <c r="AE457" s="1514"/>
      <c r="AF457" s="1514"/>
      <c r="AG457" s="1514"/>
      <c r="AH457" s="1022">
        <f t="shared" si="127"/>
        <v>0</v>
      </c>
      <c r="AI457" s="1514"/>
      <c r="AJ457" s="1514"/>
      <c r="AK457" s="1148"/>
      <c r="AL457" s="1148"/>
      <c r="AM457" s="1148"/>
      <c r="AN457" s="1148"/>
      <c r="AO457" s="1148"/>
      <c r="AP457" s="1148"/>
      <c r="AQ457" s="1514"/>
      <c r="AR457" s="1514"/>
      <c r="AS457" s="1514"/>
      <c r="AT457" s="1514"/>
      <c r="AU457" s="1148"/>
      <c r="AV457" s="1148"/>
      <c r="AW457" s="1148"/>
      <c r="AX457" s="1148"/>
      <c r="AY457" s="1148"/>
      <c r="AZ457" s="1148"/>
      <c r="BA457" s="1514"/>
      <c r="BB457" s="1514"/>
      <c r="BC457" s="1514"/>
      <c r="BD457" s="1023"/>
      <c r="BE457" s="1023"/>
      <c r="BF457" s="1023"/>
      <c r="BG457" s="1023"/>
      <c r="BH457" s="1023"/>
      <c r="BI457" s="1023"/>
      <c r="BJ457" s="1023"/>
      <c r="BK457" s="1023"/>
      <c r="BL457" s="1023"/>
      <c r="BM457" s="1023"/>
      <c r="BN457" s="1523"/>
      <c r="BO457" s="1523"/>
      <c r="BP457" s="1523"/>
      <c r="BS457" s="971" t="s">
        <v>1883</v>
      </c>
      <c r="BT457" s="980"/>
      <c r="BU457" s="980"/>
      <c r="BV457" s="981"/>
      <c r="BW457" s="981"/>
    </row>
    <row r="458" spans="1:75" s="1140" customFormat="1" ht="44.25" customHeight="1" x14ac:dyDescent="0.15">
      <c r="B458" s="673"/>
      <c r="C458" s="26"/>
      <c r="D458" s="26" cm="1">
        <f t="array" ref="D458">D457</f>
        <v>14</v>
      </c>
      <c r="E458" s="545">
        <v>45.6</v>
      </c>
      <c r="F458" s="3" t="str" cm="1">
        <f t="array" aca="1" ref="F458" ca="1">OFFSET(E458,-1,1)</f>
        <v>2</v>
      </c>
      <c r="G458" s="26"/>
      <c r="H458" s="26"/>
      <c r="I458" s="26"/>
      <c r="J458" s="26"/>
      <c r="K458" s="26"/>
      <c r="L458" s="889"/>
      <c r="M458" s="26"/>
      <c r="N458" s="26"/>
      <c r="O458" s="26"/>
      <c r="P458" s="26"/>
      <c r="Q458" s="26"/>
      <c r="R458" s="26"/>
      <c r="S458" s="26"/>
      <c r="T458" s="388" t="b" cm="1">
        <f t="array" aca="1" ref="T458" ca="1">T457</f>
        <v>1</v>
      </c>
      <c r="U458" s="26"/>
      <c r="V458" s="26"/>
      <c r="W458" s="26"/>
      <c r="X458" s="2066"/>
      <c r="Z458" s="2012"/>
      <c r="AB458" s="218" t="str">
        <f>D458&amp;".3"</f>
        <v>14.3</v>
      </c>
      <c r="AC458" s="682" t="s">
        <v>2165</v>
      </c>
      <c r="AD458" s="218" t="s">
        <v>831</v>
      </c>
      <c r="AE458" s="1023"/>
      <c r="AF458" s="1514"/>
      <c r="AG458" s="1514"/>
      <c r="AH458" s="1022">
        <f t="shared" si="127"/>
        <v>0</v>
      </c>
      <c r="AI458" s="1023"/>
      <c r="AJ458" s="1023"/>
      <c r="AK458" s="1023"/>
      <c r="AL458" s="1023"/>
      <c r="AM458" s="1023"/>
      <c r="AN458" s="1023"/>
      <c r="AO458" s="1023"/>
      <c r="AP458" s="1023"/>
      <c r="AQ458" s="1023"/>
      <c r="AR458" s="1023"/>
      <c r="AS458" s="1023"/>
      <c r="AT458" s="1023"/>
      <c r="AU458" s="1023"/>
      <c r="AV458" s="1023"/>
      <c r="AW458" s="1023"/>
      <c r="AX458" s="1023"/>
      <c r="AY458" s="1023"/>
      <c r="AZ458" s="1023"/>
      <c r="BA458" s="1023"/>
      <c r="BB458" s="1023"/>
      <c r="BC458" s="1023"/>
      <c r="BD458" s="1023"/>
      <c r="BE458" s="1023"/>
      <c r="BF458" s="1023"/>
      <c r="BG458" s="1023"/>
      <c r="BH458" s="1023"/>
      <c r="BI458" s="1023"/>
      <c r="BJ458" s="1023"/>
      <c r="BK458" s="1023"/>
      <c r="BL458" s="1023"/>
      <c r="BM458" s="1023"/>
      <c r="BN458" s="1523"/>
      <c r="BO458" s="1523"/>
      <c r="BP458" s="1523"/>
      <c r="BS458" s="980" t="s">
        <v>2166</v>
      </c>
      <c r="BT458" s="980"/>
      <c r="BU458" s="980"/>
      <c r="BV458" s="981"/>
      <c r="BW458" s="981"/>
    </row>
    <row r="459" spans="1:75" s="1334" customFormat="1" ht="10.9" customHeight="1" x14ac:dyDescent="0.15">
      <c r="B459" s="352"/>
      <c r="C459"/>
      <c r="D459"/>
      <c r="E459" s="595">
        <v>11.25</v>
      </c>
      <c r="F459" s="4"/>
      <c r="G459"/>
      <c r="H459"/>
      <c r="I459"/>
      <c r="J459"/>
      <c r="K459"/>
      <c r="L459"/>
      <c r="M459"/>
      <c r="N459"/>
      <c r="O459"/>
      <c r="P459"/>
      <c r="Q459"/>
      <c r="R459"/>
      <c r="S459"/>
      <c r="T459"/>
      <c r="U459" t="s">
        <v>176</v>
      </c>
      <c r="V459" s="747" t="s">
        <v>2199</v>
      </c>
      <c r="W459"/>
      <c r="X459"/>
      <c r="AB459" s="422"/>
      <c r="AC459" s="19"/>
      <c r="AD459" s="19"/>
      <c r="AE459" s="1016"/>
      <c r="AF459" s="1016"/>
      <c r="AG459"/>
      <c r="AH459"/>
      <c r="AI459"/>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c r="BO459"/>
      <c r="BP459"/>
      <c r="BS459" s="913"/>
      <c r="BT459" s="913"/>
      <c r="BU459" s="913"/>
      <c r="BV459" s="548"/>
      <c r="BW459" s="548"/>
    </row>
    <row r="460" spans="1:75" ht="14.65" customHeight="1" x14ac:dyDescent="0.15">
      <c r="C460" s="26"/>
      <c r="D460" s="26"/>
      <c r="E460" s="545">
        <v>15</v>
      </c>
      <c r="F460" s="26"/>
      <c r="G460" s="26"/>
      <c r="H460" s="26"/>
      <c r="I460" s="26"/>
      <c r="J460" s="26"/>
      <c r="K460" s="26"/>
      <c r="L460" s="889"/>
      <c r="M460" s="26"/>
      <c r="N460" s="26"/>
      <c r="O460" s="26"/>
      <c r="P460" s="26"/>
      <c r="Q460" s="26"/>
      <c r="R460" s="26"/>
      <c r="S460" s="26"/>
      <c r="T460" s="26"/>
      <c r="U460" s="26"/>
      <c r="V460" s="26"/>
      <c r="W460" s="26"/>
      <c r="X460" s="26"/>
      <c r="AB460" s="2035" t="s">
        <v>402</v>
      </c>
      <c r="AC460" s="2035"/>
      <c r="AD460" s="2035"/>
      <c r="AE460" s="2035"/>
      <c r="AF460" s="2035"/>
      <c r="AG460" s="2035"/>
      <c r="AH460" s="2035"/>
      <c r="AI460" s="2035"/>
      <c r="AJ460" s="2035"/>
      <c r="AK460" s="2035"/>
      <c r="AL460" s="2035"/>
      <c r="AM460" s="2035"/>
      <c r="AN460" s="2035"/>
      <c r="AO460" s="2035"/>
      <c r="AP460" s="2035"/>
      <c r="AQ460" s="2035"/>
      <c r="AR460" s="2035"/>
      <c r="AS460" s="2035"/>
      <c r="AT460" s="2035"/>
      <c r="AU460" s="2035"/>
      <c r="AV460" s="2035"/>
      <c r="AW460" s="2035"/>
      <c r="AX460" s="2035"/>
      <c r="AY460" s="2035"/>
      <c r="AZ460" s="2035"/>
      <c r="BA460" s="2035"/>
      <c r="BB460" s="2035"/>
      <c r="BC460" s="2035"/>
      <c r="BD460" s="2035"/>
      <c r="BE460" s="2035"/>
      <c r="BF460" s="2035"/>
      <c r="BG460" s="2035"/>
      <c r="BH460" s="2035"/>
      <c r="BI460" s="2035"/>
      <c r="BJ460" s="2035"/>
      <c r="BK460" s="2035"/>
      <c r="BL460" s="2035"/>
      <c r="BM460" s="2035"/>
      <c r="BN460" s="2035"/>
      <c r="BO460" s="2035"/>
      <c r="BP460" s="2035"/>
    </row>
    <row r="461" spans="1:75" ht="14.65" customHeight="1" x14ac:dyDescent="0.15">
      <c r="E461" s="626">
        <v>15</v>
      </c>
      <c r="AA461" s="92"/>
      <c r="AB461" s="2104"/>
      <c r="AC461" s="2107"/>
      <c r="AD461" s="2107"/>
      <c r="AE461" s="2107"/>
      <c r="AF461" s="2107"/>
      <c r="AG461" s="2107"/>
      <c r="AH461" s="2107"/>
      <c r="AI461" s="2107"/>
      <c r="AJ461" s="2107"/>
      <c r="AK461" s="2107"/>
      <c r="AL461" s="2107"/>
      <c r="AM461" s="2107"/>
      <c r="AN461" s="2107"/>
      <c r="AO461" s="2107"/>
      <c r="AP461" s="2107"/>
      <c r="AQ461" s="2107"/>
      <c r="AR461" s="2107"/>
      <c r="AS461" s="2107"/>
      <c r="AT461" s="2107"/>
      <c r="AU461" s="2107"/>
      <c r="AV461" s="2107"/>
      <c r="AW461" s="2107"/>
      <c r="AX461" s="2107"/>
      <c r="AY461" s="2107"/>
      <c r="AZ461" s="2107"/>
      <c r="BA461" s="2107"/>
      <c r="BB461" s="2107"/>
      <c r="BC461" s="2107"/>
      <c r="BD461" s="2107"/>
      <c r="BE461" s="2107"/>
      <c r="BF461" s="2107"/>
      <c r="BG461" s="2107"/>
      <c r="BH461" s="2107"/>
      <c r="BI461" s="2107"/>
      <c r="BJ461" s="2107"/>
      <c r="BK461" s="2107"/>
      <c r="BL461" s="2107"/>
      <c r="BM461" s="2107"/>
      <c r="BN461" s="2107"/>
      <c r="BO461" s="2107"/>
      <c r="BP461" s="2107"/>
    </row>
    <row r="462" spans="1:75" ht="14.65" hidden="1" customHeight="1" x14ac:dyDescent="0.15">
      <c r="E462" s="626">
        <v>15</v>
      </c>
      <c r="T462" s="388" t="b">
        <f>ROW(W462)&gt;ROW(W$462)</f>
        <v>0</v>
      </c>
      <c r="W462" s="77" t="s">
        <v>172</v>
      </c>
      <c r="AA462" s="342" t="s">
        <v>173</v>
      </c>
      <c r="AB462" s="2105" t="s">
        <v>147</v>
      </c>
      <c r="AC462" s="2107"/>
      <c r="AD462" s="2107"/>
      <c r="AE462" s="2107"/>
      <c r="AF462" s="2107"/>
      <c r="AG462" s="2107"/>
      <c r="AH462" s="2107"/>
      <c r="AI462" s="2107"/>
      <c r="AJ462" s="2107"/>
      <c r="AK462" s="2107"/>
      <c r="AL462" s="2107"/>
      <c r="AM462" s="2107"/>
      <c r="AN462" s="2107"/>
      <c r="AO462" s="2107"/>
      <c r="AP462" s="2107"/>
      <c r="AQ462" s="2107"/>
      <c r="AR462" s="2107"/>
      <c r="AS462" s="2107"/>
      <c r="AT462" s="2107"/>
      <c r="AU462" s="2107"/>
      <c r="AV462" s="2107"/>
      <c r="AW462" s="2107"/>
      <c r="AX462" s="2107"/>
      <c r="AY462" s="2107"/>
      <c r="AZ462" s="2107"/>
      <c r="BA462" s="2107"/>
      <c r="BB462" s="2107"/>
      <c r="BC462" s="2107"/>
      <c r="BD462" s="2107"/>
      <c r="BE462" s="2107"/>
      <c r="BF462" s="2107"/>
      <c r="BG462" s="2107"/>
      <c r="BH462" s="2107"/>
      <c r="BI462" s="2107"/>
      <c r="BJ462" s="2107"/>
      <c r="BK462" s="2107"/>
      <c r="BL462" s="2107"/>
      <c r="BM462" s="2107"/>
      <c r="BN462" s="2107"/>
      <c r="BO462" s="2107"/>
      <c r="BP462" s="2107"/>
    </row>
    <row r="463" spans="1:75" ht="14.65" customHeight="1" x14ac:dyDescent="0.15">
      <c r="E463" s="626">
        <v>15</v>
      </c>
      <c r="W463" s="748" t="s">
        <v>403</v>
      </c>
      <c r="AB463" s="606"/>
      <c r="AC463" s="437" t="s">
        <v>404</v>
      </c>
      <c r="AD463" s="227"/>
      <c r="AE463" s="227"/>
      <c r="AF463" s="227"/>
      <c r="AG463" s="227"/>
      <c r="AH463" s="227"/>
      <c r="AI463" s="227"/>
      <c r="AJ463" s="227"/>
      <c r="AK463" s="227"/>
      <c r="AL463" s="227"/>
      <c r="AM463" s="227"/>
      <c r="AN463" s="227"/>
      <c r="AO463" s="227"/>
      <c r="AP463" s="227"/>
      <c r="AQ463" s="227"/>
      <c r="AR463" s="227"/>
      <c r="AS463" s="227"/>
      <c r="AT463" s="227"/>
      <c r="AU463" s="227"/>
      <c r="AV463" s="227"/>
      <c r="AW463" s="227"/>
      <c r="AX463" s="227"/>
      <c r="AY463" s="227"/>
      <c r="AZ463" s="227"/>
      <c r="BA463" s="227"/>
      <c r="BB463" s="227"/>
      <c r="BC463" s="227"/>
      <c r="BD463" s="227"/>
      <c r="BE463" s="227"/>
      <c r="BF463" s="227"/>
      <c r="BG463" s="227"/>
      <c r="BH463" s="227"/>
      <c r="BI463" s="227"/>
      <c r="BJ463" s="227"/>
      <c r="BK463" s="227"/>
      <c r="BL463" s="227"/>
      <c r="BM463" s="227"/>
      <c r="BN463" s="227"/>
      <c r="BO463" s="227"/>
      <c r="BP463" s="193"/>
    </row>
    <row r="464" spans="1:75" ht="10.9" customHeight="1" x14ac:dyDescent="0.15">
      <c r="E464" s="626">
        <v>11.25</v>
      </c>
      <c r="BQ464" s="348"/>
    </row>
  </sheetData>
  <sheetProtection formatColumns="0" formatRows="0" insertRows="0" deleteColumns="0" deleteRows="0" sort="0" autoFilter="0"/>
  <mergeCells count="16">
    <mergeCell ref="X27:X170"/>
    <mergeCell ref="Z27:Z170"/>
    <mergeCell ref="AB462:BP462"/>
    <mergeCell ref="AB461:BP461"/>
    <mergeCell ref="BP24:BP25"/>
    <mergeCell ref="BN24:BN25"/>
    <mergeCell ref="BO24:BO25"/>
    <mergeCell ref="AB460:BP460"/>
    <mergeCell ref="AB24:AB25"/>
    <mergeCell ref="AC24:AC25"/>
    <mergeCell ref="AD24:AD25"/>
    <mergeCell ref="BD25:BM25"/>
    <mergeCell ref="X171:X314"/>
    <mergeCell ref="Z171:Z314"/>
    <mergeCell ref="X315:X458"/>
    <mergeCell ref="Z315:Z458"/>
  </mergeCells>
  <dataValidations count="2">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AE411 AF411 AG411 AI411 AJ411 AK411 AL411 AM411 AN411 AO411 AP411 AQ411 AR411 AS411 AT411 AU411 AV411 AW411 AX411 AY411 AZ411 BA411 BB411 BC411 AE412 AF412 AG412 AI412 AJ412 AK412 AL412 AM412 AN412 AO412 AP412 AQ412 AR412 AS412 AT412 AU412 AV412 AW412 AX412 AY412 AZ412 BA412 BB412 BC412 AE413 AF413 AG413 AI413 AJ413 AK413 AL413 AM413 AN413 AO413 AP413 AQ413 AR413 AS413 AT413 AU413 AV413 AW413 AX413 AY413 AZ413 BA413 BB413 BC413 AE414 AF414 AG414 AI414 AJ414 AK414 AL414 AM414 AN414 AO414 AP414 AQ414 AR414 AS414 AT414 AU414 AV414 AW414 AX414 AY414 AZ414 BA414 BB414 BC414 AE415 AF415 AG415 AI415 AJ415 AK415 AL415 AM415 AN415 AO415 AP415 AQ415 AR415 AS415 AT415 AU415 AV415 AW415 AX415 AY415 AZ415 BA415 BB415 BC415 AE416 AF416 AG416 AI416 AJ416 AK416 AL416 AM416 AN416 AO416 AP416 AQ416 AR416 AS416 AT416 AU416 AV416 AW416 AX416 AY416 AZ416 BA416 BB416 BC416 AE417 AF417 AG417 AI417 AJ417 AK417 AL417 AM417 AN417 AO417 AP417 AQ417 AR417 AS417 AT417 AU417 AV417 AW417 AX417 AY417 AZ417 BA417 BB417 BC417 AE418 AF418 AG418 AI418 AJ418 AK418 AL418 AM418 AN418 AO418 AP418 AQ418 AR418 AS418 AT418 AU418 AV418 AW418 AX418 AY418 AZ418 BA418 BB418 BC418 AE419 AF419 AG419 AI419 AJ419 AK419 AL419 AM419 AN419 AO419 AP419 AQ419 AR419 AS419 AT419 AU419 AV419 AW419 AX419 AY419 AZ419 BA419 BB419 BC419 AE420 AF420 AG420 AI420 AJ420 AK420 AL420 AM420 AN420 AO420 AP420 AQ420 AR420 AS420 AT420 AU420 AV420 AW420 AX420 AY420 AZ420 BA420 BB420 BC420 AE421 AF421 AG421 AI421 AJ421 AK421 AL421 AM421 AN421 AO421 AP421 AQ421 AR421 AS421 AT421 AU421 AV421 AW421 AX421 AY421 AZ421 BA421 BB421 BC421 AE422 AF422 AG422 AI422 AJ422 AK422 AL422 AM422 AN422 AO422 AP422 AQ422 AR422 AS422 AT422 AU422 AV422 AW422 AX422 AY422 AZ422 BA422 BB422 BC422" xr:uid="{00000000-0002-0000-1C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BN411 BO411 BP411 BN412 BO412 BP412 BN413 BO413 BP413 BN414 BO414 BP414 BN415 BO415 BP415 BN416 BO416 BP416 BN417 BO417 BP417 BN418 BO418 BP418 BN419 BO419 BP419 BN420 BO420 BP420 BN421 BO421 BP421 BN422 BO422 BP422" xr:uid="{00000000-0002-0000-1C00-000001000000}">
      <formula1>900</formula1>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5BB74-5F01-334F-5A99-5BB192C5E898}">
  <sheetPr>
    <tabColor theme="6" tint="0.39997558519241921"/>
  </sheetPr>
  <dimension ref="A1:AE27"/>
  <sheetViews>
    <sheetView showGridLines="0" topLeftCell="AA21" workbookViewId="0">
      <selection activeCell="AA21" sqref="AA21"/>
    </sheetView>
  </sheetViews>
  <sheetFormatPr defaultColWidth="9.140625" defaultRowHeight="11.25" customHeight="1" x14ac:dyDescent="0.15"/>
  <cols>
    <col min="1" max="1" width="3.5703125" style="1217" hidden="1" customWidth="1"/>
    <col min="2" max="2" width="8.5703125" style="1111" hidden="1" customWidth="1"/>
    <col min="3" max="4" width="3.5703125" style="1217" hidden="1" customWidth="1"/>
    <col min="5" max="5" width="3.5703125" style="1080" hidden="1" customWidth="1"/>
    <col min="6" max="26" width="3.5703125" style="1217" hidden="1" customWidth="1"/>
    <col min="27" max="27" width="3.7109375" style="1217" customWidth="1"/>
    <col min="28" max="28" width="6.140625" style="1217" customWidth="1"/>
    <col min="29" max="29" width="20.7109375" style="1217" customWidth="1"/>
    <col min="30" max="30" width="92.5703125" style="1217" customWidth="1"/>
    <col min="31" max="31" width="9.140625" style="1217"/>
  </cols>
  <sheetData>
    <row r="1" spans="1:5" ht="11.25" hidden="1" customHeight="1" x14ac:dyDescent="0.15">
      <c r="E1" s="41"/>
    </row>
    <row r="2" spans="1:5" s="1111" customFormat="1" ht="11.25" hidden="1" customHeight="1" x14ac:dyDescent="0.15">
      <c r="B2" s="368" t="s">
        <v>18</v>
      </c>
    </row>
    <row r="3" spans="1:5" ht="11.25" hidden="1" customHeight="1" x14ac:dyDescent="0.15">
      <c r="E3" s="41"/>
    </row>
    <row r="4" spans="1:5" ht="11.25" hidden="1" customHeight="1" x14ac:dyDescent="0.15">
      <c r="E4" s="41"/>
    </row>
    <row r="5" spans="1:5" s="1080" customFormat="1" ht="11.25" hidden="1" customHeight="1" x14ac:dyDescent="0.15">
      <c r="A5" s="41"/>
      <c r="B5" s="350"/>
      <c r="C5" s="41"/>
      <c r="D5" s="41"/>
      <c r="E5" s="541" t="s">
        <v>19</v>
      </c>
    </row>
    <row r="6" spans="1:5" ht="11.25" hidden="1" customHeight="1" x14ac:dyDescent="0.15"/>
    <row r="7" spans="1:5" ht="11.25" hidden="1" customHeight="1" x14ac:dyDescent="0.15"/>
    <row r="8" spans="1:5" ht="11.25" hidden="1" customHeight="1" x14ac:dyDescent="0.15"/>
    <row r="9" spans="1:5" ht="11.25" hidden="1" customHeight="1" x14ac:dyDescent="0.15"/>
    <row r="10" spans="1:5" ht="11.25" hidden="1" customHeight="1" x14ac:dyDescent="0.15"/>
    <row r="11" spans="1:5" ht="11.25" hidden="1" customHeight="1" x14ac:dyDescent="0.15"/>
    <row r="12" spans="1:5" ht="11.25" hidden="1" customHeight="1" x14ac:dyDescent="0.15"/>
    <row r="13" spans="1:5" ht="11.25" hidden="1" customHeight="1" x14ac:dyDescent="0.15"/>
    <row r="14" spans="1:5" ht="11.25" hidden="1" customHeight="1" x14ac:dyDescent="0.15"/>
    <row r="15" spans="1:5" ht="11.25" hidden="1" customHeight="1" x14ac:dyDescent="0.15"/>
    <row r="16" spans="1:5" ht="11.25" hidden="1" customHeight="1" x14ac:dyDescent="0.15"/>
    <row r="17" spans="2:31" ht="11.25" hidden="1" customHeight="1" x14ac:dyDescent="0.15"/>
    <row r="18" spans="2:31" ht="11.25" hidden="1" customHeight="1" x14ac:dyDescent="0.15"/>
    <row r="19" spans="2:31" ht="11.25" hidden="1" customHeight="1" x14ac:dyDescent="0.15"/>
    <row r="20" spans="2:31" ht="11.25" hidden="1" customHeight="1" x14ac:dyDescent="0.15"/>
    <row r="21" spans="2:31" ht="11.25" customHeight="1" x14ac:dyDescent="0.15">
      <c r="AA21" s="347"/>
    </row>
    <row r="22" spans="2:31" ht="20.25" customHeight="1" x14ac:dyDescent="0.15">
      <c r="AB22" s="175" t="s">
        <v>20</v>
      </c>
      <c r="AC22" s="156"/>
      <c r="AD22" s="156"/>
    </row>
    <row r="24" spans="2:31" s="1332" customFormat="1" ht="30" customHeight="1" x14ac:dyDescent="0.15">
      <c r="B24" s="351"/>
      <c r="E24" s="185"/>
      <c r="AB24" s="10" t="s">
        <v>21</v>
      </c>
      <c r="AC24" s="10" t="s">
        <v>22</v>
      </c>
      <c r="AD24" s="10" t="s">
        <v>23</v>
      </c>
    </row>
    <row r="25" spans="2:31" ht="33.75" customHeight="1" x14ac:dyDescent="0.15">
      <c r="AB25" s="10">
        <v>1</v>
      </c>
      <c r="AC25" s="176" t="s">
        <v>24</v>
      </c>
      <c r="AD25" s="176" t="s">
        <v>25</v>
      </c>
    </row>
    <row r="26" spans="2:31" ht="69" customHeight="1" x14ac:dyDescent="0.15">
      <c r="AB26" s="10">
        <v>2</v>
      </c>
      <c r="AC26" s="176" t="s">
        <v>26</v>
      </c>
      <c r="AD26" s="176" t="s">
        <v>27</v>
      </c>
    </row>
    <row r="27" spans="2:31" ht="11.25" customHeight="1" x14ac:dyDescent="0.15">
      <c r="AE27" s="41"/>
    </row>
  </sheetData>
  <sheetProtection formatColumns="0" formatRows="0"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99321-AD43-8D53-6FFE-21C52D534F76}">
  <sheetPr>
    <tabColor rgb="FF92D050"/>
    <outlinePr summaryBelow="0" summaryRight="0"/>
    <pageSetUpPr fitToPage="1"/>
  </sheetPr>
  <dimension ref="A1:BW464"/>
  <sheetViews>
    <sheetView showGridLines="0" workbookViewId="0">
      <pane xSplit="30" ySplit="25" topLeftCell="AH289" activePane="bottomRight" state="frozen"/>
      <selection pane="topRight" activeCell="AE1" sqref="AE1"/>
      <selection pane="bottomLeft" activeCell="A26" sqref="A26"/>
      <selection pane="bottomRight" activeCell="BN178" sqref="BN178"/>
    </sheetView>
  </sheetViews>
  <sheetFormatPr defaultColWidth="9.140625" defaultRowHeight="10.5" customHeight="1" x14ac:dyDescent="0.15"/>
  <cols>
    <col min="1" max="1" width="3.5703125" style="1184" hidden="1" customWidth="1"/>
    <col min="2" max="2" width="8.5703125" style="887" hidden="1" customWidth="1"/>
    <col min="3" max="4" width="3.5703125" style="1184" hidden="1" customWidth="1"/>
    <col min="5" max="5" width="3.5703125" style="888" hidden="1" customWidth="1"/>
    <col min="6" max="6" width="3.5703125" style="1184" hidden="1" customWidth="1"/>
    <col min="7" max="7" width="12.28515625" style="1184" hidden="1" customWidth="1"/>
    <col min="8" max="11" width="3.5703125" style="1184" hidden="1" customWidth="1"/>
    <col min="12" max="12" width="6.5703125" style="1184" hidden="1" customWidth="1"/>
    <col min="13" max="16" width="3.5703125" style="1184" hidden="1" customWidth="1"/>
    <col min="17" max="17" width="8" style="1184" hidden="1" customWidth="1"/>
    <col min="18" max="18" width="6.42578125" style="1184" hidden="1" customWidth="1"/>
    <col min="19" max="19" width="11.140625" style="1184" hidden="1" customWidth="1"/>
    <col min="20" max="20" width="10.42578125" style="1184" hidden="1" customWidth="1"/>
    <col min="21" max="21" width="5.85546875" style="1184" hidden="1" customWidth="1"/>
    <col min="22" max="23" width="6.140625" style="1184" hidden="1" customWidth="1"/>
    <col min="24" max="25" width="5.5703125" style="1184" hidden="1" customWidth="1"/>
    <col min="26" max="26" width="5.28515625" style="1184" hidden="1" customWidth="1"/>
    <col min="27" max="27" width="3" style="1184" customWidth="1"/>
    <col min="28" max="28" width="11" style="515" customWidth="1"/>
    <col min="29" max="29" width="75" style="890" customWidth="1"/>
    <col min="30" max="30" width="12" style="515" customWidth="1"/>
    <col min="31" max="33" width="12.5703125" style="1184" customWidth="1"/>
    <col min="34" max="34" width="21" style="1184" customWidth="1"/>
    <col min="35" max="36" width="12.5703125" style="1184" customWidth="1"/>
    <col min="37" max="45" width="12.5703125" style="1184" hidden="1" customWidth="1"/>
    <col min="46" max="46" width="12.5703125" style="1184" customWidth="1"/>
    <col min="47" max="55" width="12.5703125" style="1184" hidden="1" customWidth="1"/>
    <col min="56" max="56" width="12.5703125" style="1184" customWidth="1"/>
    <col min="57" max="65" width="12.5703125" style="1184" hidden="1" customWidth="1"/>
    <col min="66" max="66" width="20" style="1184" customWidth="1"/>
    <col min="67" max="67" width="22.140625" style="1184" customWidth="1"/>
    <col min="68" max="68" width="42" style="1184" customWidth="1"/>
    <col min="69" max="69" width="3" style="1184" customWidth="1"/>
    <col min="70" max="70" width="9.140625" style="1184" hidden="1"/>
    <col min="71" max="73" width="9.140625" style="973" hidden="1"/>
    <col min="74" max="75" width="9.140625" style="888" hidden="1"/>
  </cols>
  <sheetData>
    <row r="1" spans="1:75" ht="11.25" hidden="1" customHeight="1" x14ac:dyDescent="0.15">
      <c r="E1" s="77"/>
      <c r="F1" s="77" t="s">
        <v>319</v>
      </c>
      <c r="I1" s="77" t="s">
        <v>1885</v>
      </c>
      <c r="J1" s="77" t="s">
        <v>354</v>
      </c>
      <c r="K1" s="77" t="s">
        <v>1886</v>
      </c>
      <c r="L1" s="886" t="s">
        <v>1887</v>
      </c>
      <c r="M1" s="77" t="s">
        <v>1888</v>
      </c>
      <c r="T1" s="388" t="s">
        <v>92</v>
      </c>
      <c r="U1" s="388" t="s">
        <v>97</v>
      </c>
      <c r="V1" s="388" t="s">
        <v>93</v>
      </c>
      <c r="W1" s="388" t="s">
        <v>94</v>
      </c>
      <c r="X1" s="388" t="s">
        <v>95</v>
      </c>
      <c r="Y1" s="390" t="s">
        <v>321</v>
      </c>
      <c r="Z1" s="388" t="s">
        <v>99</v>
      </c>
      <c r="AA1" s="389" t="s">
        <v>96</v>
      </c>
      <c r="AB1" s="4"/>
      <c r="AC1" s="389" t="s">
        <v>98</v>
      </c>
      <c r="BS1" s="973" t="s">
        <v>322</v>
      </c>
      <c r="BT1" s="973" t="s">
        <v>323</v>
      </c>
      <c r="BU1" s="973" t="s">
        <v>324</v>
      </c>
      <c r="BV1" s="626" t="s">
        <v>327</v>
      </c>
      <c r="BW1" s="626" t="s">
        <v>328</v>
      </c>
    </row>
    <row r="2" spans="1:75" s="887" customFormat="1" ht="11.25" hidden="1" customHeight="1" x14ac:dyDescent="0.15">
      <c r="B2" s="367" t="s">
        <v>18</v>
      </c>
      <c r="AC2" s="355"/>
      <c r="AJ2" s="368" t="b">
        <f t="shared" ref="AJ2:BM2" si="0">AJ6&lt;=last_year_vis</f>
        <v>1</v>
      </c>
      <c r="AK2" s="368" t="b">
        <f t="shared" si="0"/>
        <v>0</v>
      </c>
      <c r="AL2" s="368" t="b">
        <f t="shared" si="0"/>
        <v>0</v>
      </c>
      <c r="AM2" s="368" t="b">
        <f t="shared" si="0"/>
        <v>0</v>
      </c>
      <c r="AN2" s="368" t="b">
        <f t="shared" si="0"/>
        <v>0</v>
      </c>
      <c r="AO2" s="368" t="b">
        <f t="shared" si="0"/>
        <v>0</v>
      </c>
      <c r="AP2" s="368" t="b">
        <f t="shared" si="0"/>
        <v>0</v>
      </c>
      <c r="AQ2" s="368" t="b">
        <f t="shared" si="0"/>
        <v>0</v>
      </c>
      <c r="AR2" s="368" t="b">
        <f t="shared" si="0"/>
        <v>0</v>
      </c>
      <c r="AS2" s="368" t="b">
        <f t="shared" si="0"/>
        <v>0</v>
      </c>
      <c r="AT2" s="368" t="b">
        <f t="shared" si="0"/>
        <v>1</v>
      </c>
      <c r="AU2" s="368" t="b">
        <f t="shared" si="0"/>
        <v>0</v>
      </c>
      <c r="AV2" s="368" t="b">
        <f t="shared" si="0"/>
        <v>0</v>
      </c>
      <c r="AW2" s="368" t="b">
        <f t="shared" si="0"/>
        <v>0</v>
      </c>
      <c r="AX2" s="368" t="b">
        <f t="shared" si="0"/>
        <v>0</v>
      </c>
      <c r="AY2" s="368" t="b">
        <f t="shared" si="0"/>
        <v>0</v>
      </c>
      <c r="AZ2" s="368" t="b">
        <f t="shared" si="0"/>
        <v>0</v>
      </c>
      <c r="BA2" s="368" t="b">
        <f t="shared" si="0"/>
        <v>0</v>
      </c>
      <c r="BB2" s="368" t="b">
        <f t="shared" si="0"/>
        <v>0</v>
      </c>
      <c r="BC2" s="368" t="b">
        <f t="shared" si="0"/>
        <v>0</v>
      </c>
      <c r="BD2" s="368" t="b">
        <f t="shared" si="0"/>
        <v>1</v>
      </c>
      <c r="BE2" s="368" t="b">
        <f t="shared" si="0"/>
        <v>0</v>
      </c>
      <c r="BF2" s="368" t="b">
        <f t="shared" si="0"/>
        <v>0</v>
      </c>
      <c r="BG2" s="368" t="b">
        <f t="shared" si="0"/>
        <v>0</v>
      </c>
      <c r="BH2" s="368" t="b">
        <f t="shared" si="0"/>
        <v>0</v>
      </c>
      <c r="BI2" s="368" t="b">
        <f t="shared" si="0"/>
        <v>0</v>
      </c>
      <c r="BJ2" s="368" t="b">
        <f t="shared" si="0"/>
        <v>0</v>
      </c>
      <c r="BK2" s="368" t="b">
        <f t="shared" si="0"/>
        <v>0</v>
      </c>
      <c r="BL2" s="368" t="b">
        <f t="shared" si="0"/>
        <v>0</v>
      </c>
      <c r="BM2" s="368" t="b">
        <f t="shared" si="0"/>
        <v>0</v>
      </c>
      <c r="BS2" s="974"/>
      <c r="BT2" s="974"/>
      <c r="BU2" s="974"/>
      <c r="BV2" s="546"/>
      <c r="BW2" s="546"/>
    </row>
    <row r="3" spans="1:75" ht="11.25" hidden="1" customHeight="1" x14ac:dyDescent="0.15">
      <c r="E3" s="77"/>
      <c r="R3" s="367" t="b">
        <v>0</v>
      </c>
    </row>
    <row r="4" spans="1:75" ht="11.25" hidden="1" customHeight="1" x14ac:dyDescent="0.15">
      <c r="E4" s="77"/>
    </row>
    <row r="5" spans="1:75" s="888" customFormat="1" ht="11.25" hidden="1" customHeight="1" x14ac:dyDescent="0.15">
      <c r="A5" s="77"/>
      <c r="B5" s="354"/>
      <c r="C5" s="77"/>
      <c r="D5" s="77"/>
      <c r="E5" s="626" t="s">
        <v>19</v>
      </c>
      <c r="AA5" s="626">
        <v>3</v>
      </c>
      <c r="AB5" s="631">
        <v>11</v>
      </c>
      <c r="AC5" s="627">
        <v>75</v>
      </c>
      <c r="AD5" s="631">
        <v>12</v>
      </c>
      <c r="AE5" s="626">
        <v>12.57</v>
      </c>
      <c r="AF5" s="626">
        <v>12.57</v>
      </c>
      <c r="AG5" s="626">
        <v>12.57</v>
      </c>
      <c r="AH5" s="626">
        <v>21</v>
      </c>
      <c r="AI5" s="626">
        <v>12.57</v>
      </c>
      <c r="AJ5" s="626">
        <v>12.57</v>
      </c>
      <c r="AK5" s="626">
        <v>12.57</v>
      </c>
      <c r="AL5" s="626">
        <v>12.57</v>
      </c>
      <c r="AM5" s="626">
        <v>12.57</v>
      </c>
      <c r="AN5" s="626">
        <v>12.57</v>
      </c>
      <c r="AO5" s="626">
        <v>12.57</v>
      </c>
      <c r="AP5" s="626">
        <v>12.57</v>
      </c>
      <c r="AQ5" s="626">
        <v>12.57</v>
      </c>
      <c r="AR5" s="626">
        <v>12.57</v>
      </c>
      <c r="AS5" s="626">
        <v>12.57</v>
      </c>
      <c r="AT5" s="626">
        <v>12.57</v>
      </c>
      <c r="AU5" s="626">
        <v>12.57</v>
      </c>
      <c r="AV5" s="626">
        <v>12.57</v>
      </c>
      <c r="AW5" s="626">
        <v>12.57</v>
      </c>
      <c r="AX5" s="626">
        <v>12.57</v>
      </c>
      <c r="AY5" s="626">
        <v>12.57</v>
      </c>
      <c r="AZ5" s="626">
        <v>12.57</v>
      </c>
      <c r="BA5" s="626">
        <v>12.57</v>
      </c>
      <c r="BB5" s="626">
        <v>12.57</v>
      </c>
      <c r="BC5" s="626">
        <v>12.57</v>
      </c>
      <c r="BD5" s="626">
        <v>12.57</v>
      </c>
      <c r="BE5" s="626">
        <v>12.57</v>
      </c>
      <c r="BF5" s="626">
        <v>12.57</v>
      </c>
      <c r="BG5" s="626">
        <v>12.57</v>
      </c>
      <c r="BH5" s="626">
        <v>12.57</v>
      </c>
      <c r="BI5" s="626">
        <v>12.57</v>
      </c>
      <c r="BJ5" s="626">
        <v>12.57</v>
      </c>
      <c r="BK5" s="626">
        <v>12.57</v>
      </c>
      <c r="BL5" s="626">
        <v>12.57</v>
      </c>
      <c r="BM5" s="626">
        <v>12.57</v>
      </c>
      <c r="BN5" s="626">
        <v>20</v>
      </c>
      <c r="BO5" s="626">
        <v>20</v>
      </c>
      <c r="BP5" s="626">
        <v>42</v>
      </c>
      <c r="BQ5" s="626">
        <v>3</v>
      </c>
      <c r="BS5" s="973"/>
      <c r="BT5" s="973"/>
      <c r="BU5" s="973"/>
    </row>
    <row r="6" spans="1:75" ht="11.25" hidden="1" customHeight="1" x14ac:dyDescent="0.15">
      <c r="A6" s="77" t="s">
        <v>357</v>
      </c>
      <c r="AE6" s="77">
        <f>god-2</f>
        <v>2024</v>
      </c>
      <c r="AF6" s="77">
        <f>god-2</f>
        <v>2024</v>
      </c>
      <c r="AG6" s="77">
        <f>god-2</f>
        <v>2024</v>
      </c>
      <c r="AH6" s="77">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x14ac:dyDescent="0.15">
      <c r="A7" s="77" t="s">
        <v>358</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x14ac:dyDescent="0.15">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973" customFormat="1" ht="11.25" hidden="1" customHeight="1" x14ac:dyDescent="0.25">
      <c r="A9" s="906" t="s">
        <v>362</v>
      </c>
      <c r="B9" s="969"/>
      <c r="C9" s="969"/>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70" cm="1">
        <f t="array" ref="AE9">AE6</f>
        <v>2024</v>
      </c>
      <c r="AF9" s="970" cm="1">
        <f t="array" ref="AF9">AF6</f>
        <v>2024</v>
      </c>
      <c r="AG9" s="970" cm="1">
        <f t="array" ref="AG9">AG6</f>
        <v>2024</v>
      </c>
      <c r="AH9" s="970" cm="1">
        <f t="array" ref="AH9">AH6</f>
        <v>2024</v>
      </c>
      <c r="AI9" s="970" cm="1">
        <f t="array" ref="AI9">AI6</f>
        <v>2025</v>
      </c>
      <c r="AJ9" s="970" cm="1">
        <f t="array" ref="AJ9">AJ6</f>
        <v>2026</v>
      </c>
      <c r="AK9" s="970" cm="1">
        <f t="array" ref="AK9">AK6</f>
        <v>2027</v>
      </c>
      <c r="AL9" s="970" cm="1">
        <f t="array" ref="AL9">AL6</f>
        <v>2028</v>
      </c>
      <c r="AM9" s="970" cm="1">
        <f t="array" ref="AM9">AM6</f>
        <v>2029</v>
      </c>
      <c r="AN9" s="970" cm="1">
        <f t="array" ref="AN9">AN6</f>
        <v>2030</v>
      </c>
      <c r="AO9" s="970" cm="1">
        <f t="array" ref="AO9">AO6</f>
        <v>2031</v>
      </c>
      <c r="AP9" s="970" cm="1">
        <f t="array" ref="AP9">AP6</f>
        <v>2032</v>
      </c>
      <c r="AQ9" s="970" cm="1">
        <f t="array" ref="AQ9">AQ6</f>
        <v>2033</v>
      </c>
      <c r="AR9" s="970" cm="1">
        <f t="array" ref="AR9">AR6</f>
        <v>2034</v>
      </c>
      <c r="AS9" s="970" cm="1">
        <f t="array" ref="AS9">AS6</f>
        <v>2035</v>
      </c>
      <c r="AT9" s="970" cm="1">
        <f t="array" ref="AT9">AT6</f>
        <v>2026</v>
      </c>
      <c r="AU9" s="970" cm="1">
        <f t="array" ref="AU9">AU6</f>
        <v>2027</v>
      </c>
      <c r="AV9" s="970" cm="1">
        <f t="array" ref="AV9">AV6</f>
        <v>2028</v>
      </c>
      <c r="AW9" s="970" cm="1">
        <f t="array" ref="AW9">AW6</f>
        <v>2029</v>
      </c>
      <c r="AX9" s="970" cm="1">
        <f t="array" ref="AX9">AX6</f>
        <v>2030</v>
      </c>
      <c r="AY9" s="970" cm="1">
        <f t="array" ref="AY9">AY6</f>
        <v>2031</v>
      </c>
      <c r="AZ9" s="970" cm="1">
        <f t="array" ref="AZ9">AZ6</f>
        <v>2032</v>
      </c>
      <c r="BA9" s="970" cm="1">
        <f t="array" ref="BA9">BA6</f>
        <v>2033</v>
      </c>
      <c r="BB9" s="970" cm="1">
        <f t="array" ref="BB9">BB6</f>
        <v>2034</v>
      </c>
      <c r="BC9" s="970" cm="1">
        <f t="array" ref="BC9">BC6</f>
        <v>2035</v>
      </c>
      <c r="BD9" s="970" cm="1">
        <f t="array" ref="BD9">BD6</f>
        <v>2026</v>
      </c>
      <c r="BE9" s="970" cm="1">
        <f t="array" ref="BE9">BE6</f>
        <v>2027</v>
      </c>
      <c r="BF9" s="970" cm="1">
        <f t="array" ref="BF9">BF6</f>
        <v>2028</v>
      </c>
      <c r="BG9" s="970" cm="1">
        <f t="array" ref="BG9">BG6</f>
        <v>2029</v>
      </c>
      <c r="BH9" s="970" cm="1">
        <f t="array" ref="BH9">BH6</f>
        <v>2030</v>
      </c>
      <c r="BI9" s="970" cm="1">
        <f t="array" ref="BI9">BI6</f>
        <v>2031</v>
      </c>
      <c r="BJ9" s="970" cm="1">
        <f t="array" ref="BJ9">BJ6</f>
        <v>2032</v>
      </c>
      <c r="BK9" s="970" cm="1">
        <f t="array" ref="BK9">BK6</f>
        <v>2033</v>
      </c>
      <c r="BL9" s="970" cm="1">
        <f t="array" ref="BL9">BL6</f>
        <v>2034</v>
      </c>
      <c r="BM9" s="970" cm="1">
        <f t="array" ref="BM9">BM6</f>
        <v>2035</v>
      </c>
      <c r="BV9" s="626"/>
      <c r="BW9" s="626"/>
    </row>
    <row r="10" spans="1:75" s="973" customFormat="1" ht="11.25" hidden="1" customHeight="1" x14ac:dyDescent="0.25">
      <c r="A10" s="906" t="s">
        <v>363</v>
      </c>
      <c r="B10" s="969"/>
      <c r="C10" s="969"/>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70" t="str" cm="1">
        <f t="array" ref="AE10">AE25</f>
        <v>Принято органом регулирования</v>
      </c>
      <c r="AF10" s="970" t="str" cm="1">
        <f t="array" ref="AF10">AF25</f>
        <v>Факт по данным организации</v>
      </c>
      <c r="AG10" s="970" t="str" cm="1">
        <f t="array" ref="AG10">AG25</f>
        <v>Факт, принятый органом регулирования</v>
      </c>
      <c r="AH10" s="970" t="str" cm="1">
        <f t="array" ref="AH10">AH25</f>
        <v>отклонение факта по данным организации к факту принятому органом регулирования</v>
      </c>
      <c r="AI10" s="970" t="str" cm="1">
        <f t="array" ref="AI10">AI25</f>
        <v>Принято органом регулирования</v>
      </c>
      <c r="AJ10" s="970" t="str" cm="1">
        <f t="array" ref="AJ10">AJ25</f>
        <v>Предложение организации</v>
      </c>
      <c r="AK10" s="970" t="str" cm="1">
        <f t="array" ref="AK10">AK25</f>
        <v>Предложение организации</v>
      </c>
      <c r="AL10" s="970" t="str" cm="1">
        <f t="array" ref="AL10">AL25</f>
        <v>Предложение организации</v>
      </c>
      <c r="AM10" s="970" t="str" cm="1">
        <f t="array" ref="AM10">AM25</f>
        <v>Предложение организации</v>
      </c>
      <c r="AN10" s="970" t="str" cm="1">
        <f t="array" ref="AN10">AN25</f>
        <v>Предложение организации</v>
      </c>
      <c r="AO10" s="970" t="str" cm="1">
        <f t="array" ref="AO10">AO25</f>
        <v>Предложение организации</v>
      </c>
      <c r="AP10" s="970" t="str" cm="1">
        <f t="array" ref="AP10">AP25</f>
        <v>Предложение организации</v>
      </c>
      <c r="AQ10" s="970" t="str" cm="1">
        <f t="array" ref="AQ10">AQ25</f>
        <v>Предложение организации</v>
      </c>
      <c r="AR10" s="970" t="str" cm="1">
        <f t="array" ref="AR10">AR25</f>
        <v>Предложение организации</v>
      </c>
      <c r="AS10" s="970" t="str" cm="1">
        <f t="array" ref="AS10">AS25</f>
        <v>Предложение организации</v>
      </c>
      <c r="AT10" s="970" t="str" cm="1">
        <f t="array" ref="AT10">AT25</f>
        <v>Принято органом регулирования</v>
      </c>
      <c r="AU10" s="970" t="str" cm="1">
        <f t="array" ref="AU10">AU25</f>
        <v>Принято органом регулирования</v>
      </c>
      <c r="AV10" s="970" t="str" cm="1">
        <f t="array" ref="AV10">AV25</f>
        <v>Принято органом регулирования</v>
      </c>
      <c r="AW10" s="970" t="str" cm="1">
        <f t="array" ref="AW10">AW25</f>
        <v>Принято органом регулирования</v>
      </c>
      <c r="AX10" s="970" t="str" cm="1">
        <f t="array" ref="AX10">AX25</f>
        <v>Принято органом регулирования</v>
      </c>
      <c r="AY10" s="970" t="str" cm="1">
        <f t="array" ref="AY10">AY25</f>
        <v>Принято органом регулирования</v>
      </c>
      <c r="AZ10" s="970" t="str" cm="1">
        <f t="array" ref="AZ10">AZ25</f>
        <v>Принято органом регулирования</v>
      </c>
      <c r="BA10" s="970" t="str" cm="1">
        <f t="array" ref="BA10">BA25</f>
        <v>Принято органом регулирования</v>
      </c>
      <c r="BB10" s="970" t="str" cm="1">
        <f t="array" ref="BB10">BB25</f>
        <v>Принято органом регулирования</v>
      </c>
      <c r="BC10" s="970" t="str" cm="1">
        <f t="array" ref="BC10">BC25</f>
        <v>Принято органом регулирования</v>
      </c>
      <c r="BD10" s="97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70" cm="1">
        <f t="array" ref="BE10">BE25</f>
        <v>0</v>
      </c>
      <c r="BF10" s="970" cm="1">
        <f t="array" ref="BF10">BF25</f>
        <v>0</v>
      </c>
      <c r="BG10" s="970" cm="1">
        <f t="array" ref="BG10">BG25</f>
        <v>0</v>
      </c>
      <c r="BH10" s="970" cm="1">
        <f t="array" ref="BH10">BH25</f>
        <v>0</v>
      </c>
      <c r="BI10" s="970" cm="1">
        <f t="array" ref="BI10">BI25</f>
        <v>0</v>
      </c>
      <c r="BJ10" s="970" cm="1">
        <f t="array" ref="BJ10">BJ25</f>
        <v>0</v>
      </c>
      <c r="BK10" s="970" cm="1">
        <f t="array" ref="BK10">BK25</f>
        <v>0</v>
      </c>
      <c r="BL10" s="970" cm="1">
        <f t="array" ref="BL10">BL25</f>
        <v>0</v>
      </c>
      <c r="BM10" s="970" cm="1">
        <f t="array" ref="BM10">BM25</f>
        <v>0</v>
      </c>
      <c r="BV10" s="626"/>
      <c r="BW10" s="626"/>
    </row>
    <row r="11" spans="1:75" s="973" customFormat="1" ht="11.25" hidden="1" customHeight="1" x14ac:dyDescent="0.25">
      <c r="A11" s="906" t="s">
        <v>364</v>
      </c>
      <c r="B11" s="969"/>
      <c r="C11" s="969"/>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70"/>
      <c r="BN11" s="973" t="str" cm="1">
        <f t="array" ref="BN11">BN24</f>
        <v>Указание на подтверждающие документы / URL-ссылка на копии подтверждающих документов</v>
      </c>
      <c r="BO11" s="973" t="str" cm="1">
        <f t="array" ref="BO11">BO24</f>
        <v>Ссылка на правовую норму (основание для принятия показателя в расчет тарифа)</v>
      </c>
      <c r="BP11" s="973"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26"/>
      <c r="BW11" s="626"/>
    </row>
    <row r="12" spans="1:75" s="973" customFormat="1" ht="11.25" hidden="1" customHeight="1" x14ac:dyDescent="0.25">
      <c r="A12" s="971" t="s">
        <v>337</v>
      </c>
      <c r="B12" s="969"/>
      <c r="C12" s="969"/>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71" t="s">
        <v>324</v>
      </c>
      <c r="AD12" s="969"/>
      <c r="AE12" s="970"/>
      <c r="BV12" s="626"/>
      <c r="BW12" s="626"/>
    </row>
    <row r="13" spans="1:75" ht="11.25" hidden="1" customHeight="1" x14ac:dyDescent="0.15">
      <c r="A13" s="77" t="s">
        <v>1674</v>
      </c>
      <c r="BN13" s="77" t="str" cm="1">
        <f t="array" ref="BN13">BN24</f>
        <v>Указание на подтверждающие документы / URL-ссылка на копии подтверждающих документов</v>
      </c>
      <c r="BO13" s="77" t="str" cm="1">
        <f t="array" ref="BO13">BO24</f>
        <v>Ссылка на правовую норму (основание для принятия показателя в расчет тарифа)</v>
      </c>
      <c r="BP13" s="77"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x14ac:dyDescent="0.15">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x14ac:dyDescent="0.15">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x14ac:dyDescent="0.15">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x14ac:dyDescent="0.15"/>
    <row r="18" spans="1:75" ht="11.25" hidden="1" customHeight="1" x14ac:dyDescent="0.15">
      <c r="A18" s="77" t="s">
        <v>365</v>
      </c>
      <c r="AC18" s="76" t="s">
        <v>366</v>
      </c>
    </row>
    <row r="19" spans="1:75" ht="11.25" hidden="1" customHeight="1" x14ac:dyDescent="0.15"/>
    <row r="20" spans="1:75" ht="11.25" hidden="1" customHeight="1" x14ac:dyDescent="0.15"/>
    <row r="21" spans="1:75" ht="14.65" customHeight="1" x14ac:dyDescent="0.15">
      <c r="E21" s="626">
        <v>15</v>
      </c>
      <c r="AA21" s="347"/>
      <c r="AB21" s="77"/>
      <c r="AC21" s="3" t="str" cm="1">
        <f t="array" ref="AC21">tpl_title</f>
        <v>Кемеровская область / 2026 / ООО "Чистая вода" (ИНН:4246023100, КПП:424601001) / ДПР: 2024-2032</v>
      </c>
      <c r="AD21" s="77"/>
    </row>
    <row r="22" spans="1:75" s="1205" customFormat="1" ht="19.5" customHeight="1" x14ac:dyDescent="0.15">
      <c r="B22" s="354"/>
      <c r="E22" s="545">
        <v>20</v>
      </c>
      <c r="AB22" s="236" t="s">
        <v>79</v>
      </c>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S22" s="975"/>
      <c r="BT22" s="975"/>
      <c r="BU22" s="975"/>
      <c r="BV22" s="545"/>
      <c r="BW22" s="545"/>
    </row>
    <row r="23" spans="1:75" s="1205" customFormat="1" ht="10.15" customHeight="1" x14ac:dyDescent="0.15">
      <c r="B23" s="354"/>
      <c r="E23" s="545">
        <v>10.5</v>
      </c>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S23" s="975"/>
      <c r="BT23" s="975"/>
      <c r="BU23" s="975"/>
      <c r="BV23" s="545"/>
      <c r="BW23" s="545"/>
    </row>
    <row r="24" spans="1:75" s="890" customFormat="1" ht="24.2" customHeight="1" x14ac:dyDescent="0.15">
      <c r="B24" s="355"/>
      <c r="E24" s="627">
        <v>24.75</v>
      </c>
      <c r="AB24" s="2038" t="s">
        <v>21</v>
      </c>
      <c r="AC24" s="2038" t="s">
        <v>366</v>
      </c>
      <c r="AD24" s="2038" t="s">
        <v>367</v>
      </c>
      <c r="AE24" s="10" t="str">
        <f>god-2&amp;" год"</f>
        <v>2024 год</v>
      </c>
      <c r="AF24" s="1028" t="str">
        <f>god-2&amp;" год"</f>
        <v>2024 год</v>
      </c>
      <c r="AG24" s="10" t="str">
        <f>god-2&amp;" год"</f>
        <v>2024 год</v>
      </c>
      <c r="AH24" s="10" t="str">
        <f>god-2&amp;" год"</f>
        <v>2024 год</v>
      </c>
      <c r="AI24" s="10" t="str">
        <f>god-1&amp;" год"</f>
        <v>2025 год</v>
      </c>
      <c r="AJ24" s="1026" t="str">
        <f>god&amp;" год"</f>
        <v>2026 год</v>
      </c>
      <c r="AK24" s="1026" t="str">
        <f>god+1&amp;" год"</f>
        <v>2027 год</v>
      </c>
      <c r="AL24" s="1026" t="str">
        <f>god+2&amp;" год"</f>
        <v>2028 год</v>
      </c>
      <c r="AM24" s="1026" t="str">
        <f>god+3&amp;" год"</f>
        <v>2029 год</v>
      </c>
      <c r="AN24" s="1026" t="str">
        <f>god+4&amp;" год"</f>
        <v>2030 год</v>
      </c>
      <c r="AO24" s="1026" t="str">
        <f>god+5&amp;" год"</f>
        <v>2031 год</v>
      </c>
      <c r="AP24" s="1026" t="str">
        <f>god+6&amp;" год"</f>
        <v>2032 год</v>
      </c>
      <c r="AQ24" s="1026" t="str">
        <f>god+7&amp;" год"</f>
        <v>2033 год</v>
      </c>
      <c r="AR24" s="1026" t="str">
        <f>god+8&amp;" год"</f>
        <v>2034 год</v>
      </c>
      <c r="AS24" s="1026"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2060" t="s">
        <v>1677</v>
      </c>
      <c r="BO24" s="2060" t="s">
        <v>558</v>
      </c>
      <c r="BP24" s="2060" t="s">
        <v>1678</v>
      </c>
      <c r="BS24" s="976"/>
      <c r="BT24" s="976"/>
      <c r="BU24" s="976"/>
      <c r="BV24" s="627"/>
      <c r="BW24" s="627"/>
    </row>
    <row r="25" spans="1:75" s="890" customFormat="1" ht="48.95" customHeight="1" x14ac:dyDescent="0.15">
      <c r="B25" s="355"/>
      <c r="E25" s="627">
        <v>50.25</v>
      </c>
      <c r="AB25" s="2038"/>
      <c r="AC25" s="2038"/>
      <c r="AD25" s="2038"/>
      <c r="AE25" s="10" t="s">
        <v>359</v>
      </c>
      <c r="AF25" s="1028" t="s">
        <v>484</v>
      </c>
      <c r="AG25" s="10" t="s">
        <v>485</v>
      </c>
      <c r="AH25" s="10" t="s">
        <v>1679</v>
      </c>
      <c r="AI25" s="10" t="s">
        <v>359</v>
      </c>
      <c r="AJ25" s="1030" t="s">
        <v>360</v>
      </c>
      <c r="AK25" s="1030" t="s">
        <v>360</v>
      </c>
      <c r="AL25" s="1030" t="s">
        <v>360</v>
      </c>
      <c r="AM25" s="1030" t="s">
        <v>360</v>
      </c>
      <c r="AN25" s="1030" t="s">
        <v>360</v>
      </c>
      <c r="AO25" s="1030" t="s">
        <v>360</v>
      </c>
      <c r="AP25" s="1030" t="s">
        <v>360</v>
      </c>
      <c r="AQ25" s="1030" t="s">
        <v>360</v>
      </c>
      <c r="AR25" s="1030" t="s">
        <v>360</v>
      </c>
      <c r="AS25" s="1030" t="s">
        <v>360</v>
      </c>
      <c r="AT25" s="276" t="s">
        <v>359</v>
      </c>
      <c r="AU25" s="276" t="s">
        <v>359</v>
      </c>
      <c r="AV25" s="276" t="s">
        <v>359</v>
      </c>
      <c r="AW25" s="276" t="s">
        <v>359</v>
      </c>
      <c r="AX25" s="276" t="s">
        <v>359</v>
      </c>
      <c r="AY25" s="276" t="s">
        <v>359</v>
      </c>
      <c r="AZ25" s="276" t="s">
        <v>359</v>
      </c>
      <c r="BA25" s="276" t="s">
        <v>359</v>
      </c>
      <c r="BB25" s="276" t="s">
        <v>359</v>
      </c>
      <c r="BC25" s="276" t="s">
        <v>359</v>
      </c>
      <c r="BD25" s="2060" t="s">
        <v>1676</v>
      </c>
      <c r="BE25" s="2060"/>
      <c r="BF25" s="2060"/>
      <c r="BG25" s="2060"/>
      <c r="BH25" s="2060"/>
      <c r="BI25" s="2060"/>
      <c r="BJ25" s="2060"/>
      <c r="BK25" s="2060"/>
      <c r="BL25" s="2060"/>
      <c r="BM25" s="2060"/>
      <c r="BN25" s="2060"/>
      <c r="BO25" s="2060"/>
      <c r="BP25" s="2060"/>
      <c r="BS25" s="976"/>
      <c r="BT25" s="976"/>
      <c r="BU25" s="976"/>
      <c r="BV25" s="627"/>
      <c r="BW25" s="627"/>
    </row>
    <row r="26" spans="1:75" s="1334" customFormat="1" ht="11.25" customHeight="1" x14ac:dyDescent="0.15">
      <c r="B26" s="352"/>
      <c r="E26" s="595" t="s">
        <v>370</v>
      </c>
      <c r="F26" s="91" t="s">
        <v>1889</v>
      </c>
      <c r="R26"/>
      <c r="S26" s="665" t="s">
        <v>371</v>
      </c>
      <c r="T26"/>
      <c r="AC26" s="19"/>
      <c r="AD26" s="19"/>
      <c r="AE26" s="19"/>
      <c r="AF26" s="19"/>
      <c r="AQ26" s="20"/>
      <c r="BS26" s="913"/>
      <c r="BT26" s="913"/>
      <c r="BU26" s="913"/>
      <c r="BV26" s="548"/>
      <c r="BW26" s="548"/>
    </row>
    <row r="27" spans="1:75" s="1217" customFormat="1" ht="14.65" hidden="1" customHeight="1" x14ac:dyDescent="0.15">
      <c r="B27" s="350"/>
      <c r="E27" s="542">
        <v>15</v>
      </c>
      <c r="F27" s="17" cm="1">
        <f t="array" ref="F27">X27</f>
        <v>0</v>
      </c>
      <c r="G27" s="17" cm="1">
        <f t="array" ref="G27">INDEX('Общие сведения'!$AK$185:$AK$228,MATCH($X27,'Общие сведения'!$Z$185:$Z$228,0))</f>
        <v>0</v>
      </c>
      <c r="I27" s="17"/>
      <c r="L27" s="891"/>
      <c r="M27" s="348"/>
      <c r="S27" s="41" cm="1">
        <f t="array" ref="S27">INDEX('Общие сведения'!$AE$185:$AE$228,MATCH($X27,'Общие сведения'!$Z$185:$Z$228,0))</f>
        <v>0</v>
      </c>
      <c r="T27" s="388" t="b">
        <f>X27&gt;0</f>
        <v>0</v>
      </c>
      <c r="V27" s="41" t="s">
        <v>271</v>
      </c>
      <c r="X27" s="2032">
        <v>0</v>
      </c>
      <c r="Z27" s="2012"/>
      <c r="AB27" s="297" t="str" cm="1">
        <f t="array" ref="AB27">INDEX('Общие сведения'!$AG$185:$AG$228,MATCH($X27,'Общие сведения'!$Z$185:$Z$228,0))</f>
        <v xml:space="preserve">Тариф 0 () - </v>
      </c>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S27" s="906"/>
      <c r="BT27" s="906"/>
      <c r="BU27" s="906"/>
      <c r="BV27" s="542"/>
      <c r="BW27" s="542"/>
    </row>
    <row r="28" spans="1:75" s="80" customFormat="1" ht="20.45" hidden="1" customHeight="1" x14ac:dyDescent="0.15">
      <c r="B28" s="356"/>
      <c r="E28" s="628">
        <v>21</v>
      </c>
      <c r="F28" s="3" cm="1">
        <f t="array" aca="1" ref="F28" ca="1">OFFSET(E28,-1,1)</f>
        <v>0</v>
      </c>
      <c r="H28" s="293"/>
      <c r="I28" s="293" t="s">
        <v>331</v>
      </c>
      <c r="K28" s="293" t="s">
        <v>331</v>
      </c>
      <c r="L28" s="892"/>
      <c r="M28" s="774"/>
      <c r="R28" s="80" t="s">
        <v>2200</v>
      </c>
      <c r="T28" s="388" t="b" cm="1">
        <f t="array" ref="T28">T27</f>
        <v>0</v>
      </c>
      <c r="X28" s="2032"/>
      <c r="Z28" s="2012"/>
      <c r="AB28" s="166" t="s">
        <v>282</v>
      </c>
      <c r="AC28" s="131" t="s">
        <v>1890</v>
      </c>
      <c r="AD28" s="153" t="s">
        <v>831</v>
      </c>
      <c r="AE28" s="681">
        <f ca="1">SUM(AE30,AE47,AE53,AE73,AE74,AE75)</f>
        <v>0</v>
      </c>
      <c r="AF28" s="681">
        <f ca="1">SUM(AF30,AF47,AF53,AF73,AF74,AF75)</f>
        <v>0</v>
      </c>
      <c r="AG28" s="681">
        <f ca="1">SUM(AG30,AG47,AG53,AG73,AG74,AG75)</f>
        <v>0</v>
      </c>
      <c r="AH28" s="681">
        <f t="shared" ref="AH28:AH59" ca="1" si="2">AG28-AF28</f>
        <v>0</v>
      </c>
      <c r="AI28" s="1153">
        <f ca="1">AE28*AI29</f>
        <v>0</v>
      </c>
      <c r="AJ28" s="1516">
        <f t="shared" ref="AJ28:AS28" ca="1" si="3">AI28*AJ29</f>
        <v>0</v>
      </c>
      <c r="AK28" s="1153">
        <f t="shared" ca="1" si="3"/>
        <v>0</v>
      </c>
      <c r="AL28" s="1153">
        <f t="shared" ca="1" si="3"/>
        <v>0</v>
      </c>
      <c r="AM28" s="1153">
        <f t="shared" ca="1" si="3"/>
        <v>0</v>
      </c>
      <c r="AN28" s="1153">
        <f t="shared" ca="1" si="3"/>
        <v>0</v>
      </c>
      <c r="AO28" s="1153">
        <f t="shared" ca="1" si="3"/>
        <v>0</v>
      </c>
      <c r="AP28" s="1153">
        <f t="shared" ca="1" si="3"/>
        <v>0</v>
      </c>
      <c r="AQ28" s="1153">
        <f t="shared" ca="1" si="3"/>
        <v>0</v>
      </c>
      <c r="AR28" s="1153">
        <f t="shared" ca="1" si="3"/>
        <v>0</v>
      </c>
      <c r="AS28" s="1153">
        <f t="shared" ca="1" si="3"/>
        <v>0</v>
      </c>
      <c r="AT28" s="1516">
        <f ca="1">AI28*AT29</f>
        <v>0</v>
      </c>
      <c r="AU28" s="1153">
        <f t="shared" ref="AU28:BC28" ca="1" si="4">AT28*AU29</f>
        <v>0</v>
      </c>
      <c r="AV28" s="1153">
        <f t="shared" ca="1" si="4"/>
        <v>0</v>
      </c>
      <c r="AW28" s="1153">
        <f t="shared" ca="1" si="4"/>
        <v>0</v>
      </c>
      <c r="AX28" s="1153">
        <f t="shared" ca="1" si="4"/>
        <v>0</v>
      </c>
      <c r="AY28" s="1153">
        <f t="shared" ca="1" si="4"/>
        <v>0</v>
      </c>
      <c r="AZ28" s="1153">
        <f t="shared" ca="1" si="4"/>
        <v>0</v>
      </c>
      <c r="BA28" s="1153">
        <f t="shared" ca="1" si="4"/>
        <v>0</v>
      </c>
      <c r="BB28" s="1153">
        <f t="shared" ca="1" si="4"/>
        <v>0</v>
      </c>
      <c r="BC28" s="1153">
        <f t="shared" ca="1" si="4"/>
        <v>0</v>
      </c>
      <c r="BD28" s="681">
        <f ca="1">IF(AI28=0,0,(AT28-AI28)/AI28*100)</f>
        <v>0</v>
      </c>
      <c r="BE28" s="681">
        <f t="shared" ref="BE28:BM28" ca="1" si="5">IF(AT28=0,0,(AU28-AT28)/AT28*100)</f>
        <v>0</v>
      </c>
      <c r="BF28" s="681">
        <f t="shared" ca="1" si="5"/>
        <v>0</v>
      </c>
      <c r="BG28" s="681">
        <f t="shared" ca="1" si="5"/>
        <v>0</v>
      </c>
      <c r="BH28" s="681">
        <f t="shared" ca="1" si="5"/>
        <v>0</v>
      </c>
      <c r="BI28" s="681">
        <f t="shared" ca="1" si="5"/>
        <v>0</v>
      </c>
      <c r="BJ28" s="681">
        <f t="shared" ca="1" si="5"/>
        <v>0</v>
      </c>
      <c r="BK28" s="681">
        <f t="shared" ca="1" si="5"/>
        <v>0</v>
      </c>
      <c r="BL28" s="681">
        <f t="shared" ca="1" si="5"/>
        <v>0</v>
      </c>
      <c r="BM28" s="681">
        <f t="shared" ca="1" si="5"/>
        <v>0</v>
      </c>
      <c r="BN28" s="1158"/>
      <c r="BO28" s="1158"/>
      <c r="BP28" s="1158"/>
      <c r="BQ28" s="79"/>
      <c r="BS28" s="977" t="s">
        <v>555</v>
      </c>
      <c r="BT28" s="977"/>
      <c r="BU28" s="977"/>
      <c r="BV28" s="628"/>
      <c r="BW28" s="628"/>
    </row>
    <row r="29" spans="1:75" ht="14.65" hidden="1" customHeight="1" x14ac:dyDescent="0.15">
      <c r="E29" s="626">
        <v>15</v>
      </c>
      <c r="F29" s="3" cm="1">
        <f t="array" aca="1" ref="F29" ca="1">OFFSET(E29,-1,1)</f>
        <v>0</v>
      </c>
      <c r="H29" s="294"/>
      <c r="I29" s="294" t="s">
        <v>494</v>
      </c>
      <c r="K29" s="294" t="s">
        <v>494</v>
      </c>
      <c r="L29" s="889"/>
      <c r="M29" s="26"/>
      <c r="R29" s="80" t="s">
        <v>2200</v>
      </c>
      <c r="T29" s="388" t="b" cm="1">
        <f t="array" ref="T29">T28</f>
        <v>0</v>
      </c>
      <c r="X29" s="2032"/>
      <c r="Z29" s="2012"/>
      <c r="AB29" s="217" t="s">
        <v>910</v>
      </c>
      <c r="AC29" s="682" t="s">
        <v>1891</v>
      </c>
      <c r="AD29" s="218"/>
      <c r="AE29" s="1159"/>
      <c r="AF29" s="1159"/>
      <c r="AG29" s="1159"/>
      <c r="AH29" s="853">
        <f t="shared" si="2"/>
        <v>0</v>
      </c>
      <c r="AI29" s="1159">
        <f ca="1">SUMIFS(INDEX(Сценарии!$AE$25:$BF$109,,MATCH(AI$8,Сценарии!$AE$8:$BF$8,0)),Сценарии!$F$25:$F$109,$F29,Сценарии!$G$25:$G$109,"ИОР")</f>
        <v>1</v>
      </c>
      <c r="AJ29" s="1560">
        <f ca="1">SUMIFS(INDEX(Сценарии!$AE$25:$BF$109,,MATCH(AJ$8,Сценарии!$AE$8:$BF$8,0)),Сценарии!$F$25:$F$109,$F29,Сценарии!$G$25:$G$109,"ИОР")</f>
        <v>1</v>
      </c>
      <c r="AK29" s="1159">
        <f ca="1">SUMIFS(INDEX(Сценарии!$AE$25:$BF$109,,MATCH(AK$8,Сценарии!$AE$8:$BF$8,0)),Сценарии!$F$25:$F$109,$F29,Сценарии!$G$25:$G$109,"ИОР")</f>
        <v>1</v>
      </c>
      <c r="AL29" s="1159">
        <f ca="1">SUMIFS(INDEX(Сценарии!$AE$25:$BF$109,,MATCH(AL$8,Сценарии!$AE$8:$BF$8,0)),Сценарии!$F$25:$F$109,$F29,Сценарии!$G$25:$G$109,"ИОР")</f>
        <v>1</v>
      </c>
      <c r="AM29" s="1159">
        <f ca="1">SUMIFS(INDEX(Сценарии!$AE$25:$BF$109,,MATCH(AM$8,Сценарии!$AE$8:$BF$8,0)),Сценарии!$F$25:$F$109,$F29,Сценарии!$G$25:$G$109,"ИОР")</f>
        <v>1</v>
      </c>
      <c r="AN29" s="1159">
        <f ca="1">SUMIFS(INDEX(Сценарии!$AE$25:$BF$109,,MATCH(AN$8,Сценарии!$AE$8:$BF$8,0)),Сценарии!$F$25:$F$109,$F29,Сценарии!$G$25:$G$109,"ИОР")</f>
        <v>1</v>
      </c>
      <c r="AO29" s="1159">
        <f ca="1">SUMIFS(INDEX(Сценарии!$AE$25:$BF$109,,MATCH(AO$8,Сценарии!$AE$8:$BF$8,0)),Сценарии!$F$25:$F$109,$F29,Сценарии!$G$25:$G$109,"ИОР")</f>
        <v>1</v>
      </c>
      <c r="AP29" s="1159">
        <f ca="1">SUMIFS(INDEX(Сценарии!$AE$25:$BF$109,,MATCH(AP$8,Сценарии!$AE$8:$BF$8,0)),Сценарии!$F$25:$F$109,$F29,Сценарии!$G$25:$G$109,"ИОР")</f>
        <v>1</v>
      </c>
      <c r="AQ29" s="1159">
        <f ca="1">SUMIFS(INDEX(Сценарии!$AE$25:$BF$109,,MATCH(AQ$8,Сценарии!$AE$8:$BF$8,0)),Сценарии!$F$25:$F$109,$F29,Сценарии!$G$25:$G$109,"ИОР")</f>
        <v>1</v>
      </c>
      <c r="AR29" s="1159">
        <f ca="1">SUMIFS(INDEX(Сценарии!$AE$25:$BF$109,,MATCH(AR$8,Сценарии!$AE$8:$BF$8,0)),Сценарии!$F$25:$F$109,$F29,Сценарии!$G$25:$G$109,"ИОР")</f>
        <v>1</v>
      </c>
      <c r="AS29" s="1159">
        <f ca="1">SUMIFS(INDEX(Сценарии!$AE$25:$BF$109,,MATCH(AS$8,Сценарии!$AE$8:$BF$8,0)),Сценарии!$F$25:$F$109,$F29,Сценарии!$G$25:$G$109,"ИОР")</f>
        <v>1</v>
      </c>
      <c r="AT29" s="1560">
        <f ca="1">SUMIFS(INDEX(Сценарии!$AE$25:$BF$109,,MATCH(AT$8,Сценарии!$AE$8:$BF$8,0)),Сценарии!$F$25:$F$109,$F29,Сценарии!$G$25:$G$109,"ИОР")</f>
        <v>1</v>
      </c>
      <c r="AU29" s="1159">
        <f ca="1">SUMIFS(INDEX(Сценарии!$AE$25:$BF$109,,MATCH(AU$8,Сценарии!$AE$8:$BF$8,0)),Сценарии!$F$25:$F$109,$F29,Сценарии!$G$25:$G$109,"ИОР")</f>
        <v>1</v>
      </c>
      <c r="AV29" s="1159">
        <f ca="1">SUMIFS(INDEX(Сценарии!$AE$25:$BF$109,,MATCH(AV$8,Сценарии!$AE$8:$BF$8,0)),Сценарии!$F$25:$F$109,$F29,Сценарии!$G$25:$G$109,"ИОР")</f>
        <v>1</v>
      </c>
      <c r="AW29" s="1159">
        <f ca="1">SUMIFS(INDEX(Сценарии!$AE$25:$BF$109,,MATCH(AW$8,Сценарии!$AE$8:$BF$8,0)),Сценарии!$F$25:$F$109,$F29,Сценарии!$G$25:$G$109,"ИОР")</f>
        <v>1</v>
      </c>
      <c r="AX29" s="1159">
        <f ca="1">SUMIFS(INDEX(Сценарии!$AE$25:$BF$109,,MATCH(AX$8,Сценарии!$AE$8:$BF$8,0)),Сценарии!$F$25:$F$109,$F29,Сценарии!$G$25:$G$109,"ИОР")</f>
        <v>1</v>
      </c>
      <c r="AY29" s="1159">
        <f ca="1">SUMIFS(INDEX(Сценарии!$AE$25:$BF$109,,MATCH(AY$8,Сценарии!$AE$8:$BF$8,0)),Сценарии!$F$25:$F$109,$F29,Сценарии!$G$25:$G$109,"ИОР")</f>
        <v>1</v>
      </c>
      <c r="AZ29" s="1159">
        <f ca="1">SUMIFS(INDEX(Сценарии!$AE$25:$BF$109,,MATCH(AZ$8,Сценарии!$AE$8:$BF$8,0)),Сценарии!$F$25:$F$109,$F29,Сценарии!$G$25:$G$109,"ИОР")</f>
        <v>1</v>
      </c>
      <c r="BA29" s="1159">
        <f ca="1">SUMIFS(INDEX(Сценарии!$AE$25:$BF$109,,MATCH(BA$8,Сценарии!$AE$8:$BF$8,0)),Сценарии!$F$25:$F$109,$F29,Сценарии!$G$25:$G$109,"ИОР")</f>
        <v>1</v>
      </c>
      <c r="BB29" s="1159">
        <f ca="1">SUMIFS(INDEX(Сценарии!$AE$25:$BF$109,,MATCH(BB$8,Сценарии!$AE$8:$BF$8,0)),Сценарии!$F$25:$F$109,$F29,Сценарии!$G$25:$G$109,"ИОР")</f>
        <v>1</v>
      </c>
      <c r="BC29" s="1159">
        <f ca="1">SUMIFS(INDEX(Сценарии!$AE$25:$BF$109,,MATCH(BC$8,Сценарии!$AE$8:$BF$8,0)),Сценарии!$F$25:$F$109,$F29,Сценарии!$G$25:$G$109,"ИОР")</f>
        <v>1</v>
      </c>
      <c r="BD29" s="854"/>
      <c r="BE29" s="854"/>
      <c r="BF29" s="854"/>
      <c r="BG29" s="854"/>
      <c r="BH29" s="854"/>
      <c r="BI29" s="854"/>
      <c r="BJ29" s="854"/>
      <c r="BK29" s="854"/>
      <c r="BL29" s="854"/>
      <c r="BM29" s="854"/>
      <c r="BN29" s="1158"/>
      <c r="BO29" s="1158"/>
      <c r="BP29" s="1158"/>
      <c r="BS29" s="973" t="s">
        <v>1892</v>
      </c>
    </row>
    <row r="30" spans="1:75" s="79" customFormat="1" ht="20.45" hidden="1" customHeight="1" x14ac:dyDescent="0.25">
      <c r="B30" s="356"/>
      <c r="E30" s="629">
        <v>21</v>
      </c>
      <c r="F30" s="3" cm="1">
        <f t="array" aca="1" ref="F30" ca="1">OFFSET(E30,-1,1)</f>
        <v>0</v>
      </c>
      <c r="H30" s="293"/>
      <c r="I30" s="293" t="s">
        <v>498</v>
      </c>
      <c r="K30" s="293" t="s">
        <v>498</v>
      </c>
      <c r="L30" s="893" t="s">
        <v>331</v>
      </c>
      <c r="M30" s="777"/>
      <c r="Q30" s="77" t="s">
        <v>2200</v>
      </c>
      <c r="R30" s="80" t="s">
        <v>2200</v>
      </c>
      <c r="T30" s="388" t="b" cm="1">
        <f t="array" ref="T30">T29</f>
        <v>0</v>
      </c>
      <c r="X30" s="2032"/>
      <c r="Z30" s="2012"/>
      <c r="AB30" s="166" t="s">
        <v>913</v>
      </c>
      <c r="AC30" s="277" t="s">
        <v>1680</v>
      </c>
      <c r="AD30" s="153" t="s">
        <v>831</v>
      </c>
      <c r="AE30" s="681">
        <f ca="1">SUM(AE31,AE34,AE35,AE38,AE39)</f>
        <v>0</v>
      </c>
      <c r="AF30" s="681">
        <f ca="1">SUM(AF31,AF34,AF35,AF38,AF39)</f>
        <v>0</v>
      </c>
      <c r="AG30" s="681">
        <f ca="1">SUM(AG31,AG34,AG35,AG38,AG39)</f>
        <v>0</v>
      </c>
      <c r="AH30" s="681">
        <f t="shared" ca="1" si="2"/>
        <v>0</v>
      </c>
      <c r="AI30" s="1561">
        <f ca="1">SUM(AI31,AI34,AI35,AI38,AI39)</f>
        <v>0</v>
      </c>
      <c r="AJ30" s="1560"/>
      <c r="AK30" s="684"/>
      <c r="AL30" s="684"/>
      <c r="AM30" s="684"/>
      <c r="AN30" s="684"/>
      <c r="AO30" s="684"/>
      <c r="AP30" s="684"/>
      <c r="AQ30" s="684"/>
      <c r="AR30" s="684"/>
      <c r="AS30" s="684"/>
      <c r="AT30" s="684"/>
      <c r="AU30" s="684"/>
      <c r="AV30" s="684"/>
      <c r="AW30" s="684"/>
      <c r="AX30" s="684"/>
      <c r="AY30" s="684"/>
      <c r="AZ30" s="684"/>
      <c r="BA30" s="684"/>
      <c r="BB30" s="684"/>
      <c r="BC30" s="684"/>
      <c r="BD30" s="684"/>
      <c r="BE30" s="684"/>
      <c r="BF30" s="684"/>
      <c r="BG30" s="684"/>
      <c r="BH30" s="684"/>
      <c r="BI30" s="684"/>
      <c r="BJ30" s="684"/>
      <c r="BK30" s="684"/>
      <c r="BL30" s="684"/>
      <c r="BM30" s="684"/>
      <c r="BN30" s="1154"/>
      <c r="BO30" s="1154"/>
      <c r="BP30" s="1154"/>
      <c r="BS30" s="971" t="s">
        <v>549</v>
      </c>
      <c r="BT30" s="978"/>
      <c r="BU30" s="978"/>
      <c r="BV30" s="629"/>
      <c r="BW30" s="629"/>
    </row>
    <row r="31" spans="1:75" ht="14.65" hidden="1" customHeight="1" x14ac:dyDescent="0.25">
      <c r="E31" s="626">
        <v>15</v>
      </c>
      <c r="F31" s="3" cm="1">
        <f t="array" aca="1" ref="F31" ca="1">OFFSET(E31,-1,1)</f>
        <v>0</v>
      </c>
      <c r="H31" s="294"/>
      <c r="I31" s="294" t="s">
        <v>1301</v>
      </c>
      <c r="K31" s="294" t="s">
        <v>1301</v>
      </c>
      <c r="L31" s="889" t="s">
        <v>494</v>
      </c>
      <c r="M31" s="26"/>
      <c r="Q31" s="77" t="s">
        <v>2200</v>
      </c>
      <c r="R31" s="80" t="s">
        <v>2200</v>
      </c>
      <c r="T31" s="388" t="b" cm="1">
        <f t="array" ref="T31">T30</f>
        <v>0</v>
      </c>
      <c r="X31" s="2032"/>
      <c r="Z31" s="2012"/>
      <c r="AB31" s="217" t="s">
        <v>1302</v>
      </c>
      <c r="AC31" s="685" t="s">
        <v>1893</v>
      </c>
      <c r="AD31" s="686" t="s">
        <v>831</v>
      </c>
      <c r="AE31" s="855">
        <f>SUM(AE32,AE33)</f>
        <v>0</v>
      </c>
      <c r="AF31" s="855">
        <f>SUM(AF32,AF33)</f>
        <v>0</v>
      </c>
      <c r="AG31" s="855">
        <f>SUM(AG32,AG33)</f>
        <v>0</v>
      </c>
      <c r="AH31" s="855">
        <f t="shared" si="2"/>
        <v>0</v>
      </c>
      <c r="AI31" s="1562">
        <f>SUM(AI32,AI33)</f>
        <v>0</v>
      </c>
      <c r="AJ31" s="1560"/>
      <c r="AK31" s="854"/>
      <c r="AL31" s="854"/>
      <c r="AM31" s="854"/>
      <c r="AN31" s="854"/>
      <c r="AO31" s="854"/>
      <c r="AP31" s="854"/>
      <c r="AQ31" s="854"/>
      <c r="AR31" s="854"/>
      <c r="AS31" s="854"/>
      <c r="AT31" s="854"/>
      <c r="AU31" s="854"/>
      <c r="AV31" s="854"/>
      <c r="AW31" s="854"/>
      <c r="AX31" s="854"/>
      <c r="AY31" s="854"/>
      <c r="AZ31" s="854"/>
      <c r="BA31" s="854"/>
      <c r="BB31" s="854"/>
      <c r="BC31" s="854"/>
      <c r="BD31" s="854"/>
      <c r="BE31" s="854"/>
      <c r="BF31" s="854"/>
      <c r="BG31" s="854"/>
      <c r="BH31" s="854"/>
      <c r="BI31" s="854"/>
      <c r="BJ31" s="854"/>
      <c r="BK31" s="854"/>
      <c r="BL31" s="854"/>
      <c r="BM31" s="854"/>
      <c r="BN31" s="1158"/>
      <c r="BO31" s="1158"/>
      <c r="BP31" s="1158"/>
      <c r="BQ31" s="29"/>
      <c r="BS31" s="972" t="s">
        <v>1682</v>
      </c>
    </row>
    <row r="32" spans="1:75" ht="14.65" hidden="1" customHeight="1" x14ac:dyDescent="0.25">
      <c r="E32" s="626">
        <v>15</v>
      </c>
      <c r="F32" s="3" cm="1">
        <f t="array" aca="1" ref="F32" ca="1">OFFSET(E32,-1,1)</f>
        <v>0</v>
      </c>
      <c r="H32" s="294"/>
      <c r="I32" s="294" t="s">
        <v>1894</v>
      </c>
      <c r="K32" s="294" t="s">
        <v>1894</v>
      </c>
      <c r="L32" s="889" t="s">
        <v>1020</v>
      </c>
      <c r="M32" s="26"/>
      <c r="Q32" s="77" t="s">
        <v>2200</v>
      </c>
      <c r="R32" s="80" t="s">
        <v>2200</v>
      </c>
      <c r="T32" s="388" t="b" cm="1">
        <f t="array" ref="T32">T31</f>
        <v>0</v>
      </c>
      <c r="X32" s="2032"/>
      <c r="Z32" s="2012"/>
      <c r="AB32" s="217" t="s">
        <v>1895</v>
      </c>
      <c r="AC32" s="688" t="s">
        <v>1685</v>
      </c>
      <c r="AD32" s="686" t="s">
        <v>831</v>
      </c>
      <c r="AE32" s="1160"/>
      <c r="AF32" s="1160"/>
      <c r="AG32" s="1160"/>
      <c r="AH32" s="855">
        <f t="shared" si="2"/>
        <v>0</v>
      </c>
      <c r="AI32" s="1563"/>
      <c r="AJ32" s="1560"/>
      <c r="AK32" s="854"/>
      <c r="AL32" s="854"/>
      <c r="AM32" s="854"/>
      <c r="AN32" s="854"/>
      <c r="AO32" s="854"/>
      <c r="AP32" s="854"/>
      <c r="AQ32" s="854"/>
      <c r="AR32" s="854"/>
      <c r="AS32" s="854"/>
      <c r="AT32" s="854"/>
      <c r="AU32" s="854"/>
      <c r="AV32" s="854"/>
      <c r="AW32" s="854"/>
      <c r="AX32" s="854"/>
      <c r="AY32" s="854"/>
      <c r="AZ32" s="854"/>
      <c r="BA32" s="854"/>
      <c r="BB32" s="854"/>
      <c r="BC32" s="854"/>
      <c r="BD32" s="854"/>
      <c r="BE32" s="854"/>
      <c r="BF32" s="854"/>
      <c r="BG32" s="854"/>
      <c r="BH32" s="854"/>
      <c r="BI32" s="854"/>
      <c r="BJ32" s="854"/>
      <c r="BK32" s="854"/>
      <c r="BL32" s="854"/>
      <c r="BM32" s="854"/>
      <c r="BN32" s="1158"/>
      <c r="BO32" s="1158"/>
      <c r="BP32" s="1158"/>
      <c r="BS32" s="971" t="s">
        <v>1686</v>
      </c>
    </row>
    <row r="33" spans="2:75" ht="14.65" hidden="1" customHeight="1" x14ac:dyDescent="0.25">
      <c r="E33" s="626">
        <v>15</v>
      </c>
      <c r="F33" s="3" cm="1">
        <f t="array" aca="1" ref="F33" ca="1">OFFSET(E33,-1,1)</f>
        <v>0</v>
      </c>
      <c r="H33" s="294"/>
      <c r="I33" s="294" t="s">
        <v>1896</v>
      </c>
      <c r="K33" s="294" t="s">
        <v>1896</v>
      </c>
      <c r="L33" s="889" t="s">
        <v>1276</v>
      </c>
      <c r="M33" s="26"/>
      <c r="Q33" s="77" t="s">
        <v>2200</v>
      </c>
      <c r="R33" s="80" t="s">
        <v>2200</v>
      </c>
      <c r="T33" s="388" t="b" cm="1">
        <f t="array" ref="T33">T32</f>
        <v>0</v>
      </c>
      <c r="X33" s="2032"/>
      <c r="Z33" s="2012"/>
      <c r="AB33" s="217" t="s">
        <v>1897</v>
      </c>
      <c r="AC33" s="688" t="s">
        <v>1687</v>
      </c>
      <c r="AD33" s="686" t="s">
        <v>831</v>
      </c>
      <c r="AE33" s="1160"/>
      <c r="AF33" s="1160"/>
      <c r="AG33" s="1160"/>
      <c r="AH33" s="855">
        <f t="shared" si="2"/>
        <v>0</v>
      </c>
      <c r="AI33" s="1563"/>
      <c r="AJ33" s="1560"/>
      <c r="AK33" s="854"/>
      <c r="AL33" s="854"/>
      <c r="AM33" s="854"/>
      <c r="AN33" s="854"/>
      <c r="AO33" s="854"/>
      <c r="AP33" s="854"/>
      <c r="AQ33" s="854"/>
      <c r="AR33" s="854"/>
      <c r="AS33" s="854"/>
      <c r="AT33" s="854"/>
      <c r="AU33" s="854"/>
      <c r="AV33" s="854"/>
      <c r="AW33" s="854"/>
      <c r="AX33" s="854"/>
      <c r="AY33" s="854"/>
      <c r="AZ33" s="854"/>
      <c r="BA33" s="854"/>
      <c r="BB33" s="854"/>
      <c r="BC33" s="854"/>
      <c r="BD33" s="854"/>
      <c r="BE33" s="854"/>
      <c r="BF33" s="854"/>
      <c r="BG33" s="854"/>
      <c r="BH33" s="854"/>
      <c r="BI33" s="854"/>
      <c r="BJ33" s="854"/>
      <c r="BK33" s="854"/>
      <c r="BL33" s="854"/>
      <c r="BM33" s="854"/>
      <c r="BN33" s="1158"/>
      <c r="BO33" s="1158"/>
      <c r="BP33" s="1158"/>
      <c r="BS33" s="971" t="s">
        <v>1688</v>
      </c>
    </row>
    <row r="34" spans="2:75" ht="21.95" hidden="1" customHeight="1" x14ac:dyDescent="0.25">
      <c r="E34" s="626">
        <v>22.5</v>
      </c>
      <c r="F34" s="3" cm="1">
        <f t="array" aca="1" ref="F34" ca="1">OFFSET(E34,-1,1)</f>
        <v>0</v>
      </c>
      <c r="H34" s="294"/>
      <c r="I34" s="294" t="s">
        <v>1304</v>
      </c>
      <c r="K34" s="294" t="s">
        <v>1304</v>
      </c>
      <c r="L34" s="889" t="s">
        <v>501</v>
      </c>
      <c r="M34" s="26"/>
      <c r="Q34" s="77" t="s">
        <v>2200</v>
      </c>
      <c r="R34" s="80" t="s">
        <v>2200</v>
      </c>
      <c r="T34" s="388" t="b" cm="1">
        <f t="array" ref="T34">T33</f>
        <v>0</v>
      </c>
      <c r="X34" s="2032"/>
      <c r="Z34" s="2012"/>
      <c r="AB34" s="217" t="s">
        <v>1305</v>
      </c>
      <c r="AC34" s="685" t="s">
        <v>1898</v>
      </c>
      <c r="AD34" s="686" t="s">
        <v>831</v>
      </c>
      <c r="AE34" s="1160"/>
      <c r="AF34" s="1160"/>
      <c r="AG34" s="1160"/>
      <c r="AH34" s="855">
        <f t="shared" si="2"/>
        <v>0</v>
      </c>
      <c r="AI34" s="1563"/>
      <c r="AJ34" s="1560"/>
      <c r="AK34" s="854"/>
      <c r="AL34" s="854"/>
      <c r="AM34" s="854"/>
      <c r="AN34" s="854"/>
      <c r="AO34" s="854"/>
      <c r="AP34" s="854"/>
      <c r="AQ34" s="854"/>
      <c r="AR34" s="854"/>
      <c r="AS34" s="854"/>
      <c r="AT34" s="854"/>
      <c r="AU34" s="854"/>
      <c r="AV34" s="854"/>
      <c r="AW34" s="854"/>
      <c r="AX34" s="854"/>
      <c r="AY34" s="854"/>
      <c r="AZ34" s="854"/>
      <c r="BA34" s="854"/>
      <c r="BB34" s="854"/>
      <c r="BC34" s="854"/>
      <c r="BD34" s="854"/>
      <c r="BE34" s="854"/>
      <c r="BF34" s="854"/>
      <c r="BG34" s="854"/>
      <c r="BH34" s="854"/>
      <c r="BI34" s="854"/>
      <c r="BJ34" s="854"/>
      <c r="BK34" s="854"/>
      <c r="BL34" s="854"/>
      <c r="BM34" s="854"/>
      <c r="BN34" s="1158"/>
      <c r="BO34" s="1158"/>
      <c r="BP34" s="1158"/>
      <c r="BS34" s="972" t="s">
        <v>1713</v>
      </c>
    </row>
    <row r="35" spans="2:75" ht="21.95" hidden="1" customHeight="1" x14ac:dyDescent="0.25">
      <c r="E35" s="626">
        <v>22.5</v>
      </c>
      <c r="F35" s="3" cm="1">
        <f t="array" aca="1" ref="F35" ca="1">OFFSET(E35,-1,1)</f>
        <v>0</v>
      </c>
      <c r="H35" s="294"/>
      <c r="I35" s="294" t="s">
        <v>1308</v>
      </c>
      <c r="K35" s="294" t="s">
        <v>1308</v>
      </c>
      <c r="L35" s="889" t="s">
        <v>505</v>
      </c>
      <c r="M35" s="26"/>
      <c r="Q35" s="77" t="s">
        <v>2200</v>
      </c>
      <c r="R35" s="80" t="s">
        <v>2200</v>
      </c>
      <c r="T35" s="388" t="b" cm="1">
        <f t="array" ref="T35">T34</f>
        <v>0</v>
      </c>
      <c r="X35" s="2032"/>
      <c r="Z35" s="2012"/>
      <c r="AB35" s="217" t="s">
        <v>1309</v>
      </c>
      <c r="AC35" s="685" t="s">
        <v>1899</v>
      </c>
      <c r="AD35" s="686" t="s">
        <v>831</v>
      </c>
      <c r="AE35" s="856">
        <f ca="1">AE36+AE37</f>
        <v>0</v>
      </c>
      <c r="AF35" s="856">
        <f ca="1">AF36+AF37</f>
        <v>0</v>
      </c>
      <c r="AG35" s="856">
        <f ca="1">AG36+AG37</f>
        <v>0</v>
      </c>
      <c r="AH35" s="855">
        <f t="shared" ca="1" si="2"/>
        <v>0</v>
      </c>
      <c r="AI35" s="1564">
        <f ca="1">AI36+AI37</f>
        <v>0</v>
      </c>
      <c r="AJ35" s="1560"/>
      <c r="AK35" s="854"/>
      <c r="AL35" s="854"/>
      <c r="AM35" s="854"/>
      <c r="AN35" s="854"/>
      <c r="AO35" s="854"/>
      <c r="AP35" s="854"/>
      <c r="AQ35" s="854"/>
      <c r="AR35" s="854"/>
      <c r="AS35" s="854"/>
      <c r="AT35" s="854"/>
      <c r="AU35" s="854"/>
      <c r="AV35" s="854"/>
      <c r="AW35" s="854"/>
      <c r="AX35" s="854"/>
      <c r="AY35" s="854"/>
      <c r="AZ35" s="854"/>
      <c r="BA35" s="854"/>
      <c r="BB35" s="854"/>
      <c r="BC35" s="854"/>
      <c r="BD35" s="854"/>
      <c r="BE35" s="854"/>
      <c r="BF35" s="854"/>
      <c r="BG35" s="854"/>
      <c r="BH35" s="854"/>
      <c r="BI35" s="854"/>
      <c r="BJ35" s="854"/>
      <c r="BK35" s="854"/>
      <c r="BL35" s="854"/>
      <c r="BM35" s="854"/>
      <c r="BN35" s="1158"/>
      <c r="BO35" s="1158"/>
      <c r="BP35" s="1158"/>
      <c r="BS35" s="972" t="s">
        <v>1900</v>
      </c>
    </row>
    <row r="36" spans="2:75" ht="14.65" hidden="1" customHeight="1" x14ac:dyDescent="0.25">
      <c r="E36" s="626">
        <v>15</v>
      </c>
      <c r="F36" s="3" cm="1">
        <f t="array" aca="1" ref="F36" ca="1">OFFSET(E36,-1,1)</f>
        <v>0</v>
      </c>
      <c r="G36" s="265" t="s">
        <v>1104</v>
      </c>
      <c r="H36" s="294"/>
      <c r="I36" s="294" t="s">
        <v>1454</v>
      </c>
      <c r="K36" s="294" t="s">
        <v>1454</v>
      </c>
      <c r="L36" s="889" t="s">
        <v>1328</v>
      </c>
      <c r="M36" s="26"/>
      <c r="Q36" s="77" t="s">
        <v>2200</v>
      </c>
      <c r="R36" s="80" t="s">
        <v>2200</v>
      </c>
      <c r="T36" s="388" t="b" cm="1">
        <f t="array" ref="T36">T35</f>
        <v>0</v>
      </c>
      <c r="X36" s="2032"/>
      <c r="Z36" s="2012"/>
      <c r="AB36" s="217" t="s">
        <v>1901</v>
      </c>
      <c r="AC36" s="688" t="s">
        <v>1716</v>
      </c>
      <c r="AD36" s="686" t="s">
        <v>831</v>
      </c>
      <c r="AE36" s="1160"/>
      <c r="AF36" s="1160"/>
      <c r="AG36" s="1160"/>
      <c r="AH36" s="855">
        <f t="shared" si="2"/>
        <v>0</v>
      </c>
      <c r="AI36" s="1563"/>
      <c r="AJ36" s="1560"/>
      <c r="AK36" s="854"/>
      <c r="AL36" s="854"/>
      <c r="AM36" s="854"/>
      <c r="AN36" s="854"/>
      <c r="AO36" s="854"/>
      <c r="AP36" s="854"/>
      <c r="AQ36" s="854"/>
      <c r="AR36" s="854"/>
      <c r="AS36" s="854"/>
      <c r="AT36" s="854"/>
      <c r="AU36" s="854"/>
      <c r="AV36" s="854"/>
      <c r="AW36" s="854"/>
      <c r="AX36" s="854"/>
      <c r="AY36" s="854"/>
      <c r="AZ36" s="854"/>
      <c r="BA36" s="854"/>
      <c r="BB36" s="854"/>
      <c r="BC36" s="854"/>
      <c r="BD36" s="854"/>
      <c r="BE36" s="854"/>
      <c r="BF36" s="854"/>
      <c r="BG36" s="854"/>
      <c r="BH36" s="854"/>
      <c r="BI36" s="854"/>
      <c r="BJ36" s="854"/>
      <c r="BK36" s="854"/>
      <c r="BL36" s="854"/>
      <c r="BM36" s="854"/>
      <c r="BN36" s="1158"/>
      <c r="BO36" s="1161" t="str">
        <f ca="1">IF(IFERROR(INDEX(ФОТ!$K$26:$L$138,MATCH($F36&amp;"1komm",ФОТ!$K$26:$K$138,0),2),"")=0,"",IFERROR(INDEX(ФОТ!$K$26:$L$138,MATCH($F36&amp;"1komm",ФОТ!$K$26:$K$138,0),2),""))</f>
        <v/>
      </c>
      <c r="BP36" s="1158"/>
      <c r="BS36" s="971" t="s">
        <v>1717</v>
      </c>
    </row>
    <row r="37" spans="2:75" ht="21.95" hidden="1" customHeight="1" x14ac:dyDescent="0.25">
      <c r="E37" s="626">
        <v>22.5</v>
      </c>
      <c r="F37" s="3" cm="1">
        <f t="array" aca="1" ref="F37" ca="1">OFFSET(E37,-1,1)</f>
        <v>0</v>
      </c>
      <c r="G37" s="265" t="s">
        <v>1116</v>
      </c>
      <c r="H37" s="294"/>
      <c r="I37" s="294" t="s">
        <v>1458</v>
      </c>
      <c r="K37" s="294" t="s">
        <v>1458</v>
      </c>
      <c r="L37" s="889" t="s">
        <v>1329</v>
      </c>
      <c r="M37" s="26"/>
      <c r="Q37" s="77" t="s">
        <v>2200</v>
      </c>
      <c r="R37" s="80" t="s">
        <v>2200</v>
      </c>
      <c r="T37" s="388" t="b" cm="1">
        <f t="array" ref="T37">T36</f>
        <v>0</v>
      </c>
      <c r="X37" s="2032"/>
      <c r="Z37" s="2012"/>
      <c r="AB37" s="217" t="s">
        <v>1902</v>
      </c>
      <c r="AC37" s="688" t="s">
        <v>1903</v>
      </c>
      <c r="AD37" s="686" t="s">
        <v>831</v>
      </c>
      <c r="AE37" s="1160">
        <f ca="1">AE36*SUMIFS(INDEX(Сценарии!$AE$25:$BF$109,,MATCH(AE$8,Сценарии!$AE$8:$BF$8,0)),Сценарии!$F$25:$F$109,$F37,Сценарии!$G$25:$G$109,"СВФОТ")/100</f>
        <v>0</v>
      </c>
      <c r="AF37" s="1160">
        <f ca="1">AF36*SUMIFS(INDEX(Сценарии!$AE$25:$BF$109,,MATCH(AF$8,Сценарии!$AE$8:$BF$8,0)),Сценарии!$F$25:$F$109,$F37,Сценарии!$G$25:$G$109,"СВФОТ")/100</f>
        <v>0</v>
      </c>
      <c r="AG37" s="1160">
        <f ca="1">AG36*SUMIFS(INDEX(Сценарии!$AE$25:$BF$109,,MATCH(AG$8,Сценарии!$AE$8:$BF$8,0)),Сценарии!$F$25:$F$109,$F37,Сценарии!$G$25:$G$109,"СВФОТ")/100</f>
        <v>0</v>
      </c>
      <c r="AH37" s="855">
        <f t="shared" ca="1" si="2"/>
        <v>0</v>
      </c>
      <c r="AI37" s="1563">
        <f ca="1">AI36*SUMIFS(INDEX(Сценарии!$AE$25:$BF$109,,MATCH(AG$8,Сценарии!$AE$8:$BF$8,0)),Сценарии!$F$25:$F$109,$F37,Сценарии!$G$25:$G$109,"СВФОТ")/100</f>
        <v>0</v>
      </c>
      <c r="AJ37" s="1560"/>
      <c r="AK37" s="854"/>
      <c r="AL37" s="854"/>
      <c r="AM37" s="854"/>
      <c r="AN37" s="854"/>
      <c r="AO37" s="854"/>
      <c r="AP37" s="854"/>
      <c r="AQ37" s="854"/>
      <c r="AR37" s="854"/>
      <c r="AS37" s="854"/>
      <c r="AT37" s="854"/>
      <c r="AU37" s="854"/>
      <c r="AV37" s="854"/>
      <c r="AW37" s="854"/>
      <c r="AX37" s="854"/>
      <c r="AY37" s="854"/>
      <c r="AZ37" s="854"/>
      <c r="BA37" s="854"/>
      <c r="BB37" s="854"/>
      <c r="BC37" s="854"/>
      <c r="BD37" s="854"/>
      <c r="BE37" s="854"/>
      <c r="BF37" s="854"/>
      <c r="BG37" s="854"/>
      <c r="BH37" s="854"/>
      <c r="BI37" s="854"/>
      <c r="BJ37" s="854"/>
      <c r="BK37" s="854"/>
      <c r="BL37" s="854"/>
      <c r="BM37" s="854"/>
      <c r="BN37" s="1158"/>
      <c r="BO37" s="1161" t="str">
        <f ca="1">IF(IFERROR(INDEX(ФОТ!$K$26:$L$138,MATCH($F37&amp;"2komm",ФОТ!$K$26:$K$138,0),2),"")=0,"",IFERROR(INDEX(ФОТ!$K$26:$L$138,MATCH($F37&amp;"2komm",ФОТ!$K$26:$K$138,0),2),""))</f>
        <v/>
      </c>
      <c r="BP37" s="1158"/>
      <c r="BS37" s="971" t="s">
        <v>1719</v>
      </c>
    </row>
    <row r="38" spans="2:75" ht="14.65" hidden="1" customHeight="1" x14ac:dyDescent="0.25">
      <c r="E38" s="626">
        <v>15</v>
      </c>
      <c r="F38" s="3" cm="1">
        <f t="array" aca="1" ref="F38" ca="1">OFFSET(E38,-1,1)</f>
        <v>0</v>
      </c>
      <c r="H38" s="294"/>
      <c r="I38" s="294" t="s">
        <v>1469</v>
      </c>
      <c r="K38" s="294" t="s">
        <v>1469</v>
      </c>
      <c r="L38" s="889" t="s">
        <v>1721</v>
      </c>
      <c r="M38" s="26"/>
      <c r="Q38" s="77" t="s">
        <v>2200</v>
      </c>
      <c r="R38" s="80" t="s">
        <v>2200</v>
      </c>
      <c r="T38" s="388" t="b" cm="1">
        <f t="array" ref="T38">T37</f>
        <v>0</v>
      </c>
      <c r="X38" s="2032"/>
      <c r="Z38" s="2012"/>
      <c r="AB38" s="217" t="s">
        <v>1695</v>
      </c>
      <c r="AC38" s="685" t="s">
        <v>1904</v>
      </c>
      <c r="AD38" s="686" t="s">
        <v>831</v>
      </c>
      <c r="AE38" s="1160"/>
      <c r="AF38" s="1160"/>
      <c r="AG38" s="1160"/>
      <c r="AH38" s="855">
        <f t="shared" si="2"/>
        <v>0</v>
      </c>
      <c r="AI38" s="1563"/>
      <c r="AJ38" s="1560"/>
      <c r="AK38" s="854"/>
      <c r="AL38" s="854"/>
      <c r="AM38" s="854"/>
      <c r="AN38" s="854"/>
      <c r="AO38" s="854"/>
      <c r="AP38" s="854"/>
      <c r="AQ38" s="854"/>
      <c r="AR38" s="854"/>
      <c r="AS38" s="854"/>
      <c r="AT38" s="854"/>
      <c r="AU38" s="854"/>
      <c r="AV38" s="854"/>
      <c r="AW38" s="854"/>
      <c r="AX38" s="854"/>
      <c r="AY38" s="854"/>
      <c r="AZ38" s="854"/>
      <c r="BA38" s="854"/>
      <c r="BB38" s="854"/>
      <c r="BC38" s="854"/>
      <c r="BD38" s="854"/>
      <c r="BE38" s="854"/>
      <c r="BF38" s="854"/>
      <c r="BG38" s="854"/>
      <c r="BH38" s="854"/>
      <c r="BI38" s="854"/>
      <c r="BJ38" s="854"/>
      <c r="BK38" s="854"/>
      <c r="BL38" s="854"/>
      <c r="BM38" s="854"/>
      <c r="BN38" s="1158"/>
      <c r="BO38" s="1158"/>
      <c r="BP38" s="1158"/>
      <c r="BS38" s="972" t="s">
        <v>1724</v>
      </c>
    </row>
    <row r="39" spans="2:75" ht="14.65" hidden="1" customHeight="1" x14ac:dyDescent="0.25">
      <c r="E39" s="626">
        <v>15</v>
      </c>
      <c r="F39" s="3" cm="1">
        <f t="array" aca="1" ref="F39" ca="1">OFFSET(E39,-1,1)</f>
        <v>0</v>
      </c>
      <c r="H39" s="294"/>
      <c r="I39" s="294" t="s">
        <v>1473</v>
      </c>
      <c r="K39" s="294" t="s">
        <v>1473</v>
      </c>
      <c r="L39" s="889" t="s">
        <v>1725</v>
      </c>
      <c r="Q39" s="77" t="s">
        <v>2200</v>
      </c>
      <c r="R39" s="80" t="s">
        <v>2200</v>
      </c>
      <c r="T39" s="388" t="b" cm="1">
        <f t="array" ref="T39">T38</f>
        <v>0</v>
      </c>
      <c r="X39" s="2032"/>
      <c r="Z39" s="2012"/>
      <c r="AB39" s="217" t="s">
        <v>1697</v>
      </c>
      <c r="AC39" s="685" t="s">
        <v>1905</v>
      </c>
      <c r="AD39" s="218" t="s">
        <v>831</v>
      </c>
      <c r="AE39" s="856">
        <f>SUM(AE40:AE46)</f>
        <v>0</v>
      </c>
      <c r="AF39" s="856">
        <f>SUM(AF40:AF46)</f>
        <v>0</v>
      </c>
      <c r="AG39" s="856">
        <f>SUM(AG40:AG46)</f>
        <v>0</v>
      </c>
      <c r="AH39" s="855">
        <f t="shared" si="2"/>
        <v>0</v>
      </c>
      <c r="AI39" s="1564">
        <f>SUM(AI40:AI46)</f>
        <v>0</v>
      </c>
      <c r="AJ39" s="1560"/>
      <c r="AK39" s="854"/>
      <c r="AL39" s="854"/>
      <c r="AM39" s="854"/>
      <c r="AN39" s="854"/>
      <c r="AO39" s="854"/>
      <c r="AP39" s="854"/>
      <c r="AQ39" s="854"/>
      <c r="AR39" s="854"/>
      <c r="AS39" s="854"/>
      <c r="AT39" s="854"/>
      <c r="AU39" s="854"/>
      <c r="AV39" s="854"/>
      <c r="AW39" s="854"/>
      <c r="AX39" s="854"/>
      <c r="AY39" s="854"/>
      <c r="AZ39" s="854"/>
      <c r="BA39" s="854"/>
      <c r="BB39" s="854"/>
      <c r="BC39" s="854"/>
      <c r="BD39" s="854"/>
      <c r="BE39" s="854"/>
      <c r="BF39" s="854"/>
      <c r="BG39" s="854"/>
      <c r="BH39" s="854"/>
      <c r="BI39" s="854"/>
      <c r="BJ39" s="854"/>
      <c r="BK39" s="854"/>
      <c r="BL39" s="854"/>
      <c r="BM39" s="854"/>
      <c r="BN39" s="1158"/>
      <c r="BO39" s="1158"/>
      <c r="BP39" s="1158"/>
      <c r="BS39" s="972" t="s">
        <v>1906</v>
      </c>
    </row>
    <row r="40" spans="2:75" ht="14.65" hidden="1" customHeight="1" x14ac:dyDescent="0.25">
      <c r="E40" s="626">
        <v>15</v>
      </c>
      <c r="F40" s="3" cm="1">
        <f t="array" aca="1" ref="F40" ca="1">OFFSET(E40,-1,1)</f>
        <v>0</v>
      </c>
      <c r="H40" s="294"/>
      <c r="I40" s="294" t="s">
        <v>1907</v>
      </c>
      <c r="K40" s="294" t="s">
        <v>1907</v>
      </c>
      <c r="L40" s="889" t="s">
        <v>1725</v>
      </c>
      <c r="M40" s="26" t="s">
        <v>1733</v>
      </c>
      <c r="Q40" s="77" t="s">
        <v>2200</v>
      </c>
      <c r="R40" s="80" t="s">
        <v>2200</v>
      </c>
      <c r="T40" s="388" t="b" cm="1">
        <f t="array" ref="T40">T39</f>
        <v>0</v>
      </c>
      <c r="X40" s="2032"/>
      <c r="Z40" s="2012"/>
      <c r="AB40" s="217" t="s">
        <v>1908</v>
      </c>
      <c r="AC40" s="688" t="s">
        <v>1909</v>
      </c>
      <c r="AD40" s="218" t="s">
        <v>831</v>
      </c>
      <c r="AE40" s="1160"/>
      <c r="AF40" s="1160"/>
      <c r="AG40" s="1160"/>
      <c r="AH40" s="855">
        <f t="shared" si="2"/>
        <v>0</v>
      </c>
      <c r="AI40" s="1563"/>
      <c r="AJ40" s="1560"/>
      <c r="AK40" s="854"/>
      <c r="AL40" s="854"/>
      <c r="AM40" s="854"/>
      <c r="AN40" s="854"/>
      <c r="AO40" s="854"/>
      <c r="AP40" s="854"/>
      <c r="AQ40" s="854"/>
      <c r="AR40" s="854"/>
      <c r="AS40" s="854"/>
      <c r="AT40" s="854"/>
      <c r="AU40" s="854"/>
      <c r="AV40" s="854"/>
      <c r="AW40" s="854"/>
      <c r="AX40" s="854"/>
      <c r="AY40" s="854"/>
      <c r="AZ40" s="854"/>
      <c r="BA40" s="854"/>
      <c r="BB40" s="854"/>
      <c r="BC40" s="854"/>
      <c r="BD40" s="854"/>
      <c r="BE40" s="854"/>
      <c r="BF40" s="854"/>
      <c r="BG40" s="854"/>
      <c r="BH40" s="854"/>
      <c r="BI40" s="854"/>
      <c r="BJ40" s="854"/>
      <c r="BK40" s="854"/>
      <c r="BL40" s="854"/>
      <c r="BM40" s="854"/>
      <c r="BN40" s="1158"/>
      <c r="BO40" s="1158"/>
      <c r="BP40" s="1158"/>
      <c r="BS40" s="971" t="s">
        <v>1736</v>
      </c>
    </row>
    <row r="41" spans="2:75" ht="21.95" hidden="1" customHeight="1" x14ac:dyDescent="0.15">
      <c r="E41" s="626">
        <v>22.5</v>
      </c>
      <c r="F41" s="3" cm="1">
        <f t="array" aca="1" ref="F41" ca="1">OFFSET(E41,-1,1)</f>
        <v>0</v>
      </c>
      <c r="H41" s="294"/>
      <c r="I41" s="294" t="s">
        <v>1910</v>
      </c>
      <c r="K41" s="294" t="s">
        <v>1910</v>
      </c>
      <c r="L41" s="889" t="s">
        <v>1725</v>
      </c>
      <c r="M41" s="26" t="s">
        <v>1729</v>
      </c>
      <c r="Q41" s="77" t="s">
        <v>2200</v>
      </c>
      <c r="R41" s="80" t="s">
        <v>2200</v>
      </c>
      <c r="T41" s="388" t="b" cm="1">
        <f t="array" ref="T41">T40</f>
        <v>0</v>
      </c>
      <c r="X41" s="2032"/>
      <c r="Z41" s="2012"/>
      <c r="AB41" s="217" t="s">
        <v>1911</v>
      </c>
      <c r="AC41" s="688" t="s">
        <v>1912</v>
      </c>
      <c r="AD41" s="218" t="s">
        <v>831</v>
      </c>
      <c r="AE41" s="1160"/>
      <c r="AF41" s="1160"/>
      <c r="AG41" s="1160"/>
      <c r="AH41" s="855">
        <f t="shared" si="2"/>
        <v>0</v>
      </c>
      <c r="AI41" s="1563"/>
      <c r="AJ41" s="1560"/>
      <c r="AK41" s="854"/>
      <c r="AL41" s="854"/>
      <c r="AM41" s="854"/>
      <c r="AN41" s="854"/>
      <c r="AO41" s="854"/>
      <c r="AP41" s="854"/>
      <c r="AQ41" s="854"/>
      <c r="AR41" s="854"/>
      <c r="AS41" s="854"/>
      <c r="AT41" s="854"/>
      <c r="AU41" s="854"/>
      <c r="AV41" s="854"/>
      <c r="AW41" s="854"/>
      <c r="AX41" s="854"/>
      <c r="AY41" s="854"/>
      <c r="AZ41" s="854"/>
      <c r="BA41" s="854"/>
      <c r="BB41" s="854"/>
      <c r="BC41" s="854"/>
      <c r="BD41" s="854"/>
      <c r="BE41" s="854"/>
      <c r="BF41" s="854"/>
      <c r="BG41" s="854"/>
      <c r="BH41" s="854"/>
      <c r="BI41" s="854"/>
      <c r="BJ41" s="854"/>
      <c r="BK41" s="854"/>
      <c r="BL41" s="854"/>
      <c r="BM41" s="854"/>
      <c r="BN41" s="1158"/>
      <c r="BO41" s="1158"/>
      <c r="BP41" s="1158"/>
      <c r="BS41" s="973" t="s">
        <v>1913</v>
      </c>
    </row>
    <row r="42" spans="2:75" ht="21.95" hidden="1" customHeight="1" x14ac:dyDescent="0.15">
      <c r="E42" s="626">
        <v>22.5</v>
      </c>
      <c r="F42" s="3" cm="1">
        <f t="array" aca="1" ref="F42" ca="1">OFFSET(E42,-1,1)</f>
        <v>0</v>
      </c>
      <c r="H42" s="294"/>
      <c r="I42" s="294" t="s">
        <v>1914</v>
      </c>
      <c r="K42" s="294" t="s">
        <v>1914</v>
      </c>
      <c r="Q42" s="77" t="s">
        <v>2200</v>
      </c>
      <c r="R42" s="80" t="s">
        <v>2200</v>
      </c>
      <c r="T42" s="388" t="b" cm="1">
        <f t="array" ref="T42">T41</f>
        <v>0</v>
      </c>
      <c r="X42" s="2032"/>
      <c r="Z42" s="2012"/>
      <c r="AB42" s="217" t="s">
        <v>1915</v>
      </c>
      <c r="AC42" s="689" t="s">
        <v>1916</v>
      </c>
      <c r="AD42" s="218" t="s">
        <v>831</v>
      </c>
      <c r="AE42" s="1160"/>
      <c r="AF42" s="1160"/>
      <c r="AG42" s="1160"/>
      <c r="AH42" s="855">
        <f t="shared" si="2"/>
        <v>0</v>
      </c>
      <c r="AI42" s="1563"/>
      <c r="AJ42" s="1560"/>
      <c r="AK42" s="854"/>
      <c r="AL42" s="854"/>
      <c r="AM42" s="854"/>
      <c r="AN42" s="854"/>
      <c r="AO42" s="854"/>
      <c r="AP42" s="854"/>
      <c r="AQ42" s="854"/>
      <c r="AR42" s="854"/>
      <c r="AS42" s="854"/>
      <c r="AT42" s="854"/>
      <c r="AU42" s="854"/>
      <c r="AV42" s="854"/>
      <c r="AW42" s="854"/>
      <c r="AX42" s="854"/>
      <c r="AY42" s="854"/>
      <c r="AZ42" s="854"/>
      <c r="BA42" s="854"/>
      <c r="BB42" s="854"/>
      <c r="BC42" s="854"/>
      <c r="BD42" s="854"/>
      <c r="BE42" s="854"/>
      <c r="BF42" s="854"/>
      <c r="BG42" s="854"/>
      <c r="BH42" s="854"/>
      <c r="BI42" s="854"/>
      <c r="BJ42" s="854"/>
      <c r="BK42" s="854"/>
      <c r="BL42" s="854"/>
      <c r="BM42" s="854"/>
      <c r="BN42" s="1158"/>
      <c r="BO42" s="1158"/>
      <c r="BP42" s="1158"/>
      <c r="BS42" s="973" t="s">
        <v>1917</v>
      </c>
    </row>
    <row r="43" spans="2:75" ht="21.95" hidden="1" customHeight="1" x14ac:dyDescent="0.15">
      <c r="E43" s="626">
        <v>22.5</v>
      </c>
      <c r="F43" s="3" cm="1">
        <f t="array" aca="1" ref="F43" ca="1">OFFSET(E43,-1,1)</f>
        <v>0</v>
      </c>
      <c r="H43" s="294"/>
      <c r="I43" s="294" t="s">
        <v>1918</v>
      </c>
      <c r="K43" s="294" t="s">
        <v>1918</v>
      </c>
      <c r="L43" s="889"/>
      <c r="Q43" s="77" t="s">
        <v>2200</v>
      </c>
      <c r="R43" s="80" t="s">
        <v>2200</v>
      </c>
      <c r="T43" s="388" t="b" cm="1">
        <f t="array" ref="T43">T42</f>
        <v>0</v>
      </c>
      <c r="X43" s="2032"/>
      <c r="Z43" s="2012"/>
      <c r="AB43" s="217" t="s">
        <v>1919</v>
      </c>
      <c r="AC43" s="689" t="s">
        <v>1920</v>
      </c>
      <c r="AD43" s="218" t="s">
        <v>831</v>
      </c>
      <c r="AE43" s="1160"/>
      <c r="AF43" s="1160"/>
      <c r="AG43" s="1160"/>
      <c r="AH43" s="855">
        <f t="shared" si="2"/>
        <v>0</v>
      </c>
      <c r="AI43" s="1563"/>
      <c r="AJ43" s="1560"/>
      <c r="AK43" s="854"/>
      <c r="AL43" s="854"/>
      <c r="AM43" s="854"/>
      <c r="AN43" s="854"/>
      <c r="AO43" s="854"/>
      <c r="AP43" s="854"/>
      <c r="AQ43" s="854"/>
      <c r="AR43" s="854"/>
      <c r="AS43" s="854"/>
      <c r="AT43" s="854"/>
      <c r="AU43" s="854"/>
      <c r="AV43" s="854"/>
      <c r="AW43" s="854"/>
      <c r="AX43" s="854"/>
      <c r="AY43" s="854"/>
      <c r="AZ43" s="854"/>
      <c r="BA43" s="854"/>
      <c r="BB43" s="854"/>
      <c r="BC43" s="854"/>
      <c r="BD43" s="854"/>
      <c r="BE43" s="854"/>
      <c r="BF43" s="854"/>
      <c r="BG43" s="854"/>
      <c r="BH43" s="854"/>
      <c r="BI43" s="854"/>
      <c r="BJ43" s="854"/>
      <c r="BK43" s="854"/>
      <c r="BL43" s="854"/>
      <c r="BM43" s="854"/>
      <c r="BN43" s="1158"/>
      <c r="BO43" s="1158"/>
      <c r="BP43" s="1158"/>
      <c r="BS43" s="973" t="s">
        <v>1921</v>
      </c>
    </row>
    <row r="44" spans="2:75" ht="43.9" hidden="1" customHeight="1" x14ac:dyDescent="0.15">
      <c r="E44" s="626">
        <v>45</v>
      </c>
      <c r="F44" s="3" cm="1">
        <f t="array" aca="1" ref="F44" ca="1">OFFSET(E44,-1,1)</f>
        <v>0</v>
      </c>
      <c r="H44" s="294"/>
      <c r="I44" s="294" t="s">
        <v>1922</v>
      </c>
      <c r="K44" s="294" t="s">
        <v>1922</v>
      </c>
      <c r="L44" s="889" t="s">
        <v>1725</v>
      </c>
      <c r="M44" s="26" t="s">
        <v>1737</v>
      </c>
      <c r="Q44" s="77" t="s">
        <v>2200</v>
      </c>
      <c r="R44" s="80" t="s">
        <v>2200</v>
      </c>
      <c r="T44" s="388" t="b" cm="1">
        <f t="array" ref="T44">T43</f>
        <v>0</v>
      </c>
      <c r="X44" s="2032"/>
      <c r="Z44" s="2012"/>
      <c r="AB44" s="217" t="s">
        <v>1923</v>
      </c>
      <c r="AC44" s="688" t="s">
        <v>1924</v>
      </c>
      <c r="AD44" s="218" t="s">
        <v>831</v>
      </c>
      <c r="AE44" s="1160"/>
      <c r="AF44" s="1160"/>
      <c r="AG44" s="1160"/>
      <c r="AH44" s="855">
        <f t="shared" si="2"/>
        <v>0</v>
      </c>
      <c r="AI44" s="1563"/>
      <c r="AJ44" s="1560"/>
      <c r="AK44" s="854"/>
      <c r="AL44" s="854"/>
      <c r="AM44" s="854"/>
      <c r="AN44" s="854"/>
      <c r="AO44" s="854"/>
      <c r="AP44" s="854"/>
      <c r="AQ44" s="854"/>
      <c r="AR44" s="854"/>
      <c r="AS44" s="854"/>
      <c r="AT44" s="854"/>
      <c r="AU44" s="854"/>
      <c r="AV44" s="854"/>
      <c r="AW44" s="854"/>
      <c r="AX44" s="854"/>
      <c r="AY44" s="854"/>
      <c r="AZ44" s="854"/>
      <c r="BA44" s="854"/>
      <c r="BB44" s="854"/>
      <c r="BC44" s="854"/>
      <c r="BD44" s="854"/>
      <c r="BE44" s="854"/>
      <c r="BF44" s="854"/>
      <c r="BG44" s="854"/>
      <c r="BH44" s="854"/>
      <c r="BI44" s="854"/>
      <c r="BJ44" s="854"/>
      <c r="BK44" s="854"/>
      <c r="BL44" s="854"/>
      <c r="BM44" s="854"/>
      <c r="BN44" s="1158"/>
      <c r="BO44" s="1158"/>
      <c r="BP44" s="1158"/>
      <c r="BS44" s="973" t="s">
        <v>1740</v>
      </c>
    </row>
    <row r="45" spans="2:75" ht="14.65" hidden="1" customHeight="1" x14ac:dyDescent="0.15">
      <c r="E45" s="626">
        <v>15</v>
      </c>
      <c r="F45" s="3" cm="1">
        <f t="array" aca="1" ref="F45" ca="1">OFFSET(E45,-1,1)</f>
        <v>0</v>
      </c>
      <c r="H45" s="294"/>
      <c r="I45" s="294" t="s">
        <v>1925</v>
      </c>
      <c r="K45" s="294" t="s">
        <v>1925</v>
      </c>
      <c r="L45" s="889" t="s">
        <v>1725</v>
      </c>
      <c r="M45" s="26" t="s">
        <v>1741</v>
      </c>
      <c r="Q45" s="77" t="s">
        <v>2200</v>
      </c>
      <c r="R45" s="80" t="s">
        <v>2200</v>
      </c>
      <c r="T45" s="388" t="b" cm="1">
        <f t="array" ref="T45">T44</f>
        <v>0</v>
      </c>
      <c r="X45" s="2032"/>
      <c r="Z45" s="2012"/>
      <c r="AB45" s="217" t="s">
        <v>1926</v>
      </c>
      <c r="AC45" s="688" t="s">
        <v>1743</v>
      </c>
      <c r="AD45" s="218" t="s">
        <v>831</v>
      </c>
      <c r="AE45" s="1160"/>
      <c r="AF45" s="1160"/>
      <c r="AG45" s="1160"/>
      <c r="AH45" s="855">
        <f t="shared" si="2"/>
        <v>0</v>
      </c>
      <c r="AI45" s="1563"/>
      <c r="AJ45" s="1560"/>
      <c r="AK45" s="854"/>
      <c r="AL45" s="854"/>
      <c r="AM45" s="854"/>
      <c r="AN45" s="854"/>
      <c r="AO45" s="854"/>
      <c r="AP45" s="854"/>
      <c r="AQ45" s="854"/>
      <c r="AR45" s="854"/>
      <c r="AS45" s="854"/>
      <c r="AT45" s="854"/>
      <c r="AU45" s="854"/>
      <c r="AV45" s="854"/>
      <c r="AW45" s="854"/>
      <c r="AX45" s="854"/>
      <c r="AY45" s="854"/>
      <c r="AZ45" s="854"/>
      <c r="BA45" s="854"/>
      <c r="BB45" s="854"/>
      <c r="BC45" s="854"/>
      <c r="BD45" s="854"/>
      <c r="BE45" s="854"/>
      <c r="BF45" s="854"/>
      <c r="BG45" s="854"/>
      <c r="BH45" s="854"/>
      <c r="BI45" s="854"/>
      <c r="BJ45" s="854"/>
      <c r="BK45" s="854"/>
      <c r="BL45" s="854"/>
      <c r="BM45" s="854"/>
      <c r="BN45" s="1158"/>
      <c r="BO45" s="1158"/>
      <c r="BP45" s="1158"/>
      <c r="BS45" s="973" t="s">
        <v>1744</v>
      </c>
    </row>
    <row r="46" spans="2:75" ht="14.65" hidden="1" customHeight="1" x14ac:dyDescent="0.15">
      <c r="E46" s="626">
        <v>15</v>
      </c>
      <c r="F46" s="3" cm="1">
        <f t="array" aca="1" ref="F46" ca="1">OFFSET(E46,-1,1)</f>
        <v>0</v>
      </c>
      <c r="H46" s="294"/>
      <c r="I46" s="294" t="s">
        <v>1927</v>
      </c>
      <c r="K46" s="294" t="s">
        <v>1927</v>
      </c>
      <c r="L46" s="889"/>
      <c r="M46" s="26"/>
      <c r="Q46" s="77" t="s">
        <v>2200</v>
      </c>
      <c r="R46" s="80" t="s">
        <v>2200</v>
      </c>
      <c r="T46" s="388" t="b" cm="1">
        <f t="array" ref="T46">T45</f>
        <v>0</v>
      </c>
      <c r="X46" s="2032"/>
      <c r="Z46" s="2012"/>
      <c r="AB46" s="217" t="s">
        <v>1928</v>
      </c>
      <c r="AC46" s="688" t="s">
        <v>1929</v>
      </c>
      <c r="AD46" s="218" t="s">
        <v>831</v>
      </c>
      <c r="AE46" s="1160"/>
      <c r="AF46" s="1160"/>
      <c r="AG46" s="1160"/>
      <c r="AH46" s="855">
        <f t="shared" si="2"/>
        <v>0</v>
      </c>
      <c r="AI46" s="1563"/>
      <c r="AJ46" s="1264"/>
      <c r="AK46" s="854"/>
      <c r="AL46" s="854"/>
      <c r="AM46" s="854"/>
      <c r="AN46" s="854"/>
      <c r="AO46" s="854"/>
      <c r="AP46" s="854"/>
      <c r="AQ46" s="854"/>
      <c r="AR46" s="854"/>
      <c r="AS46" s="854"/>
      <c r="AT46" s="854"/>
      <c r="AU46" s="854"/>
      <c r="AV46" s="854"/>
      <c r="AW46" s="854"/>
      <c r="AX46" s="854"/>
      <c r="AY46" s="854"/>
      <c r="AZ46" s="854"/>
      <c r="BA46" s="854"/>
      <c r="BB46" s="854"/>
      <c r="BC46" s="854"/>
      <c r="BD46" s="854"/>
      <c r="BE46" s="854"/>
      <c r="BF46" s="854"/>
      <c r="BG46" s="854"/>
      <c r="BH46" s="854"/>
      <c r="BI46" s="854"/>
      <c r="BJ46" s="854"/>
      <c r="BK46" s="854"/>
      <c r="BL46" s="854"/>
      <c r="BM46" s="854"/>
      <c r="BN46" s="1158"/>
      <c r="BO46" s="1158"/>
      <c r="BP46" s="1158"/>
      <c r="BS46" s="973" t="s">
        <v>1728</v>
      </c>
    </row>
    <row r="47" spans="2:75" s="623" customFormat="1" ht="20.45" hidden="1" customHeight="1" x14ac:dyDescent="0.25">
      <c r="B47" s="357"/>
      <c r="E47" s="630">
        <v>21</v>
      </c>
      <c r="F47" s="3" cm="1">
        <f t="array" aca="1" ref="F47" ca="1">OFFSET(E47,-1,1)</f>
        <v>0</v>
      </c>
      <c r="H47" s="294"/>
      <c r="I47" s="294" t="s">
        <v>501</v>
      </c>
      <c r="K47" s="294" t="s">
        <v>501</v>
      </c>
      <c r="L47" s="894"/>
      <c r="M47" s="28"/>
      <c r="Q47" s="77" t="s">
        <v>2200</v>
      </c>
      <c r="R47" s="80" t="s">
        <v>2200</v>
      </c>
      <c r="T47" s="388" t="b" cm="1">
        <f t="array" ref="T47">T46</f>
        <v>0</v>
      </c>
      <c r="X47" s="2032"/>
      <c r="Z47" s="2012"/>
      <c r="AB47" s="137" t="s">
        <v>916</v>
      </c>
      <c r="AC47" s="277" t="s">
        <v>1748</v>
      </c>
      <c r="AD47" s="130" t="s">
        <v>831</v>
      </c>
      <c r="AE47" s="690">
        <f>AE48+AE49+AE50</f>
        <v>0</v>
      </c>
      <c r="AF47" s="690">
        <f>AF48+AF49+AF50</f>
        <v>0</v>
      </c>
      <c r="AG47" s="690">
        <f>AG48+AG49+AG50</f>
        <v>0</v>
      </c>
      <c r="AH47" s="681">
        <f t="shared" si="2"/>
        <v>0</v>
      </c>
      <c r="AI47" s="1565">
        <f>AI48+AI49+AI50</f>
        <v>0</v>
      </c>
      <c r="AJ47" s="1560"/>
      <c r="AK47" s="684"/>
      <c r="AL47" s="684"/>
      <c r="AM47" s="684"/>
      <c r="AN47" s="684"/>
      <c r="AO47" s="684"/>
      <c r="AP47" s="684"/>
      <c r="AQ47" s="684"/>
      <c r="AR47" s="684"/>
      <c r="AS47" s="684"/>
      <c r="AT47" s="684"/>
      <c r="AU47" s="684"/>
      <c r="AV47" s="684"/>
      <c r="AW47" s="684"/>
      <c r="AX47" s="684"/>
      <c r="AY47" s="684"/>
      <c r="AZ47" s="684"/>
      <c r="BA47" s="684"/>
      <c r="BB47" s="684"/>
      <c r="BC47" s="684"/>
      <c r="BD47" s="684"/>
      <c r="BE47" s="684"/>
      <c r="BF47" s="684"/>
      <c r="BG47" s="684"/>
      <c r="BH47" s="684"/>
      <c r="BI47" s="684"/>
      <c r="BJ47" s="684"/>
      <c r="BK47" s="684"/>
      <c r="BL47" s="684"/>
      <c r="BM47" s="684"/>
      <c r="BN47" s="1154"/>
      <c r="BO47" s="1154"/>
      <c r="BP47" s="1154"/>
      <c r="BS47" s="972" t="s">
        <v>1749</v>
      </c>
      <c r="BT47" s="979"/>
      <c r="BU47" s="979"/>
      <c r="BV47" s="630"/>
      <c r="BW47" s="630"/>
    </row>
    <row r="48" spans="2:75" ht="21.95" hidden="1" customHeight="1" x14ac:dyDescent="0.25">
      <c r="E48" s="626">
        <v>22.5</v>
      </c>
      <c r="F48" s="3" cm="1">
        <f t="array" aca="1" ref="F48" ca="1">OFFSET(E48,-1,1)</f>
        <v>0</v>
      </c>
      <c r="H48" s="294"/>
      <c r="I48" s="294" t="s">
        <v>1314</v>
      </c>
      <c r="K48" s="294" t="s">
        <v>1314</v>
      </c>
      <c r="L48" s="889"/>
      <c r="M48" s="26"/>
      <c r="Q48" s="77" t="s">
        <v>2200</v>
      </c>
      <c r="R48" s="80" t="s">
        <v>2200</v>
      </c>
      <c r="T48" s="388" t="b" cm="1">
        <f t="array" ref="T48">T47</f>
        <v>0</v>
      </c>
      <c r="X48" s="2032"/>
      <c r="Z48" s="2012"/>
      <c r="AB48" s="217" t="s">
        <v>1315</v>
      </c>
      <c r="AC48" s="685" t="s">
        <v>1930</v>
      </c>
      <c r="AD48" s="218" t="s">
        <v>831</v>
      </c>
      <c r="AE48" s="1160"/>
      <c r="AF48" s="1160"/>
      <c r="AG48" s="1160"/>
      <c r="AH48" s="855">
        <f t="shared" si="2"/>
        <v>0</v>
      </c>
      <c r="AI48" s="1563"/>
      <c r="AJ48" s="1560"/>
      <c r="AK48" s="854"/>
      <c r="AL48" s="854"/>
      <c r="AM48" s="854"/>
      <c r="AN48" s="854"/>
      <c r="AO48" s="854"/>
      <c r="AP48" s="854"/>
      <c r="AQ48" s="854"/>
      <c r="AR48" s="854"/>
      <c r="AS48" s="854"/>
      <c r="AT48" s="854"/>
      <c r="AU48" s="854"/>
      <c r="AV48" s="854"/>
      <c r="AW48" s="854"/>
      <c r="AX48" s="854"/>
      <c r="AY48" s="854"/>
      <c r="AZ48" s="854"/>
      <c r="BA48" s="854"/>
      <c r="BB48" s="854"/>
      <c r="BC48" s="854"/>
      <c r="BD48" s="854"/>
      <c r="BE48" s="854"/>
      <c r="BF48" s="854"/>
      <c r="BG48" s="854"/>
      <c r="BH48" s="854"/>
      <c r="BI48" s="854"/>
      <c r="BJ48" s="854"/>
      <c r="BK48" s="854"/>
      <c r="BL48" s="854"/>
      <c r="BM48" s="854"/>
      <c r="BN48" s="1158"/>
      <c r="BO48" s="1158"/>
      <c r="BP48" s="1158"/>
      <c r="BS48" s="971" t="s">
        <v>1751</v>
      </c>
    </row>
    <row r="49" spans="2:75" ht="21.95" hidden="1" customHeight="1" x14ac:dyDescent="0.15">
      <c r="E49" s="626">
        <v>22.5</v>
      </c>
      <c r="F49" s="3" cm="1">
        <f t="array" aca="1" ref="F49" ca="1">OFFSET(E49,-1,1)</f>
        <v>0</v>
      </c>
      <c r="H49" s="294"/>
      <c r="I49" s="294" t="s">
        <v>1318</v>
      </c>
      <c r="K49" s="294" t="s">
        <v>1318</v>
      </c>
      <c r="L49" s="889"/>
      <c r="M49" s="26"/>
      <c r="Q49" s="77" t="s">
        <v>2200</v>
      </c>
      <c r="R49" s="80" t="s">
        <v>2200</v>
      </c>
      <c r="T49" s="388" t="b" cm="1">
        <f t="array" ref="T49">T48</f>
        <v>0</v>
      </c>
      <c r="X49" s="2032"/>
      <c r="Z49" s="2012"/>
      <c r="AB49" s="217" t="s">
        <v>1319</v>
      </c>
      <c r="AC49" s="685" t="s">
        <v>1931</v>
      </c>
      <c r="AD49" s="218" t="s">
        <v>831</v>
      </c>
      <c r="AE49" s="1160"/>
      <c r="AF49" s="1160"/>
      <c r="AG49" s="1160"/>
      <c r="AH49" s="855">
        <f t="shared" si="2"/>
        <v>0</v>
      </c>
      <c r="AI49" s="1563"/>
      <c r="AJ49" s="1560"/>
      <c r="AK49" s="854"/>
      <c r="AL49" s="854"/>
      <c r="AM49" s="854"/>
      <c r="AN49" s="854"/>
      <c r="AO49" s="854"/>
      <c r="AP49" s="854"/>
      <c r="AQ49" s="854"/>
      <c r="AR49" s="854"/>
      <c r="AS49" s="854"/>
      <c r="AT49" s="854"/>
      <c r="AU49" s="854"/>
      <c r="AV49" s="854"/>
      <c r="AW49" s="854"/>
      <c r="AX49" s="854"/>
      <c r="AY49" s="854"/>
      <c r="AZ49" s="854"/>
      <c r="BA49" s="854"/>
      <c r="BB49" s="854"/>
      <c r="BC49" s="854"/>
      <c r="BD49" s="854"/>
      <c r="BE49" s="854"/>
      <c r="BF49" s="854"/>
      <c r="BG49" s="854"/>
      <c r="BH49" s="854"/>
      <c r="BI49" s="854"/>
      <c r="BJ49" s="854"/>
      <c r="BK49" s="854"/>
      <c r="BL49" s="854"/>
      <c r="BM49" s="854"/>
      <c r="BN49" s="1158"/>
      <c r="BO49" s="1158"/>
      <c r="BP49" s="1158"/>
      <c r="BS49" s="973" t="s">
        <v>1932</v>
      </c>
    </row>
    <row r="50" spans="2:75" ht="21.95" hidden="1" customHeight="1" x14ac:dyDescent="0.25">
      <c r="E50" s="626">
        <v>22.5</v>
      </c>
      <c r="F50" s="3" cm="1">
        <f t="array" aca="1" ref="F50" ca="1">OFFSET(E50,-1,1)</f>
        <v>0</v>
      </c>
      <c r="H50" s="294"/>
      <c r="I50" s="294" t="s">
        <v>1322</v>
      </c>
      <c r="K50" s="294" t="s">
        <v>1322</v>
      </c>
      <c r="L50" s="889" t="s">
        <v>515</v>
      </c>
      <c r="M50" s="26"/>
      <c r="Q50" s="77" t="s">
        <v>2200</v>
      </c>
      <c r="R50" s="80" t="s">
        <v>2200</v>
      </c>
      <c r="T50" s="388" t="b" cm="1">
        <f t="array" ref="T50">T49</f>
        <v>0</v>
      </c>
      <c r="X50" s="2032"/>
      <c r="Z50" s="2012"/>
      <c r="AB50" s="217" t="s">
        <v>1323</v>
      </c>
      <c r="AC50" s="685" t="s">
        <v>1933</v>
      </c>
      <c r="AD50" s="218" t="s">
        <v>831</v>
      </c>
      <c r="AE50" s="1160"/>
      <c r="AF50" s="1160"/>
      <c r="AG50" s="1160"/>
      <c r="AH50" s="855">
        <f t="shared" si="2"/>
        <v>0</v>
      </c>
      <c r="AI50" s="1563"/>
      <c r="AJ50" s="1560"/>
      <c r="AK50" s="854"/>
      <c r="AL50" s="854"/>
      <c r="AM50" s="854"/>
      <c r="AN50" s="854"/>
      <c r="AO50" s="854"/>
      <c r="AP50" s="854"/>
      <c r="AQ50" s="854"/>
      <c r="AR50" s="854"/>
      <c r="AS50" s="854"/>
      <c r="AT50" s="854"/>
      <c r="AU50" s="854"/>
      <c r="AV50" s="854"/>
      <c r="AW50" s="854"/>
      <c r="AX50" s="854"/>
      <c r="AY50" s="854"/>
      <c r="AZ50" s="854"/>
      <c r="BA50" s="854"/>
      <c r="BB50" s="854"/>
      <c r="BC50" s="854"/>
      <c r="BD50" s="854"/>
      <c r="BE50" s="854"/>
      <c r="BF50" s="854"/>
      <c r="BG50" s="854"/>
      <c r="BH50" s="854"/>
      <c r="BI50" s="854"/>
      <c r="BJ50" s="854"/>
      <c r="BK50" s="854"/>
      <c r="BL50" s="854"/>
      <c r="BM50" s="854"/>
      <c r="BN50" s="1158"/>
      <c r="BO50" s="1158"/>
      <c r="BP50" s="1158"/>
      <c r="BS50" s="971" t="s">
        <v>1753</v>
      </c>
    </row>
    <row r="51" spans="2:75" ht="14.65" hidden="1" customHeight="1" x14ac:dyDescent="0.25">
      <c r="E51" s="626">
        <v>15</v>
      </c>
      <c r="F51" s="3" cm="1">
        <f t="array" aca="1" ref="F51" ca="1">OFFSET(E51,-1,1)</f>
        <v>0</v>
      </c>
      <c r="G51" s="2" t="s">
        <v>1119</v>
      </c>
      <c r="H51" s="294"/>
      <c r="I51" s="294" t="s">
        <v>1934</v>
      </c>
      <c r="K51" s="294" t="s">
        <v>1934</v>
      </c>
      <c r="L51" s="889" t="s">
        <v>1754</v>
      </c>
      <c r="M51" s="26"/>
      <c r="Q51" s="77" t="s">
        <v>2200</v>
      </c>
      <c r="R51" s="80" t="s">
        <v>2200</v>
      </c>
      <c r="T51" s="388" t="b" cm="1">
        <f t="array" ref="T51">T50</f>
        <v>0</v>
      </c>
      <c r="X51" s="2032"/>
      <c r="Z51" s="2012"/>
      <c r="AB51" s="217" t="s">
        <v>1935</v>
      </c>
      <c r="AC51" s="688" t="s">
        <v>1755</v>
      </c>
      <c r="AD51" s="218" t="s">
        <v>831</v>
      </c>
      <c r="AE51" s="1160"/>
      <c r="AF51" s="1160"/>
      <c r="AG51" s="1160"/>
      <c r="AH51" s="855">
        <f t="shared" si="2"/>
        <v>0</v>
      </c>
      <c r="AI51" s="1563"/>
      <c r="AJ51" s="1560"/>
      <c r="AK51" s="854"/>
      <c r="AL51" s="854"/>
      <c r="AM51" s="854"/>
      <c r="AN51" s="854"/>
      <c r="AO51" s="854"/>
      <c r="AP51" s="854"/>
      <c r="AQ51" s="854"/>
      <c r="AR51" s="854"/>
      <c r="AS51" s="854"/>
      <c r="AT51" s="854"/>
      <c r="AU51" s="854"/>
      <c r="AV51" s="854"/>
      <c r="AW51" s="854"/>
      <c r="AX51" s="854"/>
      <c r="AY51" s="854"/>
      <c r="AZ51" s="854"/>
      <c r="BA51" s="854"/>
      <c r="BB51" s="854"/>
      <c r="BC51" s="854"/>
      <c r="BD51" s="854"/>
      <c r="BE51" s="854"/>
      <c r="BF51" s="854"/>
      <c r="BG51" s="854"/>
      <c r="BH51" s="854"/>
      <c r="BI51" s="854"/>
      <c r="BJ51" s="854"/>
      <c r="BK51" s="854"/>
      <c r="BL51" s="854"/>
      <c r="BM51" s="854"/>
      <c r="BN51" s="1158"/>
      <c r="BO51" s="1161" t="str">
        <f ca="1">IF(IFERROR(INDEX(ФОТ!$K$26:$L$138,MATCH($F51&amp;"3komm",ФОТ!$K$26:$K$138,0),2),"")=0,"",IFERROR(INDEX(ФОТ!$K$26:$L$138,MATCH($F51&amp;"3komm",ФОТ!$K$26:$K$138,0),2),""))</f>
        <v/>
      </c>
      <c r="BP51" s="1158"/>
      <c r="BS51" s="971" t="s">
        <v>1756</v>
      </c>
    </row>
    <row r="52" spans="2:75" ht="21.95" hidden="1" customHeight="1" x14ac:dyDescent="0.25">
      <c r="E52" s="626">
        <v>22.5</v>
      </c>
      <c r="F52" s="3" cm="1">
        <f t="array" aca="1" ref="F52" ca="1">OFFSET(E52,-1,1)</f>
        <v>0</v>
      </c>
      <c r="G52" s="2" t="s">
        <v>1124</v>
      </c>
      <c r="H52" s="294"/>
      <c r="I52" s="294" t="s">
        <v>1936</v>
      </c>
      <c r="K52" s="294" t="s">
        <v>1936</v>
      </c>
      <c r="L52" s="889" t="s">
        <v>1757</v>
      </c>
      <c r="M52" s="26"/>
      <c r="Q52" s="77" t="s">
        <v>2200</v>
      </c>
      <c r="R52" s="80" t="s">
        <v>2200</v>
      </c>
      <c r="T52" s="388" t="b" cm="1">
        <f t="array" ref="T52">T51</f>
        <v>0</v>
      </c>
      <c r="X52" s="2032"/>
      <c r="Z52" s="2012"/>
      <c r="AB52" s="217" t="s">
        <v>1937</v>
      </c>
      <c r="AC52" s="688" t="s">
        <v>1938</v>
      </c>
      <c r="AD52" s="218" t="s">
        <v>831</v>
      </c>
      <c r="AE52" s="1160">
        <f ca="1">AE51*SUMIFS(INDEX(Сценарии!$AE$25:$BF$109,,MATCH(AE$8,Сценарии!$AE$8:$BF$8,0)),Сценарии!$F$25:$F$109,$F52,Сценарии!$G$25:$G$109,"СВФОТ")/100</f>
        <v>0</v>
      </c>
      <c r="AF52" s="1160">
        <f ca="1">AF51*SUMIFS(INDEX(Сценарии!$AE$25:$BF$109,,MATCH(AF$8,Сценарии!$AE$8:$BF$8,0)),Сценарии!$F$25:$F$109,$F52,Сценарии!$G$25:$G$109,"СВФОТ")/100</f>
        <v>0</v>
      </c>
      <c r="AG52" s="1160">
        <f ca="1">AG51*SUMIFS(INDEX(Сценарии!$AE$25:$BF$109,,MATCH(AG$8,Сценарии!$AE$8:$BF$8,0)),Сценарии!$F$25:$F$109,$F52,Сценарии!$G$25:$G$109,"СВФОТ")/100</f>
        <v>0</v>
      </c>
      <c r="AH52" s="855">
        <f t="shared" ca="1" si="2"/>
        <v>0</v>
      </c>
      <c r="AI52" s="1563">
        <f ca="1">AI51*SUMIFS(INDEX(Сценарии!$AE$25:$BF$109,,MATCH(AG$8,Сценарии!$AE$8:$BF$8,0)),Сценарии!$F$25:$F$109,$F52,Сценарии!$G$25:$G$109,"СВФОТ")/100</f>
        <v>0</v>
      </c>
      <c r="AJ52" s="1560"/>
      <c r="AK52" s="854"/>
      <c r="AL52" s="854"/>
      <c r="AM52" s="854"/>
      <c r="AN52" s="854"/>
      <c r="AO52" s="854"/>
      <c r="AP52" s="854"/>
      <c r="AQ52" s="854"/>
      <c r="AR52" s="854"/>
      <c r="AS52" s="854"/>
      <c r="AT52" s="854"/>
      <c r="AU52" s="854"/>
      <c r="AV52" s="854"/>
      <c r="AW52" s="854"/>
      <c r="AX52" s="854"/>
      <c r="AY52" s="854"/>
      <c r="AZ52" s="854"/>
      <c r="BA52" s="854"/>
      <c r="BB52" s="854"/>
      <c r="BC52" s="854"/>
      <c r="BD52" s="854"/>
      <c r="BE52" s="854"/>
      <c r="BF52" s="854"/>
      <c r="BG52" s="854"/>
      <c r="BH52" s="854"/>
      <c r="BI52" s="854"/>
      <c r="BJ52" s="854"/>
      <c r="BK52" s="854"/>
      <c r="BL52" s="854"/>
      <c r="BM52" s="854"/>
      <c r="BN52" s="1158"/>
      <c r="BO52" s="1161" t="str">
        <f ca="1">IF(IFERROR(INDEX(ФОТ!$K$26:$L$138,MATCH($F52&amp;"4komm",ФОТ!$K$26:$K$138,0),2),"")=0,"",IFERROR(INDEX(ФОТ!$K$26:$L$138,MATCH($F52&amp;"4komm",ФОТ!$K$26:$K$138,0),2),""))</f>
        <v/>
      </c>
      <c r="BP52" s="1158"/>
      <c r="BS52" s="971" t="s">
        <v>1759</v>
      </c>
    </row>
    <row r="53" spans="2:75" s="623" customFormat="1" ht="20.45" hidden="1" customHeight="1" x14ac:dyDescent="0.25">
      <c r="B53" s="357"/>
      <c r="E53" s="630">
        <v>21</v>
      </c>
      <c r="F53" s="3" cm="1">
        <f t="array" aca="1" ref="F53" ca="1">OFFSET(E53,-1,1)</f>
        <v>0</v>
      </c>
      <c r="H53" s="294"/>
      <c r="I53" s="294" t="s">
        <v>505</v>
      </c>
      <c r="K53" s="294" t="s">
        <v>505</v>
      </c>
      <c r="L53" s="894" t="s">
        <v>333</v>
      </c>
      <c r="M53" s="28"/>
      <c r="Q53" s="77" t="s">
        <v>2200</v>
      </c>
      <c r="R53" s="80" t="s">
        <v>2200</v>
      </c>
      <c r="T53" s="388" t="b" cm="1">
        <f t="array" ref="T53">T52</f>
        <v>0</v>
      </c>
      <c r="X53" s="2032"/>
      <c r="Z53" s="2012"/>
      <c r="AB53" s="137" t="s">
        <v>919</v>
      </c>
      <c r="AC53" s="277" t="s">
        <v>1939</v>
      </c>
      <c r="AD53" s="130" t="s">
        <v>831</v>
      </c>
      <c r="AE53" s="690">
        <f ca="1">AE54+AE62+AE65+AE66+AE67+AE68+AE69</f>
        <v>0</v>
      </c>
      <c r="AF53" s="690">
        <f ca="1">AF54+AF62+AF65+AF66+AF67+AF68+AF69</f>
        <v>0</v>
      </c>
      <c r="AG53" s="690">
        <f ca="1">AG54+AG62+AG65+AG66+AG67+AG68+AG69</f>
        <v>0</v>
      </c>
      <c r="AH53" s="681">
        <f t="shared" ca="1" si="2"/>
        <v>0</v>
      </c>
      <c r="AI53" s="1565">
        <f ca="1">AI54+AI62+AI65+AI66+AI67+AI68+AI69</f>
        <v>0</v>
      </c>
      <c r="AJ53" s="1560"/>
      <c r="AK53" s="684"/>
      <c r="AL53" s="684"/>
      <c r="AM53" s="684"/>
      <c r="AN53" s="684"/>
      <c r="AO53" s="684"/>
      <c r="AP53" s="684"/>
      <c r="AQ53" s="684"/>
      <c r="AR53" s="684"/>
      <c r="AS53" s="684"/>
      <c r="AT53" s="684"/>
      <c r="AU53" s="684"/>
      <c r="AV53" s="684"/>
      <c r="AW53" s="684"/>
      <c r="AX53" s="684"/>
      <c r="AY53" s="684"/>
      <c r="AZ53" s="684"/>
      <c r="BA53" s="684"/>
      <c r="BB53" s="684"/>
      <c r="BC53" s="684"/>
      <c r="BD53" s="684"/>
      <c r="BE53" s="684"/>
      <c r="BF53" s="684"/>
      <c r="BG53" s="684"/>
      <c r="BH53" s="684"/>
      <c r="BI53" s="684"/>
      <c r="BJ53" s="684"/>
      <c r="BK53" s="684"/>
      <c r="BL53" s="684"/>
      <c r="BM53" s="684"/>
      <c r="BN53" s="1154"/>
      <c r="BO53" s="1154"/>
      <c r="BP53" s="1154"/>
      <c r="BS53" s="972" t="s">
        <v>1761</v>
      </c>
      <c r="BT53" s="979"/>
      <c r="BU53" s="979"/>
      <c r="BV53" s="630"/>
      <c r="BW53" s="630"/>
    </row>
    <row r="54" spans="2:75" ht="21.95" hidden="1" customHeight="1" x14ac:dyDescent="0.25">
      <c r="E54" s="626">
        <v>22.5</v>
      </c>
      <c r="F54" s="3" cm="1">
        <f t="array" aca="1" ref="F54" ca="1">OFFSET(E54,-1,1)</f>
        <v>0</v>
      </c>
      <c r="G54" s="77" t="s">
        <v>1155</v>
      </c>
      <c r="H54" s="294"/>
      <c r="I54" s="294" t="s">
        <v>1328</v>
      </c>
      <c r="K54" s="294" t="s">
        <v>1328</v>
      </c>
      <c r="L54" s="889" t="s">
        <v>940</v>
      </c>
      <c r="M54" s="26"/>
      <c r="Q54" s="77" t="s">
        <v>2200</v>
      </c>
      <c r="R54" s="80" t="s">
        <v>2200</v>
      </c>
      <c r="T54" s="388" t="b" cm="1">
        <f t="array" ref="T54">T53</f>
        <v>0</v>
      </c>
      <c r="X54" s="2032"/>
      <c r="Z54" s="2012"/>
      <c r="AB54" s="217" t="s">
        <v>1033</v>
      </c>
      <c r="AC54" s="685" t="s">
        <v>1940</v>
      </c>
      <c r="AD54" s="218" t="s">
        <v>831</v>
      </c>
      <c r="AE54" s="856">
        <f>SUM(AE55:AE61)</f>
        <v>0</v>
      </c>
      <c r="AF54" s="856">
        <f>SUM(AF55:AF61)</f>
        <v>0</v>
      </c>
      <c r="AG54" s="856">
        <f>SUM(AG55:AG61)</f>
        <v>0</v>
      </c>
      <c r="AH54" s="855">
        <f t="shared" si="2"/>
        <v>0</v>
      </c>
      <c r="AI54" s="1564">
        <f>SUM(AI55:AI61)</f>
        <v>0</v>
      </c>
      <c r="AJ54" s="1560"/>
      <c r="AK54" s="854"/>
      <c r="AL54" s="854"/>
      <c r="AM54" s="854"/>
      <c r="AN54" s="854"/>
      <c r="AO54" s="854"/>
      <c r="AP54" s="854"/>
      <c r="AQ54" s="854"/>
      <c r="AR54" s="854"/>
      <c r="AS54" s="854"/>
      <c r="AT54" s="854"/>
      <c r="AU54" s="854"/>
      <c r="AV54" s="854"/>
      <c r="AW54" s="854"/>
      <c r="AX54" s="854"/>
      <c r="AY54" s="854"/>
      <c r="AZ54" s="854"/>
      <c r="BA54" s="854"/>
      <c r="BB54" s="854"/>
      <c r="BC54" s="854"/>
      <c r="BD54" s="854"/>
      <c r="BE54" s="854"/>
      <c r="BF54" s="854"/>
      <c r="BG54" s="854"/>
      <c r="BH54" s="854"/>
      <c r="BI54" s="854"/>
      <c r="BJ54" s="854"/>
      <c r="BK54" s="854"/>
      <c r="BL54" s="854"/>
      <c r="BM54" s="854"/>
      <c r="BN54" s="1158"/>
      <c r="BO54" s="1161" t="str">
        <f ca="1">IF(IFERROR(INDEX(Административные!$K$26:$L$84,MATCH($F54&amp;"17komm",Административные!$K$26:$K$84,0),2),"")=0,"",IFERROR(INDEX(Административные!$K$26:$L$84,MATCH($F54&amp;"17komm",Административные!$K$26:$K$84,0),2),""))</f>
        <v/>
      </c>
      <c r="BP54" s="1158"/>
      <c r="BS54" s="971" t="s">
        <v>1157</v>
      </c>
    </row>
    <row r="55" spans="2:75" ht="14.65" hidden="1" customHeight="1" x14ac:dyDescent="0.15">
      <c r="E55" s="626">
        <v>15</v>
      </c>
      <c r="F55" s="3" cm="1">
        <f t="array" aca="1" ref="F55" ca="1">OFFSET(E55,-1,1)</f>
        <v>0</v>
      </c>
      <c r="G55" s="77" t="s">
        <v>1158</v>
      </c>
      <c r="H55" s="294"/>
      <c r="I55" s="294" t="s">
        <v>1941</v>
      </c>
      <c r="K55" s="294" t="s">
        <v>1941</v>
      </c>
      <c r="L55" s="889"/>
      <c r="M55" s="26"/>
      <c r="Q55" s="77" t="s">
        <v>2200</v>
      </c>
      <c r="R55" s="80" t="s">
        <v>2200</v>
      </c>
      <c r="T55" s="388" t="b" cm="1">
        <f t="array" ref="T55">T54</f>
        <v>0</v>
      </c>
      <c r="X55" s="2032"/>
      <c r="Z55" s="2012"/>
      <c r="AB55" s="217" t="s">
        <v>1942</v>
      </c>
      <c r="AC55" s="688" t="s">
        <v>1159</v>
      </c>
      <c r="AD55" s="218" t="s">
        <v>831</v>
      </c>
      <c r="AE55" s="1160"/>
      <c r="AF55" s="1160"/>
      <c r="AG55" s="1160"/>
      <c r="AH55" s="855">
        <f t="shared" si="2"/>
        <v>0</v>
      </c>
      <c r="AI55" s="1563"/>
      <c r="AJ55" s="1560"/>
      <c r="AK55" s="854"/>
      <c r="AL55" s="854"/>
      <c r="AM55" s="854"/>
      <c r="AN55" s="854"/>
      <c r="AO55" s="854"/>
      <c r="AP55" s="854"/>
      <c r="AQ55" s="854"/>
      <c r="AR55" s="854"/>
      <c r="AS55" s="854"/>
      <c r="AT55" s="854"/>
      <c r="AU55" s="854"/>
      <c r="AV55" s="854"/>
      <c r="AW55" s="854"/>
      <c r="AX55" s="854"/>
      <c r="AY55" s="854"/>
      <c r="AZ55" s="854"/>
      <c r="BA55" s="854"/>
      <c r="BB55" s="854"/>
      <c r="BC55" s="854"/>
      <c r="BD55" s="854"/>
      <c r="BE55" s="854"/>
      <c r="BF55" s="854"/>
      <c r="BG55" s="854"/>
      <c r="BH55" s="854"/>
      <c r="BI55" s="854"/>
      <c r="BJ55" s="854"/>
      <c r="BK55" s="854"/>
      <c r="BL55" s="854"/>
      <c r="BM55" s="854"/>
      <c r="BN55" s="1158"/>
      <c r="BO55" s="1161" t="str">
        <f ca="1">IF(IFERROR(INDEX(Административные!$K$26:$L$84,MATCH($F55&amp;"18komm",Административные!$K$26:$K$84,0),2),"")=0,"",IFERROR(INDEX(Административные!$K$26:$L$84,MATCH($F55&amp;"18komm",Административные!$K$26:$K$84,0),2),""))</f>
        <v/>
      </c>
      <c r="BP55" s="1158"/>
      <c r="BS55" s="973" t="s">
        <v>1160</v>
      </c>
    </row>
    <row r="56" spans="2:75" ht="14.65" hidden="1" customHeight="1" x14ac:dyDescent="0.15">
      <c r="E56" s="626">
        <v>15</v>
      </c>
      <c r="F56" s="3" cm="1">
        <f t="array" aca="1" ref="F56" ca="1">OFFSET(E56,-1,1)</f>
        <v>0</v>
      </c>
      <c r="G56" s="77" t="s">
        <v>1161</v>
      </c>
      <c r="H56" s="294"/>
      <c r="I56" s="294" t="s">
        <v>1943</v>
      </c>
      <c r="K56" s="294" t="s">
        <v>1943</v>
      </c>
      <c r="L56" s="889"/>
      <c r="M56" s="26"/>
      <c r="Q56" s="77" t="s">
        <v>2200</v>
      </c>
      <c r="R56" s="80" t="s">
        <v>2200</v>
      </c>
      <c r="T56" s="388" t="b" cm="1">
        <f t="array" ref="T56">T55</f>
        <v>0</v>
      </c>
      <c r="X56" s="2032"/>
      <c r="Z56" s="2012"/>
      <c r="AB56" s="217" t="s">
        <v>1944</v>
      </c>
      <c r="AC56" s="688" t="s">
        <v>1162</v>
      </c>
      <c r="AD56" s="218" t="s">
        <v>831</v>
      </c>
      <c r="AE56" s="1160"/>
      <c r="AF56" s="1160"/>
      <c r="AG56" s="1160"/>
      <c r="AH56" s="855">
        <f t="shared" si="2"/>
        <v>0</v>
      </c>
      <c r="AI56" s="1563"/>
      <c r="AJ56" s="1560"/>
      <c r="AK56" s="854"/>
      <c r="AL56" s="854"/>
      <c r="AM56" s="854"/>
      <c r="AN56" s="854"/>
      <c r="AO56" s="854"/>
      <c r="AP56" s="854"/>
      <c r="AQ56" s="854"/>
      <c r="AR56" s="854"/>
      <c r="AS56" s="854"/>
      <c r="AT56" s="854"/>
      <c r="AU56" s="854"/>
      <c r="AV56" s="854"/>
      <c r="AW56" s="854"/>
      <c r="AX56" s="854"/>
      <c r="AY56" s="854"/>
      <c r="AZ56" s="854"/>
      <c r="BA56" s="854"/>
      <c r="BB56" s="854"/>
      <c r="BC56" s="854"/>
      <c r="BD56" s="854"/>
      <c r="BE56" s="854"/>
      <c r="BF56" s="854"/>
      <c r="BG56" s="854"/>
      <c r="BH56" s="854"/>
      <c r="BI56" s="854"/>
      <c r="BJ56" s="854"/>
      <c r="BK56" s="854"/>
      <c r="BL56" s="854"/>
      <c r="BM56" s="854"/>
      <c r="BN56" s="1158"/>
      <c r="BO56" s="1161" t="str">
        <f ca="1">IF(IFERROR(INDEX(Административные!$K$26:$L$84,MATCH($F56&amp;"11komm",Административные!$K$26:$K$84,0),2),"")=0,"",IFERROR(INDEX(Административные!$K$26:$L$84,MATCH($F56&amp;"11komm",Административные!$K$26:$K$84,0),2),""))</f>
        <v/>
      </c>
      <c r="BP56" s="1158"/>
      <c r="BS56" s="973" t="s">
        <v>1163</v>
      </c>
    </row>
    <row r="57" spans="2:75" ht="14.65" hidden="1" customHeight="1" x14ac:dyDescent="0.15">
      <c r="E57" s="626">
        <v>15</v>
      </c>
      <c r="F57" s="3" cm="1">
        <f t="array" aca="1" ref="F57" ca="1">OFFSET(E57,-1,1)</f>
        <v>0</v>
      </c>
      <c r="G57" s="77" t="s">
        <v>1164</v>
      </c>
      <c r="H57" s="294"/>
      <c r="I57" s="294" t="s">
        <v>1945</v>
      </c>
      <c r="K57" s="294" t="s">
        <v>1945</v>
      </c>
      <c r="L57" s="889"/>
      <c r="M57" s="26"/>
      <c r="Q57" s="77" t="s">
        <v>2200</v>
      </c>
      <c r="R57" s="80" t="s">
        <v>2200</v>
      </c>
      <c r="T57" s="388" t="b" cm="1">
        <f t="array" ref="T57">T56</f>
        <v>0</v>
      </c>
      <c r="X57" s="2032"/>
      <c r="Z57" s="2012"/>
      <c r="AB57" s="217" t="s">
        <v>1946</v>
      </c>
      <c r="AC57" s="688" t="s">
        <v>1165</v>
      </c>
      <c r="AD57" s="218" t="s">
        <v>831</v>
      </c>
      <c r="AE57" s="1160"/>
      <c r="AF57" s="1160"/>
      <c r="AG57" s="1160"/>
      <c r="AH57" s="855">
        <f t="shared" si="2"/>
        <v>0</v>
      </c>
      <c r="AI57" s="1563"/>
      <c r="AJ57" s="1560"/>
      <c r="AK57" s="854"/>
      <c r="AL57" s="854"/>
      <c r="AM57" s="854"/>
      <c r="AN57" s="854"/>
      <c r="AO57" s="854"/>
      <c r="AP57" s="854"/>
      <c r="AQ57" s="854"/>
      <c r="AR57" s="854"/>
      <c r="AS57" s="854"/>
      <c r="AT57" s="854"/>
      <c r="AU57" s="854"/>
      <c r="AV57" s="854"/>
      <c r="AW57" s="854"/>
      <c r="AX57" s="854"/>
      <c r="AY57" s="854"/>
      <c r="AZ57" s="854"/>
      <c r="BA57" s="854"/>
      <c r="BB57" s="854"/>
      <c r="BC57" s="854"/>
      <c r="BD57" s="854"/>
      <c r="BE57" s="854"/>
      <c r="BF57" s="854"/>
      <c r="BG57" s="854"/>
      <c r="BH57" s="854"/>
      <c r="BI57" s="854"/>
      <c r="BJ57" s="854"/>
      <c r="BK57" s="854"/>
      <c r="BL57" s="854"/>
      <c r="BM57" s="854"/>
      <c r="BN57" s="1158"/>
      <c r="BO57" s="1161" t="str">
        <f ca="1">IF(IFERROR(INDEX(Административные!$K$26:$L$84,MATCH($F57&amp;"12komm",Административные!$K$26:$K$84,0),2),"")=0,"",IFERROR(INDEX(Административные!$K$26:$L$84,MATCH($F57&amp;"12komm",Административные!$K$26:$K$84,0),2),""))</f>
        <v/>
      </c>
      <c r="BP57" s="1158"/>
      <c r="BS57" s="973" t="s">
        <v>1166</v>
      </c>
    </row>
    <row r="58" spans="2:75" ht="14.65" hidden="1" customHeight="1" x14ac:dyDescent="0.15">
      <c r="E58" s="626">
        <v>15</v>
      </c>
      <c r="F58" s="3" cm="1">
        <f t="array" aca="1" ref="F58" ca="1">OFFSET(E58,-1,1)</f>
        <v>0</v>
      </c>
      <c r="G58" s="77" t="s">
        <v>1167</v>
      </c>
      <c r="H58" s="294"/>
      <c r="I58" s="294" t="s">
        <v>1947</v>
      </c>
      <c r="K58" s="294" t="s">
        <v>1947</v>
      </c>
      <c r="L58" s="889"/>
      <c r="M58" s="26"/>
      <c r="Q58" s="77" t="s">
        <v>2200</v>
      </c>
      <c r="R58" s="80" t="s">
        <v>2200</v>
      </c>
      <c r="T58" s="388" t="b" cm="1">
        <f t="array" ref="T58">T57</f>
        <v>0</v>
      </c>
      <c r="X58" s="2032"/>
      <c r="Z58" s="2012"/>
      <c r="AB58" s="217" t="s">
        <v>1948</v>
      </c>
      <c r="AC58" s="688" t="s">
        <v>1168</v>
      </c>
      <c r="AD58" s="218" t="s">
        <v>831</v>
      </c>
      <c r="AE58" s="1160"/>
      <c r="AF58" s="1160"/>
      <c r="AG58" s="1160"/>
      <c r="AH58" s="855">
        <f t="shared" si="2"/>
        <v>0</v>
      </c>
      <c r="AI58" s="1563"/>
      <c r="AJ58" s="1560"/>
      <c r="AK58" s="854"/>
      <c r="AL58" s="854"/>
      <c r="AM58" s="854"/>
      <c r="AN58" s="854"/>
      <c r="AO58" s="854"/>
      <c r="AP58" s="854"/>
      <c r="AQ58" s="854"/>
      <c r="AR58" s="854"/>
      <c r="AS58" s="854"/>
      <c r="AT58" s="854"/>
      <c r="AU58" s="854"/>
      <c r="AV58" s="854"/>
      <c r="AW58" s="854"/>
      <c r="AX58" s="854"/>
      <c r="AY58" s="854"/>
      <c r="AZ58" s="854"/>
      <c r="BA58" s="854"/>
      <c r="BB58" s="854"/>
      <c r="BC58" s="854"/>
      <c r="BD58" s="854"/>
      <c r="BE58" s="854"/>
      <c r="BF58" s="854"/>
      <c r="BG58" s="854"/>
      <c r="BH58" s="854"/>
      <c r="BI58" s="854"/>
      <c r="BJ58" s="854"/>
      <c r="BK58" s="854"/>
      <c r="BL58" s="854"/>
      <c r="BM58" s="854"/>
      <c r="BN58" s="1158"/>
      <c r="BO58" s="1161" t="str">
        <f ca="1">IF(IFERROR(INDEX(Административные!$K$26:$L$84,MATCH($F58&amp;"13komm",Административные!$K$26:$K$84,0),2),"")=0,"",IFERROR(INDEX(Административные!$K$26:$L$84,MATCH($F58&amp;"13komm",Административные!$K$26:$K$84,0),2),""))</f>
        <v/>
      </c>
      <c r="BP58" s="1158"/>
      <c r="BS58" s="973" t="s">
        <v>1169</v>
      </c>
    </row>
    <row r="59" spans="2:75" ht="14.65" hidden="1" customHeight="1" x14ac:dyDescent="0.15">
      <c r="E59" s="626">
        <v>15</v>
      </c>
      <c r="F59" s="3" cm="1">
        <f t="array" aca="1" ref="F59" ca="1">OFFSET(E59,-1,1)</f>
        <v>0</v>
      </c>
      <c r="G59" s="77" t="s">
        <v>1170</v>
      </c>
      <c r="H59" s="294"/>
      <c r="I59" s="294" t="s">
        <v>1949</v>
      </c>
      <c r="K59" s="294" t="s">
        <v>1949</v>
      </c>
      <c r="L59" s="889"/>
      <c r="M59" s="26"/>
      <c r="Q59" s="77" t="s">
        <v>2200</v>
      </c>
      <c r="R59" s="80" t="s">
        <v>2200</v>
      </c>
      <c r="T59" s="388" t="b" cm="1">
        <f t="array" ref="T59">T58</f>
        <v>0</v>
      </c>
      <c r="X59" s="2032"/>
      <c r="Z59" s="2012"/>
      <c r="AB59" s="217" t="s">
        <v>1950</v>
      </c>
      <c r="AC59" s="688" t="s">
        <v>1171</v>
      </c>
      <c r="AD59" s="218" t="s">
        <v>831</v>
      </c>
      <c r="AE59" s="1160"/>
      <c r="AF59" s="1160"/>
      <c r="AG59" s="1160"/>
      <c r="AH59" s="855">
        <f t="shared" si="2"/>
        <v>0</v>
      </c>
      <c r="AI59" s="1563"/>
      <c r="AJ59" s="1560"/>
      <c r="AK59" s="854"/>
      <c r="AL59" s="854"/>
      <c r="AM59" s="854"/>
      <c r="AN59" s="854"/>
      <c r="AO59" s="854"/>
      <c r="AP59" s="854"/>
      <c r="AQ59" s="854"/>
      <c r="AR59" s="854"/>
      <c r="AS59" s="854"/>
      <c r="AT59" s="854"/>
      <c r="AU59" s="854"/>
      <c r="AV59" s="854"/>
      <c r="AW59" s="854"/>
      <c r="AX59" s="854"/>
      <c r="AY59" s="854"/>
      <c r="AZ59" s="854"/>
      <c r="BA59" s="854"/>
      <c r="BB59" s="854"/>
      <c r="BC59" s="854"/>
      <c r="BD59" s="854"/>
      <c r="BE59" s="854"/>
      <c r="BF59" s="854"/>
      <c r="BG59" s="854"/>
      <c r="BH59" s="854"/>
      <c r="BI59" s="854"/>
      <c r="BJ59" s="854"/>
      <c r="BK59" s="854"/>
      <c r="BL59" s="854"/>
      <c r="BM59" s="854"/>
      <c r="BN59" s="1158"/>
      <c r="BO59" s="1161" t="str">
        <f ca="1">IF(IFERROR(INDEX(Административные!$K$26:$L$84,MATCH($F59&amp;"14komm",Административные!$K$26:$K$84,0),2),"")=0,"",IFERROR(INDEX(Административные!$K$26:$L$84,MATCH($F59&amp;"14komm",Административные!$K$26:$K$84,0),2),""))</f>
        <v/>
      </c>
      <c r="BP59" s="1158"/>
      <c r="BS59" s="973" t="s">
        <v>1951</v>
      </c>
    </row>
    <row r="60" spans="2:75" ht="14.65" hidden="1" customHeight="1" x14ac:dyDescent="0.15">
      <c r="E60" s="626">
        <v>15</v>
      </c>
      <c r="F60" s="3" cm="1">
        <f t="array" aca="1" ref="F60" ca="1">OFFSET(E60,-1,1)</f>
        <v>0</v>
      </c>
      <c r="G60" s="77" t="s">
        <v>1173</v>
      </c>
      <c r="H60" s="294"/>
      <c r="I60" s="294" t="s">
        <v>1952</v>
      </c>
      <c r="K60" s="294" t="s">
        <v>1952</v>
      </c>
      <c r="L60" s="889"/>
      <c r="M60" s="26"/>
      <c r="Q60" s="77" t="s">
        <v>2200</v>
      </c>
      <c r="R60" s="80" t="s">
        <v>2200</v>
      </c>
      <c r="T60" s="388" t="b" cm="1">
        <f t="array" ref="T60">T59</f>
        <v>0</v>
      </c>
      <c r="X60" s="2032"/>
      <c r="Z60" s="2012"/>
      <c r="AB60" s="217" t="s">
        <v>1953</v>
      </c>
      <c r="AC60" s="688" t="s">
        <v>1176</v>
      </c>
      <c r="AD60" s="218" t="s">
        <v>831</v>
      </c>
      <c r="AE60" s="1160"/>
      <c r="AF60" s="1160"/>
      <c r="AG60" s="1160"/>
      <c r="AH60" s="855">
        <f t="shared" ref="AH60:AH91" si="6">AG60-AF60</f>
        <v>0</v>
      </c>
      <c r="AI60" s="1563"/>
      <c r="AJ60" s="1560"/>
      <c r="AK60" s="854"/>
      <c r="AL60" s="854"/>
      <c r="AM60" s="854"/>
      <c r="AN60" s="854"/>
      <c r="AO60" s="854"/>
      <c r="AP60" s="854"/>
      <c r="AQ60" s="854"/>
      <c r="AR60" s="854"/>
      <c r="AS60" s="854"/>
      <c r="AT60" s="854"/>
      <c r="AU60" s="854"/>
      <c r="AV60" s="854"/>
      <c r="AW60" s="854"/>
      <c r="AX60" s="854"/>
      <c r="AY60" s="854"/>
      <c r="AZ60" s="854"/>
      <c r="BA60" s="854"/>
      <c r="BB60" s="854"/>
      <c r="BC60" s="854"/>
      <c r="BD60" s="854"/>
      <c r="BE60" s="854"/>
      <c r="BF60" s="854"/>
      <c r="BG60" s="854"/>
      <c r="BH60" s="854"/>
      <c r="BI60" s="854"/>
      <c r="BJ60" s="854"/>
      <c r="BK60" s="854"/>
      <c r="BL60" s="854"/>
      <c r="BM60" s="854"/>
      <c r="BN60" s="1158"/>
      <c r="BO60" s="1161" t="str">
        <f ca="1">IF(IFERROR(INDEX(Административные!$K$26:$L$84,MATCH($F60&amp;"15komm",Административные!$K$26:$K$84,0),2),"")=0,"",IFERROR(INDEX(Административные!$K$26:$L$84,MATCH($F60&amp;"15komm",Административные!$K$26:$K$84,0),2),""))</f>
        <v/>
      </c>
      <c r="BP60" s="1158"/>
      <c r="BS60" s="973" t="s">
        <v>1177</v>
      </c>
    </row>
    <row r="61" spans="2:75" ht="14.65" hidden="1" customHeight="1" x14ac:dyDescent="0.15">
      <c r="E61" s="626">
        <v>15</v>
      </c>
      <c r="F61" s="3" cm="1">
        <f t="array" aca="1" ref="F61" ca="1">OFFSET(E61,-1,1)</f>
        <v>0</v>
      </c>
      <c r="G61" s="77" t="s">
        <v>1178</v>
      </c>
      <c r="H61" s="294"/>
      <c r="I61" s="294" t="s">
        <v>1954</v>
      </c>
      <c r="K61" s="294" t="s">
        <v>1954</v>
      </c>
      <c r="L61" s="889"/>
      <c r="M61" s="26"/>
      <c r="Q61" s="77" t="s">
        <v>2200</v>
      </c>
      <c r="R61" s="80" t="s">
        <v>2200</v>
      </c>
      <c r="T61" s="388" t="b" cm="1">
        <f t="array" ref="T61">T60</f>
        <v>0</v>
      </c>
      <c r="X61" s="2032"/>
      <c r="Z61" s="2012"/>
      <c r="AB61" s="217" t="s">
        <v>1955</v>
      </c>
      <c r="AC61" s="688" t="s">
        <v>1181</v>
      </c>
      <c r="AD61" s="218" t="s">
        <v>831</v>
      </c>
      <c r="AE61" s="1160"/>
      <c r="AF61" s="1160"/>
      <c r="AG61" s="1160"/>
      <c r="AH61" s="855">
        <f t="shared" si="6"/>
        <v>0</v>
      </c>
      <c r="AI61" s="1563"/>
      <c r="AJ61" s="1560"/>
      <c r="AK61" s="854"/>
      <c r="AL61" s="854"/>
      <c r="AM61" s="854"/>
      <c r="AN61" s="854"/>
      <c r="AO61" s="854"/>
      <c r="AP61" s="854"/>
      <c r="AQ61" s="854"/>
      <c r="AR61" s="854"/>
      <c r="AS61" s="854"/>
      <c r="AT61" s="854"/>
      <c r="AU61" s="854"/>
      <c r="AV61" s="854"/>
      <c r="AW61" s="854"/>
      <c r="AX61" s="854"/>
      <c r="AY61" s="854"/>
      <c r="AZ61" s="854"/>
      <c r="BA61" s="854"/>
      <c r="BB61" s="854"/>
      <c r="BC61" s="854"/>
      <c r="BD61" s="854"/>
      <c r="BE61" s="854"/>
      <c r="BF61" s="854"/>
      <c r="BG61" s="854"/>
      <c r="BH61" s="854"/>
      <c r="BI61" s="854"/>
      <c r="BJ61" s="854"/>
      <c r="BK61" s="854"/>
      <c r="BL61" s="854"/>
      <c r="BM61" s="854"/>
      <c r="BN61" s="1158"/>
      <c r="BO61" s="1161" t="str">
        <f ca="1">IF(IFERROR(INDEX(Административные!$K$26:$L$84,MATCH($F61&amp;"16komm",Административные!$K$26:$K$84,0),2),"")=0,"",IFERROR(INDEX(Административные!$K$26:$L$84,MATCH($F61&amp;"16komm",Административные!$K$26:$K$84,0),2),""))</f>
        <v/>
      </c>
      <c r="BP61" s="1158"/>
      <c r="BS61" s="973" t="s">
        <v>1956</v>
      </c>
    </row>
    <row r="62" spans="2:75" ht="21.95" hidden="1" customHeight="1" x14ac:dyDescent="0.25">
      <c r="E62" s="626">
        <v>22.5</v>
      </c>
      <c r="F62" s="3" cm="1">
        <f t="array" aca="1" ref="F62" ca="1">OFFSET(E62,-1,1)</f>
        <v>0</v>
      </c>
      <c r="H62" s="294"/>
      <c r="I62" s="294" t="s">
        <v>1329</v>
      </c>
      <c r="K62" s="294" t="s">
        <v>1329</v>
      </c>
      <c r="L62" s="889" t="s">
        <v>942</v>
      </c>
      <c r="M62" s="26"/>
      <c r="Q62" s="77" t="s">
        <v>2200</v>
      </c>
      <c r="R62" s="80" t="s">
        <v>2200</v>
      </c>
      <c r="T62" s="388" t="b" cm="1">
        <f t="array" ref="T62">T61</f>
        <v>0</v>
      </c>
      <c r="X62" s="2032"/>
      <c r="Z62" s="2012"/>
      <c r="AB62" s="217" t="s">
        <v>1036</v>
      </c>
      <c r="AC62" s="685" t="s">
        <v>1957</v>
      </c>
      <c r="AD62" s="218" t="s">
        <v>831</v>
      </c>
      <c r="AE62" s="856">
        <f ca="1">AE63+AE64</f>
        <v>0</v>
      </c>
      <c r="AF62" s="856">
        <f ca="1">AF63+AF64</f>
        <v>0</v>
      </c>
      <c r="AG62" s="856">
        <f ca="1">AG63+AG64</f>
        <v>0</v>
      </c>
      <c r="AH62" s="855">
        <f t="shared" ca="1" si="6"/>
        <v>0</v>
      </c>
      <c r="AI62" s="1564">
        <f ca="1">AI63+AI64</f>
        <v>0</v>
      </c>
      <c r="AJ62" s="1560"/>
      <c r="AK62" s="854"/>
      <c r="AL62" s="854"/>
      <c r="AM62" s="854"/>
      <c r="AN62" s="854"/>
      <c r="AO62" s="854"/>
      <c r="AP62" s="854"/>
      <c r="AQ62" s="854"/>
      <c r="AR62" s="854"/>
      <c r="AS62" s="854"/>
      <c r="AT62" s="854"/>
      <c r="AU62" s="854"/>
      <c r="AV62" s="854"/>
      <c r="AW62" s="854"/>
      <c r="AX62" s="854"/>
      <c r="AY62" s="854"/>
      <c r="AZ62" s="854"/>
      <c r="BA62" s="854"/>
      <c r="BB62" s="854"/>
      <c r="BC62" s="854"/>
      <c r="BD62" s="854"/>
      <c r="BE62" s="854"/>
      <c r="BF62" s="854"/>
      <c r="BG62" s="854"/>
      <c r="BH62" s="854"/>
      <c r="BI62" s="854"/>
      <c r="BJ62" s="854"/>
      <c r="BK62" s="854"/>
      <c r="BL62" s="854"/>
      <c r="BM62" s="854"/>
      <c r="BN62" s="1158"/>
      <c r="BO62" s="1158"/>
      <c r="BP62" s="1158"/>
      <c r="BS62" s="971" t="s">
        <v>1764</v>
      </c>
    </row>
    <row r="63" spans="2:75" ht="14.65" hidden="1" customHeight="1" x14ac:dyDescent="0.25">
      <c r="E63" s="626">
        <v>15</v>
      </c>
      <c r="F63" s="3" cm="1">
        <f t="array" aca="1" ref="F63" ca="1">OFFSET(E63,-1,1)</f>
        <v>0</v>
      </c>
      <c r="G63" s="77" t="s">
        <v>1127</v>
      </c>
      <c r="H63" s="294"/>
      <c r="I63" s="294" t="s">
        <v>1958</v>
      </c>
      <c r="K63" s="294" t="s">
        <v>1958</v>
      </c>
      <c r="L63" s="889" t="s">
        <v>530</v>
      </c>
      <c r="M63" s="26"/>
      <c r="Q63" s="77" t="s">
        <v>2200</v>
      </c>
      <c r="R63" s="80" t="s">
        <v>2200</v>
      </c>
      <c r="T63" s="388" t="b" cm="1">
        <f t="array" ref="T63">T62</f>
        <v>0</v>
      </c>
      <c r="X63" s="2032"/>
      <c r="Z63" s="2012"/>
      <c r="AB63" s="217" t="s">
        <v>1959</v>
      </c>
      <c r="AC63" s="688" t="s">
        <v>1765</v>
      </c>
      <c r="AD63" s="691" t="s">
        <v>831</v>
      </c>
      <c r="AE63" s="1160"/>
      <c r="AF63" s="1160"/>
      <c r="AG63" s="1160"/>
      <c r="AH63" s="855">
        <f t="shared" si="6"/>
        <v>0</v>
      </c>
      <c r="AI63" s="1563"/>
      <c r="AJ63" s="1560"/>
      <c r="AK63" s="854"/>
      <c r="AL63" s="854"/>
      <c r="AM63" s="854"/>
      <c r="AN63" s="854"/>
      <c r="AO63" s="854"/>
      <c r="AP63" s="854"/>
      <c r="AQ63" s="854"/>
      <c r="AR63" s="854"/>
      <c r="AS63" s="854"/>
      <c r="AT63" s="854"/>
      <c r="AU63" s="854"/>
      <c r="AV63" s="854"/>
      <c r="AW63" s="854"/>
      <c r="AX63" s="854"/>
      <c r="AY63" s="854"/>
      <c r="AZ63" s="854"/>
      <c r="BA63" s="854"/>
      <c r="BB63" s="854"/>
      <c r="BC63" s="854"/>
      <c r="BD63" s="854"/>
      <c r="BE63" s="854"/>
      <c r="BF63" s="854"/>
      <c r="BG63" s="854"/>
      <c r="BH63" s="854"/>
      <c r="BI63" s="854"/>
      <c r="BJ63" s="854"/>
      <c r="BK63" s="854"/>
      <c r="BL63" s="854"/>
      <c r="BM63" s="854"/>
      <c r="BN63" s="1158"/>
      <c r="BO63" s="1161" t="str">
        <f ca="1">IF(IFERROR(INDEX(ФОТ!$K$26:$L$138,MATCH($F63&amp;"5komm",ФОТ!$K$26:$K$138,0),2),"")=0,"",IFERROR(INDEX(ФОТ!$K$26:$L$138,MATCH($F63&amp;"5komm",ФОТ!$K$26:$K$138,0),2),""))</f>
        <v/>
      </c>
      <c r="BP63" s="1158"/>
      <c r="BS63" s="971" t="s">
        <v>1154</v>
      </c>
    </row>
    <row r="64" spans="2:75" ht="21.95" hidden="1" customHeight="1" x14ac:dyDescent="0.25">
      <c r="E64" s="626">
        <v>22.5</v>
      </c>
      <c r="F64" s="3" cm="1">
        <f t="array" aca="1" ref="F64" ca="1">OFFSET(E64,-1,1)</f>
        <v>0</v>
      </c>
      <c r="G64" s="77" t="s">
        <v>1132</v>
      </c>
      <c r="H64" s="294"/>
      <c r="I64" s="294" t="s">
        <v>1960</v>
      </c>
      <c r="K64" s="294" t="s">
        <v>1960</v>
      </c>
      <c r="L64" s="889" t="s">
        <v>535</v>
      </c>
      <c r="M64" s="26"/>
      <c r="Q64" s="77" t="s">
        <v>2200</v>
      </c>
      <c r="R64" s="80" t="s">
        <v>2200</v>
      </c>
      <c r="T64" s="388" t="b" cm="1">
        <f t="array" ref="T64">T63</f>
        <v>0</v>
      </c>
      <c r="X64" s="2032"/>
      <c r="Z64" s="2012"/>
      <c r="AB64" s="217" t="s">
        <v>1961</v>
      </c>
      <c r="AC64" s="688" t="s">
        <v>1962</v>
      </c>
      <c r="AD64" s="218" t="s">
        <v>831</v>
      </c>
      <c r="AE64" s="1160">
        <f ca="1">AE63*SUMIFS(INDEX(Сценарии!$AE$25:$BF$109,,MATCH(AE$8,Сценарии!$AE$8:$BF$8,0)),Сценарии!$F$25:$F$109,$F64,Сценарии!$G$25:$G$109,"СВФОТ")/100</f>
        <v>0</v>
      </c>
      <c r="AF64" s="1160">
        <f ca="1">AF63*SUMIFS(INDEX(Сценарии!$AE$25:$BF$109,,MATCH(AF$8,Сценарии!$AE$8:$BF$8,0)),Сценарии!$F$25:$F$109,$F64,Сценарии!$G$25:$G$109,"СВФОТ")/100</f>
        <v>0</v>
      </c>
      <c r="AG64" s="1160">
        <f ca="1">AG63*SUMIFS(INDEX(Сценарии!$AE$25:$BF$109,,MATCH(AG$8,Сценарии!$AE$8:$BF$8,0)),Сценарии!$F$25:$F$109,$F64,Сценарии!$G$25:$G$109,"СВФОТ")/100</f>
        <v>0</v>
      </c>
      <c r="AH64" s="855">
        <f t="shared" ca="1" si="6"/>
        <v>0</v>
      </c>
      <c r="AI64" s="1563">
        <f ca="1">AI63*SUMIFS(INDEX(Сценарии!$AE$25:$BF$109,,MATCH(AG$8,Сценарии!$AE$8:$BF$8,0)),Сценарии!$F$25:$F$109,$F64,Сценарии!$G$25:$G$109,"СВФОТ")/100</f>
        <v>0</v>
      </c>
      <c r="AJ64" s="1560"/>
      <c r="AK64" s="854"/>
      <c r="AL64" s="854"/>
      <c r="AM64" s="854"/>
      <c r="AN64" s="854"/>
      <c r="AO64" s="854"/>
      <c r="AP64" s="854"/>
      <c r="AQ64" s="854"/>
      <c r="AR64" s="854"/>
      <c r="AS64" s="854"/>
      <c r="AT64" s="854"/>
      <c r="AU64" s="854"/>
      <c r="AV64" s="854"/>
      <c r="AW64" s="854"/>
      <c r="AX64" s="854"/>
      <c r="AY64" s="854"/>
      <c r="AZ64" s="854"/>
      <c r="BA64" s="854"/>
      <c r="BB64" s="854"/>
      <c r="BC64" s="854"/>
      <c r="BD64" s="854"/>
      <c r="BE64" s="854"/>
      <c r="BF64" s="854"/>
      <c r="BG64" s="854"/>
      <c r="BH64" s="854"/>
      <c r="BI64" s="854"/>
      <c r="BJ64" s="854"/>
      <c r="BK64" s="854"/>
      <c r="BL64" s="854"/>
      <c r="BM64" s="854"/>
      <c r="BN64" s="1158"/>
      <c r="BO64" s="1161" t="str">
        <f ca="1">IF(IFERROR(INDEX(ФОТ!$K$26:$L$138,MATCH($F64&amp;"6komm",ФОТ!$K$26:$K$138,0),2),"")=0,"",IFERROR(INDEX(ФОТ!$K$26:$L$138,MATCH($F64&amp;"6komm",ФОТ!$K$26:$K$138,0),2),""))</f>
        <v/>
      </c>
      <c r="BP64" s="1158"/>
      <c r="BS64" s="971" t="s">
        <v>1767</v>
      </c>
    </row>
    <row r="65" spans="2:75" ht="32.85" hidden="1" customHeight="1" x14ac:dyDescent="0.25">
      <c r="E65" s="626">
        <v>33.75</v>
      </c>
      <c r="F65" s="3" cm="1">
        <f t="array" aca="1" ref="F65" ca="1">OFFSET(E65,-1,1)</f>
        <v>0</v>
      </c>
      <c r="G65" s="2" t="s">
        <v>1183</v>
      </c>
      <c r="H65" s="294"/>
      <c r="I65" s="294" t="s">
        <v>1332</v>
      </c>
      <c r="K65" s="294" t="s">
        <v>1332</v>
      </c>
      <c r="L65" s="889" t="s">
        <v>944</v>
      </c>
      <c r="M65" s="26"/>
      <c r="Q65" s="77" t="s">
        <v>2200</v>
      </c>
      <c r="R65" s="80" t="s">
        <v>2200</v>
      </c>
      <c r="T65" s="388" t="b" cm="1">
        <f t="array" ref="T65">T64</f>
        <v>0</v>
      </c>
      <c r="X65" s="2032"/>
      <c r="Z65" s="2012"/>
      <c r="AB65" s="217" t="s">
        <v>1333</v>
      </c>
      <c r="AC65" s="685" t="s">
        <v>1963</v>
      </c>
      <c r="AD65" s="218" t="s">
        <v>831</v>
      </c>
      <c r="AE65" s="1160"/>
      <c r="AF65" s="1160"/>
      <c r="AG65" s="1160"/>
      <c r="AH65" s="855">
        <f t="shared" si="6"/>
        <v>0</v>
      </c>
      <c r="AI65" s="1563"/>
      <c r="AJ65" s="1560"/>
      <c r="AK65" s="854"/>
      <c r="AL65" s="854"/>
      <c r="AM65" s="854"/>
      <c r="AN65" s="854"/>
      <c r="AO65" s="854"/>
      <c r="AP65" s="854"/>
      <c r="AQ65" s="854"/>
      <c r="AR65" s="854"/>
      <c r="AS65" s="854"/>
      <c r="AT65" s="854"/>
      <c r="AU65" s="854"/>
      <c r="AV65" s="854"/>
      <c r="AW65" s="854"/>
      <c r="AX65" s="854"/>
      <c r="AY65" s="854"/>
      <c r="AZ65" s="854"/>
      <c r="BA65" s="854"/>
      <c r="BB65" s="854"/>
      <c r="BC65" s="854"/>
      <c r="BD65" s="854"/>
      <c r="BE65" s="854"/>
      <c r="BF65" s="854"/>
      <c r="BG65" s="854"/>
      <c r="BH65" s="854"/>
      <c r="BI65" s="854"/>
      <c r="BJ65" s="854"/>
      <c r="BK65" s="854"/>
      <c r="BL65" s="854"/>
      <c r="BM65" s="854"/>
      <c r="BN65" s="1158"/>
      <c r="BO65" s="1161" t="str">
        <f ca="1">IF(IFERROR(INDEX(Административные!$K$26:$L$84,MATCH($F65&amp;"2komm",Административные!$K$26:$K$84,0),2),"")=0,"",IFERROR(INDEX(Административные!$K$26:$L$84,MATCH($F65&amp;"2komm",Административные!$K$26:$K$84,0),2),""))</f>
        <v/>
      </c>
      <c r="BP65" s="1158"/>
      <c r="BS65" s="971" t="s">
        <v>1185</v>
      </c>
    </row>
    <row r="66" spans="2:75" ht="14.65" hidden="1" customHeight="1" x14ac:dyDescent="0.25">
      <c r="E66" s="626">
        <v>15</v>
      </c>
      <c r="F66" s="3" cm="1">
        <f t="array" aca="1" ref="F66" ca="1">OFFSET(E66,-1,1)</f>
        <v>0</v>
      </c>
      <c r="G66" s="2" t="s">
        <v>1186</v>
      </c>
      <c r="H66" s="294"/>
      <c r="I66" s="294" t="s">
        <v>1336</v>
      </c>
      <c r="K66" s="294" t="s">
        <v>1336</v>
      </c>
      <c r="L66" s="889" t="s">
        <v>946</v>
      </c>
      <c r="M66" s="26"/>
      <c r="Q66" s="77" t="s">
        <v>2200</v>
      </c>
      <c r="R66" s="80" t="s">
        <v>2200</v>
      </c>
      <c r="T66" s="388" t="b" cm="1">
        <f t="array" ref="T66">T65</f>
        <v>0</v>
      </c>
      <c r="X66" s="2032"/>
      <c r="Z66" s="2012"/>
      <c r="AB66" s="217" t="s">
        <v>1337</v>
      </c>
      <c r="AC66" s="685" t="s">
        <v>1964</v>
      </c>
      <c r="AD66" s="218" t="s">
        <v>831</v>
      </c>
      <c r="AE66" s="1160"/>
      <c r="AF66" s="1160"/>
      <c r="AG66" s="1160"/>
      <c r="AH66" s="855">
        <f t="shared" si="6"/>
        <v>0</v>
      </c>
      <c r="AI66" s="1563"/>
      <c r="AJ66" s="1560"/>
      <c r="AK66" s="854"/>
      <c r="AL66" s="854"/>
      <c r="AM66" s="854"/>
      <c r="AN66" s="854"/>
      <c r="AO66" s="854"/>
      <c r="AP66" s="854"/>
      <c r="AQ66" s="854"/>
      <c r="AR66" s="854"/>
      <c r="AS66" s="854"/>
      <c r="AT66" s="854"/>
      <c r="AU66" s="854"/>
      <c r="AV66" s="854"/>
      <c r="AW66" s="854"/>
      <c r="AX66" s="854"/>
      <c r="AY66" s="854"/>
      <c r="AZ66" s="854"/>
      <c r="BA66" s="854"/>
      <c r="BB66" s="854"/>
      <c r="BC66" s="854"/>
      <c r="BD66" s="854"/>
      <c r="BE66" s="854"/>
      <c r="BF66" s="854"/>
      <c r="BG66" s="854"/>
      <c r="BH66" s="854"/>
      <c r="BI66" s="854"/>
      <c r="BJ66" s="854"/>
      <c r="BK66" s="854"/>
      <c r="BL66" s="854"/>
      <c r="BM66" s="854"/>
      <c r="BN66" s="1158"/>
      <c r="BO66" s="1161" t="str">
        <f ca="1">IF(IFERROR(INDEX(Административные!$K$26:$L$84,MATCH($F66&amp;"3komm",Административные!$K$26:$K$84,0),2),"")=0,"",IFERROR(INDEX(Административные!$K$26:$L$84,MATCH($F66&amp;"3komm",Административные!$K$26:$K$84,0),2),""))</f>
        <v/>
      </c>
      <c r="BP66" s="1158"/>
      <c r="BS66" s="971" t="s">
        <v>1188</v>
      </c>
    </row>
    <row r="67" spans="2:75" ht="14.65" hidden="1" customHeight="1" x14ac:dyDescent="0.25">
      <c r="E67" s="626">
        <v>15</v>
      </c>
      <c r="F67" s="3" cm="1">
        <f t="array" aca="1" ref="F67" ca="1">OFFSET(E67,-1,1)</f>
        <v>0</v>
      </c>
      <c r="G67" s="2" t="s">
        <v>1189</v>
      </c>
      <c r="H67" s="294"/>
      <c r="I67" s="294" t="s">
        <v>1965</v>
      </c>
      <c r="K67" s="294" t="s">
        <v>1965</v>
      </c>
      <c r="L67" s="889" t="s">
        <v>949</v>
      </c>
      <c r="M67" s="26"/>
      <c r="Q67" s="77" t="s">
        <v>2200</v>
      </c>
      <c r="R67" s="80" t="s">
        <v>2200</v>
      </c>
      <c r="T67" s="388" t="b" cm="1">
        <f t="array" ref="T67">T66</f>
        <v>0</v>
      </c>
      <c r="X67" s="2032"/>
      <c r="Z67" s="2012"/>
      <c r="AB67" s="217" t="s">
        <v>1966</v>
      </c>
      <c r="AC67" s="685" t="s">
        <v>1967</v>
      </c>
      <c r="AD67" s="218" t="s">
        <v>831</v>
      </c>
      <c r="AE67" s="1160"/>
      <c r="AF67" s="1160"/>
      <c r="AG67" s="1160"/>
      <c r="AH67" s="855">
        <f t="shared" si="6"/>
        <v>0</v>
      </c>
      <c r="AI67" s="1563"/>
      <c r="AJ67" s="1560"/>
      <c r="AK67" s="854"/>
      <c r="AL67" s="854"/>
      <c r="AM67" s="854"/>
      <c r="AN67" s="854"/>
      <c r="AO67" s="854"/>
      <c r="AP67" s="854"/>
      <c r="AQ67" s="854"/>
      <c r="AR67" s="854"/>
      <c r="AS67" s="854"/>
      <c r="AT67" s="854"/>
      <c r="AU67" s="854"/>
      <c r="AV67" s="854"/>
      <c r="AW67" s="854"/>
      <c r="AX67" s="854"/>
      <c r="AY67" s="854"/>
      <c r="AZ67" s="854"/>
      <c r="BA67" s="854"/>
      <c r="BB67" s="854"/>
      <c r="BC67" s="854"/>
      <c r="BD67" s="854"/>
      <c r="BE67" s="854"/>
      <c r="BF67" s="854"/>
      <c r="BG67" s="854"/>
      <c r="BH67" s="854"/>
      <c r="BI67" s="854"/>
      <c r="BJ67" s="854"/>
      <c r="BK67" s="854"/>
      <c r="BL67" s="854"/>
      <c r="BM67" s="854"/>
      <c r="BN67" s="1158"/>
      <c r="BO67" s="1161" t="str">
        <f ca="1">IF(IFERROR(INDEX(Административные!$K$26:$L$84,MATCH($F67&amp;"4komm",Административные!$K$26:$K$84,0),2),"")=0,"",IFERROR(INDEX(Административные!$K$26:$L$84,MATCH($F67&amp;"4komm",Административные!$K$26:$K$84,0),2),""))</f>
        <v/>
      </c>
      <c r="BP67" s="1158"/>
      <c r="BS67" s="971" t="s">
        <v>1191</v>
      </c>
    </row>
    <row r="68" spans="2:75" ht="14.65" hidden="1" customHeight="1" x14ac:dyDescent="0.25">
      <c r="E68" s="626">
        <v>15</v>
      </c>
      <c r="F68" s="3" cm="1">
        <f t="array" aca="1" ref="F68" ca="1">OFFSET(E68,-1,1)</f>
        <v>0</v>
      </c>
      <c r="G68" s="2" t="s">
        <v>1192</v>
      </c>
      <c r="H68" s="294"/>
      <c r="I68" s="294" t="s">
        <v>1968</v>
      </c>
      <c r="K68" s="294" t="s">
        <v>1968</v>
      </c>
      <c r="L68" s="889" t="s">
        <v>1174</v>
      </c>
      <c r="M68" s="26"/>
      <c r="Q68" s="77" t="s">
        <v>2200</v>
      </c>
      <c r="R68" s="80" t="s">
        <v>2200</v>
      </c>
      <c r="T68" s="388" t="b" cm="1">
        <f t="array" ref="T68">T67</f>
        <v>0</v>
      </c>
      <c r="X68" s="2032"/>
      <c r="Z68" s="2012"/>
      <c r="AB68" s="217" t="s">
        <v>1969</v>
      </c>
      <c r="AC68" s="685" t="s">
        <v>1970</v>
      </c>
      <c r="AD68" s="218" t="s">
        <v>831</v>
      </c>
      <c r="AE68" s="1160"/>
      <c r="AF68" s="1160"/>
      <c r="AG68" s="1160"/>
      <c r="AH68" s="855">
        <f t="shared" si="6"/>
        <v>0</v>
      </c>
      <c r="AI68" s="1563"/>
      <c r="AJ68" s="1560"/>
      <c r="AK68" s="854"/>
      <c r="AL68" s="854"/>
      <c r="AM68" s="854"/>
      <c r="AN68" s="854"/>
      <c r="AO68" s="854"/>
      <c r="AP68" s="854"/>
      <c r="AQ68" s="854"/>
      <c r="AR68" s="854"/>
      <c r="AS68" s="854"/>
      <c r="AT68" s="854"/>
      <c r="AU68" s="854"/>
      <c r="AV68" s="854"/>
      <c r="AW68" s="854"/>
      <c r="AX68" s="854"/>
      <c r="AY68" s="854"/>
      <c r="AZ68" s="854"/>
      <c r="BA68" s="854"/>
      <c r="BB68" s="854"/>
      <c r="BC68" s="854"/>
      <c r="BD68" s="854"/>
      <c r="BE68" s="854"/>
      <c r="BF68" s="854"/>
      <c r="BG68" s="854"/>
      <c r="BH68" s="854"/>
      <c r="BI68" s="854"/>
      <c r="BJ68" s="854"/>
      <c r="BK68" s="854"/>
      <c r="BL68" s="854"/>
      <c r="BM68" s="854"/>
      <c r="BN68" s="1158"/>
      <c r="BO68" s="1161" t="str">
        <f ca="1">IF(IFERROR(INDEX(Административные!$K$26:$L$84,MATCH($F68&amp;"5komm",Административные!$K$26:$K$84,0),2),"")=0,"",IFERROR(INDEX(Административные!$K$26:$L$84,MATCH($F68&amp;"5komm",Административные!$K$26:$K$84,0),2),""))</f>
        <v/>
      </c>
      <c r="BP68" s="1158"/>
      <c r="BS68" s="971" t="s">
        <v>1769</v>
      </c>
    </row>
    <row r="69" spans="2:75" ht="14.65" hidden="1" customHeight="1" x14ac:dyDescent="0.25">
      <c r="E69" s="626">
        <v>15</v>
      </c>
      <c r="F69" s="3" cm="1">
        <f t="array" aca="1" ref="F69" ca="1">OFFSET(E69,-1,1)</f>
        <v>0</v>
      </c>
      <c r="G69" s="2" t="s">
        <v>1195</v>
      </c>
      <c r="H69" s="294"/>
      <c r="I69" s="294" t="s">
        <v>1971</v>
      </c>
      <c r="K69" s="294" t="s">
        <v>1971</v>
      </c>
      <c r="L69" s="889" t="s">
        <v>1179</v>
      </c>
      <c r="M69" s="26"/>
      <c r="Q69" s="77" t="s">
        <v>2200</v>
      </c>
      <c r="R69" s="80" t="s">
        <v>2200</v>
      </c>
      <c r="T69" s="388" t="b" cm="1">
        <f t="array" ref="T69">T68</f>
        <v>0</v>
      </c>
      <c r="X69" s="2032"/>
      <c r="Z69" s="2012"/>
      <c r="AB69" s="217" t="s">
        <v>1972</v>
      </c>
      <c r="AC69" s="685" t="s">
        <v>1973</v>
      </c>
      <c r="AD69" s="218" t="s">
        <v>831</v>
      </c>
      <c r="AE69" s="855">
        <f>SUM(AE70:AE72)</f>
        <v>0</v>
      </c>
      <c r="AF69" s="855">
        <f>SUM(AF70:AF72)</f>
        <v>0</v>
      </c>
      <c r="AG69" s="855">
        <f>SUM(AG70:AG72)</f>
        <v>0</v>
      </c>
      <c r="AH69" s="855">
        <f t="shared" si="6"/>
        <v>0</v>
      </c>
      <c r="AI69" s="1562">
        <f>SUM(AI70:AI72)</f>
        <v>0</v>
      </c>
      <c r="AJ69" s="1560"/>
      <c r="AK69" s="854"/>
      <c r="AL69" s="854"/>
      <c r="AM69" s="854"/>
      <c r="AN69" s="854"/>
      <c r="AO69" s="854"/>
      <c r="AP69" s="854"/>
      <c r="AQ69" s="854"/>
      <c r="AR69" s="854"/>
      <c r="AS69" s="854"/>
      <c r="AT69" s="854"/>
      <c r="AU69" s="854"/>
      <c r="AV69" s="854"/>
      <c r="AW69" s="854"/>
      <c r="AX69" s="854"/>
      <c r="AY69" s="854"/>
      <c r="AZ69" s="854"/>
      <c r="BA69" s="854"/>
      <c r="BB69" s="854"/>
      <c r="BC69" s="854"/>
      <c r="BD69" s="854"/>
      <c r="BE69" s="854"/>
      <c r="BF69" s="854"/>
      <c r="BG69" s="854"/>
      <c r="BH69" s="854"/>
      <c r="BI69" s="854"/>
      <c r="BJ69" s="854"/>
      <c r="BK69" s="854"/>
      <c r="BL69" s="854"/>
      <c r="BM69" s="854"/>
      <c r="BN69" s="1158"/>
      <c r="BO69" s="1161" t="str">
        <f ca="1">IF(IFERROR(INDEX(Административные!$K$26:$L$84,MATCH($F69&amp;"6komm",Административные!$K$26:$K$84,0),2),"")=0,"",IFERROR(INDEX(Административные!$K$26:$L$84,MATCH($F69&amp;"6komm",Административные!$K$26:$K$84,0),2),""))</f>
        <v/>
      </c>
      <c r="BP69" s="1158"/>
      <c r="BS69" s="971" t="s">
        <v>1771</v>
      </c>
    </row>
    <row r="70" spans="2:75" ht="14.65" hidden="1" customHeight="1" x14ac:dyDescent="0.25">
      <c r="E70" s="626">
        <v>15</v>
      </c>
      <c r="F70" s="3" cm="1">
        <f t="array" aca="1" ref="F70" ca="1">OFFSET(E70,-1,1)</f>
        <v>0</v>
      </c>
      <c r="G70" s="2" t="s">
        <v>1197</v>
      </c>
      <c r="H70" s="294"/>
      <c r="I70" s="294" t="s">
        <v>1974</v>
      </c>
      <c r="K70" s="294" t="s">
        <v>1974</v>
      </c>
      <c r="L70" s="889" t="s">
        <v>1772</v>
      </c>
      <c r="M70" s="26"/>
      <c r="Q70" s="77" t="s">
        <v>2200</v>
      </c>
      <c r="R70" s="80" t="s">
        <v>2200</v>
      </c>
      <c r="T70" s="388" t="b" cm="1">
        <f t="array" ref="T70">T69</f>
        <v>0</v>
      </c>
      <c r="X70" s="2032"/>
      <c r="Z70" s="2012"/>
      <c r="AB70" s="217" t="s">
        <v>1975</v>
      </c>
      <c r="AC70" s="688" t="s">
        <v>1774</v>
      </c>
      <c r="AD70" s="218" t="s">
        <v>831</v>
      </c>
      <c r="AE70" s="1160"/>
      <c r="AF70" s="1160"/>
      <c r="AG70" s="1160"/>
      <c r="AH70" s="855">
        <f t="shared" si="6"/>
        <v>0</v>
      </c>
      <c r="AI70" s="1563"/>
      <c r="AJ70" s="1560"/>
      <c r="AK70" s="854"/>
      <c r="AL70" s="854"/>
      <c r="AM70" s="854"/>
      <c r="AN70" s="854"/>
      <c r="AO70" s="854"/>
      <c r="AP70" s="854"/>
      <c r="AQ70" s="854"/>
      <c r="AR70" s="854"/>
      <c r="AS70" s="854"/>
      <c r="AT70" s="854"/>
      <c r="AU70" s="854"/>
      <c r="AV70" s="854"/>
      <c r="AW70" s="854"/>
      <c r="AX70" s="854"/>
      <c r="AY70" s="854"/>
      <c r="AZ70" s="854"/>
      <c r="BA70" s="854"/>
      <c r="BB70" s="854"/>
      <c r="BC70" s="854"/>
      <c r="BD70" s="854"/>
      <c r="BE70" s="854"/>
      <c r="BF70" s="854"/>
      <c r="BG70" s="854"/>
      <c r="BH70" s="854"/>
      <c r="BI70" s="854"/>
      <c r="BJ70" s="854"/>
      <c r="BK70" s="854"/>
      <c r="BL70" s="854"/>
      <c r="BM70" s="854"/>
      <c r="BN70" s="1158"/>
      <c r="BO70" s="1161" t="str">
        <f ca="1">IF(IFERROR(INDEX(Административные!$K$26:$L$84,MATCH($F70&amp;"7komm",Административные!$K$26:$K$84,0),2),"")=0,"",IFERROR(INDEX(Административные!$K$26:$L$84,MATCH($F70&amp;"7komm",Административные!$K$26:$K$84,0),2),""))</f>
        <v/>
      </c>
      <c r="BP70" s="1158"/>
      <c r="BS70" s="971" t="s">
        <v>1775</v>
      </c>
    </row>
    <row r="71" spans="2:75" ht="14.65" hidden="1" customHeight="1" x14ac:dyDescent="0.25">
      <c r="E71" s="626">
        <v>15</v>
      </c>
      <c r="F71" s="3" cm="1">
        <f t="array" aca="1" ref="F71" ca="1">OFFSET(E71,-1,1)</f>
        <v>0</v>
      </c>
      <c r="G71" s="2" t="s">
        <v>1200</v>
      </c>
      <c r="H71" s="294"/>
      <c r="I71" s="294" t="s">
        <v>1976</v>
      </c>
      <c r="K71" s="294" t="s">
        <v>1976</v>
      </c>
      <c r="L71" s="889" t="s">
        <v>1776</v>
      </c>
      <c r="M71" s="26"/>
      <c r="Q71" s="77" t="s">
        <v>2200</v>
      </c>
      <c r="R71" s="80" t="s">
        <v>2200</v>
      </c>
      <c r="T71" s="388" t="b" cm="1">
        <f t="array" ref="T71">T70</f>
        <v>0</v>
      </c>
      <c r="X71" s="2032"/>
      <c r="Z71" s="2012"/>
      <c r="AB71" s="217" t="s">
        <v>1977</v>
      </c>
      <c r="AC71" s="688" t="s">
        <v>1201</v>
      </c>
      <c r="AD71" s="218" t="s">
        <v>831</v>
      </c>
      <c r="AE71" s="1160"/>
      <c r="AF71" s="1160"/>
      <c r="AG71" s="1160"/>
      <c r="AH71" s="855">
        <f t="shared" si="6"/>
        <v>0</v>
      </c>
      <c r="AI71" s="1563"/>
      <c r="AJ71" s="1560"/>
      <c r="AK71" s="854"/>
      <c r="AL71" s="854"/>
      <c r="AM71" s="854"/>
      <c r="AN71" s="854"/>
      <c r="AO71" s="854"/>
      <c r="AP71" s="854"/>
      <c r="AQ71" s="854"/>
      <c r="AR71" s="854"/>
      <c r="AS71" s="854"/>
      <c r="AT71" s="854"/>
      <c r="AU71" s="854"/>
      <c r="AV71" s="854"/>
      <c r="AW71" s="854"/>
      <c r="AX71" s="854"/>
      <c r="AY71" s="854"/>
      <c r="AZ71" s="854"/>
      <c r="BA71" s="854"/>
      <c r="BB71" s="854"/>
      <c r="BC71" s="854"/>
      <c r="BD71" s="854"/>
      <c r="BE71" s="854"/>
      <c r="BF71" s="854"/>
      <c r="BG71" s="854"/>
      <c r="BH71" s="854"/>
      <c r="BI71" s="854"/>
      <c r="BJ71" s="854"/>
      <c r="BK71" s="854"/>
      <c r="BL71" s="854"/>
      <c r="BM71" s="854"/>
      <c r="BN71" s="1158"/>
      <c r="BO71" s="1161" t="str">
        <f ca="1">IF(IFERROR(INDEX(Административные!$K$26:$L$84,MATCH($F71&amp;"8komm",Административные!$K$26:$K$84,0),2),"")=0,"",IFERROR(INDEX(Административные!$K$26:$L$84,MATCH($F71&amp;"8komm",Административные!$K$26:$K$84,0),2),""))</f>
        <v/>
      </c>
      <c r="BP71" s="1158"/>
      <c r="BS71" s="971" t="s">
        <v>1778</v>
      </c>
    </row>
    <row r="72" spans="2:75" ht="14.65" hidden="1" customHeight="1" x14ac:dyDescent="0.25">
      <c r="E72" s="626">
        <v>15</v>
      </c>
      <c r="F72" s="3" cm="1">
        <f t="array" aca="1" ref="F72" ca="1">OFFSET(E72,-1,1)</f>
        <v>0</v>
      </c>
      <c r="G72" s="77" t="s">
        <v>1203</v>
      </c>
      <c r="H72" s="294"/>
      <c r="I72" s="294" t="s">
        <v>1978</v>
      </c>
      <c r="K72" s="294" t="s">
        <v>1978</v>
      </c>
      <c r="L72" s="889" t="s">
        <v>1779</v>
      </c>
      <c r="M72" s="26"/>
      <c r="Q72" s="77" t="s">
        <v>2200</v>
      </c>
      <c r="R72" s="80" t="s">
        <v>2200</v>
      </c>
      <c r="T72" s="388" t="b" cm="1">
        <f t="array" ref="T72">T71</f>
        <v>0</v>
      </c>
      <c r="X72" s="2032"/>
      <c r="Z72" s="2012"/>
      <c r="AB72" s="217" t="s">
        <v>1979</v>
      </c>
      <c r="AC72" s="688" t="s">
        <v>1204</v>
      </c>
      <c r="AD72" s="218" t="s">
        <v>831</v>
      </c>
      <c r="AE72" s="1160"/>
      <c r="AF72" s="1160"/>
      <c r="AG72" s="1160"/>
      <c r="AH72" s="855">
        <f t="shared" si="6"/>
        <v>0</v>
      </c>
      <c r="AI72" s="1563"/>
      <c r="AJ72" s="1264"/>
      <c r="AK72" s="854"/>
      <c r="AL72" s="854"/>
      <c r="AM72" s="854"/>
      <c r="AN72" s="854"/>
      <c r="AO72" s="854"/>
      <c r="AP72" s="854"/>
      <c r="AQ72" s="854"/>
      <c r="AR72" s="854"/>
      <c r="AS72" s="854"/>
      <c r="AT72" s="854"/>
      <c r="AU72" s="854"/>
      <c r="AV72" s="854"/>
      <c r="AW72" s="854"/>
      <c r="AX72" s="854"/>
      <c r="AY72" s="854"/>
      <c r="AZ72" s="854"/>
      <c r="BA72" s="854"/>
      <c r="BB72" s="854"/>
      <c r="BC72" s="854"/>
      <c r="BD72" s="854"/>
      <c r="BE72" s="854"/>
      <c r="BF72" s="854"/>
      <c r="BG72" s="854"/>
      <c r="BH72" s="854"/>
      <c r="BI72" s="854"/>
      <c r="BJ72" s="854"/>
      <c r="BK72" s="854"/>
      <c r="BL72" s="854"/>
      <c r="BM72" s="854"/>
      <c r="BN72" s="1158"/>
      <c r="BO72" s="1161" t="str">
        <f ca="1">IF(IFERROR(INDEX(Административные!$K$26:$L$84,MATCH($F72&amp;"9komm",Административные!$K$26:$K$84,0),2),"")=0,"",IFERROR(INDEX(Административные!$K$26:$L$84,MATCH($F72&amp;"9komm",Административные!$K$26:$K$84,0),2),""))</f>
        <v/>
      </c>
      <c r="BP72" s="1158"/>
      <c r="BS72" s="971" t="s">
        <v>1781</v>
      </c>
    </row>
    <row r="73" spans="2:75" ht="21.95" hidden="1" customHeight="1" x14ac:dyDescent="0.25">
      <c r="B73" s="354" t="b">
        <f>STATUS_GO="да"</f>
        <v>1</v>
      </c>
      <c r="E73" s="626">
        <v>22.5</v>
      </c>
      <c r="F73" s="3" cm="1">
        <f t="array" aca="1" ref="F73" ca="1">OFFSET(E73,-1,1)</f>
        <v>0</v>
      </c>
      <c r="H73" s="294"/>
      <c r="I73" s="294" t="s">
        <v>922</v>
      </c>
      <c r="K73" s="294" t="s">
        <v>922</v>
      </c>
      <c r="L73" s="889" t="s">
        <v>335</v>
      </c>
      <c r="M73" s="26"/>
      <c r="Q73" s="77" t="s">
        <v>2200</v>
      </c>
      <c r="R73" s="80" t="s">
        <v>2200</v>
      </c>
      <c r="T73" s="388" t="b" cm="1">
        <f t="array" ref="T73">T72</f>
        <v>0</v>
      </c>
      <c r="X73" s="2032"/>
      <c r="Z73" s="2012"/>
      <c r="AB73" s="217" t="s">
        <v>923</v>
      </c>
      <c r="AC73" s="682" t="s">
        <v>1980</v>
      </c>
      <c r="AD73" s="218" t="s">
        <v>831</v>
      </c>
      <c r="AE73" s="1160"/>
      <c r="AF73" s="1160"/>
      <c r="AG73" s="1160"/>
      <c r="AH73" s="855">
        <f t="shared" si="6"/>
        <v>0</v>
      </c>
      <c r="AI73" s="1563"/>
      <c r="AJ73" s="1560"/>
      <c r="AK73" s="854"/>
      <c r="AL73" s="854"/>
      <c r="AM73" s="854"/>
      <c r="AN73" s="854"/>
      <c r="AO73" s="854"/>
      <c r="AP73" s="854"/>
      <c r="AQ73" s="854"/>
      <c r="AR73" s="854"/>
      <c r="AS73" s="854"/>
      <c r="AT73" s="854"/>
      <c r="AU73" s="854"/>
      <c r="AV73" s="854"/>
      <c r="AW73" s="854"/>
      <c r="AX73" s="854"/>
      <c r="AY73" s="854"/>
      <c r="AZ73" s="854"/>
      <c r="BA73" s="854"/>
      <c r="BB73" s="854"/>
      <c r="BC73" s="854"/>
      <c r="BD73" s="854"/>
      <c r="BE73" s="854"/>
      <c r="BF73" s="854"/>
      <c r="BG73" s="854"/>
      <c r="BH73" s="854"/>
      <c r="BI73" s="854"/>
      <c r="BJ73" s="854"/>
      <c r="BK73" s="854"/>
      <c r="BL73" s="854"/>
      <c r="BM73" s="854"/>
      <c r="BN73" s="1158"/>
      <c r="BO73" s="1158"/>
      <c r="BP73" s="1158"/>
      <c r="BS73" s="972" t="s">
        <v>1783</v>
      </c>
    </row>
    <row r="74" spans="2:75" ht="14.65" hidden="1" customHeight="1" x14ac:dyDescent="0.15">
      <c r="E74" s="626">
        <v>15</v>
      </c>
      <c r="F74" s="3" cm="1">
        <f t="array" aca="1" ref="F74" ca="1">OFFSET(E74,-1,1)</f>
        <v>0</v>
      </c>
      <c r="H74" s="294"/>
      <c r="I74" s="294" t="s">
        <v>1721</v>
      </c>
      <c r="K74" s="294" t="s">
        <v>1721</v>
      </c>
      <c r="L74" s="889"/>
      <c r="M74" s="26"/>
      <c r="Q74" s="77" t="s">
        <v>2200</v>
      </c>
      <c r="R74" s="80" t="s">
        <v>2200</v>
      </c>
      <c r="T74" s="388" t="b" cm="1">
        <f t="array" ref="T74">T73</f>
        <v>0</v>
      </c>
      <c r="X74" s="2032"/>
      <c r="Z74" s="2012"/>
      <c r="AB74" s="217" t="s">
        <v>1722</v>
      </c>
      <c r="AC74" s="682" t="s">
        <v>1981</v>
      </c>
      <c r="AD74" s="218" t="s">
        <v>831</v>
      </c>
      <c r="AE74" s="1160"/>
      <c r="AF74" s="1160"/>
      <c r="AG74" s="1160"/>
      <c r="AH74" s="855">
        <f t="shared" si="6"/>
        <v>0</v>
      </c>
      <c r="AI74" s="1563"/>
      <c r="AJ74" s="1560"/>
      <c r="AK74" s="854"/>
      <c r="AL74" s="854"/>
      <c r="AM74" s="854"/>
      <c r="AN74" s="854"/>
      <c r="AO74" s="854"/>
      <c r="AP74" s="854"/>
      <c r="AQ74" s="854"/>
      <c r="AR74" s="854"/>
      <c r="AS74" s="854"/>
      <c r="AT74" s="854"/>
      <c r="AU74" s="854"/>
      <c r="AV74" s="854"/>
      <c r="AW74" s="854"/>
      <c r="AX74" s="854"/>
      <c r="AY74" s="854"/>
      <c r="AZ74" s="854"/>
      <c r="BA74" s="854"/>
      <c r="BB74" s="854"/>
      <c r="BC74" s="854"/>
      <c r="BD74" s="854"/>
      <c r="BE74" s="854"/>
      <c r="BF74" s="854"/>
      <c r="BG74" s="854"/>
      <c r="BH74" s="854"/>
      <c r="BI74" s="854"/>
      <c r="BJ74" s="854"/>
      <c r="BK74" s="854"/>
      <c r="BL74" s="854"/>
      <c r="BM74" s="854"/>
      <c r="BN74" s="1158"/>
      <c r="BO74" s="1158"/>
      <c r="BP74" s="1158"/>
      <c r="BS74" s="973" t="s">
        <v>1982</v>
      </c>
    </row>
    <row r="75" spans="2:75" s="623" customFormat="1" ht="20.45" hidden="1" customHeight="1" x14ac:dyDescent="0.15">
      <c r="B75" s="357"/>
      <c r="E75" s="630">
        <v>21</v>
      </c>
      <c r="F75" s="3" cm="1">
        <f t="array" aca="1" ref="F75" ca="1">OFFSET(E75,-1,1)</f>
        <v>0</v>
      </c>
      <c r="H75" s="294"/>
      <c r="I75" s="294" t="s">
        <v>1725</v>
      </c>
      <c r="K75" s="294" t="s">
        <v>1725</v>
      </c>
      <c r="L75" s="894"/>
      <c r="M75" s="28"/>
      <c r="Q75" s="77" t="s">
        <v>2200</v>
      </c>
      <c r="R75" s="80" t="s">
        <v>2200</v>
      </c>
      <c r="T75" s="388" t="b" cm="1">
        <f t="array" ref="T75">T74</f>
        <v>0</v>
      </c>
      <c r="X75" s="2032"/>
      <c r="Z75" s="2012"/>
      <c r="AB75" s="137" t="s">
        <v>1726</v>
      </c>
      <c r="AC75" s="277" t="s">
        <v>1983</v>
      </c>
      <c r="AD75" s="130" t="s">
        <v>831</v>
      </c>
      <c r="AE75" s="690">
        <f>SUM(AE76:AE77)</f>
        <v>0</v>
      </c>
      <c r="AF75" s="690">
        <f>SUM(AF76:AF77)</f>
        <v>0</v>
      </c>
      <c r="AG75" s="690">
        <f>SUM(AG76:AG77)</f>
        <v>0</v>
      </c>
      <c r="AH75" s="681">
        <f t="shared" si="6"/>
        <v>0</v>
      </c>
      <c r="AI75" s="1565">
        <f>SUM(AI76:AI77)</f>
        <v>0</v>
      </c>
      <c r="AJ75" s="1560"/>
      <c r="AK75" s="684"/>
      <c r="AL75" s="684"/>
      <c r="AM75" s="684"/>
      <c r="AN75" s="684"/>
      <c r="AO75" s="684"/>
      <c r="AP75" s="684"/>
      <c r="AQ75" s="684"/>
      <c r="AR75" s="684"/>
      <c r="AS75" s="684"/>
      <c r="AT75" s="854"/>
      <c r="AU75" s="854"/>
      <c r="AV75" s="684"/>
      <c r="AW75" s="684"/>
      <c r="AX75" s="684"/>
      <c r="AY75" s="684"/>
      <c r="AZ75" s="684"/>
      <c r="BA75" s="684"/>
      <c r="BB75" s="684"/>
      <c r="BC75" s="684"/>
      <c r="BD75" s="684"/>
      <c r="BE75" s="684"/>
      <c r="BF75" s="684"/>
      <c r="BG75" s="684"/>
      <c r="BH75" s="684"/>
      <c r="BI75" s="684"/>
      <c r="BJ75" s="684"/>
      <c r="BK75" s="684"/>
      <c r="BL75" s="684"/>
      <c r="BM75" s="684"/>
      <c r="BN75" s="1154"/>
      <c r="BO75" s="1154"/>
      <c r="BP75" s="1154"/>
      <c r="BS75" s="979" t="s">
        <v>1984</v>
      </c>
      <c r="BT75" s="979"/>
      <c r="BU75" s="979"/>
      <c r="BV75" s="630"/>
      <c r="BW75" s="630"/>
    </row>
    <row r="76" spans="2:75" ht="14.65" hidden="1" customHeight="1" x14ac:dyDescent="0.15">
      <c r="E76" s="626">
        <v>15</v>
      </c>
      <c r="F76" s="3" cm="1">
        <f t="array" aca="1" ref="F76" ca="1">OFFSET(E76,-1,1)</f>
        <v>0</v>
      </c>
      <c r="I76" s="294" t="s">
        <v>1725</v>
      </c>
      <c r="J76" s="77" cm="1">
        <f t="array" ref="J76">AC76</f>
        <v>0</v>
      </c>
      <c r="K76" s="294" t="s">
        <v>1725</v>
      </c>
      <c r="L76" s="889"/>
      <c r="M76" s="26"/>
      <c r="Q76" s="77" t="s">
        <v>2200</v>
      </c>
      <c r="R76" s="80" t="s">
        <v>2200</v>
      </c>
      <c r="T76" s="388" t="b">
        <f ca="1">AND(F76&gt;0,Y76&gt;0)</f>
        <v>0</v>
      </c>
      <c r="W76" s="77" t="s">
        <v>172</v>
      </c>
      <c r="X76" s="2032"/>
      <c r="Y76" s="77">
        <v>0</v>
      </c>
      <c r="Z76" s="2012"/>
      <c r="AA76" s="342" t="s">
        <v>173</v>
      </c>
      <c r="AB76" s="218" t="str">
        <f>"1.7."&amp;Y76</f>
        <v>1.7.0</v>
      </c>
      <c r="AC76" s="1150"/>
      <c r="AD76" s="218" t="s">
        <v>831</v>
      </c>
      <c r="AE76" s="1162"/>
      <c r="AF76" s="1162"/>
      <c r="AG76" s="1162"/>
      <c r="AH76" s="177">
        <f t="shared" si="6"/>
        <v>0</v>
      </c>
      <c r="AI76" s="1566"/>
      <c r="AJ76" s="1567"/>
      <c r="AK76" s="857"/>
      <c r="AL76" s="857"/>
      <c r="AM76" s="857"/>
      <c r="AN76" s="857"/>
      <c r="AO76" s="857"/>
      <c r="AP76" s="857"/>
      <c r="AQ76" s="857"/>
      <c r="AR76" s="857"/>
      <c r="AS76" s="857"/>
      <c r="AT76" s="854"/>
      <c r="AU76" s="857"/>
      <c r="AV76" s="857"/>
      <c r="AW76" s="857"/>
      <c r="AX76" s="857"/>
      <c r="AY76" s="857"/>
      <c r="AZ76" s="857"/>
      <c r="BA76" s="857"/>
      <c r="BB76" s="857"/>
      <c r="BC76" s="857"/>
      <c r="BD76" s="684"/>
      <c r="BE76" s="857"/>
      <c r="BF76" s="857"/>
      <c r="BG76" s="857"/>
      <c r="BH76" s="857"/>
      <c r="BI76" s="857"/>
      <c r="BJ76" s="857"/>
      <c r="BK76" s="857"/>
      <c r="BL76" s="857"/>
      <c r="BM76" s="857"/>
      <c r="BN76" s="1163"/>
      <c r="BO76" s="1163"/>
      <c r="BP76" s="1163"/>
      <c r="BS76" s="973" t="s">
        <v>1984</v>
      </c>
      <c r="BT76" s="973" t="s">
        <v>1985</v>
      </c>
      <c r="BU76" s="973" cm="1">
        <f t="array" ref="BU76">AC76</f>
        <v>0</v>
      </c>
      <c r="BW76" s="626" t="b">
        <v>1</v>
      </c>
    </row>
    <row r="77" spans="2:75" ht="14.65" hidden="1" customHeight="1" x14ac:dyDescent="0.15">
      <c r="E77" s="626">
        <v>15</v>
      </c>
      <c r="F77" s="3" cm="1">
        <f t="array" aca="1" ref="F77" ca="1">OFFSET(E77,-1,1)</f>
        <v>0</v>
      </c>
      <c r="G77" s="280"/>
      <c r="J77" s="77" t="s">
        <v>1986</v>
      </c>
      <c r="L77" s="889"/>
      <c r="M77" s="26"/>
      <c r="T77" s="388" t="b">
        <f ca="1">F77&gt;0</f>
        <v>0</v>
      </c>
      <c r="W77" s="625" t="s">
        <v>2201</v>
      </c>
      <c r="X77" s="2032"/>
      <c r="Z77" s="2012"/>
      <c r="AB77" s="695"/>
      <c r="AC77" s="178" t="s">
        <v>176</v>
      </c>
      <c r="AD77" s="696"/>
      <c r="AE77" s="696"/>
      <c r="AF77" s="696"/>
      <c r="AG77" s="696"/>
      <c r="AH77" s="696"/>
      <c r="AI77" s="696"/>
      <c r="AJ77" s="696"/>
      <c r="AK77" s="696"/>
      <c r="AL77" s="696"/>
      <c r="AM77" s="696"/>
      <c r="AN77" s="696"/>
      <c r="AO77" s="696"/>
      <c r="AP77" s="696"/>
      <c r="AQ77" s="696"/>
      <c r="AR77" s="696"/>
      <c r="AS77" s="696"/>
      <c r="AT77" s="696"/>
      <c r="AU77" s="696"/>
      <c r="AV77" s="696"/>
      <c r="AW77" s="696"/>
      <c r="AX77" s="696"/>
      <c r="AY77" s="696"/>
      <c r="AZ77" s="696"/>
      <c r="BA77" s="696"/>
      <c r="BB77" s="696"/>
      <c r="BC77" s="696"/>
      <c r="BD77" s="696"/>
      <c r="BE77" s="696"/>
      <c r="BF77" s="696"/>
      <c r="BG77" s="696"/>
      <c r="BH77" s="696"/>
      <c r="BI77" s="696"/>
      <c r="BJ77" s="696"/>
      <c r="BK77" s="696"/>
      <c r="BL77" s="696"/>
      <c r="BM77" s="696"/>
      <c r="BN77" s="696"/>
      <c r="BO77" s="696"/>
      <c r="BP77" s="697"/>
      <c r="BV77" s="626" t="s">
        <v>1985</v>
      </c>
    </row>
    <row r="78" spans="2:75" s="623" customFormat="1" ht="20.45" hidden="1" customHeight="1" x14ac:dyDescent="0.15">
      <c r="B78" s="357"/>
      <c r="E78" s="630">
        <v>21</v>
      </c>
      <c r="F78" s="3" cm="1">
        <f t="array" aca="1" ref="F78" ca="1">OFFSET(E78,-1,1)</f>
        <v>0</v>
      </c>
      <c r="H78" s="77"/>
      <c r="I78" s="77" t="s">
        <v>332</v>
      </c>
      <c r="K78" s="77" t="s">
        <v>332</v>
      </c>
      <c r="L78" s="894"/>
      <c r="M78" s="28"/>
      <c r="T78" s="388" t="b" cm="1">
        <f t="array" aca="1" ref="T78" ca="1">T77</f>
        <v>0</v>
      </c>
      <c r="X78" s="2032"/>
      <c r="Z78" s="2012"/>
      <c r="AB78" s="166" t="s">
        <v>289</v>
      </c>
      <c r="AC78" s="131" t="s">
        <v>1987</v>
      </c>
      <c r="AD78" s="153" t="s">
        <v>831</v>
      </c>
      <c r="AE78" s="132">
        <f ca="1">AE79+AE91+AE92++AE103+AE104+AE105+AE107+AE108+AE109+AE110+AE113</f>
        <v>0</v>
      </c>
      <c r="AF78" s="132">
        <f ca="1">AF79+AF91+AF92++AF103+AF104+AF105+AF107+AF108+AF109+AF110+AF113</f>
        <v>0</v>
      </c>
      <c r="AG78" s="132">
        <f ca="1">AG79+AG91+AG92++AG103+AG104+AG105+AG107+AG108+AG109+AG110+AG113</f>
        <v>0</v>
      </c>
      <c r="AH78" s="681">
        <f t="shared" ref="AH78:AH123" ca="1" si="7">AG78-AF78</f>
        <v>0</v>
      </c>
      <c r="AI78" s="690">
        <f t="shared" ref="AI78:BC78" ca="1" si="8">AI79+AI91+AI92++AI103+AI104+AI105+AI107+AI108+AI109+AI110+AI113</f>
        <v>0</v>
      </c>
      <c r="AJ78" s="690">
        <f t="shared" ca="1" si="8"/>
        <v>0</v>
      </c>
      <c r="AK78" s="690">
        <f t="shared" ca="1" si="8"/>
        <v>0</v>
      </c>
      <c r="AL78" s="690">
        <f t="shared" ca="1" si="8"/>
        <v>0</v>
      </c>
      <c r="AM78" s="690">
        <f t="shared" ca="1" si="8"/>
        <v>0</v>
      </c>
      <c r="AN78" s="690">
        <f t="shared" ca="1" si="8"/>
        <v>0</v>
      </c>
      <c r="AO78" s="690">
        <f t="shared" ca="1" si="8"/>
        <v>0</v>
      </c>
      <c r="AP78" s="690">
        <f t="shared" ca="1" si="8"/>
        <v>0</v>
      </c>
      <c r="AQ78" s="690">
        <f t="shared" ca="1" si="8"/>
        <v>0</v>
      </c>
      <c r="AR78" s="690">
        <f t="shared" ca="1" si="8"/>
        <v>0</v>
      </c>
      <c r="AS78" s="690">
        <f t="shared" ca="1" si="8"/>
        <v>0</v>
      </c>
      <c r="AT78" s="690">
        <f t="shared" ca="1" si="8"/>
        <v>0</v>
      </c>
      <c r="AU78" s="690">
        <f t="shared" ca="1" si="8"/>
        <v>0</v>
      </c>
      <c r="AV78" s="690">
        <f t="shared" ca="1" si="8"/>
        <v>0</v>
      </c>
      <c r="AW78" s="690">
        <f t="shared" ca="1" si="8"/>
        <v>0</v>
      </c>
      <c r="AX78" s="690">
        <f t="shared" ca="1" si="8"/>
        <v>0</v>
      </c>
      <c r="AY78" s="690">
        <f t="shared" ca="1" si="8"/>
        <v>0</v>
      </c>
      <c r="AZ78" s="690">
        <f t="shared" ca="1" si="8"/>
        <v>0</v>
      </c>
      <c r="BA78" s="690">
        <f t="shared" ca="1" si="8"/>
        <v>0</v>
      </c>
      <c r="BB78" s="690">
        <f t="shared" ca="1" si="8"/>
        <v>0</v>
      </c>
      <c r="BC78" s="690">
        <f t="shared" ca="1" si="8"/>
        <v>0</v>
      </c>
      <c r="BD78" s="681">
        <f t="shared" ref="BD78:BD123" ca="1" si="9">IF(AI78=0,0,(AT78-AI78)/AI78*100)</f>
        <v>0</v>
      </c>
      <c r="BE78" s="681">
        <f t="shared" ref="BE78:BE123" ca="1" si="10">IF(AT78=0,0,(AU78-AT78)/AT78*100)</f>
        <v>0</v>
      </c>
      <c r="BF78" s="681">
        <f t="shared" ref="BF78:BF123" ca="1" si="11">IF(AU78=0,0,(AV78-AU78)/AU78*100)</f>
        <v>0</v>
      </c>
      <c r="BG78" s="681">
        <f t="shared" ref="BG78:BG123" ca="1" si="12">IF(AV78=0,0,(AW78-AV78)/AV78*100)</f>
        <v>0</v>
      </c>
      <c r="BH78" s="681">
        <f t="shared" ref="BH78:BH123" ca="1" si="13">IF(AW78=0,0,(AX78-AW78)/AW78*100)</f>
        <v>0</v>
      </c>
      <c r="BI78" s="681">
        <f t="shared" ref="BI78:BI123" ca="1" si="14">IF(AX78=0,0,(AY78-AX78)/AX78*100)</f>
        <v>0</v>
      </c>
      <c r="BJ78" s="681">
        <f t="shared" ref="BJ78:BJ123" ca="1" si="15">IF(AY78=0,0,(AZ78-AY78)/AY78*100)</f>
        <v>0</v>
      </c>
      <c r="BK78" s="681">
        <f t="shared" ref="BK78:BK123" ca="1" si="16">IF(AZ78=0,0,(BA78-AZ78)/AZ78*100)</f>
        <v>0</v>
      </c>
      <c r="BL78" s="681">
        <f t="shared" ref="BL78:BL123" ca="1" si="17">IF(BA78=0,0,(BB78-BA78)/BA78*100)</f>
        <v>0</v>
      </c>
      <c r="BM78" s="681">
        <f t="shared" ref="BM78:BM123" ca="1" si="18">IF(BB78=0,0,(BC78-BB78)/BB78*100)</f>
        <v>0</v>
      </c>
      <c r="BN78" s="1163"/>
      <c r="BO78" s="1163"/>
      <c r="BP78" s="1163"/>
      <c r="BQ78" s="79"/>
      <c r="BS78" s="979" t="s">
        <v>1988</v>
      </c>
      <c r="BT78" s="979"/>
      <c r="BU78" s="979"/>
      <c r="BV78" s="630"/>
      <c r="BW78" s="630"/>
    </row>
    <row r="79" spans="2:75" s="623" customFormat="1" ht="21.95" hidden="1" customHeight="1" x14ac:dyDescent="0.15">
      <c r="B79" s="357"/>
      <c r="E79" s="630">
        <v>22.5</v>
      </c>
      <c r="F79" s="3" cm="1">
        <f t="array" aca="1" ref="F79" ca="1">OFFSET(E79,-1,1)</f>
        <v>0</v>
      </c>
      <c r="H79" s="77"/>
      <c r="I79" s="77" t="s">
        <v>512</v>
      </c>
      <c r="K79" s="77" t="s">
        <v>512</v>
      </c>
      <c r="L79" s="894" t="s">
        <v>498</v>
      </c>
      <c r="M79" s="28"/>
      <c r="T79" s="388" t="b" cm="1">
        <f t="array" aca="1" ref="T79" ca="1">T78</f>
        <v>0</v>
      </c>
      <c r="X79" s="2032"/>
      <c r="Z79" s="2012"/>
      <c r="AB79" s="137" t="s">
        <v>566</v>
      </c>
      <c r="AC79" s="277" t="s">
        <v>1989</v>
      </c>
      <c r="AD79" s="130" t="s">
        <v>831</v>
      </c>
      <c r="AE79" s="132">
        <f ca="1">SUM(AE80:AE90)</f>
        <v>0</v>
      </c>
      <c r="AF79" s="132">
        <f ca="1">SUM(AF80:AF90)</f>
        <v>0</v>
      </c>
      <c r="AG79" s="132">
        <f ca="1">SUM(AG80:AG90)</f>
        <v>0</v>
      </c>
      <c r="AH79" s="681">
        <f t="shared" ca="1" si="7"/>
        <v>0</v>
      </c>
      <c r="AI79" s="132">
        <f t="shared" ref="AI79:BC79" ca="1" si="19">SUM(AI80:AI90)</f>
        <v>0</v>
      </c>
      <c r="AJ79" s="132">
        <f t="shared" ca="1" si="19"/>
        <v>0</v>
      </c>
      <c r="AK79" s="132">
        <f t="shared" ca="1" si="19"/>
        <v>0</v>
      </c>
      <c r="AL79" s="132">
        <f t="shared" ca="1" si="19"/>
        <v>0</v>
      </c>
      <c r="AM79" s="132">
        <f t="shared" ca="1" si="19"/>
        <v>0</v>
      </c>
      <c r="AN79" s="132">
        <f t="shared" ca="1" si="19"/>
        <v>0</v>
      </c>
      <c r="AO79" s="132">
        <f t="shared" ca="1" si="19"/>
        <v>0</v>
      </c>
      <c r="AP79" s="132">
        <f t="shared" ca="1" si="19"/>
        <v>0</v>
      </c>
      <c r="AQ79" s="132">
        <f t="shared" ca="1" si="19"/>
        <v>0</v>
      </c>
      <c r="AR79" s="132">
        <f t="shared" ca="1" si="19"/>
        <v>0</v>
      </c>
      <c r="AS79" s="132">
        <f t="shared" ca="1" si="19"/>
        <v>0</v>
      </c>
      <c r="AT79" s="132">
        <f t="shared" ca="1" si="19"/>
        <v>0</v>
      </c>
      <c r="AU79" s="132">
        <f t="shared" ca="1" si="19"/>
        <v>0</v>
      </c>
      <c r="AV79" s="132">
        <f t="shared" ca="1" si="19"/>
        <v>0</v>
      </c>
      <c r="AW79" s="132">
        <f t="shared" ca="1" si="19"/>
        <v>0</v>
      </c>
      <c r="AX79" s="132">
        <f t="shared" ca="1" si="19"/>
        <v>0</v>
      </c>
      <c r="AY79" s="132">
        <f t="shared" ca="1" si="19"/>
        <v>0</v>
      </c>
      <c r="AZ79" s="132">
        <f t="shared" ca="1" si="19"/>
        <v>0</v>
      </c>
      <c r="BA79" s="132">
        <f t="shared" ca="1" si="19"/>
        <v>0</v>
      </c>
      <c r="BB79" s="132">
        <f t="shared" ca="1" si="19"/>
        <v>0</v>
      </c>
      <c r="BC79" s="132">
        <f t="shared" ca="1" si="19"/>
        <v>0</v>
      </c>
      <c r="BD79" s="681">
        <f t="shared" ca="1" si="9"/>
        <v>0</v>
      </c>
      <c r="BE79" s="681">
        <f t="shared" ca="1" si="10"/>
        <v>0</v>
      </c>
      <c r="BF79" s="681">
        <f t="shared" ca="1" si="11"/>
        <v>0</v>
      </c>
      <c r="BG79" s="681">
        <f t="shared" ca="1" si="12"/>
        <v>0</v>
      </c>
      <c r="BH79" s="681">
        <f t="shared" ca="1" si="13"/>
        <v>0</v>
      </c>
      <c r="BI79" s="681">
        <f t="shared" ca="1" si="14"/>
        <v>0</v>
      </c>
      <c r="BJ79" s="681">
        <f t="shared" ca="1" si="15"/>
        <v>0</v>
      </c>
      <c r="BK79" s="681">
        <f t="shared" ca="1" si="16"/>
        <v>0</v>
      </c>
      <c r="BL79" s="681">
        <f t="shared" ca="1" si="17"/>
        <v>0</v>
      </c>
      <c r="BM79" s="681">
        <f t="shared" ca="1" si="18"/>
        <v>0</v>
      </c>
      <c r="BN79" s="1147"/>
      <c r="BO79" s="1147"/>
      <c r="BP79" s="1147"/>
      <c r="BS79" s="979" t="s">
        <v>1990</v>
      </c>
      <c r="BT79" s="979"/>
      <c r="BU79" s="979"/>
      <c r="BV79" s="630"/>
      <c r="BW79" s="630"/>
    </row>
    <row r="80" spans="2:75" ht="14.65" hidden="1" customHeight="1" x14ac:dyDescent="0.15">
      <c r="E80" s="626">
        <v>15</v>
      </c>
      <c r="F80" s="3" cm="1">
        <f t="array" aca="1" ref="F80" ca="1">OFFSET(E80,-1,1)</f>
        <v>0</v>
      </c>
      <c r="G80" s="77" t="s">
        <v>1092</v>
      </c>
      <c r="I80" s="77" t="s">
        <v>1529</v>
      </c>
      <c r="K80" s="77" t="s">
        <v>1529</v>
      </c>
      <c r="L80" s="889" t="s">
        <v>1304</v>
      </c>
      <c r="M80" s="26"/>
      <c r="T80" s="388" t="b" cm="1">
        <f t="array" aca="1" ref="T80" ca="1">T79</f>
        <v>0</v>
      </c>
      <c r="X80" s="2032"/>
      <c r="Z80" s="2012"/>
      <c r="AB80" s="217" t="s">
        <v>520</v>
      </c>
      <c r="AC80" s="685" t="s">
        <v>1991</v>
      </c>
      <c r="AD80" s="218" t="s">
        <v>831</v>
      </c>
      <c r="AE80" s="177">
        <f ca="1">SUMIFS(Покупка!AE$25:AE$117,Покупка!$F$25:$F$117,$F80,Покупка!$AC$25:$AC$117,$G80)</f>
        <v>0</v>
      </c>
      <c r="AF80" s="177">
        <f ca="1">SUMIFS(Покупка!AF$25:AF$117,Покупка!$F$25:$F$117,$F80,Покупка!$AC$25:$AC$117,$G80)</f>
        <v>0</v>
      </c>
      <c r="AG80" s="177">
        <f ca="1">SUMIFS(Покупка!AG$25:AG$117,Покупка!$F$25:$F$117,$F80,Покупка!$AC$25:$AC$117,$G80)</f>
        <v>0</v>
      </c>
      <c r="AH80" s="855">
        <f t="shared" ca="1" si="7"/>
        <v>0</v>
      </c>
      <c r="AI80" s="855">
        <f ca="1">SUMIFS(Покупка!AH$25:AH$117,Покупка!$F$25:$F$117,$F80,Покупка!$AC$25:$AC$117,$G80)</f>
        <v>0</v>
      </c>
      <c r="AJ80" s="855">
        <f ca="1">SUMIFS(Покупка!AI$25:AI$117,Покупка!$F$25:$F$117,$F80,Покупка!$AC$25:$AC$117,$G80)</f>
        <v>0</v>
      </c>
      <c r="AK80" s="855">
        <f ca="1">SUMIFS(Покупка!AJ$25:AJ$117,Покупка!$F$25:$F$117,$F80,Покупка!$AC$25:$AC$117,$G80)</f>
        <v>0</v>
      </c>
      <c r="AL80" s="855">
        <f ca="1">SUMIFS(Покупка!AK$25:AK$117,Покупка!$F$25:$F$117,$F80,Покупка!$AC$25:$AC$117,$G80)</f>
        <v>0</v>
      </c>
      <c r="AM80" s="855">
        <f ca="1">SUMIFS(Покупка!AL$25:AL$117,Покупка!$F$25:$F$117,$F80,Покупка!$AC$25:$AC$117,$G80)</f>
        <v>0</v>
      </c>
      <c r="AN80" s="855">
        <f ca="1">SUMIFS(Покупка!AM$25:AM$117,Покупка!$F$25:$F$117,$F80,Покупка!$AC$25:$AC$117,$G80)</f>
        <v>0</v>
      </c>
      <c r="AO80" s="855">
        <f ca="1">SUMIFS(Покупка!AN$25:AN$117,Покупка!$F$25:$F$117,$F80,Покупка!$AC$25:$AC$117,$G80)</f>
        <v>0</v>
      </c>
      <c r="AP80" s="855">
        <f ca="1">SUMIFS(Покупка!AO$25:AO$117,Покупка!$F$25:$F$117,$F80,Покупка!$AC$25:$AC$117,$G80)</f>
        <v>0</v>
      </c>
      <c r="AQ80" s="855">
        <f ca="1">SUMIFS(Покупка!AP$25:AP$117,Покупка!$F$25:$F$117,$F80,Покупка!$AC$25:$AC$117,$G80)</f>
        <v>0</v>
      </c>
      <c r="AR80" s="855">
        <f ca="1">SUMIFS(Покупка!AQ$25:AQ$117,Покупка!$F$25:$F$117,$F80,Покупка!$AC$25:$AC$117,$G80)</f>
        <v>0</v>
      </c>
      <c r="AS80" s="855">
        <f ca="1">SUMIFS(Покупка!AR$25:AR$117,Покупка!$F$25:$F$117,$F80,Покупка!$AC$25:$AC$117,$G80)</f>
        <v>0</v>
      </c>
      <c r="AT80" s="855">
        <f ca="1">SUMIFS(Покупка!AS$25:AS$117,Покупка!$F$25:$F$117,$F80,Покупка!$AC$25:$AC$117,$G80)</f>
        <v>0</v>
      </c>
      <c r="AU80" s="855">
        <f ca="1">SUMIFS(Покупка!AT$25:AT$117,Покупка!$F$25:$F$117,$F80,Покупка!$AC$25:$AC$117,$G80)</f>
        <v>0</v>
      </c>
      <c r="AV80" s="855">
        <f ca="1">SUMIFS(Покупка!AU$25:AU$117,Покупка!$F$25:$F$117,$F80,Покупка!$AC$25:$AC$117,$G80)</f>
        <v>0</v>
      </c>
      <c r="AW80" s="855">
        <f ca="1">SUMIFS(Покупка!AV$25:AV$117,Покупка!$F$25:$F$117,$F80,Покупка!$AC$25:$AC$117,$G80)</f>
        <v>0</v>
      </c>
      <c r="AX80" s="855">
        <f ca="1">SUMIFS(Покупка!AW$25:AW$117,Покупка!$F$25:$F$117,$F80,Покупка!$AC$25:$AC$117,$G80)</f>
        <v>0</v>
      </c>
      <c r="AY80" s="855">
        <f ca="1">SUMIFS(Покупка!AX$25:AX$117,Покупка!$F$25:$F$117,$F80,Покупка!$AC$25:$AC$117,$G80)</f>
        <v>0</v>
      </c>
      <c r="AZ80" s="855">
        <f ca="1">SUMIFS(Покупка!AY$25:AY$117,Покупка!$F$25:$F$117,$F80,Покупка!$AC$25:$AC$117,$G80)</f>
        <v>0</v>
      </c>
      <c r="BA80" s="855">
        <f ca="1">SUMIFS(Покупка!AZ$25:AZ$117,Покупка!$F$25:$F$117,$F80,Покупка!$AC$25:$AC$117,$G80)</f>
        <v>0</v>
      </c>
      <c r="BB80" s="855">
        <f ca="1">SUMIFS(Покупка!BA$25:BA$117,Покупка!$F$25:$F$117,$F80,Покупка!$AC$25:$AC$117,$G80)</f>
        <v>0</v>
      </c>
      <c r="BC80" s="855">
        <f ca="1">SUMIFS(Покупка!BB$25:BB$117,Покупка!$F$25:$F$117,$F80,Покупка!$AC$25:$AC$117,$G80)</f>
        <v>0</v>
      </c>
      <c r="BD80" s="855">
        <f t="shared" ca="1" si="9"/>
        <v>0</v>
      </c>
      <c r="BE80" s="855">
        <f t="shared" ca="1" si="10"/>
        <v>0</v>
      </c>
      <c r="BF80" s="855">
        <f t="shared" ca="1" si="11"/>
        <v>0</v>
      </c>
      <c r="BG80" s="855">
        <f t="shared" ca="1" si="12"/>
        <v>0</v>
      </c>
      <c r="BH80" s="855">
        <f t="shared" ca="1" si="13"/>
        <v>0</v>
      </c>
      <c r="BI80" s="855">
        <f t="shared" ca="1" si="14"/>
        <v>0</v>
      </c>
      <c r="BJ80" s="855">
        <f t="shared" ca="1" si="15"/>
        <v>0</v>
      </c>
      <c r="BK80" s="855">
        <f t="shared" ca="1" si="16"/>
        <v>0</v>
      </c>
      <c r="BL80" s="855">
        <f t="shared" ca="1" si="17"/>
        <v>0</v>
      </c>
      <c r="BM80" s="855">
        <f t="shared" ca="1" si="18"/>
        <v>0</v>
      </c>
      <c r="BN80" s="1163"/>
      <c r="BO80" s="1161" t="str">
        <f ca="1">IF(IFERROR(INDEX(Покупка!$K$26:$L$117,MATCH($F80&amp;"6komm",Покупка!$K$26:$K$117,0),2),"")=0,"",IFERROR(INDEX(Покупка!$K$26:$L$117,MATCH($F80&amp;"6komm",Покупка!$K$26:$K$117,0),2),""))</f>
        <v/>
      </c>
      <c r="BP80" s="1163"/>
      <c r="BS80" s="973" t="s">
        <v>1093</v>
      </c>
    </row>
    <row r="81" spans="2:75" ht="14.65" hidden="1" customHeight="1" x14ac:dyDescent="0.15">
      <c r="B81" s="15"/>
      <c r="C81" s="26"/>
      <c r="D81" s="26"/>
      <c r="E81" s="545">
        <v>15</v>
      </c>
      <c r="F81" s="3" cm="1">
        <f t="array" aca="1" ref="F81" ca="1">OFFSET(E81,-1,1)</f>
        <v>0</v>
      </c>
      <c r="G81" s="26" t="s">
        <v>1094</v>
      </c>
      <c r="H81" s="26"/>
      <c r="I81" s="26" t="s">
        <v>1533</v>
      </c>
      <c r="J81" s="26"/>
      <c r="K81" s="26" t="s">
        <v>1533</v>
      </c>
      <c r="L81" s="889" t="s">
        <v>1308</v>
      </c>
      <c r="M81" s="26"/>
      <c r="N81" s="26"/>
      <c r="O81" s="26"/>
      <c r="P81" s="26"/>
      <c r="Q81" s="26"/>
      <c r="R81" s="26"/>
      <c r="S81" s="26"/>
      <c r="T81" s="388" t="b" cm="1">
        <f t="array" aca="1" ref="T81" ca="1">T80</f>
        <v>0</v>
      </c>
      <c r="U81" s="26"/>
      <c r="V81" s="26"/>
      <c r="X81" s="2032"/>
      <c r="Z81" s="2012"/>
      <c r="AB81" s="217" t="s">
        <v>1992</v>
      </c>
      <c r="AC81" s="685" t="s">
        <v>1993</v>
      </c>
      <c r="AD81" s="218" t="s">
        <v>831</v>
      </c>
      <c r="AE81" s="177">
        <f ca="1">SUMIFS(Покупка!AE$25:AE$117,Покупка!$F$25:$F$117,$F81,Покупка!$AC$25:$AC$117,$G81)</f>
        <v>0</v>
      </c>
      <c r="AF81" s="177">
        <f ca="1">SUMIFS(Покупка!AF$25:AF$117,Покупка!$F$25:$F$117,$F81,Покупка!$AC$25:$AC$117,$G81)</f>
        <v>0</v>
      </c>
      <c r="AG81" s="177">
        <f ca="1">SUMIFS(Покупка!AG$25:AG$117,Покупка!$F$25:$F$117,$F81,Покупка!$AC$25:$AC$117,$G81)</f>
        <v>0</v>
      </c>
      <c r="AH81" s="855">
        <f t="shared" ca="1" si="7"/>
        <v>0</v>
      </c>
      <c r="AI81" s="855">
        <f ca="1">SUMIFS(Покупка!AH$25:AH$117,Покупка!$F$25:$F$117,$F81,Покупка!$AC$25:$AC$117,$G81)</f>
        <v>0</v>
      </c>
      <c r="AJ81" s="855">
        <f ca="1">SUMIFS(Покупка!AI$25:AI$117,Покупка!$F$25:$F$117,$F81,Покупка!$AC$25:$AC$117,$G81)</f>
        <v>0</v>
      </c>
      <c r="AK81" s="855">
        <f ca="1">SUMIFS(Покупка!AJ$25:AJ$117,Покупка!$F$25:$F$117,$F81,Покупка!$AC$25:$AC$117,$G81)</f>
        <v>0</v>
      </c>
      <c r="AL81" s="855">
        <f ca="1">SUMIFS(Покупка!AK$25:AK$117,Покупка!$F$25:$F$117,$F81,Покупка!$AC$25:$AC$117,$G81)</f>
        <v>0</v>
      </c>
      <c r="AM81" s="855">
        <f ca="1">SUMIFS(Покупка!AL$25:AL$117,Покупка!$F$25:$F$117,$F81,Покупка!$AC$25:$AC$117,$G81)</f>
        <v>0</v>
      </c>
      <c r="AN81" s="855">
        <f ca="1">SUMIFS(Покупка!AM$25:AM$117,Покупка!$F$25:$F$117,$F81,Покупка!$AC$25:$AC$117,$G81)</f>
        <v>0</v>
      </c>
      <c r="AO81" s="855">
        <f ca="1">SUMIFS(Покупка!AN$25:AN$117,Покупка!$F$25:$F$117,$F81,Покупка!$AC$25:$AC$117,$G81)</f>
        <v>0</v>
      </c>
      <c r="AP81" s="855">
        <f ca="1">SUMIFS(Покупка!AO$25:AO$117,Покупка!$F$25:$F$117,$F81,Покупка!$AC$25:$AC$117,$G81)</f>
        <v>0</v>
      </c>
      <c r="AQ81" s="855">
        <f ca="1">SUMIFS(Покупка!AP$25:AP$117,Покупка!$F$25:$F$117,$F81,Покупка!$AC$25:$AC$117,$G81)</f>
        <v>0</v>
      </c>
      <c r="AR81" s="855">
        <f ca="1">SUMIFS(Покупка!AQ$25:AQ$117,Покупка!$F$25:$F$117,$F81,Покупка!$AC$25:$AC$117,$G81)</f>
        <v>0</v>
      </c>
      <c r="AS81" s="855">
        <f ca="1">SUMIFS(Покупка!AR$25:AR$117,Покупка!$F$25:$F$117,$F81,Покупка!$AC$25:$AC$117,$G81)</f>
        <v>0</v>
      </c>
      <c r="AT81" s="855">
        <f ca="1">SUMIFS(Покупка!AS$25:AS$117,Покупка!$F$25:$F$117,$F81,Покупка!$AC$25:$AC$117,$G81)</f>
        <v>0</v>
      </c>
      <c r="AU81" s="855">
        <f ca="1">SUMIFS(Покупка!AT$25:AT$117,Покупка!$F$25:$F$117,$F81,Покупка!$AC$25:$AC$117,$G81)</f>
        <v>0</v>
      </c>
      <c r="AV81" s="855">
        <f ca="1">SUMIFS(Покупка!AU$25:AU$117,Покупка!$F$25:$F$117,$F81,Покупка!$AC$25:$AC$117,$G81)</f>
        <v>0</v>
      </c>
      <c r="AW81" s="855">
        <f ca="1">SUMIFS(Покупка!AV$25:AV$117,Покупка!$F$25:$F$117,$F81,Покупка!$AC$25:$AC$117,$G81)</f>
        <v>0</v>
      </c>
      <c r="AX81" s="855">
        <f ca="1">SUMIFS(Покупка!AW$25:AW$117,Покупка!$F$25:$F$117,$F81,Покупка!$AC$25:$AC$117,$G81)</f>
        <v>0</v>
      </c>
      <c r="AY81" s="855">
        <f ca="1">SUMIFS(Покупка!AX$25:AX$117,Покупка!$F$25:$F$117,$F81,Покупка!$AC$25:$AC$117,$G81)</f>
        <v>0</v>
      </c>
      <c r="AZ81" s="855">
        <f ca="1">SUMIFS(Покупка!AY$25:AY$117,Покупка!$F$25:$F$117,$F81,Покупка!$AC$25:$AC$117,$G81)</f>
        <v>0</v>
      </c>
      <c r="BA81" s="855">
        <f ca="1">SUMIFS(Покупка!AZ$25:AZ$117,Покупка!$F$25:$F$117,$F81,Покупка!$AC$25:$AC$117,$G81)</f>
        <v>0</v>
      </c>
      <c r="BB81" s="855">
        <f ca="1">SUMIFS(Покупка!BA$25:BA$117,Покупка!$F$25:$F$117,$F81,Покупка!$AC$25:$AC$117,$G81)</f>
        <v>0</v>
      </c>
      <c r="BC81" s="855">
        <f ca="1">SUMIFS(Покупка!BB$25:BB$117,Покупка!$F$25:$F$117,$F81,Покупка!$AC$25:$AC$117,$G81)</f>
        <v>0</v>
      </c>
      <c r="BD81" s="855">
        <f t="shared" ca="1" si="9"/>
        <v>0</v>
      </c>
      <c r="BE81" s="855">
        <f t="shared" ca="1" si="10"/>
        <v>0</v>
      </c>
      <c r="BF81" s="855">
        <f t="shared" ca="1" si="11"/>
        <v>0</v>
      </c>
      <c r="BG81" s="855">
        <f t="shared" ca="1" si="12"/>
        <v>0</v>
      </c>
      <c r="BH81" s="855">
        <f t="shared" ca="1" si="13"/>
        <v>0</v>
      </c>
      <c r="BI81" s="855">
        <f t="shared" ca="1" si="14"/>
        <v>0</v>
      </c>
      <c r="BJ81" s="855">
        <f t="shared" ca="1" si="15"/>
        <v>0</v>
      </c>
      <c r="BK81" s="855">
        <f t="shared" ca="1" si="16"/>
        <v>0</v>
      </c>
      <c r="BL81" s="855">
        <f t="shared" ca="1" si="17"/>
        <v>0</v>
      </c>
      <c r="BM81" s="855">
        <f t="shared" ca="1" si="18"/>
        <v>0</v>
      </c>
      <c r="BN81" s="1163"/>
      <c r="BO81" s="1161" t="str">
        <f ca="1">IF(IFERROR(INDEX(Покупка!$K$26:$L$117,MATCH($F81&amp;"7komm",Покупка!$K$26:$K$117,0),2),"")=0,"",IFERROR(INDEX(Покупка!$K$26:$L$117,MATCH($F81&amp;"7komm",Покупка!$K$26:$K$117,0),2),""))</f>
        <v/>
      </c>
      <c r="BP81" s="1163"/>
      <c r="BS81" s="973" t="s">
        <v>1095</v>
      </c>
    </row>
    <row r="82" spans="2:75" ht="14.65" hidden="1" customHeight="1" x14ac:dyDescent="0.15">
      <c r="B82" s="15"/>
      <c r="C82" s="26"/>
      <c r="D82" s="26"/>
      <c r="E82" s="545">
        <v>15</v>
      </c>
      <c r="F82" s="3" cm="1">
        <f t="array" aca="1" ref="F82" ca="1">OFFSET(E82,-1,1)</f>
        <v>0</v>
      </c>
      <c r="G82" s="26" t="s">
        <v>1069</v>
      </c>
      <c r="H82" s="26"/>
      <c r="I82" s="26" t="s">
        <v>1625</v>
      </c>
      <c r="J82" s="26"/>
      <c r="K82" s="26" t="s">
        <v>1625</v>
      </c>
      <c r="L82" s="889" t="s">
        <v>1478</v>
      </c>
      <c r="M82" s="26"/>
      <c r="N82" s="26"/>
      <c r="O82" s="26"/>
      <c r="P82" s="26"/>
      <c r="Q82" s="26"/>
      <c r="R82" s="26"/>
      <c r="S82" s="26"/>
      <c r="T82" s="388" t="b" cm="1">
        <f t="array" aca="1" ref="T82" ca="1">T81</f>
        <v>0</v>
      </c>
      <c r="U82" s="26"/>
      <c r="V82" s="26"/>
      <c r="X82" s="2032"/>
      <c r="Z82" s="2012"/>
      <c r="AB82" s="217" t="s">
        <v>1994</v>
      </c>
      <c r="AC82" s="685" t="s">
        <v>1995</v>
      </c>
      <c r="AD82" s="218" t="s">
        <v>831</v>
      </c>
      <c r="AE82" s="177">
        <f ca="1">SUMIFS(Покупка!AE$25:AE$117,Покупка!$F$25:$F$117,$F82,Покупка!$AC$25:$AC$117,$G82)</f>
        <v>0</v>
      </c>
      <c r="AF82" s="177">
        <f ca="1">SUMIFS(Покупка!AF$25:AF$117,Покупка!$F$25:$F$117,$F82,Покупка!$AC$25:$AC$117,$G82)</f>
        <v>0</v>
      </c>
      <c r="AG82" s="177">
        <f ca="1">SUMIFS(Покупка!AG$25:AG$117,Покупка!$F$25:$F$117,$F82,Покупка!$AC$25:$AC$117,$G82)</f>
        <v>0</v>
      </c>
      <c r="AH82" s="855">
        <f t="shared" ca="1" si="7"/>
        <v>0</v>
      </c>
      <c r="AI82" s="855">
        <f ca="1">SUMIFS(Покупка!AH$25:AH$117,Покупка!$F$25:$F$117,$F82,Покупка!$AC$25:$AC$117,$G82)</f>
        <v>0</v>
      </c>
      <c r="AJ82" s="855">
        <f ca="1">SUMIFS(Покупка!AI$25:AI$117,Покупка!$F$25:$F$117,$F82,Покупка!$AC$25:$AC$117,$G82)</f>
        <v>0</v>
      </c>
      <c r="AK82" s="855">
        <f ca="1">SUMIFS(Покупка!AJ$25:AJ$117,Покупка!$F$25:$F$117,$F82,Покупка!$AC$25:$AC$117,$G82)</f>
        <v>0</v>
      </c>
      <c r="AL82" s="855">
        <f ca="1">SUMIFS(Покупка!AK$25:AK$117,Покупка!$F$25:$F$117,$F82,Покупка!$AC$25:$AC$117,$G82)</f>
        <v>0</v>
      </c>
      <c r="AM82" s="855">
        <f ca="1">SUMIFS(Покупка!AL$25:AL$117,Покупка!$F$25:$F$117,$F82,Покупка!$AC$25:$AC$117,$G82)</f>
        <v>0</v>
      </c>
      <c r="AN82" s="855">
        <f ca="1">SUMIFS(Покупка!AM$25:AM$117,Покупка!$F$25:$F$117,$F82,Покупка!$AC$25:$AC$117,$G82)</f>
        <v>0</v>
      </c>
      <c r="AO82" s="855">
        <f ca="1">SUMIFS(Покупка!AN$25:AN$117,Покупка!$F$25:$F$117,$F82,Покупка!$AC$25:$AC$117,$G82)</f>
        <v>0</v>
      </c>
      <c r="AP82" s="855">
        <f ca="1">SUMIFS(Покупка!AO$25:AO$117,Покупка!$F$25:$F$117,$F82,Покупка!$AC$25:$AC$117,$G82)</f>
        <v>0</v>
      </c>
      <c r="AQ82" s="855">
        <f ca="1">SUMIFS(Покупка!AP$25:AP$117,Покупка!$F$25:$F$117,$F82,Покупка!$AC$25:$AC$117,$G82)</f>
        <v>0</v>
      </c>
      <c r="AR82" s="855">
        <f ca="1">SUMIFS(Покупка!AQ$25:AQ$117,Покупка!$F$25:$F$117,$F82,Покупка!$AC$25:$AC$117,$G82)</f>
        <v>0</v>
      </c>
      <c r="AS82" s="855">
        <f ca="1">SUMIFS(Покупка!AR$25:AR$117,Покупка!$F$25:$F$117,$F82,Покупка!$AC$25:$AC$117,$G82)</f>
        <v>0</v>
      </c>
      <c r="AT82" s="855">
        <f ca="1">SUMIFS(Покупка!AS$25:AS$117,Покупка!$F$25:$F$117,$F82,Покупка!$AC$25:$AC$117,$G82)</f>
        <v>0</v>
      </c>
      <c r="AU82" s="855">
        <f ca="1">SUMIFS(Покупка!AT$25:AT$117,Покупка!$F$25:$F$117,$F82,Покупка!$AC$25:$AC$117,$G82)</f>
        <v>0</v>
      </c>
      <c r="AV82" s="855">
        <f ca="1">SUMIFS(Покупка!AU$25:AU$117,Покупка!$F$25:$F$117,$F82,Покупка!$AC$25:$AC$117,$G82)</f>
        <v>0</v>
      </c>
      <c r="AW82" s="855">
        <f ca="1">SUMIFS(Покупка!AV$25:AV$117,Покупка!$F$25:$F$117,$F82,Покупка!$AC$25:$AC$117,$G82)</f>
        <v>0</v>
      </c>
      <c r="AX82" s="855">
        <f ca="1">SUMIFS(Покупка!AW$25:AW$117,Покупка!$F$25:$F$117,$F82,Покупка!$AC$25:$AC$117,$G82)</f>
        <v>0</v>
      </c>
      <c r="AY82" s="855">
        <f ca="1">SUMIFS(Покупка!AX$25:AX$117,Покупка!$F$25:$F$117,$F82,Покупка!$AC$25:$AC$117,$G82)</f>
        <v>0</v>
      </c>
      <c r="AZ82" s="855">
        <f ca="1">SUMIFS(Покупка!AY$25:AY$117,Покупка!$F$25:$F$117,$F82,Покупка!$AC$25:$AC$117,$G82)</f>
        <v>0</v>
      </c>
      <c r="BA82" s="855">
        <f ca="1">SUMIFS(Покупка!AZ$25:AZ$117,Покупка!$F$25:$F$117,$F82,Покупка!$AC$25:$AC$117,$G82)</f>
        <v>0</v>
      </c>
      <c r="BB82" s="855">
        <f ca="1">SUMIFS(Покупка!BA$25:BA$117,Покупка!$F$25:$F$117,$F82,Покупка!$AC$25:$AC$117,$G82)</f>
        <v>0</v>
      </c>
      <c r="BC82" s="855">
        <f ca="1">SUMIFS(Покупка!BB$25:BB$117,Покупка!$F$25:$F$117,$F82,Покупка!$AC$25:$AC$117,$G82)</f>
        <v>0</v>
      </c>
      <c r="BD82" s="855">
        <f t="shared" ca="1" si="9"/>
        <v>0</v>
      </c>
      <c r="BE82" s="855">
        <f t="shared" ca="1" si="10"/>
        <v>0</v>
      </c>
      <c r="BF82" s="855">
        <f t="shared" ca="1" si="11"/>
        <v>0</v>
      </c>
      <c r="BG82" s="855">
        <f t="shared" ca="1" si="12"/>
        <v>0</v>
      </c>
      <c r="BH82" s="855">
        <f t="shared" ca="1" si="13"/>
        <v>0</v>
      </c>
      <c r="BI82" s="855">
        <f t="shared" ca="1" si="14"/>
        <v>0</v>
      </c>
      <c r="BJ82" s="855">
        <f t="shared" ca="1" si="15"/>
        <v>0</v>
      </c>
      <c r="BK82" s="855">
        <f t="shared" ca="1" si="16"/>
        <v>0</v>
      </c>
      <c r="BL82" s="855">
        <f t="shared" ca="1" si="17"/>
        <v>0</v>
      </c>
      <c r="BM82" s="855">
        <f t="shared" ca="1" si="18"/>
        <v>0</v>
      </c>
      <c r="BN82" s="1163"/>
      <c r="BO82" s="1161" t="str">
        <f ca="1">IF(IFERROR(INDEX(Покупка!$K$26:$L$117,MATCH($F82&amp;"2komm",Покупка!$K$26:$K$117,0),2),"")=0,"",IFERROR(INDEX(Покупка!$K$26:$L$117,MATCH($F82&amp;"2komm",Покупка!$K$26:$K$117,0),2),""))</f>
        <v/>
      </c>
      <c r="BP82" s="1163"/>
      <c r="BS82" s="973" t="s">
        <v>1996</v>
      </c>
    </row>
    <row r="83" spans="2:75" ht="14.65" hidden="1" customHeight="1" x14ac:dyDescent="0.15">
      <c r="B83" s="15"/>
      <c r="C83" s="26"/>
      <c r="D83" s="26"/>
      <c r="E83" s="545">
        <v>15</v>
      </c>
      <c r="F83" s="3" cm="1">
        <f t="array" aca="1" ref="F83" ca="1">OFFSET(E83,-1,1)</f>
        <v>0</v>
      </c>
      <c r="G83" s="26" t="s">
        <v>1060</v>
      </c>
      <c r="H83" s="26"/>
      <c r="I83" s="26" t="s">
        <v>1627</v>
      </c>
      <c r="J83" s="26"/>
      <c r="K83" s="26" t="s">
        <v>1627</v>
      </c>
      <c r="L83" s="889" t="s">
        <v>1473</v>
      </c>
      <c r="M83" s="26"/>
      <c r="N83" s="26"/>
      <c r="O83" s="26"/>
      <c r="P83" s="26"/>
      <c r="Q83" s="26"/>
      <c r="R83" s="26"/>
      <c r="S83" s="26"/>
      <c r="T83" s="388" t="b" cm="1">
        <f t="array" aca="1" ref="T83" ca="1">T82</f>
        <v>0</v>
      </c>
      <c r="U83" s="26"/>
      <c r="V83" s="26"/>
      <c r="X83" s="2032"/>
      <c r="Z83" s="2012"/>
      <c r="AB83" s="217" t="s">
        <v>1997</v>
      </c>
      <c r="AC83" s="685" t="s">
        <v>1998</v>
      </c>
      <c r="AD83" s="218" t="s">
        <v>831</v>
      </c>
      <c r="AE83" s="177">
        <f ca="1">SUMIFS(Покупка!AE$25:AE$117,Покупка!$F$25:$F$117,$F83,Покупка!$AC$25:$AC$117,$G83)</f>
        <v>0</v>
      </c>
      <c r="AF83" s="177">
        <f ca="1">SUMIFS(Покупка!AF$25:AF$117,Покупка!$F$25:$F$117,$F83,Покупка!$AC$25:$AC$117,$G83)</f>
        <v>0</v>
      </c>
      <c r="AG83" s="177">
        <f ca="1">SUMIFS(Покупка!AG$25:AG$117,Покупка!$F$25:$F$117,$F83,Покупка!$AC$25:$AC$117,$G83)</f>
        <v>0</v>
      </c>
      <c r="AH83" s="855">
        <f t="shared" ca="1" si="7"/>
        <v>0</v>
      </c>
      <c r="AI83" s="855">
        <f ca="1">SUMIFS(Покупка!AH$25:AH$117,Покупка!$F$25:$F$117,$F83,Покупка!$AC$25:$AC$117,$G83)</f>
        <v>0</v>
      </c>
      <c r="AJ83" s="855">
        <f ca="1">SUMIFS(Покупка!AI$25:AI$117,Покупка!$F$25:$F$117,$F83,Покупка!$AC$25:$AC$117,$G83)</f>
        <v>0</v>
      </c>
      <c r="AK83" s="855">
        <f ca="1">SUMIFS(Покупка!AJ$25:AJ$117,Покупка!$F$25:$F$117,$F83,Покупка!$AC$25:$AC$117,$G83)</f>
        <v>0</v>
      </c>
      <c r="AL83" s="855">
        <f ca="1">SUMIFS(Покупка!AK$25:AK$117,Покупка!$F$25:$F$117,$F83,Покупка!$AC$25:$AC$117,$G83)</f>
        <v>0</v>
      </c>
      <c r="AM83" s="855">
        <f ca="1">SUMIFS(Покупка!AL$25:AL$117,Покупка!$F$25:$F$117,$F83,Покупка!$AC$25:$AC$117,$G83)</f>
        <v>0</v>
      </c>
      <c r="AN83" s="855">
        <f ca="1">SUMIFS(Покупка!AM$25:AM$117,Покупка!$F$25:$F$117,$F83,Покупка!$AC$25:$AC$117,$G83)</f>
        <v>0</v>
      </c>
      <c r="AO83" s="855">
        <f ca="1">SUMIFS(Покупка!AN$25:AN$117,Покупка!$F$25:$F$117,$F83,Покупка!$AC$25:$AC$117,$G83)</f>
        <v>0</v>
      </c>
      <c r="AP83" s="855">
        <f ca="1">SUMIFS(Покупка!AO$25:AO$117,Покупка!$F$25:$F$117,$F83,Покупка!$AC$25:$AC$117,$G83)</f>
        <v>0</v>
      </c>
      <c r="AQ83" s="855">
        <f ca="1">SUMIFS(Покупка!AP$25:AP$117,Покупка!$F$25:$F$117,$F83,Покупка!$AC$25:$AC$117,$G83)</f>
        <v>0</v>
      </c>
      <c r="AR83" s="855">
        <f ca="1">SUMIFS(Покупка!AQ$25:AQ$117,Покупка!$F$25:$F$117,$F83,Покупка!$AC$25:$AC$117,$G83)</f>
        <v>0</v>
      </c>
      <c r="AS83" s="855">
        <f ca="1">SUMIFS(Покупка!AR$25:AR$117,Покупка!$F$25:$F$117,$F83,Покупка!$AC$25:$AC$117,$G83)</f>
        <v>0</v>
      </c>
      <c r="AT83" s="855">
        <f ca="1">SUMIFS(Покупка!AS$25:AS$117,Покупка!$F$25:$F$117,$F83,Покупка!$AC$25:$AC$117,$G83)</f>
        <v>0</v>
      </c>
      <c r="AU83" s="855">
        <f ca="1">SUMIFS(Покупка!AT$25:AT$117,Покупка!$F$25:$F$117,$F83,Покупка!$AC$25:$AC$117,$G83)</f>
        <v>0</v>
      </c>
      <c r="AV83" s="855">
        <f ca="1">SUMIFS(Покупка!AU$25:AU$117,Покупка!$F$25:$F$117,$F83,Покупка!$AC$25:$AC$117,$G83)</f>
        <v>0</v>
      </c>
      <c r="AW83" s="855">
        <f ca="1">SUMIFS(Покупка!AV$25:AV$117,Покупка!$F$25:$F$117,$F83,Покупка!$AC$25:$AC$117,$G83)</f>
        <v>0</v>
      </c>
      <c r="AX83" s="855">
        <f ca="1">SUMIFS(Покупка!AW$25:AW$117,Покупка!$F$25:$F$117,$F83,Покупка!$AC$25:$AC$117,$G83)</f>
        <v>0</v>
      </c>
      <c r="AY83" s="855">
        <f ca="1">SUMIFS(Покупка!AX$25:AX$117,Покупка!$F$25:$F$117,$F83,Покупка!$AC$25:$AC$117,$G83)</f>
        <v>0</v>
      </c>
      <c r="AZ83" s="855">
        <f ca="1">SUMIFS(Покупка!AY$25:AY$117,Покупка!$F$25:$F$117,$F83,Покупка!$AC$25:$AC$117,$G83)</f>
        <v>0</v>
      </c>
      <c r="BA83" s="855">
        <f ca="1">SUMIFS(Покупка!AZ$25:AZ$117,Покупка!$F$25:$F$117,$F83,Покупка!$AC$25:$AC$117,$G83)</f>
        <v>0</v>
      </c>
      <c r="BB83" s="855">
        <f ca="1">SUMIFS(Покупка!BA$25:BA$117,Покупка!$F$25:$F$117,$F83,Покупка!$AC$25:$AC$117,$G83)</f>
        <v>0</v>
      </c>
      <c r="BC83" s="855">
        <f ca="1">SUMIFS(Покупка!BB$25:BB$117,Покупка!$F$25:$F$117,$F83,Покупка!$AC$25:$AC$117,$G83)</f>
        <v>0</v>
      </c>
      <c r="BD83" s="855">
        <f t="shared" ca="1" si="9"/>
        <v>0</v>
      </c>
      <c r="BE83" s="855">
        <f t="shared" ca="1" si="10"/>
        <v>0</v>
      </c>
      <c r="BF83" s="855">
        <f t="shared" ca="1" si="11"/>
        <v>0</v>
      </c>
      <c r="BG83" s="855">
        <f t="shared" ca="1" si="12"/>
        <v>0</v>
      </c>
      <c r="BH83" s="855">
        <f t="shared" ca="1" si="13"/>
        <v>0</v>
      </c>
      <c r="BI83" s="855">
        <f t="shared" ca="1" si="14"/>
        <v>0</v>
      </c>
      <c r="BJ83" s="855">
        <f t="shared" ca="1" si="15"/>
        <v>0</v>
      </c>
      <c r="BK83" s="855">
        <f t="shared" ca="1" si="16"/>
        <v>0</v>
      </c>
      <c r="BL83" s="855">
        <f t="shared" ca="1" si="17"/>
        <v>0</v>
      </c>
      <c r="BM83" s="855">
        <f t="shared" ca="1" si="18"/>
        <v>0</v>
      </c>
      <c r="BN83" s="1163"/>
      <c r="BO83" s="1161" t="str">
        <f ca="1">IF(IFERROR(INDEX(Покупка!$K$26:$L$117,MATCH($F83&amp;"1komm",Покупка!$K$26:$K$117,0),2),"")=0,"",IFERROR(INDEX(Покупка!$K$26:$L$117,MATCH($F83&amp;"1komm",Покупка!$K$26:$K$117,0),2),""))</f>
        <v/>
      </c>
      <c r="BP83" s="1163"/>
      <c r="BS83" s="973" t="s">
        <v>1999</v>
      </c>
    </row>
    <row r="84" spans="2:75" ht="14.65" hidden="1" customHeight="1" x14ac:dyDescent="0.15">
      <c r="B84" s="15"/>
      <c r="C84" s="26"/>
      <c r="D84" s="26"/>
      <c r="E84" s="545">
        <v>15</v>
      </c>
      <c r="F84" s="3" cm="1">
        <f t="array" aca="1" ref="F84" ca="1">OFFSET(E84,-1,1)</f>
        <v>0</v>
      </c>
      <c r="G84" s="26" t="s">
        <v>1096</v>
      </c>
      <c r="H84" s="26"/>
      <c r="I84" s="26" t="s">
        <v>1630</v>
      </c>
      <c r="J84" s="26"/>
      <c r="K84" s="26" t="s">
        <v>1630</v>
      </c>
      <c r="L84" s="889"/>
      <c r="M84" s="26"/>
      <c r="N84" s="26"/>
      <c r="O84" s="26"/>
      <c r="P84" s="26"/>
      <c r="Q84" s="26"/>
      <c r="R84" s="26"/>
      <c r="S84" s="26"/>
      <c r="T84" s="388" t="b" cm="1">
        <f t="array" aca="1" ref="T84" ca="1">T83</f>
        <v>0</v>
      </c>
      <c r="U84" s="26"/>
      <c r="V84" s="26"/>
      <c r="X84" s="2032"/>
      <c r="Z84" s="2012"/>
      <c r="AB84" s="217" t="s">
        <v>2000</v>
      </c>
      <c r="AC84" s="685" t="s">
        <v>2001</v>
      </c>
      <c r="AD84" s="218" t="s">
        <v>831</v>
      </c>
      <c r="AE84" s="177">
        <f ca="1">SUMIFS(Покупка!AE$25:AE$117,Покупка!$F$25:$F$117,$F84,Покупка!$AC$25:$AC$117,$G84)</f>
        <v>0</v>
      </c>
      <c r="AF84" s="177">
        <f ca="1">SUMIFS(Покупка!AF$25:AF$117,Покупка!$F$25:$F$117,$F84,Покупка!$AC$25:$AC$117,$G84)</f>
        <v>0</v>
      </c>
      <c r="AG84" s="177">
        <f ca="1">SUMIFS(Покупка!AG$25:AG$117,Покупка!$F$25:$F$117,$F84,Покупка!$AC$25:$AC$117,$G84)</f>
        <v>0</v>
      </c>
      <c r="AH84" s="855">
        <f t="shared" ca="1" si="7"/>
        <v>0</v>
      </c>
      <c r="AI84" s="855">
        <f ca="1">SUMIFS(Покупка!AH$25:AH$117,Покупка!$F$25:$F$117,$F84,Покупка!$AC$25:$AC$117,$G84)</f>
        <v>0</v>
      </c>
      <c r="AJ84" s="855">
        <f ca="1">SUMIFS(Покупка!AI$25:AI$117,Покупка!$F$25:$F$117,$F84,Покупка!$AC$25:$AC$117,$G84)</f>
        <v>0</v>
      </c>
      <c r="AK84" s="855">
        <f ca="1">SUMIFS(Покупка!AJ$25:AJ$117,Покупка!$F$25:$F$117,$F84,Покупка!$AC$25:$AC$117,$G84)</f>
        <v>0</v>
      </c>
      <c r="AL84" s="855">
        <f ca="1">SUMIFS(Покупка!AK$25:AK$117,Покупка!$F$25:$F$117,$F84,Покупка!$AC$25:$AC$117,$G84)</f>
        <v>0</v>
      </c>
      <c r="AM84" s="855">
        <f ca="1">SUMIFS(Покупка!AL$25:AL$117,Покупка!$F$25:$F$117,$F84,Покупка!$AC$25:$AC$117,$G84)</f>
        <v>0</v>
      </c>
      <c r="AN84" s="855">
        <f ca="1">SUMIFS(Покупка!AM$25:AM$117,Покупка!$F$25:$F$117,$F84,Покупка!$AC$25:$AC$117,$G84)</f>
        <v>0</v>
      </c>
      <c r="AO84" s="855">
        <f ca="1">SUMIFS(Покупка!AN$25:AN$117,Покупка!$F$25:$F$117,$F84,Покупка!$AC$25:$AC$117,$G84)</f>
        <v>0</v>
      </c>
      <c r="AP84" s="855">
        <f ca="1">SUMIFS(Покупка!AO$25:AO$117,Покупка!$F$25:$F$117,$F84,Покупка!$AC$25:$AC$117,$G84)</f>
        <v>0</v>
      </c>
      <c r="AQ84" s="855">
        <f ca="1">SUMIFS(Покупка!AP$25:AP$117,Покупка!$F$25:$F$117,$F84,Покупка!$AC$25:$AC$117,$G84)</f>
        <v>0</v>
      </c>
      <c r="AR84" s="855">
        <f ca="1">SUMIFS(Покупка!AQ$25:AQ$117,Покупка!$F$25:$F$117,$F84,Покупка!$AC$25:$AC$117,$G84)</f>
        <v>0</v>
      </c>
      <c r="AS84" s="855">
        <f ca="1">SUMIFS(Покупка!AR$25:AR$117,Покупка!$F$25:$F$117,$F84,Покупка!$AC$25:$AC$117,$G84)</f>
        <v>0</v>
      </c>
      <c r="AT84" s="855">
        <f ca="1">SUMIFS(Покупка!AS$25:AS$117,Покупка!$F$25:$F$117,$F84,Покупка!$AC$25:$AC$117,$G84)</f>
        <v>0</v>
      </c>
      <c r="AU84" s="855">
        <f ca="1">SUMIFS(Покупка!AT$25:AT$117,Покупка!$F$25:$F$117,$F84,Покупка!$AC$25:$AC$117,$G84)</f>
        <v>0</v>
      </c>
      <c r="AV84" s="855">
        <f ca="1">SUMIFS(Покупка!AU$25:AU$117,Покупка!$F$25:$F$117,$F84,Покупка!$AC$25:$AC$117,$G84)</f>
        <v>0</v>
      </c>
      <c r="AW84" s="855">
        <f ca="1">SUMIFS(Покупка!AV$25:AV$117,Покупка!$F$25:$F$117,$F84,Покупка!$AC$25:$AC$117,$G84)</f>
        <v>0</v>
      </c>
      <c r="AX84" s="855">
        <f ca="1">SUMIFS(Покупка!AW$25:AW$117,Покупка!$F$25:$F$117,$F84,Покупка!$AC$25:$AC$117,$G84)</f>
        <v>0</v>
      </c>
      <c r="AY84" s="855">
        <f ca="1">SUMIFS(Покупка!AX$25:AX$117,Покупка!$F$25:$F$117,$F84,Покупка!$AC$25:$AC$117,$G84)</f>
        <v>0</v>
      </c>
      <c r="AZ84" s="855">
        <f ca="1">SUMIFS(Покупка!AY$25:AY$117,Покупка!$F$25:$F$117,$F84,Покупка!$AC$25:$AC$117,$G84)</f>
        <v>0</v>
      </c>
      <c r="BA84" s="855">
        <f ca="1">SUMIFS(Покупка!AZ$25:AZ$117,Покупка!$F$25:$F$117,$F84,Покупка!$AC$25:$AC$117,$G84)</f>
        <v>0</v>
      </c>
      <c r="BB84" s="855">
        <f ca="1">SUMIFS(Покупка!BA$25:BA$117,Покупка!$F$25:$F$117,$F84,Покупка!$AC$25:$AC$117,$G84)</f>
        <v>0</v>
      </c>
      <c r="BC84" s="855">
        <f ca="1">SUMIFS(Покупка!BB$25:BB$117,Покупка!$F$25:$F$117,$F84,Покупка!$AC$25:$AC$117,$G84)</f>
        <v>0</v>
      </c>
      <c r="BD84" s="855">
        <f t="shared" ca="1" si="9"/>
        <v>0</v>
      </c>
      <c r="BE84" s="855">
        <f t="shared" ca="1" si="10"/>
        <v>0</v>
      </c>
      <c r="BF84" s="855">
        <f t="shared" ca="1" si="11"/>
        <v>0</v>
      </c>
      <c r="BG84" s="855">
        <f t="shared" ca="1" si="12"/>
        <v>0</v>
      </c>
      <c r="BH84" s="855">
        <f t="shared" ca="1" si="13"/>
        <v>0</v>
      </c>
      <c r="BI84" s="855">
        <f t="shared" ca="1" si="14"/>
        <v>0</v>
      </c>
      <c r="BJ84" s="855">
        <f t="shared" ca="1" si="15"/>
        <v>0</v>
      </c>
      <c r="BK84" s="855">
        <f t="shared" ca="1" si="16"/>
        <v>0</v>
      </c>
      <c r="BL84" s="855">
        <f t="shared" ca="1" si="17"/>
        <v>0</v>
      </c>
      <c r="BM84" s="855">
        <f t="shared" ca="1" si="18"/>
        <v>0</v>
      </c>
      <c r="BN84" s="1163"/>
      <c r="BO84" s="1161" t="str">
        <f ca="1">IF(IFERROR(INDEX(Покупка!$K$26:$L$117,MATCH($F84&amp;"8komm",Покупка!$K$26:$K$117,0),2),"")=0,"",IFERROR(INDEX(Покупка!$K$26:$L$117,MATCH($F84&amp;"8komm",Покупка!$K$26:$K$117,0),2),""))</f>
        <v/>
      </c>
      <c r="BP84" s="1163"/>
      <c r="BS84" s="973" t="s">
        <v>1097</v>
      </c>
    </row>
    <row r="85" spans="2:75" ht="14.65" hidden="1" customHeight="1" x14ac:dyDescent="0.15">
      <c r="B85" s="15"/>
      <c r="C85" s="26"/>
      <c r="D85" s="26"/>
      <c r="E85" s="545">
        <v>15</v>
      </c>
      <c r="F85" s="3" cm="1">
        <f t="array" aca="1" ref="F85" ca="1">OFFSET(E85,-1,1)</f>
        <v>0</v>
      </c>
      <c r="G85" s="26"/>
      <c r="H85" s="26"/>
      <c r="I85" s="26" t="s">
        <v>2002</v>
      </c>
      <c r="J85" s="26"/>
      <c r="K85" s="26" t="s">
        <v>2002</v>
      </c>
      <c r="L85" s="889"/>
      <c r="M85" s="26"/>
      <c r="N85" s="26"/>
      <c r="O85" s="26"/>
      <c r="P85" s="26"/>
      <c r="Q85" s="26"/>
      <c r="R85" s="26"/>
      <c r="S85" s="26"/>
      <c r="T85" s="388" t="b" cm="1">
        <f t="array" aca="1" ref="T85" ca="1">T84</f>
        <v>0</v>
      </c>
      <c r="U85" s="26"/>
      <c r="V85" s="26"/>
      <c r="X85" s="2032"/>
      <c r="Z85" s="2012"/>
      <c r="AB85" s="217" t="s">
        <v>2003</v>
      </c>
      <c r="AC85" s="685" t="s">
        <v>2004</v>
      </c>
      <c r="AD85" s="218" t="s">
        <v>831</v>
      </c>
      <c r="AE85" s="1162"/>
      <c r="AF85" s="1162"/>
      <c r="AG85" s="1162"/>
      <c r="AH85" s="855">
        <f t="shared" si="7"/>
        <v>0</v>
      </c>
      <c r="AI85" s="1160"/>
      <c r="AJ85" s="1568"/>
      <c r="AK85" s="1160"/>
      <c r="AL85" s="1160"/>
      <c r="AM85" s="1160"/>
      <c r="AN85" s="1160"/>
      <c r="AO85" s="1160"/>
      <c r="AP85" s="1160"/>
      <c r="AQ85" s="1160"/>
      <c r="AR85" s="1160"/>
      <c r="AS85" s="1160"/>
      <c r="AT85" s="1568"/>
      <c r="AU85" s="1160"/>
      <c r="AV85" s="1160"/>
      <c r="AW85" s="1160"/>
      <c r="AX85" s="1160"/>
      <c r="AY85" s="1160"/>
      <c r="AZ85" s="1160"/>
      <c r="BA85" s="1160"/>
      <c r="BB85" s="1160"/>
      <c r="BC85" s="1160"/>
      <c r="BD85" s="855">
        <f t="shared" si="9"/>
        <v>0</v>
      </c>
      <c r="BE85" s="855">
        <f t="shared" si="10"/>
        <v>0</v>
      </c>
      <c r="BF85" s="855">
        <f t="shared" si="11"/>
        <v>0</v>
      </c>
      <c r="BG85" s="855">
        <f t="shared" si="12"/>
        <v>0</v>
      </c>
      <c r="BH85" s="855">
        <f t="shared" si="13"/>
        <v>0</v>
      </c>
      <c r="BI85" s="855">
        <f t="shared" si="14"/>
        <v>0</v>
      </c>
      <c r="BJ85" s="855">
        <f t="shared" si="15"/>
        <v>0</v>
      </c>
      <c r="BK85" s="855">
        <f t="shared" si="16"/>
        <v>0</v>
      </c>
      <c r="BL85" s="855">
        <f t="shared" si="17"/>
        <v>0</v>
      </c>
      <c r="BM85" s="855">
        <f t="shared" si="18"/>
        <v>0</v>
      </c>
      <c r="BN85" s="1163"/>
      <c r="BO85" s="1163"/>
      <c r="BP85" s="1163"/>
      <c r="BS85" s="973" t="s">
        <v>2005</v>
      </c>
    </row>
    <row r="86" spans="2:75" ht="14.65" hidden="1" customHeight="1" x14ac:dyDescent="0.15">
      <c r="B86" s="15"/>
      <c r="C86" s="26"/>
      <c r="D86" s="26"/>
      <c r="E86" s="545">
        <v>15</v>
      </c>
      <c r="F86" s="3" cm="1">
        <f t="array" aca="1" ref="F86" ca="1">OFFSET(E86,-1,1)</f>
        <v>0</v>
      </c>
      <c r="G86" s="26"/>
      <c r="H86" s="26"/>
      <c r="I86" s="26" t="s">
        <v>2006</v>
      </c>
      <c r="J86" s="26"/>
      <c r="K86" s="26" t="s">
        <v>2006</v>
      </c>
      <c r="L86" s="889"/>
      <c r="M86" s="26"/>
      <c r="N86" s="26"/>
      <c r="O86" s="26"/>
      <c r="P86" s="26"/>
      <c r="Q86" s="26"/>
      <c r="R86" s="26"/>
      <c r="S86" s="26"/>
      <c r="T86" s="388" t="b" cm="1">
        <f t="array" aca="1" ref="T86" ca="1">T85</f>
        <v>0</v>
      </c>
      <c r="U86" s="26"/>
      <c r="V86" s="26"/>
      <c r="X86" s="2032"/>
      <c r="Z86" s="2012"/>
      <c r="AB86" s="217" t="s">
        <v>2007</v>
      </c>
      <c r="AC86" s="685" t="s">
        <v>2008</v>
      </c>
      <c r="AD86" s="218" t="s">
        <v>831</v>
      </c>
      <c r="AE86" s="1162"/>
      <c r="AF86" s="1162"/>
      <c r="AG86" s="1162"/>
      <c r="AH86" s="855">
        <f t="shared" si="7"/>
        <v>0</v>
      </c>
      <c r="AI86" s="1160"/>
      <c r="AJ86" s="1568"/>
      <c r="AK86" s="1160"/>
      <c r="AL86" s="1160"/>
      <c r="AM86" s="1160"/>
      <c r="AN86" s="1160"/>
      <c r="AO86" s="1160"/>
      <c r="AP86" s="1160"/>
      <c r="AQ86" s="1160"/>
      <c r="AR86" s="1160"/>
      <c r="AS86" s="1160"/>
      <c r="AT86" s="1568"/>
      <c r="AU86" s="1160"/>
      <c r="AV86" s="1160"/>
      <c r="AW86" s="1160"/>
      <c r="AX86" s="1160"/>
      <c r="AY86" s="1160"/>
      <c r="AZ86" s="1160"/>
      <c r="BA86" s="1160"/>
      <c r="BB86" s="1160"/>
      <c r="BC86" s="1160"/>
      <c r="BD86" s="855">
        <f t="shared" si="9"/>
        <v>0</v>
      </c>
      <c r="BE86" s="855">
        <f t="shared" si="10"/>
        <v>0</v>
      </c>
      <c r="BF86" s="855">
        <f t="shared" si="11"/>
        <v>0</v>
      </c>
      <c r="BG86" s="855">
        <f t="shared" si="12"/>
        <v>0</v>
      </c>
      <c r="BH86" s="855">
        <f t="shared" si="13"/>
        <v>0</v>
      </c>
      <c r="BI86" s="855">
        <f t="shared" si="14"/>
        <v>0</v>
      </c>
      <c r="BJ86" s="855">
        <f t="shared" si="15"/>
        <v>0</v>
      </c>
      <c r="BK86" s="855">
        <f t="shared" si="16"/>
        <v>0</v>
      </c>
      <c r="BL86" s="855">
        <f t="shared" si="17"/>
        <v>0</v>
      </c>
      <c r="BM86" s="855">
        <f t="shared" si="18"/>
        <v>0</v>
      </c>
      <c r="BN86" s="1163"/>
      <c r="BO86" s="1163"/>
      <c r="BP86" s="1163"/>
      <c r="BS86" s="973" t="s">
        <v>2009</v>
      </c>
    </row>
    <row r="87" spans="2:75" ht="14.65" hidden="1" customHeight="1" x14ac:dyDescent="0.15">
      <c r="B87" s="15"/>
      <c r="C87" s="26"/>
      <c r="D87" s="26"/>
      <c r="E87" s="545">
        <v>15</v>
      </c>
      <c r="F87" s="3" cm="1">
        <f t="array" aca="1" ref="F87" ca="1">OFFSET(E87,-1,1)</f>
        <v>0</v>
      </c>
      <c r="G87" s="26" t="s">
        <v>1074</v>
      </c>
      <c r="H87" s="26"/>
      <c r="I87" s="26" t="s">
        <v>2010</v>
      </c>
      <c r="J87" s="26"/>
      <c r="K87" s="26" t="s">
        <v>2010</v>
      </c>
      <c r="L87" s="889" t="s">
        <v>1487</v>
      </c>
      <c r="M87" s="26"/>
      <c r="N87" s="26"/>
      <c r="O87" s="26"/>
      <c r="P87" s="26"/>
      <c r="Q87" s="26"/>
      <c r="R87" s="26"/>
      <c r="S87" s="26"/>
      <c r="T87" s="388" t="b" cm="1">
        <f t="array" aca="1" ref="T87" ca="1">T86</f>
        <v>0</v>
      </c>
      <c r="U87" s="26"/>
      <c r="V87" s="26"/>
      <c r="X87" s="2032"/>
      <c r="Z87" s="2012"/>
      <c r="AB87" s="217" t="s">
        <v>2011</v>
      </c>
      <c r="AC87" s="685" t="s">
        <v>2012</v>
      </c>
      <c r="AD87" s="218" t="s">
        <v>831</v>
      </c>
      <c r="AE87" s="177">
        <f ca="1">SUMIFS(Покупка!AE$25:AE$117,Покупка!$F$25:$F$117,$F87,Покупка!$AC$25:$AC$117,$G87)</f>
        <v>0</v>
      </c>
      <c r="AF87" s="177">
        <f ca="1">SUMIFS(Покупка!AF$25:AF$117,Покупка!$F$25:$F$117,$F87,Покупка!$AC$25:$AC$117,$G87)</f>
        <v>0</v>
      </c>
      <c r="AG87" s="177">
        <f ca="1">SUMIFS(Покупка!AG$25:AG$117,Покупка!$F$25:$F$117,$F87,Покупка!$AC$25:$AC$117,$G87)</f>
        <v>0</v>
      </c>
      <c r="AH87" s="855">
        <f t="shared" ca="1" si="7"/>
        <v>0</v>
      </c>
      <c r="AI87" s="855">
        <f ca="1">SUMIFS(Покупка!AH$25:AH$117,Покупка!$F$25:$F$117,$F87,Покупка!$AC$25:$AC$117,$G87)</f>
        <v>0</v>
      </c>
      <c r="AJ87" s="855">
        <f ca="1">SUMIFS(Покупка!AI$25:AI$117,Покупка!$F$25:$F$117,$F87,Покупка!$AC$25:$AC$117,$G87)</f>
        <v>0</v>
      </c>
      <c r="AK87" s="855">
        <f ca="1">SUMIFS(Покупка!AJ$25:AJ$117,Покупка!$F$25:$F$117,$F87,Покупка!$AC$25:$AC$117,$G87)</f>
        <v>0</v>
      </c>
      <c r="AL87" s="855">
        <f ca="1">SUMIFS(Покупка!AK$25:AK$117,Покупка!$F$25:$F$117,$F87,Покупка!$AC$25:$AC$117,$G87)</f>
        <v>0</v>
      </c>
      <c r="AM87" s="855">
        <f ca="1">SUMIFS(Покупка!AL$25:AL$117,Покупка!$F$25:$F$117,$F87,Покупка!$AC$25:$AC$117,$G87)</f>
        <v>0</v>
      </c>
      <c r="AN87" s="855">
        <f ca="1">SUMIFS(Покупка!AM$25:AM$117,Покупка!$F$25:$F$117,$F87,Покупка!$AC$25:$AC$117,$G87)</f>
        <v>0</v>
      </c>
      <c r="AO87" s="855">
        <f ca="1">SUMIFS(Покупка!AN$25:AN$117,Покупка!$F$25:$F$117,$F87,Покупка!$AC$25:$AC$117,$G87)</f>
        <v>0</v>
      </c>
      <c r="AP87" s="855">
        <f ca="1">SUMIFS(Покупка!AO$25:AO$117,Покупка!$F$25:$F$117,$F87,Покупка!$AC$25:$AC$117,$G87)</f>
        <v>0</v>
      </c>
      <c r="AQ87" s="855">
        <f ca="1">SUMIFS(Покупка!AP$25:AP$117,Покупка!$F$25:$F$117,$F87,Покупка!$AC$25:$AC$117,$G87)</f>
        <v>0</v>
      </c>
      <c r="AR87" s="855">
        <f ca="1">SUMIFS(Покупка!AQ$25:AQ$117,Покупка!$F$25:$F$117,$F87,Покупка!$AC$25:$AC$117,$G87)</f>
        <v>0</v>
      </c>
      <c r="AS87" s="855">
        <f ca="1">SUMIFS(Покупка!AR$25:AR$117,Покупка!$F$25:$F$117,$F87,Покупка!$AC$25:$AC$117,$G87)</f>
        <v>0</v>
      </c>
      <c r="AT87" s="855">
        <f ca="1">SUMIFS(Покупка!AS$25:AS$117,Покупка!$F$25:$F$117,$F87,Покупка!$AC$25:$AC$117,$G87)</f>
        <v>0</v>
      </c>
      <c r="AU87" s="855">
        <f ca="1">SUMIFS(Покупка!AT$25:AT$117,Покупка!$F$25:$F$117,$F87,Покупка!$AC$25:$AC$117,$G87)</f>
        <v>0</v>
      </c>
      <c r="AV87" s="855">
        <f ca="1">SUMIFS(Покупка!AU$25:AU$117,Покупка!$F$25:$F$117,$F87,Покупка!$AC$25:$AC$117,$G87)</f>
        <v>0</v>
      </c>
      <c r="AW87" s="855">
        <f ca="1">SUMIFS(Покупка!AV$25:AV$117,Покупка!$F$25:$F$117,$F87,Покупка!$AC$25:$AC$117,$G87)</f>
        <v>0</v>
      </c>
      <c r="AX87" s="855">
        <f ca="1">SUMIFS(Покупка!AW$25:AW$117,Покупка!$F$25:$F$117,$F87,Покупка!$AC$25:$AC$117,$G87)</f>
        <v>0</v>
      </c>
      <c r="AY87" s="855">
        <f ca="1">SUMIFS(Покупка!AX$25:AX$117,Покупка!$F$25:$F$117,$F87,Покупка!$AC$25:$AC$117,$G87)</f>
        <v>0</v>
      </c>
      <c r="AZ87" s="855">
        <f ca="1">SUMIFS(Покупка!AY$25:AY$117,Покупка!$F$25:$F$117,$F87,Покупка!$AC$25:$AC$117,$G87)</f>
        <v>0</v>
      </c>
      <c r="BA87" s="855">
        <f ca="1">SUMIFS(Покупка!AZ$25:AZ$117,Покупка!$F$25:$F$117,$F87,Покупка!$AC$25:$AC$117,$G87)</f>
        <v>0</v>
      </c>
      <c r="BB87" s="855">
        <f ca="1">SUMIFS(Покупка!BA$25:BA$117,Покупка!$F$25:$F$117,$F87,Покупка!$AC$25:$AC$117,$G87)</f>
        <v>0</v>
      </c>
      <c r="BC87" s="855">
        <f ca="1">SUMIFS(Покупка!BB$25:BB$117,Покупка!$F$25:$F$117,$F87,Покупка!$AC$25:$AC$117,$G87)</f>
        <v>0</v>
      </c>
      <c r="BD87" s="855">
        <f t="shared" ca="1" si="9"/>
        <v>0</v>
      </c>
      <c r="BE87" s="855">
        <f t="shared" ca="1" si="10"/>
        <v>0</v>
      </c>
      <c r="BF87" s="855">
        <f t="shared" ca="1" si="11"/>
        <v>0</v>
      </c>
      <c r="BG87" s="855">
        <f t="shared" ca="1" si="12"/>
        <v>0</v>
      </c>
      <c r="BH87" s="855">
        <f t="shared" ca="1" si="13"/>
        <v>0</v>
      </c>
      <c r="BI87" s="855">
        <f t="shared" ca="1" si="14"/>
        <v>0</v>
      </c>
      <c r="BJ87" s="855">
        <f t="shared" ca="1" si="15"/>
        <v>0</v>
      </c>
      <c r="BK87" s="855">
        <f t="shared" ca="1" si="16"/>
        <v>0</v>
      </c>
      <c r="BL87" s="855">
        <f t="shared" ca="1" si="17"/>
        <v>0</v>
      </c>
      <c r="BM87" s="855">
        <f t="shared" ca="1" si="18"/>
        <v>0</v>
      </c>
      <c r="BN87" s="1163"/>
      <c r="BO87" s="1161" t="str">
        <f ca="1">IF(IFERROR(INDEX(Покупка!$K$26:$L$117,MATCH($F87&amp;"3komm",Покупка!$K$26:$K$117,0),2),"")=0,"",IFERROR(INDEX(Покупка!$K$26:$L$117,MATCH($F87&amp;"3komm",Покупка!$K$26:$K$117,0),2),""))</f>
        <v/>
      </c>
      <c r="BP87" s="1163"/>
      <c r="BS87" s="973" t="s">
        <v>1705</v>
      </c>
    </row>
    <row r="88" spans="2:75" ht="14.65" hidden="1" customHeight="1" x14ac:dyDescent="0.15">
      <c r="B88" s="15"/>
      <c r="C88" s="26"/>
      <c r="D88" s="26"/>
      <c r="E88" s="545">
        <v>15</v>
      </c>
      <c r="F88" s="3" cm="1">
        <f t="array" aca="1" ref="F88" ca="1">OFFSET(E88,-1,1)</f>
        <v>0</v>
      </c>
      <c r="G88" s="26" t="s">
        <v>1080</v>
      </c>
      <c r="H88" s="26"/>
      <c r="I88" s="26" t="s">
        <v>2013</v>
      </c>
      <c r="J88" s="26"/>
      <c r="K88" s="26" t="s">
        <v>2013</v>
      </c>
      <c r="L88" s="889" t="s">
        <v>1492</v>
      </c>
      <c r="M88" s="26"/>
      <c r="N88" s="26"/>
      <c r="O88" s="26"/>
      <c r="P88" s="26"/>
      <c r="Q88" s="26"/>
      <c r="R88" s="26"/>
      <c r="S88" s="26"/>
      <c r="T88" s="388" t="b" cm="1">
        <f t="array" aca="1" ref="T88" ca="1">T87</f>
        <v>0</v>
      </c>
      <c r="U88" s="26"/>
      <c r="V88" s="26"/>
      <c r="X88" s="2032"/>
      <c r="Z88" s="2012"/>
      <c r="AB88" s="217" t="s">
        <v>2014</v>
      </c>
      <c r="AC88" s="685" t="s">
        <v>2015</v>
      </c>
      <c r="AD88" s="218" t="s">
        <v>831</v>
      </c>
      <c r="AE88" s="177">
        <f ca="1">SUMIFS(Покупка!AE$25:AE$117,Покупка!$F$25:$F$117,$F88,Покупка!$AC$25:$AC$117,$G88)</f>
        <v>0</v>
      </c>
      <c r="AF88" s="177">
        <f ca="1">SUMIFS(Покупка!AF$25:AF$117,Покупка!$F$25:$F$117,$F88,Покупка!$AC$25:$AC$117,$G88)</f>
        <v>0</v>
      </c>
      <c r="AG88" s="177">
        <f ca="1">SUMIFS(Покупка!AG$25:AG$117,Покупка!$F$25:$F$117,$F88,Покупка!$AC$25:$AC$117,$G88)</f>
        <v>0</v>
      </c>
      <c r="AH88" s="855">
        <f t="shared" ca="1" si="7"/>
        <v>0</v>
      </c>
      <c r="AI88" s="855">
        <f ca="1">SUMIFS(Покупка!AH$25:AH$117,Покупка!$F$25:$F$117,$F88,Покупка!$AC$25:$AC$117,$G88)</f>
        <v>0</v>
      </c>
      <c r="AJ88" s="855">
        <f ca="1">SUMIFS(Покупка!AI$25:AI$117,Покупка!$F$25:$F$117,$F88,Покупка!$AC$25:$AC$117,$G88)</f>
        <v>0</v>
      </c>
      <c r="AK88" s="855">
        <f ca="1">SUMIFS(Покупка!AJ$25:AJ$117,Покупка!$F$25:$F$117,$F88,Покупка!$AC$25:$AC$117,$G88)</f>
        <v>0</v>
      </c>
      <c r="AL88" s="855">
        <f ca="1">SUMIFS(Покупка!AK$25:AK$117,Покупка!$F$25:$F$117,$F88,Покупка!$AC$25:$AC$117,$G88)</f>
        <v>0</v>
      </c>
      <c r="AM88" s="855">
        <f ca="1">SUMIFS(Покупка!AL$25:AL$117,Покупка!$F$25:$F$117,$F88,Покупка!$AC$25:$AC$117,$G88)</f>
        <v>0</v>
      </c>
      <c r="AN88" s="855">
        <f ca="1">SUMIFS(Покупка!AM$25:AM$117,Покупка!$F$25:$F$117,$F88,Покупка!$AC$25:$AC$117,$G88)</f>
        <v>0</v>
      </c>
      <c r="AO88" s="855">
        <f ca="1">SUMIFS(Покупка!AN$25:AN$117,Покупка!$F$25:$F$117,$F88,Покупка!$AC$25:$AC$117,$G88)</f>
        <v>0</v>
      </c>
      <c r="AP88" s="855">
        <f ca="1">SUMIFS(Покупка!AO$25:AO$117,Покупка!$F$25:$F$117,$F88,Покупка!$AC$25:$AC$117,$G88)</f>
        <v>0</v>
      </c>
      <c r="AQ88" s="855">
        <f ca="1">SUMIFS(Покупка!AP$25:AP$117,Покупка!$F$25:$F$117,$F88,Покупка!$AC$25:$AC$117,$G88)</f>
        <v>0</v>
      </c>
      <c r="AR88" s="855">
        <f ca="1">SUMIFS(Покупка!AQ$25:AQ$117,Покупка!$F$25:$F$117,$F88,Покупка!$AC$25:$AC$117,$G88)</f>
        <v>0</v>
      </c>
      <c r="AS88" s="855">
        <f ca="1">SUMIFS(Покупка!AR$25:AR$117,Покупка!$F$25:$F$117,$F88,Покупка!$AC$25:$AC$117,$G88)</f>
        <v>0</v>
      </c>
      <c r="AT88" s="855">
        <f ca="1">SUMIFS(Покупка!AS$25:AS$117,Покупка!$F$25:$F$117,$F88,Покупка!$AC$25:$AC$117,$G88)</f>
        <v>0</v>
      </c>
      <c r="AU88" s="855">
        <f ca="1">SUMIFS(Покупка!AT$25:AT$117,Покупка!$F$25:$F$117,$F88,Покупка!$AC$25:$AC$117,$G88)</f>
        <v>0</v>
      </c>
      <c r="AV88" s="855">
        <f ca="1">SUMIFS(Покупка!AU$25:AU$117,Покупка!$F$25:$F$117,$F88,Покупка!$AC$25:$AC$117,$G88)</f>
        <v>0</v>
      </c>
      <c r="AW88" s="855">
        <f ca="1">SUMIFS(Покупка!AV$25:AV$117,Покупка!$F$25:$F$117,$F88,Покупка!$AC$25:$AC$117,$G88)</f>
        <v>0</v>
      </c>
      <c r="AX88" s="855">
        <f ca="1">SUMIFS(Покупка!AW$25:AW$117,Покупка!$F$25:$F$117,$F88,Покупка!$AC$25:$AC$117,$G88)</f>
        <v>0</v>
      </c>
      <c r="AY88" s="855">
        <f ca="1">SUMIFS(Покупка!AX$25:AX$117,Покупка!$F$25:$F$117,$F88,Покупка!$AC$25:$AC$117,$G88)</f>
        <v>0</v>
      </c>
      <c r="AZ88" s="855">
        <f ca="1">SUMIFS(Покупка!AY$25:AY$117,Покупка!$F$25:$F$117,$F88,Покупка!$AC$25:$AC$117,$G88)</f>
        <v>0</v>
      </c>
      <c r="BA88" s="855">
        <f ca="1">SUMIFS(Покупка!AZ$25:AZ$117,Покупка!$F$25:$F$117,$F88,Покупка!$AC$25:$AC$117,$G88)</f>
        <v>0</v>
      </c>
      <c r="BB88" s="855">
        <f ca="1">SUMIFS(Покупка!BA$25:BA$117,Покупка!$F$25:$F$117,$F88,Покупка!$AC$25:$AC$117,$G88)</f>
        <v>0</v>
      </c>
      <c r="BC88" s="855">
        <f ca="1">SUMIFS(Покупка!BB$25:BB$117,Покупка!$F$25:$F$117,$F88,Покупка!$AC$25:$AC$117,$G88)</f>
        <v>0</v>
      </c>
      <c r="BD88" s="855">
        <f t="shared" ca="1" si="9"/>
        <v>0</v>
      </c>
      <c r="BE88" s="855">
        <f t="shared" ca="1" si="10"/>
        <v>0</v>
      </c>
      <c r="BF88" s="855">
        <f t="shared" ca="1" si="11"/>
        <v>0</v>
      </c>
      <c r="BG88" s="855">
        <f t="shared" ca="1" si="12"/>
        <v>0</v>
      </c>
      <c r="BH88" s="855">
        <f t="shared" ca="1" si="13"/>
        <v>0</v>
      </c>
      <c r="BI88" s="855">
        <f t="shared" ca="1" si="14"/>
        <v>0</v>
      </c>
      <c r="BJ88" s="855">
        <f t="shared" ca="1" si="15"/>
        <v>0</v>
      </c>
      <c r="BK88" s="855">
        <f t="shared" ca="1" si="16"/>
        <v>0</v>
      </c>
      <c r="BL88" s="855">
        <f t="shared" ca="1" si="17"/>
        <v>0</v>
      </c>
      <c r="BM88" s="855">
        <f t="shared" ca="1" si="18"/>
        <v>0</v>
      </c>
      <c r="BN88" s="1163"/>
      <c r="BO88" s="1161" t="str">
        <f ca="1">IF(IFERROR(INDEX(Покупка!$K$26:$L$117,MATCH($F88&amp;"4komm",Покупка!$K$26:$K$117,0),2),"")=0,"",IFERROR(INDEX(Покупка!$K$26:$L$117,MATCH($F87&amp;"3komm",Покупка!$K$26:$K$117,0),2),""))</f>
        <v/>
      </c>
      <c r="BP88" s="1163"/>
      <c r="BS88" s="973" t="s">
        <v>1708</v>
      </c>
    </row>
    <row r="89" spans="2:75" ht="14.65" hidden="1" customHeight="1" x14ac:dyDescent="0.15">
      <c r="B89" s="15"/>
      <c r="C89" s="26"/>
      <c r="D89" s="26"/>
      <c r="E89" s="545">
        <v>15</v>
      </c>
      <c r="F89" s="3" cm="1">
        <f t="array" aca="1" ref="F89" ca="1">OFFSET(E89,-1,1)</f>
        <v>0</v>
      </c>
      <c r="G89" s="26" t="s">
        <v>1086</v>
      </c>
      <c r="H89" s="26"/>
      <c r="I89" s="26" t="s">
        <v>2016</v>
      </c>
      <c r="J89" s="26"/>
      <c r="K89" s="26" t="s">
        <v>2016</v>
      </c>
      <c r="L89" s="889" t="s">
        <v>1502</v>
      </c>
      <c r="M89" s="26"/>
      <c r="N89" s="26"/>
      <c r="O89" s="26"/>
      <c r="P89" s="26"/>
      <c r="Q89" s="26"/>
      <c r="R89" s="26"/>
      <c r="S89" s="26"/>
      <c r="T89" s="388" t="b" cm="1">
        <f t="array" aca="1" ref="T89" ca="1">T88</f>
        <v>0</v>
      </c>
      <c r="U89" s="26"/>
      <c r="V89" s="26"/>
      <c r="X89" s="2032"/>
      <c r="Z89" s="2012"/>
      <c r="AB89" s="217" t="s">
        <v>2017</v>
      </c>
      <c r="AC89" s="685" t="s">
        <v>2018</v>
      </c>
      <c r="AD89" s="218" t="s">
        <v>831</v>
      </c>
      <c r="AE89" s="177">
        <f ca="1">SUMIFS(Покупка!AE$25:AE$117,Покупка!$F$25:$F$117,$F89,Покупка!$AC$25:$AC$117,$G89)</f>
        <v>0</v>
      </c>
      <c r="AF89" s="177">
        <f ca="1">SUMIFS(Покупка!AF$25:AF$117,Покупка!$F$25:$F$117,$F89,Покупка!$AC$25:$AC$117,$G89)</f>
        <v>0</v>
      </c>
      <c r="AG89" s="177">
        <f ca="1">SUMIFS(Покупка!AG$25:AG$117,Покупка!$F$25:$F$117,$F89,Покупка!$AC$25:$AC$117,$G89)</f>
        <v>0</v>
      </c>
      <c r="AH89" s="855">
        <f t="shared" ca="1" si="7"/>
        <v>0</v>
      </c>
      <c r="AI89" s="855">
        <f ca="1">SUMIFS(Покупка!AH$25:AH$117,Покупка!$F$25:$F$117,$F89,Покупка!$AC$25:$AC$117,$G89)</f>
        <v>0</v>
      </c>
      <c r="AJ89" s="855">
        <f ca="1">SUMIFS(Покупка!AI$25:AI$117,Покупка!$F$25:$F$117,$F89,Покупка!$AC$25:$AC$117,$G89)</f>
        <v>0</v>
      </c>
      <c r="AK89" s="855">
        <f ca="1">SUMIFS(Покупка!AJ$25:AJ$117,Покупка!$F$25:$F$117,$F89,Покупка!$AC$25:$AC$117,$G89)</f>
        <v>0</v>
      </c>
      <c r="AL89" s="855">
        <f ca="1">SUMIFS(Покупка!AK$25:AK$117,Покупка!$F$25:$F$117,$F89,Покупка!$AC$25:$AC$117,$G89)</f>
        <v>0</v>
      </c>
      <c r="AM89" s="855">
        <f ca="1">SUMIFS(Покупка!AL$25:AL$117,Покупка!$F$25:$F$117,$F89,Покупка!$AC$25:$AC$117,$G89)</f>
        <v>0</v>
      </c>
      <c r="AN89" s="855">
        <f ca="1">SUMIFS(Покупка!AM$25:AM$117,Покупка!$F$25:$F$117,$F89,Покупка!$AC$25:$AC$117,$G89)</f>
        <v>0</v>
      </c>
      <c r="AO89" s="855">
        <f ca="1">SUMIFS(Покупка!AN$25:AN$117,Покупка!$F$25:$F$117,$F89,Покупка!$AC$25:$AC$117,$G89)</f>
        <v>0</v>
      </c>
      <c r="AP89" s="855">
        <f ca="1">SUMIFS(Покупка!AO$25:AO$117,Покупка!$F$25:$F$117,$F89,Покупка!$AC$25:$AC$117,$G89)</f>
        <v>0</v>
      </c>
      <c r="AQ89" s="855">
        <f ca="1">SUMIFS(Покупка!AP$25:AP$117,Покупка!$F$25:$F$117,$F89,Покупка!$AC$25:$AC$117,$G89)</f>
        <v>0</v>
      </c>
      <c r="AR89" s="855">
        <f ca="1">SUMIFS(Покупка!AQ$25:AQ$117,Покупка!$F$25:$F$117,$F89,Покупка!$AC$25:$AC$117,$G89)</f>
        <v>0</v>
      </c>
      <c r="AS89" s="855">
        <f ca="1">SUMIFS(Покупка!AR$25:AR$117,Покупка!$F$25:$F$117,$F89,Покупка!$AC$25:$AC$117,$G89)</f>
        <v>0</v>
      </c>
      <c r="AT89" s="855">
        <f ca="1">SUMIFS(Покупка!AS$25:AS$117,Покупка!$F$25:$F$117,$F89,Покупка!$AC$25:$AC$117,$G89)</f>
        <v>0</v>
      </c>
      <c r="AU89" s="855">
        <f ca="1">SUMIFS(Покупка!AT$25:AT$117,Покупка!$F$25:$F$117,$F89,Покупка!$AC$25:$AC$117,$G89)</f>
        <v>0</v>
      </c>
      <c r="AV89" s="855">
        <f ca="1">SUMIFS(Покупка!AU$25:AU$117,Покупка!$F$25:$F$117,$F89,Покупка!$AC$25:$AC$117,$G89)</f>
        <v>0</v>
      </c>
      <c r="AW89" s="855">
        <f ca="1">SUMIFS(Покупка!AV$25:AV$117,Покупка!$F$25:$F$117,$F89,Покупка!$AC$25:$AC$117,$G89)</f>
        <v>0</v>
      </c>
      <c r="AX89" s="855">
        <f ca="1">SUMIFS(Покупка!AW$25:AW$117,Покупка!$F$25:$F$117,$F89,Покупка!$AC$25:$AC$117,$G89)</f>
        <v>0</v>
      </c>
      <c r="AY89" s="855">
        <f ca="1">SUMIFS(Покупка!AX$25:AX$117,Покупка!$F$25:$F$117,$F89,Покупка!$AC$25:$AC$117,$G89)</f>
        <v>0</v>
      </c>
      <c r="AZ89" s="855">
        <f ca="1">SUMIFS(Покупка!AY$25:AY$117,Покупка!$F$25:$F$117,$F89,Покупка!$AC$25:$AC$117,$G89)</f>
        <v>0</v>
      </c>
      <c r="BA89" s="855">
        <f ca="1">SUMIFS(Покупка!AZ$25:AZ$117,Покупка!$F$25:$F$117,$F89,Покупка!$AC$25:$AC$117,$G89)</f>
        <v>0</v>
      </c>
      <c r="BB89" s="855">
        <f ca="1">SUMIFS(Покупка!BA$25:BA$117,Покупка!$F$25:$F$117,$F89,Покупка!$AC$25:$AC$117,$G89)</f>
        <v>0</v>
      </c>
      <c r="BC89" s="855">
        <f ca="1">SUMIFS(Покупка!BB$25:BB$117,Покупка!$F$25:$F$117,$F89,Покупка!$AC$25:$AC$117,$G89)</f>
        <v>0</v>
      </c>
      <c r="BD89" s="855">
        <f t="shared" ca="1" si="9"/>
        <v>0</v>
      </c>
      <c r="BE89" s="855">
        <f t="shared" ca="1" si="10"/>
        <v>0</v>
      </c>
      <c r="BF89" s="855">
        <f t="shared" ca="1" si="11"/>
        <v>0</v>
      </c>
      <c r="BG89" s="855">
        <f t="shared" ca="1" si="12"/>
        <v>0</v>
      </c>
      <c r="BH89" s="855">
        <f t="shared" ca="1" si="13"/>
        <v>0</v>
      </c>
      <c r="BI89" s="855">
        <f t="shared" ca="1" si="14"/>
        <v>0</v>
      </c>
      <c r="BJ89" s="855">
        <f t="shared" ca="1" si="15"/>
        <v>0</v>
      </c>
      <c r="BK89" s="855">
        <f t="shared" ca="1" si="16"/>
        <v>0</v>
      </c>
      <c r="BL89" s="855">
        <f t="shared" ca="1" si="17"/>
        <v>0</v>
      </c>
      <c r="BM89" s="855">
        <f t="shared" ca="1" si="18"/>
        <v>0</v>
      </c>
      <c r="BN89" s="1163"/>
      <c r="BO89" s="1161" t="str">
        <f ca="1">IF(IFERROR(INDEX(Покупка!$K$26:$L$117,MATCH($F89&amp;"5komm",Покупка!$K$26:$K$117,0),2),"")=0,"",IFERROR(INDEX(Покупка!$K$26:$L$117,MATCH($F89&amp;"5komm",Покупка!$K$26:$K$117,0),2),""))</f>
        <v/>
      </c>
      <c r="BP89" s="1163"/>
      <c r="BS89" s="973" t="s">
        <v>1711</v>
      </c>
    </row>
    <row r="90" spans="2:75" s="1140" customFormat="1" ht="14.65" hidden="1" customHeight="1" x14ac:dyDescent="0.15">
      <c r="B90" s="15"/>
      <c r="C90" s="26"/>
      <c r="D90" s="26"/>
      <c r="E90" s="545">
        <v>15</v>
      </c>
      <c r="F90" s="3" cm="1">
        <f t="array" aca="1" ref="F90" ca="1">OFFSET(E90,-1,1)</f>
        <v>0</v>
      </c>
      <c r="G90" s="26" t="s">
        <v>1098</v>
      </c>
      <c r="H90" s="26"/>
      <c r="I90" s="26"/>
      <c r="J90" s="26"/>
      <c r="K90" s="26"/>
      <c r="L90" s="889" t="s">
        <v>1469</v>
      </c>
      <c r="M90" s="26"/>
      <c r="N90" s="26"/>
      <c r="O90" s="26"/>
      <c r="P90" s="26"/>
      <c r="Q90" s="26"/>
      <c r="R90" s="26"/>
      <c r="S90" s="26"/>
      <c r="T90" s="388" t="b" cm="1">
        <f t="array" aca="1" ref="T90" ca="1">T89</f>
        <v>0</v>
      </c>
      <c r="U90" s="26"/>
      <c r="V90" s="26"/>
      <c r="X90" s="2032"/>
      <c r="Z90" s="2012"/>
      <c r="AB90" s="217" t="s">
        <v>2019</v>
      </c>
      <c r="AC90" s="685" t="s">
        <v>2020</v>
      </c>
      <c r="AD90" s="218" t="s">
        <v>831</v>
      </c>
      <c r="AE90" s="177">
        <f ca="1">SUMIFS(Покупка!AE$25:AE$117,Покупка!$F$25:$F$117,$F90,Покупка!$AC$25:$AC$117,$G90)</f>
        <v>0</v>
      </c>
      <c r="AF90" s="177">
        <f ca="1">SUMIFS(Покупка!AF$25:AF$117,Покупка!$F$25:$F$117,$F90,Покупка!$AC$25:$AC$117,$G90)</f>
        <v>0</v>
      </c>
      <c r="AG90" s="177">
        <f ca="1">SUMIFS(Покупка!AG$25:AG$117,Покупка!$F$25:$F$117,$F90,Покупка!$AC$25:$AC$117,$G90)</f>
        <v>0</v>
      </c>
      <c r="AH90" s="855">
        <f t="shared" ca="1" si="7"/>
        <v>0</v>
      </c>
      <c r="AI90" s="855">
        <f ca="1">SUMIFS(Покупка!AH$25:AH$117,Покупка!$F$25:$F$117,$F90,Покупка!$AC$25:$AC$117,$G90)</f>
        <v>0</v>
      </c>
      <c r="AJ90" s="1024">
        <f ca="1">SUMIFS(Покупка!AI$25:AI$117,Покупка!$F$25:$F$117,$F90,Покупка!$AC$25:$AC$117,$G90)</f>
        <v>0</v>
      </c>
      <c r="AK90" s="1024">
        <f ca="1">SUMIFS(Покупка!AJ$25:AJ$117,Покупка!$F$25:$F$117,$F90,Покупка!$AC$25:$AC$117,$G90)</f>
        <v>0</v>
      </c>
      <c r="AL90" s="1024">
        <f ca="1">SUMIFS(Покупка!AK$25:AK$117,Покупка!$F$25:$F$117,$F90,Покупка!$AC$25:$AC$117,$G90)</f>
        <v>0</v>
      </c>
      <c r="AM90" s="1024">
        <f ca="1">SUMIFS(Покупка!AL$25:AL$117,Покупка!$F$25:$F$117,$F90,Покупка!$AC$25:$AC$117,$G90)</f>
        <v>0</v>
      </c>
      <c r="AN90" s="1024">
        <f ca="1">SUMIFS(Покупка!AM$25:AM$117,Покупка!$F$25:$F$117,$F90,Покупка!$AC$25:$AC$117,$G90)</f>
        <v>0</v>
      </c>
      <c r="AO90" s="1024">
        <f ca="1">SUMIFS(Покупка!AN$25:AN$117,Покупка!$F$25:$F$117,$F90,Покупка!$AC$25:$AC$117,$G90)</f>
        <v>0</v>
      </c>
      <c r="AP90" s="1024">
        <f ca="1">SUMIFS(Покупка!AO$25:AO$117,Покупка!$F$25:$F$117,$F90,Покупка!$AC$25:$AC$117,$G90)</f>
        <v>0</v>
      </c>
      <c r="AQ90" s="1024">
        <f ca="1">SUMIFS(Покупка!AP$25:AP$117,Покупка!$F$25:$F$117,$F90,Покупка!$AC$25:$AC$117,$G90)</f>
        <v>0</v>
      </c>
      <c r="AR90" s="1024">
        <f ca="1">SUMIFS(Покупка!AQ$25:AQ$117,Покупка!$F$25:$F$117,$F90,Покупка!$AC$25:$AC$117,$G90)</f>
        <v>0</v>
      </c>
      <c r="AS90" s="1024">
        <f ca="1">SUMIFS(Покупка!AR$25:AR$117,Покупка!$F$25:$F$117,$F90,Покупка!$AC$25:$AC$117,$G90)</f>
        <v>0</v>
      </c>
      <c r="AT90" s="1024">
        <f ca="1">SUMIFS(Покупка!AS$25:AS$117,Покупка!$F$25:$F$117,$F90,Покупка!$AC$25:$AC$117,$G90)</f>
        <v>0</v>
      </c>
      <c r="AU90" s="1024">
        <f ca="1">SUMIFS(Покупка!AT$25:AT$117,Покупка!$F$25:$F$117,$F90,Покупка!$AC$25:$AC$117,$G90)</f>
        <v>0</v>
      </c>
      <c r="AV90" s="1024">
        <f ca="1">SUMIFS(Покупка!AU$25:AU$117,Покупка!$F$25:$F$117,$F90,Покупка!$AC$25:$AC$117,$G90)</f>
        <v>0</v>
      </c>
      <c r="AW90" s="1024">
        <f ca="1">SUMIFS(Покупка!AV$25:AV$117,Покупка!$F$25:$F$117,$F90,Покупка!$AC$25:$AC$117,$G90)</f>
        <v>0</v>
      </c>
      <c r="AX90" s="1024">
        <f ca="1">SUMIFS(Покупка!AW$25:AW$117,Покупка!$F$25:$F$117,$F90,Покупка!$AC$25:$AC$117,$G90)</f>
        <v>0</v>
      </c>
      <c r="AY90" s="1024">
        <f ca="1">SUMIFS(Покупка!AX$25:AX$117,Покупка!$F$25:$F$117,$F90,Покупка!$AC$25:$AC$117,$G90)</f>
        <v>0</v>
      </c>
      <c r="AZ90" s="1024">
        <f ca="1">SUMIFS(Покупка!AY$25:AY$117,Покупка!$F$25:$F$117,$F90,Покупка!$AC$25:$AC$117,$G90)</f>
        <v>0</v>
      </c>
      <c r="BA90" s="1024">
        <f ca="1">SUMIFS(Покупка!AZ$25:AZ$117,Покупка!$F$25:$F$117,$F90,Покупка!$AC$25:$AC$117,$G90)</f>
        <v>0</v>
      </c>
      <c r="BB90" s="1024">
        <f ca="1">SUMIFS(Покупка!BA$25:BA$117,Покупка!$F$25:$F$117,$F90,Покупка!$AC$25:$AC$117,$G90)</f>
        <v>0</v>
      </c>
      <c r="BC90" s="1024">
        <f ca="1">SUMIFS(Покупка!BB$25:BB$117,Покупка!$F$25:$F$117,$F90,Покупка!$AC$25:$AC$117,$G90)</f>
        <v>0</v>
      </c>
      <c r="BD90" s="855">
        <f t="shared" ca="1" si="9"/>
        <v>0</v>
      </c>
      <c r="BE90" s="855">
        <f t="shared" ca="1" si="10"/>
        <v>0</v>
      </c>
      <c r="BF90" s="855">
        <f t="shared" ca="1" si="11"/>
        <v>0</v>
      </c>
      <c r="BG90" s="855">
        <f t="shared" ca="1" si="12"/>
        <v>0</v>
      </c>
      <c r="BH90" s="855">
        <f t="shared" ca="1" si="13"/>
        <v>0</v>
      </c>
      <c r="BI90" s="855">
        <f t="shared" ca="1" si="14"/>
        <v>0</v>
      </c>
      <c r="BJ90" s="855">
        <f t="shared" ca="1" si="15"/>
        <v>0</v>
      </c>
      <c r="BK90" s="855">
        <f t="shared" ca="1" si="16"/>
        <v>0</v>
      </c>
      <c r="BL90" s="855">
        <f t="shared" ca="1" si="17"/>
        <v>0</v>
      </c>
      <c r="BM90" s="855">
        <f t="shared" ca="1" si="18"/>
        <v>0</v>
      </c>
      <c r="BN90" s="1163"/>
      <c r="BO90" s="1161" t="str">
        <f ca="1">IF(IFERROR(INDEX(Покупка!$K$26:$L$117,MATCH($F90&amp;"9komm",Покупка!$K$26:$K$117,0),2),"")=0,"",IFERROR(INDEX(Покупка!$K$26:$L$117,MATCH($F90&amp;"9komm",Покупка!$K$26:$K$117,0),2),""))</f>
        <v/>
      </c>
      <c r="BP90" s="1163"/>
      <c r="BS90" s="973" t="s">
        <v>1099</v>
      </c>
      <c r="BT90" s="973"/>
      <c r="BU90" s="973"/>
      <c r="BV90" s="626"/>
      <c r="BW90" s="626"/>
    </row>
    <row r="91" spans="2:75" ht="14.65" hidden="1" customHeight="1" x14ac:dyDescent="0.15">
      <c r="B91" s="15"/>
      <c r="C91" s="26"/>
      <c r="D91" s="26"/>
      <c r="E91" s="545">
        <v>15</v>
      </c>
      <c r="F91" s="3" cm="1">
        <f t="array" aca="1" ref="F91" ca="1">OFFSET(E91,-1,1)</f>
        <v>0</v>
      </c>
      <c r="G91" s="26"/>
      <c r="H91" s="26"/>
      <c r="I91" s="26" t="s">
        <v>515</v>
      </c>
      <c r="J91" s="26"/>
      <c r="K91" s="26" t="s">
        <v>515</v>
      </c>
      <c r="L91" s="889"/>
      <c r="M91" s="26"/>
      <c r="N91" s="26"/>
      <c r="O91" s="26"/>
      <c r="P91" s="26"/>
      <c r="Q91" s="26"/>
      <c r="R91" s="26"/>
      <c r="S91" s="26"/>
      <c r="T91" s="388" t="b" cm="1">
        <f t="array" aca="1" ref="T91" ca="1">T90</f>
        <v>0</v>
      </c>
      <c r="U91" s="26"/>
      <c r="V91" s="26"/>
      <c r="X91" s="2032"/>
      <c r="Z91" s="2012"/>
      <c r="AB91" s="217" t="s">
        <v>570</v>
      </c>
      <c r="AC91" s="682" t="s">
        <v>2021</v>
      </c>
      <c r="AD91" s="699" t="s">
        <v>831</v>
      </c>
      <c r="AE91" s="177">
        <f ca="1">SUMIFS('Сырье и материалы'!AE$25:AE$46,'Сырье и материалы'!$F$25:$F$46,$F91,'Сырье и материалы'!$AC$25:$AC$46,"Всего по тарифу")</f>
        <v>0</v>
      </c>
      <c r="AF91" s="177">
        <f ca="1">SUMIFS('Сырье и материалы'!AF$25:AF$46,'Сырье и материалы'!$F$25:$F$46,$F91,'Сырье и материалы'!$AC$25:$AC$46,"Всего по тарифу")</f>
        <v>0</v>
      </c>
      <c r="AG91" s="177">
        <f ca="1">SUMIFS('Сырье и материалы'!AG$25:AG$46,'Сырье и материалы'!$F$25:$F$46,$F91,'Сырье и материалы'!$AC$25:$AC$46,"Всего по тарифу")</f>
        <v>0</v>
      </c>
      <c r="AH91" s="855">
        <f t="shared" ca="1" si="7"/>
        <v>0</v>
      </c>
      <c r="AI91" s="855">
        <f ca="1">SUMIFS('Сырье и материалы'!AH$25:AH$46,'Сырье и материалы'!$F$25:$F$46,$F91,'Сырье и материалы'!$AC$25:$AC$46,"Всего по тарифу")</f>
        <v>0</v>
      </c>
      <c r="AJ91" s="855">
        <f ca="1">SUMIFS('Сырье и материалы'!AI$25:AI$46,'Сырье и материалы'!$F$25:$F$46,$F91,'Сырье и материалы'!$AC$25:$AC$46,"Всего по тарифу")</f>
        <v>0</v>
      </c>
      <c r="AK91" s="855">
        <f ca="1">SUMIFS('Сырье и материалы'!AJ$25:AJ$46,'Сырье и материалы'!$F$25:$F$46,$F91,'Сырье и материалы'!$AC$25:$AC$46,"Всего по тарифу")</f>
        <v>0</v>
      </c>
      <c r="AL91" s="855">
        <f ca="1">SUMIFS('Сырье и материалы'!AK$25:AK$46,'Сырье и материалы'!$F$25:$F$46,$F91,'Сырье и материалы'!$AC$25:$AC$46,"Всего по тарифу")</f>
        <v>0</v>
      </c>
      <c r="AM91" s="855">
        <f ca="1">SUMIFS('Сырье и материалы'!AL$25:AL$46,'Сырье и материалы'!$F$25:$F$46,$F91,'Сырье и материалы'!$AC$25:$AC$46,"Всего по тарифу")</f>
        <v>0</v>
      </c>
      <c r="AN91" s="855">
        <f ca="1">SUMIFS('Сырье и материалы'!AM$25:AM$46,'Сырье и материалы'!$F$25:$F$46,$F91,'Сырье и материалы'!$AC$25:$AC$46,"Всего по тарифу")</f>
        <v>0</v>
      </c>
      <c r="AO91" s="855">
        <f ca="1">SUMIFS('Сырье и материалы'!AN$25:AN$46,'Сырье и материалы'!$F$25:$F$46,$F91,'Сырье и материалы'!$AC$25:$AC$46,"Всего по тарифу")</f>
        <v>0</v>
      </c>
      <c r="AP91" s="855">
        <f ca="1">SUMIFS('Сырье и материалы'!AO$25:AO$46,'Сырье и материалы'!$F$25:$F$46,$F91,'Сырье и материалы'!$AC$25:$AC$46,"Всего по тарифу")</f>
        <v>0</v>
      </c>
      <c r="AQ91" s="855">
        <f ca="1">SUMIFS('Сырье и материалы'!AP$25:AP$46,'Сырье и материалы'!$F$25:$F$46,$F91,'Сырье и материалы'!$AC$25:$AC$46,"Всего по тарифу")</f>
        <v>0</v>
      </c>
      <c r="AR91" s="855">
        <f ca="1">SUMIFS('Сырье и материалы'!AQ$25:AQ$46,'Сырье и материалы'!$F$25:$F$46,$F91,'Сырье и материалы'!$AC$25:$AC$46,"Всего по тарифу")</f>
        <v>0</v>
      </c>
      <c r="AS91" s="855">
        <f ca="1">SUMIFS('Сырье и материалы'!AR$25:AR$46,'Сырье и материалы'!$F$25:$F$46,$F91,'Сырье и материалы'!$AC$25:$AC$46,"Всего по тарифу")</f>
        <v>0</v>
      </c>
      <c r="AT91" s="855">
        <f ca="1">SUMIFS('Сырье и материалы'!AS$25:AS$46,'Сырье и материалы'!$F$25:$F$46,$F91,'Сырье и материалы'!$AC$25:$AC$46,"Всего по тарифу")</f>
        <v>0</v>
      </c>
      <c r="AU91" s="855">
        <f ca="1">SUMIFS('Сырье и материалы'!AT$25:AT$46,'Сырье и материалы'!$F$25:$F$46,$F91,'Сырье и материалы'!$AC$25:$AC$46,"Всего по тарифу")</f>
        <v>0</v>
      </c>
      <c r="AV91" s="855">
        <f ca="1">SUMIFS('Сырье и материалы'!AU$25:AU$46,'Сырье и материалы'!$F$25:$F$46,$F91,'Сырье и материалы'!$AC$25:$AC$46,"Всего по тарифу")</f>
        <v>0</v>
      </c>
      <c r="AW91" s="855">
        <f ca="1">SUMIFS('Сырье и материалы'!AV$25:AV$46,'Сырье и материалы'!$F$25:$F$46,$F91,'Сырье и материалы'!$AC$25:$AC$46,"Всего по тарифу")</f>
        <v>0</v>
      </c>
      <c r="AX91" s="855">
        <f ca="1">SUMIFS('Сырье и материалы'!AW$25:AW$46,'Сырье и материалы'!$F$25:$F$46,$F91,'Сырье и материалы'!$AC$25:$AC$46,"Всего по тарифу")</f>
        <v>0</v>
      </c>
      <c r="AY91" s="855">
        <f ca="1">SUMIFS('Сырье и материалы'!AX$25:AX$46,'Сырье и материалы'!$F$25:$F$46,$F91,'Сырье и материалы'!$AC$25:$AC$46,"Всего по тарифу")</f>
        <v>0</v>
      </c>
      <c r="AZ91" s="855">
        <f ca="1">SUMIFS('Сырье и материалы'!AY$25:AY$46,'Сырье и материалы'!$F$25:$F$46,$F91,'Сырье и материалы'!$AC$25:$AC$46,"Всего по тарифу")</f>
        <v>0</v>
      </c>
      <c r="BA91" s="855">
        <f ca="1">SUMIFS('Сырье и материалы'!AZ$25:AZ$46,'Сырье и материалы'!$F$25:$F$46,$F91,'Сырье и материалы'!$AC$25:$AC$46,"Всего по тарифу")</f>
        <v>0</v>
      </c>
      <c r="BB91" s="855">
        <f ca="1">SUMIFS('Сырье и материалы'!BA$25:BA$46,'Сырье и материалы'!$F$25:$F$46,$F91,'Сырье и материалы'!$AC$25:$AC$46,"Всего по тарифу")</f>
        <v>0</v>
      </c>
      <c r="BC91" s="855">
        <f ca="1">SUMIFS('Сырье и материалы'!BB$25:BB$46,'Сырье и материалы'!$F$25:$F$46,$F91,'Сырье и материалы'!$AC$25:$AC$46,"Всего по тарифу")</f>
        <v>0</v>
      </c>
      <c r="BD91" s="855">
        <f t="shared" ca="1" si="9"/>
        <v>0</v>
      </c>
      <c r="BE91" s="855">
        <f t="shared" ca="1" si="10"/>
        <v>0</v>
      </c>
      <c r="BF91" s="855">
        <f t="shared" ca="1" si="11"/>
        <v>0</v>
      </c>
      <c r="BG91" s="855">
        <f t="shared" ca="1" si="12"/>
        <v>0</v>
      </c>
      <c r="BH91" s="855">
        <f t="shared" ca="1" si="13"/>
        <v>0</v>
      </c>
      <c r="BI91" s="855">
        <f t="shared" ca="1" si="14"/>
        <v>0</v>
      </c>
      <c r="BJ91" s="855">
        <f t="shared" ca="1" si="15"/>
        <v>0</v>
      </c>
      <c r="BK91" s="855">
        <f t="shared" ca="1" si="16"/>
        <v>0</v>
      </c>
      <c r="BL91" s="855">
        <f t="shared" ca="1" si="17"/>
        <v>0</v>
      </c>
      <c r="BM91" s="855">
        <f t="shared" ca="1" si="18"/>
        <v>0</v>
      </c>
      <c r="BN91" s="1163"/>
      <c r="BO91" s="1161" t="str">
        <f ca="1">IF(IFERROR(INDEX('Сырье и материалы'!$K$26:$L$46,MATCH($F91&amp;"komm",'Сырье и материалы'!$K$26:$K$46,0),2),"")=0,"",IFERROR(INDEX('Сырье и материалы'!$K$26:$L$46,MATCH($F91&amp;"komm",'Сырье и материалы'!$K$26:$K$46,0),2),""))</f>
        <v/>
      </c>
      <c r="BP91" s="1163"/>
      <c r="BS91" s="973" t="s">
        <v>1684</v>
      </c>
    </row>
    <row r="92" spans="2:75" s="623" customFormat="1" ht="20.45" hidden="1" customHeight="1" x14ac:dyDescent="0.15">
      <c r="B92" s="30"/>
      <c r="C92" s="28"/>
      <c r="D92" s="28"/>
      <c r="E92" s="745">
        <v>21</v>
      </c>
      <c r="F92" s="3" cm="1">
        <f t="array" aca="1" ref="F92" ca="1">OFFSET(E92,-1,1)</f>
        <v>0</v>
      </c>
      <c r="G92" s="28"/>
      <c r="H92" s="26"/>
      <c r="I92" s="26" t="s">
        <v>930</v>
      </c>
      <c r="J92" s="28"/>
      <c r="K92" s="26" t="s">
        <v>930</v>
      </c>
      <c r="L92" s="894" t="s">
        <v>547</v>
      </c>
      <c r="M92" s="28"/>
      <c r="N92" s="28"/>
      <c r="O92" s="28"/>
      <c r="P92" s="28"/>
      <c r="Q92" s="28"/>
      <c r="R92" s="28"/>
      <c r="S92" s="28"/>
      <c r="T92" s="388" t="b" cm="1">
        <f t="array" aca="1" ref="T92" ca="1">T91</f>
        <v>0</v>
      </c>
      <c r="U92" s="28"/>
      <c r="V92" s="28"/>
      <c r="X92" s="2032"/>
      <c r="Z92" s="2012"/>
      <c r="AB92" s="137" t="s">
        <v>574</v>
      </c>
      <c r="AC92" s="277" t="s">
        <v>2022</v>
      </c>
      <c r="AD92" s="130" t="s">
        <v>831</v>
      </c>
      <c r="AE92" s="698">
        <f ca="1">SUM(AE93:AE102)</f>
        <v>0</v>
      </c>
      <c r="AF92" s="698">
        <f ca="1">SUM(AF93:AF102)</f>
        <v>0</v>
      </c>
      <c r="AG92" s="698">
        <f ca="1">SUM(AG93:AG102)</f>
        <v>0</v>
      </c>
      <c r="AH92" s="681">
        <f t="shared" ca="1" si="7"/>
        <v>0</v>
      </c>
      <c r="AI92" s="681">
        <f t="shared" ref="AI92:BC92" ca="1" si="20">SUM(AI93:AI102)</f>
        <v>0</v>
      </c>
      <c r="AJ92" s="690">
        <f t="shared" ca="1" si="20"/>
        <v>0</v>
      </c>
      <c r="AK92" s="681">
        <f t="shared" ca="1" si="20"/>
        <v>0</v>
      </c>
      <c r="AL92" s="681">
        <f t="shared" ca="1" si="20"/>
        <v>0</v>
      </c>
      <c r="AM92" s="681">
        <f t="shared" ca="1" si="20"/>
        <v>0</v>
      </c>
      <c r="AN92" s="681">
        <f t="shared" ca="1" si="20"/>
        <v>0</v>
      </c>
      <c r="AO92" s="681">
        <f t="shared" ca="1" si="20"/>
        <v>0</v>
      </c>
      <c r="AP92" s="681">
        <f t="shared" ca="1" si="20"/>
        <v>0</v>
      </c>
      <c r="AQ92" s="681">
        <f t="shared" ca="1" si="20"/>
        <v>0</v>
      </c>
      <c r="AR92" s="681">
        <f t="shared" ca="1" si="20"/>
        <v>0</v>
      </c>
      <c r="AS92" s="681">
        <f t="shared" ca="1" si="20"/>
        <v>0</v>
      </c>
      <c r="AT92" s="690">
        <f t="shared" ca="1" si="20"/>
        <v>0</v>
      </c>
      <c r="AU92" s="681">
        <f t="shared" ca="1" si="20"/>
        <v>0</v>
      </c>
      <c r="AV92" s="681">
        <f t="shared" ca="1" si="20"/>
        <v>0</v>
      </c>
      <c r="AW92" s="681">
        <f t="shared" ca="1" si="20"/>
        <v>0</v>
      </c>
      <c r="AX92" s="681">
        <f t="shared" ca="1" si="20"/>
        <v>0</v>
      </c>
      <c r="AY92" s="681">
        <f t="shared" ca="1" si="20"/>
        <v>0</v>
      </c>
      <c r="AZ92" s="681">
        <f t="shared" ca="1" si="20"/>
        <v>0</v>
      </c>
      <c r="BA92" s="681">
        <f t="shared" ca="1" si="20"/>
        <v>0</v>
      </c>
      <c r="BB92" s="681">
        <f t="shared" ca="1" si="20"/>
        <v>0</v>
      </c>
      <c r="BC92" s="681">
        <f t="shared" ca="1" si="20"/>
        <v>0</v>
      </c>
      <c r="BD92" s="681">
        <f t="shared" ca="1" si="9"/>
        <v>0</v>
      </c>
      <c r="BE92" s="681">
        <f t="shared" ca="1" si="10"/>
        <v>0</v>
      </c>
      <c r="BF92" s="681">
        <f t="shared" ca="1" si="11"/>
        <v>0</v>
      </c>
      <c r="BG92" s="681">
        <f t="shared" ca="1" si="12"/>
        <v>0</v>
      </c>
      <c r="BH92" s="681">
        <f t="shared" ca="1" si="13"/>
        <v>0</v>
      </c>
      <c r="BI92" s="681">
        <f t="shared" ca="1" si="14"/>
        <v>0</v>
      </c>
      <c r="BJ92" s="681">
        <f t="shared" ca="1" si="15"/>
        <v>0</v>
      </c>
      <c r="BK92" s="681">
        <f t="shared" ca="1" si="16"/>
        <v>0</v>
      </c>
      <c r="BL92" s="681">
        <f t="shared" ca="1" si="17"/>
        <v>0</v>
      </c>
      <c r="BM92" s="681">
        <f t="shared" ca="1" si="18"/>
        <v>0</v>
      </c>
      <c r="BN92" s="1147"/>
      <c r="BO92" s="1161" t="str">
        <f ca="1">IF(IFERROR(INDEX(Налоги!$K$26:$L$69,MATCH($F92&amp;"komm",Налоги!$K$26:$K$69,0),2),"")=0,"",IFERROR(INDEX(Налоги!$K$26:$L$69,MATCH($F92&amp;"komm",Налоги!$K$26:$K$69,0),2),""))</f>
        <v/>
      </c>
      <c r="BP92" s="1147"/>
      <c r="BS92" s="979" t="s">
        <v>1233</v>
      </c>
      <c r="BT92" s="979"/>
      <c r="BU92" s="979"/>
      <c r="BV92" s="630"/>
      <c r="BW92" s="630"/>
    </row>
    <row r="93" spans="2:75" ht="14.65" hidden="1" customHeight="1" x14ac:dyDescent="0.15">
      <c r="B93" s="15"/>
      <c r="C93" s="26"/>
      <c r="D93" s="26"/>
      <c r="E93" s="545">
        <v>15</v>
      </c>
      <c r="F93" s="3" cm="1">
        <f t="array" aca="1" ref="F93" ca="1">OFFSET(E93,-1,1)</f>
        <v>0</v>
      </c>
      <c r="G93" s="834">
        <v>7</v>
      </c>
      <c r="H93" s="26"/>
      <c r="I93" s="26" t="s">
        <v>2023</v>
      </c>
      <c r="J93" s="26"/>
      <c r="K93" s="26" t="s">
        <v>2023</v>
      </c>
      <c r="L93" s="889"/>
      <c r="M93" s="26"/>
      <c r="N93" s="26"/>
      <c r="O93" s="26"/>
      <c r="P93" s="26"/>
      <c r="Q93" s="26"/>
      <c r="R93" s="26"/>
      <c r="S93" s="26"/>
      <c r="T93" s="388" t="b" cm="1">
        <f t="array" aca="1" ref="T93" ca="1">T92</f>
        <v>0</v>
      </c>
      <c r="U93" s="26"/>
      <c r="V93" s="26"/>
      <c r="X93" s="2032"/>
      <c r="Z93" s="2012"/>
      <c r="AB93" s="217" t="s">
        <v>531</v>
      </c>
      <c r="AC93" s="685" t="s">
        <v>1247</v>
      </c>
      <c r="AD93" s="218" t="s">
        <v>831</v>
      </c>
      <c r="AE93" s="177">
        <f ca="1">SUMIFS(Налоги!AE$25:AE$69,Налоги!$F$25:$F$69,$F93,Налоги!$AB$25:$AB$69,$G93)</f>
        <v>0</v>
      </c>
      <c r="AF93" s="177">
        <f ca="1">SUMIFS(Налоги!AF$25:AF$69,Налоги!$F$25:$F$69,$F93,Налоги!$AB$25:$AB$69,$G93)</f>
        <v>0</v>
      </c>
      <c r="AG93" s="177">
        <f ca="1">SUMIFS(Налоги!AG$25:AG$69,Налоги!$F$25:$F$69,$F93,Налоги!$AB$25:$AB$69,$G93)</f>
        <v>0</v>
      </c>
      <c r="AH93" s="855">
        <f t="shared" ca="1" si="7"/>
        <v>0</v>
      </c>
      <c r="AI93" s="855">
        <f ca="1">SUMIFS(Налоги!AH$25:AH$69,Налоги!$F$25:$F$69,$F93,Налоги!$AB$25:$AB$69,$G93)</f>
        <v>0</v>
      </c>
      <c r="AJ93" s="855">
        <f ca="1">SUMIFS(Налоги!AI$25:AI$69,Налоги!$F$25:$F$69,$F93,Налоги!$AB$25:$AB$69,$G93)</f>
        <v>0</v>
      </c>
      <c r="AK93" s="855">
        <f ca="1">SUMIFS(Налоги!AJ$25:AJ$69,Налоги!$F$25:$F$69,$F93,Налоги!$AB$25:$AB$69,$G93)</f>
        <v>0</v>
      </c>
      <c r="AL93" s="855">
        <f ca="1">SUMIFS(Налоги!AK$25:AK$69,Налоги!$F$25:$F$69,$F93,Налоги!$AB$25:$AB$69,$G93)</f>
        <v>0</v>
      </c>
      <c r="AM93" s="855">
        <f ca="1">SUMIFS(Налоги!AL$25:AL$69,Налоги!$F$25:$F$69,$F93,Налоги!$AB$25:$AB$69,$G93)</f>
        <v>0</v>
      </c>
      <c r="AN93" s="855">
        <f ca="1">SUMIFS(Налоги!AM$25:AM$69,Налоги!$F$25:$F$69,$F93,Налоги!$AB$25:$AB$69,$G93)</f>
        <v>0</v>
      </c>
      <c r="AO93" s="855">
        <f ca="1">SUMIFS(Налоги!AN$25:AN$69,Налоги!$F$25:$F$69,$F93,Налоги!$AB$25:$AB$69,$G93)</f>
        <v>0</v>
      </c>
      <c r="AP93" s="855">
        <f ca="1">SUMIFS(Налоги!AO$25:AO$69,Налоги!$F$25:$F$69,$F93,Налоги!$AB$25:$AB$69,$G93)</f>
        <v>0</v>
      </c>
      <c r="AQ93" s="855">
        <f ca="1">SUMIFS(Налоги!AP$25:AP$69,Налоги!$F$25:$F$69,$F93,Налоги!$AB$25:$AB$69,$G93)</f>
        <v>0</v>
      </c>
      <c r="AR93" s="855">
        <f ca="1">SUMIFS(Налоги!AQ$25:AQ$69,Налоги!$F$25:$F$69,$F93,Налоги!$AB$25:$AB$69,$G93)</f>
        <v>0</v>
      </c>
      <c r="AS93" s="855">
        <f ca="1">SUMIFS(Налоги!AR$25:AR$69,Налоги!$F$25:$F$69,$F93,Налоги!$AB$25:$AB$69,$G93)</f>
        <v>0</v>
      </c>
      <c r="AT93" s="855">
        <f ca="1">SUMIFS(Налоги!AS$25:AS$69,Налоги!$F$25:$F$69,$F93,Налоги!$AB$25:$AB$69,$G93)</f>
        <v>0</v>
      </c>
      <c r="AU93" s="855">
        <f ca="1">SUMIFS(Налоги!AT$25:AT$69,Налоги!$F$25:$F$69,$F93,Налоги!$AB$25:$AB$69,$G93)</f>
        <v>0</v>
      </c>
      <c r="AV93" s="855">
        <f ca="1">SUMIFS(Налоги!AU$25:AU$69,Налоги!$F$25:$F$69,$F93,Налоги!$AB$25:$AB$69,$G93)</f>
        <v>0</v>
      </c>
      <c r="AW93" s="855">
        <f ca="1">SUMIFS(Налоги!AV$25:AV$69,Налоги!$F$25:$F$69,$F93,Налоги!$AB$25:$AB$69,$G93)</f>
        <v>0</v>
      </c>
      <c r="AX93" s="855">
        <f ca="1">SUMIFS(Налоги!AW$25:AW$69,Налоги!$F$25:$F$69,$F93,Налоги!$AB$25:$AB$69,$G93)</f>
        <v>0</v>
      </c>
      <c r="AY93" s="855">
        <f ca="1">SUMIFS(Налоги!AX$25:AX$69,Налоги!$F$25:$F$69,$F93,Налоги!$AB$25:$AB$69,$G93)</f>
        <v>0</v>
      </c>
      <c r="AZ93" s="855">
        <f ca="1">SUMIFS(Налоги!AY$25:AY$69,Налоги!$F$25:$F$69,$F93,Налоги!$AB$25:$AB$69,$G93)</f>
        <v>0</v>
      </c>
      <c r="BA93" s="855">
        <f ca="1">SUMIFS(Налоги!AZ$25:AZ$69,Налоги!$F$25:$F$69,$F93,Налоги!$AB$25:$AB$69,$G93)</f>
        <v>0</v>
      </c>
      <c r="BB93" s="855">
        <f ca="1">SUMIFS(Налоги!BA$25:BA$69,Налоги!$F$25:$F$69,$F93,Налоги!$AB$25:$AB$69,$G93)</f>
        <v>0</v>
      </c>
      <c r="BC93" s="855">
        <f ca="1">SUMIFS(Налоги!BB$25:BB$69,Налоги!$F$25:$F$69,$F93,Налоги!$AB$25:$AB$69,$G93)</f>
        <v>0</v>
      </c>
      <c r="BD93" s="855">
        <f t="shared" ca="1" si="9"/>
        <v>0</v>
      </c>
      <c r="BE93" s="855">
        <f t="shared" ca="1" si="10"/>
        <v>0</v>
      </c>
      <c r="BF93" s="855">
        <f t="shared" ca="1" si="11"/>
        <v>0</v>
      </c>
      <c r="BG93" s="855">
        <f t="shared" ca="1" si="12"/>
        <v>0</v>
      </c>
      <c r="BH93" s="855">
        <f t="shared" ca="1" si="13"/>
        <v>0</v>
      </c>
      <c r="BI93" s="855">
        <f t="shared" ca="1" si="14"/>
        <v>0</v>
      </c>
      <c r="BJ93" s="855">
        <f t="shared" ca="1" si="15"/>
        <v>0</v>
      </c>
      <c r="BK93" s="855">
        <f t="shared" ca="1" si="16"/>
        <v>0</v>
      </c>
      <c r="BL93" s="855">
        <f t="shared" ca="1" si="17"/>
        <v>0</v>
      </c>
      <c r="BM93" s="855">
        <f t="shared" ca="1" si="18"/>
        <v>0</v>
      </c>
      <c r="BN93" s="1163"/>
      <c r="BO93" s="1161" t="str">
        <f ca="1">IF(IFERROR(INDEX(Налоги!$K$26:$L$69,MATCH($F93&amp;"7komm",Налоги!$K$26:$K$69,0),2),"")=0,"",IFERROR(INDEX(Налоги!$K$26:$L$69,MATCH($F93&amp;"7komm",Налоги!$K$26:$K$69,0),2),""))</f>
        <v/>
      </c>
      <c r="BP93" s="1163"/>
      <c r="BS93" s="973" t="s">
        <v>2024</v>
      </c>
    </row>
    <row r="94" spans="2:75" ht="14.65" hidden="1" customHeight="1" x14ac:dyDescent="0.15">
      <c r="B94" s="15"/>
      <c r="C94" s="26"/>
      <c r="D94" s="26"/>
      <c r="E94" s="545">
        <v>15</v>
      </c>
      <c r="F94" s="3" cm="1">
        <f t="array" aca="1" ref="F94" ca="1">OFFSET(E94,-1,1)</f>
        <v>0</v>
      </c>
      <c r="G94" s="834">
        <v>6</v>
      </c>
      <c r="H94" s="26"/>
      <c r="I94" s="26" t="s">
        <v>2025</v>
      </c>
      <c r="J94" s="26"/>
      <c r="K94" s="26" t="s">
        <v>2025</v>
      </c>
      <c r="L94" s="889"/>
      <c r="M94" s="26"/>
      <c r="N94" s="26"/>
      <c r="O94" s="26"/>
      <c r="P94" s="26"/>
      <c r="Q94" s="26"/>
      <c r="R94" s="26"/>
      <c r="S94" s="26"/>
      <c r="T94" s="388" t="b" cm="1">
        <f t="array" aca="1" ref="T94" ca="1">T93</f>
        <v>0</v>
      </c>
      <c r="U94" s="26"/>
      <c r="V94" s="26"/>
      <c r="X94" s="2032"/>
      <c r="Z94" s="2012"/>
      <c r="AB94" s="217" t="s">
        <v>1459</v>
      </c>
      <c r="AC94" s="685" t="s">
        <v>2026</v>
      </c>
      <c r="AD94" s="218" t="s">
        <v>831</v>
      </c>
      <c r="AE94" s="177">
        <f ca="1">SUMIFS(Налоги!AE$25:AE$69,Налоги!$F$25:$F$69,$F94,Налоги!$AB$25:$AB$69,$G94)</f>
        <v>0</v>
      </c>
      <c r="AF94" s="177">
        <f ca="1">SUMIFS(Налоги!AF$25:AF$69,Налоги!$F$25:$F$69,$F94,Налоги!$AB$25:$AB$69,$G94)</f>
        <v>0</v>
      </c>
      <c r="AG94" s="177">
        <f ca="1">SUMIFS(Налоги!AG$25:AG$69,Налоги!$F$25:$F$69,$F94,Налоги!$AB$25:$AB$69,$G94)</f>
        <v>0</v>
      </c>
      <c r="AH94" s="855">
        <f t="shared" ca="1" si="7"/>
        <v>0</v>
      </c>
      <c r="AI94" s="855">
        <f ca="1">SUMIFS(Налоги!AH$25:AH$69,Налоги!$F$25:$F$69,$F94,Налоги!$AB$25:$AB$69,$G94)</f>
        <v>0</v>
      </c>
      <c r="AJ94" s="855">
        <f ca="1">SUMIFS(Налоги!AI$25:AI$69,Налоги!$F$25:$F$69,$F94,Налоги!$AB$25:$AB$69,$G94)</f>
        <v>0</v>
      </c>
      <c r="AK94" s="855">
        <f ca="1">SUMIFS(Налоги!AJ$25:AJ$69,Налоги!$F$25:$F$69,$F94,Налоги!$AB$25:$AB$69,$G94)</f>
        <v>0</v>
      </c>
      <c r="AL94" s="855">
        <f ca="1">SUMIFS(Налоги!AK$25:AK$69,Налоги!$F$25:$F$69,$F94,Налоги!$AB$25:$AB$69,$G94)</f>
        <v>0</v>
      </c>
      <c r="AM94" s="855">
        <f ca="1">SUMIFS(Налоги!AL$25:AL$69,Налоги!$F$25:$F$69,$F94,Налоги!$AB$25:$AB$69,$G94)</f>
        <v>0</v>
      </c>
      <c r="AN94" s="855">
        <f ca="1">SUMIFS(Налоги!AM$25:AM$69,Налоги!$F$25:$F$69,$F94,Налоги!$AB$25:$AB$69,$G94)</f>
        <v>0</v>
      </c>
      <c r="AO94" s="855">
        <f ca="1">SUMIFS(Налоги!AN$25:AN$69,Налоги!$F$25:$F$69,$F94,Налоги!$AB$25:$AB$69,$G94)</f>
        <v>0</v>
      </c>
      <c r="AP94" s="855">
        <f ca="1">SUMIFS(Налоги!AO$25:AO$69,Налоги!$F$25:$F$69,$F94,Налоги!$AB$25:$AB$69,$G94)</f>
        <v>0</v>
      </c>
      <c r="AQ94" s="855">
        <f ca="1">SUMIFS(Налоги!AP$25:AP$69,Налоги!$F$25:$F$69,$F94,Налоги!$AB$25:$AB$69,$G94)</f>
        <v>0</v>
      </c>
      <c r="AR94" s="855">
        <f ca="1">SUMIFS(Налоги!AQ$25:AQ$69,Налоги!$F$25:$F$69,$F94,Налоги!$AB$25:$AB$69,$G94)</f>
        <v>0</v>
      </c>
      <c r="AS94" s="855">
        <f ca="1">SUMIFS(Налоги!AR$25:AR$69,Налоги!$F$25:$F$69,$F94,Налоги!$AB$25:$AB$69,$G94)</f>
        <v>0</v>
      </c>
      <c r="AT94" s="855">
        <f ca="1">SUMIFS(Налоги!AS$25:AS$69,Налоги!$F$25:$F$69,$F94,Налоги!$AB$25:$AB$69,$G94)</f>
        <v>0</v>
      </c>
      <c r="AU94" s="855">
        <f ca="1">SUMIFS(Налоги!AT$25:AT$69,Налоги!$F$25:$F$69,$F94,Налоги!$AB$25:$AB$69,$G94)</f>
        <v>0</v>
      </c>
      <c r="AV94" s="855">
        <f ca="1">SUMIFS(Налоги!AU$25:AU$69,Налоги!$F$25:$F$69,$F94,Налоги!$AB$25:$AB$69,$G94)</f>
        <v>0</v>
      </c>
      <c r="AW94" s="855">
        <f ca="1">SUMIFS(Налоги!AV$25:AV$69,Налоги!$F$25:$F$69,$F94,Налоги!$AB$25:$AB$69,$G94)</f>
        <v>0</v>
      </c>
      <c r="AX94" s="855">
        <f ca="1">SUMIFS(Налоги!AW$25:AW$69,Налоги!$F$25:$F$69,$F94,Налоги!$AB$25:$AB$69,$G94)</f>
        <v>0</v>
      </c>
      <c r="AY94" s="855">
        <f ca="1">SUMIFS(Налоги!AX$25:AX$69,Налоги!$F$25:$F$69,$F94,Налоги!$AB$25:$AB$69,$G94)</f>
        <v>0</v>
      </c>
      <c r="AZ94" s="855">
        <f ca="1">SUMIFS(Налоги!AY$25:AY$69,Налоги!$F$25:$F$69,$F94,Налоги!$AB$25:$AB$69,$G94)</f>
        <v>0</v>
      </c>
      <c r="BA94" s="855">
        <f ca="1">SUMIFS(Налоги!AZ$25:AZ$69,Налоги!$F$25:$F$69,$F94,Налоги!$AB$25:$AB$69,$G94)</f>
        <v>0</v>
      </c>
      <c r="BB94" s="855">
        <f ca="1">SUMIFS(Налоги!BA$25:BA$69,Налоги!$F$25:$F$69,$F94,Налоги!$AB$25:$AB$69,$G94)</f>
        <v>0</v>
      </c>
      <c r="BC94" s="855">
        <f ca="1">SUMIFS(Налоги!BB$25:BB$69,Налоги!$F$25:$F$69,$F94,Налоги!$AB$25:$AB$69,$G94)</f>
        <v>0</v>
      </c>
      <c r="BD94" s="855">
        <f t="shared" ca="1" si="9"/>
        <v>0</v>
      </c>
      <c r="BE94" s="855">
        <f t="shared" ca="1" si="10"/>
        <v>0</v>
      </c>
      <c r="BF94" s="855">
        <f t="shared" ca="1" si="11"/>
        <v>0</v>
      </c>
      <c r="BG94" s="855">
        <f t="shared" ca="1" si="12"/>
        <v>0</v>
      </c>
      <c r="BH94" s="855">
        <f t="shared" ca="1" si="13"/>
        <v>0</v>
      </c>
      <c r="BI94" s="855">
        <f t="shared" ca="1" si="14"/>
        <v>0</v>
      </c>
      <c r="BJ94" s="855">
        <f t="shared" ca="1" si="15"/>
        <v>0</v>
      </c>
      <c r="BK94" s="855">
        <f t="shared" ca="1" si="16"/>
        <v>0</v>
      </c>
      <c r="BL94" s="855">
        <f t="shared" ca="1" si="17"/>
        <v>0</v>
      </c>
      <c r="BM94" s="855">
        <f t="shared" ca="1" si="18"/>
        <v>0</v>
      </c>
      <c r="BN94" s="1163"/>
      <c r="BO94" s="1161" t="str">
        <f ca="1">IF(IFERROR(INDEX(Налоги!$K$26:$L$69,MATCH($F94&amp;"6komm",Налоги!$K$26:$K$69,0),2),"")=0,"",IFERROR(INDEX(Налоги!$K$26:$L$69,MATCH($F94&amp;"6komm",Налоги!$K$26:$K$69,0),2),""))</f>
        <v/>
      </c>
      <c r="BP94" s="1163"/>
      <c r="BS94" s="973" t="s">
        <v>2027</v>
      </c>
    </row>
    <row r="95" spans="2:75" ht="14.65" hidden="1" customHeight="1" x14ac:dyDescent="0.15">
      <c r="B95" s="15"/>
      <c r="C95" s="26"/>
      <c r="D95" s="26"/>
      <c r="E95" s="545">
        <v>15</v>
      </c>
      <c r="F95" s="3" cm="1">
        <f t="array" aca="1" ref="F95" ca="1">OFFSET(E95,-1,1)</f>
        <v>0</v>
      </c>
      <c r="G95" s="834">
        <v>2</v>
      </c>
      <c r="H95" s="26"/>
      <c r="I95" s="26" t="s">
        <v>2028</v>
      </c>
      <c r="J95" s="26"/>
      <c r="K95" s="26" t="s">
        <v>2028</v>
      </c>
      <c r="L95" s="889"/>
      <c r="M95" s="26"/>
      <c r="N95" s="26"/>
      <c r="O95" s="26"/>
      <c r="P95" s="26"/>
      <c r="Q95" s="26"/>
      <c r="R95" s="26"/>
      <c r="S95" s="26"/>
      <c r="T95" s="388" t="b" cm="1">
        <f t="array" aca="1" ref="T95" ca="1">T94</f>
        <v>0</v>
      </c>
      <c r="U95" s="26"/>
      <c r="V95" s="26"/>
      <c r="X95" s="2032"/>
      <c r="Z95" s="2012"/>
      <c r="AB95" s="217" t="s">
        <v>1464</v>
      </c>
      <c r="AC95" s="685" t="s">
        <v>2029</v>
      </c>
      <c r="AD95" s="218" t="s">
        <v>831</v>
      </c>
      <c r="AE95" s="177">
        <f ca="1">SUMIFS(Налоги!AE$25:AE$69,Налоги!$F$25:$F$69,$F95,Налоги!$AB$25:$AB$69,$G95)</f>
        <v>0</v>
      </c>
      <c r="AF95" s="177">
        <f ca="1">SUMIFS(Налоги!AF$25:AF$69,Налоги!$F$25:$F$69,$F95,Налоги!$AB$25:$AB$69,$G95)</f>
        <v>0</v>
      </c>
      <c r="AG95" s="177">
        <f ca="1">SUMIFS(Налоги!AG$25:AG$69,Налоги!$F$25:$F$69,$F95,Налоги!$AB$25:$AB$69,$G95)</f>
        <v>0</v>
      </c>
      <c r="AH95" s="855">
        <f t="shared" ca="1" si="7"/>
        <v>0</v>
      </c>
      <c r="AI95" s="855">
        <f ca="1">SUMIFS(Налоги!AH$25:AH$69,Налоги!$F$25:$F$69,$F95,Налоги!$AB$25:$AB$69,$G95)</f>
        <v>0</v>
      </c>
      <c r="AJ95" s="855">
        <f ca="1">SUMIFS(Налоги!AI$25:AI$69,Налоги!$F$25:$F$69,$F95,Налоги!$AB$25:$AB$69,$G95)</f>
        <v>0</v>
      </c>
      <c r="AK95" s="855">
        <f ca="1">SUMIFS(Налоги!AJ$25:AJ$69,Налоги!$F$25:$F$69,$F95,Налоги!$AB$25:$AB$69,$G95)</f>
        <v>0</v>
      </c>
      <c r="AL95" s="855">
        <f ca="1">SUMIFS(Налоги!AK$25:AK$69,Налоги!$F$25:$F$69,$F95,Налоги!$AB$25:$AB$69,$G95)</f>
        <v>0</v>
      </c>
      <c r="AM95" s="855">
        <f ca="1">SUMIFS(Налоги!AL$25:AL$69,Налоги!$F$25:$F$69,$F95,Налоги!$AB$25:$AB$69,$G95)</f>
        <v>0</v>
      </c>
      <c r="AN95" s="855">
        <f ca="1">SUMIFS(Налоги!AM$25:AM$69,Налоги!$F$25:$F$69,$F95,Налоги!$AB$25:$AB$69,$G95)</f>
        <v>0</v>
      </c>
      <c r="AO95" s="855">
        <f ca="1">SUMIFS(Налоги!AN$25:AN$69,Налоги!$F$25:$F$69,$F95,Налоги!$AB$25:$AB$69,$G95)</f>
        <v>0</v>
      </c>
      <c r="AP95" s="855">
        <f ca="1">SUMIFS(Налоги!AO$25:AO$69,Налоги!$F$25:$F$69,$F95,Налоги!$AB$25:$AB$69,$G95)</f>
        <v>0</v>
      </c>
      <c r="AQ95" s="855">
        <f ca="1">SUMIFS(Налоги!AP$25:AP$69,Налоги!$F$25:$F$69,$F95,Налоги!$AB$25:$AB$69,$G95)</f>
        <v>0</v>
      </c>
      <c r="AR95" s="855">
        <f ca="1">SUMIFS(Налоги!AQ$25:AQ$69,Налоги!$F$25:$F$69,$F95,Налоги!$AB$25:$AB$69,$G95)</f>
        <v>0</v>
      </c>
      <c r="AS95" s="855">
        <f ca="1">SUMIFS(Налоги!AR$25:AR$69,Налоги!$F$25:$F$69,$F95,Налоги!$AB$25:$AB$69,$G95)</f>
        <v>0</v>
      </c>
      <c r="AT95" s="855">
        <f ca="1">SUMIFS(Налоги!AS$25:AS$69,Налоги!$F$25:$F$69,$F95,Налоги!$AB$25:$AB$69,$G95)</f>
        <v>0</v>
      </c>
      <c r="AU95" s="855">
        <f ca="1">SUMIFS(Налоги!AT$25:AT$69,Налоги!$F$25:$F$69,$F95,Налоги!$AB$25:$AB$69,$G95)</f>
        <v>0</v>
      </c>
      <c r="AV95" s="855">
        <f ca="1">SUMIFS(Налоги!AU$25:AU$69,Налоги!$F$25:$F$69,$F95,Налоги!$AB$25:$AB$69,$G95)</f>
        <v>0</v>
      </c>
      <c r="AW95" s="855">
        <f ca="1">SUMIFS(Налоги!AV$25:AV$69,Налоги!$F$25:$F$69,$F95,Налоги!$AB$25:$AB$69,$G95)</f>
        <v>0</v>
      </c>
      <c r="AX95" s="855">
        <f ca="1">SUMIFS(Налоги!AW$25:AW$69,Налоги!$F$25:$F$69,$F95,Налоги!$AB$25:$AB$69,$G95)</f>
        <v>0</v>
      </c>
      <c r="AY95" s="855">
        <f ca="1">SUMIFS(Налоги!AX$25:AX$69,Налоги!$F$25:$F$69,$F95,Налоги!$AB$25:$AB$69,$G95)</f>
        <v>0</v>
      </c>
      <c r="AZ95" s="855">
        <f ca="1">SUMIFS(Налоги!AY$25:AY$69,Налоги!$F$25:$F$69,$F95,Налоги!$AB$25:$AB$69,$G95)</f>
        <v>0</v>
      </c>
      <c r="BA95" s="855">
        <f ca="1">SUMIFS(Налоги!AZ$25:AZ$69,Налоги!$F$25:$F$69,$F95,Налоги!$AB$25:$AB$69,$G95)</f>
        <v>0</v>
      </c>
      <c r="BB95" s="855">
        <f ca="1">SUMIFS(Налоги!BA$25:BA$69,Налоги!$F$25:$F$69,$F95,Налоги!$AB$25:$AB$69,$G95)</f>
        <v>0</v>
      </c>
      <c r="BC95" s="855">
        <f ca="1">SUMIFS(Налоги!BB$25:BB$69,Налоги!$F$25:$F$69,$F95,Налоги!$AB$25:$AB$69,$G95)</f>
        <v>0</v>
      </c>
      <c r="BD95" s="855">
        <f t="shared" ca="1" si="9"/>
        <v>0</v>
      </c>
      <c r="BE95" s="855">
        <f t="shared" ca="1" si="10"/>
        <v>0</v>
      </c>
      <c r="BF95" s="855">
        <f t="shared" ca="1" si="11"/>
        <v>0</v>
      </c>
      <c r="BG95" s="855">
        <f t="shared" ca="1" si="12"/>
        <v>0</v>
      </c>
      <c r="BH95" s="855">
        <f t="shared" ca="1" si="13"/>
        <v>0</v>
      </c>
      <c r="BI95" s="855">
        <f t="shared" ca="1" si="14"/>
        <v>0</v>
      </c>
      <c r="BJ95" s="855">
        <f t="shared" ca="1" si="15"/>
        <v>0</v>
      </c>
      <c r="BK95" s="855">
        <f t="shared" ca="1" si="16"/>
        <v>0</v>
      </c>
      <c r="BL95" s="855">
        <f t="shared" ca="1" si="17"/>
        <v>0</v>
      </c>
      <c r="BM95" s="855">
        <f t="shared" ca="1" si="18"/>
        <v>0</v>
      </c>
      <c r="BN95" s="1163"/>
      <c r="BO95" s="1161" t="str">
        <f ca="1">IF(IFERROR(INDEX(Налоги!$K$26:$L$69,MATCH($F95&amp;"2komm",Налоги!$K$26:$K$69,0),2),"")=0,"",IFERROR(INDEX(Налоги!$K$26:$L$69,MATCH($F95&amp;"2komm",Налоги!$K$26:$K$69,0),2),""))</f>
        <v/>
      </c>
      <c r="BP95" s="1163"/>
      <c r="BS95" s="973" t="s">
        <v>2030</v>
      </c>
    </row>
    <row r="96" spans="2:75" ht="14.65" hidden="1" customHeight="1" x14ac:dyDescent="0.15">
      <c r="B96" s="15"/>
      <c r="C96" s="26"/>
      <c r="D96" s="26"/>
      <c r="E96" s="545">
        <v>15</v>
      </c>
      <c r="F96" s="3" cm="1">
        <f t="array" aca="1" ref="F96" ca="1">OFFSET(E96,-1,1)</f>
        <v>0</v>
      </c>
      <c r="G96" s="834">
        <v>4</v>
      </c>
      <c r="H96" s="26"/>
      <c r="I96" s="26" t="s">
        <v>2031</v>
      </c>
      <c r="J96" s="26"/>
      <c r="K96" s="26" t="s">
        <v>2031</v>
      </c>
      <c r="L96" s="889"/>
      <c r="M96" s="26"/>
      <c r="N96" s="26"/>
      <c r="O96" s="26"/>
      <c r="P96" s="26"/>
      <c r="Q96" s="26"/>
      <c r="R96" s="26"/>
      <c r="S96" s="26"/>
      <c r="T96" s="388" t="b" cm="1">
        <f t="array" aca="1" ref="T96" ca="1">T95</f>
        <v>0</v>
      </c>
      <c r="U96" s="26"/>
      <c r="V96" s="26"/>
      <c r="X96" s="2032"/>
      <c r="Z96" s="2012"/>
      <c r="AB96" s="217" t="s">
        <v>2032</v>
      </c>
      <c r="AC96" s="685" t="s">
        <v>2033</v>
      </c>
      <c r="AD96" s="218" t="s">
        <v>831</v>
      </c>
      <c r="AE96" s="177">
        <f ca="1">SUMIFS(Налоги!AE$25:AE$69,Налоги!$F$25:$F$69,$F96,Налоги!$AB$25:$AB$69,$G96)</f>
        <v>0</v>
      </c>
      <c r="AF96" s="177">
        <f ca="1">SUMIFS(Налоги!AF$25:AF$69,Налоги!$F$25:$F$69,$F96,Налоги!$AB$25:$AB$69,$G96)</f>
        <v>0</v>
      </c>
      <c r="AG96" s="177">
        <f ca="1">SUMIFS(Налоги!AG$25:AG$69,Налоги!$F$25:$F$69,$F96,Налоги!$AB$25:$AB$69,$G96)</f>
        <v>0</v>
      </c>
      <c r="AH96" s="855">
        <f t="shared" ca="1" si="7"/>
        <v>0</v>
      </c>
      <c r="AI96" s="855">
        <f ca="1">SUMIFS(Налоги!AH$25:AH$69,Налоги!$F$25:$F$69,$F96,Налоги!$AB$25:$AB$69,$G96)</f>
        <v>0</v>
      </c>
      <c r="AJ96" s="855">
        <f ca="1">SUMIFS(Налоги!AI$25:AI$69,Налоги!$F$25:$F$69,$F96,Налоги!$AB$25:$AB$69,$G96)</f>
        <v>0</v>
      </c>
      <c r="AK96" s="855">
        <f ca="1">SUMIFS(Налоги!AJ$25:AJ$69,Налоги!$F$25:$F$69,$F96,Налоги!$AB$25:$AB$69,$G96)</f>
        <v>0</v>
      </c>
      <c r="AL96" s="855">
        <f ca="1">SUMIFS(Налоги!AK$25:AK$69,Налоги!$F$25:$F$69,$F96,Налоги!$AB$25:$AB$69,$G96)</f>
        <v>0</v>
      </c>
      <c r="AM96" s="855">
        <f ca="1">SUMIFS(Налоги!AL$25:AL$69,Налоги!$F$25:$F$69,$F96,Налоги!$AB$25:$AB$69,$G96)</f>
        <v>0</v>
      </c>
      <c r="AN96" s="855">
        <f ca="1">SUMIFS(Налоги!AM$25:AM$69,Налоги!$F$25:$F$69,$F96,Налоги!$AB$25:$AB$69,$G96)</f>
        <v>0</v>
      </c>
      <c r="AO96" s="855">
        <f ca="1">SUMIFS(Налоги!AN$25:AN$69,Налоги!$F$25:$F$69,$F96,Налоги!$AB$25:$AB$69,$G96)</f>
        <v>0</v>
      </c>
      <c r="AP96" s="855">
        <f ca="1">SUMIFS(Налоги!AO$25:AO$69,Налоги!$F$25:$F$69,$F96,Налоги!$AB$25:$AB$69,$G96)</f>
        <v>0</v>
      </c>
      <c r="AQ96" s="855">
        <f ca="1">SUMIFS(Налоги!AP$25:AP$69,Налоги!$F$25:$F$69,$F96,Налоги!$AB$25:$AB$69,$G96)</f>
        <v>0</v>
      </c>
      <c r="AR96" s="855">
        <f ca="1">SUMIFS(Налоги!AQ$25:AQ$69,Налоги!$F$25:$F$69,$F96,Налоги!$AB$25:$AB$69,$G96)</f>
        <v>0</v>
      </c>
      <c r="AS96" s="855">
        <f ca="1">SUMIFS(Налоги!AR$25:AR$69,Налоги!$F$25:$F$69,$F96,Налоги!$AB$25:$AB$69,$G96)</f>
        <v>0</v>
      </c>
      <c r="AT96" s="855">
        <f ca="1">SUMIFS(Налоги!AS$25:AS$69,Налоги!$F$25:$F$69,$F96,Налоги!$AB$25:$AB$69,$G96)</f>
        <v>0</v>
      </c>
      <c r="AU96" s="855">
        <f ca="1">SUMIFS(Налоги!AT$25:AT$69,Налоги!$F$25:$F$69,$F96,Налоги!$AB$25:$AB$69,$G96)</f>
        <v>0</v>
      </c>
      <c r="AV96" s="855">
        <f ca="1">SUMIFS(Налоги!AU$25:AU$69,Налоги!$F$25:$F$69,$F96,Налоги!$AB$25:$AB$69,$G96)</f>
        <v>0</v>
      </c>
      <c r="AW96" s="855">
        <f ca="1">SUMIFS(Налоги!AV$25:AV$69,Налоги!$F$25:$F$69,$F96,Налоги!$AB$25:$AB$69,$G96)</f>
        <v>0</v>
      </c>
      <c r="AX96" s="855">
        <f ca="1">SUMIFS(Налоги!AW$25:AW$69,Налоги!$F$25:$F$69,$F96,Налоги!$AB$25:$AB$69,$G96)</f>
        <v>0</v>
      </c>
      <c r="AY96" s="855">
        <f ca="1">SUMIFS(Налоги!AX$25:AX$69,Налоги!$F$25:$F$69,$F96,Налоги!$AB$25:$AB$69,$G96)</f>
        <v>0</v>
      </c>
      <c r="AZ96" s="855">
        <f ca="1">SUMIFS(Налоги!AY$25:AY$69,Налоги!$F$25:$F$69,$F96,Налоги!$AB$25:$AB$69,$G96)</f>
        <v>0</v>
      </c>
      <c r="BA96" s="855">
        <f ca="1">SUMIFS(Налоги!AZ$25:AZ$69,Налоги!$F$25:$F$69,$F96,Налоги!$AB$25:$AB$69,$G96)</f>
        <v>0</v>
      </c>
      <c r="BB96" s="855">
        <f ca="1">SUMIFS(Налоги!BA$25:BA$69,Налоги!$F$25:$F$69,$F96,Налоги!$AB$25:$AB$69,$G96)</f>
        <v>0</v>
      </c>
      <c r="BC96" s="855">
        <f ca="1">SUMIFS(Налоги!BB$25:BB$69,Налоги!$F$25:$F$69,$F96,Налоги!$AB$25:$AB$69,$G96)</f>
        <v>0</v>
      </c>
      <c r="BD96" s="855">
        <f t="shared" ca="1" si="9"/>
        <v>0</v>
      </c>
      <c r="BE96" s="855">
        <f t="shared" ca="1" si="10"/>
        <v>0</v>
      </c>
      <c r="BF96" s="855">
        <f t="shared" ca="1" si="11"/>
        <v>0</v>
      </c>
      <c r="BG96" s="855">
        <f t="shared" ca="1" si="12"/>
        <v>0</v>
      </c>
      <c r="BH96" s="855">
        <f t="shared" ca="1" si="13"/>
        <v>0</v>
      </c>
      <c r="BI96" s="855">
        <f t="shared" ca="1" si="14"/>
        <v>0</v>
      </c>
      <c r="BJ96" s="855">
        <f t="shared" ca="1" si="15"/>
        <v>0</v>
      </c>
      <c r="BK96" s="855">
        <f t="shared" ca="1" si="16"/>
        <v>0</v>
      </c>
      <c r="BL96" s="855">
        <f t="shared" ca="1" si="17"/>
        <v>0</v>
      </c>
      <c r="BM96" s="855">
        <f t="shared" ca="1" si="18"/>
        <v>0</v>
      </c>
      <c r="BN96" s="1163"/>
      <c r="BO96" s="1161" t="str">
        <f ca="1">IF(IFERROR(INDEX(Налоги!$K$26:$L$69,MATCH($F96&amp;"4komm",Налоги!$K$26:$K$69,0),2),"")=0,"",IFERROR(INDEX(Налоги!$K$26:$L$69,MATCH($F96&amp;"4komm",Налоги!$K$26:$K$69,0),2),""))</f>
        <v/>
      </c>
      <c r="BP96" s="1163"/>
      <c r="BS96" s="973" t="s">
        <v>2034</v>
      </c>
    </row>
    <row r="97" spans="2:75" ht="14.65" hidden="1" customHeight="1" x14ac:dyDescent="0.15">
      <c r="B97" s="15"/>
      <c r="C97" s="26"/>
      <c r="D97" s="26"/>
      <c r="E97" s="545">
        <v>15</v>
      </c>
      <c r="F97" s="3" cm="1">
        <f t="array" aca="1" ref="F97" ca="1">OFFSET(E97,-1,1)</f>
        <v>0</v>
      </c>
      <c r="G97" s="834">
        <v>5</v>
      </c>
      <c r="H97" s="26"/>
      <c r="I97" s="26" t="s">
        <v>2035</v>
      </c>
      <c r="J97" s="26"/>
      <c r="K97" s="26" t="s">
        <v>2035</v>
      </c>
      <c r="L97" s="889"/>
      <c r="M97" s="26"/>
      <c r="N97" s="26"/>
      <c r="O97" s="26"/>
      <c r="P97" s="26"/>
      <c r="Q97" s="26"/>
      <c r="R97" s="26"/>
      <c r="S97" s="26"/>
      <c r="T97" s="388" t="b" cm="1">
        <f t="array" aca="1" ref="T97" ca="1">T96</f>
        <v>0</v>
      </c>
      <c r="U97" s="26"/>
      <c r="V97" s="26"/>
      <c r="X97" s="2032"/>
      <c r="Z97" s="2012"/>
      <c r="AB97" s="217" t="s">
        <v>2036</v>
      </c>
      <c r="AC97" s="685" t="s">
        <v>2037</v>
      </c>
      <c r="AD97" s="218" t="s">
        <v>831</v>
      </c>
      <c r="AE97" s="177">
        <f ca="1">SUMIFS(Налоги!AE$25:AE$69,Налоги!$F$25:$F$69,$F97,Налоги!$AB$25:$AB$69,$G97)</f>
        <v>0</v>
      </c>
      <c r="AF97" s="177">
        <f ca="1">SUMIFS(Налоги!AF$25:AF$69,Налоги!$F$25:$F$69,$F97,Налоги!$AB$25:$AB$69,$G97)</f>
        <v>0</v>
      </c>
      <c r="AG97" s="177">
        <f ca="1">SUMIFS(Налоги!AG$25:AG$69,Налоги!$F$25:$F$69,$F97,Налоги!$AB$25:$AB$69,$G97)</f>
        <v>0</v>
      </c>
      <c r="AH97" s="855">
        <f t="shared" ca="1" si="7"/>
        <v>0</v>
      </c>
      <c r="AI97" s="855">
        <f ca="1">SUMIFS(Налоги!AH$25:AH$69,Налоги!$F$25:$F$69,$F97,Налоги!$AB$25:$AB$69,$G97)</f>
        <v>0</v>
      </c>
      <c r="AJ97" s="855">
        <f ca="1">SUMIFS(Налоги!AI$25:AI$69,Налоги!$F$25:$F$69,$F97,Налоги!$AB$25:$AB$69,$G97)</f>
        <v>0</v>
      </c>
      <c r="AK97" s="855">
        <f ca="1">SUMIFS(Налоги!AJ$25:AJ$69,Налоги!$F$25:$F$69,$F97,Налоги!$AB$25:$AB$69,$G97)</f>
        <v>0</v>
      </c>
      <c r="AL97" s="855">
        <f ca="1">SUMIFS(Налоги!AK$25:AK$69,Налоги!$F$25:$F$69,$F97,Налоги!$AB$25:$AB$69,$G97)</f>
        <v>0</v>
      </c>
      <c r="AM97" s="855">
        <f ca="1">SUMIFS(Налоги!AL$25:AL$69,Налоги!$F$25:$F$69,$F97,Налоги!$AB$25:$AB$69,$G97)</f>
        <v>0</v>
      </c>
      <c r="AN97" s="855">
        <f ca="1">SUMIFS(Налоги!AM$25:AM$69,Налоги!$F$25:$F$69,$F97,Налоги!$AB$25:$AB$69,$G97)</f>
        <v>0</v>
      </c>
      <c r="AO97" s="855">
        <f ca="1">SUMIFS(Налоги!AN$25:AN$69,Налоги!$F$25:$F$69,$F97,Налоги!$AB$25:$AB$69,$G97)</f>
        <v>0</v>
      </c>
      <c r="AP97" s="855">
        <f ca="1">SUMIFS(Налоги!AO$25:AO$69,Налоги!$F$25:$F$69,$F97,Налоги!$AB$25:$AB$69,$G97)</f>
        <v>0</v>
      </c>
      <c r="AQ97" s="855">
        <f ca="1">SUMIFS(Налоги!AP$25:AP$69,Налоги!$F$25:$F$69,$F97,Налоги!$AB$25:$AB$69,$G97)</f>
        <v>0</v>
      </c>
      <c r="AR97" s="855">
        <f ca="1">SUMIFS(Налоги!AQ$25:AQ$69,Налоги!$F$25:$F$69,$F97,Налоги!$AB$25:$AB$69,$G97)</f>
        <v>0</v>
      </c>
      <c r="AS97" s="855">
        <f ca="1">SUMIFS(Налоги!AR$25:AR$69,Налоги!$F$25:$F$69,$F97,Налоги!$AB$25:$AB$69,$G97)</f>
        <v>0</v>
      </c>
      <c r="AT97" s="855">
        <f ca="1">SUMIFS(Налоги!AS$25:AS$69,Налоги!$F$25:$F$69,$F97,Налоги!$AB$25:$AB$69,$G97)</f>
        <v>0</v>
      </c>
      <c r="AU97" s="855">
        <f ca="1">SUMIFS(Налоги!AT$25:AT$69,Налоги!$F$25:$F$69,$F97,Налоги!$AB$25:$AB$69,$G97)</f>
        <v>0</v>
      </c>
      <c r="AV97" s="855">
        <f ca="1">SUMIFS(Налоги!AU$25:AU$69,Налоги!$F$25:$F$69,$F97,Налоги!$AB$25:$AB$69,$G97)</f>
        <v>0</v>
      </c>
      <c r="AW97" s="855">
        <f ca="1">SUMIFS(Налоги!AV$25:AV$69,Налоги!$F$25:$F$69,$F97,Налоги!$AB$25:$AB$69,$G97)</f>
        <v>0</v>
      </c>
      <c r="AX97" s="855">
        <f ca="1">SUMIFS(Налоги!AW$25:AW$69,Налоги!$F$25:$F$69,$F97,Налоги!$AB$25:$AB$69,$G97)</f>
        <v>0</v>
      </c>
      <c r="AY97" s="855">
        <f ca="1">SUMIFS(Налоги!AX$25:AX$69,Налоги!$F$25:$F$69,$F97,Налоги!$AB$25:$AB$69,$G97)</f>
        <v>0</v>
      </c>
      <c r="AZ97" s="855">
        <f ca="1">SUMIFS(Налоги!AY$25:AY$69,Налоги!$F$25:$F$69,$F97,Налоги!$AB$25:$AB$69,$G97)</f>
        <v>0</v>
      </c>
      <c r="BA97" s="855">
        <f ca="1">SUMIFS(Налоги!AZ$25:AZ$69,Налоги!$F$25:$F$69,$F97,Налоги!$AB$25:$AB$69,$G97)</f>
        <v>0</v>
      </c>
      <c r="BB97" s="855">
        <f ca="1">SUMIFS(Налоги!BA$25:BA$69,Налоги!$F$25:$F$69,$F97,Налоги!$AB$25:$AB$69,$G97)</f>
        <v>0</v>
      </c>
      <c r="BC97" s="855">
        <f ca="1">SUMIFS(Налоги!BB$25:BB$69,Налоги!$F$25:$F$69,$F97,Налоги!$AB$25:$AB$69,$G97)</f>
        <v>0</v>
      </c>
      <c r="BD97" s="855">
        <f t="shared" ca="1" si="9"/>
        <v>0</v>
      </c>
      <c r="BE97" s="855">
        <f t="shared" ca="1" si="10"/>
        <v>0</v>
      </c>
      <c r="BF97" s="855">
        <f t="shared" ca="1" si="11"/>
        <v>0</v>
      </c>
      <c r="BG97" s="855">
        <f t="shared" ca="1" si="12"/>
        <v>0</v>
      </c>
      <c r="BH97" s="855">
        <f t="shared" ca="1" si="13"/>
        <v>0</v>
      </c>
      <c r="BI97" s="855">
        <f t="shared" ca="1" si="14"/>
        <v>0</v>
      </c>
      <c r="BJ97" s="855">
        <f t="shared" ca="1" si="15"/>
        <v>0</v>
      </c>
      <c r="BK97" s="855">
        <f t="shared" ca="1" si="16"/>
        <v>0</v>
      </c>
      <c r="BL97" s="855">
        <f t="shared" ca="1" si="17"/>
        <v>0</v>
      </c>
      <c r="BM97" s="855">
        <f t="shared" ca="1" si="18"/>
        <v>0</v>
      </c>
      <c r="BN97" s="1163"/>
      <c r="BO97" s="1161" t="str">
        <f ca="1">IF(IFERROR(INDEX(Налоги!$K$26:$L$69,MATCH($F97&amp;"5komm",Налоги!$K$26:$K$69,0),2),"")=0,"",IFERROR(INDEX(Налоги!$K$26:$L$69,MATCH($F97&amp;"5komm",Налоги!$K$26:$K$69,0),2),""))</f>
        <v/>
      </c>
      <c r="BP97" s="1163"/>
      <c r="BS97" s="973" t="s">
        <v>2038</v>
      </c>
    </row>
    <row r="98" spans="2:75" ht="14.65" hidden="1" customHeight="1" x14ac:dyDescent="0.15">
      <c r="B98" s="15"/>
      <c r="C98" s="26"/>
      <c r="D98" s="26"/>
      <c r="E98" s="545">
        <v>15</v>
      </c>
      <c r="F98" s="3" cm="1">
        <f t="array" aca="1" ref="F98" ca="1">OFFSET(E98,-1,1)</f>
        <v>0</v>
      </c>
      <c r="G98" s="834">
        <v>1</v>
      </c>
      <c r="H98" s="26"/>
      <c r="I98" s="26" t="s">
        <v>2039</v>
      </c>
      <c r="J98" s="26"/>
      <c r="K98" s="26" t="s">
        <v>2039</v>
      </c>
      <c r="L98" s="889"/>
      <c r="M98" s="26"/>
      <c r="N98" s="26"/>
      <c r="O98" s="26"/>
      <c r="P98" s="26"/>
      <c r="Q98" s="26"/>
      <c r="R98" s="26"/>
      <c r="S98" s="26"/>
      <c r="T98" s="388" t="b" cm="1">
        <f t="array" aca="1" ref="T98" ca="1">T97</f>
        <v>0</v>
      </c>
      <c r="U98" s="26"/>
      <c r="V98" s="26"/>
      <c r="X98" s="2032"/>
      <c r="Z98" s="2012"/>
      <c r="AB98" s="217" t="s">
        <v>2040</v>
      </c>
      <c r="AC98" s="685" t="s">
        <v>2041</v>
      </c>
      <c r="AD98" s="218" t="s">
        <v>831</v>
      </c>
      <c r="AE98" s="177">
        <f ca="1">SUMIFS(Налоги!AE$25:AE$69,Налоги!$F$25:$F$69,$F98,Налоги!$AB$25:$AB$69,$G98)</f>
        <v>0</v>
      </c>
      <c r="AF98" s="177">
        <f ca="1">SUMIFS(Налоги!AF$25:AF$69,Налоги!$F$25:$F$69,$F98,Налоги!$AB$25:$AB$69,$G98)</f>
        <v>0</v>
      </c>
      <c r="AG98" s="177">
        <f ca="1">SUMIFS(Налоги!AG$25:AG$69,Налоги!$F$25:$F$69,$F98,Налоги!$AB$25:$AB$69,$G98)</f>
        <v>0</v>
      </c>
      <c r="AH98" s="855">
        <f t="shared" ca="1" si="7"/>
        <v>0</v>
      </c>
      <c r="AI98" s="855">
        <f ca="1">SUMIFS(Налоги!AH$25:AH$69,Налоги!$F$25:$F$69,$F98,Налоги!$AB$25:$AB$69,$G98)</f>
        <v>0</v>
      </c>
      <c r="AJ98" s="855">
        <f ca="1">SUMIFS(Налоги!AI$25:AI$69,Налоги!$F$25:$F$69,$F98,Налоги!$AB$25:$AB$69,$G98)</f>
        <v>0</v>
      </c>
      <c r="AK98" s="855">
        <f ca="1">SUMIFS(Налоги!AJ$25:AJ$69,Налоги!$F$25:$F$69,$F98,Налоги!$AB$25:$AB$69,$G98)</f>
        <v>0</v>
      </c>
      <c r="AL98" s="855">
        <f ca="1">SUMIFS(Налоги!AK$25:AK$69,Налоги!$F$25:$F$69,$F98,Налоги!$AB$25:$AB$69,$G98)</f>
        <v>0</v>
      </c>
      <c r="AM98" s="855">
        <f ca="1">SUMIFS(Налоги!AL$25:AL$69,Налоги!$F$25:$F$69,$F98,Налоги!$AB$25:$AB$69,$G98)</f>
        <v>0</v>
      </c>
      <c r="AN98" s="855">
        <f ca="1">SUMIFS(Налоги!AM$25:AM$69,Налоги!$F$25:$F$69,$F98,Налоги!$AB$25:$AB$69,$G98)</f>
        <v>0</v>
      </c>
      <c r="AO98" s="855">
        <f ca="1">SUMIFS(Налоги!AN$25:AN$69,Налоги!$F$25:$F$69,$F98,Налоги!$AB$25:$AB$69,$G98)</f>
        <v>0</v>
      </c>
      <c r="AP98" s="855">
        <f ca="1">SUMIFS(Налоги!AO$25:AO$69,Налоги!$F$25:$F$69,$F98,Налоги!$AB$25:$AB$69,$G98)</f>
        <v>0</v>
      </c>
      <c r="AQ98" s="855">
        <f ca="1">SUMIFS(Налоги!AP$25:AP$69,Налоги!$F$25:$F$69,$F98,Налоги!$AB$25:$AB$69,$G98)</f>
        <v>0</v>
      </c>
      <c r="AR98" s="855">
        <f ca="1">SUMIFS(Налоги!AQ$25:AQ$69,Налоги!$F$25:$F$69,$F98,Налоги!$AB$25:$AB$69,$G98)</f>
        <v>0</v>
      </c>
      <c r="AS98" s="855">
        <f ca="1">SUMIFS(Налоги!AR$25:AR$69,Налоги!$F$25:$F$69,$F98,Налоги!$AB$25:$AB$69,$G98)</f>
        <v>0</v>
      </c>
      <c r="AT98" s="855">
        <f ca="1">SUMIFS(Налоги!AS$25:AS$69,Налоги!$F$25:$F$69,$F98,Налоги!$AB$25:$AB$69,$G98)</f>
        <v>0</v>
      </c>
      <c r="AU98" s="855">
        <f ca="1">SUMIFS(Налоги!AT$25:AT$69,Налоги!$F$25:$F$69,$F98,Налоги!$AB$25:$AB$69,$G98)</f>
        <v>0</v>
      </c>
      <c r="AV98" s="855">
        <f ca="1">SUMIFS(Налоги!AU$25:AU$69,Налоги!$F$25:$F$69,$F98,Налоги!$AB$25:$AB$69,$G98)</f>
        <v>0</v>
      </c>
      <c r="AW98" s="855">
        <f ca="1">SUMIFS(Налоги!AV$25:AV$69,Налоги!$F$25:$F$69,$F98,Налоги!$AB$25:$AB$69,$G98)</f>
        <v>0</v>
      </c>
      <c r="AX98" s="855">
        <f ca="1">SUMIFS(Налоги!AW$25:AW$69,Налоги!$F$25:$F$69,$F98,Налоги!$AB$25:$AB$69,$G98)</f>
        <v>0</v>
      </c>
      <c r="AY98" s="855">
        <f ca="1">SUMIFS(Налоги!AX$25:AX$69,Налоги!$F$25:$F$69,$F98,Налоги!$AB$25:$AB$69,$G98)</f>
        <v>0</v>
      </c>
      <c r="AZ98" s="855">
        <f ca="1">SUMIFS(Налоги!AY$25:AY$69,Налоги!$F$25:$F$69,$F98,Налоги!$AB$25:$AB$69,$G98)</f>
        <v>0</v>
      </c>
      <c r="BA98" s="855">
        <f ca="1">SUMIFS(Налоги!AZ$25:AZ$69,Налоги!$F$25:$F$69,$F98,Налоги!$AB$25:$AB$69,$G98)</f>
        <v>0</v>
      </c>
      <c r="BB98" s="855">
        <f ca="1">SUMIFS(Налоги!BA$25:BA$69,Налоги!$F$25:$F$69,$F98,Налоги!$AB$25:$AB$69,$G98)</f>
        <v>0</v>
      </c>
      <c r="BC98" s="855">
        <f ca="1">SUMIFS(Налоги!BB$25:BB$69,Налоги!$F$25:$F$69,$F98,Налоги!$AB$25:$AB$69,$G98)</f>
        <v>0</v>
      </c>
      <c r="BD98" s="855">
        <f t="shared" ca="1" si="9"/>
        <v>0</v>
      </c>
      <c r="BE98" s="855">
        <f t="shared" ca="1" si="10"/>
        <v>0</v>
      </c>
      <c r="BF98" s="855">
        <f t="shared" ca="1" si="11"/>
        <v>0</v>
      </c>
      <c r="BG98" s="855">
        <f t="shared" ca="1" si="12"/>
        <v>0</v>
      </c>
      <c r="BH98" s="855">
        <f t="shared" ca="1" si="13"/>
        <v>0</v>
      </c>
      <c r="BI98" s="855">
        <f t="shared" ca="1" si="14"/>
        <v>0</v>
      </c>
      <c r="BJ98" s="855">
        <f t="shared" ca="1" si="15"/>
        <v>0</v>
      </c>
      <c r="BK98" s="855">
        <f t="shared" ca="1" si="16"/>
        <v>0</v>
      </c>
      <c r="BL98" s="855">
        <f t="shared" ca="1" si="17"/>
        <v>0</v>
      </c>
      <c r="BM98" s="855">
        <f t="shared" ca="1" si="18"/>
        <v>0</v>
      </c>
      <c r="BN98" s="1163"/>
      <c r="BO98" s="1161" t="str">
        <f ca="1">IF(IFERROR(INDEX(Налоги!$K$26:$L$69,MATCH($F98&amp;"1komm",Налоги!$K$26:$K$69,0),2),"")=0,"",IFERROR(INDEX(Налоги!$K$26:$L$69,MATCH($F98&amp;"1komm",Налоги!$K$26:$K$69,0),2),""))</f>
        <v/>
      </c>
      <c r="BP98" s="1163"/>
      <c r="BS98" s="973" t="s">
        <v>2042</v>
      </c>
    </row>
    <row r="99" spans="2:75" ht="14.65" hidden="1" customHeight="1" x14ac:dyDescent="0.15">
      <c r="B99" s="15"/>
      <c r="C99" s="26"/>
      <c r="D99" s="26"/>
      <c r="E99" s="545">
        <v>15</v>
      </c>
      <c r="F99" s="3" cm="1">
        <f t="array" aca="1" ref="F99" ca="1">OFFSET(E99,-1,1)</f>
        <v>0</v>
      </c>
      <c r="G99" s="834">
        <v>3</v>
      </c>
      <c r="H99" s="26"/>
      <c r="I99" s="26" t="s">
        <v>2043</v>
      </c>
      <c r="J99" s="26"/>
      <c r="K99" s="26" t="s">
        <v>2043</v>
      </c>
      <c r="L99" s="889"/>
      <c r="M99" s="26"/>
      <c r="N99" s="26"/>
      <c r="O99" s="26"/>
      <c r="P99" s="26"/>
      <c r="Q99" s="26"/>
      <c r="R99" s="26"/>
      <c r="S99" s="26"/>
      <c r="T99" s="388" t="b" cm="1">
        <f t="array" aca="1" ref="T99" ca="1">T98</f>
        <v>0</v>
      </c>
      <c r="U99" s="26"/>
      <c r="V99" s="26"/>
      <c r="X99" s="2032"/>
      <c r="Z99" s="2012"/>
      <c r="AB99" s="217" t="s">
        <v>2044</v>
      </c>
      <c r="AC99" s="685" t="s">
        <v>2045</v>
      </c>
      <c r="AD99" s="218" t="s">
        <v>831</v>
      </c>
      <c r="AE99" s="1162">
        <f ca="1">SUMIFS(Налоги!AE$25:AE$69,Налоги!$F$25:$F$69,$F99,Налоги!$AB$25:$AB$69,$G99)</f>
        <v>0</v>
      </c>
      <c r="AF99" s="1162">
        <f ca="1">SUMIFS(Налоги!AF$25:AF$69,Налоги!$F$25:$F$69,$F99,Налоги!$AB$25:$AB$69,$G99)</f>
        <v>0</v>
      </c>
      <c r="AG99" s="1162">
        <f ca="1">SUMIFS(Налоги!AG$25:AG$69,Налоги!$F$25:$F$69,$F99,Налоги!$AB$25:$AB$69,$G99)</f>
        <v>0</v>
      </c>
      <c r="AH99" s="855">
        <f t="shared" ca="1" si="7"/>
        <v>0</v>
      </c>
      <c r="AI99" s="1160">
        <f ca="1">SUMIFS(Налоги!AH$25:AH$69,Налоги!$F$25:$F$69,$F99,Налоги!$AB$25:$AB$69,$G99)</f>
        <v>0</v>
      </c>
      <c r="AJ99" s="1568">
        <f ca="1">SUMIFS(Налоги!AI$25:AI$69,Налоги!$F$25:$F$69,$F99,Налоги!$AB$25:$AB$69,$G99)</f>
        <v>0</v>
      </c>
      <c r="AK99" s="1160">
        <f ca="1">SUMIFS(Налоги!AJ$25:AJ$69,Налоги!$F$25:$F$69,$F99,Налоги!$AB$25:$AB$69,$G99)</f>
        <v>0</v>
      </c>
      <c r="AL99" s="1160">
        <f ca="1">SUMIFS(Налоги!AK$25:AK$69,Налоги!$F$25:$F$69,$F99,Налоги!$AB$25:$AB$69,$G99)</f>
        <v>0</v>
      </c>
      <c r="AM99" s="1160">
        <f ca="1">SUMIFS(Налоги!AL$25:AL$69,Налоги!$F$25:$F$69,$F99,Налоги!$AB$25:$AB$69,$G99)</f>
        <v>0</v>
      </c>
      <c r="AN99" s="1160">
        <f ca="1">SUMIFS(Налоги!AM$25:AM$69,Налоги!$F$25:$F$69,$F99,Налоги!$AB$25:$AB$69,$G99)</f>
        <v>0</v>
      </c>
      <c r="AO99" s="1160">
        <f ca="1">SUMIFS(Налоги!AN$25:AN$69,Налоги!$F$25:$F$69,$F99,Налоги!$AB$25:$AB$69,$G99)</f>
        <v>0</v>
      </c>
      <c r="AP99" s="1160">
        <f ca="1">SUMIFS(Налоги!AO$25:AO$69,Налоги!$F$25:$F$69,$F99,Налоги!$AB$25:$AB$69,$G99)</f>
        <v>0</v>
      </c>
      <c r="AQ99" s="1160">
        <f ca="1">SUMIFS(Налоги!AP$25:AP$69,Налоги!$F$25:$F$69,$F99,Налоги!$AB$25:$AB$69,$G99)</f>
        <v>0</v>
      </c>
      <c r="AR99" s="1160">
        <f ca="1">SUMIFS(Налоги!AQ$25:AQ$69,Налоги!$F$25:$F$69,$F99,Налоги!$AB$25:$AB$69,$G99)</f>
        <v>0</v>
      </c>
      <c r="AS99" s="1160">
        <f ca="1">SUMIFS(Налоги!AR$25:AR$69,Налоги!$F$25:$F$69,$F99,Налоги!$AB$25:$AB$69,$G99)</f>
        <v>0</v>
      </c>
      <c r="AT99" s="1568">
        <f ca="1">SUMIFS(Налоги!AS$25:AS$69,Налоги!$F$25:$F$69,$F99,Налоги!$AB$25:$AB$69,$G99)</f>
        <v>0</v>
      </c>
      <c r="AU99" s="1160">
        <f ca="1">SUMIFS(Налоги!AT$25:AT$69,Налоги!$F$25:$F$69,$F99,Налоги!$AB$25:$AB$69,$G99)</f>
        <v>0</v>
      </c>
      <c r="AV99" s="1160">
        <f ca="1">SUMIFS(Налоги!AU$25:AU$69,Налоги!$F$25:$F$69,$F99,Налоги!$AB$25:$AB$69,$G99)</f>
        <v>0</v>
      </c>
      <c r="AW99" s="1160">
        <f ca="1">SUMIFS(Налоги!AV$25:AV$69,Налоги!$F$25:$F$69,$F99,Налоги!$AB$25:$AB$69,$G99)</f>
        <v>0</v>
      </c>
      <c r="AX99" s="1160">
        <f ca="1">SUMIFS(Налоги!AW$25:AW$69,Налоги!$F$25:$F$69,$F99,Налоги!$AB$25:$AB$69,$G99)</f>
        <v>0</v>
      </c>
      <c r="AY99" s="1160">
        <f ca="1">SUMIFS(Налоги!AX$25:AX$69,Налоги!$F$25:$F$69,$F99,Налоги!$AB$25:$AB$69,$G99)</f>
        <v>0</v>
      </c>
      <c r="AZ99" s="1160">
        <f ca="1">SUMIFS(Налоги!AY$25:AY$69,Налоги!$F$25:$F$69,$F99,Налоги!$AB$25:$AB$69,$G99)</f>
        <v>0</v>
      </c>
      <c r="BA99" s="1160">
        <f ca="1">SUMIFS(Налоги!AZ$25:AZ$69,Налоги!$F$25:$F$69,$F99,Налоги!$AB$25:$AB$69,$G99)</f>
        <v>0</v>
      </c>
      <c r="BB99" s="1160">
        <f ca="1">SUMIFS(Налоги!BA$25:BA$69,Налоги!$F$25:$F$69,$F99,Налоги!$AB$25:$AB$69,$G99)</f>
        <v>0</v>
      </c>
      <c r="BC99" s="1160">
        <f ca="1">SUMIFS(Налоги!BB$25:BB$69,Налоги!$F$25:$F$69,$F99,Налоги!$AB$25:$AB$69,$G99)</f>
        <v>0</v>
      </c>
      <c r="BD99" s="855">
        <f t="shared" ca="1" si="9"/>
        <v>0</v>
      </c>
      <c r="BE99" s="855">
        <f t="shared" ca="1" si="10"/>
        <v>0</v>
      </c>
      <c r="BF99" s="855">
        <f t="shared" ca="1" si="11"/>
        <v>0</v>
      </c>
      <c r="BG99" s="855">
        <f t="shared" ca="1" si="12"/>
        <v>0</v>
      </c>
      <c r="BH99" s="855">
        <f t="shared" ca="1" si="13"/>
        <v>0</v>
      </c>
      <c r="BI99" s="855">
        <f t="shared" ca="1" si="14"/>
        <v>0</v>
      </c>
      <c r="BJ99" s="855">
        <f t="shared" ca="1" si="15"/>
        <v>0</v>
      </c>
      <c r="BK99" s="855">
        <f t="shared" ca="1" si="16"/>
        <v>0</v>
      </c>
      <c r="BL99" s="855">
        <f t="shared" ca="1" si="17"/>
        <v>0</v>
      </c>
      <c r="BM99" s="855">
        <f t="shared" ca="1" si="18"/>
        <v>0</v>
      </c>
      <c r="BN99" s="1163"/>
      <c r="BO99" s="1161" t="str">
        <f ca="1">IF(IFERROR(INDEX(Налоги!$K$26:$L$69,MATCH($F99&amp;"5komm",Налоги!$K$26:$K$69,0),2),"")=0,"",IFERROR(INDEX(Налоги!$K$26:$L$69,MATCH($F99&amp;"5komm",Налоги!$K$26:$K$69,0),2),""))</f>
        <v/>
      </c>
      <c r="BP99" s="1163"/>
      <c r="BS99" s="973" t="s">
        <v>2046</v>
      </c>
    </row>
    <row r="100" spans="2:75" ht="14.65" hidden="1" customHeight="1" x14ac:dyDescent="0.15">
      <c r="B100" s="15"/>
      <c r="C100" s="26"/>
      <c r="D100" s="26"/>
      <c r="E100" s="545">
        <v>15</v>
      </c>
      <c r="F100" s="3" cm="1">
        <f t="array" aca="1" ref="F100" ca="1">OFFSET(E100,-1,1)</f>
        <v>0</v>
      </c>
      <c r="G100" s="834">
        <v>8</v>
      </c>
      <c r="H100" s="26"/>
      <c r="I100" s="26" t="s">
        <v>2047</v>
      </c>
      <c r="J100" s="26"/>
      <c r="K100" s="26" t="s">
        <v>2047</v>
      </c>
      <c r="L100" s="889"/>
      <c r="M100" s="26"/>
      <c r="N100" s="26"/>
      <c r="O100" s="26"/>
      <c r="P100" s="26"/>
      <c r="Q100" s="26"/>
      <c r="R100" s="26"/>
      <c r="S100" s="26"/>
      <c r="T100" s="388" t="b" cm="1">
        <f t="array" aca="1" ref="T100" ca="1">T99</f>
        <v>0</v>
      </c>
      <c r="U100" s="26"/>
      <c r="V100" s="26"/>
      <c r="X100" s="2032"/>
      <c r="Z100" s="2012"/>
      <c r="AB100" s="217" t="s">
        <v>2048</v>
      </c>
      <c r="AC100" s="685" t="s">
        <v>2049</v>
      </c>
      <c r="AD100" s="218" t="s">
        <v>831</v>
      </c>
      <c r="AE100" s="177">
        <f ca="1">SUMIFS(Налоги!AE$25:AE$69,Налоги!$F$25:$F$69,$F100,Налоги!$AB$25:$AB$69,$G100)</f>
        <v>0</v>
      </c>
      <c r="AF100" s="177">
        <f ca="1">SUMIFS(Налоги!AF$25:AF$69,Налоги!$F$25:$F$69,$F100,Налоги!$AB$25:$AB$69,$G100)</f>
        <v>0</v>
      </c>
      <c r="AG100" s="177">
        <f ca="1">SUMIFS(Налоги!AG$25:AG$69,Налоги!$F$25:$F$69,$F100,Налоги!$AB$25:$AB$69,$G100)</f>
        <v>0</v>
      </c>
      <c r="AH100" s="855">
        <f t="shared" ca="1" si="7"/>
        <v>0</v>
      </c>
      <c r="AI100" s="855">
        <f ca="1">SUMIFS(Налоги!AH$25:AH$69,Налоги!$F$25:$F$69,$F100,Налоги!$AB$25:$AB$69,$G100)</f>
        <v>0</v>
      </c>
      <c r="AJ100" s="855">
        <f ca="1">SUMIFS(Налоги!AI$25:AI$69,Налоги!$F$25:$F$69,$F100,Налоги!$AB$25:$AB$69,$G100)</f>
        <v>0</v>
      </c>
      <c r="AK100" s="855">
        <f ca="1">SUMIFS(Налоги!AJ$25:AJ$69,Налоги!$F$25:$F$69,$F100,Налоги!$AB$25:$AB$69,$G100)</f>
        <v>0</v>
      </c>
      <c r="AL100" s="855">
        <f ca="1">SUMIFS(Налоги!AK$25:AK$69,Налоги!$F$25:$F$69,$F100,Налоги!$AB$25:$AB$69,$G100)</f>
        <v>0</v>
      </c>
      <c r="AM100" s="855">
        <f ca="1">SUMIFS(Налоги!AL$25:AL$69,Налоги!$F$25:$F$69,$F100,Налоги!$AB$25:$AB$69,$G100)</f>
        <v>0</v>
      </c>
      <c r="AN100" s="855">
        <f ca="1">SUMIFS(Налоги!AM$25:AM$69,Налоги!$F$25:$F$69,$F100,Налоги!$AB$25:$AB$69,$G100)</f>
        <v>0</v>
      </c>
      <c r="AO100" s="855">
        <f ca="1">SUMIFS(Налоги!AN$25:AN$69,Налоги!$F$25:$F$69,$F100,Налоги!$AB$25:$AB$69,$G100)</f>
        <v>0</v>
      </c>
      <c r="AP100" s="855">
        <f ca="1">SUMIFS(Налоги!AO$25:AO$69,Налоги!$F$25:$F$69,$F100,Налоги!$AB$25:$AB$69,$G100)</f>
        <v>0</v>
      </c>
      <c r="AQ100" s="855">
        <f ca="1">SUMIFS(Налоги!AP$25:AP$69,Налоги!$F$25:$F$69,$F100,Налоги!$AB$25:$AB$69,$G100)</f>
        <v>0</v>
      </c>
      <c r="AR100" s="855">
        <f ca="1">SUMIFS(Налоги!AQ$25:AQ$69,Налоги!$F$25:$F$69,$F100,Налоги!$AB$25:$AB$69,$G100)</f>
        <v>0</v>
      </c>
      <c r="AS100" s="855">
        <f ca="1">SUMIFS(Налоги!AR$25:AR$69,Налоги!$F$25:$F$69,$F100,Налоги!$AB$25:$AB$69,$G100)</f>
        <v>0</v>
      </c>
      <c r="AT100" s="855">
        <f ca="1">SUMIFS(Налоги!AS$25:AS$69,Налоги!$F$25:$F$69,$F100,Налоги!$AB$25:$AB$69,$G100)</f>
        <v>0</v>
      </c>
      <c r="AU100" s="855">
        <f ca="1">SUMIFS(Налоги!AT$25:AT$69,Налоги!$F$25:$F$69,$F100,Налоги!$AB$25:$AB$69,$G100)</f>
        <v>0</v>
      </c>
      <c r="AV100" s="855">
        <f ca="1">SUMIFS(Налоги!AU$25:AU$69,Налоги!$F$25:$F$69,$F100,Налоги!$AB$25:$AB$69,$G100)</f>
        <v>0</v>
      </c>
      <c r="AW100" s="855">
        <f ca="1">SUMIFS(Налоги!AV$25:AV$69,Налоги!$F$25:$F$69,$F100,Налоги!$AB$25:$AB$69,$G100)</f>
        <v>0</v>
      </c>
      <c r="AX100" s="855">
        <f ca="1">SUMIFS(Налоги!AW$25:AW$69,Налоги!$F$25:$F$69,$F100,Налоги!$AB$25:$AB$69,$G100)</f>
        <v>0</v>
      </c>
      <c r="AY100" s="855">
        <f ca="1">SUMIFS(Налоги!AX$25:AX$69,Налоги!$F$25:$F$69,$F100,Налоги!$AB$25:$AB$69,$G100)</f>
        <v>0</v>
      </c>
      <c r="AZ100" s="855">
        <f ca="1">SUMIFS(Налоги!AY$25:AY$69,Налоги!$F$25:$F$69,$F100,Налоги!$AB$25:$AB$69,$G100)</f>
        <v>0</v>
      </c>
      <c r="BA100" s="855">
        <f ca="1">SUMIFS(Налоги!AZ$25:AZ$69,Налоги!$F$25:$F$69,$F100,Налоги!$AB$25:$AB$69,$G100)</f>
        <v>0</v>
      </c>
      <c r="BB100" s="855">
        <f ca="1">SUMIFS(Налоги!BA$25:BA$69,Налоги!$F$25:$F$69,$F100,Налоги!$AB$25:$AB$69,$G100)</f>
        <v>0</v>
      </c>
      <c r="BC100" s="855">
        <f ca="1">SUMIFS(Налоги!BB$25:BB$69,Налоги!$F$25:$F$69,$F100,Налоги!$AB$25:$AB$69,$G100)</f>
        <v>0</v>
      </c>
      <c r="BD100" s="855">
        <f t="shared" ca="1" si="9"/>
        <v>0</v>
      </c>
      <c r="BE100" s="855">
        <f t="shared" ca="1" si="10"/>
        <v>0</v>
      </c>
      <c r="BF100" s="855">
        <f t="shared" ca="1" si="11"/>
        <v>0</v>
      </c>
      <c r="BG100" s="855">
        <f t="shared" ca="1" si="12"/>
        <v>0</v>
      </c>
      <c r="BH100" s="855">
        <f t="shared" ca="1" si="13"/>
        <v>0</v>
      </c>
      <c r="BI100" s="855">
        <f t="shared" ca="1" si="14"/>
        <v>0</v>
      </c>
      <c r="BJ100" s="855">
        <f t="shared" ca="1" si="15"/>
        <v>0</v>
      </c>
      <c r="BK100" s="855">
        <f t="shared" ca="1" si="16"/>
        <v>0</v>
      </c>
      <c r="BL100" s="855">
        <f t="shared" ca="1" si="17"/>
        <v>0</v>
      </c>
      <c r="BM100" s="855">
        <f t="shared" ca="1" si="18"/>
        <v>0</v>
      </c>
      <c r="BN100" s="1163"/>
      <c r="BO100" s="1161" t="str">
        <f ca="1">IF(IFERROR(INDEX(Налоги!$K$26:$L$69,MATCH($F100&amp;"8komm",Налоги!$K$26:$K$69,0),2),"")=0,"",IFERROR(INDEX(Налоги!$K$26:$L$69,MATCH($F100&amp;"8komm",Налоги!$K$26:$K$69,0),2),""))</f>
        <v/>
      </c>
      <c r="BP100" s="1163"/>
      <c r="BS100" s="973" t="s">
        <v>1251</v>
      </c>
    </row>
    <row r="101" spans="2:75" s="1140" customFormat="1" ht="14.65" hidden="1" customHeight="1" x14ac:dyDescent="0.15">
      <c r="B101" s="15"/>
      <c r="C101" s="26"/>
      <c r="D101" s="26"/>
      <c r="E101" s="545">
        <v>15</v>
      </c>
      <c r="F101" s="3" cm="1">
        <f t="array" aca="1" ref="F101" ca="1">OFFSET(E101,-1,1)</f>
        <v>0</v>
      </c>
      <c r="G101" s="834">
        <v>9</v>
      </c>
      <c r="H101" s="26"/>
      <c r="I101" s="26"/>
      <c r="J101" s="26"/>
      <c r="K101" s="26"/>
      <c r="L101" s="889"/>
      <c r="M101" s="26"/>
      <c r="N101" s="26"/>
      <c r="O101" s="26"/>
      <c r="P101" s="26"/>
      <c r="Q101" s="26"/>
      <c r="R101" s="26"/>
      <c r="S101" s="26"/>
      <c r="T101" s="388" t="b" cm="1">
        <f t="array" aca="1" ref="T101" ca="1">T100</f>
        <v>0</v>
      </c>
      <c r="U101" s="26"/>
      <c r="V101" s="26"/>
      <c r="X101" s="2032"/>
      <c r="Z101" s="2012"/>
      <c r="AB101" s="217" t="s">
        <v>2050</v>
      </c>
      <c r="AC101" s="700" t="s">
        <v>2051</v>
      </c>
      <c r="AD101" s="218" t="s">
        <v>831</v>
      </c>
      <c r="AE101" s="177">
        <f ca="1">SUMIFS(Налоги!AE$25:AE$69,Налоги!$F$25:$F$69,$F101,Налоги!$AB$25:$AB$69,$G101)</f>
        <v>0</v>
      </c>
      <c r="AF101" s="177">
        <f ca="1">SUMIFS(Налоги!AF$25:AF$69,Налоги!$F$25:$F$69,$F101,Налоги!$AB$25:$AB$69,$G101)</f>
        <v>0</v>
      </c>
      <c r="AG101" s="177">
        <f ca="1">SUMIFS(Налоги!AG$25:AG$69,Налоги!$F$25:$F$69,$F101,Налоги!$AB$25:$AB$69,$G101)</f>
        <v>0</v>
      </c>
      <c r="AH101" s="855">
        <f t="shared" ca="1" si="7"/>
        <v>0</v>
      </c>
      <c r="AI101" s="855">
        <f ca="1">SUMIFS(Налоги!AH$25:AH$69,Налоги!$F$25:$F$69,$F101,Налоги!$AB$25:$AB$69,$G101)</f>
        <v>0</v>
      </c>
      <c r="AJ101" s="855">
        <f ca="1">SUMIFS(Налоги!AI$25:AI$69,Налоги!$F$25:$F$69,$F101,Налоги!$AB$25:$AB$69,$G101)</f>
        <v>0</v>
      </c>
      <c r="AK101" s="855">
        <f ca="1">SUMIFS(Налоги!AJ$25:AJ$69,Налоги!$F$25:$F$69,$F101,Налоги!$AB$25:$AB$69,$G101)</f>
        <v>0</v>
      </c>
      <c r="AL101" s="855">
        <f ca="1">SUMIFS(Налоги!AK$25:AK$69,Налоги!$F$25:$F$69,$F101,Налоги!$AB$25:$AB$69,$G101)</f>
        <v>0</v>
      </c>
      <c r="AM101" s="855">
        <f ca="1">SUMIFS(Налоги!AL$25:AL$69,Налоги!$F$25:$F$69,$F101,Налоги!$AB$25:$AB$69,$G101)</f>
        <v>0</v>
      </c>
      <c r="AN101" s="855">
        <f ca="1">SUMIFS(Налоги!AM$25:AM$69,Налоги!$F$25:$F$69,$F101,Налоги!$AB$25:$AB$69,$G101)</f>
        <v>0</v>
      </c>
      <c r="AO101" s="855">
        <f ca="1">SUMIFS(Налоги!AN$25:AN$69,Налоги!$F$25:$F$69,$F101,Налоги!$AB$25:$AB$69,$G101)</f>
        <v>0</v>
      </c>
      <c r="AP101" s="855">
        <f ca="1">SUMIFS(Налоги!AO$25:AO$69,Налоги!$F$25:$F$69,$F101,Налоги!$AB$25:$AB$69,$G101)</f>
        <v>0</v>
      </c>
      <c r="AQ101" s="855">
        <f ca="1">SUMIFS(Налоги!AP$25:AP$69,Налоги!$F$25:$F$69,$F101,Налоги!$AB$25:$AB$69,$G101)</f>
        <v>0</v>
      </c>
      <c r="AR101" s="855">
        <f ca="1">SUMIFS(Налоги!AQ$25:AQ$69,Налоги!$F$25:$F$69,$F101,Налоги!$AB$25:$AB$69,$G101)</f>
        <v>0</v>
      </c>
      <c r="AS101" s="855">
        <f ca="1">SUMIFS(Налоги!AR$25:AR$69,Налоги!$F$25:$F$69,$F101,Налоги!$AB$25:$AB$69,$G101)</f>
        <v>0</v>
      </c>
      <c r="AT101" s="855">
        <f ca="1">SUMIFS(Налоги!AS$25:AS$69,Налоги!$F$25:$F$69,$F101,Налоги!$AB$25:$AB$69,$G101)</f>
        <v>0</v>
      </c>
      <c r="AU101" s="855">
        <f ca="1">SUMIFS(Налоги!AT$25:AT$69,Налоги!$F$25:$F$69,$F101,Налоги!$AB$25:$AB$69,$G101)</f>
        <v>0</v>
      </c>
      <c r="AV101" s="855">
        <f ca="1">SUMIFS(Налоги!AU$25:AU$69,Налоги!$F$25:$F$69,$F101,Налоги!$AB$25:$AB$69,$G101)</f>
        <v>0</v>
      </c>
      <c r="AW101" s="855">
        <f ca="1">SUMIFS(Налоги!AV$25:AV$69,Налоги!$F$25:$F$69,$F101,Налоги!$AB$25:$AB$69,$G101)</f>
        <v>0</v>
      </c>
      <c r="AX101" s="855">
        <f ca="1">SUMIFS(Налоги!AW$25:AW$69,Налоги!$F$25:$F$69,$F101,Налоги!$AB$25:$AB$69,$G101)</f>
        <v>0</v>
      </c>
      <c r="AY101" s="855">
        <f ca="1">SUMIFS(Налоги!AX$25:AX$69,Налоги!$F$25:$F$69,$F101,Налоги!$AB$25:$AB$69,$G101)</f>
        <v>0</v>
      </c>
      <c r="AZ101" s="855">
        <f ca="1">SUMIFS(Налоги!AY$25:AY$69,Налоги!$F$25:$F$69,$F101,Налоги!$AB$25:$AB$69,$G101)</f>
        <v>0</v>
      </c>
      <c r="BA101" s="855">
        <f ca="1">SUMIFS(Налоги!AZ$25:AZ$69,Налоги!$F$25:$F$69,$F101,Налоги!$AB$25:$AB$69,$G101)</f>
        <v>0</v>
      </c>
      <c r="BB101" s="855">
        <f ca="1">SUMIFS(Налоги!BA$25:BA$69,Налоги!$F$25:$F$69,$F101,Налоги!$AB$25:$AB$69,$G101)</f>
        <v>0</v>
      </c>
      <c r="BC101" s="855">
        <f ca="1">SUMIFS(Налоги!BB$25:BB$69,Налоги!$F$25:$F$69,$F101,Налоги!$AB$25:$AB$69,$G101)</f>
        <v>0</v>
      </c>
      <c r="BD101" s="855">
        <f t="shared" ca="1" si="9"/>
        <v>0</v>
      </c>
      <c r="BE101" s="855">
        <f t="shared" ca="1" si="10"/>
        <v>0</v>
      </c>
      <c r="BF101" s="855">
        <f t="shared" ca="1" si="11"/>
        <v>0</v>
      </c>
      <c r="BG101" s="855">
        <f t="shared" ca="1" si="12"/>
        <v>0</v>
      </c>
      <c r="BH101" s="855">
        <f t="shared" ca="1" si="13"/>
        <v>0</v>
      </c>
      <c r="BI101" s="855">
        <f t="shared" ca="1" si="14"/>
        <v>0</v>
      </c>
      <c r="BJ101" s="855">
        <f t="shared" ca="1" si="15"/>
        <v>0</v>
      </c>
      <c r="BK101" s="855">
        <f t="shared" ca="1" si="16"/>
        <v>0</v>
      </c>
      <c r="BL101" s="855">
        <f t="shared" ca="1" si="17"/>
        <v>0</v>
      </c>
      <c r="BM101" s="855">
        <f t="shared" ca="1" si="18"/>
        <v>0</v>
      </c>
      <c r="BN101" s="1163"/>
      <c r="BO101" s="1161" t="str">
        <f ca="1">IF(IFERROR(INDEX(Налоги!$K$26:$L$69,MATCH($F101&amp;"9komm",Налоги!$K$26:$K$69,0),2),"")=0,"",IFERROR(INDEX(Налоги!$K$26:$L$69,MATCH($F101&amp;"9komm",Налоги!$K$26:$K$69,0),2),""))</f>
        <v/>
      </c>
      <c r="BP101" s="1163"/>
      <c r="BS101" s="980" t="s">
        <v>2052</v>
      </c>
      <c r="BT101" s="980"/>
      <c r="BU101" s="980"/>
      <c r="BV101" s="981"/>
      <c r="BW101" s="981"/>
    </row>
    <row r="102" spans="2:75" ht="14.65" hidden="1" customHeight="1" x14ac:dyDescent="0.15">
      <c r="B102" s="15"/>
      <c r="C102" s="26"/>
      <c r="D102" s="26"/>
      <c r="E102" s="545">
        <v>15</v>
      </c>
      <c r="F102" s="3" cm="1">
        <f t="array" aca="1" ref="F102" ca="1">OFFSET(E102,-1,1)</f>
        <v>0</v>
      </c>
      <c r="G102" s="834">
        <v>10</v>
      </c>
      <c r="H102" s="26"/>
      <c r="I102" s="26" t="s">
        <v>2053</v>
      </c>
      <c r="J102" s="26"/>
      <c r="K102" s="26" t="s">
        <v>2053</v>
      </c>
      <c r="L102" s="889"/>
      <c r="M102" s="26"/>
      <c r="N102" s="26"/>
      <c r="O102" s="26"/>
      <c r="P102" s="26"/>
      <c r="Q102" s="26"/>
      <c r="R102" s="26"/>
      <c r="S102" s="26"/>
      <c r="T102" s="388" t="b" cm="1">
        <f t="array" aca="1" ref="T102" ca="1">T101</f>
        <v>0</v>
      </c>
      <c r="U102" s="26"/>
      <c r="V102" s="26"/>
      <c r="X102" s="2032"/>
      <c r="Z102" s="2012"/>
      <c r="AB102" s="217" t="s">
        <v>2054</v>
      </c>
      <c r="AC102" s="701" t="s">
        <v>2055</v>
      </c>
      <c r="AD102" s="218" t="s">
        <v>831</v>
      </c>
      <c r="AE102" s="177">
        <f ca="1">SUMIFS(Налоги!AE$25:AE$69,Налоги!$F$25:$F$69,$F102,Налоги!$AB$25:$AB$69,$G102)</f>
        <v>0</v>
      </c>
      <c r="AF102" s="177">
        <f ca="1">SUMIFS(Налоги!AF$25:AF$69,Налоги!$F$25:$F$69,$F102,Налоги!$AB$25:$AB$69,$G102)</f>
        <v>0</v>
      </c>
      <c r="AG102" s="177">
        <f ca="1">SUMIFS(Налоги!AG$25:AG$69,Налоги!$F$25:$F$69,$F102,Налоги!$AB$25:$AB$69,$G102)</f>
        <v>0</v>
      </c>
      <c r="AH102" s="855">
        <f t="shared" ca="1" si="7"/>
        <v>0</v>
      </c>
      <c r="AI102" s="855">
        <f ca="1">SUMIFS(Налоги!AH$25:AH$69,Налоги!$F$25:$F$69,$F102,Налоги!$AB$25:$AB$69,$G102)</f>
        <v>0</v>
      </c>
      <c r="AJ102" s="855">
        <f ca="1">SUMIFS(Налоги!AI$25:AI$69,Налоги!$F$25:$F$69,$F102,Налоги!$AB$25:$AB$69,$G102)</f>
        <v>0</v>
      </c>
      <c r="AK102" s="855">
        <f ca="1">SUMIFS(Налоги!AJ$25:AJ$69,Налоги!$F$25:$F$69,$F102,Налоги!$AB$25:$AB$69,$G102)</f>
        <v>0</v>
      </c>
      <c r="AL102" s="855">
        <f ca="1">SUMIFS(Налоги!AK$25:AK$69,Налоги!$F$25:$F$69,$F102,Налоги!$AB$25:$AB$69,$G102)</f>
        <v>0</v>
      </c>
      <c r="AM102" s="855">
        <f ca="1">SUMIFS(Налоги!AL$25:AL$69,Налоги!$F$25:$F$69,$F102,Налоги!$AB$25:$AB$69,$G102)</f>
        <v>0</v>
      </c>
      <c r="AN102" s="855">
        <f ca="1">SUMIFS(Налоги!AM$25:AM$69,Налоги!$F$25:$F$69,$F102,Налоги!$AB$25:$AB$69,$G102)</f>
        <v>0</v>
      </c>
      <c r="AO102" s="855">
        <f ca="1">SUMIFS(Налоги!AN$25:AN$69,Налоги!$F$25:$F$69,$F102,Налоги!$AB$25:$AB$69,$G102)</f>
        <v>0</v>
      </c>
      <c r="AP102" s="855">
        <f ca="1">SUMIFS(Налоги!AO$25:AO$69,Налоги!$F$25:$F$69,$F102,Налоги!$AB$25:$AB$69,$G102)</f>
        <v>0</v>
      </c>
      <c r="AQ102" s="855">
        <f ca="1">SUMIFS(Налоги!AP$25:AP$69,Налоги!$F$25:$F$69,$F102,Налоги!$AB$25:$AB$69,$G102)</f>
        <v>0</v>
      </c>
      <c r="AR102" s="855">
        <f ca="1">SUMIFS(Налоги!AQ$25:AQ$69,Налоги!$F$25:$F$69,$F102,Налоги!$AB$25:$AB$69,$G102)</f>
        <v>0</v>
      </c>
      <c r="AS102" s="855">
        <f ca="1">SUMIFS(Налоги!AR$25:AR$69,Налоги!$F$25:$F$69,$F102,Налоги!$AB$25:$AB$69,$G102)</f>
        <v>0</v>
      </c>
      <c r="AT102" s="855">
        <f ca="1">SUMIFS(Налоги!AS$25:AS$69,Налоги!$F$25:$F$69,$F102,Налоги!$AB$25:$AB$69,$G102)</f>
        <v>0</v>
      </c>
      <c r="AU102" s="855">
        <f ca="1">SUMIFS(Налоги!AT$25:AT$69,Налоги!$F$25:$F$69,$F102,Налоги!$AB$25:$AB$69,$G102)</f>
        <v>0</v>
      </c>
      <c r="AV102" s="855">
        <f ca="1">SUMIFS(Налоги!AU$25:AU$69,Налоги!$F$25:$F$69,$F102,Налоги!$AB$25:$AB$69,$G102)</f>
        <v>0</v>
      </c>
      <c r="AW102" s="855">
        <f ca="1">SUMIFS(Налоги!AV$25:AV$69,Налоги!$F$25:$F$69,$F102,Налоги!$AB$25:$AB$69,$G102)</f>
        <v>0</v>
      </c>
      <c r="AX102" s="855">
        <f ca="1">SUMIFS(Налоги!AW$25:AW$69,Налоги!$F$25:$F$69,$F102,Налоги!$AB$25:$AB$69,$G102)</f>
        <v>0</v>
      </c>
      <c r="AY102" s="855">
        <f ca="1">SUMIFS(Налоги!AX$25:AX$69,Налоги!$F$25:$F$69,$F102,Налоги!$AB$25:$AB$69,$G102)</f>
        <v>0</v>
      </c>
      <c r="AZ102" s="855">
        <f ca="1">SUMIFS(Налоги!AY$25:AY$69,Налоги!$F$25:$F$69,$F102,Налоги!$AB$25:$AB$69,$G102)</f>
        <v>0</v>
      </c>
      <c r="BA102" s="855">
        <f ca="1">SUMIFS(Налоги!AZ$25:AZ$69,Налоги!$F$25:$F$69,$F102,Налоги!$AB$25:$AB$69,$G102)</f>
        <v>0</v>
      </c>
      <c r="BB102" s="855">
        <f ca="1">SUMIFS(Налоги!BA$25:BA$69,Налоги!$F$25:$F$69,$F102,Налоги!$AB$25:$AB$69,$G102)</f>
        <v>0</v>
      </c>
      <c r="BC102" s="855">
        <f ca="1">SUMIFS(Налоги!BB$25:BB$69,Налоги!$F$25:$F$69,$F102,Налоги!$AB$25:$AB$69,$G102)</f>
        <v>0</v>
      </c>
      <c r="BD102" s="855">
        <f t="shared" ca="1" si="9"/>
        <v>0</v>
      </c>
      <c r="BE102" s="855">
        <f t="shared" ca="1" si="10"/>
        <v>0</v>
      </c>
      <c r="BF102" s="855">
        <f t="shared" ca="1" si="11"/>
        <v>0</v>
      </c>
      <c r="BG102" s="855">
        <f t="shared" ca="1" si="12"/>
        <v>0</v>
      </c>
      <c r="BH102" s="855">
        <f t="shared" ca="1" si="13"/>
        <v>0</v>
      </c>
      <c r="BI102" s="855">
        <f t="shared" ca="1" si="14"/>
        <v>0</v>
      </c>
      <c r="BJ102" s="855">
        <f t="shared" ca="1" si="15"/>
        <v>0</v>
      </c>
      <c r="BK102" s="855">
        <f t="shared" ca="1" si="16"/>
        <v>0</v>
      </c>
      <c r="BL102" s="855">
        <f t="shared" ca="1" si="17"/>
        <v>0</v>
      </c>
      <c r="BM102" s="855">
        <f t="shared" ca="1" si="18"/>
        <v>0</v>
      </c>
      <c r="BN102" s="1163"/>
      <c r="BO102" s="1161" t="str">
        <f ca="1">IF(IFERROR(INDEX(Налоги!$K$26:$L$69,MATCH($F102&amp;"10komm",Налоги!$K$26:$K$69,0),2),"")=0,"",IFERROR(INDEX(Налоги!$K$26:$L$69,MATCH($F102&amp;"10komm",Налоги!$K$26:$K$69,0),2),""))</f>
        <v/>
      </c>
      <c r="BP102" s="1163"/>
      <c r="BS102" s="973" t="s">
        <v>2056</v>
      </c>
    </row>
    <row r="103" spans="2:75" ht="65.849999999999994" hidden="1" customHeight="1" x14ac:dyDescent="0.15">
      <c r="E103" s="626">
        <v>67.5</v>
      </c>
      <c r="F103" s="3" cm="1">
        <f t="array" aca="1" ref="F103" ca="1">OFFSET(E103,-1,1)</f>
        <v>0</v>
      </c>
      <c r="G103" s="77" t="s">
        <v>1412</v>
      </c>
      <c r="I103" s="77" t="s">
        <v>932</v>
      </c>
      <c r="K103" s="77" t="s">
        <v>932</v>
      </c>
      <c r="L103" s="889"/>
      <c r="M103" s="26"/>
      <c r="T103" s="388" t="b" cm="1">
        <f t="array" aca="1" ref="T103" ca="1">T102</f>
        <v>0</v>
      </c>
      <c r="X103" s="2032"/>
      <c r="Z103" s="2012"/>
      <c r="AB103" s="217" t="s">
        <v>933</v>
      </c>
      <c r="AC103" s="702" t="s">
        <v>1415</v>
      </c>
      <c r="AD103" s="218" t="s">
        <v>831</v>
      </c>
      <c r="AE103" s="1164"/>
      <c r="AF103" s="1164"/>
      <c r="AG103" s="1164"/>
      <c r="AH103" s="855">
        <f t="shared" si="7"/>
        <v>0</v>
      </c>
      <c r="AI103" s="1165"/>
      <c r="AJ103" s="1569"/>
      <c r="AK103" s="1165"/>
      <c r="AL103" s="1165"/>
      <c r="AM103" s="1165"/>
      <c r="AN103" s="1165"/>
      <c r="AO103" s="1165"/>
      <c r="AP103" s="1165"/>
      <c r="AQ103" s="1165"/>
      <c r="AR103" s="1165"/>
      <c r="AS103" s="1165"/>
      <c r="AT103" s="1569"/>
      <c r="AU103" s="1165"/>
      <c r="AV103" s="1165"/>
      <c r="AW103" s="1165"/>
      <c r="AX103" s="1165"/>
      <c r="AY103" s="1165"/>
      <c r="AZ103" s="1165"/>
      <c r="BA103" s="1165"/>
      <c r="BB103" s="1165"/>
      <c r="BC103" s="1165"/>
      <c r="BD103" s="855">
        <f t="shared" si="9"/>
        <v>0</v>
      </c>
      <c r="BE103" s="855">
        <f t="shared" si="10"/>
        <v>0</v>
      </c>
      <c r="BF103" s="855">
        <f t="shared" si="11"/>
        <v>0</v>
      </c>
      <c r="BG103" s="855">
        <f t="shared" si="12"/>
        <v>0</v>
      </c>
      <c r="BH103" s="855">
        <f t="shared" si="13"/>
        <v>0</v>
      </c>
      <c r="BI103" s="855">
        <f t="shared" si="14"/>
        <v>0</v>
      </c>
      <c r="BJ103" s="855">
        <f t="shared" si="15"/>
        <v>0</v>
      </c>
      <c r="BK103" s="855">
        <f t="shared" si="16"/>
        <v>0</v>
      </c>
      <c r="BL103" s="855">
        <f t="shared" si="17"/>
        <v>0</v>
      </c>
      <c r="BM103" s="855">
        <f t="shared" si="18"/>
        <v>0</v>
      </c>
      <c r="BN103" s="1163"/>
      <c r="BO103" s="1163"/>
      <c r="BP103" s="1163"/>
      <c r="BS103" s="973" t="s">
        <v>2057</v>
      </c>
    </row>
    <row r="104" spans="2:75" ht="14.65" hidden="1" customHeight="1" x14ac:dyDescent="0.15">
      <c r="E104" s="626">
        <v>15</v>
      </c>
      <c r="F104" s="3" cm="1">
        <f t="array" aca="1" ref="F104" ca="1">OFFSET(E104,-1,1)</f>
        <v>0</v>
      </c>
      <c r="G104" s="77" t="s">
        <v>1011</v>
      </c>
      <c r="I104" s="77" t="s">
        <v>935</v>
      </c>
      <c r="K104" s="77" t="s">
        <v>935</v>
      </c>
      <c r="L104" s="889" t="s">
        <v>544</v>
      </c>
      <c r="M104" s="26"/>
      <c r="T104" s="388" t="b" cm="1">
        <f t="array" aca="1" ref="T104" ca="1">T103</f>
        <v>0</v>
      </c>
      <c r="X104" s="2032"/>
      <c r="Z104" s="2012"/>
      <c r="AB104" s="217" t="s">
        <v>936</v>
      </c>
      <c r="AC104" s="682" t="s">
        <v>1011</v>
      </c>
      <c r="AD104" s="218" t="s">
        <v>831</v>
      </c>
      <c r="AE104" s="177">
        <f ca="1">SUMIFS(Аренда!AE$25:AE$57,Аренда!$F$25:$F$57,$F104,Аренда!$G$25:$G$57,"Арендная и концессионная плата, лизинговые платежи")</f>
        <v>0</v>
      </c>
      <c r="AF104" s="177">
        <f ca="1">SUMIFS(Аренда!AF$25:AF$57,Аренда!$F$25:$F$57,$F104,Аренда!$G$25:$G$57,"Арендная и концессионная плата, лизинговые платежи")</f>
        <v>0</v>
      </c>
      <c r="AG104" s="177">
        <f ca="1">SUMIFS(Аренда!AG$25:AG$57,Аренда!$F$25:$F$57,$F104,Аренда!$G$25:$G$57,"Арендная и концессионная плата, лизинговые платежи")</f>
        <v>0</v>
      </c>
      <c r="AH104" s="855">
        <f t="shared" ca="1" si="7"/>
        <v>0</v>
      </c>
      <c r="AI104" s="177">
        <f ca="1">SUMIFS(Аренда!AH$25:AH$57,Аренда!$F$25:$F$57,$F104,Аренда!$G$25:$G$57,"Арендная и концессионная плата, лизинговые платежи")</f>
        <v>0</v>
      </c>
      <c r="AJ104" s="177">
        <f ca="1">SUMIFS(Аренда!AI$25:AI$57,Аренда!$F$25:$F$57,$F104,Аренда!$G$25:$G$57,"Арендная и концессионная плата, лизинговые платежи")</f>
        <v>0</v>
      </c>
      <c r="AK104" s="177">
        <f ca="1">SUMIFS(Аренда!AJ$25:AJ$57,Аренда!$F$25:$F$57,$F104,Аренда!$G$25:$G$57,"Арендная и концессионная плата, лизинговые платежи")</f>
        <v>0</v>
      </c>
      <c r="AL104" s="177">
        <f ca="1">SUMIFS(Аренда!AK$25:AK$57,Аренда!$F$25:$F$57,$F104,Аренда!$G$25:$G$57,"Арендная и концессионная плата, лизинговые платежи")</f>
        <v>0</v>
      </c>
      <c r="AM104" s="177">
        <f ca="1">SUMIFS(Аренда!AL$25:AL$57,Аренда!$F$25:$F$57,$F104,Аренда!$G$25:$G$57,"Арендная и концессионная плата, лизинговые платежи")</f>
        <v>0</v>
      </c>
      <c r="AN104" s="177">
        <f ca="1">SUMIFS(Аренда!AM$25:AM$57,Аренда!$F$25:$F$57,$F104,Аренда!$G$25:$G$57,"Арендная и концессионная плата, лизинговые платежи")</f>
        <v>0</v>
      </c>
      <c r="AO104" s="177">
        <f ca="1">SUMIFS(Аренда!AN$25:AN$57,Аренда!$F$25:$F$57,$F104,Аренда!$G$25:$G$57,"Арендная и концессионная плата, лизинговые платежи")</f>
        <v>0</v>
      </c>
      <c r="AP104" s="177">
        <f ca="1">SUMIFS(Аренда!AO$25:AO$57,Аренда!$F$25:$F$57,$F104,Аренда!$G$25:$G$57,"Арендная и концессионная плата, лизинговые платежи")</f>
        <v>0</v>
      </c>
      <c r="AQ104" s="177">
        <f ca="1">SUMIFS(Аренда!AP$25:AP$57,Аренда!$F$25:$F$57,$F104,Аренда!$G$25:$G$57,"Арендная и концессионная плата, лизинговые платежи")</f>
        <v>0</v>
      </c>
      <c r="AR104" s="177">
        <f ca="1">SUMIFS(Аренда!AQ$25:AQ$57,Аренда!$F$25:$F$57,$F104,Аренда!$G$25:$G$57,"Арендная и концессионная плата, лизинговые платежи")</f>
        <v>0</v>
      </c>
      <c r="AS104" s="177">
        <f ca="1">SUMIFS(Аренда!AR$25:AR$57,Аренда!$F$25:$F$57,$F104,Аренда!$G$25:$G$57,"Арендная и концессионная плата, лизинговые платежи")</f>
        <v>0</v>
      </c>
      <c r="AT104" s="177">
        <f ca="1">SUMIFS(Аренда!AS$25:AS$57,Аренда!$F$25:$F$57,$F104,Аренда!$G$25:$G$57,"Арендная и концессионная плата, лизинговые платежи")</f>
        <v>0</v>
      </c>
      <c r="AU104" s="177">
        <f ca="1">SUMIFS(Аренда!AT$25:AT$57,Аренда!$F$25:$F$57,$F104,Аренда!$G$25:$G$57,"Арендная и концессионная плата, лизинговые платежи")</f>
        <v>0</v>
      </c>
      <c r="AV104" s="177">
        <f ca="1">SUMIFS(Аренда!AU$25:AU$57,Аренда!$F$25:$F$57,$F104,Аренда!$G$25:$G$57,"Арендная и концессионная плата, лизинговые платежи")</f>
        <v>0</v>
      </c>
      <c r="AW104" s="177">
        <f ca="1">SUMIFS(Аренда!AV$25:AV$57,Аренда!$F$25:$F$57,$F104,Аренда!$G$25:$G$57,"Арендная и концессионная плата, лизинговые платежи")</f>
        <v>0</v>
      </c>
      <c r="AX104" s="177">
        <f ca="1">SUMIFS(Аренда!AW$25:AW$57,Аренда!$F$25:$F$57,$F104,Аренда!$G$25:$G$57,"Арендная и концессионная плата, лизинговые платежи")</f>
        <v>0</v>
      </c>
      <c r="AY104" s="177">
        <f ca="1">SUMIFS(Аренда!AX$25:AX$57,Аренда!$F$25:$F$57,$F104,Аренда!$G$25:$G$57,"Арендная и концессионная плата, лизинговые платежи")</f>
        <v>0</v>
      </c>
      <c r="AZ104" s="177">
        <f ca="1">SUMIFS(Аренда!AY$25:AY$57,Аренда!$F$25:$F$57,$F104,Аренда!$G$25:$G$57,"Арендная и концессионная плата, лизинговые платежи")</f>
        <v>0</v>
      </c>
      <c r="BA104" s="177">
        <f ca="1">SUMIFS(Аренда!AZ$25:AZ$57,Аренда!$F$25:$F$57,$F104,Аренда!$G$25:$G$57,"Арендная и концессионная плата, лизинговые платежи")</f>
        <v>0</v>
      </c>
      <c r="BB104" s="177">
        <f ca="1">SUMIFS(Аренда!BA$25:BA$57,Аренда!$F$25:$F$57,$F104,Аренда!$G$25:$G$57,"Арендная и концессионная плата, лизинговые платежи")</f>
        <v>0</v>
      </c>
      <c r="BC104" s="177">
        <f ca="1">SUMIFS(Аренда!BB$25:BB$57,Аренда!$F$25:$F$57,$F104,Аренда!$G$25:$G$57,"Арендная и концессионная плата, лизинговые платежи")</f>
        <v>0</v>
      </c>
      <c r="BD104" s="855">
        <f t="shared" ca="1" si="9"/>
        <v>0</v>
      </c>
      <c r="BE104" s="855">
        <f t="shared" ca="1" si="10"/>
        <v>0</v>
      </c>
      <c r="BF104" s="855">
        <f t="shared" ca="1" si="11"/>
        <v>0</v>
      </c>
      <c r="BG104" s="855">
        <f t="shared" ca="1" si="12"/>
        <v>0</v>
      </c>
      <c r="BH104" s="855">
        <f t="shared" ca="1" si="13"/>
        <v>0</v>
      </c>
      <c r="BI104" s="855">
        <f t="shared" ca="1" si="14"/>
        <v>0</v>
      </c>
      <c r="BJ104" s="855">
        <f t="shared" ca="1" si="15"/>
        <v>0</v>
      </c>
      <c r="BK104" s="855">
        <f t="shared" ca="1" si="16"/>
        <v>0</v>
      </c>
      <c r="BL104" s="855">
        <f t="shared" ca="1" si="17"/>
        <v>0</v>
      </c>
      <c r="BM104" s="855">
        <f t="shared" ca="1" si="18"/>
        <v>0</v>
      </c>
      <c r="BN104" s="1163"/>
      <c r="BO104" s="1166" t="str">
        <f ca="1">IF(IFERROR(INDEX(Аренда!$K$26:$L$57,MATCH($F104&amp;"komm",Аренда!$K$26:$K$57,0),2),"")=0,"",IFERROR(INDEX(Аренда!$K$26:$L$57,MATCH($F104&amp;"komm",Аренда!$K$26:$K$57,0),2),""))</f>
        <v/>
      </c>
      <c r="BP104" s="1163"/>
      <c r="BS104" s="973" t="s">
        <v>2058</v>
      </c>
    </row>
    <row r="105" spans="2:75" ht="14.65" hidden="1" customHeight="1" x14ac:dyDescent="0.15">
      <c r="B105" s="354" t="b">
        <f>STATUS_GO="да"</f>
        <v>1</v>
      </c>
      <c r="E105" s="626">
        <v>15</v>
      </c>
      <c r="F105" s="3" cm="1">
        <f t="array" aca="1" ref="F105" ca="1">OFFSET(E105,-1,1)</f>
        <v>0</v>
      </c>
      <c r="I105" s="77" t="s">
        <v>2059</v>
      </c>
      <c r="K105" s="77" t="s">
        <v>2059</v>
      </c>
      <c r="L105" s="889"/>
      <c r="M105" s="26"/>
      <c r="T105" s="388" t="b" cm="1">
        <f t="array" aca="1" ref="T105" ca="1">T104</f>
        <v>0</v>
      </c>
      <c r="X105" s="2032"/>
      <c r="Z105" s="2012"/>
      <c r="AB105" s="217" t="s">
        <v>1479</v>
      </c>
      <c r="AC105" s="682" t="s">
        <v>2060</v>
      </c>
      <c r="AD105" s="218" t="s">
        <v>831</v>
      </c>
      <c r="AE105" s="1162"/>
      <c r="AF105" s="1162"/>
      <c r="AG105" s="1162"/>
      <c r="AH105" s="855">
        <f t="shared" si="7"/>
        <v>0</v>
      </c>
      <c r="AI105" s="1160"/>
      <c r="AJ105" s="1568"/>
      <c r="AK105" s="1160"/>
      <c r="AL105" s="1160"/>
      <c r="AM105" s="1160"/>
      <c r="AN105" s="1160"/>
      <c r="AO105" s="1160"/>
      <c r="AP105" s="1160"/>
      <c r="AQ105" s="1160"/>
      <c r="AR105" s="1160"/>
      <c r="AS105" s="1160"/>
      <c r="AT105" s="1568"/>
      <c r="AU105" s="1160"/>
      <c r="AV105" s="1160"/>
      <c r="AW105" s="1160"/>
      <c r="AX105" s="1160"/>
      <c r="AY105" s="1160"/>
      <c r="AZ105" s="1160"/>
      <c r="BA105" s="1160"/>
      <c r="BB105" s="1160"/>
      <c r="BC105" s="1160"/>
      <c r="BD105" s="855">
        <f t="shared" si="9"/>
        <v>0</v>
      </c>
      <c r="BE105" s="855">
        <f t="shared" si="10"/>
        <v>0</v>
      </c>
      <c r="BF105" s="855">
        <f t="shared" si="11"/>
        <v>0</v>
      </c>
      <c r="BG105" s="855">
        <f t="shared" si="12"/>
        <v>0</v>
      </c>
      <c r="BH105" s="855">
        <f t="shared" si="13"/>
        <v>0</v>
      </c>
      <c r="BI105" s="855">
        <f t="shared" si="14"/>
        <v>0</v>
      </c>
      <c r="BJ105" s="855">
        <f t="shared" si="15"/>
        <v>0</v>
      </c>
      <c r="BK105" s="855">
        <f t="shared" si="16"/>
        <v>0</v>
      </c>
      <c r="BL105" s="855">
        <f t="shared" si="17"/>
        <v>0</v>
      </c>
      <c r="BM105" s="855">
        <f t="shared" si="18"/>
        <v>0</v>
      </c>
      <c r="BN105" s="1163"/>
      <c r="BO105" s="1163"/>
      <c r="BP105" s="1163"/>
      <c r="BS105" s="973" t="s">
        <v>2061</v>
      </c>
    </row>
    <row r="106" spans="2:75" ht="14.65" hidden="1" customHeight="1" x14ac:dyDescent="0.15">
      <c r="B106" s="354" t="b">
        <f>STATUS_GO="да"</f>
        <v>1</v>
      </c>
      <c r="E106" s="626">
        <v>15</v>
      </c>
      <c r="F106" s="3" cm="1">
        <f t="array" aca="1" ref="F106" ca="1">OFFSET(E106,-1,1)</f>
        <v>0</v>
      </c>
      <c r="G106" s="77" t="s">
        <v>1421</v>
      </c>
      <c r="I106" s="77" t="s">
        <v>2062</v>
      </c>
      <c r="K106" s="77" t="s">
        <v>2062</v>
      </c>
      <c r="L106" s="889"/>
      <c r="M106" s="26"/>
      <c r="T106" s="388" t="b" cm="1">
        <f t="array" aca="1" ref="T106" ca="1">T105</f>
        <v>0</v>
      </c>
      <c r="X106" s="2032"/>
      <c r="Z106" s="2012"/>
      <c r="AB106" s="217" t="s">
        <v>2063</v>
      </c>
      <c r="AC106" s="685" t="s">
        <v>1421</v>
      </c>
      <c r="AD106" s="218" t="s">
        <v>831</v>
      </c>
      <c r="AE106" s="1162"/>
      <c r="AF106" s="1162"/>
      <c r="AG106" s="1162"/>
      <c r="AH106" s="855">
        <f t="shared" si="7"/>
        <v>0</v>
      </c>
      <c r="AI106" s="1160"/>
      <c r="AJ106" s="1568"/>
      <c r="AK106" s="1160"/>
      <c r="AL106" s="1160"/>
      <c r="AM106" s="1160"/>
      <c r="AN106" s="1160"/>
      <c r="AO106" s="1160"/>
      <c r="AP106" s="1160"/>
      <c r="AQ106" s="1160"/>
      <c r="AR106" s="1160"/>
      <c r="AS106" s="1160"/>
      <c r="AT106" s="1568"/>
      <c r="AU106" s="1160"/>
      <c r="AV106" s="1160"/>
      <c r="AW106" s="1160"/>
      <c r="AX106" s="1160"/>
      <c r="AY106" s="1160"/>
      <c r="AZ106" s="1160"/>
      <c r="BA106" s="1160"/>
      <c r="BB106" s="1160"/>
      <c r="BC106" s="1160"/>
      <c r="BD106" s="855">
        <f t="shared" si="9"/>
        <v>0</v>
      </c>
      <c r="BE106" s="855">
        <f t="shared" si="10"/>
        <v>0</v>
      </c>
      <c r="BF106" s="855">
        <f t="shared" si="11"/>
        <v>0</v>
      </c>
      <c r="BG106" s="855">
        <f t="shared" si="12"/>
        <v>0</v>
      </c>
      <c r="BH106" s="855">
        <f t="shared" si="13"/>
        <v>0</v>
      </c>
      <c r="BI106" s="855">
        <f t="shared" si="14"/>
        <v>0</v>
      </c>
      <c r="BJ106" s="855">
        <f t="shared" si="15"/>
        <v>0</v>
      </c>
      <c r="BK106" s="855">
        <f t="shared" si="16"/>
        <v>0</v>
      </c>
      <c r="BL106" s="855">
        <f t="shared" si="17"/>
        <v>0</v>
      </c>
      <c r="BM106" s="855">
        <f t="shared" si="18"/>
        <v>0</v>
      </c>
      <c r="BN106" s="1163"/>
      <c r="BO106" s="1166" t="str">
        <f ca="1">IF(IFERROR(INDEX('Сбытовые расходы ГО'!$K$26:$M$65,MATCH($F106&amp;"komm",'Сбытовые расходы ГО'!$K$26:$K$65,0),2),"")=0,"",IFERROR(INDEX('Сбытовые расходы ГО'!$K$26:$M$65,MATCH($F106&amp;"komm",'Сбытовые расходы ГО'!$K$26:$K$65,0),2),""))</f>
        <v/>
      </c>
      <c r="BP106" s="1163"/>
      <c r="BS106" s="973" t="s">
        <v>2064</v>
      </c>
    </row>
    <row r="107" spans="2:75" ht="14.65" hidden="1" customHeight="1" x14ac:dyDescent="0.15">
      <c r="E107" s="626">
        <v>15</v>
      </c>
      <c r="F107" s="3" cm="1">
        <f t="array" aca="1" ref="F107" ca="1">OFFSET(E107,-1,1)</f>
        <v>0</v>
      </c>
      <c r="G107" s="77" t="s">
        <v>1426</v>
      </c>
      <c r="I107" s="77" t="s">
        <v>2065</v>
      </c>
      <c r="K107" s="77" t="s">
        <v>2065</v>
      </c>
      <c r="L107" s="889"/>
      <c r="M107" s="26"/>
      <c r="T107" s="388" t="b" cm="1">
        <f t="array" aca="1" ref="T107" ca="1">T106</f>
        <v>0</v>
      </c>
      <c r="X107" s="2032"/>
      <c r="Z107" s="2012"/>
      <c r="AB107" s="217" t="s">
        <v>1484</v>
      </c>
      <c r="AC107" s="682" t="s">
        <v>1426</v>
      </c>
      <c r="AD107" s="218" t="s">
        <v>831</v>
      </c>
      <c r="AE107" s="1162"/>
      <c r="AF107" s="1162"/>
      <c r="AG107" s="1162"/>
      <c r="AH107" s="855">
        <f t="shared" si="7"/>
        <v>0</v>
      </c>
      <c r="AI107" s="1160"/>
      <c r="AJ107" s="1568">
        <f ca="1">SUMIFS(Экономия_корр!AE$25:AE$51,Экономия_корр!$F$25:$F$51,$F107,Экономия_корр!$AC$25:$AC$51,"Экономия расходов с учетом ИПЦ")</f>
        <v>0</v>
      </c>
      <c r="AK107" s="1160">
        <f ca="1">SUMIFS(Экономия_корр!AF$25:AF$51,Экономия_корр!$F$25:$F$51,$F107,Экономия_корр!$AC$25:$AC$51,"Экономия расходов с учетом ИПЦ")</f>
        <v>0</v>
      </c>
      <c r="AL107" s="1160">
        <f ca="1">SUMIFS(Экономия_корр!AG$25:AG$51,Экономия_корр!$F$25:$F$51,$F107,Экономия_корр!$AC$25:$AC$51,"Экономия расходов с учетом ИПЦ")</f>
        <v>0</v>
      </c>
      <c r="AM107" s="1160">
        <f ca="1">SUMIFS(Экономия_корр!AH$25:AH$51,Экономия_корр!$F$25:$F$51,$F107,Экономия_корр!$AC$25:$AC$51,"Экономия расходов с учетом ИПЦ")</f>
        <v>0</v>
      </c>
      <c r="AN107" s="1160">
        <f ca="1">SUMIFS(Экономия_корр!AI$25:AI$51,Экономия_корр!$F$25:$F$51,$F107,Экономия_корр!$AC$25:$AC$51,"Экономия расходов с учетом ИПЦ")</f>
        <v>0</v>
      </c>
      <c r="AO107" s="1160">
        <f ca="1">SUMIFS(Экономия_корр!AJ$25:AJ$51,Экономия_корр!$F$25:$F$51,$F107,Экономия_корр!$AC$25:$AC$51,"Экономия расходов с учетом ИПЦ")</f>
        <v>0</v>
      </c>
      <c r="AP107" s="1160">
        <f ca="1">SUMIFS(Экономия_корр!AK$25:AK$51,Экономия_корр!$F$25:$F$51,$F107,Экономия_корр!$AC$25:$AC$51,"Экономия расходов с учетом ИПЦ")</f>
        <v>0</v>
      </c>
      <c r="AQ107" s="1160">
        <f ca="1">SUMIFS(Экономия_корр!AL$25:AL$51,Экономия_корр!$F$25:$F$51,$F107,Экономия_корр!$AC$25:$AC$51,"Экономия расходов с учетом ИПЦ")</f>
        <v>0</v>
      </c>
      <c r="AR107" s="1160">
        <f ca="1">SUMIFS(Экономия_корр!AM$25:AM$51,Экономия_корр!$F$25:$F$51,$F107,Экономия_корр!$AC$25:$AC$51,"Экономия расходов с учетом ИПЦ")</f>
        <v>0</v>
      </c>
      <c r="AS107" s="1160">
        <f ca="1">SUMIFS(Экономия_корр!AN$25:AN$51,Экономия_корр!$F$25:$F$51,$F107,Экономия_корр!$AC$25:$AC$51,"Экономия расходов с учетом ИПЦ")</f>
        <v>0</v>
      </c>
      <c r="AT107" s="1568">
        <f ca="1">SUMIFS(Экономия_корр!AO$25:AO$51,Экономия_корр!$F$25:$F$51,$F107,Экономия_корр!$AC$25:$AC$51,"Экономия расходов с учетом ИПЦ")</f>
        <v>0</v>
      </c>
      <c r="AU107" s="1160">
        <f ca="1">SUMIFS(Экономия_корр!AP$25:AP$51,Экономия_корр!$F$25:$F$51,$F107,Экономия_корр!$AC$25:$AC$51,"Экономия расходов с учетом ИПЦ")</f>
        <v>0</v>
      </c>
      <c r="AV107" s="1160">
        <f ca="1">SUMIFS(Экономия_корр!AQ$25:AQ$51,Экономия_корр!$F$25:$F$51,$F107,Экономия_корр!$AC$25:$AC$51,"Экономия расходов с учетом ИПЦ")</f>
        <v>0</v>
      </c>
      <c r="AW107" s="1160">
        <f ca="1">SUMIFS(Экономия_корр!AR$25:AR$51,Экономия_корр!$F$25:$F$51,$F107,Экономия_корр!$AC$25:$AC$51,"Экономия расходов с учетом ИПЦ")</f>
        <v>0</v>
      </c>
      <c r="AX107" s="1160">
        <f ca="1">SUMIFS(Экономия_корр!AS$25:AS$51,Экономия_корр!$F$25:$F$51,$F107,Экономия_корр!$AC$25:$AC$51,"Экономия расходов с учетом ИПЦ")</f>
        <v>0</v>
      </c>
      <c r="AY107" s="1160">
        <f ca="1">SUMIFS(Экономия_корр!AT$25:AT$51,Экономия_корр!$F$25:$F$51,$F107,Экономия_корр!$AC$25:$AC$51,"Экономия расходов с учетом ИПЦ")</f>
        <v>0</v>
      </c>
      <c r="AZ107" s="1160">
        <f ca="1">SUMIFS(Экономия_корр!AU$25:AU$51,Экономия_корр!$F$25:$F$51,$F107,Экономия_корр!$AC$25:$AC$51,"Экономия расходов с учетом ИПЦ")</f>
        <v>0</v>
      </c>
      <c r="BA107" s="1160">
        <f ca="1">SUMIFS(Экономия_корр!AV$25:AV$51,Экономия_корр!$F$25:$F$51,$F107,Экономия_корр!$AC$25:$AC$51,"Экономия расходов с учетом ИПЦ")</f>
        <v>0</v>
      </c>
      <c r="BB107" s="1160">
        <f ca="1">SUMIFS(Экономия_корр!AW$25:AW$51,Экономия_корр!$F$25:$F$51,$F107,Экономия_корр!$AC$25:$AC$51,"Экономия расходов с учетом ИПЦ")</f>
        <v>0</v>
      </c>
      <c r="BC107" s="1160">
        <f ca="1">SUMIFS(Экономия_корр!AX$25:AX$51,Экономия_корр!$F$25:$F$51,$F107,Экономия_корр!$AC$25:$AC$51,"Экономия расходов с учетом ИПЦ")</f>
        <v>0</v>
      </c>
      <c r="BD107" s="855">
        <f t="shared" si="9"/>
        <v>0</v>
      </c>
      <c r="BE107" s="855">
        <f t="shared" ca="1" si="10"/>
        <v>0</v>
      </c>
      <c r="BF107" s="855">
        <f t="shared" ca="1" si="11"/>
        <v>0</v>
      </c>
      <c r="BG107" s="855">
        <f t="shared" ca="1" si="12"/>
        <v>0</v>
      </c>
      <c r="BH107" s="855">
        <f t="shared" ca="1" si="13"/>
        <v>0</v>
      </c>
      <c r="BI107" s="855">
        <f t="shared" ca="1" si="14"/>
        <v>0</v>
      </c>
      <c r="BJ107" s="855">
        <f t="shared" ca="1" si="15"/>
        <v>0</v>
      </c>
      <c r="BK107" s="855">
        <f t="shared" ca="1" si="16"/>
        <v>0</v>
      </c>
      <c r="BL107" s="855">
        <f t="shared" ca="1" si="17"/>
        <v>0</v>
      </c>
      <c r="BM107" s="855">
        <f t="shared" ca="1" si="18"/>
        <v>0</v>
      </c>
      <c r="BN107" s="1163"/>
      <c r="BO107" s="1163"/>
      <c r="BP107" s="1163"/>
      <c r="BS107" s="973" t="s">
        <v>2066</v>
      </c>
    </row>
    <row r="108" spans="2:75" ht="14.65" hidden="1" customHeight="1" x14ac:dyDescent="0.15">
      <c r="E108" s="626">
        <v>15</v>
      </c>
      <c r="F108" s="3" cm="1">
        <f t="array" aca="1" ref="F108" ca="1">OFFSET(E108,-1,1)</f>
        <v>0</v>
      </c>
      <c r="G108" s="77" t="s">
        <v>1431</v>
      </c>
      <c r="I108" s="77" t="s">
        <v>2067</v>
      </c>
      <c r="K108" s="77" t="s">
        <v>2067</v>
      </c>
      <c r="L108" s="889"/>
      <c r="M108" s="26"/>
      <c r="T108" s="388" t="b" cm="1">
        <f t="array" aca="1" ref="T108" ca="1">T107</f>
        <v>0</v>
      </c>
      <c r="X108" s="2032"/>
      <c r="Z108" s="2012"/>
      <c r="AB108" s="217" t="s">
        <v>2068</v>
      </c>
      <c r="AC108" s="682" t="s">
        <v>1431</v>
      </c>
      <c r="AD108" s="218" t="s">
        <v>831</v>
      </c>
      <c r="AE108" s="1162"/>
      <c r="AF108" s="1162"/>
      <c r="AG108" s="1162"/>
      <c r="AH108" s="855">
        <f t="shared" si="7"/>
        <v>0</v>
      </c>
      <c r="AI108" s="1160"/>
      <c r="AJ108" s="1568"/>
      <c r="AK108" s="1160"/>
      <c r="AL108" s="1160"/>
      <c r="AM108" s="1160"/>
      <c r="AN108" s="1160"/>
      <c r="AO108" s="1160"/>
      <c r="AP108" s="1160"/>
      <c r="AQ108" s="1160"/>
      <c r="AR108" s="1160"/>
      <c r="AS108" s="1160"/>
      <c r="AT108" s="1568"/>
      <c r="AU108" s="1160"/>
      <c r="AV108" s="1160"/>
      <c r="AW108" s="1160"/>
      <c r="AX108" s="1160"/>
      <c r="AY108" s="1160"/>
      <c r="AZ108" s="1160"/>
      <c r="BA108" s="1160"/>
      <c r="BB108" s="1160"/>
      <c r="BC108" s="1160"/>
      <c r="BD108" s="855">
        <f t="shared" si="9"/>
        <v>0</v>
      </c>
      <c r="BE108" s="855">
        <f t="shared" si="10"/>
        <v>0</v>
      </c>
      <c r="BF108" s="855">
        <f t="shared" si="11"/>
        <v>0</v>
      </c>
      <c r="BG108" s="855">
        <f t="shared" si="12"/>
        <v>0</v>
      </c>
      <c r="BH108" s="855">
        <f t="shared" si="13"/>
        <v>0</v>
      </c>
      <c r="BI108" s="855">
        <f t="shared" si="14"/>
        <v>0</v>
      </c>
      <c r="BJ108" s="855">
        <f t="shared" si="15"/>
        <v>0</v>
      </c>
      <c r="BK108" s="855">
        <f t="shared" si="16"/>
        <v>0</v>
      </c>
      <c r="BL108" s="855">
        <f t="shared" si="17"/>
        <v>0</v>
      </c>
      <c r="BM108" s="855">
        <f t="shared" si="18"/>
        <v>0</v>
      </c>
      <c r="BN108" s="1163"/>
      <c r="BO108" s="1163"/>
      <c r="BP108" s="1163"/>
      <c r="BS108" s="973" t="s">
        <v>1798</v>
      </c>
    </row>
    <row r="109" spans="2:75" ht="14.65" hidden="1" customHeight="1" x14ac:dyDescent="0.15">
      <c r="E109" s="626">
        <v>15</v>
      </c>
      <c r="F109" s="3" cm="1">
        <f t="array" aca="1" ref="F109" ca="1">OFFSET(E109,-1,1)</f>
        <v>0</v>
      </c>
      <c r="G109" s="77" t="s">
        <v>1436</v>
      </c>
      <c r="I109" s="77" t="s">
        <v>2069</v>
      </c>
      <c r="K109" s="77" t="s">
        <v>2069</v>
      </c>
      <c r="L109" s="889"/>
      <c r="M109" s="26"/>
      <c r="T109" s="388" t="b" cm="1">
        <f t="array" aca="1" ref="T109" ca="1">T108</f>
        <v>0</v>
      </c>
      <c r="X109" s="2032"/>
      <c r="Z109" s="2012"/>
      <c r="AB109" s="217" t="s">
        <v>1503</v>
      </c>
      <c r="AC109" s="682" t="s">
        <v>1436</v>
      </c>
      <c r="AD109" s="218" t="s">
        <v>831</v>
      </c>
      <c r="AE109" s="1162"/>
      <c r="AF109" s="1162"/>
      <c r="AG109" s="1162"/>
      <c r="AH109" s="855">
        <f t="shared" si="7"/>
        <v>0</v>
      </c>
      <c r="AI109" s="1160"/>
      <c r="AJ109" s="1568"/>
      <c r="AK109" s="1160"/>
      <c r="AL109" s="1160"/>
      <c r="AM109" s="1160"/>
      <c r="AN109" s="1160"/>
      <c r="AO109" s="1160"/>
      <c r="AP109" s="1160"/>
      <c r="AQ109" s="1160"/>
      <c r="AR109" s="1160"/>
      <c r="AS109" s="1160"/>
      <c r="AT109" s="1568"/>
      <c r="AU109" s="1160"/>
      <c r="AV109" s="1160"/>
      <c r="AW109" s="1160"/>
      <c r="AX109" s="1160"/>
      <c r="AY109" s="1160"/>
      <c r="AZ109" s="1160"/>
      <c r="BA109" s="1160"/>
      <c r="BB109" s="1160"/>
      <c r="BC109" s="1160"/>
      <c r="BD109" s="855">
        <f t="shared" si="9"/>
        <v>0</v>
      </c>
      <c r="BE109" s="855">
        <f t="shared" si="10"/>
        <v>0</v>
      </c>
      <c r="BF109" s="855">
        <f t="shared" si="11"/>
        <v>0</v>
      </c>
      <c r="BG109" s="855">
        <f t="shared" si="12"/>
        <v>0</v>
      </c>
      <c r="BH109" s="855">
        <f t="shared" si="13"/>
        <v>0</v>
      </c>
      <c r="BI109" s="855">
        <f t="shared" si="14"/>
        <v>0</v>
      </c>
      <c r="BJ109" s="855">
        <f t="shared" si="15"/>
        <v>0</v>
      </c>
      <c r="BK109" s="855">
        <f t="shared" si="16"/>
        <v>0</v>
      </c>
      <c r="BL109" s="855">
        <f t="shared" si="17"/>
        <v>0</v>
      </c>
      <c r="BM109" s="855">
        <f t="shared" si="18"/>
        <v>0</v>
      </c>
      <c r="BN109" s="1163"/>
      <c r="BO109" s="1163"/>
      <c r="BP109" s="1163"/>
      <c r="BS109" s="973" t="s">
        <v>2070</v>
      </c>
    </row>
    <row r="110" spans="2:75" ht="14.65" hidden="1" customHeight="1" x14ac:dyDescent="0.15">
      <c r="E110" s="626">
        <v>15</v>
      </c>
      <c r="F110" s="3" cm="1">
        <f t="array" aca="1" ref="F110" ca="1">OFFSET(E110,-1,1)</f>
        <v>0</v>
      </c>
      <c r="G110" s="77" t="s">
        <v>1441</v>
      </c>
      <c r="I110" s="77" t="s">
        <v>2071</v>
      </c>
      <c r="K110" s="77" t="s">
        <v>2071</v>
      </c>
      <c r="L110" s="889"/>
      <c r="M110" s="26"/>
      <c r="T110" s="388" t="b" cm="1">
        <f t="array" aca="1" ref="T110" ca="1">T109</f>
        <v>0</v>
      </c>
      <c r="X110" s="2032"/>
      <c r="Z110" s="2012"/>
      <c r="AB110" s="217" t="s">
        <v>1507</v>
      </c>
      <c r="AC110" s="682" t="s">
        <v>1441</v>
      </c>
      <c r="AD110" s="218" t="s">
        <v>831</v>
      </c>
      <c r="AE110" s="269">
        <f>SUM(AE111,AE112)</f>
        <v>0</v>
      </c>
      <c r="AF110" s="177">
        <f>SUM(AF111,AF112)</f>
        <v>0</v>
      </c>
      <c r="AG110" s="177">
        <f>SUM(AG111,AG112)</f>
        <v>0</v>
      </c>
      <c r="AH110" s="855">
        <f t="shared" si="7"/>
        <v>0</v>
      </c>
      <c r="AI110" s="855">
        <f t="shared" ref="AI110:BC110" si="21">SUM(AI111,AI112)</f>
        <v>0</v>
      </c>
      <c r="AJ110" s="856">
        <f t="shared" si="21"/>
        <v>0</v>
      </c>
      <c r="AK110" s="855">
        <f t="shared" si="21"/>
        <v>0</v>
      </c>
      <c r="AL110" s="855">
        <f t="shared" si="21"/>
        <v>0</v>
      </c>
      <c r="AM110" s="855">
        <f t="shared" si="21"/>
        <v>0</v>
      </c>
      <c r="AN110" s="855">
        <f t="shared" si="21"/>
        <v>0</v>
      </c>
      <c r="AO110" s="855">
        <f t="shared" si="21"/>
        <v>0</v>
      </c>
      <c r="AP110" s="855">
        <f t="shared" si="21"/>
        <v>0</v>
      </c>
      <c r="AQ110" s="855">
        <f t="shared" si="21"/>
        <v>0</v>
      </c>
      <c r="AR110" s="855">
        <f t="shared" si="21"/>
        <v>0</v>
      </c>
      <c r="AS110" s="855">
        <f t="shared" si="21"/>
        <v>0</v>
      </c>
      <c r="AT110" s="856">
        <f t="shared" si="21"/>
        <v>0</v>
      </c>
      <c r="AU110" s="855">
        <f t="shared" si="21"/>
        <v>0</v>
      </c>
      <c r="AV110" s="855">
        <f t="shared" si="21"/>
        <v>0</v>
      </c>
      <c r="AW110" s="855">
        <f t="shared" si="21"/>
        <v>0</v>
      </c>
      <c r="AX110" s="855">
        <f t="shared" si="21"/>
        <v>0</v>
      </c>
      <c r="AY110" s="855">
        <f t="shared" si="21"/>
        <v>0</v>
      </c>
      <c r="AZ110" s="855">
        <f t="shared" si="21"/>
        <v>0</v>
      </c>
      <c r="BA110" s="855">
        <f t="shared" si="21"/>
        <v>0</v>
      </c>
      <c r="BB110" s="855">
        <f t="shared" si="21"/>
        <v>0</v>
      </c>
      <c r="BC110" s="855">
        <f t="shared" si="21"/>
        <v>0</v>
      </c>
      <c r="BD110" s="855">
        <f t="shared" si="9"/>
        <v>0</v>
      </c>
      <c r="BE110" s="855">
        <f t="shared" si="10"/>
        <v>0</v>
      </c>
      <c r="BF110" s="855">
        <f t="shared" si="11"/>
        <v>0</v>
      </c>
      <c r="BG110" s="855">
        <f t="shared" si="12"/>
        <v>0</v>
      </c>
      <c r="BH110" s="855">
        <f t="shared" si="13"/>
        <v>0</v>
      </c>
      <c r="BI110" s="855">
        <f t="shared" si="14"/>
        <v>0</v>
      </c>
      <c r="BJ110" s="855">
        <f t="shared" si="15"/>
        <v>0</v>
      </c>
      <c r="BK110" s="855">
        <f t="shared" si="16"/>
        <v>0</v>
      </c>
      <c r="BL110" s="855">
        <f t="shared" si="17"/>
        <v>0</v>
      </c>
      <c r="BM110" s="855">
        <f t="shared" si="18"/>
        <v>0</v>
      </c>
      <c r="BN110" s="1163"/>
      <c r="BO110" s="1163"/>
      <c r="BP110" s="1163"/>
      <c r="BS110" s="973" t="s">
        <v>2072</v>
      </c>
    </row>
    <row r="111" spans="2:75" ht="14.65" hidden="1" customHeight="1" x14ac:dyDescent="0.15">
      <c r="E111" s="626">
        <v>15</v>
      </c>
      <c r="F111" s="3" cm="1">
        <f t="array" aca="1" ref="F111" ca="1">OFFSET(E111,-1,1)</f>
        <v>0</v>
      </c>
      <c r="I111" s="77" t="s">
        <v>2073</v>
      </c>
      <c r="K111" s="77" t="s">
        <v>2073</v>
      </c>
      <c r="L111" s="889"/>
      <c r="M111" s="26"/>
      <c r="T111" s="388" t="b" cm="1">
        <f t="array" aca="1" ref="T111" ca="1">T110</f>
        <v>0</v>
      </c>
      <c r="X111" s="2032"/>
      <c r="Z111" s="2012"/>
      <c r="AB111" s="217" t="s">
        <v>2074</v>
      </c>
      <c r="AC111" s="685" t="s">
        <v>2075</v>
      </c>
      <c r="AD111" s="218" t="s">
        <v>831</v>
      </c>
      <c r="AE111" s="1162"/>
      <c r="AF111" s="1162"/>
      <c r="AG111" s="1162"/>
      <c r="AH111" s="855">
        <f t="shared" si="7"/>
        <v>0</v>
      </c>
      <c r="AI111" s="1160"/>
      <c r="AJ111" s="1568"/>
      <c r="AK111" s="1160"/>
      <c r="AL111" s="1160"/>
      <c r="AM111" s="1160"/>
      <c r="AN111" s="1160"/>
      <c r="AO111" s="1160"/>
      <c r="AP111" s="1160"/>
      <c r="AQ111" s="1160"/>
      <c r="AR111" s="1160"/>
      <c r="AS111" s="1160"/>
      <c r="AT111" s="1568"/>
      <c r="AU111" s="1160"/>
      <c r="AV111" s="1160"/>
      <c r="AW111" s="1160"/>
      <c r="AX111" s="1160"/>
      <c r="AY111" s="1160"/>
      <c r="AZ111" s="1160"/>
      <c r="BA111" s="1160"/>
      <c r="BB111" s="1160"/>
      <c r="BC111" s="1160"/>
      <c r="BD111" s="855">
        <f t="shared" si="9"/>
        <v>0</v>
      </c>
      <c r="BE111" s="855">
        <f t="shared" si="10"/>
        <v>0</v>
      </c>
      <c r="BF111" s="855">
        <f t="shared" si="11"/>
        <v>0</v>
      </c>
      <c r="BG111" s="855">
        <f t="shared" si="12"/>
        <v>0</v>
      </c>
      <c r="BH111" s="855">
        <f t="shared" si="13"/>
        <v>0</v>
      </c>
      <c r="BI111" s="855">
        <f t="shared" si="14"/>
        <v>0</v>
      </c>
      <c r="BJ111" s="855">
        <f t="shared" si="15"/>
        <v>0</v>
      </c>
      <c r="BK111" s="855">
        <f t="shared" si="16"/>
        <v>0</v>
      </c>
      <c r="BL111" s="855">
        <f t="shared" si="17"/>
        <v>0</v>
      </c>
      <c r="BM111" s="855">
        <f t="shared" si="18"/>
        <v>0</v>
      </c>
      <c r="BN111" s="1163"/>
      <c r="BO111" s="1163"/>
      <c r="BP111" s="1163"/>
      <c r="BS111" s="973" t="s">
        <v>1222</v>
      </c>
    </row>
    <row r="112" spans="2:75" ht="14.65" hidden="1" customHeight="1" x14ac:dyDescent="0.15">
      <c r="E112" s="626">
        <v>15</v>
      </c>
      <c r="F112" s="3" cm="1">
        <f t="array" aca="1" ref="F112" ca="1">OFFSET(E112,-1,1)</f>
        <v>0</v>
      </c>
      <c r="I112" s="77" t="s">
        <v>2076</v>
      </c>
      <c r="K112" s="77" t="s">
        <v>2076</v>
      </c>
      <c r="L112" s="889" t="s">
        <v>922</v>
      </c>
      <c r="M112" s="26"/>
      <c r="T112" s="388" t="b" cm="1">
        <f t="array" aca="1" ref="T112" ca="1">T111</f>
        <v>0</v>
      </c>
      <c r="X112" s="2032"/>
      <c r="Z112" s="2012"/>
      <c r="AB112" s="217" t="s">
        <v>2077</v>
      </c>
      <c r="AC112" s="685" t="s">
        <v>2078</v>
      </c>
      <c r="AD112" s="218" t="s">
        <v>831</v>
      </c>
      <c r="AE112" s="1162"/>
      <c r="AF112" s="1162"/>
      <c r="AG112" s="1162"/>
      <c r="AH112" s="855">
        <f t="shared" si="7"/>
        <v>0</v>
      </c>
      <c r="AI112" s="1160"/>
      <c r="AJ112" s="1568"/>
      <c r="AK112" s="1160"/>
      <c r="AL112" s="1160"/>
      <c r="AM112" s="1160"/>
      <c r="AN112" s="1160"/>
      <c r="AO112" s="1160"/>
      <c r="AP112" s="1160"/>
      <c r="AQ112" s="1160"/>
      <c r="AR112" s="1160"/>
      <c r="AS112" s="1160"/>
      <c r="AT112" s="1568"/>
      <c r="AU112" s="1160"/>
      <c r="AV112" s="1160"/>
      <c r="AW112" s="1160"/>
      <c r="AX112" s="1160"/>
      <c r="AY112" s="1160"/>
      <c r="AZ112" s="1160"/>
      <c r="BA112" s="1160"/>
      <c r="BB112" s="1160"/>
      <c r="BC112" s="1160"/>
      <c r="BD112" s="855">
        <f t="shared" si="9"/>
        <v>0</v>
      </c>
      <c r="BE112" s="855">
        <f t="shared" si="10"/>
        <v>0</v>
      </c>
      <c r="BF112" s="855">
        <f t="shared" si="11"/>
        <v>0</v>
      </c>
      <c r="BG112" s="855">
        <f t="shared" si="12"/>
        <v>0</v>
      </c>
      <c r="BH112" s="855">
        <f t="shared" si="13"/>
        <v>0</v>
      </c>
      <c r="BI112" s="855">
        <f t="shared" si="14"/>
        <v>0</v>
      </c>
      <c r="BJ112" s="855">
        <f t="shared" si="15"/>
        <v>0</v>
      </c>
      <c r="BK112" s="855">
        <f t="shared" si="16"/>
        <v>0</v>
      </c>
      <c r="BL112" s="855">
        <f t="shared" si="17"/>
        <v>0</v>
      </c>
      <c r="BM112" s="855">
        <f t="shared" si="18"/>
        <v>0</v>
      </c>
      <c r="BN112" s="1163"/>
      <c r="BO112" s="1163"/>
      <c r="BP112" s="1163"/>
      <c r="BS112" s="973" t="s">
        <v>2079</v>
      </c>
    </row>
    <row r="113" spans="2:75" ht="21.95" hidden="1" customHeight="1" x14ac:dyDescent="0.15">
      <c r="E113" s="626">
        <v>22.5</v>
      </c>
      <c r="F113" s="3" cm="1">
        <f t="array" aca="1" ref="F113" ca="1">OFFSET(E113,-1,1)</f>
        <v>0</v>
      </c>
      <c r="G113" s="77" t="s">
        <v>1446</v>
      </c>
      <c r="I113" s="77" t="s">
        <v>2080</v>
      </c>
      <c r="K113" s="77" t="s">
        <v>2080</v>
      </c>
      <c r="L113" s="889"/>
      <c r="M113" s="26"/>
      <c r="T113" s="388" t="b" cm="1">
        <f t="array" aca="1" ref="T113" ca="1">T112</f>
        <v>0</v>
      </c>
      <c r="X113" s="2032"/>
      <c r="Z113" s="2012"/>
      <c r="AB113" s="217" t="s">
        <v>1510</v>
      </c>
      <c r="AC113" s="682" t="s">
        <v>2081</v>
      </c>
      <c r="AD113" s="218" t="s">
        <v>831</v>
      </c>
      <c r="AE113" s="1162"/>
      <c r="AF113" s="1162"/>
      <c r="AG113" s="1162"/>
      <c r="AH113" s="855">
        <f t="shared" si="7"/>
        <v>0</v>
      </c>
      <c r="AI113" s="1160"/>
      <c r="AJ113" s="1568"/>
      <c r="AK113" s="1160"/>
      <c r="AL113" s="1160"/>
      <c r="AM113" s="1160"/>
      <c r="AN113" s="1160"/>
      <c r="AO113" s="1160"/>
      <c r="AP113" s="1160"/>
      <c r="AQ113" s="1160"/>
      <c r="AR113" s="1160"/>
      <c r="AS113" s="1160"/>
      <c r="AT113" s="1568"/>
      <c r="AU113" s="1160"/>
      <c r="AV113" s="1160"/>
      <c r="AW113" s="1160"/>
      <c r="AX113" s="1160"/>
      <c r="AY113" s="1160"/>
      <c r="AZ113" s="1160"/>
      <c r="BA113" s="1160"/>
      <c r="BB113" s="1160"/>
      <c r="BC113" s="1160"/>
      <c r="BD113" s="855">
        <f t="shared" si="9"/>
        <v>0</v>
      </c>
      <c r="BE113" s="855">
        <f t="shared" si="10"/>
        <v>0</v>
      </c>
      <c r="BF113" s="855">
        <f t="shared" si="11"/>
        <v>0</v>
      </c>
      <c r="BG113" s="855">
        <f t="shared" si="12"/>
        <v>0</v>
      </c>
      <c r="BH113" s="855">
        <f t="shared" si="13"/>
        <v>0</v>
      </c>
      <c r="BI113" s="855">
        <f t="shared" si="14"/>
        <v>0</v>
      </c>
      <c r="BJ113" s="855">
        <f t="shared" si="15"/>
        <v>0</v>
      </c>
      <c r="BK113" s="855">
        <f t="shared" si="16"/>
        <v>0</v>
      </c>
      <c r="BL113" s="855">
        <f t="shared" si="17"/>
        <v>0</v>
      </c>
      <c r="BM113" s="855">
        <f t="shared" si="18"/>
        <v>0</v>
      </c>
      <c r="BN113" s="1163"/>
      <c r="BO113" s="1163"/>
      <c r="BP113" s="1163"/>
      <c r="BS113" s="973" t="s">
        <v>2082</v>
      </c>
    </row>
    <row r="114" spans="2:75" s="623" customFormat="1" ht="20.45" hidden="1" customHeight="1" x14ac:dyDescent="0.15">
      <c r="B114" s="357"/>
      <c r="E114" s="630">
        <v>21</v>
      </c>
      <c r="F114" s="3" cm="1">
        <f t="array" aca="1" ref="F114" ca="1">OFFSET(E114,-1,1)</f>
        <v>0</v>
      </c>
      <c r="G114" s="77" t="s">
        <v>2083</v>
      </c>
      <c r="H114" s="77"/>
      <c r="I114" s="77" t="s">
        <v>333</v>
      </c>
      <c r="K114" s="77" t="s">
        <v>333</v>
      </c>
      <c r="L114" s="894" t="s">
        <v>1301</v>
      </c>
      <c r="M114" s="28"/>
      <c r="T114" s="388" t="b" cm="1">
        <f t="array" aca="1" ref="T114" ca="1">T113</f>
        <v>0</v>
      </c>
      <c r="X114" s="2032"/>
      <c r="Z114" s="2012"/>
      <c r="AB114" s="137" t="s">
        <v>329</v>
      </c>
      <c r="AC114" s="131" t="s">
        <v>2084</v>
      </c>
      <c r="AD114" s="130" t="s">
        <v>831</v>
      </c>
      <c r="AE114" s="698">
        <f ca="1">SUMIFS(ЭЭ!AE$25:AE$117,ЭЭ!$F$25:$F$117,$F114,ЭЭ!$AC$25:$AC$117,"Всего по тарифу")</f>
        <v>0</v>
      </c>
      <c r="AF114" s="698">
        <f ca="1">SUMIFS(ЭЭ!AF$25:AF$117,ЭЭ!$F$25:$F$117,$F114,ЭЭ!$AC$25:$AC$117,"Всего по тарифу")</f>
        <v>0</v>
      </c>
      <c r="AG114" s="698">
        <f ca="1">SUMIFS(ЭЭ!AG$25:AG$117,ЭЭ!$F$25:$F$117,$F114,ЭЭ!$AC$25:$AC$117,"Всего по тарифу")</f>
        <v>0</v>
      </c>
      <c r="AH114" s="681">
        <f t="shared" ca="1" si="7"/>
        <v>0</v>
      </c>
      <c r="AI114" s="681">
        <f ca="1">SUMIFS(ЭЭ!AH$25:AH$117,ЭЭ!$F$25:$F$117,$F114,ЭЭ!$AC$25:$AC$117,"Всего по тарифу")</f>
        <v>0</v>
      </c>
      <c r="AJ114" s="681">
        <f ca="1">SUMIFS(ЭЭ!AI$25:AI$117,ЭЭ!$F$25:$F$117,$F114,ЭЭ!$AC$25:$AC$117,"Всего по тарифу")</f>
        <v>0</v>
      </c>
      <c r="AK114" s="681">
        <f ca="1">SUMIFS(ЭЭ!AJ$25:AJ$117,ЭЭ!$F$25:$F$117,$F114,ЭЭ!$AC$25:$AC$117,"Всего по тарифу")</f>
        <v>0</v>
      </c>
      <c r="AL114" s="681">
        <f ca="1">SUMIFS(ЭЭ!AK$25:AK$117,ЭЭ!$F$25:$F$117,$F114,ЭЭ!$AC$25:$AC$117,"Всего по тарифу")</f>
        <v>0</v>
      </c>
      <c r="AM114" s="681">
        <f ca="1">SUMIFS(ЭЭ!AL$25:AL$117,ЭЭ!$F$25:$F$117,$F114,ЭЭ!$AC$25:$AC$117,"Всего по тарифу")</f>
        <v>0</v>
      </c>
      <c r="AN114" s="681">
        <f ca="1">SUMIFS(ЭЭ!AM$25:AM$117,ЭЭ!$F$25:$F$117,$F114,ЭЭ!$AC$25:$AC$117,"Всего по тарифу")</f>
        <v>0</v>
      </c>
      <c r="AO114" s="681">
        <f ca="1">SUMIFS(ЭЭ!AN$25:AN$117,ЭЭ!$F$25:$F$117,$F114,ЭЭ!$AC$25:$AC$117,"Всего по тарифу")</f>
        <v>0</v>
      </c>
      <c r="AP114" s="681">
        <f ca="1">SUMIFS(ЭЭ!AO$25:AO$117,ЭЭ!$F$25:$F$117,$F114,ЭЭ!$AC$25:$AC$117,"Всего по тарифу")</f>
        <v>0</v>
      </c>
      <c r="AQ114" s="681">
        <f ca="1">SUMIFS(ЭЭ!AP$25:AP$117,ЭЭ!$F$25:$F$117,$F114,ЭЭ!$AC$25:$AC$117,"Всего по тарифу")</f>
        <v>0</v>
      </c>
      <c r="AR114" s="681">
        <f ca="1">SUMIFS(ЭЭ!AQ$25:AQ$117,ЭЭ!$F$25:$F$117,$F114,ЭЭ!$AC$25:$AC$117,"Всего по тарифу")</f>
        <v>0</v>
      </c>
      <c r="AS114" s="681">
        <f ca="1">SUMIFS(ЭЭ!AR$25:AR$117,ЭЭ!$F$25:$F$117,$F114,ЭЭ!$AC$25:$AC$117,"Всего по тарифу")</f>
        <v>0</v>
      </c>
      <c r="AT114" s="681">
        <f ca="1">SUMIFS(ЭЭ!AS$25:AS$117,ЭЭ!$F$25:$F$117,$F114,ЭЭ!$AC$25:$AC$117,"Всего по тарифу")</f>
        <v>0</v>
      </c>
      <c r="AU114" s="681">
        <f ca="1">SUMIFS(ЭЭ!AT$25:AT$117,ЭЭ!$F$25:$F$117,$F114,ЭЭ!$AC$25:$AC$117,"Всего по тарифу")</f>
        <v>0</v>
      </c>
      <c r="AV114" s="681">
        <f ca="1">SUMIFS(ЭЭ!AU$25:AU$117,ЭЭ!$F$25:$F$117,$F114,ЭЭ!$AC$25:$AC$117,"Всего по тарифу")</f>
        <v>0</v>
      </c>
      <c r="AW114" s="681">
        <f ca="1">SUMIFS(ЭЭ!AV$25:AV$117,ЭЭ!$F$25:$F$117,$F114,ЭЭ!$AC$25:$AC$117,"Всего по тарифу")</f>
        <v>0</v>
      </c>
      <c r="AX114" s="681">
        <f ca="1">SUMIFS(ЭЭ!AW$25:AW$117,ЭЭ!$F$25:$F$117,$F114,ЭЭ!$AC$25:$AC$117,"Всего по тарифу")</f>
        <v>0</v>
      </c>
      <c r="AY114" s="681">
        <f ca="1">SUMIFS(ЭЭ!AX$25:AX$117,ЭЭ!$F$25:$F$117,$F114,ЭЭ!$AC$25:$AC$117,"Всего по тарифу")</f>
        <v>0</v>
      </c>
      <c r="AZ114" s="681">
        <f ca="1">SUMIFS(ЭЭ!AY$25:AY$117,ЭЭ!$F$25:$F$117,$F114,ЭЭ!$AC$25:$AC$117,"Всего по тарифу")</f>
        <v>0</v>
      </c>
      <c r="BA114" s="681">
        <f ca="1">SUMIFS(ЭЭ!AZ$25:AZ$117,ЭЭ!$F$25:$F$117,$F114,ЭЭ!$AC$25:$AC$117,"Всего по тарифу")</f>
        <v>0</v>
      </c>
      <c r="BB114" s="681">
        <f ca="1">SUMIFS(ЭЭ!BA$25:BA$117,ЭЭ!$F$25:$F$117,$F114,ЭЭ!$AC$25:$AC$117,"Всего по тарифу")</f>
        <v>0</v>
      </c>
      <c r="BC114" s="681">
        <f ca="1">SUMIFS(ЭЭ!BB$25:BB$117,ЭЭ!$F$25:$F$117,$F114,ЭЭ!$AC$25:$AC$117,"Всего по тарифу")</f>
        <v>0</v>
      </c>
      <c r="BD114" s="681">
        <f t="shared" ca="1" si="9"/>
        <v>0</v>
      </c>
      <c r="BE114" s="681">
        <f t="shared" ca="1" si="10"/>
        <v>0</v>
      </c>
      <c r="BF114" s="681">
        <f t="shared" ca="1" si="11"/>
        <v>0</v>
      </c>
      <c r="BG114" s="681">
        <f t="shared" ca="1" si="12"/>
        <v>0</v>
      </c>
      <c r="BH114" s="681">
        <f t="shared" ca="1" si="13"/>
        <v>0</v>
      </c>
      <c r="BI114" s="681">
        <f t="shared" ca="1" si="14"/>
        <v>0</v>
      </c>
      <c r="BJ114" s="681">
        <f t="shared" ca="1" si="15"/>
        <v>0</v>
      </c>
      <c r="BK114" s="681">
        <f t="shared" ca="1" si="16"/>
        <v>0</v>
      </c>
      <c r="BL114" s="681">
        <f t="shared" ca="1" si="17"/>
        <v>0</v>
      </c>
      <c r="BM114" s="681">
        <f t="shared" ca="1" si="18"/>
        <v>0</v>
      </c>
      <c r="BN114" s="1163"/>
      <c r="BO114" s="1166" t="str">
        <f ca="1">IF(IFERROR(INDEX(ЭЭ!$K$26:$L$117,MATCH($F114&amp;"komm",ЭЭ!$K$26:$K$117,0),2),"")=0,"",IFERROR(INDEX(ЭЭ!$K$26:$L$117,MATCH($F114&amp;"komm",ЭЭ!$K$26:$K$117,0),2),""))</f>
        <v/>
      </c>
      <c r="BP114" s="1163"/>
      <c r="BS114" s="979" t="s">
        <v>1692</v>
      </c>
      <c r="BT114" s="979"/>
      <c r="BU114" s="979"/>
      <c r="BV114" s="630"/>
      <c r="BW114" s="630"/>
    </row>
    <row r="115" spans="2:75" s="623" customFormat="1" ht="21.95" hidden="1" customHeight="1" x14ac:dyDescent="0.15">
      <c r="B115" s="81" t="b">
        <f>method_reg="Метод индексации"</f>
        <v>1</v>
      </c>
      <c r="E115" s="630">
        <v>22.5</v>
      </c>
      <c r="F115" s="3" cm="1">
        <f t="array" aca="1" ref="F115" ca="1">OFFSET(E115,-1,1)</f>
        <v>0</v>
      </c>
      <c r="G115" s="77" t="s">
        <v>1468</v>
      </c>
      <c r="H115" s="77"/>
      <c r="I115" s="77" t="s">
        <v>335</v>
      </c>
      <c r="K115" s="77" t="s">
        <v>335</v>
      </c>
      <c r="L115" s="894" t="s">
        <v>334</v>
      </c>
      <c r="M115" s="28"/>
      <c r="T115" s="388" t="b" cm="1">
        <f t="array" aca="1" ref="T115" ca="1">T114</f>
        <v>0</v>
      </c>
      <c r="X115" s="2032"/>
      <c r="Z115" s="2012"/>
      <c r="AB115" s="137" t="s">
        <v>441</v>
      </c>
      <c r="AC115" s="131" t="s">
        <v>2085</v>
      </c>
      <c r="AD115" s="130" t="s">
        <v>831</v>
      </c>
      <c r="AE115" s="698">
        <f ca="1">SUMIFS(Амортизация!AE$25:AE$174,Амортизация!$F$25:$F$174,$F115,Амортизация!$AC$25:$AC$174,"Сумма амортизационных отчислений")</f>
        <v>0</v>
      </c>
      <c r="AF115" s="698">
        <f ca="1">SUMIFS(Амортизация!AF$25:AF$174,Амортизация!$F$25:$F$174,$F115,Амортизация!$AC$25:$AC$174,"Сумма амортизационных отчислений")</f>
        <v>0</v>
      </c>
      <c r="AG115" s="698">
        <f ca="1">SUMIFS(Амортизация!AG$25:AG$174,Амортизация!$F$25:$F$174,$F115,Амортизация!$AC$25:$AC$174,"Сумма амортизационных отчислений")</f>
        <v>0</v>
      </c>
      <c r="AH115" s="681">
        <f t="shared" ca="1" si="7"/>
        <v>0</v>
      </c>
      <c r="AI115" s="681">
        <f ca="1">SUMIFS(Амортизация!AH$25:AH$174,Амортизация!$F$25:$F$174,$F115,Амортизация!$AC$25:$AC$174,"Сумма амортизационных отчислений")</f>
        <v>0</v>
      </c>
      <c r="AJ115" s="681">
        <f ca="1">SUMIFS(Амортизация!AI$25:AI$174,Амортизация!$F$25:$F$174,$F115,Амортизация!$AC$25:$AC$174,"Сумма амортизационных отчислений")</f>
        <v>0</v>
      </c>
      <c r="AK115" s="681">
        <f ca="1">SUMIFS(Амортизация!AJ$25:AJ$174,Амортизация!$F$25:$F$174,$F115,Амортизация!$AC$25:$AC$174,"Сумма амортизационных отчислений")</f>
        <v>0</v>
      </c>
      <c r="AL115" s="681">
        <f ca="1">SUMIFS(Амортизация!AK$25:AK$174,Амортизация!$F$25:$F$174,$F115,Амортизация!$AC$25:$AC$174,"Сумма амортизационных отчислений")</f>
        <v>0</v>
      </c>
      <c r="AM115" s="681">
        <f ca="1">SUMIFS(Амортизация!AL$25:AL$174,Амортизация!$F$25:$F$174,$F115,Амортизация!$AC$25:$AC$174,"Сумма амортизационных отчислений")</f>
        <v>0</v>
      </c>
      <c r="AN115" s="681">
        <f ca="1">SUMIFS(Амортизация!AM$25:AM$174,Амортизация!$F$25:$F$174,$F115,Амортизация!$AC$25:$AC$174,"Сумма амортизационных отчислений")</f>
        <v>0</v>
      </c>
      <c r="AO115" s="681">
        <f ca="1">SUMIFS(Амортизация!AN$25:AN$174,Амортизация!$F$25:$F$174,$F115,Амортизация!$AC$25:$AC$174,"Сумма амортизационных отчислений")</f>
        <v>0</v>
      </c>
      <c r="AP115" s="681">
        <f ca="1">SUMIFS(Амортизация!AO$25:AO$174,Амортизация!$F$25:$F$174,$F115,Амортизация!$AC$25:$AC$174,"Сумма амортизационных отчислений")</f>
        <v>0</v>
      </c>
      <c r="AQ115" s="681">
        <f ca="1">SUMIFS(Амортизация!AP$25:AP$174,Амортизация!$F$25:$F$174,$F115,Амортизация!$AC$25:$AC$174,"Сумма амортизационных отчислений")</f>
        <v>0</v>
      </c>
      <c r="AR115" s="681">
        <f ca="1">SUMIFS(Амортизация!AQ$25:AQ$174,Амортизация!$F$25:$F$174,$F115,Амортизация!$AC$25:$AC$174,"Сумма амортизационных отчислений")</f>
        <v>0</v>
      </c>
      <c r="AS115" s="681">
        <f ca="1">SUMIFS(Амортизация!AR$25:AR$174,Амортизация!$F$25:$F$174,$F115,Амортизация!$AC$25:$AC$174,"Сумма амортизационных отчислений")</f>
        <v>0</v>
      </c>
      <c r="AT115" s="681">
        <f ca="1">SUMIFS(Амортизация!AS$25:AS$174,Амортизация!$F$25:$F$174,$F115,Амортизация!$AC$25:$AC$174,"Сумма амортизационных отчислений")</f>
        <v>0</v>
      </c>
      <c r="AU115" s="681">
        <f ca="1">SUMIFS(Амортизация!AT$25:AT$174,Амортизация!$F$25:$F$174,$F115,Амортизация!$AC$25:$AC$174,"Сумма амортизационных отчислений")</f>
        <v>0</v>
      </c>
      <c r="AV115" s="681">
        <f ca="1">SUMIFS(Амортизация!AU$25:AU$174,Амортизация!$F$25:$F$174,$F115,Амортизация!$AC$25:$AC$174,"Сумма амортизационных отчислений")</f>
        <v>0</v>
      </c>
      <c r="AW115" s="681">
        <f ca="1">SUMIFS(Амортизация!AV$25:AV$174,Амортизация!$F$25:$F$174,$F115,Амортизация!$AC$25:$AC$174,"Сумма амортизационных отчислений")</f>
        <v>0</v>
      </c>
      <c r="AX115" s="681">
        <f ca="1">SUMIFS(Амортизация!AW$25:AW$174,Амортизация!$F$25:$F$174,$F115,Амортизация!$AC$25:$AC$174,"Сумма амортизационных отчислений")</f>
        <v>0</v>
      </c>
      <c r="AY115" s="681">
        <f ca="1">SUMIFS(Амортизация!AX$25:AX$174,Амортизация!$F$25:$F$174,$F115,Амортизация!$AC$25:$AC$174,"Сумма амортизационных отчислений")</f>
        <v>0</v>
      </c>
      <c r="AZ115" s="681">
        <f ca="1">SUMIFS(Амортизация!AY$25:AY$174,Амортизация!$F$25:$F$174,$F115,Амортизация!$AC$25:$AC$174,"Сумма амортизационных отчислений")</f>
        <v>0</v>
      </c>
      <c r="BA115" s="681">
        <f ca="1">SUMIFS(Амортизация!AZ$25:AZ$174,Амортизация!$F$25:$F$174,$F115,Амортизация!$AC$25:$AC$174,"Сумма амортизационных отчислений")</f>
        <v>0</v>
      </c>
      <c r="BB115" s="681">
        <f ca="1">SUMIFS(Амортизация!BA$25:BA$174,Амортизация!$F$25:$F$174,$F115,Амортизация!$AC$25:$AC$174,"Сумма амортизационных отчислений")</f>
        <v>0</v>
      </c>
      <c r="BC115" s="681">
        <f ca="1">SUMIFS(Амортизация!BB$25:BB$174,Амортизация!$F$25:$F$174,$F115,Амортизация!$AC$25:$AC$174,"Сумма амортизационных отчислений")</f>
        <v>0</v>
      </c>
      <c r="BD115" s="681">
        <f t="shared" ca="1" si="9"/>
        <v>0</v>
      </c>
      <c r="BE115" s="681">
        <f t="shared" ca="1" si="10"/>
        <v>0</v>
      </c>
      <c r="BF115" s="681">
        <f t="shared" ca="1" si="11"/>
        <v>0</v>
      </c>
      <c r="BG115" s="681">
        <f t="shared" ca="1" si="12"/>
        <v>0</v>
      </c>
      <c r="BH115" s="681">
        <f t="shared" ca="1" si="13"/>
        <v>0</v>
      </c>
      <c r="BI115" s="681">
        <f t="shared" ca="1" si="14"/>
        <v>0</v>
      </c>
      <c r="BJ115" s="681">
        <f t="shared" ca="1" si="15"/>
        <v>0</v>
      </c>
      <c r="BK115" s="681">
        <f t="shared" ca="1" si="16"/>
        <v>0</v>
      </c>
      <c r="BL115" s="681">
        <f t="shared" ca="1" si="17"/>
        <v>0</v>
      </c>
      <c r="BM115" s="681">
        <f t="shared" ca="1" si="18"/>
        <v>0</v>
      </c>
      <c r="BN115" s="1163"/>
      <c r="BO115" s="1161" t="str">
        <f ca="1">IF(IFERROR(INDEX(Амортизация!$K$26:$L$174,MATCH($F115&amp;"komm",Амортизация!$K$26:$K$174,0),2),"")=0,"",IFERROR(INDEX(Амортизация!$K$26:$L$174,MATCH($F115&amp;"komm",Амортизация!$K$26:$K$174,0),2),""))</f>
        <v/>
      </c>
      <c r="BP115" s="1163"/>
      <c r="BS115" s="979" t="s">
        <v>1199</v>
      </c>
      <c r="BT115" s="979"/>
      <c r="BU115" s="979"/>
      <c r="BV115" s="630"/>
      <c r="BW115" s="630"/>
    </row>
    <row r="116" spans="2:75" ht="14.65" hidden="1" customHeight="1" x14ac:dyDescent="0.15">
      <c r="B116" s="354" t="b" cm="1">
        <f t="array" ref="B116">B115</f>
        <v>1</v>
      </c>
      <c r="E116" s="626">
        <v>15</v>
      </c>
      <c r="F116" s="3" cm="1">
        <f t="array" aca="1" ref="F116" ca="1">OFFSET(E116,-1,1)</f>
        <v>0</v>
      </c>
      <c r="I116" s="77" t="s">
        <v>565</v>
      </c>
      <c r="K116" s="77" t="s">
        <v>565</v>
      </c>
      <c r="L116" s="889" t="s">
        <v>579</v>
      </c>
      <c r="M116" s="26"/>
      <c r="T116" s="388" t="b" cm="1">
        <f t="array" aca="1" ref="T116" ca="1">T115</f>
        <v>0</v>
      </c>
      <c r="X116" s="2032"/>
      <c r="Z116" s="2012"/>
      <c r="AB116" s="217" t="s">
        <v>700</v>
      </c>
      <c r="AC116" s="682" t="s">
        <v>1785</v>
      </c>
      <c r="AD116" s="218" t="s">
        <v>831</v>
      </c>
      <c r="AE116" s="1162">
        <f ca="1">SUMIFS('ИП + источники'!AF$27:AF$116,'ИП + источники'!$F$27:$F$116,$F116,'ИП + источники'!$AC$27:$AC$116,"Амортизационные отчисления")+SUMIFS('ИП + источники'!AF$27:AF$116,'ИП + источники'!$F$27:$F$116,$F116,'ИП + источники'!$AC$27:$AC$116,"погашение займов и кредитов из амортизации")</f>
        <v>0</v>
      </c>
      <c r="AF116" s="1162">
        <f ca="1">SUMIFS('ИП + источники'!AG$27:AG$116,'ИП + источники'!$F$27:$F$116,$F116,'ИП + источники'!$AC$27:$AC$116,"Амортизационные отчисления")+SUMIFS('ИП + источники'!AG$27:AG$116,'ИП + источники'!$F$27:$F$116,$F116,'ИП + источники'!$AC$27:$AC$116,"погашение займов и кредитов из амортизации")</f>
        <v>0</v>
      </c>
      <c r="AG116" s="1162">
        <f ca="1">SUMIFS('ИП + источники'!AH$27:AH$116,'ИП + источники'!$F$27:$F$116,$F116,'ИП + источники'!$AC$27:$AC$116,"Амортизационные отчисления")+SUMIFS('ИП + источники'!AH$27:AH$116,'ИП + источники'!$F$27:$F$116,$F116,'ИП + источники'!$AC$27:$AC$116,"погашение займов и кредитов из амортизации")</f>
        <v>0</v>
      </c>
      <c r="AH116" s="855">
        <f t="shared" ca="1" si="7"/>
        <v>0</v>
      </c>
      <c r="AI116" s="1160">
        <f ca="1">SUMIFS('ИП + источники'!AJ$27:AJ$116,'ИП + источники'!$F$27:$F$116,$F116,'ИП + источники'!$AC$27:$AC$116,"Амортизационные отчисления")+SUMIFS('ИП + источники'!AJ$27:AJ$116,'ИП + источники'!$F$27:$F$116,$F116,'ИП + источники'!$AC$27:$AC$116,"погашение займов и кредитов из амортизации")</f>
        <v>0</v>
      </c>
      <c r="AJ116" s="1568">
        <f ca="1">SUMIFS('ИП + источники'!AK$27:AK$116,'ИП + источники'!$F$27:$F$116,$F116,'ИП + источники'!$AC$27:$AC$116,"Амортизационные отчисления")+SUMIFS('ИП + источники'!AK$27:AK$116,'ИП + источники'!$F$27:$F$116,$F116,'ИП + источники'!$AC$27:$AC$116,"погашение займов и кредитов из амортизации")</f>
        <v>0</v>
      </c>
      <c r="AK116" s="1160">
        <f ca="1">SUMIFS('ИП + источники'!AL$27:AL$116,'ИП + источники'!$F$27:$F$116,$F116,'ИП + источники'!$AC$27:$AC$116,"Амортизационные отчисления")+SUMIFS('ИП + источники'!AL$27:AL$116,'ИП + источники'!$F$27:$F$116,$F116,'ИП + источники'!$AC$27:$AC$116,"погашение займов и кредитов из амортизации")</f>
        <v>0</v>
      </c>
      <c r="AL116" s="1160">
        <f ca="1">SUMIFS('ИП + источники'!AM$27:AM$116,'ИП + источники'!$F$27:$F$116,$F116,'ИП + источники'!$AC$27:$AC$116,"Амортизационные отчисления")+SUMIFS('ИП + источники'!AM$27:AM$116,'ИП + источники'!$F$27:$F$116,$F116,'ИП + источники'!$AC$27:$AC$116,"погашение займов и кредитов из амортизации")</f>
        <v>0</v>
      </c>
      <c r="AM116" s="1160">
        <f ca="1">SUMIFS('ИП + источники'!AN$27:AN$116,'ИП + источники'!$F$27:$F$116,$F116,'ИП + источники'!$AC$27:$AC$116,"Амортизационные отчисления")+SUMIFS('ИП + источники'!AN$27:AN$116,'ИП + источники'!$F$27:$F$116,$F116,'ИП + источники'!$AC$27:$AC$116,"погашение займов и кредитов из амортизации")</f>
        <v>0</v>
      </c>
      <c r="AN116" s="1160">
        <f ca="1">SUMIFS('ИП + источники'!AO$27:AO$116,'ИП + источники'!$F$27:$F$116,$F116,'ИП + источники'!$AC$27:$AC$116,"Амортизационные отчисления")+SUMIFS('ИП + источники'!AO$27:AO$116,'ИП + источники'!$F$27:$F$116,$F116,'ИП + источники'!$AC$27:$AC$116,"погашение займов и кредитов из амортизации")</f>
        <v>0</v>
      </c>
      <c r="AO116" s="1160">
        <f ca="1">SUMIFS('ИП + источники'!AP$27:AP$116,'ИП + источники'!$F$27:$F$116,$F116,'ИП + источники'!$AC$27:$AC$116,"Амортизационные отчисления")+SUMIFS('ИП + источники'!AP$27:AP$116,'ИП + источники'!$F$27:$F$116,$F116,'ИП + источники'!$AC$27:$AC$116,"погашение займов и кредитов из амортизации")</f>
        <v>0</v>
      </c>
      <c r="AP116" s="1160">
        <f ca="1">SUMIFS('ИП + источники'!AQ$27:AQ$116,'ИП + источники'!$F$27:$F$116,$F116,'ИП + источники'!$AC$27:$AC$116,"Амортизационные отчисления")+SUMIFS('ИП + источники'!AQ$27:AQ$116,'ИП + источники'!$F$27:$F$116,$F116,'ИП + источники'!$AC$27:$AC$116,"погашение займов и кредитов из амортизации")</f>
        <v>0</v>
      </c>
      <c r="AQ116" s="1160">
        <f ca="1">SUMIFS('ИП + источники'!AR$27:AR$116,'ИП + источники'!$F$27:$F$116,$F116,'ИП + источники'!$AC$27:$AC$116,"Амортизационные отчисления")+SUMIFS('ИП + источники'!AR$27:AR$116,'ИП + источники'!$F$27:$F$116,$F116,'ИП + источники'!$AC$27:$AC$116,"погашение займов и кредитов из амортизации")</f>
        <v>0</v>
      </c>
      <c r="AR116" s="1160">
        <f ca="1">SUMIFS('ИП + источники'!AS$27:AS$116,'ИП + источники'!$F$27:$F$116,$F116,'ИП + источники'!$AC$27:$AC$116,"Амортизационные отчисления")+SUMIFS('ИП + источники'!AS$27:AS$116,'ИП + источники'!$F$27:$F$116,$F116,'ИП + источники'!$AC$27:$AC$116,"погашение займов и кредитов из амортизации")</f>
        <v>0</v>
      </c>
      <c r="AS116" s="1160">
        <f ca="1">SUMIFS('ИП + источники'!AT$27:AT$116,'ИП + источники'!$F$27:$F$116,$F116,'ИП + источники'!$AC$27:$AC$116,"Амортизационные отчисления")+SUMIFS('ИП + источники'!AT$27:AT$116,'ИП + источники'!$F$27:$F$116,$F116,'ИП + источники'!$AC$27:$AC$116,"погашение займов и кредитов из амортизации")</f>
        <v>0</v>
      </c>
      <c r="AT116" s="1568">
        <f ca="1">SUMIFS('ИП + источники'!AU$27:AU$116,'ИП + источники'!$F$27:$F$116,$F116,'ИП + источники'!$AC$27:$AC$116,"Амортизационные отчисления")+SUMIFS('ИП + источники'!AU$27:AU$116,'ИП + источники'!$F$27:$F$116,$F116,'ИП + источники'!$AC$27:$AC$116,"погашение займов и кредитов из амортизации")</f>
        <v>0</v>
      </c>
      <c r="AU116" s="1160">
        <f ca="1">SUMIFS('ИП + источники'!AV$27:AV$116,'ИП + источники'!$F$27:$F$116,$F116,'ИП + источники'!$AC$27:$AC$116,"Амортизационные отчисления")+SUMIFS('ИП + источники'!AV$27:AV$116,'ИП + источники'!$F$27:$F$116,$F116,'ИП + источники'!$AC$27:$AC$116,"погашение займов и кредитов из амортизации")</f>
        <v>0</v>
      </c>
      <c r="AV116" s="1160">
        <f ca="1">SUMIFS('ИП + источники'!AW$27:AW$116,'ИП + источники'!$F$27:$F$116,$F116,'ИП + источники'!$AC$27:$AC$116,"Амортизационные отчисления")+SUMIFS('ИП + источники'!AW$27:AW$116,'ИП + источники'!$F$27:$F$116,$F116,'ИП + источники'!$AC$27:$AC$116,"погашение займов и кредитов из амортизации")</f>
        <v>0</v>
      </c>
      <c r="AW116" s="1160">
        <f ca="1">SUMIFS('ИП + источники'!AX$27:AX$116,'ИП + источники'!$F$27:$F$116,$F116,'ИП + источники'!$AC$27:$AC$116,"Амортизационные отчисления")+SUMIFS('ИП + источники'!AX$27:AX$116,'ИП + источники'!$F$27:$F$116,$F116,'ИП + источники'!$AC$27:$AC$116,"погашение займов и кредитов из амортизации")</f>
        <v>0</v>
      </c>
      <c r="AX116" s="1160">
        <f ca="1">SUMIFS('ИП + источники'!AY$27:AY$116,'ИП + источники'!$F$27:$F$116,$F116,'ИП + источники'!$AC$27:$AC$116,"Амортизационные отчисления")+SUMIFS('ИП + источники'!AY$27:AY$116,'ИП + источники'!$F$27:$F$116,$F116,'ИП + источники'!$AC$27:$AC$116,"погашение займов и кредитов из амортизации")</f>
        <v>0</v>
      </c>
      <c r="AY116" s="1160">
        <f ca="1">SUMIFS('ИП + источники'!AZ$27:AZ$116,'ИП + источники'!$F$27:$F$116,$F116,'ИП + источники'!$AC$27:$AC$116,"Амортизационные отчисления")+SUMIFS('ИП + источники'!AZ$27:AZ$116,'ИП + источники'!$F$27:$F$116,$F116,'ИП + источники'!$AC$27:$AC$116,"погашение займов и кредитов из амортизации")</f>
        <v>0</v>
      </c>
      <c r="AZ116" s="1160">
        <f ca="1">SUMIFS('ИП + источники'!BA$27:BA$116,'ИП + источники'!$F$27:$F$116,$F116,'ИП + источники'!$AC$27:$AC$116,"Амортизационные отчисления")+SUMIFS('ИП + источники'!BA$27:BA$116,'ИП + источники'!$F$27:$F$116,$F116,'ИП + источники'!$AC$27:$AC$116,"погашение займов и кредитов из амортизации")</f>
        <v>0</v>
      </c>
      <c r="BA116" s="1160">
        <f ca="1">SUMIFS('ИП + источники'!BB$27:BB$116,'ИП + источники'!$F$27:$F$116,$F116,'ИП + источники'!$AC$27:$AC$116,"Амортизационные отчисления")+SUMIFS('ИП + источники'!BB$27:BB$116,'ИП + источники'!$F$27:$F$116,$F116,'ИП + источники'!$AC$27:$AC$116,"погашение займов и кредитов из амортизации")</f>
        <v>0</v>
      </c>
      <c r="BB116" s="1160">
        <f ca="1">SUMIFS('ИП + источники'!BC$27:BC$116,'ИП + источники'!$F$27:$F$116,$F116,'ИП + источники'!$AC$27:$AC$116,"Амортизационные отчисления")+SUMIFS('ИП + источники'!BC$27:BC$116,'ИП + источники'!$F$27:$F$116,$F116,'ИП + источники'!$AC$27:$AC$116,"погашение займов и кредитов из амортизации")</f>
        <v>0</v>
      </c>
      <c r="BC116" s="1160">
        <f ca="1">SUMIFS('ИП + источники'!BD$27:BD$116,'ИП + источники'!$F$27:$F$116,$F116,'ИП + источники'!$AC$27:$AC$116,"Амортизационные отчисления")+SUMIFS('ИП + источники'!BD$27:BD$116,'ИП + источники'!$F$27:$F$116,$F116,'ИП + источники'!$AC$27:$AC$116,"погашение займов и кредитов из амортизации")</f>
        <v>0</v>
      </c>
      <c r="BD116" s="855">
        <f t="shared" ca="1" si="9"/>
        <v>0</v>
      </c>
      <c r="BE116" s="855">
        <f t="shared" ca="1" si="10"/>
        <v>0</v>
      </c>
      <c r="BF116" s="855">
        <f t="shared" ca="1" si="11"/>
        <v>0</v>
      </c>
      <c r="BG116" s="855">
        <f t="shared" ca="1" si="12"/>
        <v>0</v>
      </c>
      <c r="BH116" s="855">
        <f t="shared" ca="1" si="13"/>
        <v>0</v>
      </c>
      <c r="BI116" s="855">
        <f t="shared" ca="1" si="14"/>
        <v>0</v>
      </c>
      <c r="BJ116" s="855">
        <f t="shared" ca="1" si="15"/>
        <v>0</v>
      </c>
      <c r="BK116" s="855">
        <f t="shared" ca="1" si="16"/>
        <v>0</v>
      </c>
      <c r="BL116" s="855">
        <f t="shared" ca="1" si="17"/>
        <v>0</v>
      </c>
      <c r="BM116" s="855">
        <f t="shared" ca="1" si="18"/>
        <v>0</v>
      </c>
      <c r="BN116" s="1163"/>
      <c r="BO116" s="1163"/>
      <c r="BP116" s="1163"/>
      <c r="BS116" s="973" t="s">
        <v>1786</v>
      </c>
    </row>
    <row r="117" spans="2:75" s="623" customFormat="1" ht="20.45" hidden="1" customHeight="1" x14ac:dyDescent="0.25">
      <c r="B117" s="354" t="b" cm="1">
        <f t="array" ref="B117">B116</f>
        <v>1</v>
      </c>
      <c r="E117" s="630">
        <v>21</v>
      </c>
      <c r="F117" s="3" cm="1">
        <f t="array" aca="1" ref="F117" ca="1">OFFSET(E117,-1,1)</f>
        <v>0</v>
      </c>
      <c r="G117" s="77" t="s">
        <v>1472</v>
      </c>
      <c r="H117" s="77"/>
      <c r="I117" s="77" t="s">
        <v>334</v>
      </c>
      <c r="K117" s="77" t="s">
        <v>334</v>
      </c>
      <c r="L117" s="894" t="s">
        <v>591</v>
      </c>
      <c r="M117" s="28"/>
      <c r="T117" s="388" t="b" cm="1">
        <f t="array" aca="1" ref="T117" ca="1">T116</f>
        <v>0</v>
      </c>
      <c r="X117" s="2032"/>
      <c r="Z117" s="2012"/>
      <c r="AB117" s="137" t="s">
        <v>444</v>
      </c>
      <c r="AC117" s="131" t="s">
        <v>1472</v>
      </c>
      <c r="AD117" s="153" t="s">
        <v>831</v>
      </c>
      <c r="AE117" s="132">
        <f ca="1">AE118+AE119+AE120+AE121</f>
        <v>0</v>
      </c>
      <c r="AF117" s="132">
        <f ca="1">AF118+AF119+AF120+AF121</f>
        <v>0</v>
      </c>
      <c r="AG117" s="132">
        <f ca="1">AG118+AG119+AG120+AG121</f>
        <v>0</v>
      </c>
      <c r="AH117" s="690">
        <f t="shared" ca="1" si="7"/>
        <v>0</v>
      </c>
      <c r="AI117" s="690">
        <f t="shared" ref="AI117:BC117" ca="1" si="22">AI118+AI119+AI120+AI121</f>
        <v>0</v>
      </c>
      <c r="AJ117" s="690">
        <f t="shared" ca="1" si="22"/>
        <v>0</v>
      </c>
      <c r="AK117" s="690">
        <f t="shared" ca="1" si="22"/>
        <v>0</v>
      </c>
      <c r="AL117" s="690">
        <f t="shared" ca="1" si="22"/>
        <v>0</v>
      </c>
      <c r="AM117" s="690">
        <f t="shared" ca="1" si="22"/>
        <v>0</v>
      </c>
      <c r="AN117" s="690">
        <f t="shared" ca="1" si="22"/>
        <v>0</v>
      </c>
      <c r="AO117" s="690">
        <f t="shared" ca="1" si="22"/>
        <v>0</v>
      </c>
      <c r="AP117" s="690">
        <f t="shared" ca="1" si="22"/>
        <v>0</v>
      </c>
      <c r="AQ117" s="690">
        <f t="shared" ca="1" si="22"/>
        <v>0</v>
      </c>
      <c r="AR117" s="690">
        <f t="shared" ca="1" si="22"/>
        <v>0</v>
      </c>
      <c r="AS117" s="690">
        <f t="shared" ca="1" si="22"/>
        <v>0</v>
      </c>
      <c r="AT117" s="690">
        <f t="shared" ca="1" si="22"/>
        <v>0</v>
      </c>
      <c r="AU117" s="690">
        <f t="shared" ca="1" si="22"/>
        <v>0</v>
      </c>
      <c r="AV117" s="690">
        <f t="shared" ca="1" si="22"/>
        <v>0</v>
      </c>
      <c r="AW117" s="690">
        <f t="shared" ca="1" si="22"/>
        <v>0</v>
      </c>
      <c r="AX117" s="690">
        <f t="shared" ca="1" si="22"/>
        <v>0</v>
      </c>
      <c r="AY117" s="690">
        <f t="shared" ca="1" si="22"/>
        <v>0</v>
      </c>
      <c r="AZ117" s="690">
        <f t="shared" ca="1" si="22"/>
        <v>0</v>
      </c>
      <c r="BA117" s="690">
        <f t="shared" ca="1" si="22"/>
        <v>0</v>
      </c>
      <c r="BB117" s="690">
        <f t="shared" ca="1" si="22"/>
        <v>0</v>
      </c>
      <c r="BC117" s="690">
        <f t="shared" ca="1" si="22"/>
        <v>0</v>
      </c>
      <c r="BD117" s="681">
        <f t="shared" ca="1" si="9"/>
        <v>0</v>
      </c>
      <c r="BE117" s="681">
        <f t="shared" ca="1" si="10"/>
        <v>0</v>
      </c>
      <c r="BF117" s="681">
        <f t="shared" ca="1" si="11"/>
        <v>0</v>
      </c>
      <c r="BG117" s="681">
        <f t="shared" ca="1" si="12"/>
        <v>0</v>
      </c>
      <c r="BH117" s="681">
        <f t="shared" ca="1" si="13"/>
        <v>0</v>
      </c>
      <c r="BI117" s="681">
        <f t="shared" ca="1" si="14"/>
        <v>0</v>
      </c>
      <c r="BJ117" s="681">
        <f t="shared" ca="1" si="15"/>
        <v>0</v>
      </c>
      <c r="BK117" s="681">
        <f t="shared" ca="1" si="16"/>
        <v>0</v>
      </c>
      <c r="BL117" s="681">
        <f t="shared" ca="1" si="17"/>
        <v>0</v>
      </c>
      <c r="BM117" s="681">
        <f t="shared" ca="1" si="18"/>
        <v>0</v>
      </c>
      <c r="BN117" s="1163"/>
      <c r="BO117" s="1163"/>
      <c r="BP117" s="1163"/>
      <c r="BS117" s="972" t="s">
        <v>1476</v>
      </c>
      <c r="BT117" s="979"/>
      <c r="BU117" s="979"/>
      <c r="BV117" s="630"/>
      <c r="BW117" s="630"/>
    </row>
    <row r="118" spans="2:75" ht="14.65" hidden="1" customHeight="1" x14ac:dyDescent="0.15">
      <c r="B118" s="354" t="b" cm="1">
        <f t="array" ref="B118">B117</f>
        <v>1</v>
      </c>
      <c r="E118" s="626">
        <v>15</v>
      </c>
      <c r="F118" s="3" cm="1">
        <f t="array" aca="1" ref="F118" ca="1">OFFSET(E118,-1,1)</f>
        <v>0</v>
      </c>
      <c r="I118" s="77" t="s">
        <v>579</v>
      </c>
      <c r="K118" s="77" t="s">
        <v>579</v>
      </c>
      <c r="L118" s="889"/>
      <c r="M118" s="26"/>
      <c r="T118" s="388" t="b" cm="1">
        <f t="array" aca="1" ref="T118" ca="1">T117</f>
        <v>0</v>
      </c>
      <c r="X118" s="2032"/>
      <c r="Z118" s="2012"/>
      <c r="AB118" s="217" t="s">
        <v>707</v>
      </c>
      <c r="AC118" s="682" t="s">
        <v>2086</v>
      </c>
      <c r="AD118" s="218" t="s">
        <v>831</v>
      </c>
      <c r="AE118" s="1162">
        <f ca="1">SUMIFS('ИП + источники'!AF$27:AF$116,'ИП + источники'!$F$27:$F$116,$F118,'ИП + источники'!$AC$27:$AC$116,"погашение займов и кредитов из нормативной прибыли")</f>
        <v>0</v>
      </c>
      <c r="AF118" s="1162">
        <f ca="1">SUMIFS('ИП + источники'!AG$27:AG$116,'ИП + источники'!$F$27:$F$116,$F118,'ИП + источники'!$AC$27:$AC$116,"погашение займов и кредитов из нормативной прибыли")</f>
        <v>0</v>
      </c>
      <c r="AG118" s="1162">
        <f ca="1">SUMIFS('ИП + источники'!AH$27:AH$116,'ИП + источники'!$F$27:$F$116,$F118,'ИП + источники'!$AC$27:$AC$116,"погашение займов и кредитов из нормативной прибыли")</f>
        <v>0</v>
      </c>
      <c r="AH118" s="855">
        <f t="shared" ca="1" si="7"/>
        <v>0</v>
      </c>
      <c r="AI118" s="1160">
        <f ca="1">SUMIFS('ИП + источники'!AJ$27:AJ$116,'ИП + источники'!$F$27:$F$116,$F118,'ИП + источники'!$AC$27:$AC$116,"погашение займов и кредитов из нормативной прибыли")</f>
        <v>0</v>
      </c>
      <c r="AJ118" s="1568">
        <f ca="1">SUMIFS('ИП + источники'!AK$27:AK$116,'ИП + источники'!$F$27:$F$116,$F118,'ИП + источники'!$AC$27:$AC$116,"погашение займов и кредитов из нормативной прибыли")</f>
        <v>0</v>
      </c>
      <c r="AK118" s="1160">
        <f ca="1">SUMIFS('ИП + источники'!AL$27:AL$116,'ИП + источники'!$F$27:$F$116,$F118,'ИП + источники'!$AC$27:$AC$116,"погашение займов и кредитов из нормативной прибыли")</f>
        <v>0</v>
      </c>
      <c r="AL118" s="1160">
        <f ca="1">SUMIFS('ИП + источники'!AM$27:AM$116,'ИП + источники'!$F$27:$F$116,$F118,'ИП + источники'!$AC$27:$AC$116,"погашение займов и кредитов из нормативной прибыли")</f>
        <v>0</v>
      </c>
      <c r="AM118" s="1160">
        <f ca="1">SUMIFS('ИП + источники'!AN$27:AN$116,'ИП + источники'!$F$27:$F$116,$F118,'ИП + источники'!$AC$27:$AC$116,"погашение займов и кредитов из нормативной прибыли")</f>
        <v>0</v>
      </c>
      <c r="AN118" s="1160">
        <f ca="1">SUMIFS('ИП + источники'!AO$27:AO$116,'ИП + источники'!$F$27:$F$116,$F118,'ИП + источники'!$AC$27:$AC$116,"погашение займов и кредитов из нормативной прибыли")</f>
        <v>0</v>
      </c>
      <c r="AO118" s="1160">
        <f ca="1">SUMIFS('ИП + источники'!AP$27:AP$116,'ИП + источники'!$F$27:$F$116,$F118,'ИП + источники'!$AC$27:$AC$116,"погашение займов и кредитов из нормативной прибыли")</f>
        <v>0</v>
      </c>
      <c r="AP118" s="1160">
        <f ca="1">SUMIFS('ИП + источники'!AQ$27:AQ$116,'ИП + источники'!$F$27:$F$116,$F118,'ИП + источники'!$AC$27:$AC$116,"погашение займов и кредитов из нормативной прибыли")</f>
        <v>0</v>
      </c>
      <c r="AQ118" s="1160">
        <f ca="1">SUMIFS('ИП + источники'!AR$27:AR$116,'ИП + источники'!$F$27:$F$116,$F118,'ИП + источники'!$AC$27:$AC$116,"погашение займов и кредитов из нормативной прибыли")</f>
        <v>0</v>
      </c>
      <c r="AR118" s="1160">
        <f ca="1">SUMIFS('ИП + источники'!AS$27:AS$116,'ИП + источники'!$F$27:$F$116,$F118,'ИП + источники'!$AC$27:$AC$116,"погашение займов и кредитов из нормативной прибыли")</f>
        <v>0</v>
      </c>
      <c r="AS118" s="1160">
        <f ca="1">SUMIFS('ИП + источники'!AT$27:AT$116,'ИП + источники'!$F$27:$F$116,$F118,'ИП + источники'!$AC$27:$AC$116,"погашение займов и кредитов из нормативной прибыли")</f>
        <v>0</v>
      </c>
      <c r="AT118" s="1568">
        <f ca="1">SUMIFS('ИП + источники'!AU$27:AU$116,'ИП + источники'!$F$27:$F$116,$F118,'ИП + источники'!$AC$27:$AC$116,"погашение займов и кредитов из нормативной прибыли")</f>
        <v>0</v>
      </c>
      <c r="AU118" s="1160">
        <f ca="1">SUMIFS('ИП + источники'!AV$27:AV$116,'ИП + источники'!$F$27:$F$116,$F118,'ИП + источники'!$AC$27:$AC$116,"погашение займов и кредитов из нормативной прибыли")</f>
        <v>0</v>
      </c>
      <c r="AV118" s="1160">
        <f ca="1">SUMIFS('ИП + источники'!AW$27:AW$116,'ИП + источники'!$F$27:$F$116,$F118,'ИП + источники'!$AC$27:$AC$116,"погашение займов и кредитов из нормативной прибыли")</f>
        <v>0</v>
      </c>
      <c r="AW118" s="1160">
        <f ca="1">SUMIFS('ИП + источники'!AX$27:AX$116,'ИП + источники'!$F$27:$F$116,$F118,'ИП + источники'!$AC$27:$AC$116,"погашение займов и кредитов из нормативной прибыли")</f>
        <v>0</v>
      </c>
      <c r="AX118" s="1160">
        <f ca="1">SUMIFS('ИП + источники'!AY$27:AY$116,'ИП + источники'!$F$27:$F$116,$F118,'ИП + источники'!$AC$27:$AC$116,"погашение займов и кредитов из нормативной прибыли")</f>
        <v>0</v>
      </c>
      <c r="AY118" s="1160">
        <f ca="1">SUMIFS('ИП + источники'!AZ$27:AZ$116,'ИП + источники'!$F$27:$F$116,$F118,'ИП + источники'!$AC$27:$AC$116,"погашение займов и кредитов из нормативной прибыли")</f>
        <v>0</v>
      </c>
      <c r="AZ118" s="1160">
        <f ca="1">SUMIFS('ИП + источники'!BA$27:BA$116,'ИП + источники'!$F$27:$F$116,$F118,'ИП + источники'!$AC$27:$AC$116,"погашение займов и кредитов из нормативной прибыли")</f>
        <v>0</v>
      </c>
      <c r="BA118" s="1160">
        <f ca="1">SUMIFS('ИП + источники'!BB$27:BB$116,'ИП + источники'!$F$27:$F$116,$F118,'ИП + источники'!$AC$27:$AC$116,"погашение займов и кредитов из нормативной прибыли")</f>
        <v>0</v>
      </c>
      <c r="BB118" s="1160">
        <f ca="1">SUMIFS('ИП + источники'!BC$27:BC$116,'ИП + источники'!$F$27:$F$116,$F118,'ИП + источники'!$AC$27:$AC$116,"погашение займов и кредитов из нормативной прибыли")</f>
        <v>0</v>
      </c>
      <c r="BC118" s="1160">
        <f ca="1">SUMIFS('ИП + источники'!BD$27:BD$116,'ИП + источники'!$F$27:$F$116,$F118,'ИП + источники'!$AC$27:$AC$116,"погашение займов и кредитов из нормативной прибыли")</f>
        <v>0</v>
      </c>
      <c r="BD118" s="855">
        <f t="shared" ca="1" si="9"/>
        <v>0</v>
      </c>
      <c r="BE118" s="855">
        <f t="shared" ca="1" si="10"/>
        <v>0</v>
      </c>
      <c r="BF118" s="855">
        <f t="shared" ca="1" si="11"/>
        <v>0</v>
      </c>
      <c r="BG118" s="855">
        <f t="shared" ca="1" si="12"/>
        <v>0</v>
      </c>
      <c r="BH118" s="855">
        <f t="shared" ca="1" si="13"/>
        <v>0</v>
      </c>
      <c r="BI118" s="855">
        <f t="shared" ca="1" si="14"/>
        <v>0</v>
      </c>
      <c r="BJ118" s="855">
        <f t="shared" ca="1" si="15"/>
        <v>0</v>
      </c>
      <c r="BK118" s="855">
        <f t="shared" ca="1" si="16"/>
        <v>0</v>
      </c>
      <c r="BL118" s="855">
        <f t="shared" ca="1" si="17"/>
        <v>0</v>
      </c>
      <c r="BM118" s="855">
        <f t="shared" ca="1" si="18"/>
        <v>0</v>
      </c>
      <c r="BN118" s="1163"/>
      <c r="BO118" s="1161" t="str">
        <f ca="1">IF(IFERROR(INDEX('ИП + источники'!$K$28:$L$116,MATCH($F118&amp;"2komm",'ИП + источники'!$K$28:$K$116,0),2),"")=0,"",IFERROR(INDEX('ИП + источники'!$K$28:$L$116,MATCH($F118&amp;"2komm",'ИП + источники'!$K$28:$K$116,0),2),""))</f>
        <v/>
      </c>
      <c r="BP118" s="1163"/>
      <c r="BS118" s="973" t="s">
        <v>2087</v>
      </c>
    </row>
    <row r="119" spans="2:75" ht="14.65" hidden="1" customHeight="1" x14ac:dyDescent="0.15">
      <c r="B119" s="354" t="b" cm="1">
        <f t="array" ref="B119">B118</f>
        <v>1</v>
      </c>
      <c r="E119" s="626">
        <v>15</v>
      </c>
      <c r="F119" s="3" cm="1">
        <f t="array" aca="1" ref="F119" ca="1">OFFSET(E119,-1,1)</f>
        <v>0</v>
      </c>
      <c r="I119" s="77" t="s">
        <v>583</v>
      </c>
      <c r="K119" s="77" t="s">
        <v>583</v>
      </c>
      <c r="L119" s="889"/>
      <c r="M119" s="26"/>
      <c r="T119" s="388" t="b" cm="1">
        <f t="array" aca="1" ref="T119" ca="1">T118</f>
        <v>0</v>
      </c>
      <c r="X119" s="2032"/>
      <c r="Z119" s="2012"/>
      <c r="AB119" s="217" t="s">
        <v>710</v>
      </c>
      <c r="AC119" s="682" t="s">
        <v>2088</v>
      </c>
      <c r="AD119" s="218" t="s">
        <v>831</v>
      </c>
      <c r="AE119" s="1162">
        <f ca="1">SUMIFS('ИП + источники'!AF$27:AF$116,'ИП + источники'!$F$27:$F$116,$F119,'ИП + источники'!$AC$27:$AC$116,"уплата процентов по кредитам из нормативной прибыли")</f>
        <v>0</v>
      </c>
      <c r="AF119" s="1162">
        <f ca="1">SUMIFS('ИП + источники'!AG$27:AG$116,'ИП + источники'!$F$27:$F$116,$F119,'ИП + источники'!$AC$27:$AC$116,"уплата процентов по кредитам из нормативной прибыли")</f>
        <v>0</v>
      </c>
      <c r="AG119" s="1162">
        <f ca="1">SUMIFS('ИП + источники'!AH$27:AH$116,'ИП + источники'!$F$27:$F$116,$F119,'ИП + источники'!$AC$27:$AC$116,"уплата процентов по кредитам из нормативной прибыли")</f>
        <v>0</v>
      </c>
      <c r="AH119" s="855">
        <f t="shared" ca="1" si="7"/>
        <v>0</v>
      </c>
      <c r="AI119" s="1160">
        <f ca="1">SUMIFS('ИП + источники'!AJ$27:AJ$116,'ИП + источники'!$F$27:$F$116,$F119,'ИП + источники'!$AC$27:$AC$116,"уплата процентов по кредитам из нормативной прибыли")</f>
        <v>0</v>
      </c>
      <c r="AJ119" s="1568">
        <f ca="1">SUMIFS('ИП + источники'!AK$27:AK$116,'ИП + источники'!$F$27:$F$116,$F119,'ИП + источники'!$AC$27:$AC$116,"уплата процентов по кредитам из нормативной прибыли")</f>
        <v>0</v>
      </c>
      <c r="AK119" s="1160">
        <f ca="1">SUMIFS('ИП + источники'!AL$27:AL$116,'ИП + источники'!$F$27:$F$116,$F119,'ИП + источники'!$AC$27:$AC$116,"уплата процентов по кредитам из нормативной прибыли")</f>
        <v>0</v>
      </c>
      <c r="AL119" s="1160">
        <f ca="1">SUMIFS('ИП + источники'!AM$27:AM$116,'ИП + источники'!$F$27:$F$116,$F119,'ИП + источники'!$AC$27:$AC$116,"уплата процентов по кредитам из нормативной прибыли")</f>
        <v>0</v>
      </c>
      <c r="AM119" s="1160">
        <f ca="1">SUMIFS('ИП + источники'!AN$27:AN$116,'ИП + источники'!$F$27:$F$116,$F119,'ИП + источники'!$AC$27:$AC$116,"уплата процентов по кредитам из нормативной прибыли")</f>
        <v>0</v>
      </c>
      <c r="AN119" s="1160">
        <f ca="1">SUMIFS('ИП + источники'!AO$27:AO$116,'ИП + источники'!$F$27:$F$116,$F119,'ИП + источники'!$AC$27:$AC$116,"уплата процентов по кредитам из нормативной прибыли")</f>
        <v>0</v>
      </c>
      <c r="AO119" s="1160">
        <f ca="1">SUMIFS('ИП + источники'!AP$27:AP$116,'ИП + источники'!$F$27:$F$116,$F119,'ИП + источники'!$AC$27:$AC$116,"уплата процентов по кредитам из нормативной прибыли")</f>
        <v>0</v>
      </c>
      <c r="AP119" s="1160">
        <f ca="1">SUMIFS('ИП + источники'!AQ$27:AQ$116,'ИП + источники'!$F$27:$F$116,$F119,'ИП + источники'!$AC$27:$AC$116,"уплата процентов по кредитам из нормативной прибыли")</f>
        <v>0</v>
      </c>
      <c r="AQ119" s="1160">
        <f ca="1">SUMIFS('ИП + источники'!AR$27:AR$116,'ИП + источники'!$F$27:$F$116,$F119,'ИП + источники'!$AC$27:$AC$116,"уплата процентов по кредитам из нормативной прибыли")</f>
        <v>0</v>
      </c>
      <c r="AR119" s="1160">
        <f ca="1">SUMIFS('ИП + источники'!AS$27:AS$116,'ИП + источники'!$F$27:$F$116,$F119,'ИП + источники'!$AC$27:$AC$116,"уплата процентов по кредитам из нормативной прибыли")</f>
        <v>0</v>
      </c>
      <c r="AS119" s="1160">
        <f ca="1">SUMIFS('ИП + источники'!AT$27:AT$116,'ИП + источники'!$F$27:$F$116,$F119,'ИП + источники'!$AC$27:$AC$116,"уплата процентов по кредитам из нормативной прибыли")</f>
        <v>0</v>
      </c>
      <c r="AT119" s="1568">
        <f ca="1">SUMIFS('ИП + источники'!AU$27:AU$116,'ИП + источники'!$F$27:$F$116,$F119,'ИП + источники'!$AC$27:$AC$116,"уплата процентов по кредитам из нормативной прибыли")</f>
        <v>0</v>
      </c>
      <c r="AU119" s="1160">
        <f ca="1">SUMIFS('ИП + источники'!AV$27:AV$116,'ИП + источники'!$F$27:$F$116,$F119,'ИП + источники'!$AC$27:$AC$116,"уплата процентов по кредитам из нормативной прибыли")</f>
        <v>0</v>
      </c>
      <c r="AV119" s="1160">
        <f ca="1">SUMIFS('ИП + источники'!AW$27:AW$116,'ИП + источники'!$F$27:$F$116,$F119,'ИП + источники'!$AC$27:$AC$116,"уплата процентов по кредитам из нормативной прибыли")</f>
        <v>0</v>
      </c>
      <c r="AW119" s="1160">
        <f ca="1">SUMIFS('ИП + источники'!AX$27:AX$116,'ИП + источники'!$F$27:$F$116,$F119,'ИП + источники'!$AC$27:$AC$116,"уплата процентов по кредитам из нормативной прибыли")</f>
        <v>0</v>
      </c>
      <c r="AX119" s="1160">
        <f ca="1">SUMIFS('ИП + источники'!AY$27:AY$116,'ИП + источники'!$F$27:$F$116,$F119,'ИП + источники'!$AC$27:$AC$116,"уплата процентов по кредитам из нормативной прибыли")</f>
        <v>0</v>
      </c>
      <c r="AY119" s="1160">
        <f ca="1">SUMIFS('ИП + источники'!AZ$27:AZ$116,'ИП + источники'!$F$27:$F$116,$F119,'ИП + источники'!$AC$27:$AC$116,"уплата процентов по кредитам из нормативной прибыли")</f>
        <v>0</v>
      </c>
      <c r="AZ119" s="1160">
        <f ca="1">SUMIFS('ИП + источники'!BA$27:BA$116,'ИП + источники'!$F$27:$F$116,$F119,'ИП + источники'!$AC$27:$AC$116,"уплата процентов по кредитам из нормативной прибыли")</f>
        <v>0</v>
      </c>
      <c r="BA119" s="1160">
        <f ca="1">SUMIFS('ИП + источники'!BB$27:BB$116,'ИП + источники'!$F$27:$F$116,$F119,'ИП + источники'!$AC$27:$AC$116,"уплата процентов по кредитам из нормативной прибыли")</f>
        <v>0</v>
      </c>
      <c r="BB119" s="1160">
        <f ca="1">SUMIFS('ИП + источники'!BC$27:BC$116,'ИП + источники'!$F$27:$F$116,$F119,'ИП + источники'!$AC$27:$AC$116,"уплата процентов по кредитам из нормативной прибыли")</f>
        <v>0</v>
      </c>
      <c r="BC119" s="1160">
        <f ca="1">SUMIFS('ИП + источники'!BD$27:BD$116,'ИП + источники'!$F$27:$F$116,$F119,'ИП + источники'!$AC$27:$AC$116,"уплата процентов по кредитам из нормативной прибыли")</f>
        <v>0</v>
      </c>
      <c r="BD119" s="855">
        <f t="shared" ca="1" si="9"/>
        <v>0</v>
      </c>
      <c r="BE119" s="855">
        <f t="shared" ca="1" si="10"/>
        <v>0</v>
      </c>
      <c r="BF119" s="855">
        <f t="shared" ca="1" si="11"/>
        <v>0</v>
      </c>
      <c r="BG119" s="855">
        <f t="shared" ca="1" si="12"/>
        <v>0</v>
      </c>
      <c r="BH119" s="855">
        <f t="shared" ca="1" si="13"/>
        <v>0</v>
      </c>
      <c r="BI119" s="855">
        <f t="shared" ca="1" si="14"/>
        <v>0</v>
      </c>
      <c r="BJ119" s="855">
        <f t="shared" ca="1" si="15"/>
        <v>0</v>
      </c>
      <c r="BK119" s="855">
        <f t="shared" ca="1" si="16"/>
        <v>0</v>
      </c>
      <c r="BL119" s="855">
        <f t="shared" ca="1" si="17"/>
        <v>0</v>
      </c>
      <c r="BM119" s="855">
        <f t="shared" ca="1" si="18"/>
        <v>0</v>
      </c>
      <c r="BN119" s="1163"/>
      <c r="BO119" s="1161" t="str">
        <f ca="1">IF(IFERROR(INDEX('ИП + источники'!$K$28:$L$116,MATCH($F119&amp;"3komm",'ИП + источники'!$K$28:$K$116,0),2),"")=0,"",IFERROR(INDEX('ИП + источники'!$K$28:$L$116,MATCH($F119&amp;"3komm",'ИП + источники'!$K$28:$K$116,0),2),""))</f>
        <v/>
      </c>
      <c r="BP119" s="1163"/>
      <c r="BS119" s="973" t="s">
        <v>2089</v>
      </c>
    </row>
    <row r="120" spans="2:75" ht="14.65" hidden="1" customHeight="1" x14ac:dyDescent="0.15">
      <c r="B120" s="354" t="b" cm="1">
        <f t="array" ref="B120">B119</f>
        <v>1</v>
      </c>
      <c r="E120" s="626">
        <v>15</v>
      </c>
      <c r="F120" s="3" cm="1">
        <f t="array" aca="1" ref="F120" ca="1">OFFSET(E120,-1,1)</f>
        <v>0</v>
      </c>
      <c r="I120" s="77" t="s">
        <v>795</v>
      </c>
      <c r="K120" s="77" t="s">
        <v>795</v>
      </c>
      <c r="L120" s="889" t="s">
        <v>598</v>
      </c>
      <c r="M120" s="26"/>
      <c r="T120" s="388" t="b" cm="1">
        <f t="array" aca="1" ref="T120" ca="1">T119</f>
        <v>0</v>
      </c>
      <c r="X120" s="2032"/>
      <c r="Z120" s="2012"/>
      <c r="AB120" s="217" t="s">
        <v>965</v>
      </c>
      <c r="AC120" s="682" t="s">
        <v>2090</v>
      </c>
      <c r="AD120" s="218" t="s">
        <v>831</v>
      </c>
      <c r="AE120" s="1162">
        <f ca="1">SUMIFS('ИП + источники'!AF$27:AF$116,'ИП + источники'!$F$27:$F$116,$F120,'ИП + источники'!$AC$27:$AC$116,"Прибыль на капвложения")</f>
        <v>0</v>
      </c>
      <c r="AF120" s="1162">
        <f ca="1">SUMIFS('ИП + источники'!AG$27:AG$116,'ИП + источники'!$F$27:$F$116,$F120,'ИП + источники'!$AC$27:$AC$116,"Прибыль на капвложения")</f>
        <v>0</v>
      </c>
      <c r="AG120" s="1162">
        <f ca="1">SUMIFS('ИП + источники'!AH$27:AH$116,'ИП + источники'!$F$27:$F$116,$F120,'ИП + источники'!$AC$27:$AC$116,"Прибыль на капвложения")</f>
        <v>0</v>
      </c>
      <c r="AH120" s="855">
        <f t="shared" ca="1" si="7"/>
        <v>0</v>
      </c>
      <c r="AI120" s="1160">
        <f ca="1">SUMIFS('ИП + источники'!AJ$27:AJ$116,'ИП + источники'!$F$27:$F$116,$F120,'ИП + источники'!$AC$27:$AC$116,"Прибыль на капвложения")</f>
        <v>0</v>
      </c>
      <c r="AJ120" s="1568">
        <f ca="1">SUMIFS('ИП + источники'!AK$27:AK$116,'ИП + источники'!$F$27:$F$116,$F120,'ИП + источники'!$AC$27:$AC$116,"Прибыль на капвложения")</f>
        <v>0</v>
      </c>
      <c r="AK120" s="1160">
        <f ca="1">SUMIFS('ИП + источники'!AL$27:AL$116,'ИП + источники'!$F$27:$F$116,$F120,'ИП + источники'!$AC$27:$AC$116,"Прибыль на капвложения")</f>
        <v>0</v>
      </c>
      <c r="AL120" s="1160">
        <f ca="1">SUMIFS('ИП + источники'!AM$27:AM$116,'ИП + источники'!$F$27:$F$116,$F120,'ИП + источники'!$AC$27:$AC$116,"Прибыль на капвложения")</f>
        <v>0</v>
      </c>
      <c r="AM120" s="1160">
        <f ca="1">SUMIFS('ИП + источники'!AN$27:AN$116,'ИП + источники'!$F$27:$F$116,$F120,'ИП + источники'!$AC$27:$AC$116,"Прибыль на капвложения")</f>
        <v>0</v>
      </c>
      <c r="AN120" s="1160">
        <f ca="1">SUMIFS('ИП + источники'!AO$27:AO$116,'ИП + источники'!$F$27:$F$116,$F120,'ИП + источники'!$AC$27:$AC$116,"Прибыль на капвложения")</f>
        <v>0</v>
      </c>
      <c r="AO120" s="1160">
        <f ca="1">SUMIFS('ИП + источники'!AP$27:AP$116,'ИП + источники'!$F$27:$F$116,$F120,'ИП + источники'!$AC$27:$AC$116,"Прибыль на капвложения")</f>
        <v>0</v>
      </c>
      <c r="AP120" s="1160">
        <f ca="1">SUMIFS('ИП + источники'!AQ$27:AQ$116,'ИП + источники'!$F$27:$F$116,$F120,'ИП + источники'!$AC$27:$AC$116,"Прибыль на капвложения")</f>
        <v>0</v>
      </c>
      <c r="AQ120" s="1160">
        <f ca="1">SUMIFS('ИП + источники'!AR$27:AR$116,'ИП + источники'!$F$27:$F$116,$F120,'ИП + источники'!$AC$27:$AC$116,"Прибыль на капвложения")</f>
        <v>0</v>
      </c>
      <c r="AR120" s="1160">
        <f ca="1">SUMIFS('ИП + источники'!AS$27:AS$116,'ИП + источники'!$F$27:$F$116,$F120,'ИП + источники'!$AC$27:$AC$116,"Прибыль на капвложения")</f>
        <v>0</v>
      </c>
      <c r="AS120" s="1160">
        <f ca="1">SUMIFS('ИП + источники'!AT$27:AT$116,'ИП + источники'!$F$27:$F$116,$F120,'ИП + источники'!$AC$27:$AC$116,"Прибыль на капвложения")</f>
        <v>0</v>
      </c>
      <c r="AT120" s="1568">
        <f ca="1">SUMIFS('ИП + источники'!AU$27:AU$116,'ИП + источники'!$F$27:$F$116,$F120,'ИП + источники'!$AC$27:$AC$116,"Прибыль на капвложения")</f>
        <v>0</v>
      </c>
      <c r="AU120" s="1160">
        <f ca="1">SUMIFS('ИП + источники'!AV$27:AV$116,'ИП + источники'!$F$27:$F$116,$F120,'ИП + источники'!$AC$27:$AC$116,"Прибыль на капвложения")</f>
        <v>0</v>
      </c>
      <c r="AV120" s="1160">
        <f ca="1">SUMIFS('ИП + источники'!AW$27:AW$116,'ИП + источники'!$F$27:$F$116,$F120,'ИП + источники'!$AC$27:$AC$116,"Прибыль на капвложения")</f>
        <v>0</v>
      </c>
      <c r="AW120" s="1160">
        <f ca="1">SUMIFS('ИП + источники'!AX$27:AX$116,'ИП + источники'!$F$27:$F$116,$F120,'ИП + источники'!$AC$27:$AC$116,"Прибыль на капвложения")</f>
        <v>0</v>
      </c>
      <c r="AX120" s="1160">
        <f ca="1">SUMIFS('ИП + источники'!AY$27:AY$116,'ИП + источники'!$F$27:$F$116,$F120,'ИП + источники'!$AC$27:$AC$116,"Прибыль на капвложения")</f>
        <v>0</v>
      </c>
      <c r="AY120" s="1160">
        <f ca="1">SUMIFS('ИП + источники'!AZ$27:AZ$116,'ИП + источники'!$F$27:$F$116,$F120,'ИП + источники'!$AC$27:$AC$116,"Прибыль на капвложения")</f>
        <v>0</v>
      </c>
      <c r="AZ120" s="1160">
        <f ca="1">SUMIFS('ИП + источники'!BA$27:BA$116,'ИП + источники'!$F$27:$F$116,$F120,'ИП + источники'!$AC$27:$AC$116,"Прибыль на капвложения")</f>
        <v>0</v>
      </c>
      <c r="BA120" s="1160">
        <f ca="1">SUMIFS('ИП + источники'!BB$27:BB$116,'ИП + источники'!$F$27:$F$116,$F120,'ИП + источники'!$AC$27:$AC$116,"Прибыль на капвложения")</f>
        <v>0</v>
      </c>
      <c r="BB120" s="1160">
        <f ca="1">SUMIFS('ИП + источники'!BC$27:BC$116,'ИП + источники'!$F$27:$F$116,$F120,'ИП + источники'!$AC$27:$AC$116,"Прибыль на капвложения")</f>
        <v>0</v>
      </c>
      <c r="BC120" s="1160">
        <f ca="1">SUMIFS('ИП + источники'!BD$27:BD$116,'ИП + источники'!$F$27:$F$116,$F120,'ИП + источники'!$AC$27:$AC$116,"Прибыль на капвложения")</f>
        <v>0</v>
      </c>
      <c r="BD120" s="855">
        <f t="shared" ca="1" si="9"/>
        <v>0</v>
      </c>
      <c r="BE120" s="855">
        <f t="shared" ca="1" si="10"/>
        <v>0</v>
      </c>
      <c r="BF120" s="855">
        <f t="shared" ca="1" si="11"/>
        <v>0</v>
      </c>
      <c r="BG120" s="855">
        <f t="shared" ca="1" si="12"/>
        <v>0</v>
      </c>
      <c r="BH120" s="855">
        <f t="shared" ca="1" si="13"/>
        <v>0</v>
      </c>
      <c r="BI120" s="855">
        <f t="shared" ca="1" si="14"/>
        <v>0</v>
      </c>
      <c r="BJ120" s="855">
        <f t="shared" ca="1" si="15"/>
        <v>0</v>
      </c>
      <c r="BK120" s="855">
        <f t="shared" ca="1" si="16"/>
        <v>0</v>
      </c>
      <c r="BL120" s="855">
        <f t="shared" ca="1" si="17"/>
        <v>0</v>
      </c>
      <c r="BM120" s="855">
        <f t="shared" ca="1" si="18"/>
        <v>0</v>
      </c>
      <c r="BN120" s="1163"/>
      <c r="BO120" s="1161" t="str">
        <f ca="1">IF(IFERROR(INDEX('ИП + источники'!$K$28:$L$116,MATCH($F120&amp;"1komm",'ИП + источники'!$K$28:$K$116,0),2),"")=0,"",IFERROR(INDEX('ИП + источники'!$K$28:$L$116,MATCH($F120&amp;"1komm",'ИП + источники'!$K$28:$K$116,0),2),""))</f>
        <v/>
      </c>
      <c r="BP120" s="1163"/>
      <c r="BS120" s="973" t="s">
        <v>1793</v>
      </c>
    </row>
    <row r="121" spans="2:75" ht="21.95" hidden="1" customHeight="1" x14ac:dyDescent="0.15">
      <c r="B121" s="354" t="b" cm="1">
        <f t="array" ref="B121">B120</f>
        <v>1</v>
      </c>
      <c r="E121" s="626">
        <v>22.5</v>
      </c>
      <c r="F121" s="3" cm="1">
        <f t="array" aca="1" ref="F121" ca="1">OFFSET(E121,-1,1)</f>
        <v>0</v>
      </c>
      <c r="G121" s="77" t="s">
        <v>2091</v>
      </c>
      <c r="I121" s="77" t="s">
        <v>967</v>
      </c>
      <c r="K121" s="77" t="s">
        <v>967</v>
      </c>
      <c r="L121" s="889" t="s">
        <v>602</v>
      </c>
      <c r="M121" s="26"/>
      <c r="T121" s="388" t="b" cm="1">
        <f t="array" aca="1" ref="T121" ca="1">T120</f>
        <v>0</v>
      </c>
      <c r="X121" s="2032"/>
      <c r="Z121" s="2012"/>
      <c r="AB121" s="217" t="s">
        <v>968</v>
      </c>
      <c r="AC121" s="682" t="s">
        <v>2092</v>
      </c>
      <c r="AD121" s="218" t="s">
        <v>831</v>
      </c>
      <c r="AE121" s="1162"/>
      <c r="AF121" s="1162"/>
      <c r="AG121" s="1162"/>
      <c r="AH121" s="855">
        <f t="shared" si="7"/>
        <v>0</v>
      </c>
      <c r="AI121" s="1160"/>
      <c r="AJ121" s="1568"/>
      <c r="AK121" s="1160"/>
      <c r="AL121" s="1160"/>
      <c r="AM121" s="1160"/>
      <c r="AN121" s="1160"/>
      <c r="AO121" s="1160"/>
      <c r="AP121" s="1160"/>
      <c r="AQ121" s="1160"/>
      <c r="AR121" s="1160"/>
      <c r="AS121" s="1160"/>
      <c r="AT121" s="1568"/>
      <c r="AU121" s="1160"/>
      <c r="AV121" s="1160"/>
      <c r="AW121" s="1160"/>
      <c r="AX121" s="1160"/>
      <c r="AY121" s="1160"/>
      <c r="AZ121" s="1160"/>
      <c r="BA121" s="1160"/>
      <c r="BB121" s="1160"/>
      <c r="BC121" s="1160"/>
      <c r="BD121" s="855">
        <f t="shared" si="9"/>
        <v>0</v>
      </c>
      <c r="BE121" s="855">
        <f t="shared" si="10"/>
        <v>0</v>
      </c>
      <c r="BF121" s="855">
        <f t="shared" si="11"/>
        <v>0</v>
      </c>
      <c r="BG121" s="855">
        <f t="shared" si="12"/>
        <v>0</v>
      </c>
      <c r="BH121" s="855">
        <f t="shared" si="13"/>
        <v>0</v>
      </c>
      <c r="BI121" s="855">
        <f t="shared" si="14"/>
        <v>0</v>
      </c>
      <c r="BJ121" s="855">
        <f t="shared" si="15"/>
        <v>0</v>
      </c>
      <c r="BK121" s="855">
        <f t="shared" si="16"/>
        <v>0</v>
      </c>
      <c r="BL121" s="855">
        <f t="shared" si="17"/>
        <v>0</v>
      </c>
      <c r="BM121" s="855">
        <f t="shared" si="18"/>
        <v>0</v>
      </c>
      <c r="BN121" s="1163"/>
      <c r="BO121" s="1163"/>
      <c r="BP121" s="1163"/>
      <c r="BS121" s="973" t="s">
        <v>2093</v>
      </c>
    </row>
    <row r="122" spans="2:75" ht="14.65" hidden="1" customHeight="1" x14ac:dyDescent="0.15">
      <c r="B122" s="354" t="b">
        <f>AND(method_reg="Метод индексации",STATUS_GO="да")</f>
        <v>1</v>
      </c>
      <c r="E122" s="626">
        <v>15</v>
      </c>
      <c r="F122" s="3" cm="1">
        <f t="array" aca="1" ref="F122" ca="1">OFFSET(E122,-1,1)</f>
        <v>0</v>
      </c>
      <c r="G122" s="77" t="s">
        <v>1796</v>
      </c>
      <c r="I122" s="77" t="s">
        <v>544</v>
      </c>
      <c r="K122" s="77" t="s">
        <v>544</v>
      </c>
      <c r="L122" s="889" t="s">
        <v>606</v>
      </c>
      <c r="M122" s="26"/>
      <c r="T122" s="388" t="b" cm="1">
        <f t="array" aca="1" ref="T122" ca="1">T121</f>
        <v>0</v>
      </c>
      <c r="X122" s="2032"/>
      <c r="Z122" s="2012"/>
      <c r="AB122" s="217" t="s">
        <v>446</v>
      </c>
      <c r="AC122" s="374" t="s">
        <v>1796</v>
      </c>
      <c r="AD122" s="218" t="s">
        <v>831</v>
      </c>
      <c r="AE122" s="1162"/>
      <c r="AF122" s="1162"/>
      <c r="AG122" s="1162"/>
      <c r="AH122" s="855">
        <f t="shared" si="7"/>
        <v>0</v>
      </c>
      <c r="AI122" s="1160"/>
      <c r="AJ122" s="1568"/>
      <c r="AK122" s="1160"/>
      <c r="AL122" s="1160"/>
      <c r="AM122" s="1160"/>
      <c r="AN122" s="1160"/>
      <c r="AO122" s="1160"/>
      <c r="AP122" s="1160"/>
      <c r="AQ122" s="1160"/>
      <c r="AR122" s="1160"/>
      <c r="AS122" s="1160"/>
      <c r="AT122" s="1568"/>
      <c r="AU122" s="1160"/>
      <c r="AV122" s="1160"/>
      <c r="AW122" s="1160"/>
      <c r="AX122" s="1160"/>
      <c r="AY122" s="1160"/>
      <c r="AZ122" s="1160"/>
      <c r="BA122" s="1160"/>
      <c r="BB122" s="1160"/>
      <c r="BC122" s="1160"/>
      <c r="BD122" s="855">
        <f t="shared" si="9"/>
        <v>0</v>
      </c>
      <c r="BE122" s="855">
        <f t="shared" si="10"/>
        <v>0</v>
      </c>
      <c r="BF122" s="855">
        <f t="shared" si="11"/>
        <v>0</v>
      </c>
      <c r="BG122" s="855">
        <f t="shared" si="12"/>
        <v>0</v>
      </c>
      <c r="BH122" s="855">
        <f t="shared" si="13"/>
        <v>0</v>
      </c>
      <c r="BI122" s="855">
        <f t="shared" si="14"/>
        <v>0</v>
      </c>
      <c r="BJ122" s="855">
        <f t="shared" si="15"/>
        <v>0</v>
      </c>
      <c r="BK122" s="855">
        <f t="shared" si="16"/>
        <v>0</v>
      </c>
      <c r="BL122" s="855">
        <f t="shared" si="17"/>
        <v>0</v>
      </c>
      <c r="BM122" s="855">
        <f t="shared" si="18"/>
        <v>0</v>
      </c>
      <c r="BN122" s="1163"/>
      <c r="BO122" s="1163"/>
      <c r="BP122" s="1163"/>
      <c r="BS122" s="973" t="s">
        <v>1797</v>
      </c>
    </row>
    <row r="123" spans="2:75" ht="14.65" hidden="1" customHeight="1" x14ac:dyDescent="0.15">
      <c r="B123" s="884" t="b">
        <f>method_reg="Метод обеспечения доходности инвестированного капитала"</f>
        <v>0</v>
      </c>
      <c r="E123" s="626">
        <v>15</v>
      </c>
      <c r="F123" s="3" cm="1">
        <f t="array" aca="1" ref="F123" ca="1">OFFSET(E123,-1,1)</f>
        <v>0</v>
      </c>
      <c r="K123" s="26" t="s">
        <v>335</v>
      </c>
      <c r="L123" s="889"/>
      <c r="M123" s="26"/>
      <c r="T123" s="388" t="b" cm="1">
        <f t="array" aca="1" ref="T123" ca="1">T122</f>
        <v>0</v>
      </c>
      <c r="X123" s="2032"/>
      <c r="Z123" s="2012"/>
      <c r="AB123" s="712" t="s">
        <v>441</v>
      </c>
      <c r="AC123" s="713" t="s">
        <v>2094</v>
      </c>
      <c r="AD123" s="714" t="s">
        <v>831</v>
      </c>
      <c r="AE123" s="1153"/>
      <c r="AF123" s="1153"/>
      <c r="AG123" s="1153"/>
      <c r="AH123" s="681">
        <f t="shared" si="7"/>
        <v>0</v>
      </c>
      <c r="AI123" s="1153"/>
      <c r="AJ123" s="1516"/>
      <c r="AK123" s="1153"/>
      <c r="AL123" s="1153"/>
      <c r="AM123" s="1153"/>
      <c r="AN123" s="1153"/>
      <c r="AO123" s="1153"/>
      <c r="AP123" s="1153"/>
      <c r="AQ123" s="1153"/>
      <c r="AR123" s="1153"/>
      <c r="AS123" s="1153"/>
      <c r="AT123" s="1516"/>
      <c r="AU123" s="1153"/>
      <c r="AV123" s="1153"/>
      <c r="AW123" s="1153"/>
      <c r="AX123" s="1153"/>
      <c r="AY123" s="1153"/>
      <c r="AZ123" s="1153"/>
      <c r="BA123" s="1153"/>
      <c r="BB123" s="1153"/>
      <c r="BC123" s="1153"/>
      <c r="BD123" s="681">
        <f t="shared" si="9"/>
        <v>0</v>
      </c>
      <c r="BE123" s="681">
        <f t="shared" si="10"/>
        <v>0</v>
      </c>
      <c r="BF123" s="681">
        <f t="shared" si="11"/>
        <v>0</v>
      </c>
      <c r="BG123" s="681">
        <f t="shared" si="12"/>
        <v>0</v>
      </c>
      <c r="BH123" s="681">
        <f t="shared" si="13"/>
        <v>0</v>
      </c>
      <c r="BI123" s="681">
        <f t="shared" si="14"/>
        <v>0</v>
      </c>
      <c r="BJ123" s="681">
        <f t="shared" si="15"/>
        <v>0</v>
      </c>
      <c r="BK123" s="681">
        <f t="shared" si="16"/>
        <v>0</v>
      </c>
      <c r="BL123" s="681">
        <f t="shared" si="17"/>
        <v>0</v>
      </c>
      <c r="BM123" s="681">
        <f t="shared" si="18"/>
        <v>0</v>
      </c>
      <c r="BN123" s="1154"/>
      <c r="BO123" s="1154"/>
      <c r="BP123" s="1154"/>
      <c r="BS123" s="973" t="s">
        <v>2095</v>
      </c>
    </row>
    <row r="124" spans="2:75" ht="14.65" hidden="1" customHeight="1" x14ac:dyDescent="0.15">
      <c r="B124" s="884" t="b" cm="1">
        <f t="array" ref="B124">B123</f>
        <v>0</v>
      </c>
      <c r="E124" s="626">
        <v>15</v>
      </c>
      <c r="F124" s="3" cm="1">
        <f t="array" aca="1" ref="F124" ca="1">OFFSET(E124,-1,1)</f>
        <v>0</v>
      </c>
      <c r="K124" s="26" t="s">
        <v>565</v>
      </c>
      <c r="L124" s="889"/>
      <c r="M124" s="26"/>
      <c r="T124" s="388" t="b" cm="1">
        <f t="array" aca="1" ref="T124" ca="1">T123</f>
        <v>0</v>
      </c>
      <c r="X124" s="2032"/>
      <c r="Z124" s="2012"/>
      <c r="AB124" s="715" t="s">
        <v>700</v>
      </c>
      <c r="AC124" s="716" t="s">
        <v>2096</v>
      </c>
      <c r="AD124" s="717" t="s">
        <v>831</v>
      </c>
      <c r="AE124" s="1160"/>
      <c r="AF124" s="1160"/>
      <c r="AG124" s="1160"/>
      <c r="AH124" s="854"/>
      <c r="AI124" s="1160"/>
      <c r="AJ124" s="1568"/>
      <c r="AK124" s="1160"/>
      <c r="AL124" s="1160"/>
      <c r="AM124" s="1160"/>
      <c r="AN124" s="1160"/>
      <c r="AO124" s="1160"/>
      <c r="AP124" s="1160"/>
      <c r="AQ124" s="1160"/>
      <c r="AR124" s="1160"/>
      <c r="AS124" s="1160"/>
      <c r="AT124" s="1568"/>
      <c r="AU124" s="1160"/>
      <c r="AV124" s="1160"/>
      <c r="AW124" s="1160"/>
      <c r="AX124" s="1160"/>
      <c r="AY124" s="1160"/>
      <c r="AZ124" s="1160"/>
      <c r="BA124" s="1160"/>
      <c r="BB124" s="1160"/>
      <c r="BC124" s="1160"/>
      <c r="BD124" s="854"/>
      <c r="BE124" s="854"/>
      <c r="BF124" s="854"/>
      <c r="BG124" s="854"/>
      <c r="BH124" s="854"/>
      <c r="BI124" s="854"/>
      <c r="BJ124" s="854"/>
      <c r="BK124" s="854"/>
      <c r="BL124" s="854"/>
      <c r="BM124" s="854"/>
      <c r="BN124" s="1158"/>
      <c r="BO124" s="1158"/>
      <c r="BP124" s="1158"/>
      <c r="BS124" s="973" t="s">
        <v>2097</v>
      </c>
    </row>
    <row r="125" spans="2:75" ht="14.65" hidden="1" customHeight="1" x14ac:dyDescent="0.15">
      <c r="B125" s="884" t="b" cm="1">
        <f t="array" ref="B125">B124</f>
        <v>0</v>
      </c>
      <c r="E125" s="626">
        <v>15</v>
      </c>
      <c r="F125" s="3" cm="1">
        <f t="array" aca="1" ref="F125" ca="1">OFFSET(E125,-1,1)</f>
        <v>0</v>
      </c>
      <c r="K125" s="26" t="s">
        <v>569</v>
      </c>
      <c r="L125" s="889"/>
      <c r="M125" s="26"/>
      <c r="T125" s="388" t="b" cm="1">
        <f t="array" aca="1" ref="T125" ca="1">T124</f>
        <v>0</v>
      </c>
      <c r="X125" s="2032"/>
      <c r="Z125" s="2012"/>
      <c r="AB125" s="715" t="s">
        <v>703</v>
      </c>
      <c r="AC125" s="716" t="s">
        <v>2098</v>
      </c>
      <c r="AD125" s="717" t="s">
        <v>2099</v>
      </c>
      <c r="AE125" s="1160"/>
      <c r="AF125" s="1160"/>
      <c r="AG125" s="1160"/>
      <c r="AH125" s="854"/>
      <c r="AI125" s="1160"/>
      <c r="AJ125" s="1568"/>
      <c r="AK125" s="1160"/>
      <c r="AL125" s="1160"/>
      <c r="AM125" s="1160"/>
      <c r="AN125" s="1160"/>
      <c r="AO125" s="1160"/>
      <c r="AP125" s="1160"/>
      <c r="AQ125" s="1160"/>
      <c r="AR125" s="1160"/>
      <c r="AS125" s="1160"/>
      <c r="AT125" s="1568"/>
      <c r="AU125" s="1160"/>
      <c r="AV125" s="1160"/>
      <c r="AW125" s="1160"/>
      <c r="AX125" s="1160"/>
      <c r="AY125" s="1160"/>
      <c r="AZ125" s="1160"/>
      <c r="BA125" s="1160"/>
      <c r="BB125" s="1160"/>
      <c r="BC125" s="1160"/>
      <c r="BD125" s="854"/>
      <c r="BE125" s="854"/>
      <c r="BF125" s="854"/>
      <c r="BG125" s="854"/>
      <c r="BH125" s="854"/>
      <c r="BI125" s="854"/>
      <c r="BJ125" s="854"/>
      <c r="BK125" s="854"/>
      <c r="BL125" s="854"/>
      <c r="BM125" s="854"/>
      <c r="BN125" s="1158"/>
      <c r="BO125" s="1158"/>
      <c r="BP125" s="1158"/>
      <c r="BS125" s="973" t="s">
        <v>2100</v>
      </c>
    </row>
    <row r="126" spans="2:75" ht="14.65" hidden="1" customHeight="1" x14ac:dyDescent="0.15">
      <c r="B126" s="884" t="b" cm="1">
        <f t="array" ref="B126">B125</f>
        <v>0</v>
      </c>
      <c r="E126" s="626">
        <v>15</v>
      </c>
      <c r="F126" s="3" cm="1">
        <f t="array" aca="1" ref="F126" ca="1">OFFSET(E126,-1,1)</f>
        <v>0</v>
      </c>
      <c r="K126" s="26" t="s">
        <v>334</v>
      </c>
      <c r="L126" s="889"/>
      <c r="M126" s="26"/>
      <c r="T126" s="388" t="b" cm="1">
        <f t="array" aca="1" ref="T126" ca="1">T125</f>
        <v>0</v>
      </c>
      <c r="X126" s="2032"/>
      <c r="Z126" s="2012"/>
      <c r="AB126" s="712" t="s">
        <v>444</v>
      </c>
      <c r="AC126" s="713" t="s">
        <v>2101</v>
      </c>
      <c r="AD126" s="714" t="s">
        <v>831</v>
      </c>
      <c r="AE126" s="1153"/>
      <c r="AF126" s="1153"/>
      <c r="AG126" s="1153"/>
      <c r="AH126" s="681">
        <f>AG126-AF126</f>
        <v>0</v>
      </c>
      <c r="AI126" s="1153"/>
      <c r="AJ126" s="1516"/>
      <c r="AK126" s="1153"/>
      <c r="AL126" s="1153"/>
      <c r="AM126" s="1153"/>
      <c r="AN126" s="1153"/>
      <c r="AO126" s="1153"/>
      <c r="AP126" s="1153"/>
      <c r="AQ126" s="1153"/>
      <c r="AR126" s="1153"/>
      <c r="AS126" s="1153"/>
      <c r="AT126" s="1516"/>
      <c r="AU126" s="1153"/>
      <c r="AV126" s="1153"/>
      <c r="AW126" s="1153"/>
      <c r="AX126" s="1153"/>
      <c r="AY126" s="1153"/>
      <c r="AZ126" s="1153"/>
      <c r="BA126" s="1153"/>
      <c r="BB126" s="1153"/>
      <c r="BC126" s="1153"/>
      <c r="BD126" s="681">
        <f>IF(AI126=0,0,(AT126-AI126)/AI126*100)</f>
        <v>0</v>
      </c>
      <c r="BE126" s="681">
        <f t="shared" ref="BE126:BM126" si="23">IF(AT126=0,0,(AU126-AT126)/AT126*100)</f>
        <v>0</v>
      </c>
      <c r="BF126" s="681">
        <f t="shared" si="23"/>
        <v>0</v>
      </c>
      <c r="BG126" s="681">
        <f t="shared" si="23"/>
        <v>0</v>
      </c>
      <c r="BH126" s="681">
        <f t="shared" si="23"/>
        <v>0</v>
      </c>
      <c r="BI126" s="681">
        <f t="shared" si="23"/>
        <v>0</v>
      </c>
      <c r="BJ126" s="681">
        <f t="shared" si="23"/>
        <v>0</v>
      </c>
      <c r="BK126" s="681">
        <f t="shared" si="23"/>
        <v>0</v>
      </c>
      <c r="BL126" s="681">
        <f t="shared" si="23"/>
        <v>0</v>
      </c>
      <c r="BM126" s="681">
        <f t="shared" si="23"/>
        <v>0</v>
      </c>
      <c r="BN126" s="1154"/>
      <c r="BO126" s="1154"/>
      <c r="BP126" s="1154"/>
      <c r="BS126" s="973" t="s">
        <v>2102</v>
      </c>
    </row>
    <row r="127" spans="2:75" ht="14.65" hidden="1" customHeight="1" x14ac:dyDescent="0.15">
      <c r="B127" s="884" t="b" cm="1">
        <f t="array" ref="B127">B126</f>
        <v>0</v>
      </c>
      <c r="E127" s="626">
        <v>15</v>
      </c>
      <c r="F127" s="3" cm="1">
        <f t="array" aca="1" ref="F127" ca="1">OFFSET(E127,-1,1)</f>
        <v>0</v>
      </c>
      <c r="K127" s="26" t="s">
        <v>579</v>
      </c>
      <c r="L127" s="889"/>
      <c r="M127" s="26"/>
      <c r="T127" s="388" t="b" cm="1">
        <f t="array" aca="1" ref="T127" ca="1">T126</f>
        <v>0</v>
      </c>
      <c r="X127" s="2032"/>
      <c r="Z127" s="2012"/>
      <c r="AB127" s="715" t="s">
        <v>707</v>
      </c>
      <c r="AC127" s="716" t="s">
        <v>2103</v>
      </c>
      <c r="AD127" s="717" t="s">
        <v>831</v>
      </c>
      <c r="AE127" s="1160"/>
      <c r="AF127" s="1160"/>
      <c r="AG127" s="1160"/>
      <c r="AH127" s="854"/>
      <c r="AI127" s="1160"/>
      <c r="AJ127" s="1568"/>
      <c r="AK127" s="1160"/>
      <c r="AL127" s="1160"/>
      <c r="AM127" s="1160"/>
      <c r="AN127" s="1160"/>
      <c r="AO127" s="1160"/>
      <c r="AP127" s="1160"/>
      <c r="AQ127" s="1160"/>
      <c r="AR127" s="1160"/>
      <c r="AS127" s="1160"/>
      <c r="AT127" s="1568"/>
      <c r="AU127" s="1160"/>
      <c r="AV127" s="1160"/>
      <c r="AW127" s="1160"/>
      <c r="AX127" s="1160"/>
      <c r="AY127" s="1160"/>
      <c r="AZ127" s="1160"/>
      <c r="BA127" s="1160"/>
      <c r="BB127" s="1160"/>
      <c r="BC127" s="1160"/>
      <c r="BD127" s="854"/>
      <c r="BE127" s="854"/>
      <c r="BF127" s="854"/>
      <c r="BG127" s="854"/>
      <c r="BH127" s="854"/>
      <c r="BI127" s="854"/>
      <c r="BJ127" s="854"/>
      <c r="BK127" s="854"/>
      <c r="BL127" s="854"/>
      <c r="BM127" s="854"/>
      <c r="BN127" s="1158"/>
      <c r="BO127" s="1158"/>
      <c r="BP127" s="1158"/>
      <c r="BS127" s="973" t="s">
        <v>2104</v>
      </c>
    </row>
    <row r="128" spans="2:75" ht="14.65" hidden="1" customHeight="1" x14ac:dyDescent="0.15">
      <c r="B128" s="884" t="b" cm="1">
        <f t="array" ref="B128">B127</f>
        <v>0</v>
      </c>
      <c r="E128" s="626">
        <v>15</v>
      </c>
      <c r="F128" s="3" cm="1">
        <f t="array" aca="1" ref="F128" ca="1">OFFSET(E128,-1,1)</f>
        <v>0</v>
      </c>
      <c r="K128" s="26" t="s">
        <v>583</v>
      </c>
      <c r="L128" s="889"/>
      <c r="M128" s="26"/>
      <c r="T128" s="388" t="b" cm="1">
        <f t="array" aca="1" ref="T128" ca="1">T127</f>
        <v>0</v>
      </c>
      <c r="X128" s="2032"/>
      <c r="Z128" s="2012"/>
      <c r="AB128" s="715" t="s">
        <v>710</v>
      </c>
      <c r="AC128" s="716" t="s">
        <v>2105</v>
      </c>
      <c r="AD128" s="717" t="s">
        <v>490</v>
      </c>
      <c r="AE128" s="1160"/>
      <c r="AF128" s="1160"/>
      <c r="AG128" s="1160"/>
      <c r="AH128" s="854"/>
      <c r="AI128" s="1160"/>
      <c r="AJ128" s="1568"/>
      <c r="AK128" s="1160"/>
      <c r="AL128" s="1160"/>
      <c r="AM128" s="1160"/>
      <c r="AN128" s="1160"/>
      <c r="AO128" s="1160"/>
      <c r="AP128" s="1160"/>
      <c r="AQ128" s="1160"/>
      <c r="AR128" s="1160"/>
      <c r="AS128" s="1160"/>
      <c r="AT128" s="1568"/>
      <c r="AU128" s="1160"/>
      <c r="AV128" s="1160"/>
      <c r="AW128" s="1160"/>
      <c r="AX128" s="1160"/>
      <c r="AY128" s="1160"/>
      <c r="AZ128" s="1160"/>
      <c r="BA128" s="1160"/>
      <c r="BB128" s="1160"/>
      <c r="BC128" s="1160"/>
      <c r="BD128" s="854"/>
      <c r="BE128" s="854"/>
      <c r="BF128" s="854"/>
      <c r="BG128" s="854"/>
      <c r="BH128" s="854"/>
      <c r="BI128" s="854"/>
      <c r="BJ128" s="854"/>
      <c r="BK128" s="854"/>
      <c r="BL128" s="854"/>
      <c r="BM128" s="854"/>
      <c r="BN128" s="1158"/>
      <c r="BO128" s="1158"/>
      <c r="BP128" s="1158"/>
      <c r="BS128" s="973" t="s">
        <v>2106</v>
      </c>
    </row>
    <row r="129" spans="2:75" ht="14.65" hidden="1" customHeight="1" x14ac:dyDescent="0.15">
      <c r="B129" s="884" t="b" cm="1">
        <f t="array" ref="B129">B128</f>
        <v>0</v>
      </c>
      <c r="E129" s="626">
        <v>15</v>
      </c>
      <c r="F129" s="3" cm="1">
        <f t="array" aca="1" ref="F129" ca="1">OFFSET(E129,-1,1)</f>
        <v>0</v>
      </c>
      <c r="K129" s="26" t="s">
        <v>795</v>
      </c>
      <c r="L129" s="889"/>
      <c r="M129" s="26"/>
      <c r="T129" s="388" t="b" cm="1">
        <f t="array" aca="1" ref="T129" ca="1">T128</f>
        <v>0</v>
      </c>
      <c r="X129" s="2032"/>
      <c r="Z129" s="2012"/>
      <c r="AB129" s="715" t="s">
        <v>965</v>
      </c>
      <c r="AC129" s="716" t="s">
        <v>2107</v>
      </c>
      <c r="AD129" s="717" t="s">
        <v>831</v>
      </c>
      <c r="AE129" s="1160"/>
      <c r="AF129" s="1160"/>
      <c r="AG129" s="1160"/>
      <c r="AH129" s="854"/>
      <c r="AI129" s="1160"/>
      <c r="AJ129" s="1568"/>
      <c r="AK129" s="1160"/>
      <c r="AL129" s="1160"/>
      <c r="AM129" s="1160"/>
      <c r="AN129" s="1160"/>
      <c r="AO129" s="1160"/>
      <c r="AP129" s="1160"/>
      <c r="AQ129" s="1160"/>
      <c r="AR129" s="1160"/>
      <c r="AS129" s="1160"/>
      <c r="AT129" s="1568"/>
      <c r="AU129" s="1160"/>
      <c r="AV129" s="1160"/>
      <c r="AW129" s="1160"/>
      <c r="AX129" s="1160"/>
      <c r="AY129" s="1160"/>
      <c r="AZ129" s="1160"/>
      <c r="BA129" s="1160"/>
      <c r="BB129" s="1160"/>
      <c r="BC129" s="1160"/>
      <c r="BD129" s="854"/>
      <c r="BE129" s="854"/>
      <c r="BF129" s="854"/>
      <c r="BG129" s="854"/>
      <c r="BH129" s="854"/>
      <c r="BI129" s="854"/>
      <c r="BJ129" s="854"/>
      <c r="BK129" s="854"/>
      <c r="BL129" s="854"/>
      <c r="BM129" s="854"/>
      <c r="BN129" s="1158"/>
      <c r="BO129" s="1158"/>
      <c r="BP129" s="1158"/>
      <c r="BS129" s="973" t="s">
        <v>2108</v>
      </c>
    </row>
    <row r="130" spans="2:75" ht="14.65" hidden="1" customHeight="1" x14ac:dyDescent="0.15">
      <c r="B130" s="884" t="b" cm="1">
        <f t="array" ref="B130">B129</f>
        <v>0</v>
      </c>
      <c r="E130" s="626">
        <v>15</v>
      </c>
      <c r="F130" s="3" cm="1">
        <f t="array" aca="1" ref="F130" ca="1">OFFSET(E130,-1,1)</f>
        <v>0</v>
      </c>
      <c r="K130" s="26" t="s">
        <v>967</v>
      </c>
      <c r="L130" s="889"/>
      <c r="M130" s="26"/>
      <c r="T130" s="388" t="b" cm="1">
        <f t="array" aca="1" ref="T130" ca="1">T129</f>
        <v>0</v>
      </c>
      <c r="X130" s="2032"/>
      <c r="Z130" s="2012"/>
      <c r="AB130" s="715" t="s">
        <v>968</v>
      </c>
      <c r="AC130" s="716" t="s">
        <v>2109</v>
      </c>
      <c r="AD130" s="717" t="s">
        <v>831</v>
      </c>
      <c r="AE130" s="1160"/>
      <c r="AF130" s="1160"/>
      <c r="AG130" s="1160"/>
      <c r="AH130" s="854"/>
      <c r="AI130" s="1160"/>
      <c r="AJ130" s="1568"/>
      <c r="AK130" s="1160"/>
      <c r="AL130" s="1160"/>
      <c r="AM130" s="1160"/>
      <c r="AN130" s="1160"/>
      <c r="AO130" s="1160"/>
      <c r="AP130" s="1160"/>
      <c r="AQ130" s="1160"/>
      <c r="AR130" s="1160"/>
      <c r="AS130" s="1160"/>
      <c r="AT130" s="1568"/>
      <c r="AU130" s="1160"/>
      <c r="AV130" s="1160"/>
      <c r="AW130" s="1160"/>
      <c r="AX130" s="1160"/>
      <c r="AY130" s="1160"/>
      <c r="AZ130" s="1160"/>
      <c r="BA130" s="1160"/>
      <c r="BB130" s="1160"/>
      <c r="BC130" s="1160"/>
      <c r="BD130" s="854"/>
      <c r="BE130" s="854"/>
      <c r="BF130" s="854"/>
      <c r="BG130" s="854"/>
      <c r="BH130" s="854"/>
      <c r="BI130" s="854"/>
      <c r="BJ130" s="854"/>
      <c r="BK130" s="854"/>
      <c r="BL130" s="854"/>
      <c r="BM130" s="854"/>
      <c r="BN130" s="1158"/>
      <c r="BO130" s="1158"/>
      <c r="BP130" s="1158"/>
      <c r="BS130" s="973" t="s">
        <v>2110</v>
      </c>
    </row>
    <row r="131" spans="2:75" ht="14.65" hidden="1" customHeight="1" x14ac:dyDescent="0.15">
      <c r="B131" s="884" t="b" cm="1">
        <f t="array" ref="B131">B130</f>
        <v>0</v>
      </c>
      <c r="E131" s="626">
        <v>15</v>
      </c>
      <c r="F131" s="3" cm="1">
        <f t="array" aca="1" ref="F131" ca="1">OFFSET(E131,-1,1)</f>
        <v>0</v>
      </c>
      <c r="K131" s="26" t="s">
        <v>2111</v>
      </c>
      <c r="L131" s="889"/>
      <c r="M131" s="26"/>
      <c r="T131" s="388" t="b" cm="1">
        <f t="array" aca="1" ref="T131" ca="1">T130</f>
        <v>0</v>
      </c>
      <c r="X131" s="2032"/>
      <c r="Z131" s="2012"/>
      <c r="AB131" s="715" t="s">
        <v>2112</v>
      </c>
      <c r="AC131" s="718" t="s">
        <v>2113</v>
      </c>
      <c r="AD131" s="717" t="s">
        <v>490</v>
      </c>
      <c r="AE131" s="1160"/>
      <c r="AF131" s="1160"/>
      <c r="AG131" s="1160"/>
      <c r="AH131" s="854"/>
      <c r="AI131" s="1160"/>
      <c r="AJ131" s="1568"/>
      <c r="AK131" s="1160"/>
      <c r="AL131" s="1160"/>
      <c r="AM131" s="1160"/>
      <c r="AN131" s="1160"/>
      <c r="AO131" s="1160"/>
      <c r="AP131" s="1160"/>
      <c r="AQ131" s="1160"/>
      <c r="AR131" s="1160"/>
      <c r="AS131" s="1160"/>
      <c r="AT131" s="1568"/>
      <c r="AU131" s="1160"/>
      <c r="AV131" s="1160"/>
      <c r="AW131" s="1160"/>
      <c r="AX131" s="1160"/>
      <c r="AY131" s="1160"/>
      <c r="AZ131" s="1160"/>
      <c r="BA131" s="1160"/>
      <c r="BB131" s="1160"/>
      <c r="BC131" s="1160"/>
      <c r="BD131" s="854"/>
      <c r="BE131" s="854"/>
      <c r="BF131" s="854"/>
      <c r="BG131" s="854"/>
      <c r="BH131" s="854"/>
      <c r="BI131" s="854"/>
      <c r="BJ131" s="854"/>
      <c r="BK131" s="854"/>
      <c r="BL131" s="854"/>
      <c r="BM131" s="854"/>
      <c r="BN131" s="1158"/>
      <c r="BO131" s="1158"/>
      <c r="BP131" s="1158"/>
      <c r="BS131" s="973" t="s">
        <v>2114</v>
      </c>
    </row>
    <row r="132" spans="2:75" ht="14.65" hidden="1" customHeight="1" x14ac:dyDescent="0.15">
      <c r="B132" s="884" t="b" cm="1">
        <f t="array" ref="B132">B131</f>
        <v>0</v>
      </c>
      <c r="E132" s="626">
        <v>15</v>
      </c>
      <c r="F132" s="3" cm="1">
        <f t="array" aca="1" ref="F132" ca="1">OFFSET(E132,-1,1)</f>
        <v>0</v>
      </c>
      <c r="K132" s="26" t="s">
        <v>970</v>
      </c>
      <c r="L132" s="889"/>
      <c r="M132" s="26"/>
      <c r="T132" s="388" t="b" cm="1">
        <f t="array" aca="1" ref="T132" ca="1">T131</f>
        <v>0</v>
      </c>
      <c r="X132" s="2032"/>
      <c r="Z132" s="2012"/>
      <c r="AB132" s="715" t="s">
        <v>971</v>
      </c>
      <c r="AC132" s="716" t="s">
        <v>2115</v>
      </c>
      <c r="AD132" s="717" t="s">
        <v>490</v>
      </c>
      <c r="AE132" s="1160"/>
      <c r="AF132" s="1160"/>
      <c r="AG132" s="1160"/>
      <c r="AH132" s="854"/>
      <c r="AI132" s="1160"/>
      <c r="AJ132" s="1568"/>
      <c r="AK132" s="1160"/>
      <c r="AL132" s="1160"/>
      <c r="AM132" s="1160"/>
      <c r="AN132" s="1160"/>
      <c r="AO132" s="1160"/>
      <c r="AP132" s="1160"/>
      <c r="AQ132" s="1160"/>
      <c r="AR132" s="1160"/>
      <c r="AS132" s="1160"/>
      <c r="AT132" s="1568"/>
      <c r="AU132" s="1160"/>
      <c r="AV132" s="1160"/>
      <c r="AW132" s="1160"/>
      <c r="AX132" s="1160"/>
      <c r="AY132" s="1160"/>
      <c r="AZ132" s="1160"/>
      <c r="BA132" s="1160"/>
      <c r="BB132" s="1160"/>
      <c r="BC132" s="1160"/>
      <c r="BD132" s="854"/>
      <c r="BE132" s="854"/>
      <c r="BF132" s="854"/>
      <c r="BG132" s="854"/>
      <c r="BH132" s="854"/>
      <c r="BI132" s="854"/>
      <c r="BJ132" s="854"/>
      <c r="BK132" s="854"/>
      <c r="BL132" s="854"/>
      <c r="BM132" s="854"/>
      <c r="BN132" s="1158"/>
      <c r="BO132" s="1158"/>
      <c r="BP132" s="1158"/>
      <c r="BS132" s="973" t="s">
        <v>2116</v>
      </c>
    </row>
    <row r="133" spans="2:75" ht="14.65" hidden="1" customHeight="1" x14ac:dyDescent="0.15">
      <c r="B133" s="884" t="b" cm="1">
        <f t="array" ref="B133">B132</f>
        <v>0</v>
      </c>
      <c r="E133" s="626">
        <v>15</v>
      </c>
      <c r="F133" s="3" cm="1">
        <f t="array" aca="1" ref="F133" ca="1">OFFSET(E133,-1,1)</f>
        <v>0</v>
      </c>
      <c r="K133" s="26" t="s">
        <v>2117</v>
      </c>
      <c r="L133" s="889"/>
      <c r="M133" s="26"/>
      <c r="T133" s="388" t="b" cm="1">
        <f t="array" aca="1" ref="T133" ca="1">T132</f>
        <v>0</v>
      </c>
      <c r="X133" s="2032"/>
      <c r="Z133" s="2012"/>
      <c r="AB133" s="715" t="s">
        <v>2118</v>
      </c>
      <c r="AC133" s="718" t="s">
        <v>2119</v>
      </c>
      <c r="AD133" s="717" t="s">
        <v>490</v>
      </c>
      <c r="AE133" s="1160"/>
      <c r="AF133" s="1160"/>
      <c r="AG133" s="1160"/>
      <c r="AH133" s="854"/>
      <c r="AI133" s="1160"/>
      <c r="AJ133" s="1568"/>
      <c r="AK133" s="1160"/>
      <c r="AL133" s="1160"/>
      <c r="AM133" s="1160"/>
      <c r="AN133" s="1160"/>
      <c r="AO133" s="1160"/>
      <c r="AP133" s="1160"/>
      <c r="AQ133" s="1160"/>
      <c r="AR133" s="1160"/>
      <c r="AS133" s="1160"/>
      <c r="AT133" s="1568"/>
      <c r="AU133" s="1160"/>
      <c r="AV133" s="1160"/>
      <c r="AW133" s="1160"/>
      <c r="AX133" s="1160"/>
      <c r="AY133" s="1160"/>
      <c r="AZ133" s="1160"/>
      <c r="BA133" s="1160"/>
      <c r="BB133" s="1160"/>
      <c r="BC133" s="1160"/>
      <c r="BD133" s="854"/>
      <c r="BE133" s="854"/>
      <c r="BF133" s="854"/>
      <c r="BG133" s="854"/>
      <c r="BH133" s="854"/>
      <c r="BI133" s="854"/>
      <c r="BJ133" s="854"/>
      <c r="BK133" s="854"/>
      <c r="BL133" s="854"/>
      <c r="BM133" s="854"/>
      <c r="BN133" s="1158"/>
      <c r="BO133" s="1158"/>
      <c r="BP133" s="1158"/>
      <c r="BS133" s="973" t="s">
        <v>2120</v>
      </c>
    </row>
    <row r="134" spans="2:75" ht="14.65" hidden="1" customHeight="1" x14ac:dyDescent="0.15">
      <c r="B134" s="884" t="b" cm="1">
        <f t="array" ref="B134">B133</f>
        <v>0</v>
      </c>
      <c r="E134" s="626">
        <v>15</v>
      </c>
      <c r="F134" s="3" cm="1">
        <f t="array" aca="1" ref="F134" ca="1">OFFSET(E134,-1,1)</f>
        <v>0</v>
      </c>
      <c r="K134" s="26" t="s">
        <v>2121</v>
      </c>
      <c r="L134" s="889"/>
      <c r="M134" s="26"/>
      <c r="T134" s="388" t="b" cm="1">
        <f t="array" aca="1" ref="T134" ca="1">T133</f>
        <v>0</v>
      </c>
      <c r="X134" s="2032"/>
      <c r="Z134" s="2012"/>
      <c r="AB134" s="715" t="s">
        <v>2122</v>
      </c>
      <c r="AC134" s="718" t="s">
        <v>2123</v>
      </c>
      <c r="AD134" s="717" t="s">
        <v>490</v>
      </c>
      <c r="AE134" s="1160"/>
      <c r="AF134" s="1160"/>
      <c r="AG134" s="1160"/>
      <c r="AH134" s="854"/>
      <c r="AI134" s="1160"/>
      <c r="AJ134" s="1568"/>
      <c r="AK134" s="1160"/>
      <c r="AL134" s="1160"/>
      <c r="AM134" s="1160"/>
      <c r="AN134" s="1160"/>
      <c r="AO134" s="1160"/>
      <c r="AP134" s="1160"/>
      <c r="AQ134" s="1160"/>
      <c r="AR134" s="1160"/>
      <c r="AS134" s="1160"/>
      <c r="AT134" s="1568"/>
      <c r="AU134" s="1160"/>
      <c r="AV134" s="1160"/>
      <c r="AW134" s="1160"/>
      <c r="AX134" s="1160"/>
      <c r="AY134" s="1160"/>
      <c r="AZ134" s="1160"/>
      <c r="BA134" s="1160"/>
      <c r="BB134" s="1160"/>
      <c r="BC134" s="1160"/>
      <c r="BD134" s="854"/>
      <c r="BE134" s="854"/>
      <c r="BF134" s="854"/>
      <c r="BG134" s="854"/>
      <c r="BH134" s="854"/>
      <c r="BI134" s="854"/>
      <c r="BJ134" s="854"/>
      <c r="BK134" s="854"/>
      <c r="BL134" s="854"/>
      <c r="BM134" s="854"/>
      <c r="BN134" s="1158"/>
      <c r="BO134" s="1158"/>
      <c r="BP134" s="1158"/>
      <c r="BS134" s="973" t="s">
        <v>2124</v>
      </c>
    </row>
    <row r="135" spans="2:75" s="623" customFormat="1" ht="20.45" hidden="1" customHeight="1" x14ac:dyDescent="0.15">
      <c r="B135" s="357"/>
      <c r="D135" s="28" t="str">
        <f>IF(B134,"6","7")</f>
        <v>7</v>
      </c>
      <c r="E135" s="630">
        <v>21</v>
      </c>
      <c r="F135" s="3" cm="1">
        <f t="array" aca="1" ref="F135" ca="1">OFFSET(E135,-1,1)</f>
        <v>0</v>
      </c>
      <c r="G135" s="77" t="s">
        <v>2125</v>
      </c>
      <c r="H135" s="77"/>
      <c r="I135" s="296" t="s">
        <v>2126</v>
      </c>
      <c r="K135" s="296" t="s">
        <v>2126</v>
      </c>
      <c r="L135" s="894"/>
      <c r="M135" s="28"/>
      <c r="T135" s="388" t="b" cm="1">
        <f t="array" aca="1" ref="T135" ca="1">T134</f>
        <v>0</v>
      </c>
      <c r="X135" s="2032"/>
      <c r="Z135" s="2012"/>
      <c r="AB135" s="130" t="str" cm="1">
        <f t="array" ref="AB135">D135</f>
        <v>7</v>
      </c>
      <c r="AC135" s="138" t="s">
        <v>1557</v>
      </c>
      <c r="AD135" s="130" t="s">
        <v>831</v>
      </c>
      <c r="AE135" s="1144"/>
      <c r="AF135" s="1144"/>
      <c r="AG135" s="1144"/>
      <c r="AH135" s="681">
        <f>AG135-AF135</f>
        <v>0</v>
      </c>
      <c r="AI135" s="1153"/>
      <c r="AJ135" s="1568">
        <f ca="1">SUMIFS('Корректировка НВВ'!$AF$25:$AF$180,'Корректировка НВВ'!$F$25:$F$180,$F135,'Корректировка НВВ'!$I$25:$I$180,$G135)</f>
        <v>0</v>
      </c>
      <c r="AK135" s="1153"/>
      <c r="AL135" s="1153"/>
      <c r="AM135" s="1153"/>
      <c r="AN135" s="1153"/>
      <c r="AO135" s="1153"/>
      <c r="AP135" s="1153"/>
      <c r="AQ135" s="1153"/>
      <c r="AR135" s="1153"/>
      <c r="AS135" s="1153"/>
      <c r="AT135" s="1568">
        <f ca="1">SUMIFS('Корректировка НВВ'!$AG$25:$AG$180,'Корректировка НВВ'!$F$25:$F$180,$F135,'Корректировка НВВ'!$I$25:$I$180,$G135)</f>
        <v>0</v>
      </c>
      <c r="AU135" s="1153"/>
      <c r="AV135" s="1153"/>
      <c r="AW135" s="1153"/>
      <c r="AX135" s="1153"/>
      <c r="AY135" s="1153"/>
      <c r="AZ135" s="1153"/>
      <c r="BA135" s="1153"/>
      <c r="BB135" s="1153"/>
      <c r="BC135" s="1153"/>
      <c r="BD135" s="681">
        <f>IF(AI135=0,0,(AT135-AI135)/AI135*100)</f>
        <v>0</v>
      </c>
      <c r="BE135" s="681">
        <f t="shared" ref="BE135:BM135" ca="1" si="24">IF(AT135=0,0,(AU135-AT135)/AT135*100)</f>
        <v>0</v>
      </c>
      <c r="BF135" s="681">
        <f t="shared" si="24"/>
        <v>0</v>
      </c>
      <c r="BG135" s="681">
        <f t="shared" si="24"/>
        <v>0</v>
      </c>
      <c r="BH135" s="681">
        <f t="shared" si="24"/>
        <v>0</v>
      </c>
      <c r="BI135" s="681">
        <f t="shared" si="24"/>
        <v>0</v>
      </c>
      <c r="BJ135" s="681">
        <f t="shared" si="24"/>
        <v>0</v>
      </c>
      <c r="BK135" s="681">
        <f t="shared" si="24"/>
        <v>0</v>
      </c>
      <c r="BL135" s="681">
        <f t="shared" si="24"/>
        <v>0</v>
      </c>
      <c r="BM135" s="681">
        <f t="shared" si="24"/>
        <v>0</v>
      </c>
      <c r="BN135" s="1147"/>
      <c r="BO135" s="1161" t="str">
        <f ca="1">IF(IFERROR(INDEX('Корректировка НВВ'!$K$26:$L$180,MATCH($F135&amp;"11komm",'Корректировка НВВ'!$K$26:$K$180,0),2),"")=0,"",IFERROR(INDEX('Корректировка НВВ'!$K$26:$L$180,MATCH($F135&amp;"11komm",'Корректировка НВВ'!$K$26:$K$180,0),2),""))</f>
        <v/>
      </c>
      <c r="BP135" s="1147"/>
      <c r="BS135" s="979" t="s">
        <v>2127</v>
      </c>
      <c r="BT135" s="979"/>
      <c r="BU135" s="979"/>
      <c r="BV135" s="630"/>
      <c r="BW135" s="630"/>
    </row>
    <row r="136" spans="2:75" ht="14.65" hidden="1" customHeight="1" x14ac:dyDescent="0.15">
      <c r="D136" s="26" t="str" cm="1">
        <f t="array" ref="D136">D135</f>
        <v>7</v>
      </c>
      <c r="E136" s="626">
        <v>15</v>
      </c>
      <c r="F136" s="3" cm="1">
        <f t="array" aca="1" ref="F136" ca="1">OFFSET(E136,-1,1)</f>
        <v>0</v>
      </c>
      <c r="L136" s="889"/>
      <c r="M136" s="26"/>
      <c r="T136" s="388" t="b" cm="1">
        <f t="array" aca="1" ref="T136" ca="1">T135</f>
        <v>0</v>
      </c>
      <c r="X136" s="2032"/>
      <c r="Z136" s="2012"/>
      <c r="AB136" s="218"/>
      <c r="AC136" s="374" t="s">
        <v>2128</v>
      </c>
      <c r="AD136" s="218"/>
      <c r="AE136" s="857"/>
      <c r="AF136" s="857"/>
      <c r="AG136" s="857"/>
      <c r="AH136" s="854"/>
      <c r="AI136" s="854"/>
      <c r="AJ136" s="854"/>
      <c r="AK136" s="854"/>
      <c r="AL136" s="854"/>
      <c r="AM136" s="854"/>
      <c r="AN136" s="854"/>
      <c r="AO136" s="854"/>
      <c r="AP136" s="854"/>
      <c r="AQ136" s="854"/>
      <c r="AR136" s="854"/>
      <c r="AS136" s="854"/>
      <c r="AT136" s="854"/>
      <c r="AU136" s="854"/>
      <c r="AV136" s="854"/>
      <c r="AW136" s="854"/>
      <c r="AX136" s="854"/>
      <c r="AY136" s="854"/>
      <c r="AZ136" s="854"/>
      <c r="BA136" s="854"/>
      <c r="BB136" s="854"/>
      <c r="BC136" s="854"/>
      <c r="BD136" s="854"/>
      <c r="BE136" s="854"/>
      <c r="BF136" s="854"/>
      <c r="BG136" s="854"/>
      <c r="BH136" s="854"/>
      <c r="BI136" s="854"/>
      <c r="BJ136" s="854"/>
      <c r="BK136" s="854"/>
      <c r="BL136" s="854"/>
      <c r="BM136" s="854"/>
      <c r="BN136" s="449"/>
      <c r="BO136" s="449"/>
      <c r="BP136" s="449"/>
    </row>
    <row r="137" spans="2:75" ht="21.95" hidden="1" customHeight="1" x14ac:dyDescent="0.15">
      <c r="D137" s="26" t="str" cm="1">
        <f t="array" ref="D137">D136</f>
        <v>7</v>
      </c>
      <c r="E137" s="626">
        <v>22.5</v>
      </c>
      <c r="F137" s="3" cm="1">
        <f t="array" aca="1" ref="F137" ca="1">OFFSET(E137,-1,1)</f>
        <v>0</v>
      </c>
      <c r="G137" s="77" t="s">
        <v>372</v>
      </c>
      <c r="I137" s="77" t="s">
        <v>547</v>
      </c>
      <c r="K137" s="77" t="s">
        <v>547</v>
      </c>
      <c r="L137" s="889"/>
      <c r="M137" s="26"/>
      <c r="T137" s="388" t="b" cm="1">
        <f t="array" aca="1" ref="T137" ca="1">T136</f>
        <v>0</v>
      </c>
      <c r="X137" s="2032"/>
      <c r="Z137" s="2012"/>
      <c r="AB137" s="218" t="str">
        <f>D137&amp;".1"</f>
        <v>7.1</v>
      </c>
      <c r="AC137" s="682" t="s">
        <v>2129</v>
      </c>
      <c r="AD137" s="218" t="s">
        <v>831</v>
      </c>
      <c r="AE137" s="1162"/>
      <c r="AF137" s="1162"/>
      <c r="AG137" s="1162"/>
      <c r="AH137" s="855">
        <f t="shared" ref="AH137:AH150" si="25">AG137-AF137</f>
        <v>0</v>
      </c>
      <c r="AI137" s="1160"/>
      <c r="AJ137" s="1568">
        <f ca="1">SUMIFS('Корректировка НВВ'!$AF$25:$AF$180,'Корректировка НВВ'!$F$25:$F$180,$F137,'Корректировка НВВ'!$I$25:$I$180,$G137)</f>
        <v>0</v>
      </c>
      <c r="AK137" s="1160"/>
      <c r="AL137" s="1160"/>
      <c r="AM137" s="1160"/>
      <c r="AN137" s="1160"/>
      <c r="AO137" s="1160"/>
      <c r="AP137" s="1160"/>
      <c r="AQ137" s="1160"/>
      <c r="AR137" s="1160"/>
      <c r="AS137" s="1160"/>
      <c r="AT137" s="1568">
        <f ca="1">SUMIFS('Корректировка НВВ'!$AG$25:$AG$180,'Корректировка НВВ'!$F$25:$F$180,$F137,'Корректировка НВВ'!$I$25:$I$180,$G137)</f>
        <v>0</v>
      </c>
      <c r="AU137" s="1160"/>
      <c r="AV137" s="1160"/>
      <c r="AW137" s="1160"/>
      <c r="AX137" s="1160"/>
      <c r="AY137" s="1160"/>
      <c r="AZ137" s="1160"/>
      <c r="BA137" s="1160"/>
      <c r="BB137" s="1160"/>
      <c r="BC137" s="1160"/>
      <c r="BD137" s="854"/>
      <c r="BE137" s="854"/>
      <c r="BF137" s="854"/>
      <c r="BG137" s="854"/>
      <c r="BH137" s="854"/>
      <c r="BI137" s="854"/>
      <c r="BJ137" s="854"/>
      <c r="BK137" s="854"/>
      <c r="BL137" s="854"/>
      <c r="BM137" s="854"/>
      <c r="BN137" s="1163"/>
      <c r="BO137" s="1161" t="str">
        <f ca="1">IF(IFERROR(INDEX('Корректировка НВВ'!$K$26:$L$180,MATCH($F137&amp;"1komm",'Корректировка НВВ'!$K$26:$K$180,0),2),"")=0,"",IFERROR(INDEX('Корректировка НВВ'!$K$26:$L$180,MATCH($F137&amp;"1komm",'Корректировка НВВ'!$K$26:$K$180,0),2),""))</f>
        <v/>
      </c>
      <c r="BP137" s="1163"/>
      <c r="BS137" s="973" t="s">
        <v>2130</v>
      </c>
    </row>
    <row r="138" spans="2:75" ht="98.65" hidden="1" customHeight="1" x14ac:dyDescent="0.15">
      <c r="D138" s="26" t="str" cm="1">
        <f t="array" ref="D138">D137</f>
        <v>7</v>
      </c>
      <c r="E138" s="626">
        <v>101.25</v>
      </c>
      <c r="F138" s="3" cm="1">
        <f t="array" aca="1" ref="F138" ca="1">OFFSET(E138,-1,1)</f>
        <v>0</v>
      </c>
      <c r="G138" s="77" t="s">
        <v>2131</v>
      </c>
      <c r="I138" s="77" t="s">
        <v>591</v>
      </c>
      <c r="K138" s="77" t="s">
        <v>591</v>
      </c>
      <c r="L138" s="889"/>
      <c r="M138" s="26"/>
      <c r="T138" s="388" t="b" cm="1">
        <f t="array" aca="1" ref="T138" ca="1">T137</f>
        <v>0</v>
      </c>
      <c r="X138" s="2032"/>
      <c r="Z138" s="2012"/>
      <c r="AB138" s="218" t="str">
        <f>D138&amp;".2"</f>
        <v>7.2</v>
      </c>
      <c r="AC138" s="682" t="s">
        <v>2132</v>
      </c>
      <c r="AD138" s="218" t="s">
        <v>831</v>
      </c>
      <c r="AE138" s="1162"/>
      <c r="AF138" s="1162"/>
      <c r="AG138" s="1162"/>
      <c r="AH138" s="855">
        <f t="shared" si="25"/>
        <v>0</v>
      </c>
      <c r="AI138" s="1160"/>
      <c r="AJ138" s="1568">
        <f ca="1">SUMIFS('Корректировка НВВ'!$AF$25:$AF$180,'Корректировка НВВ'!$F$25:$F$180,$F138,'Корректировка НВВ'!$I$25:$I$180,$G138)</f>
        <v>0</v>
      </c>
      <c r="AK138" s="1160"/>
      <c r="AL138" s="1160"/>
      <c r="AM138" s="1160"/>
      <c r="AN138" s="1160"/>
      <c r="AO138" s="1160"/>
      <c r="AP138" s="1160"/>
      <c r="AQ138" s="1160"/>
      <c r="AR138" s="1160"/>
      <c r="AS138" s="1160"/>
      <c r="AT138" s="1568">
        <f ca="1">SUMIFS('Корректировка НВВ'!$AG$25:$AG$180,'Корректировка НВВ'!$F$25:$F$180,$F138,'Корректировка НВВ'!$I$25:$I$180,$G138)</f>
        <v>0</v>
      </c>
      <c r="AU138" s="1160"/>
      <c r="AV138" s="1160"/>
      <c r="AW138" s="1160"/>
      <c r="AX138" s="1160"/>
      <c r="AY138" s="1160"/>
      <c r="AZ138" s="1160"/>
      <c r="BA138" s="1160"/>
      <c r="BB138" s="1160"/>
      <c r="BC138" s="1160"/>
      <c r="BD138" s="854"/>
      <c r="BE138" s="854"/>
      <c r="BF138" s="854"/>
      <c r="BG138" s="854"/>
      <c r="BH138" s="854"/>
      <c r="BI138" s="854"/>
      <c r="BJ138" s="854"/>
      <c r="BK138" s="854"/>
      <c r="BL138" s="854"/>
      <c r="BM138" s="854"/>
      <c r="BN138" s="1163"/>
      <c r="BO138" s="1161" t="str">
        <f ca="1">IF(IFERROR(INDEX('Корректировка НВВ'!$K$26:$L$180,MATCH($F138&amp;"2komm",'Корректировка НВВ'!$K$26:$K$180,0),2),"")=0,"",IFERROR(INDEX('Корректировка НВВ'!$K$26:$L$180,MATCH($F138&amp;"2komm",'Корректировка НВВ'!$K$26:$K$180,0),2),""))</f>
        <v/>
      </c>
      <c r="BP138" s="1163"/>
      <c r="BS138" s="973" t="s">
        <v>2133</v>
      </c>
    </row>
    <row r="139" spans="2:75" ht="43.9" hidden="1" customHeight="1" x14ac:dyDescent="0.15">
      <c r="D139" s="26" t="str" cm="1">
        <f t="array" ref="D139">D138</f>
        <v>7</v>
      </c>
      <c r="E139" s="626">
        <v>45</v>
      </c>
      <c r="F139" s="3" cm="1">
        <f t="array" aca="1" ref="F139" ca="1">OFFSET(E139,-1,1)</f>
        <v>0</v>
      </c>
      <c r="I139" s="77" t="s">
        <v>606</v>
      </c>
      <c r="K139" s="77" t="s">
        <v>606</v>
      </c>
      <c r="L139" s="889"/>
      <c r="M139" s="26"/>
      <c r="T139" s="388" t="b" cm="1">
        <f t="array" aca="1" ref="T139" ca="1">T138</f>
        <v>0</v>
      </c>
      <c r="X139" s="2032"/>
      <c r="Z139" s="2012"/>
      <c r="AB139" s="218" t="str">
        <f>D139&amp;".3"</f>
        <v>7.3</v>
      </c>
      <c r="AC139" s="682" t="s">
        <v>2134</v>
      </c>
      <c r="AD139" s="218" t="s">
        <v>831</v>
      </c>
      <c r="AE139" s="1162"/>
      <c r="AF139" s="1162"/>
      <c r="AG139" s="1162"/>
      <c r="AH139" s="855">
        <f t="shared" si="25"/>
        <v>0</v>
      </c>
      <c r="AI139" s="1160"/>
      <c r="AJ139" s="1568">
        <f ca="1">SUMIFS('Корректировка НВВ'!$AF$25:$AF$180,'Корректировка НВВ'!$F$25:$F$180,$F139,'Корректировка НВВ'!$I$25:$I$180,"L1")+SUMIFS('Корректировка НВВ'!$AF$25:$AF$180,'Корректировка НВВ'!$F$25:$F$180,$F139,'Корректировка НВВ'!$I$25:$I$180,"L2")</f>
        <v>0</v>
      </c>
      <c r="AK139" s="1160"/>
      <c r="AL139" s="1160"/>
      <c r="AM139" s="1160"/>
      <c r="AN139" s="1160"/>
      <c r="AO139" s="1160"/>
      <c r="AP139" s="1160"/>
      <c r="AQ139" s="1160"/>
      <c r="AR139" s="1160"/>
      <c r="AS139" s="1160"/>
      <c r="AT139" s="1568">
        <f ca="1">SUMIFS('Корректировка НВВ'!$AG$25:$AG$180,'Корректировка НВВ'!$F$25:$F$180,$F139,'Корректировка НВВ'!$I$25:$I$180,"L1")+SUMIFS('Корректировка НВВ'!$AF$25:$AF$180,'Корректировка НВВ'!$F$25:$F$180,$F139,'Корректировка НВВ'!$I$25:$I$180,"L2")</f>
        <v>0</v>
      </c>
      <c r="AU139" s="1160"/>
      <c r="AV139" s="1160"/>
      <c r="AW139" s="1160"/>
      <c r="AX139" s="1160"/>
      <c r="AY139" s="1160"/>
      <c r="AZ139" s="1160"/>
      <c r="BA139" s="1160"/>
      <c r="BB139" s="1160"/>
      <c r="BC139" s="1160"/>
      <c r="BD139" s="854"/>
      <c r="BE139" s="854"/>
      <c r="BF139" s="854"/>
      <c r="BG139" s="854"/>
      <c r="BH139" s="854"/>
      <c r="BI139" s="854"/>
      <c r="BJ139" s="854"/>
      <c r="BK139" s="854"/>
      <c r="BL139" s="854"/>
      <c r="BM139" s="854"/>
      <c r="BN139" s="1163"/>
      <c r="BO139" s="1161"/>
      <c r="BP139" s="1163"/>
      <c r="BS139" s="973" t="s">
        <v>2135</v>
      </c>
    </row>
    <row r="140" spans="2:75" ht="87.75" hidden="1" customHeight="1" x14ac:dyDescent="0.25">
      <c r="B140" s="367" t="b">
        <f>S27="Водоотведение"</f>
        <v>0</v>
      </c>
      <c r="D140" s="26" t="str" cm="1">
        <f t="array" ref="D140">D139</f>
        <v>7</v>
      </c>
      <c r="E140" s="626">
        <v>90</v>
      </c>
      <c r="F140" s="3" cm="1">
        <f t="array" aca="1" ref="F140" ca="1">OFFSET(E140,-1,1)</f>
        <v>0</v>
      </c>
      <c r="G140" s="77" t="s">
        <v>2136</v>
      </c>
      <c r="H140" s="2"/>
      <c r="I140" s="77" t="s">
        <v>772</v>
      </c>
      <c r="K140" s="77" t="s">
        <v>772</v>
      </c>
      <c r="L140" s="889" t="s">
        <v>770</v>
      </c>
      <c r="M140" s="26"/>
      <c r="T140" s="388" t="b" cm="1">
        <f t="array" aca="1" ref="T140" ca="1">T139</f>
        <v>0</v>
      </c>
      <c r="X140" s="2032"/>
      <c r="Z140" s="2012"/>
      <c r="AB140" s="218" t="str">
        <f>D140&amp;".4"</f>
        <v>7.4</v>
      </c>
      <c r="AC140" s="682" t="s">
        <v>1799</v>
      </c>
      <c r="AD140" s="686" t="s">
        <v>831</v>
      </c>
      <c r="AE140" s="1162"/>
      <c r="AF140" s="1162"/>
      <c r="AG140" s="1162"/>
      <c r="AH140" s="855">
        <f t="shared" si="25"/>
        <v>0</v>
      </c>
      <c r="AI140" s="1160"/>
      <c r="AJ140" s="1568">
        <f ca="1">SUMIFS('Корректировка НВВ'!$AF$25:$AF$180,'Корректировка НВВ'!$F$25:$F$180,$F140,'Корректировка НВВ'!$I$25:$I$180,$G140)</f>
        <v>0</v>
      </c>
      <c r="AK140" s="1160"/>
      <c r="AL140" s="1160"/>
      <c r="AM140" s="1160"/>
      <c r="AN140" s="1160"/>
      <c r="AO140" s="1160"/>
      <c r="AP140" s="1160"/>
      <c r="AQ140" s="1160"/>
      <c r="AR140" s="1160"/>
      <c r="AS140" s="1160"/>
      <c r="AT140" s="1568">
        <f ca="1">SUMIFS('Корректировка НВВ'!$AG$25:$AG$180,'Корректировка НВВ'!$F$25:$F$180,$F140,'Корректировка НВВ'!$I$25:$I$180,$G140)</f>
        <v>0</v>
      </c>
      <c r="AU140" s="1160"/>
      <c r="AV140" s="1160"/>
      <c r="AW140" s="1160"/>
      <c r="AX140" s="1160"/>
      <c r="AY140" s="1160"/>
      <c r="AZ140" s="1160"/>
      <c r="BA140" s="1160"/>
      <c r="BB140" s="1160"/>
      <c r="BC140" s="1160"/>
      <c r="BD140" s="854"/>
      <c r="BE140" s="854"/>
      <c r="BF140" s="854"/>
      <c r="BG140" s="854"/>
      <c r="BH140" s="854"/>
      <c r="BI140" s="854"/>
      <c r="BJ140" s="854"/>
      <c r="BK140" s="854"/>
      <c r="BL140" s="854"/>
      <c r="BM140" s="854"/>
      <c r="BN140" s="1163"/>
      <c r="BO140" s="1161" t="str">
        <f ca="1">IF(IFERROR(INDEX('Корректировка НВВ'!$K$26:$L$180,MATCH($F140&amp;"3komm",'Корректировка НВВ'!$K$26:$K$180,0),2),"")=0,"",IFERROR(INDEX('Корректировка НВВ'!$K$26:$L$180,MATCH($F140&amp;"3komm",'Корректировка НВВ'!$K$26:$K$180,0),2),""))</f>
        <v/>
      </c>
      <c r="BP140" s="1163"/>
      <c r="BS140" s="973" t="s">
        <v>1331</v>
      </c>
    </row>
    <row r="141" spans="2:75" ht="54.75" hidden="1" customHeight="1" x14ac:dyDescent="0.25">
      <c r="B141" s="367" t="b" cm="1">
        <f t="array" ref="B141">B140</f>
        <v>0</v>
      </c>
      <c r="D141" s="26" t="str" cm="1">
        <f t="array" ref="D141">D140</f>
        <v>7</v>
      </c>
      <c r="E141" s="626">
        <v>56.25</v>
      </c>
      <c r="F141" s="3" cm="1">
        <f t="array" aca="1" ref="F141" ca="1">OFFSET(E141,-1,1)</f>
        <v>0</v>
      </c>
      <c r="G141" s="77" t="s">
        <v>2137</v>
      </c>
      <c r="H141" s="2"/>
      <c r="I141" s="77" t="s">
        <v>809</v>
      </c>
      <c r="K141" s="77" t="s">
        <v>809</v>
      </c>
      <c r="L141" s="889" t="s">
        <v>772</v>
      </c>
      <c r="M141" s="26"/>
      <c r="T141" s="388" t="b" cm="1">
        <f t="array" aca="1" ref="T141" ca="1">T140</f>
        <v>0</v>
      </c>
      <c r="X141" s="2032"/>
      <c r="Z141" s="2012"/>
      <c r="AB141" s="218" t="str">
        <f>D141&amp;".5"</f>
        <v>7.5</v>
      </c>
      <c r="AC141" s="682" t="s">
        <v>1800</v>
      </c>
      <c r="AD141" s="686" t="s">
        <v>831</v>
      </c>
      <c r="AE141" s="1162"/>
      <c r="AF141" s="1162"/>
      <c r="AG141" s="1162"/>
      <c r="AH141" s="855">
        <f t="shared" si="25"/>
        <v>0</v>
      </c>
      <c r="AI141" s="1160"/>
      <c r="AJ141" s="1568">
        <f ca="1">SUMIFS('Корректировка НВВ'!$AF$25:$AF$180,'Корректировка НВВ'!$F$25:$F$180,$F141,'Корректировка НВВ'!$I$25:$I$180,$G141)</f>
        <v>0</v>
      </c>
      <c r="AK141" s="1160"/>
      <c r="AL141" s="1160"/>
      <c r="AM141" s="1160"/>
      <c r="AN141" s="1160"/>
      <c r="AO141" s="1160"/>
      <c r="AP141" s="1160"/>
      <c r="AQ141" s="1160"/>
      <c r="AR141" s="1160"/>
      <c r="AS141" s="1160"/>
      <c r="AT141" s="1568">
        <f ca="1">SUMIFS('Корректировка НВВ'!$AG$25:$AG$180,'Корректировка НВВ'!$F$25:$F$180,$F141,'Корректировка НВВ'!$I$25:$I$180,$G141)</f>
        <v>0</v>
      </c>
      <c r="AU141" s="1160"/>
      <c r="AV141" s="1160"/>
      <c r="AW141" s="1160"/>
      <c r="AX141" s="1160"/>
      <c r="AY141" s="1160"/>
      <c r="AZ141" s="1160"/>
      <c r="BA141" s="1160"/>
      <c r="BB141" s="1160"/>
      <c r="BC141" s="1160"/>
      <c r="BD141" s="854"/>
      <c r="BE141" s="854"/>
      <c r="BF141" s="854"/>
      <c r="BG141" s="854"/>
      <c r="BH141" s="854"/>
      <c r="BI141" s="854"/>
      <c r="BJ141" s="854"/>
      <c r="BK141" s="854"/>
      <c r="BL141" s="854"/>
      <c r="BM141" s="854"/>
      <c r="BN141" s="1163"/>
      <c r="BO141" s="1161" t="str">
        <f ca="1">IF(IFERROR(INDEX('Корректировка НВВ'!$K$26:$L$180,MATCH($F141&amp;"4komm",'Корректировка НВВ'!$K$26:$K$180,0),2),"")=0,"",IFERROR(INDEX('Корректировка НВВ'!$K$26:$L$180,MATCH($F141&amp;"4komm",'Корректировка НВВ'!$K$26:$K$180,0),2),""))</f>
        <v/>
      </c>
      <c r="BP141" s="1163"/>
      <c r="BS141" s="973" t="s">
        <v>1335</v>
      </c>
    </row>
    <row r="142" spans="2:75" ht="14.65" hidden="1" customHeight="1" x14ac:dyDescent="0.15">
      <c r="D142" s="26" t="str" cm="1">
        <f t="array" ref="D142">D141</f>
        <v>7</v>
      </c>
      <c r="E142" s="626">
        <v>15</v>
      </c>
      <c r="F142" s="3" cm="1">
        <f t="array" aca="1" ref="F142" ca="1">OFFSET(E142,-1,1)</f>
        <v>0</v>
      </c>
      <c r="G142" s="77" t="s">
        <v>2138</v>
      </c>
      <c r="I142" s="77" t="s">
        <v>810</v>
      </c>
      <c r="K142" s="77" t="s">
        <v>810</v>
      </c>
      <c r="L142" s="889" t="s">
        <v>809</v>
      </c>
      <c r="M142" s="26"/>
      <c r="T142" s="388" t="b" cm="1">
        <f t="array" aca="1" ref="T142" ca="1">T141</f>
        <v>0</v>
      </c>
      <c r="X142" s="2032"/>
      <c r="Z142" s="2012"/>
      <c r="AB142" s="218" t="str">
        <f>IF(B141,D142&amp;".6",D142&amp;".4")</f>
        <v>7.4</v>
      </c>
      <c r="AC142" s="682" t="s">
        <v>1550</v>
      </c>
      <c r="AD142" s="218" t="s">
        <v>831</v>
      </c>
      <c r="AE142" s="1162"/>
      <c r="AF142" s="1162"/>
      <c r="AG142" s="1162"/>
      <c r="AH142" s="855">
        <f t="shared" si="25"/>
        <v>0</v>
      </c>
      <c r="AI142" s="1160"/>
      <c r="AJ142" s="1568">
        <f ca="1">SUMIFS('Корректировка НВВ'!$AF$25:$AF$180,'Корректировка НВВ'!$F$25:$F$180,$F142,'Корректировка НВВ'!$I$25:$I$180,$G142)</f>
        <v>0</v>
      </c>
      <c r="AK142" s="1160"/>
      <c r="AL142" s="1160"/>
      <c r="AM142" s="1160"/>
      <c r="AN142" s="1160"/>
      <c r="AO142" s="1160"/>
      <c r="AP142" s="1160"/>
      <c r="AQ142" s="1160"/>
      <c r="AR142" s="1160"/>
      <c r="AS142" s="1160"/>
      <c r="AT142" s="1568">
        <f ca="1">SUMIFS('Корректировка НВВ'!$AG$25:$AG$180,'Корректировка НВВ'!$F$25:$F$180,$F142,'Корректировка НВВ'!$I$25:$I$180,$G142)</f>
        <v>0</v>
      </c>
      <c r="AU142" s="1160"/>
      <c r="AV142" s="1160"/>
      <c r="AW142" s="1160"/>
      <c r="AX142" s="1160"/>
      <c r="AY142" s="1160"/>
      <c r="AZ142" s="1160"/>
      <c r="BA142" s="1160"/>
      <c r="BB142" s="1160"/>
      <c r="BC142" s="1160"/>
      <c r="BD142" s="854"/>
      <c r="BE142" s="854"/>
      <c r="BF142" s="854"/>
      <c r="BG142" s="854"/>
      <c r="BH142" s="854"/>
      <c r="BI142" s="854"/>
      <c r="BJ142" s="854"/>
      <c r="BK142" s="854"/>
      <c r="BL142" s="854"/>
      <c r="BM142" s="854"/>
      <c r="BN142" s="1163"/>
      <c r="BO142" s="1161" t="str">
        <f ca="1">IF(IFERROR(INDEX('Корректировка НВВ'!$K$26:$L$180,MATCH($F142&amp;"5komm",'Корректировка НВВ'!$K$26:$K$180,0),2),"")=0,"",IFERROR(INDEX('Корректировка НВВ'!$K$26:$L$180,MATCH($F142&amp;"5komm",'Корректировка НВВ'!$K$26:$K$180,0),2),""))</f>
        <v/>
      </c>
      <c r="BP142" s="1163"/>
      <c r="BS142" s="973" t="s">
        <v>2139</v>
      </c>
    </row>
    <row r="143" spans="2:75" ht="14.65" hidden="1" customHeight="1" x14ac:dyDescent="0.15">
      <c r="D143" s="26" t="str" cm="1">
        <f t="array" ref="D143">D142</f>
        <v>7</v>
      </c>
      <c r="E143" s="626">
        <v>15</v>
      </c>
      <c r="F143" s="3" cm="1">
        <f t="array" aca="1" ref="F143" ca="1">OFFSET(E143,-1,1)</f>
        <v>0</v>
      </c>
      <c r="G143" s="77" t="s">
        <v>2140</v>
      </c>
      <c r="I143" s="77" t="s">
        <v>1809</v>
      </c>
      <c r="K143" s="77" t="s">
        <v>1809</v>
      </c>
      <c r="L143" s="889" t="s">
        <v>810</v>
      </c>
      <c r="M143" s="26"/>
      <c r="T143" s="388" t="b" cm="1">
        <f t="array" aca="1" ref="T143" ca="1">T142</f>
        <v>0</v>
      </c>
      <c r="X143" s="2032"/>
      <c r="Z143" s="2012"/>
      <c r="AB143" s="218" t="str">
        <f>IF(B141,D142&amp;".7",D142&amp;".5")</f>
        <v>7.5</v>
      </c>
      <c r="AC143" s="682" t="s">
        <v>1512</v>
      </c>
      <c r="AD143" s="218" t="s">
        <v>831</v>
      </c>
      <c r="AE143" s="1162">
        <f>AE144+AE145</f>
        <v>0</v>
      </c>
      <c r="AF143" s="1162">
        <f>AF144+AF145</f>
        <v>0</v>
      </c>
      <c r="AG143" s="1162">
        <f>AG144+AG145</f>
        <v>0</v>
      </c>
      <c r="AH143" s="855">
        <f t="shared" si="25"/>
        <v>0</v>
      </c>
      <c r="AI143" s="1160">
        <f>AI144+AI145</f>
        <v>0</v>
      </c>
      <c r="AJ143" s="1568">
        <f ca="1">SUMIFS('Корректировка НВВ'!$AF$25:$AF$180,'Корректировка НВВ'!$F$25:$F$180,$F143,'Корректировка НВВ'!$I$25:$I$180,$G143)</f>
        <v>0</v>
      </c>
      <c r="AK143" s="1160">
        <f t="shared" ref="AK143:AS143" si="26">AK144+AK145</f>
        <v>0</v>
      </c>
      <c r="AL143" s="1160">
        <f t="shared" si="26"/>
        <v>0</v>
      </c>
      <c r="AM143" s="1160">
        <f t="shared" si="26"/>
        <v>0</v>
      </c>
      <c r="AN143" s="1160">
        <f t="shared" si="26"/>
        <v>0</v>
      </c>
      <c r="AO143" s="1160">
        <f t="shared" si="26"/>
        <v>0</v>
      </c>
      <c r="AP143" s="1160">
        <f t="shared" si="26"/>
        <v>0</v>
      </c>
      <c r="AQ143" s="1160">
        <f t="shared" si="26"/>
        <v>0</v>
      </c>
      <c r="AR143" s="1160">
        <f t="shared" si="26"/>
        <v>0</v>
      </c>
      <c r="AS143" s="1160">
        <f t="shared" si="26"/>
        <v>0</v>
      </c>
      <c r="AT143" s="1568">
        <f ca="1">SUMIFS('Корректировка НВВ'!$AG$25:$AG$180,'Корректировка НВВ'!$F$25:$F$180,$F143,'Корректировка НВВ'!$I$25:$I$180,$G143)</f>
        <v>0</v>
      </c>
      <c r="AU143" s="1160">
        <f t="shared" ref="AU143:BC143" si="27">AU144+AU145</f>
        <v>0</v>
      </c>
      <c r="AV143" s="1160">
        <f t="shared" si="27"/>
        <v>0</v>
      </c>
      <c r="AW143" s="1160">
        <f t="shared" si="27"/>
        <v>0</v>
      </c>
      <c r="AX143" s="1160">
        <f t="shared" si="27"/>
        <v>0</v>
      </c>
      <c r="AY143" s="1160">
        <f t="shared" si="27"/>
        <v>0</v>
      </c>
      <c r="AZ143" s="1160">
        <f t="shared" si="27"/>
        <v>0</v>
      </c>
      <c r="BA143" s="1160">
        <f t="shared" si="27"/>
        <v>0</v>
      </c>
      <c r="BB143" s="1160">
        <f t="shared" si="27"/>
        <v>0</v>
      </c>
      <c r="BC143" s="1160">
        <f t="shared" si="27"/>
        <v>0</v>
      </c>
      <c r="BD143" s="855">
        <f>IF(AI143=0,0,(AT143-AI143)/AI143*100)</f>
        <v>0</v>
      </c>
      <c r="BE143" s="855">
        <f t="shared" ref="BE143:BM143" ca="1" si="28">IF(AT143=0,0,(AU143-AT143)/AT143*100)</f>
        <v>0</v>
      </c>
      <c r="BF143" s="855">
        <f t="shared" si="28"/>
        <v>0</v>
      </c>
      <c r="BG143" s="855">
        <f t="shared" si="28"/>
        <v>0</v>
      </c>
      <c r="BH143" s="855">
        <f t="shared" si="28"/>
        <v>0</v>
      </c>
      <c r="BI143" s="855">
        <f t="shared" si="28"/>
        <v>0</v>
      </c>
      <c r="BJ143" s="855">
        <f t="shared" si="28"/>
        <v>0</v>
      </c>
      <c r="BK143" s="855">
        <f t="shared" si="28"/>
        <v>0</v>
      </c>
      <c r="BL143" s="855">
        <f t="shared" si="28"/>
        <v>0</v>
      </c>
      <c r="BM143" s="855">
        <f t="shared" si="28"/>
        <v>0</v>
      </c>
      <c r="BN143" s="1163"/>
      <c r="BO143" s="1161" t="str">
        <f ca="1">IF(IFERROR(INDEX('Корректировка НВВ'!$K$26:$L$180,MATCH($F143&amp;"6komm",'Корректировка НВВ'!$K$26:$K$180,0),2),"")=0,"",IFERROR(INDEX('Корректировка НВВ'!$K$26:$L$180,MATCH($F143&amp;"6komm",'Корректировка НВВ'!$K$26:$K$180,0),2),""))</f>
        <v/>
      </c>
      <c r="BP143" s="1163"/>
      <c r="BS143" s="973" t="s">
        <v>1514</v>
      </c>
    </row>
    <row r="144" spans="2:75" ht="21.95" hidden="1" customHeight="1" x14ac:dyDescent="0.15">
      <c r="D144" s="26" t="str" cm="1">
        <f t="array" ref="D144">D143</f>
        <v>7</v>
      </c>
      <c r="E144" s="626">
        <v>22.5</v>
      </c>
      <c r="F144" s="3" cm="1">
        <f t="array" aca="1" ref="F144" ca="1">OFFSET(E144,-1,1)</f>
        <v>0</v>
      </c>
      <c r="G144" s="77" t="s">
        <v>2141</v>
      </c>
      <c r="I144" s="77" t="s">
        <v>2142</v>
      </c>
      <c r="K144" s="77" t="s">
        <v>2142</v>
      </c>
      <c r="L144" s="889" t="s">
        <v>1804</v>
      </c>
      <c r="M144" s="26"/>
      <c r="T144" s="388" t="b" cm="1">
        <f t="array" aca="1" ref="T144" ca="1">T143</f>
        <v>0</v>
      </c>
      <c r="X144" s="2032"/>
      <c r="Z144" s="2012"/>
      <c r="AB144" s="218" t="str">
        <f>AB143&amp;".1"</f>
        <v>7.5.1</v>
      </c>
      <c r="AC144" s="701" t="s">
        <v>1515</v>
      </c>
      <c r="AD144" s="218" t="s">
        <v>831</v>
      </c>
      <c r="AE144" s="1162"/>
      <c r="AF144" s="1162"/>
      <c r="AG144" s="1162"/>
      <c r="AH144" s="855">
        <f t="shared" si="25"/>
        <v>0</v>
      </c>
      <c r="AI144" s="1160"/>
      <c r="AJ144" s="1568">
        <f ca="1">SUMIFS('Корректировка НВВ'!$AF$25:$AF$180,'Корректировка НВВ'!$F$25:$F$180,$F144,'Корректировка НВВ'!$I$25:$I$180,$G144)</f>
        <v>0</v>
      </c>
      <c r="AK144" s="1160"/>
      <c r="AL144" s="1160"/>
      <c r="AM144" s="1160"/>
      <c r="AN144" s="1160"/>
      <c r="AO144" s="1160"/>
      <c r="AP144" s="1160"/>
      <c r="AQ144" s="1160"/>
      <c r="AR144" s="1160"/>
      <c r="AS144" s="1160"/>
      <c r="AT144" s="1568">
        <f ca="1">SUMIFS('Корректировка НВВ'!$AG$25:$AG$180,'Корректировка НВВ'!$F$25:$F$180,$F144,'Корректировка НВВ'!$I$25:$I$180,$G144)</f>
        <v>0</v>
      </c>
      <c r="AU144" s="1160"/>
      <c r="AV144" s="1160"/>
      <c r="AW144" s="1160"/>
      <c r="AX144" s="1160"/>
      <c r="AY144" s="1160"/>
      <c r="AZ144" s="1160"/>
      <c r="BA144" s="1160"/>
      <c r="BB144" s="1160"/>
      <c r="BC144" s="1160"/>
      <c r="BD144" s="854"/>
      <c r="BE144" s="854"/>
      <c r="BF144" s="854"/>
      <c r="BG144" s="854"/>
      <c r="BH144" s="854"/>
      <c r="BI144" s="854"/>
      <c r="BJ144" s="854"/>
      <c r="BK144" s="854"/>
      <c r="BL144" s="854"/>
      <c r="BM144" s="854"/>
      <c r="BN144" s="1163"/>
      <c r="BO144" s="1161" t="str">
        <f ca="1">IF(IFERROR(INDEX('Корректировка НВВ'!$K$26:$L$180,MATCH($F144&amp;"7komm",'Корректировка НВВ'!$K$26:$K$180,0),2),"")=0,"",IFERROR(INDEX('Корректировка НВВ'!$K$26:$L$180,MATCH($F144&amp;"7komm",'Корректировка НВВ'!$K$26:$K$180,0),2),""))</f>
        <v/>
      </c>
      <c r="BP144" s="1163"/>
      <c r="BS144" s="973" t="s">
        <v>1516</v>
      </c>
    </row>
    <row r="145" spans="2:75" ht="21.95" hidden="1" customHeight="1" x14ac:dyDescent="0.15">
      <c r="D145" s="26" t="str" cm="1">
        <f t="array" ref="D145">D144</f>
        <v>7</v>
      </c>
      <c r="E145" s="626">
        <v>22.5</v>
      </c>
      <c r="F145" s="3" cm="1">
        <f t="array" aca="1" ref="F145" ca="1">OFFSET(E145,-1,1)</f>
        <v>0</v>
      </c>
      <c r="G145" s="77" t="s">
        <v>2143</v>
      </c>
      <c r="I145" s="77" t="s">
        <v>2144</v>
      </c>
      <c r="K145" s="77" t="s">
        <v>2144</v>
      </c>
      <c r="L145" s="889" t="s">
        <v>1806</v>
      </c>
      <c r="M145" s="26"/>
      <c r="T145" s="388" t="b" cm="1">
        <f t="array" aca="1" ref="T145" ca="1">T144</f>
        <v>0</v>
      </c>
      <c r="X145" s="2032"/>
      <c r="Z145" s="2012"/>
      <c r="AB145" s="218" t="str">
        <f>AB143&amp;".2"</f>
        <v>7.5.2</v>
      </c>
      <c r="AC145" s="701" t="s">
        <v>1517</v>
      </c>
      <c r="AD145" s="218" t="s">
        <v>831</v>
      </c>
      <c r="AE145" s="1162"/>
      <c r="AF145" s="1162"/>
      <c r="AG145" s="1162"/>
      <c r="AH145" s="855">
        <f t="shared" si="25"/>
        <v>0</v>
      </c>
      <c r="AI145" s="1160"/>
      <c r="AJ145" s="1568">
        <f ca="1">SUMIFS('Корректировка НВВ'!$AF$25:$AF$180,'Корректировка НВВ'!$F$25:$F$180,$F145,'Корректировка НВВ'!$I$25:$I$180,$G145)</f>
        <v>0</v>
      </c>
      <c r="AK145" s="1160"/>
      <c r="AL145" s="1160"/>
      <c r="AM145" s="1160"/>
      <c r="AN145" s="1160"/>
      <c r="AO145" s="1160"/>
      <c r="AP145" s="1160"/>
      <c r="AQ145" s="1160"/>
      <c r="AR145" s="1160"/>
      <c r="AS145" s="1160"/>
      <c r="AT145" s="1568">
        <f ca="1">SUMIFS('Корректировка НВВ'!$AG$25:$AG$180,'Корректировка НВВ'!$F$25:$F$180,$F145,'Корректировка НВВ'!$I$25:$I$180,$G145)</f>
        <v>0</v>
      </c>
      <c r="AU145" s="1160"/>
      <c r="AV145" s="1160"/>
      <c r="AW145" s="1160"/>
      <c r="AX145" s="1160"/>
      <c r="AY145" s="1160"/>
      <c r="AZ145" s="1160"/>
      <c r="BA145" s="1160"/>
      <c r="BB145" s="1160"/>
      <c r="BC145" s="1160"/>
      <c r="BD145" s="854"/>
      <c r="BE145" s="854"/>
      <c r="BF145" s="854"/>
      <c r="BG145" s="854"/>
      <c r="BH145" s="854"/>
      <c r="BI145" s="854"/>
      <c r="BJ145" s="854"/>
      <c r="BK145" s="854"/>
      <c r="BL145" s="854"/>
      <c r="BM145" s="854"/>
      <c r="BN145" s="1163"/>
      <c r="BO145" s="1161" t="str">
        <f ca="1">IF(IFERROR(INDEX('Корректировка НВВ'!$K$26:$L$180,MATCH($F145&amp;"8komm",'Корректировка НВВ'!$K$26:$K$180,0),2),"")=0,"",IFERROR(INDEX('Корректировка НВВ'!$K$26:$L$180,MATCH($F145&amp;"8komm",'Корректировка НВВ'!$K$26:$K$180,0),2),""))</f>
        <v/>
      </c>
      <c r="BP145" s="1163"/>
      <c r="BS145" s="973" t="s">
        <v>1518</v>
      </c>
    </row>
    <row r="146" spans="2:75" ht="14.65" hidden="1" customHeight="1" x14ac:dyDescent="0.15">
      <c r="D146" s="26" t="str" cm="1">
        <f t="array" ref="D146">D145</f>
        <v>7</v>
      </c>
      <c r="E146" s="626">
        <v>15</v>
      </c>
      <c r="F146" s="3" cm="1">
        <f t="array" aca="1" ref="F146" ca="1">OFFSET(E146,-1,1)</f>
        <v>0</v>
      </c>
      <c r="G146" s="77" t="s">
        <v>318</v>
      </c>
      <c r="I146" s="77" t="s">
        <v>1810</v>
      </c>
      <c r="K146" s="77" t="s">
        <v>1810</v>
      </c>
      <c r="L146" s="889" t="s">
        <v>1809</v>
      </c>
      <c r="M146" s="26"/>
      <c r="T146" s="388" t="b" cm="1">
        <f t="array" aca="1" ref="T146" ca="1">T145</f>
        <v>0</v>
      </c>
      <c r="X146" s="2032"/>
      <c r="Z146" s="2012"/>
      <c r="AB146" s="218" t="str">
        <f>IF(B141,D142&amp;".8",D142&amp;".6")</f>
        <v>7.6</v>
      </c>
      <c r="AC146" s="702" t="s">
        <v>1519</v>
      </c>
      <c r="AD146" s="218" t="s">
        <v>831</v>
      </c>
      <c r="AE146" s="1162"/>
      <c r="AF146" s="1162"/>
      <c r="AG146" s="1162"/>
      <c r="AH146" s="855">
        <f t="shared" si="25"/>
        <v>0</v>
      </c>
      <c r="AI146" s="1160"/>
      <c r="AJ146" s="1568">
        <f ca="1">SUMIFS('Корректировка НВВ'!$AF$25:$AF$180,'Корректировка НВВ'!$F$25:$F$180,$F146,'Корректировка НВВ'!$I$25:$I$180,$G146)</f>
        <v>0</v>
      </c>
      <c r="AK146" s="1160"/>
      <c r="AL146" s="1160"/>
      <c r="AM146" s="1160"/>
      <c r="AN146" s="1160"/>
      <c r="AO146" s="1160"/>
      <c r="AP146" s="1160"/>
      <c r="AQ146" s="1160"/>
      <c r="AR146" s="1160"/>
      <c r="AS146" s="1160"/>
      <c r="AT146" s="1568">
        <f ca="1">SUMIFS('Корректировка НВВ'!$AG$25:$AG$180,'Корректировка НВВ'!$F$25:$F$180,$F146,'Корректировка НВВ'!$I$25:$I$180,$G146)</f>
        <v>0</v>
      </c>
      <c r="AU146" s="1160"/>
      <c r="AV146" s="1160"/>
      <c r="AW146" s="1160"/>
      <c r="AX146" s="1160"/>
      <c r="AY146" s="1160"/>
      <c r="AZ146" s="1160"/>
      <c r="BA146" s="1160"/>
      <c r="BB146" s="1160"/>
      <c r="BC146" s="1160"/>
      <c r="BD146" s="854"/>
      <c r="BE146" s="854"/>
      <c r="BF146" s="854"/>
      <c r="BG146" s="854"/>
      <c r="BH146" s="854"/>
      <c r="BI146" s="854"/>
      <c r="BJ146" s="854"/>
      <c r="BK146" s="854"/>
      <c r="BL146" s="854"/>
      <c r="BM146" s="854"/>
      <c r="BN146" s="1163"/>
      <c r="BO146" s="1161" t="str">
        <f ca="1">IF(IFERROR(INDEX('Корректировка НВВ'!$K$26:$L$180,MATCH($F146&amp;"9komm",'Корректировка НВВ'!$K$26:$K$180,0),2),"")=0,"",IFERROR(INDEX('Корректировка НВВ'!$K$26:$L$180,MATCH($F146&amp;"9komm",'Корректировка НВВ'!$K$26:$K$180,0),2),""))</f>
        <v/>
      </c>
      <c r="BP146" s="1163"/>
      <c r="BS146" s="973" t="s">
        <v>2145</v>
      </c>
    </row>
    <row r="147" spans="2:75" ht="14.65" hidden="1" customHeight="1" x14ac:dyDescent="0.15">
      <c r="D147" s="26" t="str" cm="1">
        <f t="array" ref="D147">D146</f>
        <v>7</v>
      </c>
      <c r="E147" s="626">
        <v>15</v>
      </c>
      <c r="F147" s="3" cm="1">
        <f t="array" aca="1" ref="F147" ca="1">OFFSET(E147,-1,1)</f>
        <v>0</v>
      </c>
      <c r="G147" s="77" t="s">
        <v>2146</v>
      </c>
      <c r="I147" s="77" t="s">
        <v>1812</v>
      </c>
      <c r="K147" s="77" t="s">
        <v>1812</v>
      </c>
      <c r="L147" s="889" t="s">
        <v>1810</v>
      </c>
      <c r="M147" s="26"/>
      <c r="T147" s="388" t="b" cm="1">
        <f t="array" aca="1" ref="T147" ca="1">T146</f>
        <v>0</v>
      </c>
      <c r="X147" s="2032"/>
      <c r="Z147" s="2012"/>
      <c r="AB147" s="218" t="str">
        <f>IF(B141,D142&amp;".9",D142&amp;".7")</f>
        <v>7.7</v>
      </c>
      <c r="AC147" s="702" t="s">
        <v>1521</v>
      </c>
      <c r="AD147" s="218" t="s">
        <v>831</v>
      </c>
      <c r="AE147" s="1162"/>
      <c r="AF147" s="1162"/>
      <c r="AG147" s="1162"/>
      <c r="AH147" s="855">
        <f t="shared" si="25"/>
        <v>0</v>
      </c>
      <c r="AI147" s="1160"/>
      <c r="AJ147" s="1568">
        <f ca="1">SUMIFS('Корректировка НВВ'!$AF$25:$AF$180,'Корректировка НВВ'!$F$25:$F$180,$F147,'Корректировка НВВ'!$I$25:$I$180,$G147)</f>
        <v>0</v>
      </c>
      <c r="AK147" s="1160"/>
      <c r="AL147" s="1160"/>
      <c r="AM147" s="1160"/>
      <c r="AN147" s="1160"/>
      <c r="AO147" s="1160"/>
      <c r="AP147" s="1160"/>
      <c r="AQ147" s="1160"/>
      <c r="AR147" s="1160"/>
      <c r="AS147" s="1160"/>
      <c r="AT147" s="1568">
        <f ca="1">SUMIFS('Корректировка НВВ'!$AG$25:$AG$180,'Корректировка НВВ'!$F$25:$F$180,$F147,'Корректировка НВВ'!$I$25:$I$180,$G147)</f>
        <v>0</v>
      </c>
      <c r="AU147" s="1160"/>
      <c r="AV147" s="1160"/>
      <c r="AW147" s="1160"/>
      <c r="AX147" s="1160"/>
      <c r="AY147" s="1160"/>
      <c r="AZ147" s="1160"/>
      <c r="BA147" s="1160"/>
      <c r="BB147" s="1160"/>
      <c r="BC147" s="1160"/>
      <c r="BD147" s="854"/>
      <c r="BE147" s="854"/>
      <c r="BF147" s="854"/>
      <c r="BG147" s="854"/>
      <c r="BH147" s="854"/>
      <c r="BI147" s="854"/>
      <c r="BJ147" s="854"/>
      <c r="BK147" s="854"/>
      <c r="BL147" s="854"/>
      <c r="BM147" s="854"/>
      <c r="BN147" s="1163"/>
      <c r="BO147" s="1161" t="str">
        <f ca="1">IF(IFERROR(INDEX('Корректировка НВВ'!$K$26:$L$180,MATCH($F147&amp;"10komm",'Корректировка НВВ'!$K$26:$K$180,0),2),"")=0,"",IFERROR(INDEX('Корректировка НВВ'!$K$26:$L$180,MATCH($F147&amp;"10komm",'Корректировка НВВ'!$K$26:$K$180,0),2),""))</f>
        <v/>
      </c>
      <c r="BP147" s="1163"/>
      <c r="BS147" s="973" t="s">
        <v>1522</v>
      </c>
    </row>
    <row r="148" spans="2:75" s="623" customFormat="1" ht="20.45" hidden="1" customHeight="1" x14ac:dyDescent="0.15">
      <c r="B148" s="357"/>
      <c r="D148" s="28">
        <f>D147+1</f>
        <v>8</v>
      </c>
      <c r="E148" s="630">
        <v>21</v>
      </c>
      <c r="F148" s="3" cm="1">
        <f t="array" aca="1" ref="F148" ca="1">OFFSET(E148,-1,1)</f>
        <v>0</v>
      </c>
      <c r="I148" s="81" t="s">
        <v>613</v>
      </c>
      <c r="K148" s="81" t="s">
        <v>613</v>
      </c>
      <c r="L148" s="894"/>
      <c r="M148" s="28"/>
      <c r="T148" s="388" t="b" cm="1">
        <f t="array" aca="1" ref="T148" ca="1">T147</f>
        <v>0</v>
      </c>
      <c r="X148" s="2032"/>
      <c r="Z148" s="2012"/>
      <c r="AB148" s="130" cm="1">
        <f t="array" ref="AB148">D148</f>
        <v>8</v>
      </c>
      <c r="AC148" s="131" t="s">
        <v>2147</v>
      </c>
      <c r="AD148" s="130" t="s">
        <v>831</v>
      </c>
      <c r="AE148" s="1144"/>
      <c r="AF148" s="1144"/>
      <c r="AG148" s="1144"/>
      <c r="AH148" s="681">
        <f t="shared" si="25"/>
        <v>0</v>
      </c>
      <c r="AI148" s="1153"/>
      <c r="AJ148" s="1516"/>
      <c r="AK148" s="1153"/>
      <c r="AL148" s="1153"/>
      <c r="AM148" s="1153"/>
      <c r="AN148" s="1153"/>
      <c r="AO148" s="1153"/>
      <c r="AP148" s="1153"/>
      <c r="AQ148" s="1153"/>
      <c r="AR148" s="1153"/>
      <c r="AS148" s="1153"/>
      <c r="AT148" s="1516"/>
      <c r="AU148" s="1153"/>
      <c r="AV148" s="1153"/>
      <c r="AW148" s="1153"/>
      <c r="AX148" s="1153"/>
      <c r="AY148" s="1153"/>
      <c r="AZ148" s="1153"/>
      <c r="BA148" s="1153"/>
      <c r="BB148" s="1153"/>
      <c r="BC148" s="1153"/>
      <c r="BD148" s="684"/>
      <c r="BE148" s="684"/>
      <c r="BF148" s="684"/>
      <c r="BG148" s="684"/>
      <c r="BH148" s="684"/>
      <c r="BI148" s="684"/>
      <c r="BJ148" s="684"/>
      <c r="BK148" s="684"/>
      <c r="BL148" s="684"/>
      <c r="BM148" s="684"/>
      <c r="BN148" s="1147"/>
      <c r="BO148" s="1147"/>
      <c r="BP148" s="1147"/>
      <c r="BS148" s="979" t="s">
        <v>2148</v>
      </c>
      <c r="BT148" s="979"/>
      <c r="BU148" s="979"/>
      <c r="BV148" s="630"/>
      <c r="BW148" s="630"/>
    </row>
    <row r="149" spans="2:75" ht="14.65" hidden="1" customHeight="1" x14ac:dyDescent="0.15">
      <c r="D149" s="28" cm="1">
        <f t="array" ref="D149">D148</f>
        <v>8</v>
      </c>
      <c r="E149" s="626">
        <v>15</v>
      </c>
      <c r="F149" s="3" cm="1">
        <f t="array" aca="1" ref="F149" ca="1">OFFSET(E149,-1,1)</f>
        <v>0</v>
      </c>
      <c r="I149" s="77" t="s">
        <v>616</v>
      </c>
      <c r="K149" s="77" t="s">
        <v>616</v>
      </c>
      <c r="L149" s="889"/>
      <c r="M149" s="26"/>
      <c r="T149" s="388" t="b" cm="1">
        <f t="array" aca="1" ref="T149" ca="1">T148</f>
        <v>0</v>
      </c>
      <c r="X149" s="2032"/>
      <c r="Z149" s="2012"/>
      <c r="AB149" s="218" t="str">
        <f>D149&amp;".1"</f>
        <v>8.1</v>
      </c>
      <c r="AC149" s="682" t="s">
        <v>2149</v>
      </c>
      <c r="AD149" s="218" t="s">
        <v>490</v>
      </c>
      <c r="AE149" s="177">
        <f ca="1">IF(AE150=0,0,AE148/(AE150+AE135)*100)</f>
        <v>0</v>
      </c>
      <c r="AF149" s="177">
        <f ca="1">IF(AF150=0,0,AF148/(AF150+AF135)*100)</f>
        <v>0</v>
      </c>
      <c r="AG149" s="177">
        <f ca="1">IF(AG150=0,0,AG148/(AG150+AG135)*100)</f>
        <v>0</v>
      </c>
      <c r="AH149" s="855">
        <f t="shared" ca="1" si="25"/>
        <v>0</v>
      </c>
      <c r="AI149" s="855">
        <f t="shared" ref="AI149:BC149" ca="1" si="29">IF(AI150=0,0,AI148/(AI150+AI135)*100)</f>
        <v>0</v>
      </c>
      <c r="AJ149" s="855">
        <f t="shared" ca="1" si="29"/>
        <v>0</v>
      </c>
      <c r="AK149" s="855">
        <f t="shared" ca="1" si="29"/>
        <v>0</v>
      </c>
      <c r="AL149" s="855">
        <f t="shared" ca="1" si="29"/>
        <v>0</v>
      </c>
      <c r="AM149" s="855">
        <f t="shared" ca="1" si="29"/>
        <v>0</v>
      </c>
      <c r="AN149" s="855">
        <f t="shared" ca="1" si="29"/>
        <v>0</v>
      </c>
      <c r="AO149" s="855">
        <f t="shared" ca="1" si="29"/>
        <v>0</v>
      </c>
      <c r="AP149" s="855">
        <f t="shared" ca="1" si="29"/>
        <v>0</v>
      </c>
      <c r="AQ149" s="855">
        <f t="shared" ca="1" si="29"/>
        <v>0</v>
      </c>
      <c r="AR149" s="855">
        <f t="shared" ca="1" si="29"/>
        <v>0</v>
      </c>
      <c r="AS149" s="855">
        <f t="shared" ca="1" si="29"/>
        <v>0</v>
      </c>
      <c r="AT149" s="855">
        <f t="shared" ca="1" si="29"/>
        <v>0</v>
      </c>
      <c r="AU149" s="855">
        <f t="shared" ca="1" si="29"/>
        <v>0</v>
      </c>
      <c r="AV149" s="855">
        <f t="shared" ca="1" si="29"/>
        <v>0</v>
      </c>
      <c r="AW149" s="855">
        <f t="shared" ca="1" si="29"/>
        <v>0</v>
      </c>
      <c r="AX149" s="855">
        <f t="shared" ca="1" si="29"/>
        <v>0</v>
      </c>
      <c r="AY149" s="855">
        <f t="shared" ca="1" si="29"/>
        <v>0</v>
      </c>
      <c r="AZ149" s="855">
        <f t="shared" ca="1" si="29"/>
        <v>0</v>
      </c>
      <c r="BA149" s="855">
        <f t="shared" ca="1" si="29"/>
        <v>0</v>
      </c>
      <c r="BB149" s="855">
        <f t="shared" ca="1" si="29"/>
        <v>0</v>
      </c>
      <c r="BC149" s="855">
        <f t="shared" ca="1" si="29"/>
        <v>0</v>
      </c>
      <c r="BD149" s="854"/>
      <c r="BE149" s="854"/>
      <c r="BF149" s="854"/>
      <c r="BG149" s="854"/>
      <c r="BH149" s="854"/>
      <c r="BI149" s="854"/>
      <c r="BJ149" s="854"/>
      <c r="BK149" s="854"/>
      <c r="BL149" s="854"/>
      <c r="BM149" s="854"/>
      <c r="BN149" s="1163"/>
      <c r="BO149" s="1163"/>
      <c r="BP149" s="1163"/>
      <c r="BS149" s="973" t="s">
        <v>2150</v>
      </c>
    </row>
    <row r="150" spans="2:75" s="623" customFormat="1" ht="20.45" hidden="1" customHeight="1" x14ac:dyDescent="0.15">
      <c r="B150" s="357"/>
      <c r="D150" s="28">
        <f>D149+1</f>
        <v>9</v>
      </c>
      <c r="E150" s="630">
        <v>21</v>
      </c>
      <c r="F150" s="3" cm="1">
        <f t="array" aca="1" ref="F150" ca="1">OFFSET(E150,-1,1)</f>
        <v>0</v>
      </c>
      <c r="H150" s="77"/>
      <c r="I150" s="77" t="s">
        <v>770</v>
      </c>
      <c r="K150" s="77" t="s">
        <v>770</v>
      </c>
      <c r="L150" s="894" t="s">
        <v>1812</v>
      </c>
      <c r="M150" s="28"/>
      <c r="T150" s="388" t="b" cm="1">
        <f t="array" aca="1" ref="T150" ca="1">T149</f>
        <v>0</v>
      </c>
      <c r="X150" s="2032"/>
      <c r="Z150" s="2012"/>
      <c r="AB150" s="130" cm="1">
        <f t="array" ref="AB150">D150</f>
        <v>9</v>
      </c>
      <c r="AC150" s="131" t="s">
        <v>1814</v>
      </c>
      <c r="AD150" s="153" t="s">
        <v>831</v>
      </c>
      <c r="AE150" s="132">
        <f ca="1">AE28+AE78+AE114+AE115+AE117+AE122+AE123+AE126</f>
        <v>0</v>
      </c>
      <c r="AF150" s="132">
        <f ca="1">AF28+AF78+AF114+AF115+AF117+AF122+AF123+AF126</f>
        <v>0</v>
      </c>
      <c r="AG150" s="132">
        <f ca="1">AG28+AG78+AG114+AG115+AG117+AG122+AG123+AG126</f>
        <v>0</v>
      </c>
      <c r="AH150" s="681">
        <f t="shared" ca="1" si="25"/>
        <v>0</v>
      </c>
      <c r="AI150" s="132">
        <f t="shared" ref="AI150:BC150" ca="1" si="30">AI28+AI78+AI114+AI115+AI117+AI122+AI123+AI126</f>
        <v>0</v>
      </c>
      <c r="AJ150" s="132">
        <f t="shared" ca="1" si="30"/>
        <v>0</v>
      </c>
      <c r="AK150" s="132">
        <f t="shared" ca="1" si="30"/>
        <v>0</v>
      </c>
      <c r="AL150" s="132">
        <f t="shared" ca="1" si="30"/>
        <v>0</v>
      </c>
      <c r="AM150" s="132">
        <f t="shared" ca="1" si="30"/>
        <v>0</v>
      </c>
      <c r="AN150" s="132">
        <f t="shared" ca="1" si="30"/>
        <v>0</v>
      </c>
      <c r="AO150" s="132">
        <f t="shared" ca="1" si="30"/>
        <v>0</v>
      </c>
      <c r="AP150" s="132">
        <f t="shared" ca="1" si="30"/>
        <v>0</v>
      </c>
      <c r="AQ150" s="132">
        <f t="shared" ca="1" si="30"/>
        <v>0</v>
      </c>
      <c r="AR150" s="132">
        <f t="shared" ca="1" si="30"/>
        <v>0</v>
      </c>
      <c r="AS150" s="132">
        <f t="shared" ca="1" si="30"/>
        <v>0</v>
      </c>
      <c r="AT150" s="132">
        <f t="shared" ca="1" si="30"/>
        <v>0</v>
      </c>
      <c r="AU150" s="132">
        <f t="shared" ca="1" si="30"/>
        <v>0</v>
      </c>
      <c r="AV150" s="132">
        <f t="shared" ca="1" si="30"/>
        <v>0</v>
      </c>
      <c r="AW150" s="132">
        <f t="shared" ca="1" si="30"/>
        <v>0</v>
      </c>
      <c r="AX150" s="132">
        <f t="shared" ca="1" si="30"/>
        <v>0</v>
      </c>
      <c r="AY150" s="132">
        <f t="shared" ca="1" si="30"/>
        <v>0</v>
      </c>
      <c r="AZ150" s="132">
        <f t="shared" ca="1" si="30"/>
        <v>0</v>
      </c>
      <c r="BA150" s="132">
        <f t="shared" ca="1" si="30"/>
        <v>0</v>
      </c>
      <c r="BB150" s="132">
        <f t="shared" ca="1" si="30"/>
        <v>0</v>
      </c>
      <c r="BC150" s="132">
        <f t="shared" ca="1" si="30"/>
        <v>0</v>
      </c>
      <c r="BD150" s="681">
        <f ca="1">IF(AI150=0,0,(AT150-AI150)/AI150*100)</f>
        <v>0</v>
      </c>
      <c r="BE150" s="681">
        <f t="shared" ref="BE150:BM151" ca="1" si="31">IF(AT150=0,0,(AU150-AT150)/AT150*100)</f>
        <v>0</v>
      </c>
      <c r="BF150" s="681">
        <f t="shared" ca="1" si="31"/>
        <v>0</v>
      </c>
      <c r="BG150" s="681">
        <f t="shared" ca="1" si="31"/>
        <v>0</v>
      </c>
      <c r="BH150" s="681">
        <f t="shared" ca="1" si="31"/>
        <v>0</v>
      </c>
      <c r="BI150" s="681">
        <f t="shared" ca="1" si="31"/>
        <v>0</v>
      </c>
      <c r="BJ150" s="681">
        <f t="shared" ca="1" si="31"/>
        <v>0</v>
      </c>
      <c r="BK150" s="681">
        <f t="shared" ca="1" si="31"/>
        <v>0</v>
      </c>
      <c r="BL150" s="681">
        <f t="shared" ca="1" si="31"/>
        <v>0</v>
      </c>
      <c r="BM150" s="681">
        <f t="shared" ca="1" si="31"/>
        <v>0</v>
      </c>
      <c r="BN150" s="1163"/>
      <c r="BO150" s="1163"/>
      <c r="BP150" s="1163"/>
      <c r="BS150" s="979" t="s">
        <v>1815</v>
      </c>
      <c r="BT150" s="979"/>
      <c r="BU150" s="979"/>
      <c r="BV150" s="630"/>
      <c r="BW150" s="630"/>
    </row>
    <row r="151" spans="2:75" s="623" customFormat="1" ht="20.45" hidden="1" customHeight="1" x14ac:dyDescent="0.15">
      <c r="B151" s="357"/>
      <c r="D151" s="28">
        <f>D150+1</f>
        <v>10</v>
      </c>
      <c r="E151" s="630">
        <v>21</v>
      </c>
      <c r="F151" s="3" cm="1">
        <f t="array" aca="1" ref="F151" ca="1">OFFSET(E151,-1,1)</f>
        <v>0</v>
      </c>
      <c r="H151" s="77"/>
      <c r="I151" s="77" t="s">
        <v>1824</v>
      </c>
      <c r="K151" s="77" t="s">
        <v>1824</v>
      </c>
      <c r="L151" s="894"/>
      <c r="M151" s="28"/>
      <c r="T151" s="388" t="b" cm="1">
        <f t="array" aca="1" ref="T151" ca="1">T150</f>
        <v>0</v>
      </c>
      <c r="X151" s="2032"/>
      <c r="Z151" s="2012"/>
      <c r="AB151" s="130" cm="1">
        <f t="array" ref="AB151">D151</f>
        <v>10</v>
      </c>
      <c r="AC151" s="131" t="s">
        <v>2151</v>
      </c>
      <c r="AD151" s="130" t="s">
        <v>831</v>
      </c>
      <c r="AE151" s="132">
        <f t="shared" ref="AE151:BC151" ca="1" si="32">AE150+AE135+AE148</f>
        <v>0</v>
      </c>
      <c r="AF151" s="132">
        <f t="shared" ca="1" si="32"/>
        <v>0</v>
      </c>
      <c r="AG151" s="132">
        <f t="shared" ca="1" si="32"/>
        <v>0</v>
      </c>
      <c r="AH151" s="690">
        <f t="shared" ca="1" si="32"/>
        <v>0</v>
      </c>
      <c r="AI151" s="690">
        <f t="shared" ca="1" si="32"/>
        <v>0</v>
      </c>
      <c r="AJ151" s="690">
        <f t="shared" ca="1" si="32"/>
        <v>0</v>
      </c>
      <c r="AK151" s="690">
        <f t="shared" ca="1" si="32"/>
        <v>0</v>
      </c>
      <c r="AL151" s="690">
        <f t="shared" ca="1" si="32"/>
        <v>0</v>
      </c>
      <c r="AM151" s="690">
        <f t="shared" ca="1" si="32"/>
        <v>0</v>
      </c>
      <c r="AN151" s="690">
        <f t="shared" ca="1" si="32"/>
        <v>0</v>
      </c>
      <c r="AO151" s="690">
        <f t="shared" ca="1" si="32"/>
        <v>0</v>
      </c>
      <c r="AP151" s="690">
        <f t="shared" ca="1" si="32"/>
        <v>0</v>
      </c>
      <c r="AQ151" s="690">
        <f t="shared" ca="1" si="32"/>
        <v>0</v>
      </c>
      <c r="AR151" s="690">
        <f t="shared" ca="1" si="32"/>
        <v>0</v>
      </c>
      <c r="AS151" s="690">
        <f t="shared" ca="1" si="32"/>
        <v>0</v>
      </c>
      <c r="AT151" s="690">
        <f t="shared" ca="1" si="32"/>
        <v>0</v>
      </c>
      <c r="AU151" s="690">
        <f t="shared" ca="1" si="32"/>
        <v>0</v>
      </c>
      <c r="AV151" s="690">
        <f t="shared" ca="1" si="32"/>
        <v>0</v>
      </c>
      <c r="AW151" s="690">
        <f t="shared" ca="1" si="32"/>
        <v>0</v>
      </c>
      <c r="AX151" s="690">
        <f t="shared" ca="1" si="32"/>
        <v>0</v>
      </c>
      <c r="AY151" s="690">
        <f t="shared" ca="1" si="32"/>
        <v>0</v>
      </c>
      <c r="AZ151" s="690">
        <f t="shared" ca="1" si="32"/>
        <v>0</v>
      </c>
      <c r="BA151" s="690">
        <f t="shared" ca="1" si="32"/>
        <v>0</v>
      </c>
      <c r="BB151" s="690">
        <f t="shared" ca="1" si="32"/>
        <v>0</v>
      </c>
      <c r="BC151" s="690">
        <f t="shared" ca="1" si="32"/>
        <v>0</v>
      </c>
      <c r="BD151" s="681">
        <f ca="1">IF(AI151=0,0,(AT151-AI151)/AI151*100)</f>
        <v>0</v>
      </c>
      <c r="BE151" s="681">
        <f t="shared" ca="1" si="31"/>
        <v>0</v>
      </c>
      <c r="BF151" s="681">
        <f t="shared" ca="1" si="31"/>
        <v>0</v>
      </c>
      <c r="BG151" s="681">
        <f t="shared" ca="1" si="31"/>
        <v>0</v>
      </c>
      <c r="BH151" s="681">
        <f t="shared" ca="1" si="31"/>
        <v>0</v>
      </c>
      <c r="BI151" s="681">
        <f t="shared" ca="1" si="31"/>
        <v>0</v>
      </c>
      <c r="BJ151" s="681">
        <f t="shared" ca="1" si="31"/>
        <v>0</v>
      </c>
      <c r="BK151" s="681">
        <f t="shared" ca="1" si="31"/>
        <v>0</v>
      </c>
      <c r="BL151" s="681">
        <f t="shared" ca="1" si="31"/>
        <v>0</v>
      </c>
      <c r="BM151" s="681">
        <f t="shared" ca="1" si="31"/>
        <v>0</v>
      </c>
      <c r="BN151" s="1163"/>
      <c r="BO151" s="1163"/>
      <c r="BP151" s="1163"/>
      <c r="BS151" s="979" t="s">
        <v>2152</v>
      </c>
      <c r="BT151" s="979"/>
      <c r="BU151" s="979"/>
      <c r="BV151" s="630"/>
      <c r="BW151" s="630"/>
    </row>
    <row r="152" spans="2:75" ht="14.65" hidden="1" customHeight="1" x14ac:dyDescent="0.25">
      <c r="B152" s="367" t="b">
        <f>A27="двухставочный"</f>
        <v>0</v>
      </c>
      <c r="D152" s="26" cm="1">
        <f t="array" ref="D152">D151</f>
        <v>10</v>
      </c>
      <c r="E152" s="626">
        <v>15</v>
      </c>
      <c r="F152" s="3" cm="1">
        <f t="array" aca="1" ref="F152" ca="1">OFFSET(E152,-1,1)</f>
        <v>0</v>
      </c>
      <c r="H152" s="2"/>
      <c r="I152" s="295" t="s">
        <v>1828</v>
      </c>
      <c r="K152" s="295" t="s">
        <v>1828</v>
      </c>
      <c r="L152" s="889" t="s">
        <v>1816</v>
      </c>
      <c r="M152" s="26"/>
      <c r="T152" s="388" t="b" cm="1">
        <f t="array" aca="1" ref="T152" ca="1">T151</f>
        <v>0</v>
      </c>
      <c r="X152" s="2032"/>
      <c r="Z152" s="2012"/>
      <c r="AB152" s="218" t="str">
        <f>D152&amp;".1"</f>
        <v>10.1</v>
      </c>
      <c r="AC152" s="702" t="s">
        <v>1818</v>
      </c>
      <c r="AD152" s="218" t="s">
        <v>831</v>
      </c>
      <c r="AE152" s="1162"/>
      <c r="AF152" s="1162"/>
      <c r="AG152" s="1162"/>
      <c r="AH152" s="855">
        <f t="shared" ref="AH152:AH158" si="33">AG152-AF152</f>
        <v>0</v>
      </c>
      <c r="AI152" s="1160"/>
      <c r="AJ152" s="1568"/>
      <c r="AK152" s="1160"/>
      <c r="AL152" s="1160"/>
      <c r="AM152" s="1160"/>
      <c r="AN152" s="1160"/>
      <c r="AO152" s="1160"/>
      <c r="AP152" s="1160"/>
      <c r="AQ152" s="1160"/>
      <c r="AR152" s="1160"/>
      <c r="AS152" s="1160"/>
      <c r="AT152" s="1568"/>
      <c r="AU152" s="1160"/>
      <c r="AV152" s="1160"/>
      <c r="AW152" s="1160"/>
      <c r="AX152" s="1160"/>
      <c r="AY152" s="1160"/>
      <c r="AZ152" s="1160"/>
      <c r="BA152" s="1160"/>
      <c r="BB152" s="1160"/>
      <c r="BC152" s="1160"/>
      <c r="BD152" s="854"/>
      <c r="BE152" s="854"/>
      <c r="BF152" s="854"/>
      <c r="BG152" s="854"/>
      <c r="BH152" s="854"/>
      <c r="BI152" s="854"/>
      <c r="BJ152" s="854"/>
      <c r="BK152" s="854"/>
      <c r="BL152" s="854"/>
      <c r="BM152" s="854"/>
      <c r="BN152" s="1163"/>
      <c r="BO152" s="1163"/>
      <c r="BP152" s="1163"/>
      <c r="BS152" s="971" t="s">
        <v>1819</v>
      </c>
    </row>
    <row r="153" spans="2:75" ht="14.65" hidden="1" customHeight="1" x14ac:dyDescent="0.25">
      <c r="B153" s="367" t="b">
        <f>A27="двухставочный"</f>
        <v>0</v>
      </c>
      <c r="D153" s="26" cm="1">
        <f t="array" ref="D153">D152</f>
        <v>10</v>
      </c>
      <c r="E153" s="626">
        <v>15</v>
      </c>
      <c r="F153" s="3" cm="1">
        <f t="array" aca="1" ref="F153" ca="1">OFFSET(E153,-1,1)</f>
        <v>0</v>
      </c>
      <c r="H153" s="2"/>
      <c r="I153" s="295" t="s">
        <v>1832</v>
      </c>
      <c r="K153" s="295" t="s">
        <v>1832</v>
      </c>
      <c r="L153" s="889" t="s">
        <v>1820</v>
      </c>
      <c r="M153" s="26"/>
      <c r="T153" s="388" t="b" cm="1">
        <f t="array" aca="1" ref="T153" ca="1">T152</f>
        <v>0</v>
      </c>
      <c r="X153" s="2032"/>
      <c r="Z153" s="2012"/>
      <c r="AB153" s="218" t="str">
        <f>D153&amp;".2"</f>
        <v>10.2</v>
      </c>
      <c r="AC153" s="702" t="s">
        <v>1822</v>
      </c>
      <c r="AD153" s="218" t="s">
        <v>831</v>
      </c>
      <c r="AE153" s="1162"/>
      <c r="AF153" s="1162"/>
      <c r="AG153" s="1162"/>
      <c r="AH153" s="855">
        <f t="shared" si="33"/>
        <v>0</v>
      </c>
      <c r="AI153" s="1160"/>
      <c r="AJ153" s="1568"/>
      <c r="AK153" s="1160"/>
      <c r="AL153" s="1160"/>
      <c r="AM153" s="1160"/>
      <c r="AN153" s="1160"/>
      <c r="AO153" s="1160"/>
      <c r="AP153" s="1160"/>
      <c r="AQ153" s="1160"/>
      <c r="AR153" s="1160"/>
      <c r="AS153" s="1160"/>
      <c r="AT153" s="1568"/>
      <c r="AU153" s="1160"/>
      <c r="AV153" s="1160"/>
      <c r="AW153" s="1160"/>
      <c r="AX153" s="1160"/>
      <c r="AY153" s="1160"/>
      <c r="AZ153" s="1160"/>
      <c r="BA153" s="1160"/>
      <c r="BB153" s="1160"/>
      <c r="BC153" s="1160"/>
      <c r="BD153" s="854"/>
      <c r="BE153" s="854"/>
      <c r="BF153" s="854"/>
      <c r="BG153" s="854"/>
      <c r="BH153" s="854"/>
      <c r="BI153" s="854"/>
      <c r="BJ153" s="854"/>
      <c r="BK153" s="854"/>
      <c r="BL153" s="854"/>
      <c r="BM153" s="854"/>
      <c r="BN153" s="1163"/>
      <c r="BO153" s="1163"/>
      <c r="BP153" s="1163"/>
      <c r="BS153" s="971" t="s">
        <v>1823</v>
      </c>
    </row>
    <row r="154" spans="2:75" s="623" customFormat="1" ht="20.45" hidden="1" customHeight="1" x14ac:dyDescent="0.25">
      <c r="B154" s="357"/>
      <c r="D154" s="28">
        <f>D153+1</f>
        <v>11</v>
      </c>
      <c r="E154" s="630">
        <v>21</v>
      </c>
      <c r="F154" s="3" cm="1">
        <f t="array" aca="1" ref="F154" ca="1">OFFSET(E154,-1,1)</f>
        <v>0</v>
      </c>
      <c r="G154" s="77" t="s">
        <v>1597</v>
      </c>
      <c r="H154" s="77"/>
      <c r="I154" s="77" t="s">
        <v>1852</v>
      </c>
      <c r="K154" s="77" t="s">
        <v>1852</v>
      </c>
      <c r="L154" s="894" t="s">
        <v>1824</v>
      </c>
      <c r="M154" s="28"/>
      <c r="T154" s="388" t="b" cm="1">
        <f t="array" aca="1" ref="T154" ca="1">T153</f>
        <v>0</v>
      </c>
      <c r="X154" s="2032"/>
      <c r="Z154" s="2012"/>
      <c r="AB154" s="130" cm="1">
        <f t="array" ref="AB154">D154</f>
        <v>11</v>
      </c>
      <c r="AC154" s="131" t="s">
        <v>1826</v>
      </c>
      <c r="AD154" s="130" t="s">
        <v>563</v>
      </c>
      <c r="AE154" s="705">
        <f ca="1">SUMIFS(Баланс!AE$26:AE$300,Баланс!$F$26:$F$300,$F154,Баланс!$G$26:$G$300,"ПО")</f>
        <v>0</v>
      </c>
      <c r="AF154" s="705">
        <f ca="1">SUMIFS(Баланс!AF$26:AF$300,Баланс!$F$26:$F$300,$F154,Баланс!$G$26:$G$300,"ПО")</f>
        <v>0</v>
      </c>
      <c r="AG154" s="705">
        <f ca="1">SUMIFS(Баланс!AG$26:AG$300,Баланс!$F$26:$F$300,$F154,Баланс!$G$26:$G$300,"ПО")</f>
        <v>0</v>
      </c>
      <c r="AH154" s="706">
        <f t="shared" ca="1" si="33"/>
        <v>0</v>
      </c>
      <c r="AI154" s="706">
        <f ca="1">SUMIFS(Баланс!AH$26:AH$300,Баланс!$F$26:$F$300,$F154,Баланс!$G$26:$G$300,"ПО")</f>
        <v>0</v>
      </c>
      <c r="AJ154" s="706">
        <f ca="1">SUMIFS(Баланс!AI$26:AI$300,Баланс!$F$26:$F$300,$F154,Баланс!$G$26:$G$300,"ПО")</f>
        <v>0</v>
      </c>
      <c r="AK154" s="706">
        <f ca="1">SUMIFS(Баланс!AJ$26:AJ$300,Баланс!$F$26:$F$300,$F154,Баланс!$G$26:$G$300,"ПО")</f>
        <v>0</v>
      </c>
      <c r="AL154" s="706">
        <f ca="1">SUMIFS(Баланс!AK$26:AK$300,Баланс!$F$26:$F$300,$F154,Баланс!$G$26:$G$300,"ПО")</f>
        <v>0</v>
      </c>
      <c r="AM154" s="706">
        <f ca="1">SUMIFS(Баланс!AL$26:AL$300,Баланс!$F$26:$F$300,$F154,Баланс!$G$26:$G$300,"ПО")</f>
        <v>0</v>
      </c>
      <c r="AN154" s="706">
        <f ca="1">SUMIFS(Баланс!AM$26:AM$300,Баланс!$F$26:$F$300,$F154,Баланс!$G$26:$G$300,"ПО")</f>
        <v>0</v>
      </c>
      <c r="AO154" s="706">
        <f ca="1">SUMIFS(Баланс!AN$26:AN$300,Баланс!$F$26:$F$300,$F154,Баланс!$G$26:$G$300,"ПО")</f>
        <v>0</v>
      </c>
      <c r="AP154" s="706">
        <f ca="1">SUMIFS(Баланс!AO$26:AO$300,Баланс!$F$26:$F$300,$F154,Баланс!$G$26:$G$300,"ПО")</f>
        <v>0</v>
      </c>
      <c r="AQ154" s="706">
        <f ca="1">SUMIFS(Баланс!AP$26:AP$300,Баланс!$F$26:$F$300,$F154,Баланс!$G$26:$G$300,"ПО")</f>
        <v>0</v>
      </c>
      <c r="AR154" s="706">
        <f ca="1">SUMIFS(Баланс!AQ$26:AQ$300,Баланс!$F$26:$F$300,$F154,Баланс!$G$26:$G$300,"ПО")</f>
        <v>0</v>
      </c>
      <c r="AS154" s="706">
        <f ca="1">SUMIFS(Баланс!AR$26:AR$300,Баланс!$F$26:$F$300,$F154,Баланс!$G$26:$G$300,"ПО")</f>
        <v>0</v>
      </c>
      <c r="AT154" s="706">
        <f ca="1">SUMIFS(Баланс!AS$26:AS$300,Баланс!$F$26:$F$300,$F154,Баланс!$G$26:$G$300,"ПО")</f>
        <v>0</v>
      </c>
      <c r="AU154" s="706">
        <f ca="1">SUMIFS(Баланс!AT$26:AT$300,Баланс!$F$26:$F$300,$F154,Баланс!$G$26:$G$300,"ПО")</f>
        <v>0</v>
      </c>
      <c r="AV154" s="706">
        <f ca="1">SUMIFS(Баланс!AU$26:AU$300,Баланс!$F$26:$F$300,$F154,Баланс!$G$26:$G$300,"ПО")</f>
        <v>0</v>
      </c>
      <c r="AW154" s="706">
        <f ca="1">SUMIFS(Баланс!AV$26:AV$300,Баланс!$F$26:$F$300,$F154,Баланс!$G$26:$G$300,"ПО")</f>
        <v>0</v>
      </c>
      <c r="AX154" s="706">
        <f ca="1">SUMIFS(Баланс!AW$26:AW$300,Баланс!$F$26:$F$300,$F154,Баланс!$G$26:$G$300,"ПО")</f>
        <v>0</v>
      </c>
      <c r="AY154" s="706">
        <f ca="1">SUMIFS(Баланс!AX$26:AX$300,Баланс!$F$26:$F$300,$F154,Баланс!$G$26:$G$300,"ПО")</f>
        <v>0</v>
      </c>
      <c r="AZ154" s="706">
        <f ca="1">SUMIFS(Баланс!AY$26:AY$300,Баланс!$F$26:$F$300,$F154,Баланс!$G$26:$G$300,"ПО")</f>
        <v>0</v>
      </c>
      <c r="BA154" s="706">
        <f ca="1">SUMIFS(Баланс!AZ$26:AZ$300,Баланс!$F$26:$F$300,$F154,Баланс!$G$26:$G$300,"ПО")</f>
        <v>0</v>
      </c>
      <c r="BB154" s="706">
        <f ca="1">SUMIFS(Баланс!BA$26:BA$300,Баланс!$F$26:$F$300,$F154,Баланс!$G$26:$G$300,"ПО")</f>
        <v>0</v>
      </c>
      <c r="BC154" s="706">
        <f ca="1">SUMIFS(Баланс!BB$26:BB$300,Баланс!$F$26:$F$300,$F154,Баланс!$G$26:$G$300,"ПО")</f>
        <v>0</v>
      </c>
      <c r="BD154" s="684"/>
      <c r="BE154" s="684"/>
      <c r="BF154" s="684"/>
      <c r="BG154" s="684"/>
      <c r="BH154" s="684"/>
      <c r="BI154" s="684"/>
      <c r="BJ154" s="684"/>
      <c r="BK154" s="684"/>
      <c r="BL154" s="684"/>
      <c r="BM154" s="684"/>
      <c r="BN154" s="1163"/>
      <c r="BO154" s="1163"/>
      <c r="BP154" s="1163"/>
      <c r="BS154" s="972" t="s">
        <v>1827</v>
      </c>
      <c r="BT154" s="979"/>
      <c r="BU154" s="979"/>
      <c r="BV154" s="630"/>
      <c r="BW154" s="630"/>
    </row>
    <row r="155" spans="2:75" ht="14.65" hidden="1" customHeight="1" x14ac:dyDescent="0.25">
      <c r="D155" s="26" cm="1">
        <f t="array" ref="D155">D154</f>
        <v>11</v>
      </c>
      <c r="E155" s="626">
        <v>15</v>
      </c>
      <c r="F155" s="3" cm="1">
        <f t="array" aca="1" ref="F155" ca="1">OFFSET(E155,-1,1)</f>
        <v>0</v>
      </c>
      <c r="G155" s="77" t="s">
        <v>1624</v>
      </c>
      <c r="I155" s="77" t="s">
        <v>2153</v>
      </c>
      <c r="K155" s="77" t="s">
        <v>2153</v>
      </c>
      <c r="L155" s="889" t="s">
        <v>1828</v>
      </c>
      <c r="M155" s="26"/>
      <c r="T155" s="388" t="b" cm="1">
        <f t="array" aca="1" ref="T155" ca="1">T154</f>
        <v>0</v>
      </c>
      <c r="X155" s="2032"/>
      <c r="Z155" s="2012"/>
      <c r="AB155" s="218" t="str">
        <f>D155&amp;".1"</f>
        <v>11.1</v>
      </c>
      <c r="AC155" s="1019" t="s">
        <v>1830</v>
      </c>
      <c r="AD155" s="218" t="s">
        <v>563</v>
      </c>
      <c r="AE155" s="1167">
        <f ca="1">AE154/2</f>
        <v>0</v>
      </c>
      <c r="AF155" s="1167">
        <f ca="1">AF154/2</f>
        <v>0</v>
      </c>
      <c r="AG155" s="1167">
        <f ca="1">AG154/2</f>
        <v>0</v>
      </c>
      <c r="AH155" s="853">
        <f t="shared" ca="1" si="33"/>
        <v>0</v>
      </c>
      <c r="AI155" s="1168">
        <f ca="1">AI154/2</f>
        <v>0</v>
      </c>
      <c r="AJ155" s="1570">
        <f ca="1">IF(god=2026,AJ154/12*9,AJ154/2)</f>
        <v>0</v>
      </c>
      <c r="AK155" s="1167">
        <f ca="1">IF(god=2025,AK154/12*9,AK154/2)</f>
        <v>0</v>
      </c>
      <c r="AL155" s="1168">
        <f t="shared" ref="AL155:AS155" ca="1" si="34">AL154/2</f>
        <v>0</v>
      </c>
      <c r="AM155" s="1168">
        <f t="shared" ca="1" si="34"/>
        <v>0</v>
      </c>
      <c r="AN155" s="1168">
        <f t="shared" ca="1" si="34"/>
        <v>0</v>
      </c>
      <c r="AO155" s="1168">
        <f t="shared" ca="1" si="34"/>
        <v>0</v>
      </c>
      <c r="AP155" s="1168">
        <f t="shared" ca="1" si="34"/>
        <v>0</v>
      </c>
      <c r="AQ155" s="1168">
        <f t="shared" ca="1" si="34"/>
        <v>0</v>
      </c>
      <c r="AR155" s="1168">
        <f t="shared" ca="1" si="34"/>
        <v>0</v>
      </c>
      <c r="AS155" s="1168">
        <f t="shared" ca="1" si="34"/>
        <v>0</v>
      </c>
      <c r="AT155" s="1519">
        <f ca="1">IF(god=2026,AT154/12*9,AT154/2)</f>
        <v>0</v>
      </c>
      <c r="AU155" s="1168">
        <f ca="1">IF(god=2025,AU154/12*9,AU154/2)</f>
        <v>0</v>
      </c>
      <c r="AV155" s="1168">
        <f t="shared" ref="AV155:BC155" ca="1" si="35">AV154/2</f>
        <v>0</v>
      </c>
      <c r="AW155" s="1168">
        <f t="shared" ca="1" si="35"/>
        <v>0</v>
      </c>
      <c r="AX155" s="1168">
        <f t="shared" ca="1" si="35"/>
        <v>0</v>
      </c>
      <c r="AY155" s="1168">
        <f t="shared" ca="1" si="35"/>
        <v>0</v>
      </c>
      <c r="AZ155" s="1168">
        <f t="shared" ca="1" si="35"/>
        <v>0</v>
      </c>
      <c r="BA155" s="1168">
        <f t="shared" ca="1" si="35"/>
        <v>0</v>
      </c>
      <c r="BB155" s="1168">
        <f t="shared" ca="1" si="35"/>
        <v>0</v>
      </c>
      <c r="BC155" s="1168">
        <f t="shared" ca="1" si="35"/>
        <v>0</v>
      </c>
      <c r="BD155" s="854"/>
      <c r="BE155" s="854"/>
      <c r="BF155" s="854"/>
      <c r="BG155" s="854"/>
      <c r="BH155" s="854"/>
      <c r="BI155" s="854"/>
      <c r="BJ155" s="854"/>
      <c r="BK155" s="854"/>
      <c r="BL155" s="854"/>
      <c r="BM155" s="854"/>
      <c r="BN155" s="1163"/>
      <c r="BO155" s="1163"/>
      <c r="BP155" s="1163"/>
      <c r="BS155" s="971" t="s">
        <v>1831</v>
      </c>
    </row>
    <row r="156" spans="2:75" ht="14.65" hidden="1" customHeight="1" x14ac:dyDescent="0.25">
      <c r="D156" s="26" cm="1">
        <f t="array" ref="D156">D155</f>
        <v>11</v>
      </c>
      <c r="E156" s="626">
        <v>15</v>
      </c>
      <c r="F156" s="3" cm="1">
        <f t="array" aca="1" ref="F156" ca="1">OFFSET(E156,-1,1)</f>
        <v>0</v>
      </c>
      <c r="G156" s="77" t="s">
        <v>1585</v>
      </c>
      <c r="I156" s="77" t="s">
        <v>2154</v>
      </c>
      <c r="K156" s="77" t="s">
        <v>2154</v>
      </c>
      <c r="L156" s="889" t="s">
        <v>1832</v>
      </c>
      <c r="M156" s="26"/>
      <c r="T156" s="388" t="b" cm="1">
        <f t="array" aca="1" ref="T156" ca="1">T155</f>
        <v>0</v>
      </c>
      <c r="X156" s="2032"/>
      <c r="Z156" s="2012"/>
      <c r="AB156" s="218" t="str">
        <f>D156&amp;".2"</f>
        <v>11.2</v>
      </c>
      <c r="AC156" s="1019" t="s">
        <v>1834</v>
      </c>
      <c r="AD156" s="218" t="s">
        <v>1588</v>
      </c>
      <c r="AE156" s="1162"/>
      <c r="AF156" s="1162"/>
      <c r="AG156" s="1162"/>
      <c r="AH156" s="855">
        <f t="shared" si="33"/>
        <v>0</v>
      </c>
      <c r="AI156" s="1169"/>
      <c r="AJ156" s="1521"/>
      <c r="AK156" s="1169"/>
      <c r="AL156" s="1169"/>
      <c r="AM156" s="1169"/>
      <c r="AN156" s="1169"/>
      <c r="AO156" s="1169"/>
      <c r="AP156" s="1169"/>
      <c r="AQ156" s="1169"/>
      <c r="AR156" s="1169"/>
      <c r="AS156" s="1169"/>
      <c r="AT156" s="1521"/>
      <c r="AU156" s="1169" cm="1">
        <f t="array" aca="1" ref="AU156" ca="1">AT158</f>
        <v>0</v>
      </c>
      <c r="AV156" s="1169" cm="1">
        <f t="array" aca="1" ref="AV156" ca="1">AU158</f>
        <v>0</v>
      </c>
      <c r="AW156" s="1169" cm="1">
        <f t="array" aca="1" ref="AW156" ca="1">AV158</f>
        <v>0</v>
      </c>
      <c r="AX156" s="1169" cm="1">
        <f t="array" aca="1" ref="AX156" ca="1">AW158</f>
        <v>0</v>
      </c>
      <c r="AY156" s="1169" cm="1">
        <f t="array" aca="1" ref="AY156" ca="1">AX158</f>
        <v>0</v>
      </c>
      <c r="AZ156" s="1169" cm="1">
        <f t="array" aca="1" ref="AZ156" ca="1">AY158</f>
        <v>0</v>
      </c>
      <c r="BA156" s="1169" cm="1">
        <f t="array" aca="1" ref="BA156" ca="1">AZ158</f>
        <v>0</v>
      </c>
      <c r="BB156" s="1169" cm="1">
        <f t="array" aca="1" ref="BB156" ca="1">BA158</f>
        <v>0</v>
      </c>
      <c r="BC156" s="1169" cm="1">
        <f t="array" aca="1" ref="BC156" ca="1">BB158</f>
        <v>0</v>
      </c>
      <c r="BD156" s="854"/>
      <c r="BE156" s="854"/>
      <c r="BF156" s="854"/>
      <c r="BG156" s="854"/>
      <c r="BH156" s="854"/>
      <c r="BI156" s="854"/>
      <c r="BJ156" s="854"/>
      <c r="BK156" s="854"/>
      <c r="BL156" s="854"/>
      <c r="BM156" s="854"/>
      <c r="BN156" s="1163"/>
      <c r="BO156" s="1163"/>
      <c r="BP156" s="1163"/>
      <c r="BS156" s="971" t="s">
        <v>1835</v>
      </c>
    </row>
    <row r="157" spans="2:75" ht="14.65" hidden="1" customHeight="1" x14ac:dyDescent="0.25">
      <c r="D157" s="26" cm="1">
        <f t="array" ref="D157">D156</f>
        <v>11</v>
      </c>
      <c r="E157" s="626">
        <v>15</v>
      </c>
      <c r="F157" s="3" cm="1">
        <f t="array" aca="1" ref="F157" ca="1">OFFSET(E157,-1,1)</f>
        <v>0</v>
      </c>
      <c r="G157" s="77" t="s">
        <v>1637</v>
      </c>
      <c r="I157" s="77" t="s">
        <v>2155</v>
      </c>
      <c r="K157" s="77" t="s">
        <v>2155</v>
      </c>
      <c r="L157" s="889" t="s">
        <v>1836</v>
      </c>
      <c r="M157" s="26"/>
      <c r="T157" s="388" t="b" cm="1">
        <f t="array" aca="1" ref="T157" ca="1">T156</f>
        <v>0</v>
      </c>
      <c r="X157" s="2032"/>
      <c r="Z157" s="2012"/>
      <c r="AB157" s="218" t="str">
        <f>D157&amp;".3"</f>
        <v>11.3</v>
      </c>
      <c r="AC157" s="1019" t="s">
        <v>2156</v>
      </c>
      <c r="AD157" s="218" t="s">
        <v>563</v>
      </c>
      <c r="AE157" s="858">
        <f ca="1">AE154-AE155</f>
        <v>0</v>
      </c>
      <c r="AF157" s="858">
        <f ca="1">AF154-AF155</f>
        <v>0</v>
      </c>
      <c r="AG157" s="858">
        <f ca="1">AG154-AG155</f>
        <v>0</v>
      </c>
      <c r="AH157" s="853">
        <f t="shared" ca="1" si="33"/>
        <v>0</v>
      </c>
      <c r="AI157" s="744">
        <f t="shared" ref="AI157:BC157" ca="1" si="36">AI154-AI155</f>
        <v>0</v>
      </c>
      <c r="AJ157" s="744">
        <f t="shared" ca="1" si="36"/>
        <v>0</v>
      </c>
      <c r="AK157" s="744">
        <f t="shared" ca="1" si="36"/>
        <v>0</v>
      </c>
      <c r="AL157" s="744">
        <f t="shared" ca="1" si="36"/>
        <v>0</v>
      </c>
      <c r="AM157" s="744">
        <f t="shared" ca="1" si="36"/>
        <v>0</v>
      </c>
      <c r="AN157" s="744">
        <f t="shared" ca="1" si="36"/>
        <v>0</v>
      </c>
      <c r="AO157" s="744">
        <f t="shared" ca="1" si="36"/>
        <v>0</v>
      </c>
      <c r="AP157" s="744">
        <f t="shared" ca="1" si="36"/>
        <v>0</v>
      </c>
      <c r="AQ157" s="744">
        <f t="shared" ca="1" si="36"/>
        <v>0</v>
      </c>
      <c r="AR157" s="744">
        <f t="shared" ca="1" si="36"/>
        <v>0</v>
      </c>
      <c r="AS157" s="744">
        <f t="shared" ca="1" si="36"/>
        <v>0</v>
      </c>
      <c r="AT157" s="744">
        <f t="shared" ca="1" si="36"/>
        <v>0</v>
      </c>
      <c r="AU157" s="744">
        <f t="shared" ca="1" si="36"/>
        <v>0</v>
      </c>
      <c r="AV157" s="744">
        <f t="shared" ca="1" si="36"/>
        <v>0</v>
      </c>
      <c r="AW157" s="744">
        <f t="shared" ca="1" si="36"/>
        <v>0</v>
      </c>
      <c r="AX157" s="744">
        <f t="shared" ca="1" si="36"/>
        <v>0</v>
      </c>
      <c r="AY157" s="744">
        <f t="shared" ca="1" si="36"/>
        <v>0</v>
      </c>
      <c r="AZ157" s="744">
        <f t="shared" ca="1" si="36"/>
        <v>0</v>
      </c>
      <c r="BA157" s="744">
        <f t="shared" ca="1" si="36"/>
        <v>0</v>
      </c>
      <c r="BB157" s="744">
        <f t="shared" ca="1" si="36"/>
        <v>0</v>
      </c>
      <c r="BC157" s="744">
        <f t="shared" ca="1" si="36"/>
        <v>0</v>
      </c>
      <c r="BD157" s="854"/>
      <c r="BE157" s="854"/>
      <c r="BF157" s="854"/>
      <c r="BG157" s="854"/>
      <c r="BH157" s="854"/>
      <c r="BI157" s="854"/>
      <c r="BJ157" s="854"/>
      <c r="BK157" s="854"/>
      <c r="BL157" s="854"/>
      <c r="BM157" s="854"/>
      <c r="BN157" s="1163"/>
      <c r="BO157" s="1163"/>
      <c r="BP157" s="1163"/>
      <c r="BS157" s="971" t="s">
        <v>1839</v>
      </c>
    </row>
    <row r="158" spans="2:75" ht="14.65" hidden="1" customHeight="1" x14ac:dyDescent="0.25">
      <c r="D158" s="26" cm="1">
        <f t="array" ref="D158">D157</f>
        <v>11</v>
      </c>
      <c r="E158" s="626">
        <v>15</v>
      </c>
      <c r="F158" s="3" cm="1">
        <f t="array" aca="1" ref="F158" ca="1">OFFSET(E158,-1,1)</f>
        <v>0</v>
      </c>
      <c r="G158" s="77" t="s">
        <v>1590</v>
      </c>
      <c r="I158" s="77" t="s">
        <v>2157</v>
      </c>
      <c r="K158" s="77" t="s">
        <v>2157</v>
      </c>
      <c r="L158" s="889" t="s">
        <v>1840</v>
      </c>
      <c r="M158" s="26"/>
      <c r="T158" s="388" t="b" cm="1">
        <f t="array" aca="1" ref="T158" ca="1">T157</f>
        <v>0</v>
      </c>
      <c r="X158" s="2032"/>
      <c r="Z158" s="2012"/>
      <c r="AB158" s="218" t="str">
        <f>D158&amp;".4"</f>
        <v>11.4</v>
      </c>
      <c r="AC158" s="1019" t="s">
        <v>1842</v>
      </c>
      <c r="AD158" s="218" t="s">
        <v>1588</v>
      </c>
      <c r="AE158" s="1162">
        <f ca="1">IF(AE157=0,0,(AE151-AE155*AE156)/AE157)</f>
        <v>0</v>
      </c>
      <c r="AF158" s="1162">
        <f ca="1">IF(AF157=0,0,(AF151-AF155*AF156)/AF157)</f>
        <v>0</v>
      </c>
      <c r="AG158" s="1162">
        <f ca="1">IF(AG157=0,0,(AG151-AG155*AG156)/AG157)</f>
        <v>0</v>
      </c>
      <c r="AH158" s="855">
        <f t="shared" ca="1" si="33"/>
        <v>0</v>
      </c>
      <c r="AI158" s="1169">
        <f t="shared" ref="AI158:BC158" ca="1" si="37">IF(AI157=0,0,(AI151-AI155*AI156)/AI157)</f>
        <v>0</v>
      </c>
      <c r="AJ158" s="1521">
        <f t="shared" ca="1" si="37"/>
        <v>0</v>
      </c>
      <c r="AK158" s="1169">
        <f t="shared" ca="1" si="37"/>
        <v>0</v>
      </c>
      <c r="AL158" s="1169">
        <f t="shared" ca="1" si="37"/>
        <v>0</v>
      </c>
      <c r="AM158" s="1169">
        <f t="shared" ca="1" si="37"/>
        <v>0</v>
      </c>
      <c r="AN158" s="1169">
        <f t="shared" ca="1" si="37"/>
        <v>0</v>
      </c>
      <c r="AO158" s="1169">
        <f t="shared" ca="1" si="37"/>
        <v>0</v>
      </c>
      <c r="AP158" s="1169">
        <f t="shared" ca="1" si="37"/>
        <v>0</v>
      </c>
      <c r="AQ158" s="1169">
        <f t="shared" ca="1" si="37"/>
        <v>0</v>
      </c>
      <c r="AR158" s="1169">
        <f t="shared" ca="1" si="37"/>
        <v>0</v>
      </c>
      <c r="AS158" s="1169">
        <f t="shared" ca="1" si="37"/>
        <v>0</v>
      </c>
      <c r="AT158" s="1521">
        <f t="shared" ca="1" si="37"/>
        <v>0</v>
      </c>
      <c r="AU158" s="1169">
        <f t="shared" ca="1" si="37"/>
        <v>0</v>
      </c>
      <c r="AV158" s="1169">
        <f t="shared" ca="1" si="37"/>
        <v>0</v>
      </c>
      <c r="AW158" s="1169">
        <f t="shared" ca="1" si="37"/>
        <v>0</v>
      </c>
      <c r="AX158" s="1169">
        <f t="shared" ca="1" si="37"/>
        <v>0</v>
      </c>
      <c r="AY158" s="1169">
        <f t="shared" ca="1" si="37"/>
        <v>0</v>
      </c>
      <c r="AZ158" s="1169">
        <f t="shared" ca="1" si="37"/>
        <v>0</v>
      </c>
      <c r="BA158" s="1169">
        <f t="shared" ca="1" si="37"/>
        <v>0</v>
      </c>
      <c r="BB158" s="1169">
        <f t="shared" ca="1" si="37"/>
        <v>0</v>
      </c>
      <c r="BC158" s="1169">
        <f t="shared" ca="1" si="37"/>
        <v>0</v>
      </c>
      <c r="BD158" s="854"/>
      <c r="BE158" s="854"/>
      <c r="BF158" s="854"/>
      <c r="BG158" s="854"/>
      <c r="BH158" s="854"/>
      <c r="BI158" s="854"/>
      <c r="BJ158" s="854"/>
      <c r="BK158" s="854"/>
      <c r="BL158" s="854"/>
      <c r="BM158" s="854"/>
      <c r="BN158" s="1163"/>
      <c r="BO158" s="1163"/>
      <c r="BP158" s="1163"/>
      <c r="BS158" s="971" t="s">
        <v>1843</v>
      </c>
    </row>
    <row r="159" spans="2:75" ht="14.65" hidden="1" customHeight="1" x14ac:dyDescent="0.25">
      <c r="D159" s="26" cm="1">
        <f t="array" ref="D159">D158</f>
        <v>11</v>
      </c>
      <c r="E159" s="626">
        <v>15</v>
      </c>
      <c r="F159" s="3" cm="1">
        <f t="array" aca="1" ref="F159" ca="1">OFFSET(E159,-1,1)</f>
        <v>0</v>
      </c>
      <c r="I159" s="77" t="s">
        <v>2158</v>
      </c>
      <c r="K159" s="77" t="s">
        <v>2158</v>
      </c>
      <c r="L159" s="889" t="s">
        <v>1844</v>
      </c>
      <c r="M159" s="26"/>
      <c r="T159" s="388" t="b" cm="1">
        <f t="array" aca="1" ref="T159" ca="1">T158</f>
        <v>0</v>
      </c>
      <c r="X159" s="2032"/>
      <c r="Z159" s="2012"/>
      <c r="AB159" s="218" t="str">
        <f>D159&amp;".5"</f>
        <v>11.5</v>
      </c>
      <c r="AC159" s="1019" t="s">
        <v>1846</v>
      </c>
      <c r="AD159" s="218" t="s">
        <v>490</v>
      </c>
      <c r="AE159" s="177">
        <f>IF(AE156=0,0,AE158/AE156*100)</f>
        <v>0</v>
      </c>
      <c r="AF159" s="177">
        <f>IF(AF156=0,0,AF158/AF156*100)</f>
        <v>0</v>
      </c>
      <c r="AG159" s="177">
        <f>IF(AG156=0,0,AG158/AG156*100)</f>
        <v>0</v>
      </c>
      <c r="AH159" s="854"/>
      <c r="AI159" s="722">
        <f t="shared" ref="AI159:BC159" si="38">IF(AI156=0,0,AI158/AI156*100)</f>
        <v>0</v>
      </c>
      <c r="AJ159" s="722">
        <f t="shared" si="38"/>
        <v>0</v>
      </c>
      <c r="AK159" s="722">
        <f t="shared" si="38"/>
        <v>0</v>
      </c>
      <c r="AL159" s="722">
        <f t="shared" si="38"/>
        <v>0</v>
      </c>
      <c r="AM159" s="722">
        <f t="shared" si="38"/>
        <v>0</v>
      </c>
      <c r="AN159" s="722">
        <f t="shared" si="38"/>
        <v>0</v>
      </c>
      <c r="AO159" s="722">
        <f t="shared" si="38"/>
        <v>0</v>
      </c>
      <c r="AP159" s="722">
        <f t="shared" si="38"/>
        <v>0</v>
      </c>
      <c r="AQ159" s="722">
        <f t="shared" si="38"/>
        <v>0</v>
      </c>
      <c r="AR159" s="722">
        <f t="shared" si="38"/>
        <v>0</v>
      </c>
      <c r="AS159" s="722">
        <f t="shared" si="38"/>
        <v>0</v>
      </c>
      <c r="AT159" s="722">
        <f t="shared" si="38"/>
        <v>0</v>
      </c>
      <c r="AU159" s="722">
        <f t="shared" ca="1" si="38"/>
        <v>0</v>
      </c>
      <c r="AV159" s="722">
        <f t="shared" ca="1" si="38"/>
        <v>0</v>
      </c>
      <c r="AW159" s="722">
        <f t="shared" ca="1" si="38"/>
        <v>0</v>
      </c>
      <c r="AX159" s="722">
        <f t="shared" ca="1" si="38"/>
        <v>0</v>
      </c>
      <c r="AY159" s="722">
        <f t="shared" ca="1" si="38"/>
        <v>0</v>
      </c>
      <c r="AZ159" s="722">
        <f t="shared" ca="1" si="38"/>
        <v>0</v>
      </c>
      <c r="BA159" s="722">
        <f t="shared" ca="1" si="38"/>
        <v>0</v>
      </c>
      <c r="BB159" s="722">
        <f t="shared" ca="1" si="38"/>
        <v>0</v>
      </c>
      <c r="BC159" s="722">
        <f t="shared" ca="1" si="38"/>
        <v>0</v>
      </c>
      <c r="BD159" s="854"/>
      <c r="BE159" s="854"/>
      <c r="BF159" s="854"/>
      <c r="BG159" s="854"/>
      <c r="BH159" s="854"/>
      <c r="BI159" s="854"/>
      <c r="BJ159" s="854"/>
      <c r="BK159" s="854"/>
      <c r="BL159" s="854"/>
      <c r="BM159" s="854"/>
      <c r="BN159" s="1163"/>
      <c r="BO159" s="1163"/>
      <c r="BP159" s="1163"/>
      <c r="BS159" s="971" t="s">
        <v>1847</v>
      </c>
    </row>
    <row r="160" spans="2:75" ht="14.65" hidden="1" customHeight="1" x14ac:dyDescent="0.25">
      <c r="D160" s="26" cm="1">
        <f t="array" ref="D160">D159</f>
        <v>11</v>
      </c>
      <c r="E160" s="626">
        <v>15</v>
      </c>
      <c r="F160" s="3" cm="1">
        <f t="array" aca="1" ref="F160" ca="1">OFFSET(E160,-1,1)</f>
        <v>0</v>
      </c>
      <c r="I160" s="77" t="s">
        <v>2159</v>
      </c>
      <c r="K160" s="77" t="s">
        <v>2159</v>
      </c>
      <c r="L160" s="889" t="s">
        <v>1848</v>
      </c>
      <c r="M160" s="26"/>
      <c r="T160" s="388" t="b" cm="1">
        <f t="array" aca="1" ref="T160" ca="1">T159</f>
        <v>0</v>
      </c>
      <c r="X160" s="2032"/>
      <c r="Z160" s="2012"/>
      <c r="AB160" s="218" t="str">
        <f>D160&amp;".6"</f>
        <v>11.6</v>
      </c>
      <c r="AC160" s="1019" t="s">
        <v>1850</v>
      </c>
      <c r="AD160" s="218" t="s">
        <v>1588</v>
      </c>
      <c r="AE160" s="1162">
        <f ca="1">IF(AE154=0,0,AE151/AE154)</f>
        <v>0</v>
      </c>
      <c r="AF160" s="1162">
        <f ca="1">IF(AF154=0,0,AF151/AF154)</f>
        <v>0</v>
      </c>
      <c r="AG160" s="1162">
        <f ca="1">IF(AG154=0,0,AG151/AG154)</f>
        <v>0</v>
      </c>
      <c r="AH160" s="855">
        <f ca="1">AG160-AF160</f>
        <v>0</v>
      </c>
      <c r="AI160" s="1169">
        <f t="shared" ref="AI160:BC160" ca="1" si="39">IF(AI154=0,0,AI151/AI154)</f>
        <v>0</v>
      </c>
      <c r="AJ160" s="1521">
        <f t="shared" ca="1" si="39"/>
        <v>0</v>
      </c>
      <c r="AK160" s="1169">
        <f t="shared" ca="1" si="39"/>
        <v>0</v>
      </c>
      <c r="AL160" s="1169">
        <f t="shared" ca="1" si="39"/>
        <v>0</v>
      </c>
      <c r="AM160" s="1169">
        <f t="shared" ca="1" si="39"/>
        <v>0</v>
      </c>
      <c r="AN160" s="1169">
        <f t="shared" ca="1" si="39"/>
        <v>0</v>
      </c>
      <c r="AO160" s="1169">
        <f t="shared" ca="1" si="39"/>
        <v>0</v>
      </c>
      <c r="AP160" s="1169">
        <f t="shared" ca="1" si="39"/>
        <v>0</v>
      </c>
      <c r="AQ160" s="1169">
        <f t="shared" ca="1" si="39"/>
        <v>0</v>
      </c>
      <c r="AR160" s="1169">
        <f t="shared" ca="1" si="39"/>
        <v>0</v>
      </c>
      <c r="AS160" s="1169">
        <f t="shared" ca="1" si="39"/>
        <v>0</v>
      </c>
      <c r="AT160" s="1521">
        <f t="shared" ca="1" si="39"/>
        <v>0</v>
      </c>
      <c r="AU160" s="1169">
        <f t="shared" ca="1" si="39"/>
        <v>0</v>
      </c>
      <c r="AV160" s="1169">
        <f t="shared" ca="1" si="39"/>
        <v>0</v>
      </c>
      <c r="AW160" s="1169">
        <f t="shared" ca="1" si="39"/>
        <v>0</v>
      </c>
      <c r="AX160" s="1169">
        <f t="shared" ca="1" si="39"/>
        <v>0</v>
      </c>
      <c r="AY160" s="1169">
        <f t="shared" ca="1" si="39"/>
        <v>0</v>
      </c>
      <c r="AZ160" s="1169">
        <f t="shared" ca="1" si="39"/>
        <v>0</v>
      </c>
      <c r="BA160" s="1169">
        <f t="shared" ca="1" si="39"/>
        <v>0</v>
      </c>
      <c r="BB160" s="1169">
        <f t="shared" ca="1" si="39"/>
        <v>0</v>
      </c>
      <c r="BC160" s="1169">
        <f t="shared" ca="1" si="39"/>
        <v>0</v>
      </c>
      <c r="BD160" s="854"/>
      <c r="BE160" s="854"/>
      <c r="BF160" s="854"/>
      <c r="BG160" s="854"/>
      <c r="BH160" s="854"/>
      <c r="BI160" s="854"/>
      <c r="BJ160" s="854"/>
      <c r="BK160" s="854"/>
      <c r="BL160" s="854"/>
      <c r="BM160" s="854"/>
      <c r="BN160" s="1163"/>
      <c r="BO160" s="1163"/>
      <c r="BP160" s="1163"/>
      <c r="BS160" s="971" t="s">
        <v>1851</v>
      </c>
    </row>
    <row r="161" spans="1:75" s="623" customFormat="1" ht="20.45" hidden="1" customHeight="1" x14ac:dyDescent="0.25">
      <c r="B161" s="357"/>
      <c r="D161" s="28">
        <f>D160+1</f>
        <v>12</v>
      </c>
      <c r="E161" s="630">
        <v>21</v>
      </c>
      <c r="F161" s="3" cm="1">
        <f t="array" aca="1" ref="F161" ca="1">OFFSET(E161,-1,1)</f>
        <v>0</v>
      </c>
      <c r="H161" s="77"/>
      <c r="I161" s="77" t="s">
        <v>1856</v>
      </c>
      <c r="K161" s="77" t="s">
        <v>1856</v>
      </c>
      <c r="L161" s="894" t="s">
        <v>1852</v>
      </c>
      <c r="M161" s="28"/>
      <c r="T161" s="388" t="b" cm="1">
        <f t="array" aca="1" ref="T161" ca="1">T160</f>
        <v>0</v>
      </c>
      <c r="X161" s="2032"/>
      <c r="Z161" s="2012"/>
      <c r="AB161" s="130" cm="1">
        <f t="array" ref="AB161">D161</f>
        <v>12</v>
      </c>
      <c r="AC161" s="131" t="s">
        <v>1854</v>
      </c>
      <c r="AD161" s="130" t="s">
        <v>831</v>
      </c>
      <c r="AE161" s="1157">
        <f ca="1">IF(AE154=0,0,AE151/AE154*AE162)</f>
        <v>0</v>
      </c>
      <c r="AF161" s="1157">
        <f ca="1">IF(AF154=0,0,AF151/AF154*AF162)</f>
        <v>0</v>
      </c>
      <c r="AG161" s="1157">
        <f ca="1">IF(AG154=0,0,AG151/AG154*AG162)</f>
        <v>0</v>
      </c>
      <c r="AH161" s="690">
        <f ca="1">AH163*AH164+AH165*AH166</f>
        <v>0</v>
      </c>
      <c r="AI161" s="1170">
        <f t="shared" ref="AI161:BC161" ca="1" si="40">IF(AI154=0,0,AI151/AI154*AI162)</f>
        <v>0</v>
      </c>
      <c r="AJ161" s="1571">
        <f t="shared" ca="1" si="40"/>
        <v>0</v>
      </c>
      <c r="AK161" s="1170">
        <f t="shared" ca="1" si="40"/>
        <v>0</v>
      </c>
      <c r="AL161" s="1170">
        <f t="shared" ca="1" si="40"/>
        <v>0</v>
      </c>
      <c r="AM161" s="1170">
        <f t="shared" ca="1" si="40"/>
        <v>0</v>
      </c>
      <c r="AN161" s="1170">
        <f t="shared" ca="1" si="40"/>
        <v>0</v>
      </c>
      <c r="AO161" s="1170">
        <f t="shared" ca="1" si="40"/>
        <v>0</v>
      </c>
      <c r="AP161" s="1170">
        <f t="shared" ca="1" si="40"/>
        <v>0</v>
      </c>
      <c r="AQ161" s="1170">
        <f t="shared" ca="1" si="40"/>
        <v>0</v>
      </c>
      <c r="AR161" s="1170">
        <f t="shared" ca="1" si="40"/>
        <v>0</v>
      </c>
      <c r="AS161" s="1170">
        <f t="shared" ca="1" si="40"/>
        <v>0</v>
      </c>
      <c r="AT161" s="1571">
        <f t="shared" ca="1" si="40"/>
        <v>0</v>
      </c>
      <c r="AU161" s="1170">
        <f t="shared" ca="1" si="40"/>
        <v>0</v>
      </c>
      <c r="AV161" s="1170">
        <f t="shared" ca="1" si="40"/>
        <v>0</v>
      </c>
      <c r="AW161" s="1170">
        <f t="shared" ca="1" si="40"/>
        <v>0</v>
      </c>
      <c r="AX161" s="1170">
        <f t="shared" ca="1" si="40"/>
        <v>0</v>
      </c>
      <c r="AY161" s="1170">
        <f t="shared" ca="1" si="40"/>
        <v>0</v>
      </c>
      <c r="AZ161" s="1170">
        <f t="shared" ca="1" si="40"/>
        <v>0</v>
      </c>
      <c r="BA161" s="1170">
        <f t="shared" ca="1" si="40"/>
        <v>0</v>
      </c>
      <c r="BB161" s="1170">
        <f t="shared" ca="1" si="40"/>
        <v>0</v>
      </c>
      <c r="BC161" s="1170">
        <f t="shared" ca="1" si="40"/>
        <v>0</v>
      </c>
      <c r="BD161" s="681">
        <f ca="1">IF(AI161=0,0,(AT161-AI161)/AI161*100)</f>
        <v>0</v>
      </c>
      <c r="BE161" s="681">
        <f t="shared" ref="BE161:BM161" ca="1" si="41">IF(AT161=0,0,(AU161-AT161)/AT161*100)</f>
        <v>0</v>
      </c>
      <c r="BF161" s="681">
        <f t="shared" ca="1" si="41"/>
        <v>0</v>
      </c>
      <c r="BG161" s="681">
        <f t="shared" ca="1" si="41"/>
        <v>0</v>
      </c>
      <c r="BH161" s="681">
        <f t="shared" ca="1" si="41"/>
        <v>0</v>
      </c>
      <c r="BI161" s="681">
        <f t="shared" ca="1" si="41"/>
        <v>0</v>
      </c>
      <c r="BJ161" s="681">
        <f t="shared" ca="1" si="41"/>
        <v>0</v>
      </c>
      <c r="BK161" s="681">
        <f t="shared" ca="1" si="41"/>
        <v>0</v>
      </c>
      <c r="BL161" s="681">
        <f t="shared" ca="1" si="41"/>
        <v>0</v>
      </c>
      <c r="BM161" s="681">
        <f t="shared" ca="1" si="41"/>
        <v>0</v>
      </c>
      <c r="BN161" s="1163"/>
      <c r="BO161" s="1163"/>
      <c r="BP161" s="1163"/>
      <c r="BS161" s="972" t="s">
        <v>1855</v>
      </c>
      <c r="BT161" s="979"/>
      <c r="BU161" s="979"/>
      <c r="BV161" s="630"/>
      <c r="BW161" s="630"/>
    </row>
    <row r="162" spans="1:75" s="623" customFormat="1" ht="20.45" hidden="1" customHeight="1" x14ac:dyDescent="0.25">
      <c r="B162" s="357"/>
      <c r="D162" s="28">
        <f>D161+1</f>
        <v>13</v>
      </c>
      <c r="E162" s="630">
        <v>21</v>
      </c>
      <c r="F162" s="3" cm="1">
        <f t="array" aca="1" ref="F162" ca="1">OFFSET(E162,-1,1)</f>
        <v>0</v>
      </c>
      <c r="G162" s="77" t="s">
        <v>1610</v>
      </c>
      <c r="H162" s="77"/>
      <c r="I162" s="77" t="s">
        <v>2160</v>
      </c>
      <c r="K162" s="77" t="s">
        <v>2160</v>
      </c>
      <c r="L162" s="894" t="s">
        <v>1856</v>
      </c>
      <c r="M162" s="28"/>
      <c r="T162" s="388" t="b" cm="1">
        <f t="array" aca="1" ref="T162" ca="1">T161</f>
        <v>0</v>
      </c>
      <c r="X162" s="2032"/>
      <c r="Z162" s="2012"/>
      <c r="AB162" s="130" cm="1">
        <f t="array" ref="AB162">D162</f>
        <v>13</v>
      </c>
      <c r="AC162" s="131" t="s">
        <v>1858</v>
      </c>
      <c r="AD162" s="130" t="s">
        <v>563</v>
      </c>
      <c r="AE162" s="705">
        <f ca="1">SUMIFS(Баланс!AE$26:AE$300,Баланс!$F$26:$F$300,$F162,Баланс!$G$26:$G$300,"население")</f>
        <v>0</v>
      </c>
      <c r="AF162" s="705">
        <f ca="1">SUMIFS(Баланс!AF$26:AF$300,Баланс!$F$26:$F$300,$F162,Баланс!$G$26:$G$300,"население")</f>
        <v>0</v>
      </c>
      <c r="AG162" s="705">
        <f ca="1">SUMIFS(Баланс!AG$26:AG$300,Баланс!$F$26:$F$300,$F162,Баланс!$G$26:$G$300,"население")</f>
        <v>0</v>
      </c>
      <c r="AH162" s="706">
        <f ca="1">AG162-AF162</f>
        <v>0</v>
      </c>
      <c r="AI162" s="706">
        <f ca="1">SUMIFS(Баланс!AH$26:AH$300,Баланс!$F$26:$F$300,$F162,Баланс!$G$26:$G$300,"население")</f>
        <v>0</v>
      </c>
      <c r="AJ162" s="706">
        <f ca="1">SUMIFS(Баланс!AI$26:AI$300,Баланс!$F$26:$F$300,$F162,Баланс!$G$26:$G$300,"население")</f>
        <v>0</v>
      </c>
      <c r="AK162" s="706">
        <f ca="1">SUMIFS(Баланс!AJ$26:AJ$300,Баланс!$F$26:$F$300,$F162,Баланс!$G$26:$G$300,"население")</f>
        <v>0</v>
      </c>
      <c r="AL162" s="706">
        <f ca="1">SUMIFS(Баланс!AK$26:AK$300,Баланс!$F$26:$F$300,$F162,Баланс!$G$26:$G$300,"население")</f>
        <v>0</v>
      </c>
      <c r="AM162" s="706">
        <f ca="1">SUMIFS(Баланс!AL$26:AL$300,Баланс!$F$26:$F$300,$F162,Баланс!$G$26:$G$300,"население")</f>
        <v>0</v>
      </c>
      <c r="AN162" s="706">
        <f ca="1">SUMIFS(Баланс!AM$26:AM$300,Баланс!$F$26:$F$300,$F162,Баланс!$G$26:$G$300,"население")</f>
        <v>0</v>
      </c>
      <c r="AO162" s="706">
        <f ca="1">SUMIFS(Баланс!AN$26:AN$300,Баланс!$F$26:$F$300,$F162,Баланс!$G$26:$G$300,"население")</f>
        <v>0</v>
      </c>
      <c r="AP162" s="706">
        <f ca="1">SUMIFS(Баланс!AO$26:AO$300,Баланс!$F$26:$F$300,$F162,Баланс!$G$26:$G$300,"население")</f>
        <v>0</v>
      </c>
      <c r="AQ162" s="706">
        <f ca="1">SUMIFS(Баланс!AP$26:AP$300,Баланс!$F$26:$F$300,$F162,Баланс!$G$26:$G$300,"население")</f>
        <v>0</v>
      </c>
      <c r="AR162" s="706">
        <f ca="1">SUMIFS(Баланс!AQ$26:AQ$300,Баланс!$F$26:$F$300,$F162,Баланс!$G$26:$G$300,"население")</f>
        <v>0</v>
      </c>
      <c r="AS162" s="706">
        <f ca="1">SUMIFS(Баланс!AR$26:AR$300,Баланс!$F$26:$F$300,$F162,Баланс!$G$26:$G$300,"население")</f>
        <v>0</v>
      </c>
      <c r="AT162" s="706">
        <f ca="1">SUMIFS(Баланс!AS$26:AS$300,Баланс!$F$26:$F$300,$F162,Баланс!$G$26:$G$300,"население")</f>
        <v>0</v>
      </c>
      <c r="AU162" s="706">
        <f ca="1">SUMIFS(Баланс!AT$26:AT$300,Баланс!$F$26:$F$300,$F162,Баланс!$G$26:$G$300,"население")</f>
        <v>0</v>
      </c>
      <c r="AV162" s="706">
        <f ca="1">SUMIFS(Баланс!AU$26:AU$300,Баланс!$F$26:$F$300,$F162,Баланс!$G$26:$G$300,"население")</f>
        <v>0</v>
      </c>
      <c r="AW162" s="706">
        <f ca="1">SUMIFS(Баланс!AV$26:AV$300,Баланс!$F$26:$F$300,$F162,Баланс!$G$26:$G$300,"население")</f>
        <v>0</v>
      </c>
      <c r="AX162" s="706">
        <f ca="1">SUMIFS(Баланс!AW$26:AW$300,Баланс!$F$26:$F$300,$F162,Баланс!$G$26:$G$300,"население")</f>
        <v>0</v>
      </c>
      <c r="AY162" s="706">
        <f ca="1">SUMIFS(Баланс!AX$26:AX$300,Баланс!$F$26:$F$300,$F162,Баланс!$G$26:$G$300,"население")</f>
        <v>0</v>
      </c>
      <c r="AZ162" s="706">
        <f ca="1">SUMIFS(Баланс!AY$26:AY$300,Баланс!$F$26:$F$300,$F162,Баланс!$G$26:$G$300,"население")</f>
        <v>0</v>
      </c>
      <c r="BA162" s="706">
        <f ca="1">SUMIFS(Баланс!AZ$26:AZ$300,Баланс!$F$26:$F$300,$F162,Баланс!$G$26:$G$300,"население")</f>
        <v>0</v>
      </c>
      <c r="BB162" s="706">
        <f ca="1">SUMIFS(Баланс!BA$26:BA$300,Баланс!$F$26:$F$300,$F162,Баланс!$G$26:$G$300,"население")</f>
        <v>0</v>
      </c>
      <c r="BC162" s="706">
        <f ca="1">SUMIFS(Баланс!BB$26:BB$300,Баланс!$F$26:$F$300,$F162,Баланс!$G$26:$G$300,"население")</f>
        <v>0</v>
      </c>
      <c r="BD162" s="684"/>
      <c r="BE162" s="684"/>
      <c r="BF162" s="684"/>
      <c r="BG162" s="684"/>
      <c r="BH162" s="684"/>
      <c r="BI162" s="684"/>
      <c r="BJ162" s="684"/>
      <c r="BK162" s="684"/>
      <c r="BL162" s="684"/>
      <c r="BM162" s="684"/>
      <c r="BN162" s="1163"/>
      <c r="BO162" s="1163"/>
      <c r="BP162" s="1163"/>
      <c r="BS162" s="972" t="s">
        <v>1859</v>
      </c>
      <c r="BT162" s="979"/>
      <c r="BU162" s="979"/>
      <c r="BV162" s="630"/>
      <c r="BW162" s="630"/>
    </row>
    <row r="163" spans="1:75" ht="14.65" hidden="1" customHeight="1" x14ac:dyDescent="0.25">
      <c r="D163" s="26" cm="1">
        <f t="array" ref="D163">D162</f>
        <v>13</v>
      </c>
      <c r="E163" s="626">
        <v>15</v>
      </c>
      <c r="F163" s="3" cm="1">
        <f t="array" aca="1" ref="F163" ca="1">OFFSET(E163,-1,1)</f>
        <v>0</v>
      </c>
      <c r="G163" s="77" t="s">
        <v>1644</v>
      </c>
      <c r="I163" s="77" t="s">
        <v>2161</v>
      </c>
      <c r="K163" s="77" t="s">
        <v>2161</v>
      </c>
      <c r="L163" s="889" t="s">
        <v>1860</v>
      </c>
      <c r="M163" s="26"/>
      <c r="T163" s="388" t="b" cm="1">
        <f t="array" aca="1" ref="T163" ca="1">T162</f>
        <v>0</v>
      </c>
      <c r="X163" s="2032"/>
      <c r="Z163" s="2012"/>
      <c r="AB163" s="218" t="str">
        <f>D163&amp;".1"</f>
        <v>13.1</v>
      </c>
      <c r="AC163" s="1019" t="s">
        <v>1862</v>
      </c>
      <c r="AD163" s="218" t="s">
        <v>563</v>
      </c>
      <c r="AE163" s="1167">
        <f ca="1">AE162/2</f>
        <v>0</v>
      </c>
      <c r="AF163" s="1167">
        <f ca="1">AF162/2</f>
        <v>0</v>
      </c>
      <c r="AG163" s="1167">
        <f ca="1">AG162/2</f>
        <v>0</v>
      </c>
      <c r="AH163" s="853">
        <f ca="1">AG163-AF163</f>
        <v>0</v>
      </c>
      <c r="AI163" s="1168">
        <f ca="1">AI162/2</f>
        <v>0</v>
      </c>
      <c r="AJ163" s="1570">
        <f ca="1">IF(god=2026,AJ162/12*9,AJ162/2)</f>
        <v>0</v>
      </c>
      <c r="AK163" s="1167">
        <f ca="1">IF(god=2025,AK162/12*9,AK162/2)</f>
        <v>0</v>
      </c>
      <c r="AL163" s="1168">
        <f t="shared" ref="AL163:AS163" ca="1" si="42">AL162/2</f>
        <v>0</v>
      </c>
      <c r="AM163" s="1168">
        <f t="shared" ca="1" si="42"/>
        <v>0</v>
      </c>
      <c r="AN163" s="1168">
        <f t="shared" ca="1" si="42"/>
        <v>0</v>
      </c>
      <c r="AO163" s="1168">
        <f t="shared" ca="1" si="42"/>
        <v>0</v>
      </c>
      <c r="AP163" s="1168">
        <f t="shared" ca="1" si="42"/>
        <v>0</v>
      </c>
      <c r="AQ163" s="1168">
        <f t="shared" ca="1" si="42"/>
        <v>0</v>
      </c>
      <c r="AR163" s="1168">
        <f t="shared" ca="1" si="42"/>
        <v>0</v>
      </c>
      <c r="AS163" s="1168">
        <f t="shared" ca="1" si="42"/>
        <v>0</v>
      </c>
      <c r="AT163" s="1519">
        <f ca="1">IF(god=2026,AT162/12*9,AT162/2)</f>
        <v>0</v>
      </c>
      <c r="AU163" s="1168">
        <f ca="1">IF(god=2025,AU162/12*9,AU162/2)</f>
        <v>0</v>
      </c>
      <c r="AV163" s="1168">
        <f t="shared" ref="AV163:BC163" ca="1" si="43">AV162/2</f>
        <v>0</v>
      </c>
      <c r="AW163" s="1168">
        <f t="shared" ca="1" si="43"/>
        <v>0</v>
      </c>
      <c r="AX163" s="1168">
        <f t="shared" ca="1" si="43"/>
        <v>0</v>
      </c>
      <c r="AY163" s="1168">
        <f t="shared" ca="1" si="43"/>
        <v>0</v>
      </c>
      <c r="AZ163" s="1168">
        <f t="shared" ca="1" si="43"/>
        <v>0</v>
      </c>
      <c r="BA163" s="1168">
        <f t="shared" ca="1" si="43"/>
        <v>0</v>
      </c>
      <c r="BB163" s="1168">
        <f t="shared" ca="1" si="43"/>
        <v>0</v>
      </c>
      <c r="BC163" s="1168">
        <f t="shared" ca="1" si="43"/>
        <v>0</v>
      </c>
      <c r="BD163" s="854"/>
      <c r="BE163" s="854"/>
      <c r="BF163" s="854"/>
      <c r="BG163" s="854"/>
      <c r="BH163" s="854"/>
      <c r="BI163" s="854"/>
      <c r="BJ163" s="854"/>
      <c r="BK163" s="854"/>
      <c r="BL163" s="854"/>
      <c r="BM163" s="854"/>
      <c r="BN163" s="1163"/>
      <c r="BO163" s="1163"/>
      <c r="BP163" s="1163"/>
      <c r="BS163" s="971" t="s">
        <v>1863</v>
      </c>
    </row>
    <row r="164" spans="1:75" ht="14.65" hidden="1" customHeight="1" x14ac:dyDescent="0.25">
      <c r="D164" s="26" cm="1">
        <f t="array" ref="D164">D163</f>
        <v>13</v>
      </c>
      <c r="E164" s="626">
        <v>15</v>
      </c>
      <c r="F164" s="3" cm="1">
        <f t="array" aca="1" ref="F164" ca="1">OFFSET(E164,-1,1)</f>
        <v>0</v>
      </c>
      <c r="G164" s="77" t="s">
        <v>1600</v>
      </c>
      <c r="I164" s="77" t="s">
        <v>2162</v>
      </c>
      <c r="K164" s="77" t="s">
        <v>2162</v>
      </c>
      <c r="L164" s="889" t="s">
        <v>1864</v>
      </c>
      <c r="M164" s="26"/>
      <c r="T164" s="388" t="b" cm="1">
        <f t="array" aca="1" ref="T164" ca="1">T163</f>
        <v>0</v>
      </c>
      <c r="X164" s="2032"/>
      <c r="Z164" s="2012"/>
      <c r="AB164" s="218" t="str">
        <f>D164&amp;".2"</f>
        <v>13.2</v>
      </c>
      <c r="AC164" s="1019" t="s">
        <v>1866</v>
      </c>
      <c r="AD164" s="218" t="s">
        <v>1588</v>
      </c>
      <c r="AE164" s="1169">
        <f ca="1">IF(AE162=0,0,AE156*(1+Сценарии!AE$26))</f>
        <v>0</v>
      </c>
      <c r="AF164" s="1169">
        <f ca="1">IF(AF162=0,0,AF156*(1+Сценарии!AF$26))</f>
        <v>0</v>
      </c>
      <c r="AG164" s="1169">
        <f ca="1">IF(AG162=0,0,AG156*(1+Сценарии!AG$26))</f>
        <v>0</v>
      </c>
      <c r="AH164" s="855">
        <f ca="1">AG164-AF164</f>
        <v>0</v>
      </c>
      <c r="AI164" s="1169">
        <f ca="1">IF(AI162=0,0,AI156*(1+Сценарии!AI$26))</f>
        <v>0</v>
      </c>
      <c r="AJ164" s="1521">
        <f ca="1">IF(AJ162=0,0,AJ156*(1+Сценарии!AJ$26))</f>
        <v>0</v>
      </c>
      <c r="AK164" s="1169">
        <f ca="1">IF(AK162=0,0,AK156*(1+Сценарии!AO$26))</f>
        <v>0</v>
      </c>
      <c r="AL164" s="1169">
        <f ca="1">IF(AL162=0,0,AL156*(1+Сценарии!AP$26))</f>
        <v>0</v>
      </c>
      <c r="AM164" s="1169">
        <f ca="1">IF(AM162=0,0,AM156*(1+Сценарии!AQ$26))</f>
        <v>0</v>
      </c>
      <c r="AN164" s="1169">
        <f ca="1">IF(AN162=0,0,AN156*(1+Сценарии!AR$26))</f>
        <v>0</v>
      </c>
      <c r="AO164" s="1169">
        <f ca="1">IF(AO162=0,0,AO156*(1+Сценарии!AS$26))</f>
        <v>0</v>
      </c>
      <c r="AP164" s="1169">
        <f ca="1">IF(AP162=0,0,AP156*(1+Сценарии!AT$26))</f>
        <v>0</v>
      </c>
      <c r="AQ164" s="1169">
        <f ca="1">IF(AQ162=0,0,AQ156*(1+Сценарии!AU$26))</f>
        <v>0</v>
      </c>
      <c r="AR164" s="1169">
        <f ca="1">IF(AR162=0,0,AR156*(1+Сценарии!AV$26))</f>
        <v>0</v>
      </c>
      <c r="AS164" s="1169">
        <f ca="1">IF(AS162=0,0,AS156*(1+Сценарии!AW$26))</f>
        <v>0</v>
      </c>
      <c r="AT164" s="1521">
        <f ca="1">IF(AT162=0,0,AT156*(1+Сценарии!AK$26))</f>
        <v>0</v>
      </c>
      <c r="AU164" s="1169">
        <f ca="1">IF(AU162=0,0,AU156*(1+Сценарии!AX$26))</f>
        <v>0</v>
      </c>
      <c r="AV164" s="1169">
        <f ca="1">IF(AV162=0,0,AV156*(1+Сценарии!AY$26))</f>
        <v>0</v>
      </c>
      <c r="AW164" s="1169">
        <f ca="1">IF(AW162=0,0,AW156*(1+Сценарии!AZ$26))</f>
        <v>0</v>
      </c>
      <c r="AX164" s="1169">
        <f ca="1">IF(AX162=0,0,AX156*(1+Сценарии!BA$26))</f>
        <v>0</v>
      </c>
      <c r="AY164" s="1169">
        <f ca="1">IF(AY162=0,0,AY156*(1+Сценарии!BB$26))</f>
        <v>0</v>
      </c>
      <c r="AZ164" s="1169">
        <f ca="1">IF(AZ162=0,0,AZ156*(1+Сценарии!BC$26))</f>
        <v>0</v>
      </c>
      <c r="BA164" s="1169">
        <f ca="1">IF(BA162=0,0,BA156*(1+Сценарии!BD$26))</f>
        <v>0</v>
      </c>
      <c r="BB164" s="1169">
        <f ca="1">IF(BB162=0,0,BB156*(1+Сценарии!BE$26))</f>
        <v>0</v>
      </c>
      <c r="BC164" s="1169">
        <f ca="1">IF(BC162=0,0,BC156*(1+Сценарии!BF$26))</f>
        <v>0</v>
      </c>
      <c r="BD164" s="854"/>
      <c r="BE164" s="854"/>
      <c r="BF164" s="854"/>
      <c r="BG164" s="854"/>
      <c r="BH164" s="854"/>
      <c r="BI164" s="854"/>
      <c r="BJ164" s="854"/>
      <c r="BK164" s="854"/>
      <c r="BL164" s="854"/>
      <c r="BM164" s="854"/>
      <c r="BN164" s="1163"/>
      <c r="BO164" s="1163"/>
      <c r="BP164" s="1163"/>
      <c r="BS164" s="971" t="s">
        <v>1867</v>
      </c>
    </row>
    <row r="165" spans="1:75" ht="14.65" hidden="1" customHeight="1" x14ac:dyDescent="0.25">
      <c r="B165" s="15"/>
      <c r="C165" s="26"/>
      <c r="D165" s="26" cm="1">
        <f t="array" ref="D165">D164</f>
        <v>13</v>
      </c>
      <c r="E165" s="545">
        <v>15</v>
      </c>
      <c r="F165" s="3" cm="1">
        <f t="array" aca="1" ref="F165" ca="1">OFFSET(E165,-1,1)</f>
        <v>0</v>
      </c>
      <c r="G165" s="26" t="s">
        <v>1651</v>
      </c>
      <c r="H165" s="26"/>
      <c r="I165" s="26" t="s">
        <v>2163</v>
      </c>
      <c r="J165" s="26"/>
      <c r="K165" s="26" t="s">
        <v>2163</v>
      </c>
      <c r="L165" s="889" t="s">
        <v>1868</v>
      </c>
      <c r="M165" s="26"/>
      <c r="N165" s="26"/>
      <c r="O165" s="26"/>
      <c r="P165" s="26"/>
      <c r="Q165" s="26"/>
      <c r="R165" s="26"/>
      <c r="S165" s="26"/>
      <c r="T165" s="388" t="b" cm="1">
        <f t="array" aca="1" ref="T165" ca="1">T164</f>
        <v>0</v>
      </c>
      <c r="U165" s="26"/>
      <c r="V165" s="26"/>
      <c r="W165" s="26"/>
      <c r="X165" s="2032"/>
      <c r="Z165" s="2012"/>
      <c r="AB165" s="218" t="str">
        <f>D165&amp;".3"</f>
        <v>13.3</v>
      </c>
      <c r="AC165" s="1019" t="s">
        <v>1838</v>
      </c>
      <c r="AD165" s="218" t="s">
        <v>563</v>
      </c>
      <c r="AE165" s="858">
        <f ca="1">AE162-AE163</f>
        <v>0</v>
      </c>
      <c r="AF165" s="858">
        <f ca="1">AF162-AF163</f>
        <v>0</v>
      </c>
      <c r="AG165" s="858">
        <f ca="1">AG162-AG163</f>
        <v>0</v>
      </c>
      <c r="AH165" s="853">
        <f ca="1">AG165-AF165</f>
        <v>0</v>
      </c>
      <c r="AI165" s="744">
        <f t="shared" ref="AI165:BC165" ca="1" si="44">AI162-AI163</f>
        <v>0</v>
      </c>
      <c r="AJ165" s="744">
        <f t="shared" ca="1" si="44"/>
        <v>0</v>
      </c>
      <c r="AK165" s="744">
        <f t="shared" ca="1" si="44"/>
        <v>0</v>
      </c>
      <c r="AL165" s="744">
        <f t="shared" ca="1" si="44"/>
        <v>0</v>
      </c>
      <c r="AM165" s="744">
        <f t="shared" ca="1" si="44"/>
        <v>0</v>
      </c>
      <c r="AN165" s="744">
        <f t="shared" ca="1" si="44"/>
        <v>0</v>
      </c>
      <c r="AO165" s="744">
        <f t="shared" ca="1" si="44"/>
        <v>0</v>
      </c>
      <c r="AP165" s="744">
        <f t="shared" ca="1" si="44"/>
        <v>0</v>
      </c>
      <c r="AQ165" s="744">
        <f t="shared" ca="1" si="44"/>
        <v>0</v>
      </c>
      <c r="AR165" s="744">
        <f t="shared" ca="1" si="44"/>
        <v>0</v>
      </c>
      <c r="AS165" s="744">
        <f t="shared" ca="1" si="44"/>
        <v>0</v>
      </c>
      <c r="AT165" s="744">
        <f t="shared" ca="1" si="44"/>
        <v>0</v>
      </c>
      <c r="AU165" s="744">
        <f t="shared" ca="1" si="44"/>
        <v>0</v>
      </c>
      <c r="AV165" s="744">
        <f t="shared" ca="1" si="44"/>
        <v>0</v>
      </c>
      <c r="AW165" s="744">
        <f t="shared" ca="1" si="44"/>
        <v>0</v>
      </c>
      <c r="AX165" s="744">
        <f t="shared" ca="1" si="44"/>
        <v>0</v>
      </c>
      <c r="AY165" s="744">
        <f t="shared" ca="1" si="44"/>
        <v>0</v>
      </c>
      <c r="AZ165" s="744">
        <f t="shared" ca="1" si="44"/>
        <v>0</v>
      </c>
      <c r="BA165" s="744">
        <f t="shared" ca="1" si="44"/>
        <v>0</v>
      </c>
      <c r="BB165" s="744">
        <f t="shared" ca="1" si="44"/>
        <v>0</v>
      </c>
      <c r="BC165" s="744">
        <f t="shared" ca="1" si="44"/>
        <v>0</v>
      </c>
      <c r="BD165" s="854"/>
      <c r="BE165" s="854"/>
      <c r="BF165" s="854"/>
      <c r="BG165" s="854"/>
      <c r="BH165" s="854"/>
      <c r="BI165" s="854"/>
      <c r="BJ165" s="854"/>
      <c r="BK165" s="854"/>
      <c r="BL165" s="854"/>
      <c r="BM165" s="854"/>
      <c r="BN165" s="1163"/>
      <c r="BO165" s="1163"/>
      <c r="BP165" s="1163"/>
      <c r="BS165" s="971" t="s">
        <v>1870</v>
      </c>
    </row>
    <row r="166" spans="1:75" ht="14.65" hidden="1" customHeight="1" x14ac:dyDescent="0.25">
      <c r="B166" s="15"/>
      <c r="C166" s="26"/>
      <c r="D166" s="26" cm="1">
        <f t="array" ref="D166">D165</f>
        <v>13</v>
      </c>
      <c r="E166" s="545">
        <v>15</v>
      </c>
      <c r="F166" s="3" cm="1">
        <f t="array" aca="1" ref="F166" ca="1">OFFSET(E166,-1,1)</f>
        <v>0</v>
      </c>
      <c r="G166" s="26" t="s">
        <v>1604</v>
      </c>
      <c r="H166" s="26"/>
      <c r="I166" s="26" t="s">
        <v>2164</v>
      </c>
      <c r="J166" s="26"/>
      <c r="K166" s="26" t="s">
        <v>2164</v>
      </c>
      <c r="L166" s="889" t="s">
        <v>1871</v>
      </c>
      <c r="M166" s="26"/>
      <c r="N166" s="26"/>
      <c r="O166" s="26"/>
      <c r="P166" s="26"/>
      <c r="Q166" s="26"/>
      <c r="R166" s="26"/>
      <c r="S166" s="26"/>
      <c r="T166" s="388" t="b" cm="1">
        <f t="array" aca="1" ref="T166" ca="1">T165</f>
        <v>0</v>
      </c>
      <c r="U166" s="26"/>
      <c r="V166" s="26"/>
      <c r="W166" s="26"/>
      <c r="X166" s="2032"/>
      <c r="Z166" s="2012"/>
      <c r="AB166" s="218" t="str">
        <f>D166&amp;".4"</f>
        <v>13.4</v>
      </c>
      <c r="AC166" s="1019" t="s">
        <v>1842</v>
      </c>
      <c r="AD166" s="218" t="s">
        <v>1588</v>
      </c>
      <c r="AE166" s="1169">
        <f ca="1">IF(AE162=0,0,AE158*(1+Сценарии!AE$26))</f>
        <v>0</v>
      </c>
      <c r="AF166" s="1169">
        <f ca="1">IF(AF162=0,0,AF158*(1+Сценарии!AF$26))</f>
        <v>0</v>
      </c>
      <c r="AG166" s="1169">
        <f ca="1">IF(AG162=0,0,AG158*(1+Сценарии!AG$26))</f>
        <v>0</v>
      </c>
      <c r="AH166" s="855">
        <f ca="1">AG166-AF166</f>
        <v>0</v>
      </c>
      <c r="AI166" s="1169">
        <f ca="1">IF(AI162=0,0,AI158*(1+Сценарии!AI$26))</f>
        <v>0</v>
      </c>
      <c r="AJ166" s="1521">
        <f ca="1">IF(AJ162=0,0,AJ158*(1+Сценарии!AJ$26))</f>
        <v>0</v>
      </c>
      <c r="AK166" s="1169">
        <f ca="1">IF(AK162=0,0,AK158*(1+Сценарии!AO$26))</f>
        <v>0</v>
      </c>
      <c r="AL166" s="1169">
        <f ca="1">IF(AL162=0,0,AL158*(1+Сценарии!AP$26))</f>
        <v>0</v>
      </c>
      <c r="AM166" s="1169">
        <f ca="1">IF(AM162=0,0,AM158*(1+Сценарии!AQ$26))</f>
        <v>0</v>
      </c>
      <c r="AN166" s="1169">
        <f ca="1">IF(AN162=0,0,AN158*(1+Сценарии!AR$26))</f>
        <v>0</v>
      </c>
      <c r="AO166" s="1169">
        <f ca="1">IF(AO162=0,0,AO158*(1+Сценарии!AS$26))</f>
        <v>0</v>
      </c>
      <c r="AP166" s="1169">
        <f ca="1">IF(AP162=0,0,AP158*(1+Сценарии!AT$26))</f>
        <v>0</v>
      </c>
      <c r="AQ166" s="1169">
        <f ca="1">IF(AQ162=0,0,AQ158*(1+Сценарии!AU$26))</f>
        <v>0</v>
      </c>
      <c r="AR166" s="1169">
        <f ca="1">IF(AR162=0,0,AR158*(1+Сценарии!AV$26))</f>
        <v>0</v>
      </c>
      <c r="AS166" s="1169">
        <f ca="1">IF(AS162=0,0,AS158*(1+Сценарии!AW$26))</f>
        <v>0</v>
      </c>
      <c r="AT166" s="1521">
        <f ca="1">IF(AT162=0,0,AT158*(1+Сценарии!AK$26))</f>
        <v>0</v>
      </c>
      <c r="AU166" s="1169">
        <f ca="1">IF(AU162=0,0,AU158*(1+Сценарии!AX$26))</f>
        <v>0</v>
      </c>
      <c r="AV166" s="1169">
        <f ca="1">IF(AV162=0,0,AV158*(1+Сценарии!AY$26))</f>
        <v>0</v>
      </c>
      <c r="AW166" s="1169">
        <f ca="1">IF(AW162=0,0,AW158*(1+Сценарии!AZ$26))</f>
        <v>0</v>
      </c>
      <c r="AX166" s="1169">
        <f ca="1">IF(AX162=0,0,AX158*(1+Сценарии!BA$26))</f>
        <v>0</v>
      </c>
      <c r="AY166" s="1169">
        <f ca="1">IF(AY162=0,0,AY158*(1+Сценарии!BB$26))</f>
        <v>0</v>
      </c>
      <c r="AZ166" s="1169">
        <f ca="1">IF(AZ162=0,0,AZ158*(1+Сценарии!BC$26))</f>
        <v>0</v>
      </c>
      <c r="BA166" s="1169">
        <f ca="1">IF(BA162=0,0,BA158*(1+Сценарии!BD$26))</f>
        <v>0</v>
      </c>
      <c r="BB166" s="1169">
        <f ca="1">IF(BB162=0,0,BB158*(1+Сценарии!BE$26))</f>
        <v>0</v>
      </c>
      <c r="BC166" s="1169">
        <f ca="1">IF(BC162=0,0,BC158*(1+Сценарии!BF$26))</f>
        <v>0</v>
      </c>
      <c r="BD166" s="854"/>
      <c r="BE166" s="854"/>
      <c r="BF166" s="854"/>
      <c r="BG166" s="854"/>
      <c r="BH166" s="854"/>
      <c r="BI166" s="854"/>
      <c r="BJ166" s="854"/>
      <c r="BK166" s="854"/>
      <c r="BL166" s="854"/>
      <c r="BM166" s="854"/>
      <c r="BN166" s="1163"/>
      <c r="BO166" s="1163"/>
      <c r="BP166" s="1163"/>
      <c r="BS166" s="971" t="s">
        <v>1874</v>
      </c>
    </row>
    <row r="167" spans="1:75" ht="14.65" hidden="1" customHeight="1" x14ac:dyDescent="0.25">
      <c r="B167" s="15"/>
      <c r="C167" s="26"/>
      <c r="D167" s="26">
        <f>D166+1</f>
        <v>14</v>
      </c>
      <c r="E167" s="545">
        <v>15</v>
      </c>
      <c r="F167" s="3" cm="1">
        <f t="array" aca="1" ref="F167" ca="1">OFFSET(E167,-1,1)</f>
        <v>0</v>
      </c>
      <c r="G167" s="26"/>
      <c r="H167" s="26"/>
      <c r="I167" s="26"/>
      <c r="J167" s="26"/>
      <c r="K167" s="26"/>
      <c r="L167" s="889"/>
      <c r="M167" s="26"/>
      <c r="N167" s="26"/>
      <c r="O167" s="26"/>
      <c r="P167" s="26"/>
      <c r="Q167" s="26"/>
      <c r="R167" s="26"/>
      <c r="S167" s="26"/>
      <c r="T167" s="388" t="b" cm="1">
        <f t="array" aca="1" ref="T167" ca="1">T166</f>
        <v>0</v>
      </c>
      <c r="U167" s="26"/>
      <c r="V167" s="26"/>
      <c r="W167" s="26"/>
      <c r="X167" s="2032"/>
      <c r="Z167" s="2012"/>
      <c r="AB167" s="130" cm="1">
        <f t="array" ref="AB167">D167</f>
        <v>14</v>
      </c>
      <c r="AC167" s="131" t="s">
        <v>1876</v>
      </c>
      <c r="AD167" s="130" t="s">
        <v>831</v>
      </c>
      <c r="AE167" s="1162"/>
      <c r="AF167" s="1162"/>
      <c r="AG167" s="1162"/>
      <c r="AH167" s="855"/>
      <c r="AI167" s="1169"/>
      <c r="AJ167" s="1521"/>
      <c r="AK167" s="1169"/>
      <c r="AL167" s="1169"/>
      <c r="AM167" s="1169"/>
      <c r="AN167" s="1169"/>
      <c r="AO167" s="1169"/>
      <c r="AP167" s="1169"/>
      <c r="AQ167" s="1169"/>
      <c r="AR167" s="1169"/>
      <c r="AS167" s="1169"/>
      <c r="AT167" s="1521"/>
      <c r="AU167" s="1169"/>
      <c r="AV167" s="1169"/>
      <c r="AW167" s="1169"/>
      <c r="AX167" s="1169"/>
      <c r="AY167" s="1169"/>
      <c r="AZ167" s="1169"/>
      <c r="BA167" s="1169"/>
      <c r="BB167" s="1169"/>
      <c r="BC167" s="1169"/>
      <c r="BD167" s="854"/>
      <c r="BE167" s="854"/>
      <c r="BF167" s="854"/>
      <c r="BG167" s="854"/>
      <c r="BH167" s="854"/>
      <c r="BI167" s="854"/>
      <c r="BJ167" s="854"/>
      <c r="BK167" s="854"/>
      <c r="BL167" s="854"/>
      <c r="BM167" s="854"/>
      <c r="BN167" s="1163"/>
      <c r="BO167" s="1163"/>
      <c r="BP167" s="1163"/>
      <c r="BS167" s="971" t="s">
        <v>1877</v>
      </c>
    </row>
    <row r="168" spans="1:75" ht="20.45" hidden="1" customHeight="1" x14ac:dyDescent="0.25">
      <c r="B168" s="15"/>
      <c r="C168" s="26"/>
      <c r="D168" s="26" cm="1">
        <f t="array" ref="D168">D167</f>
        <v>14</v>
      </c>
      <c r="E168" s="545">
        <v>21</v>
      </c>
      <c r="F168" s="3" cm="1">
        <f t="array" aca="1" ref="F168" ca="1">OFFSET(E168,-1,1)</f>
        <v>0</v>
      </c>
      <c r="G168" s="26"/>
      <c r="H168" s="26"/>
      <c r="I168" s="26"/>
      <c r="J168" s="26"/>
      <c r="K168" s="26"/>
      <c r="L168" s="889"/>
      <c r="M168" s="26"/>
      <c r="N168" s="26"/>
      <c r="O168" s="26"/>
      <c r="P168" s="26"/>
      <c r="Q168" s="26"/>
      <c r="R168" s="26"/>
      <c r="S168" s="26"/>
      <c r="T168" s="388" t="b" cm="1">
        <f t="array" aca="1" ref="T168" ca="1">T167</f>
        <v>0</v>
      </c>
      <c r="U168" s="26"/>
      <c r="V168" s="26"/>
      <c r="W168" s="26"/>
      <c r="X168" s="2032"/>
      <c r="Z168" s="2012"/>
      <c r="AB168" s="218" t="str">
        <f>D168&amp;".1"</f>
        <v>14.1</v>
      </c>
      <c r="AC168" s="682" t="s">
        <v>1879</v>
      </c>
      <c r="AD168" s="218" t="s">
        <v>831</v>
      </c>
      <c r="AE168" s="1162"/>
      <c r="AF168" s="1162"/>
      <c r="AG168" s="1162"/>
      <c r="AH168" s="855">
        <f>AG168-AF168</f>
        <v>0</v>
      </c>
      <c r="AI168" s="1169"/>
      <c r="AJ168" s="1521"/>
      <c r="AK168" s="1169"/>
      <c r="AL168" s="1169"/>
      <c r="AM168" s="1169"/>
      <c r="AN168" s="1169"/>
      <c r="AO168" s="1169"/>
      <c r="AP168" s="1169"/>
      <c r="AQ168" s="1169"/>
      <c r="AR168" s="1169"/>
      <c r="AS168" s="1169"/>
      <c r="AT168" s="1521"/>
      <c r="AU168" s="1169"/>
      <c r="AV168" s="1169"/>
      <c r="AW168" s="1169"/>
      <c r="AX168" s="1169"/>
      <c r="AY168" s="1169"/>
      <c r="AZ168" s="1169"/>
      <c r="BA168" s="1169"/>
      <c r="BB168" s="1169"/>
      <c r="BC168" s="1169"/>
      <c r="BD168" s="854"/>
      <c r="BE168" s="854"/>
      <c r="BF168" s="854"/>
      <c r="BG168" s="854"/>
      <c r="BH168" s="854"/>
      <c r="BI168" s="854"/>
      <c r="BJ168" s="854"/>
      <c r="BK168" s="854"/>
      <c r="BL168" s="854"/>
      <c r="BM168" s="854"/>
      <c r="BN168" s="1163"/>
      <c r="BO168" s="1163"/>
      <c r="BP168" s="1163"/>
      <c r="BS168" s="971" t="s">
        <v>1880</v>
      </c>
      <c r="BT168" s="980"/>
      <c r="BU168" s="980"/>
      <c r="BV168" s="981"/>
      <c r="BW168" s="981"/>
    </row>
    <row r="169" spans="1:75" ht="64.900000000000006" hidden="1" customHeight="1" x14ac:dyDescent="0.25">
      <c r="B169" s="15"/>
      <c r="C169" s="26"/>
      <c r="D169" s="26" cm="1">
        <f t="array" ref="D169">D168</f>
        <v>14</v>
      </c>
      <c r="E169" s="545">
        <v>66.599999999999994</v>
      </c>
      <c r="F169" s="3" cm="1">
        <f t="array" aca="1" ref="F169" ca="1">OFFSET(E169,-1,1)</f>
        <v>0</v>
      </c>
      <c r="G169" s="26"/>
      <c r="H169" s="26"/>
      <c r="I169" s="26"/>
      <c r="J169" s="26"/>
      <c r="K169" s="26"/>
      <c r="L169" s="889"/>
      <c r="M169" s="26"/>
      <c r="N169" s="26"/>
      <c r="O169" s="26"/>
      <c r="P169" s="26"/>
      <c r="Q169" s="26"/>
      <c r="R169" s="26"/>
      <c r="S169" s="26"/>
      <c r="T169" s="388" t="b" cm="1">
        <f t="array" aca="1" ref="T169" ca="1">T168</f>
        <v>0</v>
      </c>
      <c r="U169" s="26"/>
      <c r="V169" s="26"/>
      <c r="W169" s="26"/>
      <c r="X169" s="2032"/>
      <c r="Z169" s="2012"/>
      <c r="AB169" s="218" t="str">
        <f>D169&amp;".2"</f>
        <v>14.2</v>
      </c>
      <c r="AC169" s="682" t="s">
        <v>1882</v>
      </c>
      <c r="AD169" s="218" t="s">
        <v>831</v>
      </c>
      <c r="AE169" s="1162"/>
      <c r="AF169" s="1162"/>
      <c r="AG169" s="1162"/>
      <c r="AH169" s="855">
        <f>AG169-AF169</f>
        <v>0</v>
      </c>
      <c r="AI169" s="1169"/>
      <c r="AJ169" s="1521"/>
      <c r="AK169" s="1169"/>
      <c r="AL169" s="1169"/>
      <c r="AM169" s="1169"/>
      <c r="AN169" s="1169"/>
      <c r="AO169" s="1169"/>
      <c r="AP169" s="1169"/>
      <c r="AQ169" s="1169"/>
      <c r="AR169" s="1169"/>
      <c r="AS169" s="1169"/>
      <c r="AT169" s="1521"/>
      <c r="AU169" s="1169"/>
      <c r="AV169" s="1169"/>
      <c r="AW169" s="1169"/>
      <c r="AX169" s="1169"/>
      <c r="AY169" s="1169"/>
      <c r="AZ169" s="1169"/>
      <c r="BA169" s="1169"/>
      <c r="BB169" s="1169"/>
      <c r="BC169" s="1169"/>
      <c r="BD169" s="854"/>
      <c r="BE169" s="854"/>
      <c r="BF169" s="854"/>
      <c r="BG169" s="854"/>
      <c r="BH169" s="854"/>
      <c r="BI169" s="854"/>
      <c r="BJ169" s="854"/>
      <c r="BK169" s="854"/>
      <c r="BL169" s="854"/>
      <c r="BM169" s="854"/>
      <c r="BN169" s="1163"/>
      <c r="BO169" s="1163"/>
      <c r="BP169" s="1163"/>
      <c r="BS169" s="971" t="s">
        <v>1883</v>
      </c>
      <c r="BT169" s="980"/>
      <c r="BU169" s="980"/>
      <c r="BV169" s="981"/>
      <c r="BW169" s="981"/>
    </row>
    <row r="170" spans="1:75" ht="44.45" hidden="1" customHeight="1" x14ac:dyDescent="0.15">
      <c r="A170" s="421"/>
      <c r="B170" s="673"/>
      <c r="C170" s="26"/>
      <c r="D170" s="26" cm="1">
        <f t="array" ref="D170">D169</f>
        <v>14</v>
      </c>
      <c r="E170" s="545">
        <v>45.6</v>
      </c>
      <c r="F170" s="3" cm="1">
        <f t="array" aca="1" ref="F170" ca="1">OFFSET(E170,-1,1)</f>
        <v>0</v>
      </c>
      <c r="G170" s="26"/>
      <c r="H170" s="26"/>
      <c r="I170" s="26"/>
      <c r="J170" s="26"/>
      <c r="K170" s="26"/>
      <c r="L170" s="889"/>
      <c r="M170" s="26"/>
      <c r="N170" s="26"/>
      <c r="O170" s="26"/>
      <c r="P170" s="26"/>
      <c r="Q170" s="26"/>
      <c r="R170" s="26"/>
      <c r="S170" s="26"/>
      <c r="T170" s="388" t="b" cm="1">
        <f t="array" aca="1" ref="T170" ca="1">T169</f>
        <v>0</v>
      </c>
      <c r="U170" s="26"/>
      <c r="V170" s="26"/>
      <c r="W170" s="26"/>
      <c r="X170" s="2032"/>
      <c r="Y170" s="421"/>
      <c r="Z170" s="2012"/>
      <c r="AA170" s="421"/>
      <c r="AB170" s="218" t="str">
        <f>D170&amp;".3"</f>
        <v>14.3</v>
      </c>
      <c r="AC170" s="682" t="s">
        <v>2165</v>
      </c>
      <c r="AD170" s="218" t="s">
        <v>831</v>
      </c>
      <c r="AE170" s="857"/>
      <c r="AF170" s="1162"/>
      <c r="AG170" s="1162"/>
      <c r="AH170" s="177">
        <f>AG170-AF170</f>
        <v>0</v>
      </c>
      <c r="AI170" s="857"/>
      <c r="AJ170" s="857"/>
      <c r="AK170" s="857"/>
      <c r="AL170" s="857"/>
      <c r="AM170" s="857"/>
      <c r="AN170" s="857"/>
      <c r="AO170" s="857"/>
      <c r="AP170" s="857"/>
      <c r="AQ170" s="857"/>
      <c r="AR170" s="857"/>
      <c r="AS170" s="857"/>
      <c r="AT170" s="857"/>
      <c r="AU170" s="857"/>
      <c r="AV170" s="857"/>
      <c r="AW170" s="857"/>
      <c r="AX170" s="857"/>
      <c r="AY170" s="857"/>
      <c r="AZ170" s="857"/>
      <c r="BA170" s="857"/>
      <c r="BB170" s="857"/>
      <c r="BC170" s="857"/>
      <c r="BD170" s="857"/>
      <c r="BE170" s="857"/>
      <c r="BF170" s="857"/>
      <c r="BG170" s="857"/>
      <c r="BH170" s="857"/>
      <c r="BI170" s="857"/>
      <c r="BJ170" s="857"/>
      <c r="BK170" s="857"/>
      <c r="BL170" s="857"/>
      <c r="BM170" s="857"/>
      <c r="BN170" s="1163"/>
      <c r="BO170" s="1163"/>
      <c r="BP170" s="1163"/>
      <c r="BS170" s="980" t="s">
        <v>2166</v>
      </c>
      <c r="BT170" s="980"/>
      <c r="BU170" s="980"/>
      <c r="BV170" s="981"/>
      <c r="BW170" s="981"/>
    </row>
    <row r="171" spans="1:75" s="461" customFormat="1" ht="14.25" customHeight="1" x14ac:dyDescent="0.15">
      <c r="A171" s="1217"/>
      <c r="B171" s="350"/>
      <c r="C171" s="1217"/>
      <c r="D171" s="1217"/>
      <c r="E171" s="542">
        <v>15</v>
      </c>
      <c r="F171" s="17" t="str" cm="1">
        <f t="array" ref="F171">X171</f>
        <v>1</v>
      </c>
      <c r="G171" s="17" t="str" cm="1">
        <f t="array" ref="G171">INDEX('Общие сведения'!$AK$185:$AK$228,MATCH($X171,'Общие сведения'!$Z$185:$Z$228,0))</f>
        <v>одноставочный</v>
      </c>
      <c r="H171" s="1217"/>
      <c r="I171" s="17"/>
      <c r="J171" s="1217"/>
      <c r="K171" s="1217"/>
      <c r="L171" s="891"/>
      <c r="M171" s="348"/>
      <c r="N171" s="1217"/>
      <c r="O171" s="1217"/>
      <c r="P171" s="1217"/>
      <c r="Q171" s="1217"/>
      <c r="R171" s="1217"/>
      <c r="S171" s="41" t="str" cm="1">
        <f t="array" ref="S171">INDEX('Общие сведения'!$AE$185:$AE$228,MATCH($X171,'Общие сведения'!$Z$185:$Z$228,0))</f>
        <v>Водоснабжение</v>
      </c>
      <c r="T171" s="388" t="b">
        <f>X171&gt;0</f>
        <v>1</v>
      </c>
      <c r="U171" s="1217"/>
      <c r="V171" s="41" t="str" cm="1">
        <f t="array" ref="V171">'Калькуляция (МИ)'!$AB$171</f>
        <v>Тариф 1 (Водоснабжение) - тариф на питьевую воду</v>
      </c>
      <c r="W171" s="1217"/>
      <c r="X171" s="2032" t="s">
        <v>282</v>
      </c>
      <c r="Y171" s="1217"/>
      <c r="Z171" s="2012"/>
      <c r="AA171" s="1217"/>
      <c r="AB171" s="297" t="str" cm="1">
        <f t="array" ref="AB171">'Калькуляция (МИ)'!$AB$171</f>
        <v>Тариф 1 (Водоснабжение) - тариф на питьевую воду</v>
      </c>
      <c r="AC171" s="171"/>
      <c r="AD171" s="171"/>
      <c r="AE171" s="171"/>
      <c r="AF171" s="171"/>
      <c r="AG171" s="171"/>
      <c r="AH171" s="171"/>
      <c r="AI171" s="171"/>
      <c r="AJ171" s="171"/>
      <c r="AK171" s="171"/>
      <c r="AL171" s="171"/>
      <c r="AM171" s="171"/>
      <c r="AN171" s="171"/>
      <c r="AO171" s="171"/>
      <c r="AP171" s="171"/>
      <c r="AQ171" s="171"/>
      <c r="AR171" s="171"/>
      <c r="AS171" s="171"/>
      <c r="AT171" s="171"/>
      <c r="AU171" s="171"/>
      <c r="AV171" s="171"/>
      <c r="AW171" s="171"/>
      <c r="AX171" s="171"/>
      <c r="AY171" s="171"/>
      <c r="AZ171" s="171"/>
      <c r="BA171" s="171"/>
      <c r="BB171" s="171"/>
      <c r="BC171" s="171"/>
      <c r="BD171" s="171"/>
      <c r="BE171" s="171"/>
      <c r="BF171" s="171"/>
      <c r="BG171" s="171"/>
      <c r="BH171" s="171"/>
      <c r="BI171" s="171"/>
      <c r="BJ171" s="171"/>
      <c r="BK171" s="171"/>
      <c r="BL171" s="171"/>
      <c r="BM171" s="171"/>
      <c r="BN171" s="171"/>
      <c r="BO171" s="171"/>
      <c r="BP171" s="171"/>
      <c r="BQ171" s="1217"/>
      <c r="BR171" s="1217"/>
      <c r="BS171" s="906"/>
      <c r="BT171" s="906"/>
      <c r="BU171" s="906"/>
      <c r="BV171" s="542"/>
      <c r="BW171" s="542"/>
    </row>
    <row r="172" spans="1:75" s="1572" customFormat="1" ht="35.85" customHeight="1" x14ac:dyDescent="0.15">
      <c r="A172" s="80"/>
      <c r="B172" s="356"/>
      <c r="C172" s="80"/>
      <c r="D172" s="80"/>
      <c r="E172" s="628">
        <v>21</v>
      </c>
      <c r="F172" s="3" t="str" cm="1">
        <f t="array" aca="1" ref="F172" ca="1">OFFSET(E172,-1,1)</f>
        <v>1</v>
      </c>
      <c r="G172" s="80"/>
      <c r="H172" s="293"/>
      <c r="I172" s="293" t="s">
        <v>331</v>
      </c>
      <c r="J172" s="80"/>
      <c r="K172" s="293" t="s">
        <v>331</v>
      </c>
      <c r="L172" s="892"/>
      <c r="M172" s="774"/>
      <c r="N172" s="80"/>
      <c r="O172" s="80"/>
      <c r="P172" s="80"/>
      <c r="Q172" s="80"/>
      <c r="R172" s="80" t="s">
        <v>2200</v>
      </c>
      <c r="S172" s="80"/>
      <c r="T172" s="388" t="b" cm="1">
        <f t="array" ref="T172">T171</f>
        <v>1</v>
      </c>
      <c r="U172" s="80"/>
      <c r="V172" s="80"/>
      <c r="W172" s="80"/>
      <c r="X172" s="2032"/>
      <c r="Y172" s="80"/>
      <c r="Z172" s="2012"/>
      <c r="AA172" s="80"/>
      <c r="AB172" s="166" t="s">
        <v>282</v>
      </c>
      <c r="AC172" s="131" t="s">
        <v>1890</v>
      </c>
      <c r="AD172" s="153" t="s">
        <v>831</v>
      </c>
      <c r="AE172" s="681">
        <f>SUM(AE174,AE191,AE197,AE217,AE218,AE219)</f>
        <v>98944.522680861191</v>
      </c>
      <c r="AF172" s="681">
        <f>SUM(AF174,AF191,AF197,AF217,AF218,AF219)</f>
        <v>85648.090000000011</v>
      </c>
      <c r="AG172" s="681">
        <f>SUM(AG174,AG191,AG197,AG217,AG218,AG219)</f>
        <v>98802.680975995507</v>
      </c>
      <c r="AH172" s="681">
        <f t="shared" ref="AH172:AH203" si="45">AG172-AF172</f>
        <v>13154.590975995496</v>
      </c>
      <c r="AI172" s="1516">
        <v>102069.186387194</v>
      </c>
      <c r="AJ172" s="1516">
        <v>124180.29</v>
      </c>
      <c r="AK172" s="1153">
        <v>135394.975543145</v>
      </c>
      <c r="AL172" s="1153">
        <v>140743.07707709901</v>
      </c>
      <c r="AM172" s="1153">
        <v>146302.42862164401</v>
      </c>
      <c r="AN172" s="1153">
        <v>152081.37455219901</v>
      </c>
      <c r="AO172" s="1153">
        <v>158088.58884701101</v>
      </c>
      <c r="AP172" s="1153">
        <v>164333.088106468</v>
      </c>
      <c r="AQ172" s="1516">
        <f ca="1">AP172*AQ173</f>
        <v>164333.088106468</v>
      </c>
      <c r="AR172" s="1516">
        <f ca="1">AQ172*AR173</f>
        <v>164333.088106468</v>
      </c>
      <c r="AS172" s="1516">
        <f ca="1">AR172*AS173</f>
        <v>164333.088106468</v>
      </c>
      <c r="AT172" s="1516">
        <v>112597.43</v>
      </c>
      <c r="AU172" s="1153">
        <v>108201.111159661</v>
      </c>
      <c r="AV172" s="1153">
        <v>111403.86404998699</v>
      </c>
      <c r="AW172" s="1153">
        <v>114701.418425866</v>
      </c>
      <c r="AX172" s="1153">
        <v>118096.58041127201</v>
      </c>
      <c r="AY172" s="1153">
        <v>121592.239191446</v>
      </c>
      <c r="AZ172" s="1153">
        <v>125191.369471513</v>
      </c>
      <c r="BA172" s="1516">
        <f ca="1">AZ172*BA173</f>
        <v>125191.369471513</v>
      </c>
      <c r="BB172" s="1516">
        <f ca="1">BA172*BB173</f>
        <v>125191.369471513</v>
      </c>
      <c r="BC172" s="1516">
        <f ca="1">BB172*BC173</f>
        <v>125191.369471513</v>
      </c>
      <c r="BD172" s="681">
        <f>IF(AI172=0,0,(AT172-AI172)/AI172*100)</f>
        <v>10.314810948788859</v>
      </c>
      <c r="BE172" s="681">
        <f t="shared" ref="BE172:BM172" si="46">IF(AT172=0,0,(AU172-AT172)/AT172*100)</f>
        <v>-3.9044575354330862</v>
      </c>
      <c r="BF172" s="681">
        <f t="shared" si="46"/>
        <v>2.9600000000000275</v>
      </c>
      <c r="BG172" s="681">
        <f t="shared" si="46"/>
        <v>2.9599999999994488</v>
      </c>
      <c r="BH172" s="681">
        <f t="shared" si="46"/>
        <v>2.9600000000003299</v>
      </c>
      <c r="BI172" s="681">
        <f t="shared" si="46"/>
        <v>2.9600000000002913</v>
      </c>
      <c r="BJ172" s="681">
        <f t="shared" si="46"/>
        <v>2.9600000000001585</v>
      </c>
      <c r="BK172" s="681">
        <f t="shared" ca="1" si="46"/>
        <v>0</v>
      </c>
      <c r="BL172" s="681">
        <f t="shared" ca="1" si="46"/>
        <v>0</v>
      </c>
      <c r="BM172" s="681">
        <f t="shared" ca="1" si="46"/>
        <v>0</v>
      </c>
      <c r="BN172" s="1573"/>
      <c r="BO172" s="1574" t="s">
        <v>2202</v>
      </c>
      <c r="BP172" s="1574"/>
      <c r="BQ172" s="79"/>
      <c r="BR172" s="80"/>
      <c r="BS172" s="977" t="s">
        <v>555</v>
      </c>
      <c r="BT172" s="977"/>
      <c r="BU172" s="977"/>
      <c r="BV172" s="628"/>
      <c r="BW172" s="628"/>
    </row>
    <row r="173" spans="1:75" s="1334" customFormat="1" ht="14.65" customHeight="1" x14ac:dyDescent="0.15">
      <c r="A173" s="1184"/>
      <c r="B173" s="887"/>
      <c r="C173" s="1184"/>
      <c r="D173" s="1184"/>
      <c r="E173" s="626">
        <v>15</v>
      </c>
      <c r="F173" s="3" t="str" cm="1">
        <f t="array" aca="1" ref="F173" ca="1">OFFSET(E173,-1,1)</f>
        <v>1</v>
      </c>
      <c r="G173" s="1184"/>
      <c r="H173" s="294"/>
      <c r="I173" s="294" t="s">
        <v>494</v>
      </c>
      <c r="J173" s="1184"/>
      <c r="K173" s="294" t="s">
        <v>494</v>
      </c>
      <c r="L173" s="889"/>
      <c r="M173" s="26"/>
      <c r="N173" s="1184"/>
      <c r="O173" s="1184"/>
      <c r="P173" s="1184"/>
      <c r="Q173" s="1184"/>
      <c r="R173" s="80" t="s">
        <v>2200</v>
      </c>
      <c r="S173" s="1184"/>
      <c r="T173" s="388" t="b" cm="1">
        <f t="array" ref="T173">T172</f>
        <v>1</v>
      </c>
      <c r="U173" s="1184"/>
      <c r="V173" s="1184"/>
      <c r="W173" s="1184"/>
      <c r="X173" s="2032"/>
      <c r="Y173" s="1184"/>
      <c r="Z173" s="2012"/>
      <c r="AA173" s="1184"/>
      <c r="AB173" s="217" t="s">
        <v>910</v>
      </c>
      <c r="AC173" s="682" t="s">
        <v>1891</v>
      </c>
      <c r="AD173" s="218"/>
      <c r="AE173" s="1560"/>
      <c r="AF173" s="1560"/>
      <c r="AG173" s="1560"/>
      <c r="AH173" s="853">
        <f t="shared" si="45"/>
        <v>0</v>
      </c>
      <c r="AI173" s="1560">
        <v>1.0315799999999999</v>
      </c>
      <c r="AJ173" s="1560"/>
      <c r="AK173" s="1159">
        <v>1.0395000000000001</v>
      </c>
      <c r="AL173" s="1159">
        <v>1.0395000000000001</v>
      </c>
      <c r="AM173" s="1159">
        <v>1.0395000000000001</v>
      </c>
      <c r="AN173" s="1159">
        <v>1.0395000000000001</v>
      </c>
      <c r="AO173" s="1159">
        <v>1.0395000000000001</v>
      </c>
      <c r="AP173" s="1159">
        <v>1.0395000000000001</v>
      </c>
      <c r="AQ173" s="1560">
        <f ca="1">SUMIFS(INDEX(Сценарии!$AE$25:$BF$109,,MATCH(AQ$8,Сценарии!$AE$8:$BF$8,0)),Сценарии!$F$25:$F$109,$F173,Сценарии!$G$25:$G$109,"ИОР")</f>
        <v>1</v>
      </c>
      <c r="AR173" s="1560">
        <f ca="1">SUMIFS(INDEX(Сценарии!$AE$25:$BF$109,,MATCH(AR$8,Сценарии!$AE$8:$BF$8,0)),Сценарии!$F$25:$F$109,$F173,Сценарии!$G$25:$G$109,"ИОР")</f>
        <v>1</v>
      </c>
      <c r="AS173" s="1560">
        <f ca="1">SUMIFS(INDEX(Сценарии!$AE$25:$BF$109,,MATCH(AS$8,Сценарии!$AE$8:$BF$8,0)),Сценарии!$F$25:$F$109,$F173,Сценарии!$G$25:$G$109,"ИОР")</f>
        <v>1</v>
      </c>
      <c r="AT173" s="1560"/>
      <c r="AU173" s="1159">
        <v>1.0296000000000001</v>
      </c>
      <c r="AV173" s="1159">
        <v>1.0296000000000001</v>
      </c>
      <c r="AW173" s="1159">
        <v>1.0296000000000001</v>
      </c>
      <c r="AX173" s="1159">
        <v>1.0296000000000001</v>
      </c>
      <c r="AY173" s="1159">
        <v>1.0296000000000001</v>
      </c>
      <c r="AZ173" s="1159">
        <v>1.0296000000000001</v>
      </c>
      <c r="BA173" s="1560">
        <f ca="1">SUMIFS(INDEX(Сценарии!$AE$25:$BF$109,,MATCH(BA$8,Сценарии!$AE$8:$BF$8,0)),Сценарии!$F$25:$F$109,$F173,Сценарии!$G$25:$G$109,"ИОР")</f>
        <v>1</v>
      </c>
      <c r="BB173" s="1560">
        <f ca="1">SUMIFS(INDEX(Сценарии!$AE$25:$BF$109,,MATCH(BB$8,Сценарии!$AE$8:$BF$8,0)),Сценарии!$F$25:$F$109,$F173,Сценарии!$G$25:$G$109,"ИОР")</f>
        <v>1</v>
      </c>
      <c r="BC173" s="1560">
        <f ca="1">SUMIFS(INDEX(Сценарии!$AE$25:$BF$109,,MATCH(BC$8,Сценарии!$AE$8:$BF$8,0)),Сценарии!$F$25:$F$109,$F173,Сценарии!$G$25:$G$109,"ИОР")</f>
        <v>1</v>
      </c>
      <c r="BD173" s="854"/>
      <c r="BE173" s="854"/>
      <c r="BF173" s="854"/>
      <c r="BG173" s="854"/>
      <c r="BH173" s="854"/>
      <c r="BI173" s="854"/>
      <c r="BJ173" s="854"/>
      <c r="BK173" s="854"/>
      <c r="BL173" s="854"/>
      <c r="BM173" s="854"/>
      <c r="BN173" s="1574"/>
      <c r="BO173" s="1574"/>
      <c r="BP173" s="1574"/>
      <c r="BQ173" s="1184"/>
      <c r="BR173" s="1184"/>
      <c r="BS173" s="973" t="s">
        <v>1892</v>
      </c>
      <c r="BT173" s="973"/>
      <c r="BU173" s="973"/>
      <c r="BV173" s="888"/>
      <c r="BW173" s="888"/>
    </row>
    <row r="174" spans="1:75" s="356" customFormat="1" ht="20.25" customHeight="1" x14ac:dyDescent="0.25">
      <c r="A174" s="79"/>
      <c r="C174" s="79"/>
      <c r="D174" s="79"/>
      <c r="E174" s="629">
        <v>21</v>
      </c>
      <c r="F174" s="3" t="str" cm="1">
        <f t="array" aca="1" ref="F174" ca="1">OFFSET(E174,-1,1)</f>
        <v>1</v>
      </c>
      <c r="G174" s="79"/>
      <c r="H174" s="293"/>
      <c r="I174" s="293" t="s">
        <v>498</v>
      </c>
      <c r="J174" s="79"/>
      <c r="K174" s="293" t="s">
        <v>498</v>
      </c>
      <c r="L174" s="893" t="s">
        <v>331</v>
      </c>
      <c r="M174" s="777"/>
      <c r="N174" s="79"/>
      <c r="O174" s="79"/>
      <c r="P174" s="79"/>
      <c r="Q174" s="77" t="s">
        <v>2200</v>
      </c>
      <c r="R174" s="80" t="s">
        <v>2200</v>
      </c>
      <c r="S174" s="79"/>
      <c r="T174" s="388" t="b" cm="1">
        <f t="array" ref="T174">T173</f>
        <v>1</v>
      </c>
      <c r="U174" s="79"/>
      <c r="V174" s="79"/>
      <c r="W174" s="79"/>
      <c r="X174" s="2032"/>
      <c r="Y174" s="79"/>
      <c r="Z174" s="2012"/>
      <c r="AA174" s="79"/>
      <c r="AB174" s="166" t="s">
        <v>913</v>
      </c>
      <c r="AC174" s="277" t="s">
        <v>1680</v>
      </c>
      <c r="AD174" s="153" t="s">
        <v>831</v>
      </c>
      <c r="AE174" s="681">
        <f>SUM(AE175,AE178,AE179,AE182,AE183)</f>
        <v>55768.5846619929</v>
      </c>
      <c r="AF174" s="681">
        <f>SUM(AF175,AF178,AF179,AF182,AF183)</f>
        <v>48497.840000000004</v>
      </c>
      <c r="AG174" s="681">
        <f>SUM(AG175,AG178,AG179,AG182,AG183)</f>
        <v>55688.637728983602</v>
      </c>
      <c r="AH174" s="681">
        <f t="shared" si="45"/>
        <v>7190.7977289835981</v>
      </c>
      <c r="AI174" s="1561">
        <f ca="1">SUM(AI175,AI178,AI179,AI182,AI183)</f>
        <v>0</v>
      </c>
      <c r="AJ174" s="1560"/>
      <c r="AK174" s="684"/>
      <c r="AL174" s="684"/>
      <c r="AM174" s="684"/>
      <c r="AN174" s="684"/>
      <c r="AO174" s="684"/>
      <c r="AP174" s="684"/>
      <c r="AQ174" s="684"/>
      <c r="AR174" s="684"/>
      <c r="AS174" s="684"/>
      <c r="AT174" s="684"/>
      <c r="AU174" s="684"/>
      <c r="AV174" s="684"/>
      <c r="AW174" s="684"/>
      <c r="AX174" s="684"/>
      <c r="AY174" s="684"/>
      <c r="AZ174" s="684"/>
      <c r="BA174" s="684"/>
      <c r="BB174" s="684"/>
      <c r="BC174" s="684"/>
      <c r="BD174" s="684"/>
      <c r="BE174" s="684"/>
      <c r="BF174" s="684"/>
      <c r="BG174" s="684"/>
      <c r="BH174" s="684"/>
      <c r="BI174" s="684"/>
      <c r="BJ174" s="684"/>
      <c r="BK174" s="684"/>
      <c r="BL174" s="684"/>
      <c r="BM174" s="684"/>
      <c r="BN174" s="1575"/>
      <c r="BO174" s="1575"/>
      <c r="BP174" s="1575"/>
      <c r="BQ174" s="79"/>
      <c r="BR174" s="79"/>
      <c r="BS174" s="971" t="s">
        <v>549</v>
      </c>
      <c r="BT174" s="978"/>
      <c r="BU174" s="978"/>
      <c r="BV174" s="629"/>
      <c r="BW174" s="629"/>
    </row>
    <row r="175" spans="1:75" s="1334" customFormat="1" ht="14.25" customHeight="1" x14ac:dyDescent="0.25">
      <c r="A175" s="1184"/>
      <c r="B175" s="887"/>
      <c r="C175" s="1184"/>
      <c r="D175" s="1184"/>
      <c r="E175" s="626">
        <v>15</v>
      </c>
      <c r="F175" s="3" t="str" cm="1">
        <f t="array" aca="1" ref="F175" ca="1">OFFSET(E175,-1,1)</f>
        <v>1</v>
      </c>
      <c r="G175" s="1184"/>
      <c r="H175" s="294"/>
      <c r="I175" s="294" t="s">
        <v>1301</v>
      </c>
      <c r="J175" s="1184"/>
      <c r="K175" s="294" t="s">
        <v>1301</v>
      </c>
      <c r="L175" s="889" t="s">
        <v>494</v>
      </c>
      <c r="M175" s="26"/>
      <c r="N175" s="1184"/>
      <c r="O175" s="1184"/>
      <c r="P175" s="1184"/>
      <c r="Q175" s="77" t="s">
        <v>2200</v>
      </c>
      <c r="R175" s="80" t="s">
        <v>2200</v>
      </c>
      <c r="S175" s="1184"/>
      <c r="T175" s="388" t="b" cm="1">
        <f t="array" ref="T175">T174</f>
        <v>1</v>
      </c>
      <c r="U175" s="1184"/>
      <c r="V175" s="1184"/>
      <c r="W175" s="1184"/>
      <c r="X175" s="2032"/>
      <c r="Y175" s="1184"/>
      <c r="Z175" s="2012"/>
      <c r="AA175" s="1184"/>
      <c r="AB175" s="217" t="s">
        <v>1302</v>
      </c>
      <c r="AC175" s="685" t="s">
        <v>1893</v>
      </c>
      <c r="AD175" s="686" t="s">
        <v>831</v>
      </c>
      <c r="AE175" s="855">
        <f>SUM(AE176,AE177)</f>
        <v>21309.076046263199</v>
      </c>
      <c r="AF175" s="855">
        <f>SUM(AF176,AF177)</f>
        <v>16464.68</v>
      </c>
      <c r="AG175" s="855">
        <f>SUM(AG176,AG177)</f>
        <v>21278.528466734584</v>
      </c>
      <c r="AH175" s="855">
        <f t="shared" si="45"/>
        <v>4813.8484667345838</v>
      </c>
      <c r="AI175" s="1562">
        <f>SUM(AI176,AI177)</f>
        <v>0</v>
      </c>
      <c r="AJ175" s="1560"/>
      <c r="AK175" s="854"/>
      <c r="AL175" s="854"/>
      <c r="AM175" s="854"/>
      <c r="AN175" s="854"/>
      <c r="AO175" s="854"/>
      <c r="AP175" s="854"/>
      <c r="AQ175" s="854"/>
      <c r="AR175" s="854"/>
      <c r="AS175" s="854"/>
      <c r="AT175" s="854"/>
      <c r="AU175" s="854"/>
      <c r="AV175" s="854"/>
      <c r="AW175" s="854"/>
      <c r="AX175" s="854"/>
      <c r="AY175" s="854"/>
      <c r="AZ175" s="854"/>
      <c r="BA175" s="854"/>
      <c r="BB175" s="854"/>
      <c r="BC175" s="854"/>
      <c r="BD175" s="854"/>
      <c r="BE175" s="854"/>
      <c r="BF175" s="854"/>
      <c r="BG175" s="854"/>
      <c r="BH175" s="854"/>
      <c r="BI175" s="854"/>
      <c r="BJ175" s="854"/>
      <c r="BK175" s="854"/>
      <c r="BL175" s="854"/>
      <c r="BM175" s="854"/>
      <c r="BN175" s="1574"/>
      <c r="BO175" s="1574"/>
      <c r="BP175" s="1574"/>
      <c r="BQ175" s="29"/>
      <c r="BR175" s="1184"/>
      <c r="BS175" s="972" t="s">
        <v>1682</v>
      </c>
      <c r="BT175" s="973"/>
      <c r="BU175" s="973"/>
      <c r="BV175" s="888"/>
      <c r="BW175" s="888"/>
    </row>
    <row r="176" spans="1:75" s="1334" customFormat="1" ht="34.9" customHeight="1" x14ac:dyDescent="0.25">
      <c r="A176" s="1184"/>
      <c r="B176" s="887"/>
      <c r="C176" s="1184"/>
      <c r="D176" s="1184"/>
      <c r="E176" s="626">
        <v>15</v>
      </c>
      <c r="F176" s="3" t="str" cm="1">
        <f t="array" aca="1" ref="F176" ca="1">OFFSET(E176,-1,1)</f>
        <v>1</v>
      </c>
      <c r="G176" s="1184"/>
      <c r="H176" s="294"/>
      <c r="I176" s="294" t="s">
        <v>1894</v>
      </c>
      <c r="J176" s="1184"/>
      <c r="K176" s="294" t="s">
        <v>1894</v>
      </c>
      <c r="L176" s="889" t="s">
        <v>1020</v>
      </c>
      <c r="M176" s="26"/>
      <c r="N176" s="1184"/>
      <c r="O176" s="1184"/>
      <c r="P176" s="1184"/>
      <c r="Q176" s="77" t="s">
        <v>2200</v>
      </c>
      <c r="R176" s="80" t="s">
        <v>2200</v>
      </c>
      <c r="S176" s="1184"/>
      <c r="T176" s="388" t="b" cm="1">
        <f t="array" ref="T176">T175</f>
        <v>1</v>
      </c>
      <c r="U176" s="1184"/>
      <c r="V176" s="1184"/>
      <c r="W176" s="1184"/>
      <c r="X176" s="2032"/>
      <c r="Y176" s="1184"/>
      <c r="Z176" s="2012"/>
      <c r="AA176" s="1184"/>
      <c r="AB176" s="217" t="s">
        <v>1895</v>
      </c>
      <c r="AC176" s="688" t="s">
        <v>1685</v>
      </c>
      <c r="AD176" s="686" t="s">
        <v>831</v>
      </c>
      <c r="AE176" s="1568">
        <v>21309.076046263199</v>
      </c>
      <c r="AF176" s="1568">
        <v>16464.68</v>
      </c>
      <c r="AG176" s="1568">
        <f>AE176*0.998566452179236</f>
        <v>21278.528466734584</v>
      </c>
      <c r="AH176" s="855">
        <f t="shared" si="45"/>
        <v>4813.8484667345838</v>
      </c>
      <c r="AI176" s="1563"/>
      <c r="AJ176" s="1560"/>
      <c r="AK176" s="854"/>
      <c r="AL176" s="854"/>
      <c r="AM176" s="854"/>
      <c r="AN176" s="854"/>
      <c r="AO176" s="854"/>
      <c r="AP176" s="854"/>
      <c r="AQ176" s="854"/>
      <c r="AR176" s="854"/>
      <c r="AS176" s="854"/>
      <c r="AT176" s="854"/>
      <c r="AU176" s="854"/>
      <c r="AV176" s="854"/>
      <c r="AW176" s="854"/>
      <c r="AX176" s="854"/>
      <c r="AY176" s="854"/>
      <c r="AZ176" s="854"/>
      <c r="BA176" s="854"/>
      <c r="BB176" s="854"/>
      <c r="BC176" s="854"/>
      <c r="BD176" s="854"/>
      <c r="BE176" s="854"/>
      <c r="BF176" s="854"/>
      <c r="BG176" s="854"/>
      <c r="BH176" s="854"/>
      <c r="BI176" s="854"/>
      <c r="BJ176" s="854"/>
      <c r="BK176" s="854"/>
      <c r="BL176" s="854"/>
      <c r="BM176" s="854"/>
      <c r="BN176" s="1574"/>
      <c r="BO176" s="1574"/>
      <c r="BP176" s="1574"/>
      <c r="BQ176" s="1184"/>
      <c r="BR176" s="1184"/>
      <c r="BS176" s="971" t="s">
        <v>1686</v>
      </c>
      <c r="BT176" s="973"/>
      <c r="BU176" s="973"/>
      <c r="BV176" s="888"/>
      <c r="BW176" s="888"/>
    </row>
    <row r="177" spans="1:75" s="1334" customFormat="1" ht="14.25" customHeight="1" x14ac:dyDescent="0.25">
      <c r="A177" s="1184"/>
      <c r="B177" s="887"/>
      <c r="C177" s="1184"/>
      <c r="D177" s="1184"/>
      <c r="E177" s="626">
        <v>15</v>
      </c>
      <c r="F177" s="3" t="str" cm="1">
        <f t="array" aca="1" ref="F177" ca="1">OFFSET(E177,-1,1)</f>
        <v>1</v>
      </c>
      <c r="G177" s="1184"/>
      <c r="H177" s="294"/>
      <c r="I177" s="294" t="s">
        <v>1896</v>
      </c>
      <c r="J177" s="1184"/>
      <c r="K177" s="294" t="s">
        <v>1896</v>
      </c>
      <c r="L177" s="889" t="s">
        <v>1276</v>
      </c>
      <c r="M177" s="26"/>
      <c r="N177" s="1184"/>
      <c r="O177" s="1184"/>
      <c r="P177" s="1184"/>
      <c r="Q177" s="77" t="s">
        <v>2200</v>
      </c>
      <c r="R177" s="80" t="s">
        <v>2200</v>
      </c>
      <c r="S177" s="1184"/>
      <c r="T177" s="388" t="b" cm="1">
        <f t="array" ref="T177">T176</f>
        <v>1</v>
      </c>
      <c r="U177" s="1184"/>
      <c r="V177" s="1184"/>
      <c r="W177" s="1184"/>
      <c r="X177" s="2032"/>
      <c r="Y177" s="1184"/>
      <c r="Z177" s="2012"/>
      <c r="AA177" s="1184"/>
      <c r="AB177" s="217" t="s">
        <v>1897</v>
      </c>
      <c r="AC177" s="688" t="s">
        <v>1687</v>
      </c>
      <c r="AD177" s="686" t="s">
        <v>831</v>
      </c>
      <c r="AE177" s="1568"/>
      <c r="AF177" s="1568"/>
      <c r="AG177" s="1568"/>
      <c r="AH177" s="855">
        <f t="shared" si="45"/>
        <v>0</v>
      </c>
      <c r="AI177" s="1563"/>
      <c r="AJ177" s="1560"/>
      <c r="AK177" s="854"/>
      <c r="AL177" s="854"/>
      <c r="AM177" s="854"/>
      <c r="AN177" s="854"/>
      <c r="AO177" s="854"/>
      <c r="AP177" s="854"/>
      <c r="AQ177" s="854"/>
      <c r="AR177" s="854"/>
      <c r="AS177" s="854"/>
      <c r="AT177" s="854"/>
      <c r="AU177" s="854"/>
      <c r="AV177" s="854"/>
      <c r="AW177" s="854"/>
      <c r="AX177" s="854"/>
      <c r="AY177" s="854"/>
      <c r="AZ177" s="854"/>
      <c r="BA177" s="854"/>
      <c r="BB177" s="854"/>
      <c r="BC177" s="854"/>
      <c r="BD177" s="854"/>
      <c r="BE177" s="854"/>
      <c r="BF177" s="854"/>
      <c r="BG177" s="854"/>
      <c r="BH177" s="854"/>
      <c r="BI177" s="854"/>
      <c r="BJ177" s="854"/>
      <c r="BK177" s="854"/>
      <c r="BL177" s="854"/>
      <c r="BM177" s="854"/>
      <c r="BN177" s="1574"/>
      <c r="BO177" s="1574"/>
      <c r="BP177" s="1574"/>
      <c r="BQ177" s="1184"/>
      <c r="BR177" s="1184"/>
      <c r="BS177" s="971" t="s">
        <v>1688</v>
      </c>
      <c r="BT177" s="973"/>
      <c r="BU177" s="973"/>
      <c r="BV177" s="888"/>
      <c r="BW177" s="888"/>
    </row>
    <row r="178" spans="1:75" s="1334" customFormat="1" ht="21.75" customHeight="1" x14ac:dyDescent="0.25">
      <c r="A178" s="1184"/>
      <c r="B178" s="887"/>
      <c r="C178" s="1184"/>
      <c r="D178" s="1184"/>
      <c r="E178" s="626">
        <v>22.5</v>
      </c>
      <c r="F178" s="3" t="str" cm="1">
        <f t="array" aca="1" ref="F178" ca="1">OFFSET(E178,-1,1)</f>
        <v>1</v>
      </c>
      <c r="G178" s="1184"/>
      <c r="H178" s="294"/>
      <c r="I178" s="294" t="s">
        <v>1304</v>
      </c>
      <c r="J178" s="1184"/>
      <c r="K178" s="294" t="s">
        <v>1304</v>
      </c>
      <c r="L178" s="889" t="s">
        <v>501</v>
      </c>
      <c r="M178" s="26"/>
      <c r="N178" s="1184"/>
      <c r="O178" s="1184"/>
      <c r="P178" s="1184"/>
      <c r="Q178" s="77" t="s">
        <v>2200</v>
      </c>
      <c r="R178" s="80" t="s">
        <v>2200</v>
      </c>
      <c r="S178" s="1184"/>
      <c r="T178" s="388" t="b" cm="1">
        <f t="array" ref="T178">T177</f>
        <v>1</v>
      </c>
      <c r="U178" s="1184"/>
      <c r="V178" s="1184"/>
      <c r="W178" s="1184"/>
      <c r="X178" s="2032"/>
      <c r="Y178" s="1184"/>
      <c r="Z178" s="2012"/>
      <c r="AA178" s="1184"/>
      <c r="AB178" s="217" t="s">
        <v>1305</v>
      </c>
      <c r="AC178" s="685" t="s">
        <v>1898</v>
      </c>
      <c r="AD178" s="686" t="s">
        <v>831</v>
      </c>
      <c r="AE178" s="1568"/>
      <c r="AF178" s="1568"/>
      <c r="AG178" s="1568"/>
      <c r="AH178" s="855">
        <f t="shared" si="45"/>
        <v>0</v>
      </c>
      <c r="AI178" s="1563"/>
      <c r="AJ178" s="1560"/>
      <c r="AK178" s="854"/>
      <c r="AL178" s="854"/>
      <c r="AM178" s="854"/>
      <c r="AN178" s="854"/>
      <c r="AO178" s="854"/>
      <c r="AP178" s="854"/>
      <c r="AQ178" s="854"/>
      <c r="AR178" s="854"/>
      <c r="AS178" s="854"/>
      <c r="AT178" s="854"/>
      <c r="AU178" s="854"/>
      <c r="AV178" s="854"/>
      <c r="AW178" s="854"/>
      <c r="AX178" s="854"/>
      <c r="AY178" s="854"/>
      <c r="AZ178" s="854"/>
      <c r="BA178" s="854"/>
      <c r="BB178" s="854"/>
      <c r="BC178" s="854"/>
      <c r="BD178" s="854"/>
      <c r="BE178" s="854"/>
      <c r="BF178" s="854"/>
      <c r="BG178" s="854"/>
      <c r="BH178" s="854"/>
      <c r="BI178" s="854"/>
      <c r="BJ178" s="854"/>
      <c r="BK178" s="854"/>
      <c r="BL178" s="854"/>
      <c r="BM178" s="854"/>
      <c r="BN178" s="1574"/>
      <c r="BO178" s="1574"/>
      <c r="BP178" s="1574"/>
      <c r="BQ178" s="1184"/>
      <c r="BR178" s="1184"/>
      <c r="BS178" s="972" t="s">
        <v>1713</v>
      </c>
      <c r="BT178" s="973"/>
      <c r="BU178" s="973"/>
      <c r="BV178" s="888"/>
      <c r="BW178" s="888"/>
    </row>
    <row r="179" spans="1:75" s="1334" customFormat="1" ht="36.200000000000003" customHeight="1" x14ac:dyDescent="0.25">
      <c r="A179" s="1184"/>
      <c r="B179" s="887"/>
      <c r="C179" s="1184"/>
      <c r="D179" s="1184"/>
      <c r="E179" s="626">
        <v>22.5</v>
      </c>
      <c r="F179" s="3" t="str" cm="1">
        <f t="array" aca="1" ref="F179" ca="1">OFFSET(E179,-1,1)</f>
        <v>1</v>
      </c>
      <c r="G179" s="1184"/>
      <c r="H179" s="294"/>
      <c r="I179" s="294" t="s">
        <v>1308</v>
      </c>
      <c r="J179" s="1184"/>
      <c r="K179" s="294" t="s">
        <v>1308</v>
      </c>
      <c r="L179" s="889" t="s">
        <v>505</v>
      </c>
      <c r="M179" s="26"/>
      <c r="N179" s="1184"/>
      <c r="O179" s="1184"/>
      <c r="P179" s="1184"/>
      <c r="Q179" s="77" t="s">
        <v>2200</v>
      </c>
      <c r="R179" s="80" t="s">
        <v>2200</v>
      </c>
      <c r="S179" s="1184"/>
      <c r="T179" s="388" t="b" cm="1">
        <f t="array" ref="T179">T178</f>
        <v>1</v>
      </c>
      <c r="U179" s="1184"/>
      <c r="V179" s="1184"/>
      <c r="W179" s="1184"/>
      <c r="X179" s="2032"/>
      <c r="Y179" s="1184"/>
      <c r="Z179" s="2012"/>
      <c r="AA179" s="1184"/>
      <c r="AB179" s="217" t="s">
        <v>1309</v>
      </c>
      <c r="AC179" s="685" t="s">
        <v>1899</v>
      </c>
      <c r="AD179" s="686" t="s">
        <v>831</v>
      </c>
      <c r="AE179" s="856">
        <f>AE180+AE181</f>
        <v>31124.759264161898</v>
      </c>
      <c r="AF179" s="856">
        <f>AF180+AF181</f>
        <v>27531.61</v>
      </c>
      <c r="AG179" s="856">
        <f>AG180+AG181</f>
        <v>31080.140433346955</v>
      </c>
      <c r="AH179" s="855">
        <f t="shared" si="45"/>
        <v>3548.5304333469539</v>
      </c>
      <c r="AI179" s="1564">
        <f ca="1">AI180+AI181</f>
        <v>0</v>
      </c>
      <c r="AJ179" s="1560"/>
      <c r="AK179" s="854"/>
      <c r="AL179" s="854"/>
      <c r="AM179" s="854"/>
      <c r="AN179" s="854"/>
      <c r="AO179" s="854"/>
      <c r="AP179" s="854"/>
      <c r="AQ179" s="854"/>
      <c r="AR179" s="854"/>
      <c r="AS179" s="854"/>
      <c r="AT179" s="854"/>
      <c r="AU179" s="854"/>
      <c r="AV179" s="854"/>
      <c r="AW179" s="854"/>
      <c r="AX179" s="854"/>
      <c r="AY179" s="854"/>
      <c r="AZ179" s="854"/>
      <c r="BA179" s="854"/>
      <c r="BB179" s="854"/>
      <c r="BC179" s="854"/>
      <c r="BD179" s="854"/>
      <c r="BE179" s="854"/>
      <c r="BF179" s="854"/>
      <c r="BG179" s="854"/>
      <c r="BH179" s="854"/>
      <c r="BI179" s="854"/>
      <c r="BJ179" s="854"/>
      <c r="BK179" s="854"/>
      <c r="BL179" s="854"/>
      <c r="BM179" s="854"/>
      <c r="BN179" s="1574"/>
      <c r="BO179" s="1574"/>
      <c r="BP179" s="1574"/>
      <c r="BQ179" s="1184"/>
      <c r="BR179" s="1184"/>
      <c r="BS179" s="972" t="s">
        <v>1900</v>
      </c>
      <c r="BT179" s="973"/>
      <c r="BU179" s="973"/>
      <c r="BV179" s="888"/>
      <c r="BW179" s="888"/>
    </row>
    <row r="180" spans="1:75" s="1334" customFormat="1" ht="26.65" customHeight="1" x14ac:dyDescent="0.25">
      <c r="A180" s="1184"/>
      <c r="B180" s="887"/>
      <c r="C180" s="1184"/>
      <c r="D180" s="1184"/>
      <c r="E180" s="626">
        <v>15</v>
      </c>
      <c r="F180" s="3" t="str" cm="1">
        <f t="array" aca="1" ref="F180" ca="1">OFFSET(E180,-1,1)</f>
        <v>1</v>
      </c>
      <c r="G180" s="265" t="s">
        <v>1104</v>
      </c>
      <c r="H180" s="294"/>
      <c r="I180" s="294" t="s">
        <v>1454</v>
      </c>
      <c r="J180" s="1184"/>
      <c r="K180" s="294" t="s">
        <v>1454</v>
      </c>
      <c r="L180" s="889" t="s">
        <v>1328</v>
      </c>
      <c r="M180" s="26"/>
      <c r="N180" s="1184"/>
      <c r="O180" s="1184"/>
      <c r="P180" s="1184"/>
      <c r="Q180" s="77" t="s">
        <v>2200</v>
      </c>
      <c r="R180" s="80" t="s">
        <v>2200</v>
      </c>
      <c r="S180" s="1184"/>
      <c r="T180" s="388" t="b" cm="1">
        <f t="array" ref="T180">T179</f>
        <v>1</v>
      </c>
      <c r="U180" s="1184"/>
      <c r="V180" s="1184"/>
      <c r="W180" s="1184"/>
      <c r="X180" s="2032"/>
      <c r="Y180" s="1184"/>
      <c r="Z180" s="2012"/>
      <c r="AA180" s="1184"/>
      <c r="AB180" s="217" t="s">
        <v>1901</v>
      </c>
      <c r="AC180" s="688" t="s">
        <v>1716</v>
      </c>
      <c r="AD180" s="686" t="s">
        <v>831</v>
      </c>
      <c r="AE180" s="1568">
        <v>23905.345056959999</v>
      </c>
      <c r="AF180" s="1568">
        <f>17334.95+3837.08</f>
        <v>21172.03</v>
      </c>
      <c r="AG180" s="1568">
        <f>AE180*0.998566452179236</f>
        <v>23871.075601648983</v>
      </c>
      <c r="AH180" s="855">
        <f t="shared" si="45"/>
        <v>2699.0456016489843</v>
      </c>
      <c r="AI180" s="1563"/>
      <c r="AJ180" s="1560"/>
      <c r="AK180" s="854"/>
      <c r="AL180" s="854"/>
      <c r="AM180" s="854"/>
      <c r="AN180" s="854"/>
      <c r="AO180" s="854"/>
      <c r="AP180" s="854"/>
      <c r="AQ180" s="854"/>
      <c r="AR180" s="854"/>
      <c r="AS180" s="854"/>
      <c r="AT180" s="854"/>
      <c r="AU180" s="854"/>
      <c r="AV180" s="854"/>
      <c r="AW180" s="854"/>
      <c r="AX180" s="854"/>
      <c r="AY180" s="854"/>
      <c r="AZ180" s="854"/>
      <c r="BA180" s="854"/>
      <c r="BB180" s="854"/>
      <c r="BC180" s="854"/>
      <c r="BD180" s="854"/>
      <c r="BE180" s="854"/>
      <c r="BF180" s="854"/>
      <c r="BG180" s="854"/>
      <c r="BH180" s="854"/>
      <c r="BI180" s="854"/>
      <c r="BJ180" s="854"/>
      <c r="BK180" s="854"/>
      <c r="BL180" s="854"/>
      <c r="BM180" s="854"/>
      <c r="BN180" s="1574"/>
      <c r="BO180" s="1576"/>
      <c r="BP180" s="1574"/>
      <c r="BQ180" s="1184"/>
      <c r="BR180" s="1184"/>
      <c r="BS180" s="971" t="s">
        <v>1717</v>
      </c>
      <c r="BT180" s="973"/>
      <c r="BU180" s="973"/>
      <c r="BV180" s="888"/>
      <c r="BW180" s="888"/>
    </row>
    <row r="181" spans="1:75" s="1334" customFormat="1" ht="32.1" customHeight="1" x14ac:dyDescent="0.25">
      <c r="A181" s="1184"/>
      <c r="B181" s="887"/>
      <c r="C181" s="1184"/>
      <c r="D181" s="1184"/>
      <c r="E181" s="626">
        <v>22.5</v>
      </c>
      <c r="F181" s="3" t="str" cm="1">
        <f t="array" aca="1" ref="F181" ca="1">OFFSET(E181,-1,1)</f>
        <v>1</v>
      </c>
      <c r="G181" s="265" t="s">
        <v>1116</v>
      </c>
      <c r="H181" s="294"/>
      <c r="I181" s="294" t="s">
        <v>1458</v>
      </c>
      <c r="J181" s="1184"/>
      <c r="K181" s="294" t="s">
        <v>1458</v>
      </c>
      <c r="L181" s="889" t="s">
        <v>1329</v>
      </c>
      <c r="M181" s="26"/>
      <c r="N181" s="1184"/>
      <c r="O181" s="1184"/>
      <c r="P181" s="1184"/>
      <c r="Q181" s="77" t="s">
        <v>2200</v>
      </c>
      <c r="R181" s="80" t="s">
        <v>2200</v>
      </c>
      <c r="S181" s="1184"/>
      <c r="T181" s="388" t="b" cm="1">
        <f t="array" ref="T181">T180</f>
        <v>1</v>
      </c>
      <c r="U181" s="1184"/>
      <c r="V181" s="1184"/>
      <c r="W181" s="1184"/>
      <c r="X181" s="2032"/>
      <c r="Y181" s="1184"/>
      <c r="Z181" s="2012"/>
      <c r="AA181" s="1184"/>
      <c r="AB181" s="217" t="s">
        <v>1902</v>
      </c>
      <c r="AC181" s="688" t="s">
        <v>1903</v>
      </c>
      <c r="AD181" s="686" t="s">
        <v>831</v>
      </c>
      <c r="AE181" s="1568">
        <v>7219.4142072019004</v>
      </c>
      <c r="AF181" s="1568">
        <f>5216.53+1143.05</f>
        <v>6359.58</v>
      </c>
      <c r="AG181" s="1568">
        <f>AE181*0.998566452179236</f>
        <v>7209.0648316979732</v>
      </c>
      <c r="AH181" s="855">
        <f t="shared" si="45"/>
        <v>849.48483169797328</v>
      </c>
      <c r="AI181" s="1563">
        <f ca="1">AI180*SUMIFS(INDEX(Сценарии!$AE$25:$BF$109,,MATCH(AG$8,Сценарии!$AE$8:$BF$8,0)),Сценарии!$F$25:$F$109,$F181,Сценарии!$G$25:$G$109,"СВФОТ")/100</f>
        <v>0</v>
      </c>
      <c r="AJ181" s="1560"/>
      <c r="AK181" s="854"/>
      <c r="AL181" s="854"/>
      <c r="AM181" s="854"/>
      <c r="AN181" s="854"/>
      <c r="AO181" s="854"/>
      <c r="AP181" s="854"/>
      <c r="AQ181" s="854"/>
      <c r="AR181" s="854"/>
      <c r="AS181" s="854"/>
      <c r="AT181" s="854"/>
      <c r="AU181" s="854"/>
      <c r="AV181" s="854"/>
      <c r="AW181" s="854"/>
      <c r="AX181" s="854"/>
      <c r="AY181" s="854"/>
      <c r="AZ181" s="854"/>
      <c r="BA181" s="854"/>
      <c r="BB181" s="854"/>
      <c r="BC181" s="854"/>
      <c r="BD181" s="854"/>
      <c r="BE181" s="854"/>
      <c r="BF181" s="854"/>
      <c r="BG181" s="854"/>
      <c r="BH181" s="854"/>
      <c r="BI181" s="854"/>
      <c r="BJ181" s="854"/>
      <c r="BK181" s="854"/>
      <c r="BL181" s="854"/>
      <c r="BM181" s="854"/>
      <c r="BN181" s="1574"/>
      <c r="BO181" s="1576"/>
      <c r="BP181" s="1574"/>
      <c r="BQ181" s="1184"/>
      <c r="BR181" s="1184"/>
      <c r="BS181" s="971" t="s">
        <v>1719</v>
      </c>
      <c r="BT181" s="973"/>
      <c r="BU181" s="973"/>
      <c r="BV181" s="888"/>
      <c r="BW181" s="888"/>
    </row>
    <row r="182" spans="1:75" s="1334" customFormat="1" ht="14.25" customHeight="1" x14ac:dyDescent="0.25">
      <c r="A182" s="1184"/>
      <c r="B182" s="887"/>
      <c r="C182" s="1184"/>
      <c r="D182" s="1184"/>
      <c r="E182" s="626">
        <v>15</v>
      </c>
      <c r="F182" s="3" t="str" cm="1">
        <f t="array" aca="1" ref="F182" ca="1">OFFSET(E182,-1,1)</f>
        <v>1</v>
      </c>
      <c r="G182" s="1184"/>
      <c r="H182" s="294"/>
      <c r="I182" s="294" t="s">
        <v>1469</v>
      </c>
      <c r="J182" s="1184"/>
      <c r="K182" s="294" t="s">
        <v>1469</v>
      </c>
      <c r="L182" s="889" t="s">
        <v>1721</v>
      </c>
      <c r="M182" s="26"/>
      <c r="N182" s="1184"/>
      <c r="O182" s="1184"/>
      <c r="P182" s="1184"/>
      <c r="Q182" s="77" t="s">
        <v>2200</v>
      </c>
      <c r="R182" s="80" t="s">
        <v>2200</v>
      </c>
      <c r="S182" s="1184"/>
      <c r="T182" s="388" t="b" cm="1">
        <f t="array" ref="T182">T181</f>
        <v>1</v>
      </c>
      <c r="U182" s="1184"/>
      <c r="V182" s="1184"/>
      <c r="W182" s="1184"/>
      <c r="X182" s="2032"/>
      <c r="Y182" s="1184"/>
      <c r="Z182" s="2012"/>
      <c r="AA182" s="1184"/>
      <c r="AB182" s="217" t="s">
        <v>1695</v>
      </c>
      <c r="AC182" s="685" t="s">
        <v>1904</v>
      </c>
      <c r="AD182" s="686" t="s">
        <v>831</v>
      </c>
      <c r="AE182" s="1568"/>
      <c r="AF182" s="1568"/>
      <c r="AG182" s="1568"/>
      <c r="AH182" s="855">
        <f t="shared" si="45"/>
        <v>0</v>
      </c>
      <c r="AI182" s="1563"/>
      <c r="AJ182" s="1560"/>
      <c r="AK182" s="854"/>
      <c r="AL182" s="854"/>
      <c r="AM182" s="854"/>
      <c r="AN182" s="854"/>
      <c r="AO182" s="854"/>
      <c r="AP182" s="854"/>
      <c r="AQ182" s="854"/>
      <c r="AR182" s="854"/>
      <c r="AS182" s="854"/>
      <c r="AT182" s="854"/>
      <c r="AU182" s="854"/>
      <c r="AV182" s="854"/>
      <c r="AW182" s="854"/>
      <c r="AX182" s="854"/>
      <c r="AY182" s="854"/>
      <c r="AZ182" s="854"/>
      <c r="BA182" s="854"/>
      <c r="BB182" s="854"/>
      <c r="BC182" s="854"/>
      <c r="BD182" s="854"/>
      <c r="BE182" s="854"/>
      <c r="BF182" s="854"/>
      <c r="BG182" s="854"/>
      <c r="BH182" s="854"/>
      <c r="BI182" s="854"/>
      <c r="BJ182" s="854"/>
      <c r="BK182" s="854"/>
      <c r="BL182" s="854"/>
      <c r="BM182" s="854"/>
      <c r="BN182" s="1574"/>
      <c r="BO182" s="1574"/>
      <c r="BP182" s="1574"/>
      <c r="BQ182" s="1184"/>
      <c r="BR182" s="1184"/>
      <c r="BS182" s="972" t="s">
        <v>1724</v>
      </c>
      <c r="BT182" s="973"/>
      <c r="BU182" s="973"/>
      <c r="BV182" s="888"/>
      <c r="BW182" s="888"/>
    </row>
    <row r="183" spans="1:75" s="1334" customFormat="1" ht="14.25" customHeight="1" x14ac:dyDescent="0.25">
      <c r="A183" s="1184"/>
      <c r="B183" s="887"/>
      <c r="C183" s="1184"/>
      <c r="D183" s="1184"/>
      <c r="E183" s="626">
        <v>15</v>
      </c>
      <c r="F183" s="3" t="str" cm="1">
        <f t="array" aca="1" ref="F183" ca="1">OFFSET(E183,-1,1)</f>
        <v>1</v>
      </c>
      <c r="G183" s="1184"/>
      <c r="H183" s="294"/>
      <c r="I183" s="294" t="s">
        <v>1473</v>
      </c>
      <c r="J183" s="1184"/>
      <c r="K183" s="294" t="s">
        <v>1473</v>
      </c>
      <c r="L183" s="889" t="s">
        <v>1725</v>
      </c>
      <c r="M183" s="1184"/>
      <c r="N183" s="1184"/>
      <c r="O183" s="1184"/>
      <c r="P183" s="1184"/>
      <c r="Q183" s="77" t="s">
        <v>2200</v>
      </c>
      <c r="R183" s="80" t="s">
        <v>2200</v>
      </c>
      <c r="S183" s="1184"/>
      <c r="T183" s="388" t="b" cm="1">
        <f t="array" ref="T183">T182</f>
        <v>1</v>
      </c>
      <c r="U183" s="1184"/>
      <c r="V183" s="1184"/>
      <c r="W183" s="1184"/>
      <c r="X183" s="2032"/>
      <c r="Y183" s="1184"/>
      <c r="Z183" s="2012"/>
      <c r="AA183" s="1184"/>
      <c r="AB183" s="217" t="s">
        <v>1697</v>
      </c>
      <c r="AC183" s="685" t="s">
        <v>1905</v>
      </c>
      <c r="AD183" s="218" t="s">
        <v>831</v>
      </c>
      <c r="AE183" s="856">
        <f>SUM(AE184:AE190)</f>
        <v>3334.7493515678002</v>
      </c>
      <c r="AF183" s="856">
        <f>SUM(AF184:AF190)</f>
        <v>4501.55</v>
      </c>
      <c r="AG183" s="856">
        <f>SUM(AG184:AG190)</f>
        <v>3329.968828902066</v>
      </c>
      <c r="AH183" s="855">
        <f t="shared" si="45"/>
        <v>-1171.5811710979342</v>
      </c>
      <c r="AI183" s="1564">
        <f>SUM(AI184:AI190)</f>
        <v>0</v>
      </c>
      <c r="AJ183" s="1560"/>
      <c r="AK183" s="854"/>
      <c r="AL183" s="854"/>
      <c r="AM183" s="854"/>
      <c r="AN183" s="854"/>
      <c r="AO183" s="854"/>
      <c r="AP183" s="854"/>
      <c r="AQ183" s="854"/>
      <c r="AR183" s="854"/>
      <c r="AS183" s="854"/>
      <c r="AT183" s="854"/>
      <c r="AU183" s="854"/>
      <c r="AV183" s="854"/>
      <c r="AW183" s="854"/>
      <c r="AX183" s="854"/>
      <c r="AY183" s="854"/>
      <c r="AZ183" s="854"/>
      <c r="BA183" s="854"/>
      <c r="BB183" s="854"/>
      <c r="BC183" s="854"/>
      <c r="BD183" s="854"/>
      <c r="BE183" s="854"/>
      <c r="BF183" s="854"/>
      <c r="BG183" s="854"/>
      <c r="BH183" s="854"/>
      <c r="BI183" s="854"/>
      <c r="BJ183" s="854"/>
      <c r="BK183" s="854"/>
      <c r="BL183" s="854"/>
      <c r="BM183" s="854"/>
      <c r="BN183" s="1574"/>
      <c r="BO183" s="1574"/>
      <c r="BP183" s="1574"/>
      <c r="BQ183" s="1184"/>
      <c r="BR183" s="1184"/>
      <c r="BS183" s="972" t="s">
        <v>1906</v>
      </c>
      <c r="BT183" s="973"/>
      <c r="BU183" s="973"/>
      <c r="BV183" s="888"/>
      <c r="BW183" s="888"/>
    </row>
    <row r="184" spans="1:75" s="1334" customFormat="1" ht="14.25" customHeight="1" x14ac:dyDescent="0.25">
      <c r="A184" s="1184"/>
      <c r="B184" s="887"/>
      <c r="C184" s="1184"/>
      <c r="D184" s="1184"/>
      <c r="E184" s="626">
        <v>15</v>
      </c>
      <c r="F184" s="3" t="str" cm="1">
        <f t="array" aca="1" ref="F184" ca="1">OFFSET(E184,-1,1)</f>
        <v>1</v>
      </c>
      <c r="G184" s="1184"/>
      <c r="H184" s="294"/>
      <c r="I184" s="294" t="s">
        <v>1907</v>
      </c>
      <c r="J184" s="1184"/>
      <c r="K184" s="294" t="s">
        <v>1907</v>
      </c>
      <c r="L184" s="889" t="s">
        <v>1725</v>
      </c>
      <c r="M184" s="26" t="s">
        <v>1733</v>
      </c>
      <c r="N184" s="1184"/>
      <c r="O184" s="1184"/>
      <c r="P184" s="1184"/>
      <c r="Q184" s="77" t="s">
        <v>2200</v>
      </c>
      <c r="R184" s="80" t="s">
        <v>2200</v>
      </c>
      <c r="S184" s="1184"/>
      <c r="T184" s="388" t="b" cm="1">
        <f t="array" ref="T184">T183</f>
        <v>1</v>
      </c>
      <c r="U184" s="1184"/>
      <c r="V184" s="1184"/>
      <c r="W184" s="1184"/>
      <c r="X184" s="2032"/>
      <c r="Y184" s="1184"/>
      <c r="Z184" s="2012"/>
      <c r="AA184" s="1184"/>
      <c r="AB184" s="217" t="s">
        <v>1908</v>
      </c>
      <c r="AC184" s="688" t="s">
        <v>1909</v>
      </c>
      <c r="AD184" s="218" t="s">
        <v>831</v>
      </c>
      <c r="AE184" s="1568"/>
      <c r="AF184" s="1568"/>
      <c r="AG184" s="1568"/>
      <c r="AH184" s="855">
        <f t="shared" si="45"/>
        <v>0</v>
      </c>
      <c r="AI184" s="1563"/>
      <c r="AJ184" s="1560"/>
      <c r="AK184" s="854"/>
      <c r="AL184" s="854"/>
      <c r="AM184" s="854"/>
      <c r="AN184" s="854"/>
      <c r="AO184" s="854"/>
      <c r="AP184" s="854"/>
      <c r="AQ184" s="854"/>
      <c r="AR184" s="854"/>
      <c r="AS184" s="854"/>
      <c r="AT184" s="854"/>
      <c r="AU184" s="854"/>
      <c r="AV184" s="854"/>
      <c r="AW184" s="854"/>
      <c r="AX184" s="854"/>
      <c r="AY184" s="854"/>
      <c r="AZ184" s="854"/>
      <c r="BA184" s="854"/>
      <c r="BB184" s="854"/>
      <c r="BC184" s="854"/>
      <c r="BD184" s="854"/>
      <c r="BE184" s="854"/>
      <c r="BF184" s="854"/>
      <c r="BG184" s="854"/>
      <c r="BH184" s="854"/>
      <c r="BI184" s="854"/>
      <c r="BJ184" s="854"/>
      <c r="BK184" s="854"/>
      <c r="BL184" s="854"/>
      <c r="BM184" s="854"/>
      <c r="BN184" s="1574"/>
      <c r="BO184" s="1574"/>
      <c r="BP184" s="1574"/>
      <c r="BQ184" s="1184"/>
      <c r="BR184" s="1184"/>
      <c r="BS184" s="971" t="s">
        <v>1736</v>
      </c>
      <c r="BT184" s="973"/>
      <c r="BU184" s="973"/>
      <c r="BV184" s="888"/>
      <c r="BW184" s="888"/>
    </row>
    <row r="185" spans="1:75" s="1334" customFormat="1" ht="21.75" customHeight="1" x14ac:dyDescent="0.15">
      <c r="A185" s="1184"/>
      <c r="B185" s="887"/>
      <c r="C185" s="1184"/>
      <c r="D185" s="1184"/>
      <c r="E185" s="626">
        <v>22.5</v>
      </c>
      <c r="F185" s="3" t="str" cm="1">
        <f t="array" aca="1" ref="F185" ca="1">OFFSET(E185,-1,1)</f>
        <v>1</v>
      </c>
      <c r="G185" s="1184"/>
      <c r="H185" s="294"/>
      <c r="I185" s="294" t="s">
        <v>1910</v>
      </c>
      <c r="J185" s="1184"/>
      <c r="K185" s="294" t="s">
        <v>1910</v>
      </c>
      <c r="L185" s="889" t="s">
        <v>1725</v>
      </c>
      <c r="M185" s="26" t="s">
        <v>1729</v>
      </c>
      <c r="N185" s="1184"/>
      <c r="O185" s="1184"/>
      <c r="P185" s="1184"/>
      <c r="Q185" s="77" t="s">
        <v>2200</v>
      </c>
      <c r="R185" s="80" t="s">
        <v>2200</v>
      </c>
      <c r="S185" s="1184"/>
      <c r="T185" s="388" t="b" cm="1">
        <f t="array" ref="T185">T184</f>
        <v>1</v>
      </c>
      <c r="U185" s="1184"/>
      <c r="V185" s="1184"/>
      <c r="W185" s="1184"/>
      <c r="X185" s="2032"/>
      <c r="Y185" s="1184"/>
      <c r="Z185" s="2012"/>
      <c r="AA185" s="1184"/>
      <c r="AB185" s="217" t="s">
        <v>1911</v>
      </c>
      <c r="AC185" s="688" t="s">
        <v>1912</v>
      </c>
      <c r="AD185" s="218" t="s">
        <v>831</v>
      </c>
      <c r="AE185" s="1568"/>
      <c r="AF185" s="1568"/>
      <c r="AG185" s="1568"/>
      <c r="AH185" s="855">
        <f t="shared" si="45"/>
        <v>0</v>
      </c>
      <c r="AI185" s="1563"/>
      <c r="AJ185" s="1560"/>
      <c r="AK185" s="854"/>
      <c r="AL185" s="854"/>
      <c r="AM185" s="854"/>
      <c r="AN185" s="854"/>
      <c r="AO185" s="854"/>
      <c r="AP185" s="854"/>
      <c r="AQ185" s="854"/>
      <c r="AR185" s="854"/>
      <c r="AS185" s="854"/>
      <c r="AT185" s="854"/>
      <c r="AU185" s="854"/>
      <c r="AV185" s="854"/>
      <c r="AW185" s="854"/>
      <c r="AX185" s="854"/>
      <c r="AY185" s="854"/>
      <c r="AZ185" s="854"/>
      <c r="BA185" s="854"/>
      <c r="BB185" s="854"/>
      <c r="BC185" s="854"/>
      <c r="BD185" s="854"/>
      <c r="BE185" s="854"/>
      <c r="BF185" s="854"/>
      <c r="BG185" s="854"/>
      <c r="BH185" s="854"/>
      <c r="BI185" s="854"/>
      <c r="BJ185" s="854"/>
      <c r="BK185" s="854"/>
      <c r="BL185" s="854"/>
      <c r="BM185" s="854"/>
      <c r="BN185" s="1574"/>
      <c r="BO185" s="1574"/>
      <c r="BP185" s="1574"/>
      <c r="BQ185" s="1184"/>
      <c r="BR185" s="1184"/>
      <c r="BS185" s="973" t="s">
        <v>1913</v>
      </c>
      <c r="BT185" s="973"/>
      <c r="BU185" s="973"/>
      <c r="BV185" s="888"/>
      <c r="BW185" s="888"/>
    </row>
    <row r="186" spans="1:75" s="1334" customFormat="1" ht="21.75" customHeight="1" x14ac:dyDescent="0.15">
      <c r="A186" s="1184"/>
      <c r="B186" s="887"/>
      <c r="C186" s="1184"/>
      <c r="D186" s="1184"/>
      <c r="E186" s="626">
        <v>22.5</v>
      </c>
      <c r="F186" s="3" t="str" cm="1">
        <f t="array" aca="1" ref="F186" ca="1">OFFSET(E186,-1,1)</f>
        <v>1</v>
      </c>
      <c r="G186" s="1184"/>
      <c r="H186" s="294"/>
      <c r="I186" s="294" t="s">
        <v>1914</v>
      </c>
      <c r="J186" s="1184"/>
      <c r="K186" s="294" t="s">
        <v>1914</v>
      </c>
      <c r="L186" s="1184"/>
      <c r="M186" s="1184"/>
      <c r="N186" s="1184"/>
      <c r="O186" s="1184"/>
      <c r="P186" s="1184"/>
      <c r="Q186" s="77" t="s">
        <v>2200</v>
      </c>
      <c r="R186" s="80" t="s">
        <v>2200</v>
      </c>
      <c r="S186" s="1184"/>
      <c r="T186" s="388" t="b" cm="1">
        <f t="array" ref="T186">T185</f>
        <v>1</v>
      </c>
      <c r="U186" s="1184"/>
      <c r="V186" s="1184"/>
      <c r="W186" s="1184"/>
      <c r="X186" s="2032"/>
      <c r="Y186" s="1184"/>
      <c r="Z186" s="2012"/>
      <c r="AA186" s="1184"/>
      <c r="AB186" s="217" t="s">
        <v>1915</v>
      </c>
      <c r="AC186" s="689" t="s">
        <v>1916</v>
      </c>
      <c r="AD186" s="218" t="s">
        <v>831</v>
      </c>
      <c r="AE186" s="1568"/>
      <c r="AF186" s="1568"/>
      <c r="AG186" s="1568"/>
      <c r="AH186" s="855">
        <f t="shared" si="45"/>
        <v>0</v>
      </c>
      <c r="AI186" s="1563"/>
      <c r="AJ186" s="1560"/>
      <c r="AK186" s="854"/>
      <c r="AL186" s="854"/>
      <c r="AM186" s="854"/>
      <c r="AN186" s="854"/>
      <c r="AO186" s="854"/>
      <c r="AP186" s="854"/>
      <c r="AQ186" s="854"/>
      <c r="AR186" s="854"/>
      <c r="AS186" s="854"/>
      <c r="AT186" s="854"/>
      <c r="AU186" s="854"/>
      <c r="AV186" s="854"/>
      <c r="AW186" s="854"/>
      <c r="AX186" s="854"/>
      <c r="AY186" s="854"/>
      <c r="AZ186" s="854"/>
      <c r="BA186" s="854"/>
      <c r="BB186" s="854"/>
      <c r="BC186" s="854"/>
      <c r="BD186" s="854"/>
      <c r="BE186" s="854"/>
      <c r="BF186" s="854"/>
      <c r="BG186" s="854"/>
      <c r="BH186" s="854"/>
      <c r="BI186" s="854"/>
      <c r="BJ186" s="854"/>
      <c r="BK186" s="854"/>
      <c r="BL186" s="854"/>
      <c r="BM186" s="854"/>
      <c r="BN186" s="1574"/>
      <c r="BO186" s="1574"/>
      <c r="BP186" s="1574"/>
      <c r="BQ186" s="1184"/>
      <c r="BR186" s="1184"/>
      <c r="BS186" s="973" t="s">
        <v>1917</v>
      </c>
      <c r="BT186" s="973"/>
      <c r="BU186" s="973"/>
      <c r="BV186" s="888"/>
      <c r="BW186" s="888"/>
    </row>
    <row r="187" spans="1:75" s="1334" customFormat="1" ht="21.75" customHeight="1" x14ac:dyDescent="0.15">
      <c r="A187" s="1184"/>
      <c r="B187" s="887"/>
      <c r="C187" s="1184"/>
      <c r="D187" s="1184"/>
      <c r="E187" s="626">
        <v>22.5</v>
      </c>
      <c r="F187" s="3" t="str" cm="1">
        <f t="array" aca="1" ref="F187" ca="1">OFFSET(E187,-1,1)</f>
        <v>1</v>
      </c>
      <c r="G187" s="1184"/>
      <c r="H187" s="294"/>
      <c r="I187" s="294" t="s">
        <v>1918</v>
      </c>
      <c r="J187" s="1184"/>
      <c r="K187" s="294" t="s">
        <v>1918</v>
      </c>
      <c r="L187" s="889"/>
      <c r="M187" s="1184"/>
      <c r="N187" s="1184"/>
      <c r="O187" s="1184"/>
      <c r="P187" s="1184"/>
      <c r="Q187" s="77" t="s">
        <v>2200</v>
      </c>
      <c r="R187" s="80" t="s">
        <v>2200</v>
      </c>
      <c r="S187" s="1184"/>
      <c r="T187" s="388" t="b" cm="1">
        <f t="array" ref="T187">T186</f>
        <v>1</v>
      </c>
      <c r="U187" s="1184"/>
      <c r="V187" s="1184"/>
      <c r="W187" s="1184"/>
      <c r="X187" s="2032"/>
      <c r="Y187" s="1184"/>
      <c r="Z187" s="2012"/>
      <c r="AA187" s="1184"/>
      <c r="AB187" s="217" t="s">
        <v>1919</v>
      </c>
      <c r="AC187" s="689" t="s">
        <v>1920</v>
      </c>
      <c r="AD187" s="218" t="s">
        <v>831</v>
      </c>
      <c r="AE187" s="1568"/>
      <c r="AF187" s="1568"/>
      <c r="AG187" s="1568"/>
      <c r="AH187" s="855">
        <f t="shared" si="45"/>
        <v>0</v>
      </c>
      <c r="AI187" s="1563"/>
      <c r="AJ187" s="1560"/>
      <c r="AK187" s="854"/>
      <c r="AL187" s="854"/>
      <c r="AM187" s="854"/>
      <c r="AN187" s="854"/>
      <c r="AO187" s="854"/>
      <c r="AP187" s="854"/>
      <c r="AQ187" s="854"/>
      <c r="AR187" s="854"/>
      <c r="AS187" s="854"/>
      <c r="AT187" s="854"/>
      <c r="AU187" s="854"/>
      <c r="AV187" s="854"/>
      <c r="AW187" s="854"/>
      <c r="AX187" s="854"/>
      <c r="AY187" s="854"/>
      <c r="AZ187" s="854"/>
      <c r="BA187" s="854"/>
      <c r="BB187" s="854"/>
      <c r="BC187" s="854"/>
      <c r="BD187" s="854"/>
      <c r="BE187" s="854"/>
      <c r="BF187" s="854"/>
      <c r="BG187" s="854"/>
      <c r="BH187" s="854"/>
      <c r="BI187" s="854"/>
      <c r="BJ187" s="854"/>
      <c r="BK187" s="854"/>
      <c r="BL187" s="854"/>
      <c r="BM187" s="854"/>
      <c r="BN187" s="1574"/>
      <c r="BO187" s="1574"/>
      <c r="BP187" s="1574"/>
      <c r="BQ187" s="1184"/>
      <c r="BR187" s="1184"/>
      <c r="BS187" s="973" t="s">
        <v>1921</v>
      </c>
      <c r="BT187" s="973"/>
      <c r="BU187" s="973"/>
      <c r="BV187" s="888"/>
      <c r="BW187" s="888"/>
    </row>
    <row r="188" spans="1:75" s="1334" customFormat="1" ht="48.4" customHeight="1" x14ac:dyDescent="0.15">
      <c r="A188" s="1184"/>
      <c r="B188" s="887"/>
      <c r="C188" s="1184"/>
      <c r="D188" s="1184"/>
      <c r="E188" s="626">
        <v>45</v>
      </c>
      <c r="F188" s="3" t="str" cm="1">
        <f t="array" aca="1" ref="F188" ca="1">OFFSET(E188,-1,1)</f>
        <v>1</v>
      </c>
      <c r="G188" s="1184"/>
      <c r="H188" s="294"/>
      <c r="I188" s="294" t="s">
        <v>1922</v>
      </c>
      <c r="J188" s="1184"/>
      <c r="K188" s="294" t="s">
        <v>1922</v>
      </c>
      <c r="L188" s="889" t="s">
        <v>1725</v>
      </c>
      <c r="M188" s="26" t="s">
        <v>1737</v>
      </c>
      <c r="N188" s="1184"/>
      <c r="O188" s="1184"/>
      <c r="P188" s="1184"/>
      <c r="Q188" s="77" t="s">
        <v>2200</v>
      </c>
      <c r="R188" s="80" t="s">
        <v>2200</v>
      </c>
      <c r="S188" s="1184"/>
      <c r="T188" s="388" t="b" cm="1">
        <f t="array" ref="T188">T187</f>
        <v>1</v>
      </c>
      <c r="U188" s="1184"/>
      <c r="V188" s="1184"/>
      <c r="W188" s="1184"/>
      <c r="X188" s="2032"/>
      <c r="Y188" s="1184"/>
      <c r="Z188" s="2012"/>
      <c r="AA188" s="1184"/>
      <c r="AB188" s="217" t="s">
        <v>1923</v>
      </c>
      <c r="AC188" s="688" t="s">
        <v>1924</v>
      </c>
      <c r="AD188" s="218" t="s">
        <v>831</v>
      </c>
      <c r="AE188" s="1568">
        <v>660.13760000000002</v>
      </c>
      <c r="AF188" s="1568">
        <v>582.9</v>
      </c>
      <c r="AG188" s="1568">
        <f>AE188*0.998566452179236</f>
        <v>659.19126118211568</v>
      </c>
      <c r="AH188" s="855">
        <f t="shared" si="45"/>
        <v>76.291261182115704</v>
      </c>
      <c r="AI188" s="1563"/>
      <c r="AJ188" s="1560"/>
      <c r="AK188" s="854"/>
      <c r="AL188" s="854"/>
      <c r="AM188" s="854"/>
      <c r="AN188" s="854"/>
      <c r="AO188" s="854"/>
      <c r="AP188" s="854"/>
      <c r="AQ188" s="854"/>
      <c r="AR188" s="854"/>
      <c r="AS188" s="854"/>
      <c r="AT188" s="854"/>
      <c r="AU188" s="854"/>
      <c r="AV188" s="854"/>
      <c r="AW188" s="854"/>
      <c r="AX188" s="854"/>
      <c r="AY188" s="854"/>
      <c r="AZ188" s="854"/>
      <c r="BA188" s="854"/>
      <c r="BB188" s="854"/>
      <c r="BC188" s="854"/>
      <c r="BD188" s="854"/>
      <c r="BE188" s="854"/>
      <c r="BF188" s="854"/>
      <c r="BG188" s="854"/>
      <c r="BH188" s="854"/>
      <c r="BI188" s="854"/>
      <c r="BJ188" s="854"/>
      <c r="BK188" s="854"/>
      <c r="BL188" s="854"/>
      <c r="BM188" s="854"/>
      <c r="BN188" s="1574"/>
      <c r="BO188" s="1574"/>
      <c r="BP188" s="1574"/>
      <c r="BQ188" s="1184"/>
      <c r="BR188" s="1184"/>
      <c r="BS188" s="973" t="s">
        <v>1740</v>
      </c>
      <c r="BT188" s="973"/>
      <c r="BU188" s="973"/>
      <c r="BV188" s="888"/>
      <c r="BW188" s="888"/>
    </row>
    <row r="189" spans="1:75" s="1334" customFormat="1" ht="14.25" customHeight="1" x14ac:dyDescent="0.15">
      <c r="A189" s="1184"/>
      <c r="B189" s="887"/>
      <c r="C189" s="1184"/>
      <c r="D189" s="1184"/>
      <c r="E189" s="626">
        <v>15</v>
      </c>
      <c r="F189" s="3" t="str" cm="1">
        <f t="array" aca="1" ref="F189" ca="1">OFFSET(E189,-1,1)</f>
        <v>1</v>
      </c>
      <c r="G189" s="1184"/>
      <c r="H189" s="294"/>
      <c r="I189" s="294" t="s">
        <v>1925</v>
      </c>
      <c r="J189" s="1184"/>
      <c r="K189" s="294" t="s">
        <v>1925</v>
      </c>
      <c r="L189" s="889" t="s">
        <v>1725</v>
      </c>
      <c r="M189" s="26" t="s">
        <v>1741</v>
      </c>
      <c r="N189" s="1184"/>
      <c r="O189" s="1184"/>
      <c r="P189" s="1184"/>
      <c r="Q189" s="77" t="s">
        <v>2200</v>
      </c>
      <c r="R189" s="80" t="s">
        <v>2200</v>
      </c>
      <c r="S189" s="1184"/>
      <c r="T189" s="388" t="b" cm="1">
        <f t="array" ref="T189">T188</f>
        <v>1</v>
      </c>
      <c r="U189" s="1184"/>
      <c r="V189" s="1184"/>
      <c r="W189" s="1184"/>
      <c r="X189" s="2032"/>
      <c r="Y189" s="1184"/>
      <c r="Z189" s="2012"/>
      <c r="AA189" s="1184"/>
      <c r="AB189" s="217" t="s">
        <v>1926</v>
      </c>
      <c r="AC189" s="688" t="s">
        <v>1743</v>
      </c>
      <c r="AD189" s="218" t="s">
        <v>831</v>
      </c>
      <c r="AE189" s="1568"/>
      <c r="AF189" s="1568"/>
      <c r="AG189" s="1568"/>
      <c r="AH189" s="855">
        <f t="shared" si="45"/>
        <v>0</v>
      </c>
      <c r="AI189" s="1563"/>
      <c r="AJ189" s="1560"/>
      <c r="AK189" s="854"/>
      <c r="AL189" s="854"/>
      <c r="AM189" s="854"/>
      <c r="AN189" s="854"/>
      <c r="AO189" s="854"/>
      <c r="AP189" s="854"/>
      <c r="AQ189" s="854"/>
      <c r="AR189" s="854"/>
      <c r="AS189" s="854"/>
      <c r="AT189" s="854"/>
      <c r="AU189" s="854"/>
      <c r="AV189" s="854"/>
      <c r="AW189" s="854"/>
      <c r="AX189" s="854"/>
      <c r="AY189" s="854"/>
      <c r="AZ189" s="854"/>
      <c r="BA189" s="854"/>
      <c r="BB189" s="854"/>
      <c r="BC189" s="854"/>
      <c r="BD189" s="854"/>
      <c r="BE189" s="854"/>
      <c r="BF189" s="854"/>
      <c r="BG189" s="854"/>
      <c r="BH189" s="854"/>
      <c r="BI189" s="854"/>
      <c r="BJ189" s="854"/>
      <c r="BK189" s="854"/>
      <c r="BL189" s="854"/>
      <c r="BM189" s="854"/>
      <c r="BN189" s="1574"/>
      <c r="BO189" s="1574"/>
      <c r="BP189" s="1574"/>
      <c r="BQ189" s="1184"/>
      <c r="BR189" s="1184"/>
      <c r="BS189" s="973" t="s">
        <v>1744</v>
      </c>
      <c r="BT189" s="973"/>
      <c r="BU189" s="973"/>
      <c r="BV189" s="888"/>
      <c r="BW189" s="888"/>
    </row>
    <row r="190" spans="1:75" s="1334" customFormat="1" ht="19.899999999999999" customHeight="1" x14ac:dyDescent="0.15">
      <c r="A190" s="1184"/>
      <c r="B190" s="887"/>
      <c r="C190" s="1184"/>
      <c r="D190" s="1184"/>
      <c r="E190" s="626">
        <v>15</v>
      </c>
      <c r="F190" s="3" t="str" cm="1">
        <f t="array" aca="1" ref="F190" ca="1">OFFSET(E190,-1,1)</f>
        <v>1</v>
      </c>
      <c r="G190" s="1184"/>
      <c r="H190" s="294"/>
      <c r="I190" s="294" t="s">
        <v>1927</v>
      </c>
      <c r="J190" s="1184"/>
      <c r="K190" s="294" t="s">
        <v>1927</v>
      </c>
      <c r="L190" s="889"/>
      <c r="M190" s="26"/>
      <c r="N190" s="1184"/>
      <c r="O190" s="1184"/>
      <c r="P190" s="1184"/>
      <c r="Q190" s="77" t="s">
        <v>2200</v>
      </c>
      <c r="R190" s="80" t="s">
        <v>2200</v>
      </c>
      <c r="S190" s="1184"/>
      <c r="T190" s="388" t="b" cm="1">
        <f t="array" ref="T190">T189</f>
        <v>1</v>
      </c>
      <c r="U190" s="1184"/>
      <c r="V190" s="1184"/>
      <c r="W190" s="1184"/>
      <c r="X190" s="2032"/>
      <c r="Y190" s="1184"/>
      <c r="Z190" s="2012"/>
      <c r="AA190" s="1184"/>
      <c r="AB190" s="217" t="s">
        <v>1928</v>
      </c>
      <c r="AC190" s="688" t="s">
        <v>1929</v>
      </c>
      <c r="AD190" s="218" t="s">
        <v>831</v>
      </c>
      <c r="AE190" s="1568">
        <v>2674.6117515678002</v>
      </c>
      <c r="AF190" s="1568">
        <f>3881.44+37.21</f>
        <v>3918.65</v>
      </c>
      <c r="AG190" s="1568">
        <f>AE190*0.998566452179236</f>
        <v>2670.7775677199502</v>
      </c>
      <c r="AH190" s="855">
        <f t="shared" si="45"/>
        <v>-1247.8724322800499</v>
      </c>
      <c r="AI190" s="1563"/>
      <c r="AJ190" s="1264"/>
      <c r="AK190" s="854"/>
      <c r="AL190" s="854"/>
      <c r="AM190" s="854"/>
      <c r="AN190" s="854"/>
      <c r="AO190" s="854"/>
      <c r="AP190" s="854"/>
      <c r="AQ190" s="854"/>
      <c r="AR190" s="854"/>
      <c r="AS190" s="854"/>
      <c r="AT190" s="854"/>
      <c r="AU190" s="854"/>
      <c r="AV190" s="854"/>
      <c r="AW190" s="854"/>
      <c r="AX190" s="854"/>
      <c r="AY190" s="854"/>
      <c r="AZ190" s="854"/>
      <c r="BA190" s="854"/>
      <c r="BB190" s="854"/>
      <c r="BC190" s="854"/>
      <c r="BD190" s="854"/>
      <c r="BE190" s="854"/>
      <c r="BF190" s="854"/>
      <c r="BG190" s="854"/>
      <c r="BH190" s="854"/>
      <c r="BI190" s="854"/>
      <c r="BJ190" s="854"/>
      <c r="BK190" s="854"/>
      <c r="BL190" s="854"/>
      <c r="BM190" s="854"/>
      <c r="BN190" s="1574"/>
      <c r="BO190" s="1574"/>
      <c r="BP190" s="1574"/>
      <c r="BQ190" s="1184"/>
      <c r="BR190" s="1184"/>
      <c r="BS190" s="973" t="s">
        <v>1728</v>
      </c>
      <c r="BT190" s="973"/>
      <c r="BU190" s="973"/>
      <c r="BV190" s="888"/>
      <c r="BW190" s="888"/>
    </row>
    <row r="191" spans="1:75" s="1577" customFormat="1" ht="20.25" customHeight="1" x14ac:dyDescent="0.25">
      <c r="A191" s="623"/>
      <c r="B191" s="357"/>
      <c r="C191" s="623"/>
      <c r="D191" s="623"/>
      <c r="E191" s="630">
        <v>21</v>
      </c>
      <c r="F191" s="3" t="str" cm="1">
        <f t="array" aca="1" ref="F191" ca="1">OFFSET(E191,-1,1)</f>
        <v>1</v>
      </c>
      <c r="G191" s="623"/>
      <c r="H191" s="294"/>
      <c r="I191" s="294" t="s">
        <v>501</v>
      </c>
      <c r="J191" s="623"/>
      <c r="K191" s="294" t="s">
        <v>501</v>
      </c>
      <c r="L191" s="894"/>
      <c r="M191" s="28"/>
      <c r="N191" s="623"/>
      <c r="O191" s="623"/>
      <c r="P191" s="623"/>
      <c r="Q191" s="77" t="s">
        <v>2200</v>
      </c>
      <c r="R191" s="80" t="s">
        <v>2200</v>
      </c>
      <c r="S191" s="623"/>
      <c r="T191" s="388" t="b" cm="1">
        <f t="array" ref="T191">T190</f>
        <v>1</v>
      </c>
      <c r="U191" s="623"/>
      <c r="V191" s="623"/>
      <c r="W191" s="623"/>
      <c r="X191" s="2032"/>
      <c r="Y191" s="623"/>
      <c r="Z191" s="2012"/>
      <c r="AA191" s="623"/>
      <c r="AB191" s="137" t="s">
        <v>916</v>
      </c>
      <c r="AC191" s="277" t="s">
        <v>1748</v>
      </c>
      <c r="AD191" s="130" t="s">
        <v>831</v>
      </c>
      <c r="AE191" s="690">
        <f>AE192+AE193+AE194</f>
        <v>29956.409294444798</v>
      </c>
      <c r="AF191" s="690">
        <f>AF192+AF193+AF194</f>
        <v>22986.82</v>
      </c>
      <c r="AG191" s="690">
        <f>AG192+AG193+AG194</f>
        <v>29913.465349182832</v>
      </c>
      <c r="AH191" s="681">
        <f t="shared" si="45"/>
        <v>6926.6453491828324</v>
      </c>
      <c r="AI191" s="1565">
        <f>AI192+AI193+AI194</f>
        <v>0</v>
      </c>
      <c r="AJ191" s="1560"/>
      <c r="AK191" s="684"/>
      <c r="AL191" s="684"/>
      <c r="AM191" s="684"/>
      <c r="AN191" s="684"/>
      <c r="AO191" s="684"/>
      <c r="AP191" s="684"/>
      <c r="AQ191" s="684"/>
      <c r="AR191" s="684"/>
      <c r="AS191" s="684"/>
      <c r="AT191" s="684"/>
      <c r="AU191" s="684"/>
      <c r="AV191" s="684"/>
      <c r="AW191" s="684"/>
      <c r="AX191" s="684"/>
      <c r="AY191" s="684"/>
      <c r="AZ191" s="684"/>
      <c r="BA191" s="684"/>
      <c r="BB191" s="684"/>
      <c r="BC191" s="684"/>
      <c r="BD191" s="684"/>
      <c r="BE191" s="684"/>
      <c r="BF191" s="684"/>
      <c r="BG191" s="684"/>
      <c r="BH191" s="684"/>
      <c r="BI191" s="684"/>
      <c r="BJ191" s="684"/>
      <c r="BK191" s="684"/>
      <c r="BL191" s="684"/>
      <c r="BM191" s="684"/>
      <c r="BN191" s="1575"/>
      <c r="BO191" s="1575"/>
      <c r="BP191" s="1575"/>
      <c r="BQ191" s="623"/>
      <c r="BR191" s="623"/>
      <c r="BS191" s="972" t="s">
        <v>1749</v>
      </c>
      <c r="BT191" s="979"/>
      <c r="BU191" s="979"/>
      <c r="BV191" s="630"/>
      <c r="BW191" s="630"/>
    </row>
    <row r="192" spans="1:75" s="1334" customFormat="1" ht="23.25" customHeight="1" x14ac:dyDescent="0.25">
      <c r="A192" s="1184"/>
      <c r="B192" s="887"/>
      <c r="C192" s="1184"/>
      <c r="D192" s="1184"/>
      <c r="E192" s="626">
        <v>22.5</v>
      </c>
      <c r="F192" s="3" t="str" cm="1">
        <f t="array" aca="1" ref="F192" ca="1">OFFSET(E192,-1,1)</f>
        <v>1</v>
      </c>
      <c r="G192" s="1184"/>
      <c r="H192" s="294"/>
      <c r="I192" s="294" t="s">
        <v>1314</v>
      </c>
      <c r="J192" s="1184"/>
      <c r="K192" s="294" t="s">
        <v>1314</v>
      </c>
      <c r="L192" s="889"/>
      <c r="M192" s="26"/>
      <c r="N192" s="1184"/>
      <c r="O192" s="1184"/>
      <c r="P192" s="1184"/>
      <c r="Q192" s="77" t="s">
        <v>2200</v>
      </c>
      <c r="R192" s="80" t="s">
        <v>2200</v>
      </c>
      <c r="S192" s="1184"/>
      <c r="T192" s="388" t="b" cm="1">
        <f t="array" ref="T192">T191</f>
        <v>1</v>
      </c>
      <c r="U192" s="1184"/>
      <c r="V192" s="1184"/>
      <c r="W192" s="1184"/>
      <c r="X192" s="2032"/>
      <c r="Y192" s="1184"/>
      <c r="Z192" s="2012"/>
      <c r="AA192" s="1184"/>
      <c r="AB192" s="217" t="s">
        <v>1315</v>
      </c>
      <c r="AC192" s="685" t="s">
        <v>1930</v>
      </c>
      <c r="AD192" s="218" t="s">
        <v>831</v>
      </c>
      <c r="AE192" s="1568">
        <v>2891.1411199999998</v>
      </c>
      <c r="AF192" s="1568">
        <v>4286.76</v>
      </c>
      <c r="AG192" s="1568">
        <f>AE192*0.998566452179236</f>
        <v>2886.9965309479026</v>
      </c>
      <c r="AH192" s="855">
        <f t="shared" si="45"/>
        <v>-1399.7634690520977</v>
      </c>
      <c r="AI192" s="1563"/>
      <c r="AJ192" s="1560"/>
      <c r="AK192" s="854"/>
      <c r="AL192" s="854"/>
      <c r="AM192" s="854"/>
      <c r="AN192" s="854"/>
      <c r="AO192" s="854"/>
      <c r="AP192" s="854"/>
      <c r="AQ192" s="854"/>
      <c r="AR192" s="854"/>
      <c r="AS192" s="854"/>
      <c r="AT192" s="854"/>
      <c r="AU192" s="854"/>
      <c r="AV192" s="854"/>
      <c r="AW192" s="854"/>
      <c r="AX192" s="854"/>
      <c r="AY192" s="854"/>
      <c r="AZ192" s="854"/>
      <c r="BA192" s="854"/>
      <c r="BB192" s="854"/>
      <c r="BC192" s="854"/>
      <c r="BD192" s="854"/>
      <c r="BE192" s="854"/>
      <c r="BF192" s="854"/>
      <c r="BG192" s="854"/>
      <c r="BH192" s="854"/>
      <c r="BI192" s="854"/>
      <c r="BJ192" s="854"/>
      <c r="BK192" s="854"/>
      <c r="BL192" s="854"/>
      <c r="BM192" s="854"/>
      <c r="BN192" s="1574"/>
      <c r="BO192" s="1574"/>
      <c r="BP192" s="1574"/>
      <c r="BQ192" s="1184"/>
      <c r="BR192" s="1184"/>
      <c r="BS192" s="971" t="s">
        <v>1751</v>
      </c>
      <c r="BT192" s="973"/>
      <c r="BU192" s="973"/>
      <c r="BV192" s="888"/>
      <c r="BW192" s="888"/>
    </row>
    <row r="193" spans="1:75" s="1334" customFormat="1" ht="23.25" customHeight="1" x14ac:dyDescent="0.15">
      <c r="A193" s="1184"/>
      <c r="B193" s="887"/>
      <c r="C193" s="1184"/>
      <c r="D193" s="1184"/>
      <c r="E193" s="626">
        <v>22.5</v>
      </c>
      <c r="F193" s="3" t="str" cm="1">
        <f t="array" aca="1" ref="F193" ca="1">OFFSET(E193,-1,1)</f>
        <v>1</v>
      </c>
      <c r="G193" s="1184"/>
      <c r="H193" s="294"/>
      <c r="I193" s="294" t="s">
        <v>1318</v>
      </c>
      <c r="J193" s="1184"/>
      <c r="K193" s="294" t="s">
        <v>1318</v>
      </c>
      <c r="L193" s="889"/>
      <c r="M193" s="26"/>
      <c r="N193" s="1184"/>
      <c r="O193" s="1184"/>
      <c r="P193" s="1184"/>
      <c r="Q193" s="77" t="s">
        <v>2200</v>
      </c>
      <c r="R193" s="80" t="s">
        <v>2200</v>
      </c>
      <c r="S193" s="1184"/>
      <c r="T193" s="388" t="b" cm="1">
        <f t="array" ref="T193">T192</f>
        <v>1</v>
      </c>
      <c r="U193" s="1184"/>
      <c r="V193" s="1184"/>
      <c r="W193" s="1184"/>
      <c r="X193" s="2032"/>
      <c r="Y193" s="1184"/>
      <c r="Z193" s="2012"/>
      <c r="AA193" s="1184"/>
      <c r="AB193" s="217" t="s">
        <v>1319</v>
      </c>
      <c r="AC193" s="685" t="s">
        <v>1931</v>
      </c>
      <c r="AD193" s="218" t="s">
        <v>831</v>
      </c>
      <c r="AE193" s="1568">
        <v>17574.058913479501</v>
      </c>
      <c r="AF193" s="1568">
        <v>5535.71</v>
      </c>
      <c r="AG193" s="1568">
        <f>AE193*0.998566452179236</f>
        <v>17548.865659622104</v>
      </c>
      <c r="AH193" s="855">
        <f t="shared" si="45"/>
        <v>12013.155659622105</v>
      </c>
      <c r="AI193" s="1563"/>
      <c r="AJ193" s="1560"/>
      <c r="AK193" s="854"/>
      <c r="AL193" s="854"/>
      <c r="AM193" s="854"/>
      <c r="AN193" s="854"/>
      <c r="AO193" s="854"/>
      <c r="AP193" s="854"/>
      <c r="AQ193" s="854"/>
      <c r="AR193" s="854"/>
      <c r="AS193" s="854"/>
      <c r="AT193" s="854"/>
      <c r="AU193" s="854"/>
      <c r="AV193" s="854"/>
      <c r="AW193" s="854"/>
      <c r="AX193" s="854"/>
      <c r="AY193" s="854"/>
      <c r="AZ193" s="854"/>
      <c r="BA193" s="854"/>
      <c r="BB193" s="854"/>
      <c r="BC193" s="854"/>
      <c r="BD193" s="854"/>
      <c r="BE193" s="854"/>
      <c r="BF193" s="854"/>
      <c r="BG193" s="854"/>
      <c r="BH193" s="854"/>
      <c r="BI193" s="854"/>
      <c r="BJ193" s="854"/>
      <c r="BK193" s="854"/>
      <c r="BL193" s="854"/>
      <c r="BM193" s="854"/>
      <c r="BN193" s="1574"/>
      <c r="BO193" s="1574"/>
      <c r="BP193" s="1574"/>
      <c r="BQ193" s="1184"/>
      <c r="BR193" s="1184"/>
      <c r="BS193" s="973" t="s">
        <v>1932</v>
      </c>
      <c r="BT193" s="973"/>
      <c r="BU193" s="973"/>
      <c r="BV193" s="888"/>
      <c r="BW193" s="888"/>
    </row>
    <row r="194" spans="1:75" s="1334" customFormat="1" ht="40.35" customHeight="1" x14ac:dyDescent="0.25">
      <c r="A194" s="1184"/>
      <c r="B194" s="887"/>
      <c r="C194" s="1184"/>
      <c r="D194" s="1184"/>
      <c r="E194" s="626">
        <v>22.5</v>
      </c>
      <c r="F194" s="3" t="str" cm="1">
        <f t="array" aca="1" ref="F194" ca="1">OFFSET(E194,-1,1)</f>
        <v>1</v>
      </c>
      <c r="G194" s="1184"/>
      <c r="H194" s="294"/>
      <c r="I194" s="294" t="s">
        <v>1322</v>
      </c>
      <c r="J194" s="1184"/>
      <c r="K194" s="294" t="s">
        <v>1322</v>
      </c>
      <c r="L194" s="889" t="s">
        <v>515</v>
      </c>
      <c r="M194" s="26"/>
      <c r="N194" s="1184"/>
      <c r="O194" s="1184"/>
      <c r="P194" s="1184"/>
      <c r="Q194" s="77" t="s">
        <v>2200</v>
      </c>
      <c r="R194" s="80" t="s">
        <v>2200</v>
      </c>
      <c r="S194" s="1184"/>
      <c r="T194" s="388" t="b" cm="1">
        <f t="array" ref="T194">T193</f>
        <v>1</v>
      </c>
      <c r="U194" s="1184"/>
      <c r="V194" s="1184"/>
      <c r="W194" s="1184"/>
      <c r="X194" s="2032"/>
      <c r="Y194" s="1184"/>
      <c r="Z194" s="2012"/>
      <c r="AA194" s="1184"/>
      <c r="AB194" s="217" t="s">
        <v>1323</v>
      </c>
      <c r="AC194" s="685" t="s">
        <v>1933</v>
      </c>
      <c r="AD194" s="218" t="s">
        <v>831</v>
      </c>
      <c r="AE194" s="1568">
        <v>9491.2092609652991</v>
      </c>
      <c r="AF194" s="1568">
        <f>AF195+AF196</f>
        <v>13164.349999999999</v>
      </c>
      <c r="AG194" s="1568">
        <f>AE194*0.998566452179236</f>
        <v>9477.6031586128265</v>
      </c>
      <c r="AH194" s="855">
        <f t="shared" si="45"/>
        <v>-3686.746841387172</v>
      </c>
      <c r="AI194" s="1563"/>
      <c r="AJ194" s="1560"/>
      <c r="AK194" s="854"/>
      <c r="AL194" s="854"/>
      <c r="AM194" s="854"/>
      <c r="AN194" s="854"/>
      <c r="AO194" s="854"/>
      <c r="AP194" s="854"/>
      <c r="AQ194" s="854"/>
      <c r="AR194" s="854"/>
      <c r="AS194" s="854"/>
      <c r="AT194" s="854"/>
      <c r="AU194" s="854"/>
      <c r="AV194" s="854"/>
      <c r="AW194" s="854"/>
      <c r="AX194" s="854"/>
      <c r="AY194" s="854"/>
      <c r="AZ194" s="854"/>
      <c r="BA194" s="854"/>
      <c r="BB194" s="854"/>
      <c r="BC194" s="854"/>
      <c r="BD194" s="854"/>
      <c r="BE194" s="854"/>
      <c r="BF194" s="854"/>
      <c r="BG194" s="854"/>
      <c r="BH194" s="854"/>
      <c r="BI194" s="854"/>
      <c r="BJ194" s="854"/>
      <c r="BK194" s="854"/>
      <c r="BL194" s="854"/>
      <c r="BM194" s="854"/>
      <c r="BN194" s="1574"/>
      <c r="BO194" s="1574"/>
      <c r="BP194" s="1574"/>
      <c r="BQ194" s="1184"/>
      <c r="BR194" s="1184"/>
      <c r="BS194" s="971" t="s">
        <v>1753</v>
      </c>
      <c r="BT194" s="973"/>
      <c r="BU194" s="973"/>
      <c r="BV194" s="888"/>
      <c r="BW194" s="888"/>
    </row>
    <row r="195" spans="1:75" s="1334" customFormat="1" ht="22.5" customHeight="1" x14ac:dyDescent="0.25">
      <c r="A195" s="1184"/>
      <c r="B195" s="887"/>
      <c r="C195" s="1184"/>
      <c r="D195" s="1184"/>
      <c r="E195" s="626">
        <v>15</v>
      </c>
      <c r="F195" s="3" t="str" cm="1">
        <f t="array" aca="1" ref="F195" ca="1">OFFSET(E195,-1,1)</f>
        <v>1</v>
      </c>
      <c r="G195" s="2" t="s">
        <v>1119</v>
      </c>
      <c r="H195" s="294"/>
      <c r="I195" s="294" t="s">
        <v>1934</v>
      </c>
      <c r="J195" s="1184"/>
      <c r="K195" s="294" t="s">
        <v>1934</v>
      </c>
      <c r="L195" s="889" t="s">
        <v>1754</v>
      </c>
      <c r="M195" s="26"/>
      <c r="N195" s="1184"/>
      <c r="O195" s="1184"/>
      <c r="P195" s="1184"/>
      <c r="Q195" s="77" t="s">
        <v>2200</v>
      </c>
      <c r="R195" s="80" t="s">
        <v>2200</v>
      </c>
      <c r="S195" s="1184"/>
      <c r="T195" s="388" t="b" cm="1">
        <f t="array" ref="T195">T194</f>
        <v>1</v>
      </c>
      <c r="U195" s="1184"/>
      <c r="V195" s="1184"/>
      <c r="W195" s="1184"/>
      <c r="X195" s="2032"/>
      <c r="Y195" s="1184"/>
      <c r="Z195" s="2012"/>
      <c r="AA195" s="1184"/>
      <c r="AB195" s="217" t="s">
        <v>1935</v>
      </c>
      <c r="AC195" s="688" t="s">
        <v>1755</v>
      </c>
      <c r="AD195" s="218" t="s">
        <v>831</v>
      </c>
      <c r="AE195" s="1568">
        <v>7289.7152541976002</v>
      </c>
      <c r="AF195" s="1568">
        <f>1342.82+8776.9</f>
        <v>10119.719999999999</v>
      </c>
      <c r="AG195" s="1568">
        <f>AE195*0.998566452179236</f>
        <v>7279.2650987809548</v>
      </c>
      <c r="AH195" s="855">
        <f t="shared" si="45"/>
        <v>-2840.4549012190446</v>
      </c>
      <c r="AI195" s="1563"/>
      <c r="AJ195" s="1560"/>
      <c r="AK195" s="854"/>
      <c r="AL195" s="854"/>
      <c r="AM195" s="854"/>
      <c r="AN195" s="854"/>
      <c r="AO195" s="854"/>
      <c r="AP195" s="854"/>
      <c r="AQ195" s="854"/>
      <c r="AR195" s="854"/>
      <c r="AS195" s="854"/>
      <c r="AT195" s="854"/>
      <c r="AU195" s="854"/>
      <c r="AV195" s="854"/>
      <c r="AW195" s="854"/>
      <c r="AX195" s="854"/>
      <c r="AY195" s="854"/>
      <c r="AZ195" s="854"/>
      <c r="BA195" s="854"/>
      <c r="BB195" s="854"/>
      <c r="BC195" s="854"/>
      <c r="BD195" s="854"/>
      <c r="BE195" s="854"/>
      <c r="BF195" s="854"/>
      <c r="BG195" s="854"/>
      <c r="BH195" s="854"/>
      <c r="BI195" s="854"/>
      <c r="BJ195" s="854"/>
      <c r="BK195" s="854"/>
      <c r="BL195" s="854"/>
      <c r="BM195" s="854"/>
      <c r="BN195" s="1574"/>
      <c r="BO195" s="1576"/>
      <c r="BP195" s="1574"/>
      <c r="BQ195" s="1184"/>
      <c r="BR195" s="1184"/>
      <c r="BS195" s="971" t="s">
        <v>1756</v>
      </c>
      <c r="BT195" s="973"/>
      <c r="BU195" s="973"/>
      <c r="BV195" s="888"/>
      <c r="BW195" s="888"/>
    </row>
    <row r="196" spans="1:75" s="1334" customFormat="1" ht="26.65" customHeight="1" x14ac:dyDescent="0.25">
      <c r="A196" s="1184"/>
      <c r="B196" s="887"/>
      <c r="C196" s="1184"/>
      <c r="D196" s="1184"/>
      <c r="E196" s="626">
        <v>22.5</v>
      </c>
      <c r="F196" s="3" t="str" cm="1">
        <f t="array" aca="1" ref="F196" ca="1">OFFSET(E196,-1,1)</f>
        <v>1</v>
      </c>
      <c r="G196" s="2" t="s">
        <v>1124</v>
      </c>
      <c r="H196" s="294"/>
      <c r="I196" s="294" t="s">
        <v>1936</v>
      </c>
      <c r="J196" s="1184"/>
      <c r="K196" s="294" t="s">
        <v>1936</v>
      </c>
      <c r="L196" s="889" t="s">
        <v>1757</v>
      </c>
      <c r="M196" s="26"/>
      <c r="N196" s="1184"/>
      <c r="O196" s="1184"/>
      <c r="P196" s="1184"/>
      <c r="Q196" s="77" t="s">
        <v>2200</v>
      </c>
      <c r="R196" s="80" t="s">
        <v>2200</v>
      </c>
      <c r="S196" s="1184"/>
      <c r="T196" s="388" t="b" cm="1">
        <f t="array" ref="T196">T195</f>
        <v>1</v>
      </c>
      <c r="U196" s="1184"/>
      <c r="V196" s="1184"/>
      <c r="W196" s="1184"/>
      <c r="X196" s="2032"/>
      <c r="Y196" s="1184"/>
      <c r="Z196" s="2012"/>
      <c r="AA196" s="1184"/>
      <c r="AB196" s="217" t="s">
        <v>1937</v>
      </c>
      <c r="AC196" s="688" t="s">
        <v>1938</v>
      </c>
      <c r="AD196" s="218" t="s">
        <v>831</v>
      </c>
      <c r="AE196" s="1568">
        <v>2201.4940067676998</v>
      </c>
      <c r="AF196" s="1568">
        <f>405.53+2639.1</f>
        <v>3044.63</v>
      </c>
      <c r="AG196" s="1568">
        <f>AE196*0.998566452179236</f>
        <v>2198.3380598318731</v>
      </c>
      <c r="AH196" s="855">
        <f t="shared" si="45"/>
        <v>-846.29194016812698</v>
      </c>
      <c r="AI196" s="1563">
        <f ca="1">AI195*SUMIFS(INDEX(Сценарии!$AE$25:$BF$109,,MATCH(AG$8,Сценарии!$AE$8:$BF$8,0)),Сценарии!$F$25:$F$109,$F196,Сценарии!$G$25:$G$109,"СВФОТ")/100</f>
        <v>0</v>
      </c>
      <c r="AJ196" s="1560"/>
      <c r="AK196" s="854"/>
      <c r="AL196" s="854"/>
      <c r="AM196" s="854"/>
      <c r="AN196" s="854"/>
      <c r="AO196" s="854"/>
      <c r="AP196" s="854"/>
      <c r="AQ196" s="854"/>
      <c r="AR196" s="854"/>
      <c r="AS196" s="854"/>
      <c r="AT196" s="854"/>
      <c r="AU196" s="854"/>
      <c r="AV196" s="854"/>
      <c r="AW196" s="854"/>
      <c r="AX196" s="854"/>
      <c r="AY196" s="854"/>
      <c r="AZ196" s="854"/>
      <c r="BA196" s="854"/>
      <c r="BB196" s="854"/>
      <c r="BC196" s="854"/>
      <c r="BD196" s="854"/>
      <c r="BE196" s="854"/>
      <c r="BF196" s="854"/>
      <c r="BG196" s="854"/>
      <c r="BH196" s="854"/>
      <c r="BI196" s="854"/>
      <c r="BJ196" s="854"/>
      <c r="BK196" s="854"/>
      <c r="BL196" s="854"/>
      <c r="BM196" s="854"/>
      <c r="BN196" s="1574"/>
      <c r="BO196" s="1576"/>
      <c r="BP196" s="1574"/>
      <c r="BQ196" s="1184"/>
      <c r="BR196" s="1184"/>
      <c r="BS196" s="971" t="s">
        <v>1759</v>
      </c>
      <c r="BT196" s="973"/>
      <c r="BU196" s="973"/>
      <c r="BV196" s="888"/>
      <c r="BW196" s="888"/>
    </row>
    <row r="197" spans="1:75" s="1578" customFormat="1" ht="20.25" customHeight="1" x14ac:dyDescent="0.25">
      <c r="A197" s="623"/>
      <c r="B197" s="357"/>
      <c r="C197" s="623"/>
      <c r="D197" s="623"/>
      <c r="E197" s="630">
        <v>21</v>
      </c>
      <c r="F197" s="3" t="str" cm="1">
        <f t="array" aca="1" ref="F197" ca="1">OFFSET(E197,-1,1)</f>
        <v>1</v>
      </c>
      <c r="G197" s="623"/>
      <c r="H197" s="294"/>
      <c r="I197" s="294" t="s">
        <v>505</v>
      </c>
      <c r="J197" s="623"/>
      <c r="K197" s="294" t="s">
        <v>505</v>
      </c>
      <c r="L197" s="894" t="s">
        <v>333</v>
      </c>
      <c r="M197" s="28"/>
      <c r="N197" s="623"/>
      <c r="O197" s="623"/>
      <c r="P197" s="623"/>
      <c r="Q197" s="77" t="s">
        <v>2200</v>
      </c>
      <c r="R197" s="80" t="s">
        <v>2200</v>
      </c>
      <c r="S197" s="623"/>
      <c r="T197" s="388" t="b" cm="1">
        <f t="array" ref="T197">T196</f>
        <v>1</v>
      </c>
      <c r="U197" s="623"/>
      <c r="V197" s="623"/>
      <c r="W197" s="623"/>
      <c r="X197" s="2032"/>
      <c r="Y197" s="623"/>
      <c r="Z197" s="2012"/>
      <c r="AA197" s="623"/>
      <c r="AB197" s="137" t="s">
        <v>919</v>
      </c>
      <c r="AC197" s="277" t="s">
        <v>1939</v>
      </c>
      <c r="AD197" s="130" t="s">
        <v>831</v>
      </c>
      <c r="AE197" s="690">
        <f>AE198+AE206+AE209+AE210+AE211+AE212+AE213</f>
        <v>9306.5487244234992</v>
      </c>
      <c r="AF197" s="690">
        <f>AF198+AF206+AF209+AF210+AF211+AF212+AF213</f>
        <v>8628.3499999999985</v>
      </c>
      <c r="AG197" s="690">
        <f>AG198+AG206+AG209+AG210+AG211+AG212+AG213</f>
        <v>9293.2073417807696</v>
      </c>
      <c r="AH197" s="681">
        <f t="shared" si="45"/>
        <v>664.85734178077109</v>
      </c>
      <c r="AI197" s="1565">
        <f ca="1">AI198+AI206+AI209+AI210+AI211+AI212+AI213</f>
        <v>0</v>
      </c>
      <c r="AJ197" s="1560"/>
      <c r="AK197" s="684"/>
      <c r="AL197" s="684"/>
      <c r="AM197" s="684"/>
      <c r="AN197" s="684"/>
      <c r="AO197" s="684"/>
      <c r="AP197" s="684"/>
      <c r="AQ197" s="684"/>
      <c r="AR197" s="684"/>
      <c r="AS197" s="684"/>
      <c r="AT197" s="684"/>
      <c r="AU197" s="684"/>
      <c r="AV197" s="684"/>
      <c r="AW197" s="684"/>
      <c r="AX197" s="684"/>
      <c r="AY197" s="684"/>
      <c r="AZ197" s="684"/>
      <c r="BA197" s="684"/>
      <c r="BB197" s="684"/>
      <c r="BC197" s="684"/>
      <c r="BD197" s="684"/>
      <c r="BE197" s="684"/>
      <c r="BF197" s="684"/>
      <c r="BG197" s="684"/>
      <c r="BH197" s="684"/>
      <c r="BI197" s="684"/>
      <c r="BJ197" s="684"/>
      <c r="BK197" s="684"/>
      <c r="BL197" s="684"/>
      <c r="BM197" s="684"/>
      <c r="BN197" s="1575"/>
      <c r="BO197" s="1575"/>
      <c r="BP197" s="1575"/>
      <c r="BQ197" s="623"/>
      <c r="BR197" s="623"/>
      <c r="BS197" s="972" t="s">
        <v>1761</v>
      </c>
      <c r="BT197" s="979"/>
      <c r="BU197" s="979"/>
      <c r="BV197" s="630"/>
      <c r="BW197" s="630"/>
    </row>
    <row r="198" spans="1:75" s="1334" customFormat="1" ht="21.75" customHeight="1" x14ac:dyDescent="0.25">
      <c r="A198" s="1184"/>
      <c r="B198" s="887"/>
      <c r="C198" s="1184"/>
      <c r="D198" s="1184"/>
      <c r="E198" s="626">
        <v>22.5</v>
      </c>
      <c r="F198" s="3" t="str" cm="1">
        <f t="array" aca="1" ref="F198" ca="1">OFFSET(E198,-1,1)</f>
        <v>1</v>
      </c>
      <c r="G198" s="77" t="s">
        <v>1155</v>
      </c>
      <c r="H198" s="294"/>
      <c r="I198" s="294" t="s">
        <v>1328</v>
      </c>
      <c r="J198" s="1184"/>
      <c r="K198" s="294" t="s">
        <v>1328</v>
      </c>
      <c r="L198" s="889" t="s">
        <v>940</v>
      </c>
      <c r="M198" s="26"/>
      <c r="N198" s="1184"/>
      <c r="O198" s="1184"/>
      <c r="P198" s="1184"/>
      <c r="Q198" s="77" t="s">
        <v>2200</v>
      </c>
      <c r="R198" s="80" t="s">
        <v>2200</v>
      </c>
      <c r="S198" s="1184"/>
      <c r="T198" s="388" t="b" cm="1">
        <f t="array" ref="T198">T197</f>
        <v>1</v>
      </c>
      <c r="U198" s="1184"/>
      <c r="V198" s="1184"/>
      <c r="W198" s="1184"/>
      <c r="X198" s="2032"/>
      <c r="Y198" s="1184"/>
      <c r="Z198" s="2012"/>
      <c r="AA198" s="1184"/>
      <c r="AB198" s="217" t="s">
        <v>1033</v>
      </c>
      <c r="AC198" s="685" t="s">
        <v>1940</v>
      </c>
      <c r="AD198" s="218" t="s">
        <v>831</v>
      </c>
      <c r="AE198" s="856">
        <f>SUM(AE199:AE205)</f>
        <v>0</v>
      </c>
      <c r="AF198" s="856">
        <f>SUM(AF199:AF205)</f>
        <v>0</v>
      </c>
      <c r="AG198" s="856">
        <f>SUM(AG199:AG205)</f>
        <v>0</v>
      </c>
      <c r="AH198" s="855">
        <f t="shared" si="45"/>
        <v>0</v>
      </c>
      <c r="AI198" s="1564">
        <f>SUM(AI199:AI205)</f>
        <v>0</v>
      </c>
      <c r="AJ198" s="1560"/>
      <c r="AK198" s="854"/>
      <c r="AL198" s="854"/>
      <c r="AM198" s="854"/>
      <c r="AN198" s="854"/>
      <c r="AO198" s="854"/>
      <c r="AP198" s="854"/>
      <c r="AQ198" s="854"/>
      <c r="AR198" s="854"/>
      <c r="AS198" s="854"/>
      <c r="AT198" s="854"/>
      <c r="AU198" s="854"/>
      <c r="AV198" s="854"/>
      <c r="AW198" s="854"/>
      <c r="AX198" s="854"/>
      <c r="AY198" s="854"/>
      <c r="AZ198" s="854"/>
      <c r="BA198" s="854"/>
      <c r="BB198" s="854"/>
      <c r="BC198" s="854"/>
      <c r="BD198" s="854"/>
      <c r="BE198" s="854"/>
      <c r="BF198" s="854"/>
      <c r="BG198" s="854"/>
      <c r="BH198" s="854"/>
      <c r="BI198" s="854"/>
      <c r="BJ198" s="854"/>
      <c r="BK198" s="854"/>
      <c r="BL198" s="854"/>
      <c r="BM198" s="854"/>
      <c r="BN198" s="1574"/>
      <c r="BO198" s="1576" t="str">
        <f ca="1">IF(IFERROR(INDEX(Административные!$K$26:$L$84,MATCH($F198&amp;"17komm",Административные!$K$26:$K$84,0),2),"")=0,"",IFERROR(INDEX(Административные!$K$26:$L$84,MATCH($F198&amp;"17komm",Административные!$K$26:$K$84,0),2),""))</f>
        <v/>
      </c>
      <c r="BP198" s="1574"/>
      <c r="BQ198" s="1184"/>
      <c r="BR198" s="1184"/>
      <c r="BS198" s="971" t="s">
        <v>1157</v>
      </c>
      <c r="BT198" s="973"/>
      <c r="BU198" s="973"/>
      <c r="BV198" s="888"/>
      <c r="BW198" s="888"/>
    </row>
    <row r="199" spans="1:75" s="1334" customFormat="1" ht="14.65" customHeight="1" x14ac:dyDescent="0.15">
      <c r="A199" s="1184"/>
      <c r="B199" s="887"/>
      <c r="C199" s="1184"/>
      <c r="D199" s="1184"/>
      <c r="E199" s="626">
        <v>15</v>
      </c>
      <c r="F199" s="3" t="str" cm="1">
        <f t="array" aca="1" ref="F199" ca="1">OFFSET(E199,-1,1)</f>
        <v>1</v>
      </c>
      <c r="G199" s="77" t="s">
        <v>1158</v>
      </c>
      <c r="H199" s="294"/>
      <c r="I199" s="294" t="s">
        <v>1941</v>
      </c>
      <c r="J199" s="1184"/>
      <c r="K199" s="294" t="s">
        <v>1941</v>
      </c>
      <c r="L199" s="889"/>
      <c r="M199" s="26"/>
      <c r="N199" s="1184"/>
      <c r="O199" s="1184"/>
      <c r="P199" s="1184"/>
      <c r="Q199" s="77" t="s">
        <v>2200</v>
      </c>
      <c r="R199" s="80" t="s">
        <v>2200</v>
      </c>
      <c r="S199" s="1184"/>
      <c r="T199" s="388" t="b" cm="1">
        <f t="array" ref="T199">T198</f>
        <v>1</v>
      </c>
      <c r="U199" s="1184"/>
      <c r="V199" s="1184"/>
      <c r="W199" s="1184"/>
      <c r="X199" s="2032"/>
      <c r="Y199" s="1184"/>
      <c r="Z199" s="2012"/>
      <c r="AA199" s="1184"/>
      <c r="AB199" s="217" t="s">
        <v>1942</v>
      </c>
      <c r="AC199" s="688" t="s">
        <v>1159</v>
      </c>
      <c r="AD199" s="218" t="s">
        <v>831</v>
      </c>
      <c r="AE199" s="1568">
        <v>0</v>
      </c>
      <c r="AF199" s="1568"/>
      <c r="AG199" s="1568"/>
      <c r="AH199" s="855">
        <f t="shared" si="45"/>
        <v>0</v>
      </c>
      <c r="AI199" s="1563"/>
      <c r="AJ199" s="1560"/>
      <c r="AK199" s="854"/>
      <c r="AL199" s="854"/>
      <c r="AM199" s="854"/>
      <c r="AN199" s="854"/>
      <c r="AO199" s="854"/>
      <c r="AP199" s="854"/>
      <c r="AQ199" s="854"/>
      <c r="AR199" s="854"/>
      <c r="AS199" s="854"/>
      <c r="AT199" s="854"/>
      <c r="AU199" s="854"/>
      <c r="AV199" s="854"/>
      <c r="AW199" s="854"/>
      <c r="AX199" s="854"/>
      <c r="AY199" s="854"/>
      <c r="AZ199" s="854"/>
      <c r="BA199" s="854"/>
      <c r="BB199" s="854"/>
      <c r="BC199" s="854"/>
      <c r="BD199" s="854"/>
      <c r="BE199" s="854"/>
      <c r="BF199" s="854"/>
      <c r="BG199" s="854"/>
      <c r="BH199" s="854"/>
      <c r="BI199" s="854"/>
      <c r="BJ199" s="854"/>
      <c r="BK199" s="854"/>
      <c r="BL199" s="854"/>
      <c r="BM199" s="854"/>
      <c r="BN199" s="1574"/>
      <c r="BO199" s="1576" t="str">
        <f ca="1">IF(IFERROR(INDEX(Административные!$K$26:$L$84,MATCH($F199&amp;"18komm",Административные!$K$26:$K$84,0),2),"")=0,"",IFERROR(INDEX(Административные!$K$26:$L$84,MATCH($F199&amp;"18komm",Административные!$K$26:$K$84,0),2),""))</f>
        <v/>
      </c>
      <c r="BP199" s="1574"/>
      <c r="BQ199" s="1184"/>
      <c r="BR199" s="1184"/>
      <c r="BS199" s="973" t="s">
        <v>1160</v>
      </c>
      <c r="BT199" s="973"/>
      <c r="BU199" s="973"/>
      <c r="BV199" s="888"/>
      <c r="BW199" s="888"/>
    </row>
    <row r="200" spans="1:75" s="1334" customFormat="1" ht="14.65" customHeight="1" x14ac:dyDescent="0.15">
      <c r="A200" s="1184"/>
      <c r="B200" s="887"/>
      <c r="C200" s="1184"/>
      <c r="D200" s="1184"/>
      <c r="E200" s="626">
        <v>15</v>
      </c>
      <c r="F200" s="3" t="str" cm="1">
        <f t="array" aca="1" ref="F200" ca="1">OFFSET(E200,-1,1)</f>
        <v>1</v>
      </c>
      <c r="G200" s="77" t="s">
        <v>1161</v>
      </c>
      <c r="H200" s="294"/>
      <c r="I200" s="294" t="s">
        <v>1943</v>
      </c>
      <c r="J200" s="1184"/>
      <c r="K200" s="294" t="s">
        <v>1943</v>
      </c>
      <c r="L200" s="889"/>
      <c r="M200" s="26"/>
      <c r="N200" s="1184"/>
      <c r="O200" s="1184"/>
      <c r="P200" s="1184"/>
      <c r="Q200" s="77" t="s">
        <v>2200</v>
      </c>
      <c r="R200" s="80" t="s">
        <v>2200</v>
      </c>
      <c r="S200" s="1184"/>
      <c r="T200" s="388" t="b" cm="1">
        <f t="array" ref="T200">T199</f>
        <v>1</v>
      </c>
      <c r="U200" s="1184"/>
      <c r="V200" s="1184"/>
      <c r="W200" s="1184"/>
      <c r="X200" s="2032"/>
      <c r="Y200" s="1184"/>
      <c r="Z200" s="2012"/>
      <c r="AA200" s="1184"/>
      <c r="AB200" s="217" t="s">
        <v>1944</v>
      </c>
      <c r="AC200" s="688" t="s">
        <v>1162</v>
      </c>
      <c r="AD200" s="218" t="s">
        <v>831</v>
      </c>
      <c r="AE200" s="1568">
        <v>0</v>
      </c>
      <c r="AF200" s="1568"/>
      <c r="AG200" s="1568"/>
      <c r="AH200" s="855">
        <f t="shared" si="45"/>
        <v>0</v>
      </c>
      <c r="AI200" s="1563"/>
      <c r="AJ200" s="1560"/>
      <c r="AK200" s="854"/>
      <c r="AL200" s="854"/>
      <c r="AM200" s="854"/>
      <c r="AN200" s="854"/>
      <c r="AO200" s="854"/>
      <c r="AP200" s="854"/>
      <c r="AQ200" s="854"/>
      <c r="AR200" s="854"/>
      <c r="AS200" s="854"/>
      <c r="AT200" s="854"/>
      <c r="AU200" s="854"/>
      <c r="AV200" s="854"/>
      <c r="AW200" s="854"/>
      <c r="AX200" s="854"/>
      <c r="AY200" s="854"/>
      <c r="AZ200" s="854"/>
      <c r="BA200" s="854"/>
      <c r="BB200" s="854"/>
      <c r="BC200" s="854"/>
      <c r="BD200" s="854"/>
      <c r="BE200" s="854"/>
      <c r="BF200" s="854"/>
      <c r="BG200" s="854"/>
      <c r="BH200" s="854"/>
      <c r="BI200" s="854"/>
      <c r="BJ200" s="854"/>
      <c r="BK200" s="854"/>
      <c r="BL200" s="854"/>
      <c r="BM200" s="854"/>
      <c r="BN200" s="1574"/>
      <c r="BO200" s="1576" t="str">
        <f ca="1">IF(IFERROR(INDEX(Административные!$K$26:$L$84,MATCH($F200&amp;"11komm",Административные!$K$26:$K$84,0),2),"")=0,"",IFERROR(INDEX(Административные!$K$26:$L$84,MATCH($F200&amp;"11komm",Административные!$K$26:$K$84,0),2),""))</f>
        <v/>
      </c>
      <c r="BP200" s="1574"/>
      <c r="BQ200" s="1184"/>
      <c r="BR200" s="1184"/>
      <c r="BS200" s="973" t="s">
        <v>1163</v>
      </c>
      <c r="BT200" s="973"/>
      <c r="BU200" s="973"/>
      <c r="BV200" s="888"/>
      <c r="BW200" s="888"/>
    </row>
    <row r="201" spans="1:75" s="1334" customFormat="1" ht="14.65" customHeight="1" x14ac:dyDescent="0.15">
      <c r="A201" s="1184"/>
      <c r="B201" s="887"/>
      <c r="C201" s="1184"/>
      <c r="D201" s="1184"/>
      <c r="E201" s="626">
        <v>15</v>
      </c>
      <c r="F201" s="3" t="str" cm="1">
        <f t="array" aca="1" ref="F201" ca="1">OFFSET(E201,-1,1)</f>
        <v>1</v>
      </c>
      <c r="G201" s="77" t="s">
        <v>1164</v>
      </c>
      <c r="H201" s="294"/>
      <c r="I201" s="294" t="s">
        <v>1945</v>
      </c>
      <c r="J201" s="1184"/>
      <c r="K201" s="294" t="s">
        <v>1945</v>
      </c>
      <c r="L201" s="889"/>
      <c r="M201" s="26"/>
      <c r="N201" s="1184"/>
      <c r="O201" s="1184"/>
      <c r="P201" s="1184"/>
      <c r="Q201" s="77" t="s">
        <v>2200</v>
      </c>
      <c r="R201" s="80" t="s">
        <v>2200</v>
      </c>
      <c r="S201" s="1184"/>
      <c r="T201" s="388" t="b" cm="1">
        <f t="array" ref="T201">T200</f>
        <v>1</v>
      </c>
      <c r="U201" s="1184"/>
      <c r="V201" s="1184"/>
      <c r="W201" s="1184"/>
      <c r="X201" s="2032"/>
      <c r="Y201" s="1184"/>
      <c r="Z201" s="2012"/>
      <c r="AA201" s="1184"/>
      <c r="AB201" s="217" t="s">
        <v>1946</v>
      </c>
      <c r="AC201" s="688" t="s">
        <v>1165</v>
      </c>
      <c r="AD201" s="218" t="s">
        <v>831</v>
      </c>
      <c r="AE201" s="1568">
        <v>0</v>
      </c>
      <c r="AF201" s="1568"/>
      <c r="AG201" s="1568"/>
      <c r="AH201" s="855">
        <f t="shared" si="45"/>
        <v>0</v>
      </c>
      <c r="AI201" s="1563"/>
      <c r="AJ201" s="1560"/>
      <c r="AK201" s="854"/>
      <c r="AL201" s="854"/>
      <c r="AM201" s="854"/>
      <c r="AN201" s="854"/>
      <c r="AO201" s="854"/>
      <c r="AP201" s="854"/>
      <c r="AQ201" s="854"/>
      <c r="AR201" s="854"/>
      <c r="AS201" s="854"/>
      <c r="AT201" s="854"/>
      <c r="AU201" s="854"/>
      <c r="AV201" s="854"/>
      <c r="AW201" s="854"/>
      <c r="AX201" s="854"/>
      <c r="AY201" s="854"/>
      <c r="AZ201" s="854"/>
      <c r="BA201" s="854"/>
      <c r="BB201" s="854"/>
      <c r="BC201" s="854"/>
      <c r="BD201" s="854"/>
      <c r="BE201" s="854"/>
      <c r="BF201" s="854"/>
      <c r="BG201" s="854"/>
      <c r="BH201" s="854"/>
      <c r="BI201" s="854"/>
      <c r="BJ201" s="854"/>
      <c r="BK201" s="854"/>
      <c r="BL201" s="854"/>
      <c r="BM201" s="854"/>
      <c r="BN201" s="1574"/>
      <c r="BO201" s="1576" t="str">
        <f ca="1">IF(IFERROR(INDEX(Административные!$K$26:$L$84,MATCH($F201&amp;"12komm",Административные!$K$26:$K$84,0),2),"")=0,"",IFERROR(INDEX(Административные!$K$26:$L$84,MATCH($F201&amp;"12komm",Административные!$K$26:$K$84,0),2),""))</f>
        <v/>
      </c>
      <c r="BP201" s="1574"/>
      <c r="BQ201" s="1184"/>
      <c r="BR201" s="1184"/>
      <c r="BS201" s="973" t="s">
        <v>1166</v>
      </c>
      <c r="BT201" s="973"/>
      <c r="BU201" s="973"/>
      <c r="BV201" s="888"/>
      <c r="BW201" s="888"/>
    </row>
    <row r="202" spans="1:75" s="1334" customFormat="1" ht="14.65" customHeight="1" x14ac:dyDescent="0.15">
      <c r="A202" s="1184"/>
      <c r="B202" s="887"/>
      <c r="C202" s="1184"/>
      <c r="D202" s="1184"/>
      <c r="E202" s="626">
        <v>15</v>
      </c>
      <c r="F202" s="3" t="str" cm="1">
        <f t="array" aca="1" ref="F202" ca="1">OFFSET(E202,-1,1)</f>
        <v>1</v>
      </c>
      <c r="G202" s="77" t="s">
        <v>1167</v>
      </c>
      <c r="H202" s="294"/>
      <c r="I202" s="294" t="s">
        <v>1947</v>
      </c>
      <c r="J202" s="1184"/>
      <c r="K202" s="294" t="s">
        <v>1947</v>
      </c>
      <c r="L202" s="889"/>
      <c r="M202" s="26"/>
      <c r="N202" s="1184"/>
      <c r="O202" s="1184"/>
      <c r="P202" s="1184"/>
      <c r="Q202" s="77" t="s">
        <v>2200</v>
      </c>
      <c r="R202" s="80" t="s">
        <v>2200</v>
      </c>
      <c r="S202" s="1184"/>
      <c r="T202" s="388" t="b" cm="1">
        <f t="array" ref="T202">T201</f>
        <v>1</v>
      </c>
      <c r="U202" s="1184"/>
      <c r="V202" s="1184"/>
      <c r="W202" s="1184"/>
      <c r="X202" s="2032"/>
      <c r="Y202" s="1184"/>
      <c r="Z202" s="2012"/>
      <c r="AA202" s="1184"/>
      <c r="AB202" s="217" t="s">
        <v>1948</v>
      </c>
      <c r="AC202" s="688" t="s">
        <v>1168</v>
      </c>
      <c r="AD202" s="218" t="s">
        <v>831</v>
      </c>
      <c r="AE202" s="1568">
        <v>0</v>
      </c>
      <c r="AF202" s="1568"/>
      <c r="AG202" s="1568"/>
      <c r="AH202" s="855">
        <f t="shared" si="45"/>
        <v>0</v>
      </c>
      <c r="AI202" s="1563"/>
      <c r="AJ202" s="1560"/>
      <c r="AK202" s="854"/>
      <c r="AL202" s="854"/>
      <c r="AM202" s="854"/>
      <c r="AN202" s="854"/>
      <c r="AO202" s="854"/>
      <c r="AP202" s="854"/>
      <c r="AQ202" s="854"/>
      <c r="AR202" s="854"/>
      <c r="AS202" s="854"/>
      <c r="AT202" s="854"/>
      <c r="AU202" s="854"/>
      <c r="AV202" s="854"/>
      <c r="AW202" s="854"/>
      <c r="AX202" s="854"/>
      <c r="AY202" s="854"/>
      <c r="AZ202" s="854"/>
      <c r="BA202" s="854"/>
      <c r="BB202" s="854"/>
      <c r="BC202" s="854"/>
      <c r="BD202" s="854"/>
      <c r="BE202" s="854"/>
      <c r="BF202" s="854"/>
      <c r="BG202" s="854"/>
      <c r="BH202" s="854"/>
      <c r="BI202" s="854"/>
      <c r="BJ202" s="854"/>
      <c r="BK202" s="854"/>
      <c r="BL202" s="854"/>
      <c r="BM202" s="854"/>
      <c r="BN202" s="1574"/>
      <c r="BO202" s="1576" t="str">
        <f ca="1">IF(IFERROR(INDEX(Административные!$K$26:$L$84,MATCH($F202&amp;"13komm",Административные!$K$26:$K$84,0),2),"")=0,"",IFERROR(INDEX(Административные!$K$26:$L$84,MATCH($F202&amp;"13komm",Административные!$K$26:$K$84,0),2),""))</f>
        <v/>
      </c>
      <c r="BP202" s="1574"/>
      <c r="BQ202" s="1184"/>
      <c r="BR202" s="1184"/>
      <c r="BS202" s="973" t="s">
        <v>1169</v>
      </c>
      <c r="BT202" s="973"/>
      <c r="BU202" s="973"/>
      <c r="BV202" s="888"/>
      <c r="BW202" s="888"/>
    </row>
    <row r="203" spans="1:75" s="1334" customFormat="1" ht="14.65" customHeight="1" x14ac:dyDescent="0.15">
      <c r="A203" s="1184"/>
      <c r="B203" s="887"/>
      <c r="C203" s="1184"/>
      <c r="D203" s="1184"/>
      <c r="E203" s="626">
        <v>15</v>
      </c>
      <c r="F203" s="3" t="str" cm="1">
        <f t="array" aca="1" ref="F203" ca="1">OFFSET(E203,-1,1)</f>
        <v>1</v>
      </c>
      <c r="G203" s="77" t="s">
        <v>1170</v>
      </c>
      <c r="H203" s="294"/>
      <c r="I203" s="294" t="s">
        <v>1949</v>
      </c>
      <c r="J203" s="1184"/>
      <c r="K203" s="294" t="s">
        <v>1949</v>
      </c>
      <c r="L203" s="889"/>
      <c r="M203" s="26"/>
      <c r="N203" s="1184"/>
      <c r="O203" s="1184"/>
      <c r="P203" s="1184"/>
      <c r="Q203" s="77" t="s">
        <v>2200</v>
      </c>
      <c r="R203" s="80" t="s">
        <v>2200</v>
      </c>
      <c r="S203" s="1184"/>
      <c r="T203" s="388" t="b" cm="1">
        <f t="array" ref="T203">T202</f>
        <v>1</v>
      </c>
      <c r="U203" s="1184"/>
      <c r="V203" s="1184"/>
      <c r="W203" s="1184"/>
      <c r="X203" s="2032"/>
      <c r="Y203" s="1184"/>
      <c r="Z203" s="2012"/>
      <c r="AA203" s="1184"/>
      <c r="AB203" s="217" t="s">
        <v>1950</v>
      </c>
      <c r="AC203" s="688" t="s">
        <v>1171</v>
      </c>
      <c r="AD203" s="218" t="s">
        <v>831</v>
      </c>
      <c r="AE203" s="1568">
        <v>0</v>
      </c>
      <c r="AF203" s="1568"/>
      <c r="AG203" s="1568"/>
      <c r="AH203" s="855">
        <f t="shared" si="45"/>
        <v>0</v>
      </c>
      <c r="AI203" s="1563"/>
      <c r="AJ203" s="1560"/>
      <c r="AK203" s="854"/>
      <c r="AL203" s="854"/>
      <c r="AM203" s="854"/>
      <c r="AN203" s="854"/>
      <c r="AO203" s="854"/>
      <c r="AP203" s="854"/>
      <c r="AQ203" s="854"/>
      <c r="AR203" s="854"/>
      <c r="AS203" s="854"/>
      <c r="AT203" s="854"/>
      <c r="AU203" s="854"/>
      <c r="AV203" s="854"/>
      <c r="AW203" s="854"/>
      <c r="AX203" s="854"/>
      <c r="AY203" s="854"/>
      <c r="AZ203" s="854"/>
      <c r="BA203" s="854"/>
      <c r="BB203" s="854"/>
      <c r="BC203" s="854"/>
      <c r="BD203" s="854"/>
      <c r="BE203" s="854"/>
      <c r="BF203" s="854"/>
      <c r="BG203" s="854"/>
      <c r="BH203" s="854"/>
      <c r="BI203" s="854"/>
      <c r="BJ203" s="854"/>
      <c r="BK203" s="854"/>
      <c r="BL203" s="854"/>
      <c r="BM203" s="854"/>
      <c r="BN203" s="1574"/>
      <c r="BO203" s="1576" t="str">
        <f ca="1">IF(IFERROR(INDEX(Административные!$K$26:$L$84,MATCH($F203&amp;"14komm",Административные!$K$26:$K$84,0),2),"")=0,"",IFERROR(INDEX(Административные!$K$26:$L$84,MATCH($F203&amp;"14komm",Административные!$K$26:$K$84,0),2),""))</f>
        <v/>
      </c>
      <c r="BP203" s="1574"/>
      <c r="BQ203" s="1184"/>
      <c r="BR203" s="1184"/>
      <c r="BS203" s="973" t="s">
        <v>1951</v>
      </c>
      <c r="BT203" s="973"/>
      <c r="BU203" s="973"/>
      <c r="BV203" s="888"/>
      <c r="BW203" s="888"/>
    </row>
    <row r="204" spans="1:75" s="1334" customFormat="1" ht="14.65" customHeight="1" x14ac:dyDescent="0.15">
      <c r="A204" s="1184"/>
      <c r="B204" s="887"/>
      <c r="C204" s="1184"/>
      <c r="D204" s="1184"/>
      <c r="E204" s="626">
        <v>15</v>
      </c>
      <c r="F204" s="3" t="str" cm="1">
        <f t="array" aca="1" ref="F204" ca="1">OFFSET(E204,-1,1)</f>
        <v>1</v>
      </c>
      <c r="G204" s="77" t="s">
        <v>1173</v>
      </c>
      <c r="H204" s="294"/>
      <c r="I204" s="294" t="s">
        <v>1952</v>
      </c>
      <c r="J204" s="1184"/>
      <c r="K204" s="294" t="s">
        <v>1952</v>
      </c>
      <c r="L204" s="889"/>
      <c r="M204" s="26"/>
      <c r="N204" s="1184"/>
      <c r="O204" s="1184"/>
      <c r="P204" s="1184"/>
      <c r="Q204" s="77" t="s">
        <v>2200</v>
      </c>
      <c r="R204" s="80" t="s">
        <v>2200</v>
      </c>
      <c r="S204" s="1184"/>
      <c r="T204" s="388" t="b" cm="1">
        <f t="array" ref="T204">T203</f>
        <v>1</v>
      </c>
      <c r="U204" s="1184"/>
      <c r="V204" s="1184"/>
      <c r="W204" s="1184"/>
      <c r="X204" s="2032"/>
      <c r="Y204" s="1184"/>
      <c r="Z204" s="2012"/>
      <c r="AA204" s="1184"/>
      <c r="AB204" s="217" t="s">
        <v>1953</v>
      </c>
      <c r="AC204" s="688" t="s">
        <v>1176</v>
      </c>
      <c r="AD204" s="218" t="s">
        <v>831</v>
      </c>
      <c r="AE204" s="1568">
        <v>0</v>
      </c>
      <c r="AF204" s="1568"/>
      <c r="AG204" s="1568"/>
      <c r="AH204" s="855">
        <f t="shared" ref="AH204:AH235" si="47">AG204-AF204</f>
        <v>0</v>
      </c>
      <c r="AI204" s="1563"/>
      <c r="AJ204" s="1560"/>
      <c r="AK204" s="854"/>
      <c r="AL204" s="854"/>
      <c r="AM204" s="854"/>
      <c r="AN204" s="854"/>
      <c r="AO204" s="854"/>
      <c r="AP204" s="854"/>
      <c r="AQ204" s="854"/>
      <c r="AR204" s="854"/>
      <c r="AS204" s="854"/>
      <c r="AT204" s="854"/>
      <c r="AU204" s="854"/>
      <c r="AV204" s="854"/>
      <c r="AW204" s="854"/>
      <c r="AX204" s="854"/>
      <c r="AY204" s="854"/>
      <c r="AZ204" s="854"/>
      <c r="BA204" s="854"/>
      <c r="BB204" s="854"/>
      <c r="BC204" s="854"/>
      <c r="BD204" s="854"/>
      <c r="BE204" s="854"/>
      <c r="BF204" s="854"/>
      <c r="BG204" s="854"/>
      <c r="BH204" s="854"/>
      <c r="BI204" s="854"/>
      <c r="BJ204" s="854"/>
      <c r="BK204" s="854"/>
      <c r="BL204" s="854"/>
      <c r="BM204" s="854"/>
      <c r="BN204" s="1574"/>
      <c r="BO204" s="1576" t="str">
        <f ca="1">IF(IFERROR(INDEX(Административные!$K$26:$L$84,MATCH($F204&amp;"15komm",Административные!$K$26:$K$84,0),2),"")=0,"",IFERROR(INDEX(Административные!$K$26:$L$84,MATCH($F204&amp;"15komm",Административные!$K$26:$K$84,0),2),""))</f>
        <v/>
      </c>
      <c r="BP204" s="1574"/>
      <c r="BQ204" s="1184"/>
      <c r="BR204" s="1184"/>
      <c r="BS204" s="973" t="s">
        <v>1177</v>
      </c>
      <c r="BT204" s="973"/>
      <c r="BU204" s="973"/>
      <c r="BV204" s="888"/>
      <c r="BW204" s="888"/>
    </row>
    <row r="205" spans="1:75" s="1334" customFormat="1" ht="14.65" customHeight="1" x14ac:dyDescent="0.15">
      <c r="A205" s="1184"/>
      <c r="B205" s="887"/>
      <c r="C205" s="1184"/>
      <c r="D205" s="1184"/>
      <c r="E205" s="626">
        <v>15</v>
      </c>
      <c r="F205" s="3" t="str" cm="1">
        <f t="array" aca="1" ref="F205" ca="1">OFFSET(E205,-1,1)</f>
        <v>1</v>
      </c>
      <c r="G205" s="77" t="s">
        <v>1178</v>
      </c>
      <c r="H205" s="294"/>
      <c r="I205" s="294" t="s">
        <v>1954</v>
      </c>
      <c r="J205" s="1184"/>
      <c r="K205" s="294" t="s">
        <v>1954</v>
      </c>
      <c r="L205" s="889"/>
      <c r="M205" s="26"/>
      <c r="N205" s="1184"/>
      <c r="O205" s="1184"/>
      <c r="P205" s="1184"/>
      <c r="Q205" s="77" t="s">
        <v>2200</v>
      </c>
      <c r="R205" s="80" t="s">
        <v>2200</v>
      </c>
      <c r="S205" s="1184"/>
      <c r="T205" s="388" t="b" cm="1">
        <f t="array" ref="T205">T204</f>
        <v>1</v>
      </c>
      <c r="U205" s="1184"/>
      <c r="V205" s="1184"/>
      <c r="W205" s="1184"/>
      <c r="X205" s="2032"/>
      <c r="Y205" s="1184"/>
      <c r="Z205" s="2012"/>
      <c r="AA205" s="1184"/>
      <c r="AB205" s="217" t="s">
        <v>1955</v>
      </c>
      <c r="AC205" s="688" t="s">
        <v>1181</v>
      </c>
      <c r="AD205" s="218" t="s">
        <v>831</v>
      </c>
      <c r="AE205" s="1568">
        <v>0</v>
      </c>
      <c r="AF205" s="1568"/>
      <c r="AG205" s="1568"/>
      <c r="AH205" s="855">
        <f t="shared" si="47"/>
        <v>0</v>
      </c>
      <c r="AI205" s="1563"/>
      <c r="AJ205" s="1560"/>
      <c r="AK205" s="854"/>
      <c r="AL205" s="854"/>
      <c r="AM205" s="854"/>
      <c r="AN205" s="854"/>
      <c r="AO205" s="854"/>
      <c r="AP205" s="854"/>
      <c r="AQ205" s="854"/>
      <c r="AR205" s="854"/>
      <c r="AS205" s="854"/>
      <c r="AT205" s="854"/>
      <c r="AU205" s="854"/>
      <c r="AV205" s="854"/>
      <c r="AW205" s="854"/>
      <c r="AX205" s="854"/>
      <c r="AY205" s="854"/>
      <c r="AZ205" s="854"/>
      <c r="BA205" s="854"/>
      <c r="BB205" s="854"/>
      <c r="BC205" s="854"/>
      <c r="BD205" s="854"/>
      <c r="BE205" s="854"/>
      <c r="BF205" s="854"/>
      <c r="BG205" s="854"/>
      <c r="BH205" s="854"/>
      <c r="BI205" s="854"/>
      <c r="BJ205" s="854"/>
      <c r="BK205" s="854"/>
      <c r="BL205" s="854"/>
      <c r="BM205" s="854"/>
      <c r="BN205" s="1574"/>
      <c r="BO205" s="1576" t="str">
        <f ca="1">IF(IFERROR(INDEX(Административные!$K$26:$L$84,MATCH($F205&amp;"16komm",Административные!$K$26:$K$84,0),2),"")=0,"",IFERROR(INDEX(Административные!$K$26:$L$84,MATCH($F205&amp;"16komm",Административные!$K$26:$K$84,0),2),""))</f>
        <v/>
      </c>
      <c r="BP205" s="1574"/>
      <c r="BQ205" s="1184"/>
      <c r="BR205" s="1184"/>
      <c r="BS205" s="973" t="s">
        <v>1956</v>
      </c>
      <c r="BT205" s="973"/>
      <c r="BU205" s="973"/>
      <c r="BV205" s="888"/>
      <c r="BW205" s="888"/>
    </row>
    <row r="206" spans="1:75" s="1334" customFormat="1" ht="37.5" customHeight="1" x14ac:dyDescent="0.25">
      <c r="A206" s="1184"/>
      <c r="B206" s="887"/>
      <c r="C206" s="1184"/>
      <c r="D206" s="1184"/>
      <c r="E206" s="626">
        <v>22.5</v>
      </c>
      <c r="F206" s="3" t="str" cm="1">
        <f t="array" aca="1" ref="F206" ca="1">OFFSET(E206,-1,1)</f>
        <v>1</v>
      </c>
      <c r="G206" s="1184"/>
      <c r="H206" s="294"/>
      <c r="I206" s="294" t="s">
        <v>1329</v>
      </c>
      <c r="J206" s="1184"/>
      <c r="K206" s="294" t="s">
        <v>1329</v>
      </c>
      <c r="L206" s="889" t="s">
        <v>942</v>
      </c>
      <c r="M206" s="26"/>
      <c r="N206" s="1184"/>
      <c r="O206" s="1184"/>
      <c r="P206" s="1184"/>
      <c r="Q206" s="77" t="s">
        <v>2200</v>
      </c>
      <c r="R206" s="80" t="s">
        <v>2200</v>
      </c>
      <c r="S206" s="1184"/>
      <c r="T206" s="388" t="b" cm="1">
        <f t="array" ref="T206">T205</f>
        <v>1</v>
      </c>
      <c r="U206" s="1184"/>
      <c r="V206" s="1184"/>
      <c r="W206" s="1184"/>
      <c r="X206" s="2032"/>
      <c r="Y206" s="1184"/>
      <c r="Z206" s="2012"/>
      <c r="AA206" s="1184"/>
      <c r="AB206" s="217" t="s">
        <v>1036</v>
      </c>
      <c r="AC206" s="685" t="s">
        <v>1957</v>
      </c>
      <c r="AD206" s="218" t="s">
        <v>831</v>
      </c>
      <c r="AE206" s="856">
        <f>AE207+AE208</f>
        <v>8503.6398699234996</v>
      </c>
      <c r="AF206" s="856">
        <f>AF207+AF208</f>
        <v>7922.8099999999995</v>
      </c>
      <c r="AG206" s="856">
        <f>AG207+AG208</f>
        <v>8491.4494955194095</v>
      </c>
      <c r="AH206" s="855">
        <f t="shared" si="47"/>
        <v>568.63949551941005</v>
      </c>
      <c r="AI206" s="1564">
        <f ca="1">AI207+AI208</f>
        <v>0</v>
      </c>
      <c r="AJ206" s="1560"/>
      <c r="AK206" s="854"/>
      <c r="AL206" s="854"/>
      <c r="AM206" s="854"/>
      <c r="AN206" s="854"/>
      <c r="AO206" s="854"/>
      <c r="AP206" s="854"/>
      <c r="AQ206" s="854"/>
      <c r="AR206" s="854"/>
      <c r="AS206" s="854"/>
      <c r="AT206" s="854"/>
      <c r="AU206" s="854"/>
      <c r="AV206" s="854"/>
      <c r="AW206" s="854"/>
      <c r="AX206" s="854"/>
      <c r="AY206" s="854"/>
      <c r="AZ206" s="854"/>
      <c r="BA206" s="854"/>
      <c r="BB206" s="854"/>
      <c r="BC206" s="854"/>
      <c r="BD206" s="854"/>
      <c r="BE206" s="854"/>
      <c r="BF206" s="854"/>
      <c r="BG206" s="854"/>
      <c r="BH206" s="854"/>
      <c r="BI206" s="854"/>
      <c r="BJ206" s="854"/>
      <c r="BK206" s="854"/>
      <c r="BL206" s="854"/>
      <c r="BM206" s="854"/>
      <c r="BN206" s="1574"/>
      <c r="BO206" s="1574"/>
      <c r="BP206" s="1574"/>
      <c r="BQ206" s="1184"/>
      <c r="BR206" s="1184"/>
      <c r="BS206" s="971" t="s">
        <v>1764</v>
      </c>
      <c r="BT206" s="973"/>
      <c r="BU206" s="973"/>
      <c r="BV206" s="888"/>
      <c r="BW206" s="888"/>
    </row>
    <row r="207" spans="1:75" s="1334" customFormat="1" ht="25.35" customHeight="1" x14ac:dyDescent="0.25">
      <c r="A207" s="1184"/>
      <c r="B207" s="887"/>
      <c r="C207" s="1184"/>
      <c r="D207" s="1184"/>
      <c r="E207" s="626">
        <v>15</v>
      </c>
      <c r="F207" s="3" t="str" cm="1">
        <f t="array" aca="1" ref="F207" ca="1">OFFSET(E207,-1,1)</f>
        <v>1</v>
      </c>
      <c r="G207" s="77" t="s">
        <v>1127</v>
      </c>
      <c r="H207" s="294"/>
      <c r="I207" s="294" t="s">
        <v>1958</v>
      </c>
      <c r="J207" s="1184"/>
      <c r="K207" s="294" t="s">
        <v>1958</v>
      </c>
      <c r="L207" s="889" t="s">
        <v>530</v>
      </c>
      <c r="M207" s="26"/>
      <c r="N207" s="1184"/>
      <c r="O207" s="1184"/>
      <c r="P207" s="1184"/>
      <c r="Q207" s="77" t="s">
        <v>2200</v>
      </c>
      <c r="R207" s="80" t="s">
        <v>2200</v>
      </c>
      <c r="S207" s="1184"/>
      <c r="T207" s="388" t="b" cm="1">
        <f t="array" ref="T207">T206</f>
        <v>1</v>
      </c>
      <c r="U207" s="1184"/>
      <c r="V207" s="1184"/>
      <c r="W207" s="1184"/>
      <c r="X207" s="2032"/>
      <c r="Y207" s="1184"/>
      <c r="Z207" s="2012"/>
      <c r="AA207" s="1184"/>
      <c r="AB207" s="217" t="s">
        <v>1959</v>
      </c>
      <c r="AC207" s="688" t="s">
        <v>1765</v>
      </c>
      <c r="AD207" s="691" t="s">
        <v>831</v>
      </c>
      <c r="AE207" s="1568">
        <v>6531.2134177600001</v>
      </c>
      <c r="AF207" s="1568">
        <v>6090.45</v>
      </c>
      <c r="AG207" s="1568">
        <f>AE207*0.998566452179236</f>
        <v>6521.8506109980253</v>
      </c>
      <c r="AH207" s="855">
        <f t="shared" si="47"/>
        <v>431.40061099802551</v>
      </c>
      <c r="AI207" s="1563"/>
      <c r="AJ207" s="1560"/>
      <c r="AK207" s="854"/>
      <c r="AL207" s="854"/>
      <c r="AM207" s="854"/>
      <c r="AN207" s="854"/>
      <c r="AO207" s="854"/>
      <c r="AP207" s="854"/>
      <c r="AQ207" s="854"/>
      <c r="AR207" s="854"/>
      <c r="AS207" s="854"/>
      <c r="AT207" s="854"/>
      <c r="AU207" s="854"/>
      <c r="AV207" s="854"/>
      <c r="AW207" s="854"/>
      <c r="AX207" s="854"/>
      <c r="AY207" s="854"/>
      <c r="AZ207" s="854"/>
      <c r="BA207" s="854"/>
      <c r="BB207" s="854"/>
      <c r="BC207" s="854"/>
      <c r="BD207" s="854"/>
      <c r="BE207" s="854"/>
      <c r="BF207" s="854"/>
      <c r="BG207" s="854"/>
      <c r="BH207" s="854"/>
      <c r="BI207" s="854"/>
      <c r="BJ207" s="854"/>
      <c r="BK207" s="854"/>
      <c r="BL207" s="854"/>
      <c r="BM207" s="854"/>
      <c r="BN207" s="1574"/>
      <c r="BO207" s="1576"/>
      <c r="BP207" s="1574"/>
      <c r="BQ207" s="1184"/>
      <c r="BR207" s="1184"/>
      <c r="BS207" s="971" t="s">
        <v>1154</v>
      </c>
      <c r="BT207" s="973"/>
      <c r="BU207" s="973"/>
      <c r="BV207" s="888"/>
      <c r="BW207" s="888"/>
    </row>
    <row r="208" spans="1:75" s="1334" customFormat="1" ht="36.200000000000003" customHeight="1" x14ac:dyDescent="0.25">
      <c r="A208" s="1184"/>
      <c r="B208" s="887"/>
      <c r="C208" s="1184"/>
      <c r="D208" s="1184"/>
      <c r="E208" s="626">
        <v>22.5</v>
      </c>
      <c r="F208" s="3" t="str" cm="1">
        <f t="array" aca="1" ref="F208" ca="1">OFFSET(E208,-1,1)</f>
        <v>1</v>
      </c>
      <c r="G208" s="77" t="s">
        <v>1132</v>
      </c>
      <c r="H208" s="294"/>
      <c r="I208" s="294" t="s">
        <v>1960</v>
      </c>
      <c r="J208" s="1184"/>
      <c r="K208" s="294" t="s">
        <v>1960</v>
      </c>
      <c r="L208" s="889" t="s">
        <v>535</v>
      </c>
      <c r="M208" s="26"/>
      <c r="N208" s="1184"/>
      <c r="O208" s="1184"/>
      <c r="P208" s="1184"/>
      <c r="Q208" s="77" t="s">
        <v>2200</v>
      </c>
      <c r="R208" s="80" t="s">
        <v>2200</v>
      </c>
      <c r="S208" s="1184"/>
      <c r="T208" s="388" t="b" cm="1">
        <f t="array" ref="T208">T207</f>
        <v>1</v>
      </c>
      <c r="U208" s="1184"/>
      <c r="V208" s="1184"/>
      <c r="W208" s="1184"/>
      <c r="X208" s="2032"/>
      <c r="Y208" s="1184"/>
      <c r="Z208" s="2012"/>
      <c r="AA208" s="1184"/>
      <c r="AB208" s="217" t="s">
        <v>1961</v>
      </c>
      <c r="AC208" s="688" t="s">
        <v>1962</v>
      </c>
      <c r="AD208" s="218" t="s">
        <v>831</v>
      </c>
      <c r="AE208" s="1568">
        <v>1972.4264521635</v>
      </c>
      <c r="AF208" s="1568">
        <v>1832.36</v>
      </c>
      <c r="AG208" s="1568">
        <f>AE208*0.998566452179236</f>
        <v>1969.5988845213838</v>
      </c>
      <c r="AH208" s="855">
        <f t="shared" si="47"/>
        <v>137.23888452138385</v>
      </c>
      <c r="AI208" s="1563">
        <f ca="1">AI207*SUMIFS(INDEX(Сценарии!$AE$25:$BF$109,,MATCH(AG$8,Сценарии!$AE$8:$BF$8,0)),Сценарии!$F$25:$F$109,$F208,Сценарии!$G$25:$G$109,"СВФОТ")/100</f>
        <v>0</v>
      </c>
      <c r="AJ208" s="1560"/>
      <c r="AK208" s="854"/>
      <c r="AL208" s="854"/>
      <c r="AM208" s="854"/>
      <c r="AN208" s="854"/>
      <c r="AO208" s="854"/>
      <c r="AP208" s="854"/>
      <c r="AQ208" s="854"/>
      <c r="AR208" s="854"/>
      <c r="AS208" s="854"/>
      <c r="AT208" s="854"/>
      <c r="AU208" s="854"/>
      <c r="AV208" s="854"/>
      <c r="AW208" s="854"/>
      <c r="AX208" s="854"/>
      <c r="AY208" s="854"/>
      <c r="AZ208" s="854"/>
      <c r="BA208" s="854"/>
      <c r="BB208" s="854"/>
      <c r="BC208" s="854"/>
      <c r="BD208" s="854"/>
      <c r="BE208" s="854"/>
      <c r="BF208" s="854"/>
      <c r="BG208" s="854"/>
      <c r="BH208" s="854"/>
      <c r="BI208" s="854"/>
      <c r="BJ208" s="854"/>
      <c r="BK208" s="854"/>
      <c r="BL208" s="854"/>
      <c r="BM208" s="854"/>
      <c r="BN208" s="1574"/>
      <c r="BO208" s="1576"/>
      <c r="BP208" s="1574"/>
      <c r="BQ208" s="1184"/>
      <c r="BR208" s="1184"/>
      <c r="BS208" s="971" t="s">
        <v>1767</v>
      </c>
      <c r="BT208" s="973"/>
      <c r="BU208" s="973"/>
      <c r="BV208" s="888"/>
      <c r="BW208" s="888"/>
    </row>
    <row r="209" spans="1:75" s="1334" customFormat="1" ht="33.75" customHeight="1" x14ac:dyDescent="0.25">
      <c r="A209" s="1184"/>
      <c r="B209" s="887"/>
      <c r="C209" s="1184"/>
      <c r="D209" s="1184"/>
      <c r="E209" s="626">
        <v>33.75</v>
      </c>
      <c r="F209" s="3" t="str" cm="1">
        <f t="array" aca="1" ref="F209" ca="1">OFFSET(E209,-1,1)</f>
        <v>1</v>
      </c>
      <c r="G209" s="2" t="s">
        <v>1183</v>
      </c>
      <c r="H209" s="294"/>
      <c r="I209" s="294" t="s">
        <v>1332</v>
      </c>
      <c r="J209" s="1184"/>
      <c r="K209" s="294" t="s">
        <v>1332</v>
      </c>
      <c r="L209" s="889" t="s">
        <v>944</v>
      </c>
      <c r="M209" s="26"/>
      <c r="N209" s="1184"/>
      <c r="O209" s="1184"/>
      <c r="P209" s="1184"/>
      <c r="Q209" s="77" t="s">
        <v>2200</v>
      </c>
      <c r="R209" s="80" t="s">
        <v>2200</v>
      </c>
      <c r="S209" s="1184"/>
      <c r="T209" s="388" t="b" cm="1">
        <f t="array" ref="T209">T208</f>
        <v>1</v>
      </c>
      <c r="U209" s="1184"/>
      <c r="V209" s="1184"/>
      <c r="W209" s="1184"/>
      <c r="X209" s="2032"/>
      <c r="Y209" s="1184"/>
      <c r="Z209" s="2012"/>
      <c r="AA209" s="1184"/>
      <c r="AB209" s="217" t="s">
        <v>1333</v>
      </c>
      <c r="AC209" s="685" t="s">
        <v>1963</v>
      </c>
      <c r="AD209" s="218" t="s">
        <v>831</v>
      </c>
      <c r="AE209" s="1568">
        <v>0</v>
      </c>
      <c r="AF209" s="1568"/>
      <c r="AG209" s="1568"/>
      <c r="AH209" s="855">
        <f t="shared" si="47"/>
        <v>0</v>
      </c>
      <c r="AI209" s="1563"/>
      <c r="AJ209" s="1560"/>
      <c r="AK209" s="854"/>
      <c r="AL209" s="854"/>
      <c r="AM209" s="854"/>
      <c r="AN209" s="854"/>
      <c r="AO209" s="854"/>
      <c r="AP209" s="854"/>
      <c r="AQ209" s="854"/>
      <c r="AR209" s="854"/>
      <c r="AS209" s="854"/>
      <c r="AT209" s="854"/>
      <c r="AU209" s="854"/>
      <c r="AV209" s="854"/>
      <c r="AW209" s="854"/>
      <c r="AX209" s="854"/>
      <c r="AY209" s="854"/>
      <c r="AZ209" s="854"/>
      <c r="BA209" s="854"/>
      <c r="BB209" s="854"/>
      <c r="BC209" s="854"/>
      <c r="BD209" s="854"/>
      <c r="BE209" s="854"/>
      <c r="BF209" s="854"/>
      <c r="BG209" s="854"/>
      <c r="BH209" s="854"/>
      <c r="BI209" s="854"/>
      <c r="BJ209" s="854"/>
      <c r="BK209" s="854"/>
      <c r="BL209" s="854"/>
      <c r="BM209" s="854"/>
      <c r="BN209" s="1574"/>
      <c r="BO209" s="1576" t="str">
        <f ca="1">IF(IFERROR(INDEX(Административные!$K$26:$L$84,MATCH($F209&amp;"2komm",Административные!$K$26:$K$84,0),2),"")=0,"",IFERROR(INDEX(Административные!$K$26:$L$84,MATCH($F209&amp;"2komm",Административные!$K$26:$K$84,0),2),""))</f>
        <v/>
      </c>
      <c r="BP209" s="1574"/>
      <c r="BQ209" s="1184"/>
      <c r="BR209" s="1184"/>
      <c r="BS209" s="971" t="s">
        <v>1185</v>
      </c>
      <c r="BT209" s="973"/>
      <c r="BU209" s="973"/>
      <c r="BV209" s="888"/>
      <c r="BW209" s="888"/>
    </row>
    <row r="210" spans="1:75" s="1334" customFormat="1" ht="14.65" customHeight="1" x14ac:dyDescent="0.25">
      <c r="A210" s="1184"/>
      <c r="B210" s="887"/>
      <c r="C210" s="1184"/>
      <c r="D210" s="1184"/>
      <c r="E210" s="626">
        <v>15</v>
      </c>
      <c r="F210" s="3" t="str" cm="1">
        <f t="array" aca="1" ref="F210" ca="1">OFFSET(E210,-1,1)</f>
        <v>1</v>
      </c>
      <c r="G210" s="2" t="s">
        <v>1186</v>
      </c>
      <c r="H210" s="294"/>
      <c r="I210" s="294" t="s">
        <v>1336</v>
      </c>
      <c r="J210" s="1184"/>
      <c r="K210" s="294" t="s">
        <v>1336</v>
      </c>
      <c r="L210" s="889" t="s">
        <v>946</v>
      </c>
      <c r="M210" s="26"/>
      <c r="N210" s="1184"/>
      <c r="O210" s="1184"/>
      <c r="P210" s="1184"/>
      <c r="Q210" s="77" t="s">
        <v>2200</v>
      </c>
      <c r="R210" s="80" t="s">
        <v>2200</v>
      </c>
      <c r="S210" s="1184"/>
      <c r="T210" s="388" t="b" cm="1">
        <f t="array" ref="T210">T209</f>
        <v>1</v>
      </c>
      <c r="U210" s="1184"/>
      <c r="V210" s="1184"/>
      <c r="W210" s="1184"/>
      <c r="X210" s="2032"/>
      <c r="Y210" s="1184"/>
      <c r="Z210" s="2012"/>
      <c r="AA210" s="1184"/>
      <c r="AB210" s="217" t="s">
        <v>1337</v>
      </c>
      <c r="AC210" s="685" t="s">
        <v>1964</v>
      </c>
      <c r="AD210" s="218" t="s">
        <v>831</v>
      </c>
      <c r="AE210" s="1568">
        <v>0</v>
      </c>
      <c r="AF210" s="1568"/>
      <c r="AG210" s="1568"/>
      <c r="AH210" s="855">
        <f t="shared" si="47"/>
        <v>0</v>
      </c>
      <c r="AI210" s="1563"/>
      <c r="AJ210" s="1560"/>
      <c r="AK210" s="854"/>
      <c r="AL210" s="854"/>
      <c r="AM210" s="854"/>
      <c r="AN210" s="854"/>
      <c r="AO210" s="854"/>
      <c r="AP210" s="854"/>
      <c r="AQ210" s="854"/>
      <c r="AR210" s="854"/>
      <c r="AS210" s="854"/>
      <c r="AT210" s="854"/>
      <c r="AU210" s="854"/>
      <c r="AV210" s="854"/>
      <c r="AW210" s="854"/>
      <c r="AX210" s="854"/>
      <c r="AY210" s="854"/>
      <c r="AZ210" s="854"/>
      <c r="BA210" s="854"/>
      <c r="BB210" s="854"/>
      <c r="BC210" s="854"/>
      <c r="BD210" s="854"/>
      <c r="BE210" s="854"/>
      <c r="BF210" s="854"/>
      <c r="BG210" s="854"/>
      <c r="BH210" s="854"/>
      <c r="BI210" s="854"/>
      <c r="BJ210" s="854"/>
      <c r="BK210" s="854"/>
      <c r="BL210" s="854"/>
      <c r="BM210" s="854"/>
      <c r="BN210" s="1574"/>
      <c r="BO210" s="1576" t="str">
        <f ca="1">IF(IFERROR(INDEX(Административные!$K$26:$L$84,MATCH($F210&amp;"3komm",Административные!$K$26:$K$84,0),2),"")=0,"",IFERROR(INDEX(Административные!$K$26:$L$84,MATCH($F210&amp;"3komm",Административные!$K$26:$K$84,0),2),""))</f>
        <v/>
      </c>
      <c r="BP210" s="1574"/>
      <c r="BQ210" s="1184"/>
      <c r="BR210" s="1184"/>
      <c r="BS210" s="971" t="s">
        <v>1188</v>
      </c>
      <c r="BT210" s="973"/>
      <c r="BU210" s="973"/>
      <c r="BV210" s="888"/>
      <c r="BW210" s="888"/>
    </row>
    <row r="211" spans="1:75" s="1334" customFormat="1" ht="14.65" customHeight="1" x14ac:dyDescent="0.25">
      <c r="A211" s="1184"/>
      <c r="B211" s="887"/>
      <c r="C211" s="1184"/>
      <c r="D211" s="1184"/>
      <c r="E211" s="626">
        <v>15</v>
      </c>
      <c r="F211" s="3" t="str" cm="1">
        <f t="array" aca="1" ref="F211" ca="1">OFFSET(E211,-1,1)</f>
        <v>1</v>
      </c>
      <c r="G211" s="2" t="s">
        <v>1189</v>
      </c>
      <c r="H211" s="294"/>
      <c r="I211" s="294" t="s">
        <v>1965</v>
      </c>
      <c r="J211" s="1184"/>
      <c r="K211" s="294" t="s">
        <v>1965</v>
      </c>
      <c r="L211" s="889" t="s">
        <v>949</v>
      </c>
      <c r="M211" s="26"/>
      <c r="N211" s="1184"/>
      <c r="O211" s="1184"/>
      <c r="P211" s="1184"/>
      <c r="Q211" s="77" t="s">
        <v>2200</v>
      </c>
      <c r="R211" s="80" t="s">
        <v>2200</v>
      </c>
      <c r="S211" s="1184"/>
      <c r="T211" s="388" t="b" cm="1">
        <f t="array" ref="T211">T210</f>
        <v>1</v>
      </c>
      <c r="U211" s="1184"/>
      <c r="V211" s="1184"/>
      <c r="W211" s="1184"/>
      <c r="X211" s="2032"/>
      <c r="Y211" s="1184"/>
      <c r="Z211" s="2012"/>
      <c r="AA211" s="1184"/>
      <c r="AB211" s="217" t="s">
        <v>1966</v>
      </c>
      <c r="AC211" s="685" t="s">
        <v>1967</v>
      </c>
      <c r="AD211" s="218" t="s">
        <v>831</v>
      </c>
      <c r="AE211" s="1568">
        <v>0</v>
      </c>
      <c r="AF211" s="1568"/>
      <c r="AG211" s="1568"/>
      <c r="AH211" s="855">
        <f t="shared" si="47"/>
        <v>0</v>
      </c>
      <c r="AI211" s="1563"/>
      <c r="AJ211" s="1560"/>
      <c r="AK211" s="854"/>
      <c r="AL211" s="854"/>
      <c r="AM211" s="854"/>
      <c r="AN211" s="854"/>
      <c r="AO211" s="854"/>
      <c r="AP211" s="854"/>
      <c r="AQ211" s="854"/>
      <c r="AR211" s="854"/>
      <c r="AS211" s="854"/>
      <c r="AT211" s="854"/>
      <c r="AU211" s="854"/>
      <c r="AV211" s="854"/>
      <c r="AW211" s="854"/>
      <c r="AX211" s="854"/>
      <c r="AY211" s="854"/>
      <c r="AZ211" s="854"/>
      <c r="BA211" s="854"/>
      <c r="BB211" s="854"/>
      <c r="BC211" s="854"/>
      <c r="BD211" s="854"/>
      <c r="BE211" s="854"/>
      <c r="BF211" s="854"/>
      <c r="BG211" s="854"/>
      <c r="BH211" s="854"/>
      <c r="BI211" s="854"/>
      <c r="BJ211" s="854"/>
      <c r="BK211" s="854"/>
      <c r="BL211" s="854"/>
      <c r="BM211" s="854"/>
      <c r="BN211" s="1574"/>
      <c r="BO211" s="1576" t="str">
        <f ca="1">IF(IFERROR(INDEX(Административные!$K$26:$L$84,MATCH($F211&amp;"4komm",Административные!$K$26:$K$84,0),2),"")=0,"",IFERROR(INDEX(Административные!$K$26:$L$84,MATCH($F211&amp;"4komm",Административные!$K$26:$K$84,0),2),""))</f>
        <v/>
      </c>
      <c r="BP211" s="1574"/>
      <c r="BQ211" s="1184"/>
      <c r="BR211" s="1184"/>
      <c r="BS211" s="971" t="s">
        <v>1191</v>
      </c>
      <c r="BT211" s="973"/>
      <c r="BU211" s="973"/>
      <c r="BV211" s="888"/>
      <c r="BW211" s="888"/>
    </row>
    <row r="212" spans="1:75" s="1334" customFormat="1" ht="14.65" customHeight="1" x14ac:dyDescent="0.25">
      <c r="A212" s="1184"/>
      <c r="B212" s="887"/>
      <c r="C212" s="1184"/>
      <c r="D212" s="1184"/>
      <c r="E212" s="626">
        <v>15</v>
      </c>
      <c r="F212" s="3" t="str" cm="1">
        <f t="array" aca="1" ref="F212" ca="1">OFFSET(E212,-1,1)</f>
        <v>1</v>
      </c>
      <c r="G212" s="2" t="s">
        <v>1192</v>
      </c>
      <c r="H212" s="294"/>
      <c r="I212" s="294" t="s">
        <v>1968</v>
      </c>
      <c r="J212" s="1184"/>
      <c r="K212" s="294" t="s">
        <v>1968</v>
      </c>
      <c r="L212" s="889" t="s">
        <v>1174</v>
      </c>
      <c r="M212" s="26"/>
      <c r="N212" s="1184"/>
      <c r="O212" s="1184"/>
      <c r="P212" s="1184"/>
      <c r="Q212" s="77" t="s">
        <v>2200</v>
      </c>
      <c r="R212" s="80" t="s">
        <v>2200</v>
      </c>
      <c r="S212" s="1184"/>
      <c r="T212" s="388" t="b" cm="1">
        <f t="array" ref="T212">T211</f>
        <v>1</v>
      </c>
      <c r="U212" s="1184"/>
      <c r="V212" s="1184"/>
      <c r="W212" s="1184"/>
      <c r="X212" s="2032"/>
      <c r="Y212" s="1184"/>
      <c r="Z212" s="2012"/>
      <c r="AA212" s="1184"/>
      <c r="AB212" s="217" t="s">
        <v>1969</v>
      </c>
      <c r="AC212" s="685" t="s">
        <v>1970</v>
      </c>
      <c r="AD212" s="218" t="s">
        <v>831</v>
      </c>
      <c r="AE212" s="1568">
        <v>0</v>
      </c>
      <c r="AF212" s="1568"/>
      <c r="AG212" s="1568"/>
      <c r="AH212" s="855">
        <f t="shared" si="47"/>
        <v>0</v>
      </c>
      <c r="AI212" s="1563"/>
      <c r="AJ212" s="1560"/>
      <c r="AK212" s="854"/>
      <c r="AL212" s="854"/>
      <c r="AM212" s="854"/>
      <c r="AN212" s="854"/>
      <c r="AO212" s="854"/>
      <c r="AP212" s="854"/>
      <c r="AQ212" s="854"/>
      <c r="AR212" s="854"/>
      <c r="AS212" s="854"/>
      <c r="AT212" s="854"/>
      <c r="AU212" s="854"/>
      <c r="AV212" s="854"/>
      <c r="AW212" s="854"/>
      <c r="AX212" s="854"/>
      <c r="AY212" s="854"/>
      <c r="AZ212" s="854"/>
      <c r="BA212" s="854"/>
      <c r="BB212" s="854"/>
      <c r="BC212" s="854"/>
      <c r="BD212" s="854"/>
      <c r="BE212" s="854"/>
      <c r="BF212" s="854"/>
      <c r="BG212" s="854"/>
      <c r="BH212" s="854"/>
      <c r="BI212" s="854"/>
      <c r="BJ212" s="854"/>
      <c r="BK212" s="854"/>
      <c r="BL212" s="854"/>
      <c r="BM212" s="854"/>
      <c r="BN212" s="1574"/>
      <c r="BO212" s="1576" t="str">
        <f ca="1">IF(IFERROR(INDEX(Административные!$K$26:$L$84,MATCH($F212&amp;"5komm",Административные!$K$26:$K$84,0),2),"")=0,"",IFERROR(INDEX(Административные!$K$26:$L$84,MATCH($F212&amp;"5komm",Административные!$K$26:$K$84,0),2),""))</f>
        <v/>
      </c>
      <c r="BP212" s="1574"/>
      <c r="BQ212" s="1184"/>
      <c r="BR212" s="1184"/>
      <c r="BS212" s="971" t="s">
        <v>1769</v>
      </c>
      <c r="BT212" s="973"/>
      <c r="BU212" s="973"/>
      <c r="BV212" s="888"/>
      <c r="BW212" s="888"/>
    </row>
    <row r="213" spans="1:75" s="1334" customFormat="1" ht="25.35" customHeight="1" x14ac:dyDescent="0.25">
      <c r="A213" s="1184"/>
      <c r="B213" s="887"/>
      <c r="C213" s="1184"/>
      <c r="D213" s="1184"/>
      <c r="E213" s="626">
        <v>15</v>
      </c>
      <c r="F213" s="3" t="str" cm="1">
        <f t="array" aca="1" ref="F213" ca="1">OFFSET(E213,-1,1)</f>
        <v>1</v>
      </c>
      <c r="G213" s="2" t="s">
        <v>1195</v>
      </c>
      <c r="H213" s="294"/>
      <c r="I213" s="294" t="s">
        <v>1971</v>
      </c>
      <c r="J213" s="1184"/>
      <c r="K213" s="294" t="s">
        <v>1971</v>
      </c>
      <c r="L213" s="889" t="s">
        <v>1179</v>
      </c>
      <c r="M213" s="26"/>
      <c r="N213" s="1184"/>
      <c r="O213" s="1184"/>
      <c r="P213" s="1184"/>
      <c r="Q213" s="77" t="s">
        <v>2200</v>
      </c>
      <c r="R213" s="80" t="s">
        <v>2200</v>
      </c>
      <c r="S213" s="1184"/>
      <c r="T213" s="388" t="b" cm="1">
        <f t="array" ref="T213">T212</f>
        <v>1</v>
      </c>
      <c r="U213" s="1184"/>
      <c r="V213" s="1184"/>
      <c r="W213" s="1184"/>
      <c r="X213" s="2032"/>
      <c r="Y213" s="1184"/>
      <c r="Z213" s="2012"/>
      <c r="AA213" s="1184"/>
      <c r="AB213" s="217" t="s">
        <v>1972</v>
      </c>
      <c r="AC213" s="685" t="s">
        <v>1973</v>
      </c>
      <c r="AD213" s="218" t="s">
        <v>831</v>
      </c>
      <c r="AE213" s="855">
        <f>SUM(AE214:AE216)</f>
        <v>802.90885449999996</v>
      </c>
      <c r="AF213" s="855">
        <f>SUM(AF214:AF216)</f>
        <v>705.54</v>
      </c>
      <c r="AG213" s="855">
        <f>SUM(AG214:AG216)</f>
        <v>801.75784626135942</v>
      </c>
      <c r="AH213" s="855">
        <f t="shared" si="47"/>
        <v>96.217846261359455</v>
      </c>
      <c r="AI213" s="1562">
        <f>SUM(AI214:AI216)</f>
        <v>0</v>
      </c>
      <c r="AJ213" s="1560"/>
      <c r="AK213" s="854"/>
      <c r="AL213" s="854"/>
      <c r="AM213" s="854"/>
      <c r="AN213" s="854"/>
      <c r="AO213" s="854"/>
      <c r="AP213" s="854"/>
      <c r="AQ213" s="854"/>
      <c r="AR213" s="854"/>
      <c r="AS213" s="854"/>
      <c r="AT213" s="854"/>
      <c r="AU213" s="854"/>
      <c r="AV213" s="854"/>
      <c r="AW213" s="854"/>
      <c r="AX213" s="854"/>
      <c r="AY213" s="854"/>
      <c r="AZ213" s="854"/>
      <c r="BA213" s="854"/>
      <c r="BB213" s="854"/>
      <c r="BC213" s="854"/>
      <c r="BD213" s="854"/>
      <c r="BE213" s="854"/>
      <c r="BF213" s="854"/>
      <c r="BG213" s="854"/>
      <c r="BH213" s="854"/>
      <c r="BI213" s="854"/>
      <c r="BJ213" s="854"/>
      <c r="BK213" s="854"/>
      <c r="BL213" s="854"/>
      <c r="BM213" s="854"/>
      <c r="BN213" s="1574"/>
      <c r="BO213" s="1576"/>
      <c r="BP213" s="1574"/>
      <c r="BQ213" s="1184"/>
      <c r="BR213" s="1184"/>
      <c r="BS213" s="971" t="s">
        <v>1771</v>
      </c>
      <c r="BT213" s="973"/>
      <c r="BU213" s="973"/>
      <c r="BV213" s="888"/>
      <c r="BW213" s="888"/>
    </row>
    <row r="214" spans="1:75" s="1334" customFormat="1" ht="14.65" customHeight="1" x14ac:dyDescent="0.25">
      <c r="A214" s="1184"/>
      <c r="B214" s="887"/>
      <c r="C214" s="1184"/>
      <c r="D214" s="1184"/>
      <c r="E214" s="626">
        <v>15</v>
      </c>
      <c r="F214" s="3" t="str" cm="1">
        <f t="array" aca="1" ref="F214" ca="1">OFFSET(E214,-1,1)</f>
        <v>1</v>
      </c>
      <c r="G214" s="2" t="s">
        <v>1197</v>
      </c>
      <c r="H214" s="294"/>
      <c r="I214" s="294" t="s">
        <v>1974</v>
      </c>
      <c r="J214" s="1184"/>
      <c r="K214" s="294" t="s">
        <v>1974</v>
      </c>
      <c r="L214" s="889" t="s">
        <v>1772</v>
      </c>
      <c r="M214" s="26"/>
      <c r="N214" s="1184"/>
      <c r="O214" s="1184"/>
      <c r="P214" s="1184"/>
      <c r="Q214" s="77" t="s">
        <v>2200</v>
      </c>
      <c r="R214" s="80" t="s">
        <v>2200</v>
      </c>
      <c r="S214" s="1184"/>
      <c r="T214" s="388" t="b" cm="1">
        <f t="array" ref="T214">T213</f>
        <v>1</v>
      </c>
      <c r="U214" s="1184"/>
      <c r="V214" s="1184"/>
      <c r="W214" s="1184"/>
      <c r="X214" s="2032"/>
      <c r="Y214" s="1184"/>
      <c r="Z214" s="2012"/>
      <c r="AA214" s="1184"/>
      <c r="AB214" s="217" t="s">
        <v>1975</v>
      </c>
      <c r="AC214" s="688" t="s">
        <v>1774</v>
      </c>
      <c r="AD214" s="218" t="s">
        <v>831</v>
      </c>
      <c r="AE214" s="1568">
        <v>0</v>
      </c>
      <c r="AF214" s="1568"/>
      <c r="AG214" s="1568"/>
      <c r="AH214" s="855">
        <f t="shared" si="47"/>
        <v>0</v>
      </c>
      <c r="AI214" s="1563"/>
      <c r="AJ214" s="1560"/>
      <c r="AK214" s="854"/>
      <c r="AL214" s="854"/>
      <c r="AM214" s="854"/>
      <c r="AN214" s="854"/>
      <c r="AO214" s="854"/>
      <c r="AP214" s="854"/>
      <c r="AQ214" s="854"/>
      <c r="AR214" s="854"/>
      <c r="AS214" s="854"/>
      <c r="AT214" s="854"/>
      <c r="AU214" s="854"/>
      <c r="AV214" s="854"/>
      <c r="AW214" s="854"/>
      <c r="AX214" s="854"/>
      <c r="AY214" s="854"/>
      <c r="AZ214" s="854"/>
      <c r="BA214" s="854"/>
      <c r="BB214" s="854"/>
      <c r="BC214" s="854"/>
      <c r="BD214" s="854"/>
      <c r="BE214" s="854"/>
      <c r="BF214" s="854"/>
      <c r="BG214" s="854"/>
      <c r="BH214" s="854"/>
      <c r="BI214" s="854"/>
      <c r="BJ214" s="854"/>
      <c r="BK214" s="854"/>
      <c r="BL214" s="854"/>
      <c r="BM214" s="854"/>
      <c r="BN214" s="1574"/>
      <c r="BO214" s="1576"/>
      <c r="BP214" s="1574"/>
      <c r="BQ214" s="1184"/>
      <c r="BR214" s="1184"/>
      <c r="BS214" s="971" t="s">
        <v>1775</v>
      </c>
      <c r="BT214" s="973"/>
      <c r="BU214" s="973"/>
      <c r="BV214" s="888"/>
      <c r="BW214" s="888"/>
    </row>
    <row r="215" spans="1:75" s="1334" customFormat="1" ht="14.65" customHeight="1" x14ac:dyDescent="0.25">
      <c r="A215" s="1184"/>
      <c r="B215" s="887"/>
      <c r="C215" s="1184"/>
      <c r="D215" s="1184"/>
      <c r="E215" s="626">
        <v>15</v>
      </c>
      <c r="F215" s="3" t="str" cm="1">
        <f t="array" aca="1" ref="F215" ca="1">OFFSET(E215,-1,1)</f>
        <v>1</v>
      </c>
      <c r="G215" s="2" t="s">
        <v>1200</v>
      </c>
      <c r="H215" s="294"/>
      <c r="I215" s="294" t="s">
        <v>1976</v>
      </c>
      <c r="J215" s="1184"/>
      <c r="K215" s="294" t="s">
        <v>1976</v>
      </c>
      <c r="L215" s="889" t="s">
        <v>1776</v>
      </c>
      <c r="M215" s="26"/>
      <c r="N215" s="1184"/>
      <c r="O215" s="1184"/>
      <c r="P215" s="1184"/>
      <c r="Q215" s="77" t="s">
        <v>2200</v>
      </c>
      <c r="R215" s="80" t="s">
        <v>2200</v>
      </c>
      <c r="S215" s="1184"/>
      <c r="T215" s="388" t="b" cm="1">
        <f t="array" ref="T215">T214</f>
        <v>1</v>
      </c>
      <c r="U215" s="1184"/>
      <c r="V215" s="1184"/>
      <c r="W215" s="1184"/>
      <c r="X215" s="2032"/>
      <c r="Y215" s="1184"/>
      <c r="Z215" s="2012"/>
      <c r="AA215" s="1184"/>
      <c r="AB215" s="217" t="s">
        <v>1977</v>
      </c>
      <c r="AC215" s="688" t="s">
        <v>1201</v>
      </c>
      <c r="AD215" s="218" t="s">
        <v>831</v>
      </c>
      <c r="AE215" s="1568">
        <v>0</v>
      </c>
      <c r="AF215" s="1568"/>
      <c r="AG215" s="1568"/>
      <c r="AH215" s="855">
        <f t="shared" si="47"/>
        <v>0</v>
      </c>
      <c r="AI215" s="1563"/>
      <c r="AJ215" s="1560"/>
      <c r="AK215" s="854"/>
      <c r="AL215" s="854"/>
      <c r="AM215" s="854"/>
      <c r="AN215" s="854"/>
      <c r="AO215" s="854"/>
      <c r="AP215" s="854"/>
      <c r="AQ215" s="854"/>
      <c r="AR215" s="854"/>
      <c r="AS215" s="854"/>
      <c r="AT215" s="854"/>
      <c r="AU215" s="854"/>
      <c r="AV215" s="854"/>
      <c r="AW215" s="854"/>
      <c r="AX215" s="854"/>
      <c r="AY215" s="854"/>
      <c r="AZ215" s="854"/>
      <c r="BA215" s="854"/>
      <c r="BB215" s="854"/>
      <c r="BC215" s="854"/>
      <c r="BD215" s="854"/>
      <c r="BE215" s="854"/>
      <c r="BF215" s="854"/>
      <c r="BG215" s="854"/>
      <c r="BH215" s="854"/>
      <c r="BI215" s="854"/>
      <c r="BJ215" s="854"/>
      <c r="BK215" s="854"/>
      <c r="BL215" s="854"/>
      <c r="BM215" s="854"/>
      <c r="BN215" s="1574"/>
      <c r="BO215" s="1576"/>
      <c r="BP215" s="1574"/>
      <c r="BQ215" s="1184"/>
      <c r="BR215" s="1184"/>
      <c r="BS215" s="971" t="s">
        <v>1778</v>
      </c>
      <c r="BT215" s="973"/>
      <c r="BU215" s="973"/>
      <c r="BV215" s="888"/>
      <c r="BW215" s="888"/>
    </row>
    <row r="216" spans="1:75" s="1334" customFormat="1" ht="14.65" customHeight="1" x14ac:dyDescent="0.25">
      <c r="A216" s="1184"/>
      <c r="B216" s="887"/>
      <c r="C216" s="1184"/>
      <c r="D216" s="1184"/>
      <c r="E216" s="626">
        <v>15</v>
      </c>
      <c r="F216" s="3" t="str" cm="1">
        <f t="array" aca="1" ref="F216" ca="1">OFFSET(E216,-1,1)</f>
        <v>1</v>
      </c>
      <c r="G216" s="77" t="s">
        <v>1203</v>
      </c>
      <c r="H216" s="294"/>
      <c r="I216" s="294" t="s">
        <v>1978</v>
      </c>
      <c r="J216" s="1184"/>
      <c r="K216" s="294" t="s">
        <v>1978</v>
      </c>
      <c r="L216" s="889" t="s">
        <v>1779</v>
      </c>
      <c r="M216" s="26"/>
      <c r="N216" s="1184"/>
      <c r="O216" s="1184"/>
      <c r="P216" s="1184"/>
      <c r="Q216" s="77" t="s">
        <v>2200</v>
      </c>
      <c r="R216" s="80" t="s">
        <v>2200</v>
      </c>
      <c r="S216" s="1184"/>
      <c r="T216" s="388" t="b" cm="1">
        <f t="array" ref="T216">T215</f>
        <v>1</v>
      </c>
      <c r="U216" s="1184"/>
      <c r="V216" s="1184"/>
      <c r="W216" s="1184"/>
      <c r="X216" s="2032"/>
      <c r="Y216" s="1184"/>
      <c r="Z216" s="2012"/>
      <c r="AA216" s="1184"/>
      <c r="AB216" s="217" t="s">
        <v>1979</v>
      </c>
      <c r="AC216" s="688" t="s">
        <v>1204</v>
      </c>
      <c r="AD216" s="218" t="s">
        <v>831</v>
      </c>
      <c r="AE216" s="1568">
        <v>802.90885449999996</v>
      </c>
      <c r="AF216" s="1568">
        <v>705.54</v>
      </c>
      <c r="AG216" s="1568">
        <f>AE216*0.998566452179236</f>
        <v>801.75784626135942</v>
      </c>
      <c r="AH216" s="855">
        <f t="shared" si="47"/>
        <v>96.217846261359455</v>
      </c>
      <c r="AI216" s="1563"/>
      <c r="AJ216" s="1264"/>
      <c r="AK216" s="854"/>
      <c r="AL216" s="854"/>
      <c r="AM216" s="854"/>
      <c r="AN216" s="854"/>
      <c r="AO216" s="854"/>
      <c r="AP216" s="854"/>
      <c r="AQ216" s="854"/>
      <c r="AR216" s="854"/>
      <c r="AS216" s="854"/>
      <c r="AT216" s="854"/>
      <c r="AU216" s="854"/>
      <c r="AV216" s="854"/>
      <c r="AW216" s="854"/>
      <c r="AX216" s="854"/>
      <c r="AY216" s="854"/>
      <c r="AZ216" s="854"/>
      <c r="BA216" s="854"/>
      <c r="BB216" s="854"/>
      <c r="BC216" s="854"/>
      <c r="BD216" s="854"/>
      <c r="BE216" s="854"/>
      <c r="BF216" s="854"/>
      <c r="BG216" s="854"/>
      <c r="BH216" s="854"/>
      <c r="BI216" s="854"/>
      <c r="BJ216" s="854"/>
      <c r="BK216" s="854"/>
      <c r="BL216" s="854"/>
      <c r="BM216" s="854"/>
      <c r="BN216" s="1574"/>
      <c r="BO216" s="1576"/>
      <c r="BP216" s="1574"/>
      <c r="BQ216" s="1184"/>
      <c r="BR216" s="1184"/>
      <c r="BS216" s="971" t="s">
        <v>1781</v>
      </c>
      <c r="BT216" s="973"/>
      <c r="BU216" s="973"/>
      <c r="BV216" s="888"/>
      <c r="BW216" s="888"/>
    </row>
    <row r="217" spans="1:75" s="1334" customFormat="1" ht="21.75" customHeight="1" x14ac:dyDescent="0.25">
      <c r="A217" s="1184"/>
      <c r="B217" s="354" t="b">
        <f>STATUS_GO="да"</f>
        <v>1</v>
      </c>
      <c r="C217" s="1184"/>
      <c r="D217" s="1184"/>
      <c r="E217" s="626">
        <v>22.5</v>
      </c>
      <c r="F217" s="3" t="str" cm="1">
        <f t="array" aca="1" ref="F217" ca="1">OFFSET(E217,-1,1)</f>
        <v>1</v>
      </c>
      <c r="G217" s="1184"/>
      <c r="H217" s="294"/>
      <c r="I217" s="294" t="s">
        <v>922</v>
      </c>
      <c r="J217" s="1184"/>
      <c r="K217" s="294" t="s">
        <v>922</v>
      </c>
      <c r="L217" s="889" t="s">
        <v>335</v>
      </c>
      <c r="M217" s="26"/>
      <c r="N217" s="1184"/>
      <c r="O217" s="1184"/>
      <c r="P217" s="1184"/>
      <c r="Q217" s="77" t="s">
        <v>2200</v>
      </c>
      <c r="R217" s="80" t="s">
        <v>2200</v>
      </c>
      <c r="S217" s="1184"/>
      <c r="T217" s="388" t="b" cm="1">
        <f t="array" ref="T217">T216</f>
        <v>1</v>
      </c>
      <c r="U217" s="1184"/>
      <c r="V217" s="1184"/>
      <c r="W217" s="1184"/>
      <c r="X217" s="2032"/>
      <c r="Y217" s="1184"/>
      <c r="Z217" s="2012"/>
      <c r="AA217" s="1184"/>
      <c r="AB217" s="217" t="s">
        <v>923</v>
      </c>
      <c r="AC217" s="682" t="s">
        <v>1980</v>
      </c>
      <c r="AD217" s="218" t="s">
        <v>831</v>
      </c>
      <c r="AE217" s="1568">
        <v>3912.98</v>
      </c>
      <c r="AF217" s="1568">
        <f>5199.97+335.11</f>
        <v>5535.08</v>
      </c>
      <c r="AG217" s="1568">
        <f>AE217*0.998566452179236</f>
        <v>3907.3705560483068</v>
      </c>
      <c r="AH217" s="855">
        <f t="shared" si="47"/>
        <v>-1627.7094439516932</v>
      </c>
      <c r="AI217" s="1563"/>
      <c r="AJ217" s="1560"/>
      <c r="AK217" s="854"/>
      <c r="AL217" s="854"/>
      <c r="AM217" s="854"/>
      <c r="AN217" s="854"/>
      <c r="AO217" s="854"/>
      <c r="AP217" s="854"/>
      <c r="AQ217" s="854"/>
      <c r="AR217" s="854"/>
      <c r="AS217" s="854"/>
      <c r="AT217" s="854"/>
      <c r="AU217" s="854"/>
      <c r="AV217" s="854"/>
      <c r="AW217" s="854"/>
      <c r="AX217" s="854"/>
      <c r="AY217" s="854"/>
      <c r="AZ217" s="854"/>
      <c r="BA217" s="854"/>
      <c r="BB217" s="854"/>
      <c r="BC217" s="854"/>
      <c r="BD217" s="854"/>
      <c r="BE217" s="854"/>
      <c r="BF217" s="854"/>
      <c r="BG217" s="854"/>
      <c r="BH217" s="854"/>
      <c r="BI217" s="854"/>
      <c r="BJ217" s="854"/>
      <c r="BK217" s="854"/>
      <c r="BL217" s="854"/>
      <c r="BM217" s="854"/>
      <c r="BN217" s="1574"/>
      <c r="BO217" s="1574"/>
      <c r="BP217" s="1574"/>
      <c r="BQ217" s="1184"/>
      <c r="BR217" s="1184"/>
      <c r="BS217" s="972" t="s">
        <v>1783</v>
      </c>
      <c r="BT217" s="973"/>
      <c r="BU217" s="973"/>
      <c r="BV217" s="888"/>
      <c r="BW217" s="888"/>
    </row>
    <row r="218" spans="1:75" s="1334" customFormat="1" ht="14.25" customHeight="1" x14ac:dyDescent="0.15">
      <c r="A218" s="1184"/>
      <c r="B218" s="887"/>
      <c r="C218" s="1184"/>
      <c r="D218" s="1184"/>
      <c r="E218" s="626">
        <v>15</v>
      </c>
      <c r="F218" s="3" t="str" cm="1">
        <f t="array" aca="1" ref="F218" ca="1">OFFSET(E218,-1,1)</f>
        <v>1</v>
      </c>
      <c r="G218" s="1184"/>
      <c r="H218" s="294"/>
      <c r="I218" s="294" t="s">
        <v>1721</v>
      </c>
      <c r="J218" s="1184"/>
      <c r="K218" s="294" t="s">
        <v>1721</v>
      </c>
      <c r="L218" s="889"/>
      <c r="M218" s="26"/>
      <c r="N218" s="1184"/>
      <c r="O218" s="1184"/>
      <c r="P218" s="1184"/>
      <c r="Q218" s="77" t="s">
        <v>2200</v>
      </c>
      <c r="R218" s="80" t="s">
        <v>2200</v>
      </c>
      <c r="S218" s="1184"/>
      <c r="T218" s="388" t="b" cm="1">
        <f t="array" ref="T218">T217</f>
        <v>1</v>
      </c>
      <c r="U218" s="1184"/>
      <c r="V218" s="1184"/>
      <c r="W218" s="1184"/>
      <c r="X218" s="2032"/>
      <c r="Y218" s="1184"/>
      <c r="Z218" s="2012"/>
      <c r="AA218" s="1184"/>
      <c r="AB218" s="217" t="s">
        <v>1722</v>
      </c>
      <c r="AC218" s="682" t="s">
        <v>1981</v>
      </c>
      <c r="AD218" s="218" t="s">
        <v>831</v>
      </c>
      <c r="AE218" s="1568"/>
      <c r="AF218" s="1568"/>
      <c r="AG218" s="1568"/>
      <c r="AH218" s="855">
        <f t="shared" si="47"/>
        <v>0</v>
      </c>
      <c r="AI218" s="1563"/>
      <c r="AJ218" s="1560"/>
      <c r="AK218" s="854"/>
      <c r="AL218" s="854"/>
      <c r="AM218" s="854"/>
      <c r="AN218" s="854"/>
      <c r="AO218" s="854"/>
      <c r="AP218" s="854"/>
      <c r="AQ218" s="854"/>
      <c r="AR218" s="854"/>
      <c r="AS218" s="854"/>
      <c r="AT218" s="854"/>
      <c r="AU218" s="854"/>
      <c r="AV218" s="854"/>
      <c r="AW218" s="854"/>
      <c r="AX218" s="854"/>
      <c r="AY218" s="854"/>
      <c r="AZ218" s="854"/>
      <c r="BA218" s="854"/>
      <c r="BB218" s="854"/>
      <c r="BC218" s="854"/>
      <c r="BD218" s="854"/>
      <c r="BE218" s="854"/>
      <c r="BF218" s="854"/>
      <c r="BG218" s="854"/>
      <c r="BH218" s="854"/>
      <c r="BI218" s="854"/>
      <c r="BJ218" s="854"/>
      <c r="BK218" s="854"/>
      <c r="BL218" s="854"/>
      <c r="BM218" s="854"/>
      <c r="BN218" s="1574"/>
      <c r="BO218" s="1574"/>
      <c r="BP218" s="1574"/>
      <c r="BQ218" s="1184"/>
      <c r="BR218" s="1184"/>
      <c r="BS218" s="973" t="s">
        <v>1982</v>
      </c>
      <c r="BT218" s="973"/>
      <c r="BU218" s="973"/>
      <c r="BV218" s="888"/>
      <c r="BW218" s="888"/>
    </row>
    <row r="219" spans="1:75" s="1579" customFormat="1" ht="20.25" customHeight="1" x14ac:dyDescent="0.15">
      <c r="A219" s="623"/>
      <c r="B219" s="357"/>
      <c r="C219" s="623"/>
      <c r="D219" s="623"/>
      <c r="E219" s="630">
        <v>21</v>
      </c>
      <c r="F219" s="3" t="str" cm="1">
        <f t="array" aca="1" ref="F219" ca="1">OFFSET(E219,-1,1)</f>
        <v>1</v>
      </c>
      <c r="G219" s="623"/>
      <c r="H219" s="294"/>
      <c r="I219" s="294" t="s">
        <v>1725</v>
      </c>
      <c r="J219" s="623"/>
      <c r="K219" s="294" t="s">
        <v>1725</v>
      </c>
      <c r="L219" s="894"/>
      <c r="M219" s="28"/>
      <c r="N219" s="623"/>
      <c r="O219" s="623"/>
      <c r="P219" s="623"/>
      <c r="Q219" s="77" t="s">
        <v>2200</v>
      </c>
      <c r="R219" s="80" t="s">
        <v>2200</v>
      </c>
      <c r="S219" s="623"/>
      <c r="T219" s="388" t="b" cm="1">
        <f t="array" ref="T219">T218</f>
        <v>1</v>
      </c>
      <c r="U219" s="623"/>
      <c r="V219" s="623"/>
      <c r="W219" s="623"/>
      <c r="X219" s="2032"/>
      <c r="Y219" s="623"/>
      <c r="Z219" s="2012"/>
      <c r="AA219" s="623"/>
      <c r="AB219" s="137" t="s">
        <v>1726</v>
      </c>
      <c r="AC219" s="277" t="s">
        <v>1983</v>
      </c>
      <c r="AD219" s="130" t="s">
        <v>831</v>
      </c>
      <c r="AE219" s="690">
        <f>SUM(AE220:AE221)</f>
        <v>0</v>
      </c>
      <c r="AF219" s="690">
        <f>SUM(AF220:AF221)</f>
        <v>0</v>
      </c>
      <c r="AG219" s="690">
        <f>SUM(AG220:AG221)</f>
        <v>0</v>
      </c>
      <c r="AH219" s="681">
        <f t="shared" si="47"/>
        <v>0</v>
      </c>
      <c r="AI219" s="1565">
        <f>SUM(AI220:AI221)</f>
        <v>0</v>
      </c>
      <c r="AJ219" s="1560"/>
      <c r="AK219" s="684"/>
      <c r="AL219" s="684"/>
      <c r="AM219" s="684"/>
      <c r="AN219" s="684"/>
      <c r="AO219" s="684"/>
      <c r="AP219" s="684"/>
      <c r="AQ219" s="684"/>
      <c r="AR219" s="684"/>
      <c r="AS219" s="684"/>
      <c r="AT219" s="854"/>
      <c r="AU219" s="854"/>
      <c r="AV219" s="684"/>
      <c r="AW219" s="684"/>
      <c r="AX219" s="684"/>
      <c r="AY219" s="684"/>
      <c r="AZ219" s="684"/>
      <c r="BA219" s="684"/>
      <c r="BB219" s="684"/>
      <c r="BC219" s="684"/>
      <c r="BD219" s="684"/>
      <c r="BE219" s="684"/>
      <c r="BF219" s="684"/>
      <c r="BG219" s="684"/>
      <c r="BH219" s="684"/>
      <c r="BI219" s="684"/>
      <c r="BJ219" s="684"/>
      <c r="BK219" s="684"/>
      <c r="BL219" s="684"/>
      <c r="BM219" s="684"/>
      <c r="BN219" s="1575"/>
      <c r="BO219" s="1575"/>
      <c r="BP219" s="1575"/>
      <c r="BQ219" s="623"/>
      <c r="BR219" s="623"/>
      <c r="BS219" s="979" t="s">
        <v>1984</v>
      </c>
      <c r="BT219" s="979"/>
      <c r="BU219" s="979"/>
      <c r="BV219" s="630"/>
      <c r="BW219" s="630"/>
    </row>
    <row r="220" spans="1:75" s="1334" customFormat="1" ht="14.25" hidden="1" customHeight="1" x14ac:dyDescent="0.15">
      <c r="A220" s="1184"/>
      <c r="B220" s="887"/>
      <c r="C220" s="1184"/>
      <c r="D220" s="1184"/>
      <c r="E220" s="626">
        <v>15</v>
      </c>
      <c r="F220" s="3" t="str" cm="1">
        <f t="array" aca="1" ref="F220" ca="1">OFFSET(E220,-1,1)</f>
        <v>1</v>
      </c>
      <c r="G220" s="1184"/>
      <c r="H220" s="1184"/>
      <c r="I220" s="294" t="s">
        <v>1725</v>
      </c>
      <c r="J220" s="77" cm="1">
        <f t="array" ref="J220">AC220</f>
        <v>0</v>
      </c>
      <c r="K220" s="294" t="s">
        <v>1725</v>
      </c>
      <c r="L220" s="889"/>
      <c r="M220" s="26"/>
      <c r="N220" s="1184"/>
      <c r="O220" s="1184"/>
      <c r="P220" s="1184"/>
      <c r="Q220" s="77" t="s">
        <v>2200</v>
      </c>
      <c r="R220" s="80" t="s">
        <v>2200</v>
      </c>
      <c r="S220" s="1184"/>
      <c r="T220" s="388" t="b">
        <f ca="1">AND(F220&gt;0,Y220&gt;0)</f>
        <v>0</v>
      </c>
      <c r="U220" s="1184"/>
      <c r="V220" s="1184"/>
      <c r="W220" s="77" t="s">
        <v>172</v>
      </c>
      <c r="X220" s="2032"/>
      <c r="Y220" s="77">
        <v>0</v>
      </c>
      <c r="Z220" s="2012"/>
      <c r="AA220" s="342" t="s">
        <v>173</v>
      </c>
      <c r="AB220" s="218" t="str">
        <f>"1.7."&amp;Y220</f>
        <v>1.7.0</v>
      </c>
      <c r="AC220" s="1150"/>
      <c r="AD220" s="218" t="s">
        <v>831</v>
      </c>
      <c r="AE220" s="1162"/>
      <c r="AF220" s="1162"/>
      <c r="AG220" s="1162"/>
      <c r="AH220" s="177">
        <f t="shared" si="47"/>
        <v>0</v>
      </c>
      <c r="AI220" s="1566"/>
      <c r="AJ220" s="1567"/>
      <c r="AK220" s="857"/>
      <c r="AL220" s="857"/>
      <c r="AM220" s="857"/>
      <c r="AN220" s="857"/>
      <c r="AO220" s="857"/>
      <c r="AP220" s="857"/>
      <c r="AQ220" s="857"/>
      <c r="AR220" s="857"/>
      <c r="AS220" s="857"/>
      <c r="AT220" s="854"/>
      <c r="AU220" s="857"/>
      <c r="AV220" s="857"/>
      <c r="AW220" s="857"/>
      <c r="AX220" s="857"/>
      <c r="AY220" s="857"/>
      <c r="AZ220" s="857"/>
      <c r="BA220" s="857"/>
      <c r="BB220" s="857"/>
      <c r="BC220" s="857"/>
      <c r="BD220" s="684"/>
      <c r="BE220" s="857"/>
      <c r="BF220" s="857"/>
      <c r="BG220" s="857"/>
      <c r="BH220" s="857"/>
      <c r="BI220" s="857"/>
      <c r="BJ220" s="857"/>
      <c r="BK220" s="857"/>
      <c r="BL220" s="857"/>
      <c r="BM220" s="857"/>
      <c r="BN220" s="1163"/>
      <c r="BO220" s="1163"/>
      <c r="BP220" s="1163"/>
      <c r="BQ220" s="1184"/>
      <c r="BR220" s="1184"/>
      <c r="BS220" s="973" t="s">
        <v>1984</v>
      </c>
      <c r="BT220" s="973" t="s">
        <v>1985</v>
      </c>
      <c r="BU220" s="973" cm="1">
        <f t="array" ref="BU220">AC220</f>
        <v>0</v>
      </c>
      <c r="BV220" s="888"/>
      <c r="BW220" s="626" t="b">
        <v>1</v>
      </c>
    </row>
    <row r="221" spans="1:75" s="1334" customFormat="1" ht="14.25" customHeight="1" x14ac:dyDescent="0.15">
      <c r="A221" s="1184"/>
      <c r="B221" s="887"/>
      <c r="C221" s="1184"/>
      <c r="D221" s="1184"/>
      <c r="E221" s="626">
        <v>15</v>
      </c>
      <c r="F221" s="3" t="str" cm="1">
        <f t="array" aca="1" ref="F221" ca="1">OFFSET(E221,-1,1)</f>
        <v>1</v>
      </c>
      <c r="G221" s="280"/>
      <c r="H221" s="1184"/>
      <c r="I221" s="1184"/>
      <c r="J221" s="77" t="s">
        <v>1986</v>
      </c>
      <c r="K221" s="1184"/>
      <c r="L221" s="889"/>
      <c r="M221" s="26"/>
      <c r="N221" s="1184"/>
      <c r="O221" s="1184"/>
      <c r="P221" s="1184"/>
      <c r="Q221" s="1184"/>
      <c r="R221" s="1184"/>
      <c r="S221" s="1184"/>
      <c r="T221" s="388" t="b">
        <f ca="1">F221&gt;0</f>
        <v>1</v>
      </c>
      <c r="U221" s="1184"/>
      <c r="V221" s="1184"/>
      <c r="W221" s="625" t="s">
        <v>2201</v>
      </c>
      <c r="X221" s="2032"/>
      <c r="Y221" s="1184"/>
      <c r="Z221" s="2012"/>
      <c r="AA221" s="1184"/>
      <c r="AB221" s="695"/>
      <c r="AC221" s="178" t="s">
        <v>176</v>
      </c>
      <c r="AD221" s="696"/>
      <c r="AE221" s="696"/>
      <c r="AF221" s="696"/>
      <c r="AG221" s="696"/>
      <c r="AH221" s="696"/>
      <c r="AI221" s="696"/>
      <c r="AJ221" s="696"/>
      <c r="AK221" s="696"/>
      <c r="AL221" s="696"/>
      <c r="AM221" s="696"/>
      <c r="AN221" s="696"/>
      <c r="AO221" s="696"/>
      <c r="AP221" s="696"/>
      <c r="AQ221" s="696"/>
      <c r="AR221" s="696"/>
      <c r="AS221" s="696"/>
      <c r="AT221" s="696"/>
      <c r="AU221" s="696"/>
      <c r="AV221" s="696"/>
      <c r="AW221" s="696"/>
      <c r="AX221" s="696"/>
      <c r="AY221" s="696"/>
      <c r="AZ221" s="696"/>
      <c r="BA221" s="696"/>
      <c r="BB221" s="696"/>
      <c r="BC221" s="696"/>
      <c r="BD221" s="696"/>
      <c r="BE221" s="696"/>
      <c r="BF221" s="696"/>
      <c r="BG221" s="696"/>
      <c r="BH221" s="696"/>
      <c r="BI221" s="696"/>
      <c r="BJ221" s="696"/>
      <c r="BK221" s="696"/>
      <c r="BL221" s="696"/>
      <c r="BM221" s="696"/>
      <c r="BN221" s="696"/>
      <c r="BO221" s="696"/>
      <c r="BP221" s="697"/>
      <c r="BQ221" s="1184"/>
      <c r="BR221" s="1184"/>
      <c r="BS221" s="973"/>
      <c r="BT221" s="973"/>
      <c r="BU221" s="973"/>
      <c r="BV221" s="626" t="s">
        <v>1985</v>
      </c>
      <c r="BW221" s="888"/>
    </row>
    <row r="222" spans="1:75" s="1580" customFormat="1" ht="23.25" customHeight="1" x14ac:dyDescent="0.15">
      <c r="A222" s="623"/>
      <c r="B222" s="357"/>
      <c r="C222" s="623"/>
      <c r="D222" s="623"/>
      <c r="E222" s="630">
        <v>21</v>
      </c>
      <c r="F222" s="3" t="str" cm="1">
        <f t="array" aca="1" ref="F222" ca="1">OFFSET(E222,-1,1)</f>
        <v>1</v>
      </c>
      <c r="G222" s="623"/>
      <c r="H222" s="77"/>
      <c r="I222" s="77" t="s">
        <v>332</v>
      </c>
      <c r="J222" s="623"/>
      <c r="K222" s="77" t="s">
        <v>332</v>
      </c>
      <c r="L222" s="894"/>
      <c r="M222" s="28"/>
      <c r="N222" s="623"/>
      <c r="O222" s="623"/>
      <c r="P222" s="623"/>
      <c r="Q222" s="623"/>
      <c r="R222" s="623"/>
      <c r="S222" s="623"/>
      <c r="T222" s="388" t="b" cm="1">
        <f t="array" aca="1" ref="T222" ca="1">T221</f>
        <v>1</v>
      </c>
      <c r="U222" s="623"/>
      <c r="V222" s="623"/>
      <c r="W222" s="623"/>
      <c r="X222" s="2032"/>
      <c r="Y222" s="623"/>
      <c r="Z222" s="2012"/>
      <c r="AA222" s="623"/>
      <c r="AB222" s="166" t="s">
        <v>289</v>
      </c>
      <c r="AC222" s="131" t="s">
        <v>1987</v>
      </c>
      <c r="AD222" s="153" t="s">
        <v>831</v>
      </c>
      <c r="AE222" s="132">
        <f ca="1">AE223+AE235+AE236++AE247+AE248+AE249+AE251+AE252+AE253+AE254+AE257</f>
        <v>50298.861367926693</v>
      </c>
      <c r="AF222" s="132">
        <f ca="1">AF223+AF235+AF236++AF247+AF248+AF249+AF251+AF252+AF253+AF254+AF257</f>
        <v>47291.06</v>
      </c>
      <c r="AG222" s="132">
        <f ca="1">AG223+AG235+AG236++AG247+AG248+AG249+AG251+AG252+AG253+AG254+AG257</f>
        <v>40948.89</v>
      </c>
      <c r="AH222" s="681">
        <f t="shared" ref="AH222:AH267" ca="1" si="48">AG222-AF222</f>
        <v>-6342.1699999999983</v>
      </c>
      <c r="AI222" s="690">
        <f t="shared" ref="AI222:BC222" ca="1" si="49">AI223+AI235+AI236++AI247+AI248+AI249+AI251+AI252+AI253+AI254+AI257</f>
        <v>53042.234849365304</v>
      </c>
      <c r="AJ222" s="690">
        <f t="shared" ca="1" si="49"/>
        <v>70111.149999999994</v>
      </c>
      <c r="AK222" s="690">
        <f t="shared" ca="1" si="49"/>
        <v>67698.994267453498</v>
      </c>
      <c r="AL222" s="690">
        <f t="shared" ca="1" si="49"/>
        <v>69736.180956116586</v>
      </c>
      <c r="AM222" s="690">
        <f t="shared" ca="1" si="49"/>
        <v>71697.849203776306</v>
      </c>
      <c r="AN222" s="690">
        <f t="shared" ca="1" si="49"/>
        <v>73679.429782896201</v>
      </c>
      <c r="AO222" s="690">
        <f t="shared" ca="1" si="49"/>
        <v>75719.663245087999</v>
      </c>
      <c r="AP222" s="690">
        <f t="shared" ca="1" si="49"/>
        <v>77784.147892618494</v>
      </c>
      <c r="AQ222" s="690">
        <f t="shared" ca="1" si="49"/>
        <v>0</v>
      </c>
      <c r="AR222" s="690">
        <f t="shared" ca="1" si="49"/>
        <v>0</v>
      </c>
      <c r="AS222" s="690">
        <f t="shared" ca="1" si="49"/>
        <v>0</v>
      </c>
      <c r="AT222" s="690">
        <f t="shared" ca="1" si="49"/>
        <v>44069.4</v>
      </c>
      <c r="AU222" s="690">
        <f t="shared" ca="1" si="49"/>
        <v>56454.585989582592</v>
      </c>
      <c r="AV222" s="690">
        <f t="shared" ca="1" si="49"/>
        <v>58267.920351545901</v>
      </c>
      <c r="AW222" s="690">
        <f t="shared" ca="1" si="49"/>
        <v>66551.289287923908</v>
      </c>
      <c r="AX222" s="690">
        <f t="shared" ca="1" si="49"/>
        <v>68211.169176328302</v>
      </c>
      <c r="AY222" s="690">
        <f t="shared" ca="1" si="49"/>
        <v>69913.495099353604</v>
      </c>
      <c r="AZ222" s="690">
        <f t="shared" ca="1" si="49"/>
        <v>71623.108358943704</v>
      </c>
      <c r="BA222" s="690">
        <f t="shared" ca="1" si="49"/>
        <v>0</v>
      </c>
      <c r="BB222" s="690">
        <f t="shared" ca="1" si="49"/>
        <v>0</v>
      </c>
      <c r="BC222" s="690">
        <f t="shared" ca="1" si="49"/>
        <v>0</v>
      </c>
      <c r="BD222" s="681">
        <f t="shared" ref="BD222:BD267" ca="1" si="50">IF(AI222=0,0,(AT222-AI222)/AI222*100)</f>
        <v>-16.916396669271698</v>
      </c>
      <c r="BE222" s="681">
        <f t="shared" ref="BE222:BE267" ca="1" si="51">IF(AT222=0,0,(AU222-AT222)/AT222*100)</f>
        <v>28.103822583431111</v>
      </c>
      <c r="BF222" s="681">
        <f t="shared" ref="BF222:BF267" ca="1" si="52">IF(AU222=0,0,(AV222-AU222)/AU222*100)</f>
        <v>3.2120231335996658</v>
      </c>
      <c r="BG222" s="681">
        <f t="shared" ref="BG222:BG267" ca="1" si="53">IF(AV222=0,0,(AW222-AV222)/AV222*100)</f>
        <v>14.216002367000973</v>
      </c>
      <c r="BH222" s="681">
        <f t="shared" ref="BH222:BH267" ca="1" si="54">IF(AW222=0,0,(AX222-AW222)/AW222*100)</f>
        <v>2.4941363362972262</v>
      </c>
      <c r="BI222" s="681">
        <f t="shared" ref="BI222:BI267" ca="1" si="55">IF(AX222=0,0,(AY222-AX222)/AX222*100)</f>
        <v>2.4956703478058397</v>
      </c>
      <c r="BJ222" s="681">
        <f t="shared" ref="BJ222:BJ267" ca="1" si="56">IF(AY222=0,0,(AZ222-AY222)/AY222*100)</f>
        <v>2.4453265527071415</v>
      </c>
      <c r="BK222" s="681">
        <f t="shared" ref="BK222:BK267" ca="1" si="57">IF(AZ222=0,0,(BA222-AZ222)/AZ222*100)</f>
        <v>-100</v>
      </c>
      <c r="BL222" s="681">
        <f t="shared" ref="BL222:BL267" ca="1" si="58">IF(BA222=0,0,(BB222-BA222)/BA222*100)</f>
        <v>0</v>
      </c>
      <c r="BM222" s="681">
        <f t="shared" ref="BM222:BM267" ca="1" si="59">IF(BB222=0,0,(BC222-BB222)/BB222*100)</f>
        <v>0</v>
      </c>
      <c r="BN222" s="1581"/>
      <c r="BO222" s="1581" t="s">
        <v>2203</v>
      </c>
      <c r="BP222" s="1581"/>
      <c r="BQ222" s="79"/>
      <c r="BR222" s="623"/>
      <c r="BS222" s="979" t="s">
        <v>1988</v>
      </c>
      <c r="BT222" s="979"/>
      <c r="BU222" s="979"/>
      <c r="BV222" s="630"/>
      <c r="BW222" s="630"/>
    </row>
    <row r="223" spans="1:75" s="1582" customFormat="1" ht="21.75" customHeight="1" x14ac:dyDescent="0.15">
      <c r="A223" s="623"/>
      <c r="B223" s="357"/>
      <c r="C223" s="623"/>
      <c r="D223" s="623"/>
      <c r="E223" s="630">
        <v>22.5</v>
      </c>
      <c r="F223" s="3" t="str" cm="1">
        <f t="array" aca="1" ref="F223" ca="1">OFFSET(E223,-1,1)</f>
        <v>1</v>
      </c>
      <c r="G223" s="623"/>
      <c r="H223" s="77"/>
      <c r="I223" s="77" t="s">
        <v>512</v>
      </c>
      <c r="J223" s="623"/>
      <c r="K223" s="77" t="s">
        <v>512</v>
      </c>
      <c r="L223" s="894" t="s">
        <v>498</v>
      </c>
      <c r="M223" s="28"/>
      <c r="N223" s="623"/>
      <c r="O223" s="623"/>
      <c r="P223" s="623"/>
      <c r="Q223" s="623"/>
      <c r="R223" s="623"/>
      <c r="S223" s="623"/>
      <c r="T223" s="388" t="b" cm="1">
        <f t="array" aca="1" ref="T223" ca="1">T222</f>
        <v>1</v>
      </c>
      <c r="U223" s="623"/>
      <c r="V223" s="623"/>
      <c r="W223" s="623"/>
      <c r="X223" s="2032"/>
      <c r="Y223" s="623"/>
      <c r="Z223" s="2012"/>
      <c r="AA223" s="623"/>
      <c r="AB223" s="137" t="s">
        <v>566</v>
      </c>
      <c r="AC223" s="277" t="s">
        <v>1989</v>
      </c>
      <c r="AD223" s="130" t="s">
        <v>831</v>
      </c>
      <c r="AE223" s="132">
        <f ca="1">SUM(AE224:AE234)</f>
        <v>9405.52</v>
      </c>
      <c r="AF223" s="132">
        <f ca="1">SUM(AF224:AF234)</f>
        <v>9055.64</v>
      </c>
      <c r="AG223" s="132">
        <f ca="1">SUM(AG224:AG234)</f>
        <v>7743.85</v>
      </c>
      <c r="AH223" s="681">
        <f t="shared" ca="1" si="48"/>
        <v>-1311.7899999999991</v>
      </c>
      <c r="AI223" s="132">
        <f t="shared" ref="AI223:BC223" ca="1" si="60">SUM(AI224:AI234)</f>
        <v>9866.39048</v>
      </c>
      <c r="AJ223" s="132">
        <f t="shared" ca="1" si="60"/>
        <v>10993.86</v>
      </c>
      <c r="AK223" s="132">
        <f t="shared" ca="1" si="60"/>
        <v>11577.92</v>
      </c>
      <c r="AL223" s="132">
        <f t="shared" ca="1" si="60"/>
        <v>12041.029999999999</v>
      </c>
      <c r="AM223" s="132">
        <f t="shared" ca="1" si="60"/>
        <v>12522.68</v>
      </c>
      <c r="AN223" s="132">
        <f t="shared" ca="1" si="60"/>
        <v>13023.58</v>
      </c>
      <c r="AO223" s="132">
        <f t="shared" ca="1" si="60"/>
        <v>13544.53</v>
      </c>
      <c r="AP223" s="132">
        <f t="shared" ca="1" si="60"/>
        <v>14086.31</v>
      </c>
      <c r="AQ223" s="132">
        <f t="shared" ca="1" si="60"/>
        <v>0</v>
      </c>
      <c r="AR223" s="132">
        <f t="shared" ca="1" si="60"/>
        <v>0</v>
      </c>
      <c r="AS223" s="132">
        <f t="shared" ca="1" si="60"/>
        <v>0</v>
      </c>
      <c r="AT223" s="132">
        <f t="shared" ca="1" si="60"/>
        <v>10012.23</v>
      </c>
      <c r="AU223" s="132">
        <f t="shared" ca="1" si="60"/>
        <v>10467.253660232</v>
      </c>
      <c r="AV223" s="132">
        <f t="shared" ca="1" si="60"/>
        <v>10781.271270039</v>
      </c>
      <c r="AW223" s="132">
        <f t="shared" ca="1" si="60"/>
        <v>11104.709408140099</v>
      </c>
      <c r="AX223" s="132">
        <f t="shared" ca="1" si="60"/>
        <v>11437.850690384301</v>
      </c>
      <c r="AY223" s="132">
        <f t="shared" ca="1" si="60"/>
        <v>11780.9862110959</v>
      </c>
      <c r="AZ223" s="132">
        <f t="shared" ca="1" si="60"/>
        <v>12134.415797428701</v>
      </c>
      <c r="BA223" s="132">
        <f t="shared" ca="1" si="60"/>
        <v>0</v>
      </c>
      <c r="BB223" s="132">
        <f t="shared" ca="1" si="60"/>
        <v>0</v>
      </c>
      <c r="BC223" s="132">
        <f t="shared" ca="1" si="60"/>
        <v>0</v>
      </c>
      <c r="BD223" s="681">
        <f t="shared" ca="1" si="50"/>
        <v>1.4781446193076229</v>
      </c>
      <c r="BE223" s="681">
        <f t="shared" ca="1" si="51"/>
        <v>4.5446784605627331</v>
      </c>
      <c r="BF223" s="681">
        <f t="shared" ca="1" si="52"/>
        <v>3.0000000000003872</v>
      </c>
      <c r="BG223" s="681">
        <f t="shared" ca="1" si="53"/>
        <v>2.999999999999341</v>
      </c>
      <c r="BH223" s="681">
        <f t="shared" ca="1" si="54"/>
        <v>2.999999999999988</v>
      </c>
      <c r="BI223" s="681">
        <f t="shared" ca="1" si="55"/>
        <v>3.0000000000006151</v>
      </c>
      <c r="BJ223" s="681">
        <f t="shared" ca="1" si="56"/>
        <v>2.9999999999993521</v>
      </c>
      <c r="BK223" s="681">
        <f t="shared" ca="1" si="57"/>
        <v>-100</v>
      </c>
      <c r="BL223" s="681">
        <f t="shared" ca="1" si="58"/>
        <v>0</v>
      </c>
      <c r="BM223" s="681">
        <f t="shared" ca="1" si="59"/>
        <v>0</v>
      </c>
      <c r="BN223" s="1524"/>
      <c r="BO223" s="1524"/>
      <c r="BP223" s="1524"/>
      <c r="BQ223" s="623"/>
      <c r="BR223" s="623"/>
      <c r="BS223" s="979" t="s">
        <v>1990</v>
      </c>
      <c r="BT223" s="979"/>
      <c r="BU223" s="979"/>
      <c r="BV223" s="630"/>
      <c r="BW223" s="630"/>
    </row>
    <row r="224" spans="1:75" s="1334" customFormat="1" ht="18.399999999999999" customHeight="1" x14ac:dyDescent="0.15">
      <c r="A224" s="1184"/>
      <c r="B224" s="887"/>
      <c r="C224" s="1184"/>
      <c r="D224" s="1184"/>
      <c r="E224" s="626">
        <v>15</v>
      </c>
      <c r="F224" s="3" t="str" cm="1">
        <f t="array" aca="1" ref="F224" ca="1">OFFSET(E224,-1,1)</f>
        <v>1</v>
      </c>
      <c r="G224" s="77" t="s">
        <v>1092</v>
      </c>
      <c r="H224" s="1184"/>
      <c r="I224" s="77" t="s">
        <v>1529</v>
      </c>
      <c r="J224" s="1184"/>
      <c r="K224" s="77" t="s">
        <v>1529</v>
      </c>
      <c r="L224" s="889" t="s">
        <v>1304</v>
      </c>
      <c r="M224" s="26"/>
      <c r="N224" s="1184"/>
      <c r="O224" s="1184"/>
      <c r="P224" s="1184"/>
      <c r="Q224" s="1184"/>
      <c r="R224" s="1184"/>
      <c r="S224" s="1184"/>
      <c r="T224" s="388" t="b" cm="1">
        <f t="array" aca="1" ref="T224" ca="1">T223</f>
        <v>1</v>
      </c>
      <c r="U224" s="1184"/>
      <c r="V224" s="1184"/>
      <c r="W224" s="1184"/>
      <c r="X224" s="2032"/>
      <c r="Y224" s="1184"/>
      <c r="Z224" s="2012"/>
      <c r="AA224" s="1184"/>
      <c r="AB224" s="217" t="s">
        <v>520</v>
      </c>
      <c r="AC224" s="685" t="s">
        <v>1991</v>
      </c>
      <c r="AD224" s="218" t="s">
        <v>831</v>
      </c>
      <c r="AE224" s="177">
        <f ca="1">SUMIFS(Покупка!AE$25:AE$117,Покупка!$F$25:$F$117,$F224,Покупка!$AC$25:$AC$117,$G224)</f>
        <v>9405.52</v>
      </c>
      <c r="AF224" s="177">
        <f ca="1">SUMIFS(Покупка!AF$25:AF$117,Покупка!$F$25:$F$117,$F224,Покупка!$AC$25:$AC$117,$G224)</f>
        <v>9055.64</v>
      </c>
      <c r="AG224" s="177">
        <f ca="1">SUMIFS(Покупка!AG$25:AG$117,Покупка!$F$25:$F$117,$F224,Покупка!$AC$25:$AC$117,$G224)</f>
        <v>7743.85</v>
      </c>
      <c r="AH224" s="855">
        <f t="shared" ca="1" si="48"/>
        <v>-1311.7899999999991</v>
      </c>
      <c r="AI224" s="855">
        <f ca="1">SUMIFS(Покупка!AH$25:AH$117,Покупка!$F$25:$F$117,$F224,Покупка!$AC$25:$AC$117,$G224)</f>
        <v>9866.39048</v>
      </c>
      <c r="AJ224" s="855">
        <f ca="1">SUMIFS(Покупка!AI$25:AI$117,Покупка!$F$25:$F$117,$F224,Покупка!$AC$25:$AC$117,$G224)</f>
        <v>10993.86</v>
      </c>
      <c r="AK224" s="855">
        <f ca="1">SUMIFS(Покупка!AJ$25:AJ$117,Покупка!$F$25:$F$117,$F224,Покупка!$AC$25:$AC$117,$G224)</f>
        <v>11475.68</v>
      </c>
      <c r="AL224" s="855">
        <f ca="1">SUMIFS(Покупка!AK$25:AK$117,Покупка!$F$25:$F$117,$F224,Покупка!$AC$25:$AC$117,$G224)</f>
        <v>11934.71</v>
      </c>
      <c r="AM224" s="855">
        <f ca="1">SUMIFS(Покупка!AL$25:AL$117,Покупка!$F$25:$F$117,$F224,Покупка!$AC$25:$AC$117,$G224)</f>
        <v>12412.1</v>
      </c>
      <c r="AN224" s="855">
        <f ca="1">SUMIFS(Покупка!AM$25:AM$117,Покупка!$F$25:$F$117,$F224,Покупка!$AC$25:$AC$117,$G224)</f>
        <v>12908.58</v>
      </c>
      <c r="AO224" s="855">
        <f ca="1">SUMIFS(Покупка!AN$25:AN$117,Покупка!$F$25:$F$117,$F224,Покупка!$AC$25:$AC$117,$G224)</f>
        <v>13424.93</v>
      </c>
      <c r="AP224" s="855">
        <f ca="1">SUMIFS(Покупка!AO$25:AO$117,Покупка!$F$25:$F$117,$F224,Покупка!$AC$25:$AC$117,$G224)</f>
        <v>13961.92</v>
      </c>
      <c r="AQ224" s="855">
        <f ca="1">SUMIFS(Покупка!AP$25:AP$117,Покупка!$F$25:$F$117,$F224,Покупка!$AC$25:$AC$117,$G224)</f>
        <v>0</v>
      </c>
      <c r="AR224" s="855">
        <f ca="1">SUMIFS(Покупка!AQ$25:AQ$117,Покупка!$F$25:$F$117,$F224,Покупка!$AC$25:$AC$117,$G224)</f>
        <v>0</v>
      </c>
      <c r="AS224" s="855">
        <f ca="1">SUMIFS(Покупка!AR$25:AR$117,Покупка!$F$25:$F$117,$F224,Покупка!$AC$25:$AC$117,$G224)</f>
        <v>0</v>
      </c>
      <c r="AT224" s="855">
        <f ca="1">SUMIFS(Покупка!AS$25:AS$117,Покупка!$F$25:$F$117,$F224,Покупка!$AC$25:$AC$117,$G224)</f>
        <v>10012.23</v>
      </c>
      <c r="AU224" s="855">
        <f ca="1">SUMIFS(Покупка!AT$25:AT$117,Покупка!$F$25:$F$117,$F224,Покупка!$AC$25:$AC$117,$G224)</f>
        <v>10467.253660232</v>
      </c>
      <c r="AV224" s="855">
        <f ca="1">SUMIFS(Покупка!AU$25:AU$117,Покупка!$F$25:$F$117,$F224,Покупка!$AC$25:$AC$117,$G224)</f>
        <v>10781.271270039</v>
      </c>
      <c r="AW224" s="855">
        <f ca="1">SUMIFS(Покупка!AV$25:AV$117,Покупка!$F$25:$F$117,$F224,Покупка!$AC$25:$AC$117,$G224)</f>
        <v>11104.709408140099</v>
      </c>
      <c r="AX224" s="855">
        <f ca="1">SUMIFS(Покупка!AW$25:AW$117,Покупка!$F$25:$F$117,$F224,Покупка!$AC$25:$AC$117,$G224)</f>
        <v>11437.850690384301</v>
      </c>
      <c r="AY224" s="855">
        <f ca="1">SUMIFS(Покупка!AX$25:AX$117,Покупка!$F$25:$F$117,$F224,Покупка!$AC$25:$AC$117,$G224)</f>
        <v>11780.9862110959</v>
      </c>
      <c r="AZ224" s="855">
        <f ca="1">SUMIFS(Покупка!AY$25:AY$117,Покупка!$F$25:$F$117,$F224,Покупка!$AC$25:$AC$117,$G224)</f>
        <v>12134.415797428701</v>
      </c>
      <c r="BA224" s="855">
        <f ca="1">SUMIFS(Покупка!AZ$25:AZ$117,Покупка!$F$25:$F$117,$F224,Покупка!$AC$25:$AC$117,$G224)</f>
        <v>0</v>
      </c>
      <c r="BB224" s="855">
        <f ca="1">SUMIFS(Покупка!BA$25:BA$117,Покупка!$F$25:$F$117,$F224,Покупка!$AC$25:$AC$117,$G224)</f>
        <v>0</v>
      </c>
      <c r="BC224" s="855">
        <f ca="1">SUMIFS(Покупка!BB$25:BB$117,Покупка!$F$25:$F$117,$F224,Покупка!$AC$25:$AC$117,$G224)</f>
        <v>0</v>
      </c>
      <c r="BD224" s="855">
        <f t="shared" ca="1" si="50"/>
        <v>1.4781446193076229</v>
      </c>
      <c r="BE224" s="855">
        <f t="shared" ca="1" si="51"/>
        <v>4.5446784605627331</v>
      </c>
      <c r="BF224" s="855">
        <f t="shared" ca="1" si="52"/>
        <v>3.0000000000003872</v>
      </c>
      <c r="BG224" s="855">
        <f t="shared" ca="1" si="53"/>
        <v>2.999999999999341</v>
      </c>
      <c r="BH224" s="855">
        <f t="shared" ca="1" si="54"/>
        <v>2.999999999999988</v>
      </c>
      <c r="BI224" s="855">
        <f t="shared" ca="1" si="55"/>
        <v>3.0000000000006151</v>
      </c>
      <c r="BJ224" s="855">
        <f t="shared" ca="1" si="56"/>
        <v>2.9999999999993521</v>
      </c>
      <c r="BK224" s="855">
        <f t="shared" ca="1" si="57"/>
        <v>-100</v>
      </c>
      <c r="BL224" s="855">
        <f t="shared" ca="1" si="58"/>
        <v>0</v>
      </c>
      <c r="BM224" s="855">
        <f t="shared" ca="1" si="59"/>
        <v>0</v>
      </c>
      <c r="BN224" s="1581"/>
      <c r="BO224" s="1576"/>
      <c r="BP224" s="1581" t="s">
        <v>2204</v>
      </c>
      <c r="BQ224" s="1184"/>
      <c r="BR224" s="1184"/>
      <c r="BS224" s="973" t="s">
        <v>1093</v>
      </c>
      <c r="BT224" s="973"/>
      <c r="BU224" s="973"/>
      <c r="BV224" s="888"/>
      <c r="BW224" s="888"/>
    </row>
    <row r="225" spans="1:75" s="1334" customFormat="1" ht="14.25" customHeight="1" x14ac:dyDescent="0.15">
      <c r="A225" s="1184"/>
      <c r="B225" s="15"/>
      <c r="C225" s="26"/>
      <c r="D225" s="26"/>
      <c r="E225" s="545">
        <v>15</v>
      </c>
      <c r="F225" s="3" t="str" cm="1">
        <f t="array" aca="1" ref="F225" ca="1">OFFSET(E225,-1,1)</f>
        <v>1</v>
      </c>
      <c r="G225" s="26" t="s">
        <v>1094</v>
      </c>
      <c r="H225" s="26"/>
      <c r="I225" s="26" t="s">
        <v>1533</v>
      </c>
      <c r="J225" s="26"/>
      <c r="K225" s="26" t="s">
        <v>1533</v>
      </c>
      <c r="L225" s="889" t="s">
        <v>1308</v>
      </c>
      <c r="M225" s="26"/>
      <c r="N225" s="26"/>
      <c r="O225" s="26"/>
      <c r="P225" s="26"/>
      <c r="Q225" s="26"/>
      <c r="R225" s="26"/>
      <c r="S225" s="26"/>
      <c r="T225" s="388" t="b" cm="1">
        <f t="array" aca="1" ref="T225" ca="1">T224</f>
        <v>1</v>
      </c>
      <c r="U225" s="26"/>
      <c r="V225" s="26"/>
      <c r="W225" s="1184"/>
      <c r="X225" s="2032"/>
      <c r="Y225" s="1184"/>
      <c r="Z225" s="2012"/>
      <c r="AA225" s="1184"/>
      <c r="AB225" s="217" t="s">
        <v>1992</v>
      </c>
      <c r="AC225" s="685" t="s">
        <v>1993</v>
      </c>
      <c r="AD225" s="218" t="s">
        <v>831</v>
      </c>
      <c r="AE225" s="177">
        <f ca="1">SUMIFS(Покупка!AE$25:AE$117,Покупка!$F$25:$F$117,$F225,Покупка!$AC$25:$AC$117,$G225)</f>
        <v>0</v>
      </c>
      <c r="AF225" s="177">
        <f ca="1">SUMIFS(Покупка!AF$25:AF$117,Покупка!$F$25:$F$117,$F225,Покупка!$AC$25:$AC$117,$G225)</f>
        <v>0</v>
      </c>
      <c r="AG225" s="177">
        <f ca="1">SUMIFS(Покупка!AG$25:AG$117,Покупка!$F$25:$F$117,$F225,Покупка!$AC$25:$AC$117,$G225)</f>
        <v>0</v>
      </c>
      <c r="AH225" s="855">
        <f t="shared" ca="1" si="48"/>
        <v>0</v>
      </c>
      <c r="AI225" s="855">
        <f ca="1">SUMIFS(Покупка!AH$25:AH$117,Покупка!$F$25:$F$117,$F225,Покупка!$AC$25:$AC$117,$G225)</f>
        <v>0</v>
      </c>
      <c r="AJ225" s="855">
        <f ca="1">SUMIFS(Покупка!AI$25:AI$117,Покупка!$F$25:$F$117,$F225,Покупка!$AC$25:$AC$117,$G225)</f>
        <v>0</v>
      </c>
      <c r="AK225" s="855">
        <f ca="1">SUMIFS(Покупка!AJ$25:AJ$117,Покупка!$F$25:$F$117,$F225,Покупка!$AC$25:$AC$117,$G225)</f>
        <v>0</v>
      </c>
      <c r="AL225" s="855">
        <f ca="1">SUMIFS(Покупка!AK$25:AK$117,Покупка!$F$25:$F$117,$F225,Покупка!$AC$25:$AC$117,$G225)</f>
        <v>0</v>
      </c>
      <c r="AM225" s="855">
        <f ca="1">SUMIFS(Покупка!AL$25:AL$117,Покупка!$F$25:$F$117,$F225,Покупка!$AC$25:$AC$117,$G225)</f>
        <v>0</v>
      </c>
      <c r="AN225" s="855">
        <f ca="1">SUMIFS(Покупка!AM$25:AM$117,Покупка!$F$25:$F$117,$F225,Покупка!$AC$25:$AC$117,$G225)</f>
        <v>0</v>
      </c>
      <c r="AO225" s="855">
        <f ca="1">SUMIFS(Покупка!AN$25:AN$117,Покупка!$F$25:$F$117,$F225,Покупка!$AC$25:$AC$117,$G225)</f>
        <v>0</v>
      </c>
      <c r="AP225" s="855">
        <f ca="1">SUMIFS(Покупка!AO$25:AO$117,Покупка!$F$25:$F$117,$F225,Покупка!$AC$25:$AC$117,$G225)</f>
        <v>0</v>
      </c>
      <c r="AQ225" s="855">
        <f ca="1">SUMIFS(Покупка!AP$25:AP$117,Покупка!$F$25:$F$117,$F225,Покупка!$AC$25:$AC$117,$G225)</f>
        <v>0</v>
      </c>
      <c r="AR225" s="855">
        <f ca="1">SUMIFS(Покупка!AQ$25:AQ$117,Покупка!$F$25:$F$117,$F225,Покупка!$AC$25:$AC$117,$G225)</f>
        <v>0</v>
      </c>
      <c r="AS225" s="855">
        <f ca="1">SUMIFS(Покупка!AR$25:AR$117,Покупка!$F$25:$F$117,$F225,Покупка!$AC$25:$AC$117,$G225)</f>
        <v>0</v>
      </c>
      <c r="AT225" s="855">
        <f ca="1">SUMIFS(Покупка!AS$25:AS$117,Покупка!$F$25:$F$117,$F225,Покупка!$AC$25:$AC$117,$G225)</f>
        <v>0</v>
      </c>
      <c r="AU225" s="855">
        <f ca="1">SUMIFS(Покупка!AT$25:AT$117,Покупка!$F$25:$F$117,$F225,Покупка!$AC$25:$AC$117,$G225)</f>
        <v>0</v>
      </c>
      <c r="AV225" s="855">
        <f ca="1">SUMIFS(Покупка!AU$25:AU$117,Покупка!$F$25:$F$117,$F225,Покупка!$AC$25:$AC$117,$G225)</f>
        <v>0</v>
      </c>
      <c r="AW225" s="855">
        <f ca="1">SUMIFS(Покупка!AV$25:AV$117,Покупка!$F$25:$F$117,$F225,Покупка!$AC$25:$AC$117,$G225)</f>
        <v>0</v>
      </c>
      <c r="AX225" s="855">
        <f ca="1">SUMIFS(Покупка!AW$25:AW$117,Покупка!$F$25:$F$117,$F225,Покупка!$AC$25:$AC$117,$G225)</f>
        <v>0</v>
      </c>
      <c r="AY225" s="855">
        <f ca="1">SUMIFS(Покупка!AX$25:AX$117,Покупка!$F$25:$F$117,$F225,Покупка!$AC$25:$AC$117,$G225)</f>
        <v>0</v>
      </c>
      <c r="AZ225" s="855">
        <f ca="1">SUMIFS(Покупка!AY$25:AY$117,Покупка!$F$25:$F$117,$F225,Покупка!$AC$25:$AC$117,$G225)</f>
        <v>0</v>
      </c>
      <c r="BA225" s="855">
        <f ca="1">SUMIFS(Покупка!AZ$25:AZ$117,Покупка!$F$25:$F$117,$F225,Покупка!$AC$25:$AC$117,$G225)</f>
        <v>0</v>
      </c>
      <c r="BB225" s="855">
        <f ca="1">SUMIFS(Покупка!BA$25:BA$117,Покупка!$F$25:$F$117,$F225,Покупка!$AC$25:$AC$117,$G225)</f>
        <v>0</v>
      </c>
      <c r="BC225" s="855">
        <f ca="1">SUMIFS(Покупка!BB$25:BB$117,Покупка!$F$25:$F$117,$F225,Покупка!$AC$25:$AC$117,$G225)</f>
        <v>0</v>
      </c>
      <c r="BD225" s="855">
        <f t="shared" ca="1" si="50"/>
        <v>0</v>
      </c>
      <c r="BE225" s="855">
        <f t="shared" ca="1" si="51"/>
        <v>0</v>
      </c>
      <c r="BF225" s="855">
        <f t="shared" ca="1" si="52"/>
        <v>0</v>
      </c>
      <c r="BG225" s="855">
        <f t="shared" ca="1" si="53"/>
        <v>0</v>
      </c>
      <c r="BH225" s="855">
        <f t="shared" ca="1" si="54"/>
        <v>0</v>
      </c>
      <c r="BI225" s="855">
        <f t="shared" ca="1" si="55"/>
        <v>0</v>
      </c>
      <c r="BJ225" s="855">
        <f t="shared" ca="1" si="56"/>
        <v>0</v>
      </c>
      <c r="BK225" s="855">
        <f t="shared" ca="1" si="57"/>
        <v>0</v>
      </c>
      <c r="BL225" s="855">
        <f t="shared" ca="1" si="58"/>
        <v>0</v>
      </c>
      <c r="BM225" s="855">
        <f t="shared" ca="1" si="59"/>
        <v>0</v>
      </c>
      <c r="BN225" s="1581"/>
      <c r="BO225" s="1576"/>
      <c r="BP225" s="1581"/>
      <c r="BQ225" s="1184"/>
      <c r="BR225" s="1184"/>
      <c r="BS225" s="973" t="s">
        <v>1095</v>
      </c>
      <c r="BT225" s="973"/>
      <c r="BU225" s="973"/>
      <c r="BV225" s="888"/>
      <c r="BW225" s="888"/>
    </row>
    <row r="226" spans="1:75" s="1334" customFormat="1" ht="14.25" customHeight="1" x14ac:dyDescent="0.15">
      <c r="A226" s="1184"/>
      <c r="B226" s="15"/>
      <c r="C226" s="26"/>
      <c r="D226" s="26"/>
      <c r="E226" s="545">
        <v>15</v>
      </c>
      <c r="F226" s="3" t="str" cm="1">
        <f t="array" aca="1" ref="F226" ca="1">OFFSET(E226,-1,1)</f>
        <v>1</v>
      </c>
      <c r="G226" s="26" t="s">
        <v>1069</v>
      </c>
      <c r="H226" s="26"/>
      <c r="I226" s="26" t="s">
        <v>1625</v>
      </c>
      <c r="J226" s="26"/>
      <c r="K226" s="26" t="s">
        <v>1625</v>
      </c>
      <c r="L226" s="889" t="s">
        <v>1478</v>
      </c>
      <c r="M226" s="26"/>
      <c r="N226" s="26"/>
      <c r="O226" s="26"/>
      <c r="P226" s="26"/>
      <c r="Q226" s="26"/>
      <c r="R226" s="26"/>
      <c r="S226" s="26"/>
      <c r="T226" s="388" t="b" cm="1">
        <f t="array" aca="1" ref="T226" ca="1">T225</f>
        <v>1</v>
      </c>
      <c r="U226" s="26"/>
      <c r="V226" s="26"/>
      <c r="W226" s="1184"/>
      <c r="X226" s="2032"/>
      <c r="Y226" s="1184"/>
      <c r="Z226" s="2012"/>
      <c r="AA226" s="1184"/>
      <c r="AB226" s="217" t="s">
        <v>1994</v>
      </c>
      <c r="AC226" s="685" t="s">
        <v>1995</v>
      </c>
      <c r="AD226" s="218" t="s">
        <v>831</v>
      </c>
      <c r="AE226" s="177">
        <f ca="1">SUMIFS(Покупка!AE$25:AE$117,Покупка!$F$25:$F$117,$F226,Покупка!$AC$25:$AC$117,$G226)</f>
        <v>0</v>
      </c>
      <c r="AF226" s="177">
        <f ca="1">SUMIFS(Покупка!AF$25:AF$117,Покупка!$F$25:$F$117,$F226,Покупка!$AC$25:$AC$117,$G226)</f>
        <v>0</v>
      </c>
      <c r="AG226" s="177">
        <f ca="1">SUMIFS(Покупка!AG$25:AG$117,Покупка!$F$25:$F$117,$F226,Покупка!$AC$25:$AC$117,$G226)</f>
        <v>0</v>
      </c>
      <c r="AH226" s="855">
        <f t="shared" ca="1" si="48"/>
        <v>0</v>
      </c>
      <c r="AI226" s="855">
        <f ca="1">SUMIFS(Покупка!AH$25:AH$117,Покупка!$F$25:$F$117,$F226,Покупка!$AC$25:$AC$117,$G226)</f>
        <v>0</v>
      </c>
      <c r="AJ226" s="855">
        <f ca="1">SUMIFS(Покупка!AI$25:AI$117,Покупка!$F$25:$F$117,$F226,Покупка!$AC$25:$AC$117,$G226)</f>
        <v>0</v>
      </c>
      <c r="AK226" s="855">
        <f ca="1">SUMIFS(Покупка!AJ$25:AJ$117,Покупка!$F$25:$F$117,$F226,Покупка!$AC$25:$AC$117,$G226)</f>
        <v>0</v>
      </c>
      <c r="AL226" s="855">
        <f ca="1">SUMIFS(Покупка!AK$25:AK$117,Покупка!$F$25:$F$117,$F226,Покупка!$AC$25:$AC$117,$G226)</f>
        <v>0</v>
      </c>
      <c r="AM226" s="855">
        <f ca="1">SUMIFS(Покупка!AL$25:AL$117,Покупка!$F$25:$F$117,$F226,Покупка!$AC$25:$AC$117,$G226)</f>
        <v>0</v>
      </c>
      <c r="AN226" s="855">
        <f ca="1">SUMIFS(Покупка!AM$25:AM$117,Покупка!$F$25:$F$117,$F226,Покупка!$AC$25:$AC$117,$G226)</f>
        <v>0</v>
      </c>
      <c r="AO226" s="855">
        <f ca="1">SUMIFS(Покупка!AN$25:AN$117,Покупка!$F$25:$F$117,$F226,Покупка!$AC$25:$AC$117,$G226)</f>
        <v>0</v>
      </c>
      <c r="AP226" s="855">
        <f ca="1">SUMIFS(Покупка!AO$25:AO$117,Покупка!$F$25:$F$117,$F226,Покупка!$AC$25:$AC$117,$G226)</f>
        <v>0</v>
      </c>
      <c r="AQ226" s="855">
        <f ca="1">SUMIFS(Покупка!AP$25:AP$117,Покупка!$F$25:$F$117,$F226,Покупка!$AC$25:$AC$117,$G226)</f>
        <v>0</v>
      </c>
      <c r="AR226" s="855">
        <f ca="1">SUMIFS(Покупка!AQ$25:AQ$117,Покупка!$F$25:$F$117,$F226,Покупка!$AC$25:$AC$117,$G226)</f>
        <v>0</v>
      </c>
      <c r="AS226" s="855">
        <f ca="1">SUMIFS(Покупка!AR$25:AR$117,Покупка!$F$25:$F$117,$F226,Покупка!$AC$25:$AC$117,$G226)</f>
        <v>0</v>
      </c>
      <c r="AT226" s="855">
        <f ca="1">SUMIFS(Покупка!AS$25:AS$117,Покупка!$F$25:$F$117,$F226,Покупка!$AC$25:$AC$117,$G226)</f>
        <v>0</v>
      </c>
      <c r="AU226" s="855">
        <f ca="1">SUMIFS(Покупка!AT$25:AT$117,Покупка!$F$25:$F$117,$F226,Покупка!$AC$25:$AC$117,$G226)</f>
        <v>0</v>
      </c>
      <c r="AV226" s="855">
        <f ca="1">SUMIFS(Покупка!AU$25:AU$117,Покупка!$F$25:$F$117,$F226,Покупка!$AC$25:$AC$117,$G226)</f>
        <v>0</v>
      </c>
      <c r="AW226" s="855">
        <f ca="1">SUMIFS(Покупка!AV$25:AV$117,Покупка!$F$25:$F$117,$F226,Покупка!$AC$25:$AC$117,$G226)</f>
        <v>0</v>
      </c>
      <c r="AX226" s="855">
        <f ca="1">SUMIFS(Покупка!AW$25:AW$117,Покупка!$F$25:$F$117,$F226,Покупка!$AC$25:$AC$117,$G226)</f>
        <v>0</v>
      </c>
      <c r="AY226" s="855">
        <f ca="1">SUMIFS(Покупка!AX$25:AX$117,Покупка!$F$25:$F$117,$F226,Покупка!$AC$25:$AC$117,$G226)</f>
        <v>0</v>
      </c>
      <c r="AZ226" s="855">
        <f ca="1">SUMIFS(Покупка!AY$25:AY$117,Покупка!$F$25:$F$117,$F226,Покупка!$AC$25:$AC$117,$G226)</f>
        <v>0</v>
      </c>
      <c r="BA226" s="855">
        <f ca="1">SUMIFS(Покупка!AZ$25:AZ$117,Покупка!$F$25:$F$117,$F226,Покупка!$AC$25:$AC$117,$G226)</f>
        <v>0</v>
      </c>
      <c r="BB226" s="855">
        <f ca="1">SUMIFS(Покупка!BA$25:BA$117,Покупка!$F$25:$F$117,$F226,Покупка!$AC$25:$AC$117,$G226)</f>
        <v>0</v>
      </c>
      <c r="BC226" s="855">
        <f ca="1">SUMIFS(Покупка!BB$25:BB$117,Покупка!$F$25:$F$117,$F226,Покупка!$AC$25:$AC$117,$G226)</f>
        <v>0</v>
      </c>
      <c r="BD226" s="855">
        <f t="shared" ca="1" si="50"/>
        <v>0</v>
      </c>
      <c r="BE226" s="855">
        <f t="shared" ca="1" si="51"/>
        <v>0</v>
      </c>
      <c r="BF226" s="855">
        <f t="shared" ca="1" si="52"/>
        <v>0</v>
      </c>
      <c r="BG226" s="855">
        <f t="shared" ca="1" si="53"/>
        <v>0</v>
      </c>
      <c r="BH226" s="855">
        <f t="shared" ca="1" si="54"/>
        <v>0</v>
      </c>
      <c r="BI226" s="855">
        <f t="shared" ca="1" si="55"/>
        <v>0</v>
      </c>
      <c r="BJ226" s="855">
        <f t="shared" ca="1" si="56"/>
        <v>0</v>
      </c>
      <c r="BK226" s="855">
        <f t="shared" ca="1" si="57"/>
        <v>0</v>
      </c>
      <c r="BL226" s="855">
        <f t="shared" ca="1" si="58"/>
        <v>0</v>
      </c>
      <c r="BM226" s="855">
        <f t="shared" ca="1" si="59"/>
        <v>0</v>
      </c>
      <c r="BN226" s="1581"/>
      <c r="BO226" s="1576" t="str">
        <f ca="1">IF(IFERROR(INDEX(Покупка!$K$26:$L$117,MATCH($F226&amp;"2komm",Покупка!$K$26:$K$117,0),2),"")=0,"",IFERROR(INDEX(Покупка!$K$26:$L$117,MATCH($F226&amp;"2komm",Покупка!$K$26:$K$117,0),2),""))</f>
        <v/>
      </c>
      <c r="BP226" s="1581"/>
      <c r="BQ226" s="1184"/>
      <c r="BR226" s="1184"/>
      <c r="BS226" s="973" t="s">
        <v>1996</v>
      </c>
      <c r="BT226" s="973"/>
      <c r="BU226" s="973"/>
      <c r="BV226" s="888"/>
      <c r="BW226" s="888"/>
    </row>
    <row r="227" spans="1:75" s="1334" customFormat="1" ht="14.25" customHeight="1" x14ac:dyDescent="0.15">
      <c r="A227" s="1184"/>
      <c r="B227" s="15"/>
      <c r="C227" s="26"/>
      <c r="D227" s="26"/>
      <c r="E227" s="545">
        <v>15</v>
      </c>
      <c r="F227" s="3" t="str" cm="1">
        <f t="array" aca="1" ref="F227" ca="1">OFFSET(E227,-1,1)</f>
        <v>1</v>
      </c>
      <c r="G227" s="26" t="s">
        <v>1060</v>
      </c>
      <c r="H227" s="26"/>
      <c r="I227" s="26" t="s">
        <v>1627</v>
      </c>
      <c r="J227" s="26"/>
      <c r="K227" s="26" t="s">
        <v>1627</v>
      </c>
      <c r="L227" s="889" t="s">
        <v>1473</v>
      </c>
      <c r="M227" s="26"/>
      <c r="N227" s="26"/>
      <c r="O227" s="26"/>
      <c r="P227" s="26"/>
      <c r="Q227" s="26"/>
      <c r="R227" s="26"/>
      <c r="S227" s="26"/>
      <c r="T227" s="388" t="b" cm="1">
        <f t="array" aca="1" ref="T227" ca="1">T226</f>
        <v>1</v>
      </c>
      <c r="U227" s="26"/>
      <c r="V227" s="26"/>
      <c r="W227" s="1184"/>
      <c r="X227" s="2032"/>
      <c r="Y227" s="1184"/>
      <c r="Z227" s="2012"/>
      <c r="AA227" s="1184"/>
      <c r="AB227" s="217" t="s">
        <v>1997</v>
      </c>
      <c r="AC227" s="685" t="s">
        <v>1998</v>
      </c>
      <c r="AD227" s="218" t="s">
        <v>831</v>
      </c>
      <c r="AE227" s="177">
        <f ca="1">SUMIFS(Покупка!AE$25:AE$117,Покупка!$F$25:$F$117,$F227,Покупка!$AC$25:$AC$117,$G227)</f>
        <v>0</v>
      </c>
      <c r="AF227" s="177">
        <f ca="1">SUMIFS(Покупка!AF$25:AF$117,Покупка!$F$25:$F$117,$F227,Покупка!$AC$25:$AC$117,$G227)</f>
        <v>0</v>
      </c>
      <c r="AG227" s="177">
        <f ca="1">SUMIFS(Покупка!AG$25:AG$117,Покупка!$F$25:$F$117,$F227,Покупка!$AC$25:$AC$117,$G227)</f>
        <v>0</v>
      </c>
      <c r="AH227" s="855">
        <f t="shared" ca="1" si="48"/>
        <v>0</v>
      </c>
      <c r="AI227" s="855">
        <f ca="1">SUMIFS(Покупка!AH$25:AH$117,Покупка!$F$25:$F$117,$F227,Покупка!$AC$25:$AC$117,$G227)</f>
        <v>0</v>
      </c>
      <c r="AJ227" s="855">
        <f ca="1">SUMIFS(Покупка!AI$25:AI$117,Покупка!$F$25:$F$117,$F227,Покупка!$AC$25:$AC$117,$G227)</f>
        <v>0</v>
      </c>
      <c r="AK227" s="855">
        <f ca="1">SUMIFS(Покупка!AJ$25:AJ$117,Покупка!$F$25:$F$117,$F227,Покупка!$AC$25:$AC$117,$G227)</f>
        <v>0</v>
      </c>
      <c r="AL227" s="855">
        <f ca="1">SUMIFS(Покупка!AK$25:AK$117,Покупка!$F$25:$F$117,$F227,Покупка!$AC$25:$AC$117,$G227)</f>
        <v>0</v>
      </c>
      <c r="AM227" s="855">
        <f ca="1">SUMIFS(Покупка!AL$25:AL$117,Покупка!$F$25:$F$117,$F227,Покупка!$AC$25:$AC$117,$G227)</f>
        <v>0</v>
      </c>
      <c r="AN227" s="855">
        <f ca="1">SUMIFS(Покупка!AM$25:AM$117,Покупка!$F$25:$F$117,$F227,Покупка!$AC$25:$AC$117,$G227)</f>
        <v>0</v>
      </c>
      <c r="AO227" s="855">
        <f ca="1">SUMIFS(Покупка!AN$25:AN$117,Покупка!$F$25:$F$117,$F227,Покупка!$AC$25:$AC$117,$G227)</f>
        <v>0</v>
      </c>
      <c r="AP227" s="855">
        <f ca="1">SUMIFS(Покупка!AO$25:AO$117,Покупка!$F$25:$F$117,$F227,Покупка!$AC$25:$AC$117,$G227)</f>
        <v>0</v>
      </c>
      <c r="AQ227" s="855">
        <f ca="1">SUMIFS(Покупка!AP$25:AP$117,Покупка!$F$25:$F$117,$F227,Покупка!$AC$25:$AC$117,$G227)</f>
        <v>0</v>
      </c>
      <c r="AR227" s="855">
        <f ca="1">SUMIFS(Покупка!AQ$25:AQ$117,Покупка!$F$25:$F$117,$F227,Покупка!$AC$25:$AC$117,$G227)</f>
        <v>0</v>
      </c>
      <c r="AS227" s="855">
        <f ca="1">SUMIFS(Покупка!AR$25:AR$117,Покупка!$F$25:$F$117,$F227,Покупка!$AC$25:$AC$117,$G227)</f>
        <v>0</v>
      </c>
      <c r="AT227" s="855">
        <f ca="1">SUMIFS(Покупка!AS$25:AS$117,Покупка!$F$25:$F$117,$F227,Покупка!$AC$25:$AC$117,$G227)</f>
        <v>0</v>
      </c>
      <c r="AU227" s="855">
        <f ca="1">SUMIFS(Покупка!AT$25:AT$117,Покупка!$F$25:$F$117,$F227,Покупка!$AC$25:$AC$117,$G227)</f>
        <v>0</v>
      </c>
      <c r="AV227" s="855">
        <f ca="1">SUMIFS(Покупка!AU$25:AU$117,Покупка!$F$25:$F$117,$F227,Покупка!$AC$25:$AC$117,$G227)</f>
        <v>0</v>
      </c>
      <c r="AW227" s="855">
        <f ca="1">SUMIFS(Покупка!AV$25:AV$117,Покупка!$F$25:$F$117,$F227,Покупка!$AC$25:$AC$117,$G227)</f>
        <v>0</v>
      </c>
      <c r="AX227" s="855">
        <f ca="1">SUMIFS(Покупка!AW$25:AW$117,Покупка!$F$25:$F$117,$F227,Покупка!$AC$25:$AC$117,$G227)</f>
        <v>0</v>
      </c>
      <c r="AY227" s="855">
        <f ca="1">SUMIFS(Покупка!AX$25:AX$117,Покупка!$F$25:$F$117,$F227,Покупка!$AC$25:$AC$117,$G227)</f>
        <v>0</v>
      </c>
      <c r="AZ227" s="855">
        <f ca="1">SUMIFS(Покупка!AY$25:AY$117,Покупка!$F$25:$F$117,$F227,Покупка!$AC$25:$AC$117,$G227)</f>
        <v>0</v>
      </c>
      <c r="BA227" s="855">
        <f ca="1">SUMIFS(Покупка!AZ$25:AZ$117,Покупка!$F$25:$F$117,$F227,Покупка!$AC$25:$AC$117,$G227)</f>
        <v>0</v>
      </c>
      <c r="BB227" s="855">
        <f ca="1">SUMIFS(Покупка!BA$25:BA$117,Покупка!$F$25:$F$117,$F227,Покупка!$AC$25:$AC$117,$G227)</f>
        <v>0</v>
      </c>
      <c r="BC227" s="855">
        <f ca="1">SUMIFS(Покупка!BB$25:BB$117,Покупка!$F$25:$F$117,$F227,Покупка!$AC$25:$AC$117,$G227)</f>
        <v>0</v>
      </c>
      <c r="BD227" s="855">
        <f t="shared" ca="1" si="50"/>
        <v>0</v>
      </c>
      <c r="BE227" s="855">
        <f t="shared" ca="1" si="51"/>
        <v>0</v>
      </c>
      <c r="BF227" s="855">
        <f t="shared" ca="1" si="52"/>
        <v>0</v>
      </c>
      <c r="BG227" s="855">
        <f t="shared" ca="1" si="53"/>
        <v>0</v>
      </c>
      <c r="BH227" s="855">
        <f t="shared" ca="1" si="54"/>
        <v>0</v>
      </c>
      <c r="BI227" s="855">
        <f t="shared" ca="1" si="55"/>
        <v>0</v>
      </c>
      <c r="BJ227" s="855">
        <f t="shared" ca="1" si="56"/>
        <v>0</v>
      </c>
      <c r="BK227" s="855">
        <f t="shared" ca="1" si="57"/>
        <v>0</v>
      </c>
      <c r="BL227" s="855">
        <f t="shared" ca="1" si="58"/>
        <v>0</v>
      </c>
      <c r="BM227" s="855">
        <f t="shared" ca="1" si="59"/>
        <v>0</v>
      </c>
      <c r="BN227" s="1581"/>
      <c r="BO227" s="1576" t="str">
        <f ca="1">IF(IFERROR(INDEX(Покупка!$K$26:$L$117,MATCH($F227&amp;"1komm",Покупка!$K$26:$K$117,0),2),"")=0,"",IFERROR(INDEX(Покупка!$K$26:$L$117,MATCH($F227&amp;"1komm",Покупка!$K$26:$K$117,0),2),""))</f>
        <v/>
      </c>
      <c r="BP227" s="1581"/>
      <c r="BQ227" s="1184"/>
      <c r="BR227" s="1184"/>
      <c r="BS227" s="973" t="s">
        <v>1999</v>
      </c>
      <c r="BT227" s="973"/>
      <c r="BU227" s="973"/>
      <c r="BV227" s="888"/>
      <c r="BW227" s="888"/>
    </row>
    <row r="228" spans="1:75" s="1334" customFormat="1" ht="14.25" customHeight="1" x14ac:dyDescent="0.15">
      <c r="A228" s="1184"/>
      <c r="B228" s="15"/>
      <c r="C228" s="26"/>
      <c r="D228" s="26"/>
      <c r="E228" s="545">
        <v>15</v>
      </c>
      <c r="F228" s="3" t="str" cm="1">
        <f t="array" aca="1" ref="F228" ca="1">OFFSET(E228,-1,1)</f>
        <v>1</v>
      </c>
      <c r="G228" s="26" t="s">
        <v>1096</v>
      </c>
      <c r="H228" s="26"/>
      <c r="I228" s="26" t="s">
        <v>1630</v>
      </c>
      <c r="J228" s="26"/>
      <c r="K228" s="26" t="s">
        <v>1630</v>
      </c>
      <c r="L228" s="889"/>
      <c r="M228" s="26"/>
      <c r="N228" s="26"/>
      <c r="O228" s="26"/>
      <c r="P228" s="26"/>
      <c r="Q228" s="26"/>
      <c r="R228" s="26"/>
      <c r="S228" s="26"/>
      <c r="T228" s="388" t="b" cm="1">
        <f t="array" aca="1" ref="T228" ca="1">T227</f>
        <v>1</v>
      </c>
      <c r="U228" s="26"/>
      <c r="V228" s="26"/>
      <c r="W228" s="1184"/>
      <c r="X228" s="2032"/>
      <c r="Y228" s="1184"/>
      <c r="Z228" s="2012"/>
      <c r="AA228" s="1184"/>
      <c r="AB228" s="217" t="s">
        <v>2000</v>
      </c>
      <c r="AC228" s="685" t="s">
        <v>2001</v>
      </c>
      <c r="AD228" s="218" t="s">
        <v>831</v>
      </c>
      <c r="AE228" s="177">
        <f ca="1">SUMIFS(Покупка!AE$25:AE$117,Покупка!$F$25:$F$117,$F228,Покупка!$AC$25:$AC$117,$G228)</f>
        <v>0</v>
      </c>
      <c r="AF228" s="177">
        <f ca="1">SUMIFS(Покупка!AF$25:AF$117,Покупка!$F$25:$F$117,$F228,Покупка!$AC$25:$AC$117,$G228)</f>
        <v>0</v>
      </c>
      <c r="AG228" s="177">
        <f ca="1">SUMIFS(Покупка!AG$25:AG$117,Покупка!$F$25:$F$117,$F228,Покупка!$AC$25:$AC$117,$G228)</f>
        <v>0</v>
      </c>
      <c r="AH228" s="855">
        <f t="shared" ca="1" si="48"/>
        <v>0</v>
      </c>
      <c r="AI228" s="855">
        <f ca="1">SUMIFS(Покупка!AH$25:AH$117,Покупка!$F$25:$F$117,$F228,Покупка!$AC$25:$AC$117,$G228)</f>
        <v>0</v>
      </c>
      <c r="AJ228" s="855">
        <f ca="1">SUMIFS(Покупка!AI$25:AI$117,Покупка!$F$25:$F$117,$F228,Покупка!$AC$25:$AC$117,$G228)</f>
        <v>0</v>
      </c>
      <c r="AK228" s="855">
        <f ca="1">SUMIFS(Покупка!AJ$25:AJ$117,Покупка!$F$25:$F$117,$F228,Покупка!$AC$25:$AC$117,$G228)</f>
        <v>102.24</v>
      </c>
      <c r="AL228" s="855">
        <f ca="1">SUMIFS(Покупка!AK$25:AK$117,Покупка!$F$25:$F$117,$F228,Покупка!$AC$25:$AC$117,$G228)</f>
        <v>106.32</v>
      </c>
      <c r="AM228" s="855">
        <f ca="1">SUMIFS(Покупка!AL$25:AL$117,Покупка!$F$25:$F$117,$F228,Покупка!$AC$25:$AC$117,$G228)</f>
        <v>110.58</v>
      </c>
      <c r="AN228" s="855">
        <f ca="1">SUMIFS(Покупка!AM$25:AM$117,Покупка!$F$25:$F$117,$F228,Покупка!$AC$25:$AC$117,$G228)</f>
        <v>115</v>
      </c>
      <c r="AO228" s="855">
        <f ca="1">SUMIFS(Покупка!AN$25:AN$117,Покупка!$F$25:$F$117,$F228,Покупка!$AC$25:$AC$117,$G228)</f>
        <v>119.6</v>
      </c>
      <c r="AP228" s="855">
        <f ca="1">SUMIFS(Покупка!AO$25:AO$117,Покупка!$F$25:$F$117,$F228,Покупка!$AC$25:$AC$117,$G228)</f>
        <v>124.39</v>
      </c>
      <c r="AQ228" s="855">
        <f ca="1">SUMIFS(Покупка!AP$25:AP$117,Покупка!$F$25:$F$117,$F228,Покупка!$AC$25:$AC$117,$G228)</f>
        <v>0</v>
      </c>
      <c r="AR228" s="855">
        <f ca="1">SUMIFS(Покупка!AQ$25:AQ$117,Покупка!$F$25:$F$117,$F228,Покупка!$AC$25:$AC$117,$G228)</f>
        <v>0</v>
      </c>
      <c r="AS228" s="855">
        <f ca="1">SUMIFS(Покупка!AR$25:AR$117,Покупка!$F$25:$F$117,$F228,Покупка!$AC$25:$AC$117,$G228)</f>
        <v>0</v>
      </c>
      <c r="AT228" s="855">
        <f ca="1">SUMIFS(Покупка!AS$25:AS$117,Покупка!$F$25:$F$117,$F228,Покупка!$AC$25:$AC$117,$G228)</f>
        <v>0</v>
      </c>
      <c r="AU228" s="855">
        <f ca="1">SUMIFS(Покупка!AT$25:AT$117,Покупка!$F$25:$F$117,$F228,Покупка!$AC$25:$AC$117,$G228)</f>
        <v>0</v>
      </c>
      <c r="AV228" s="855">
        <f ca="1">SUMIFS(Покупка!AU$25:AU$117,Покупка!$F$25:$F$117,$F228,Покупка!$AC$25:$AC$117,$G228)</f>
        <v>0</v>
      </c>
      <c r="AW228" s="855">
        <f ca="1">SUMIFS(Покупка!AV$25:AV$117,Покупка!$F$25:$F$117,$F228,Покупка!$AC$25:$AC$117,$G228)</f>
        <v>0</v>
      </c>
      <c r="AX228" s="855">
        <f ca="1">SUMIFS(Покупка!AW$25:AW$117,Покупка!$F$25:$F$117,$F228,Покупка!$AC$25:$AC$117,$G228)</f>
        <v>0</v>
      </c>
      <c r="AY228" s="855">
        <f ca="1">SUMIFS(Покупка!AX$25:AX$117,Покупка!$F$25:$F$117,$F228,Покупка!$AC$25:$AC$117,$G228)</f>
        <v>0</v>
      </c>
      <c r="AZ228" s="855">
        <f ca="1">SUMIFS(Покупка!AY$25:AY$117,Покупка!$F$25:$F$117,$F228,Покупка!$AC$25:$AC$117,$G228)</f>
        <v>0</v>
      </c>
      <c r="BA228" s="855">
        <f ca="1">SUMIFS(Покупка!AZ$25:AZ$117,Покупка!$F$25:$F$117,$F228,Покупка!$AC$25:$AC$117,$G228)</f>
        <v>0</v>
      </c>
      <c r="BB228" s="855">
        <f ca="1">SUMIFS(Покупка!BA$25:BA$117,Покупка!$F$25:$F$117,$F228,Покупка!$AC$25:$AC$117,$G228)</f>
        <v>0</v>
      </c>
      <c r="BC228" s="855">
        <f ca="1">SUMIFS(Покупка!BB$25:BB$117,Покупка!$F$25:$F$117,$F228,Покупка!$AC$25:$AC$117,$G228)</f>
        <v>0</v>
      </c>
      <c r="BD228" s="855">
        <f t="shared" ca="1" si="50"/>
        <v>0</v>
      </c>
      <c r="BE228" s="855">
        <f t="shared" ca="1" si="51"/>
        <v>0</v>
      </c>
      <c r="BF228" s="855">
        <f t="shared" ca="1" si="52"/>
        <v>0</v>
      </c>
      <c r="BG228" s="855">
        <f t="shared" ca="1" si="53"/>
        <v>0</v>
      </c>
      <c r="BH228" s="855">
        <f t="shared" ca="1" si="54"/>
        <v>0</v>
      </c>
      <c r="BI228" s="855">
        <f t="shared" ca="1" si="55"/>
        <v>0</v>
      </c>
      <c r="BJ228" s="855">
        <f t="shared" ca="1" si="56"/>
        <v>0</v>
      </c>
      <c r="BK228" s="855">
        <f t="shared" ca="1" si="57"/>
        <v>0</v>
      </c>
      <c r="BL228" s="855">
        <f t="shared" ca="1" si="58"/>
        <v>0</v>
      </c>
      <c r="BM228" s="855">
        <f t="shared" ca="1" si="59"/>
        <v>0</v>
      </c>
      <c r="BN228" s="1581"/>
      <c r="BO228" s="1576" t="str">
        <f ca="1">IF(IFERROR(INDEX(Покупка!$K$26:$L$117,MATCH($F228&amp;"8komm",Покупка!$K$26:$K$117,0),2),"")=0,"",IFERROR(INDEX(Покупка!$K$26:$L$117,MATCH($F228&amp;"8komm",Покупка!$K$26:$K$117,0),2),""))</f>
        <v/>
      </c>
      <c r="BP228" s="1581"/>
      <c r="BQ228" s="1184"/>
      <c r="BR228" s="1184"/>
      <c r="BS228" s="973" t="s">
        <v>1097</v>
      </c>
      <c r="BT228" s="973"/>
      <c r="BU228" s="973"/>
      <c r="BV228" s="888"/>
      <c r="BW228" s="888"/>
    </row>
    <row r="229" spans="1:75" s="1334" customFormat="1" ht="14.25" customHeight="1" x14ac:dyDescent="0.15">
      <c r="A229" s="1184"/>
      <c r="B229" s="15"/>
      <c r="C229" s="26"/>
      <c r="D229" s="26"/>
      <c r="E229" s="545">
        <v>15</v>
      </c>
      <c r="F229" s="3" t="str" cm="1">
        <f t="array" aca="1" ref="F229" ca="1">OFFSET(E229,-1,1)</f>
        <v>1</v>
      </c>
      <c r="G229" s="26"/>
      <c r="H229" s="26"/>
      <c r="I229" s="26" t="s">
        <v>2002</v>
      </c>
      <c r="J229" s="26"/>
      <c r="K229" s="26" t="s">
        <v>2002</v>
      </c>
      <c r="L229" s="889"/>
      <c r="M229" s="26"/>
      <c r="N229" s="26"/>
      <c r="O229" s="26"/>
      <c r="P229" s="26"/>
      <c r="Q229" s="26"/>
      <c r="R229" s="26"/>
      <c r="S229" s="26"/>
      <c r="T229" s="388" t="b" cm="1">
        <f t="array" aca="1" ref="T229" ca="1">T228</f>
        <v>1</v>
      </c>
      <c r="U229" s="26"/>
      <c r="V229" s="26"/>
      <c r="W229" s="1184"/>
      <c r="X229" s="2032"/>
      <c r="Y229" s="1184"/>
      <c r="Z229" s="2012"/>
      <c r="AA229" s="1184"/>
      <c r="AB229" s="217" t="s">
        <v>2003</v>
      </c>
      <c r="AC229" s="685" t="s">
        <v>2004</v>
      </c>
      <c r="AD229" s="218" t="s">
        <v>831</v>
      </c>
      <c r="AE229" s="1567"/>
      <c r="AF229" s="1567"/>
      <c r="AG229" s="1567"/>
      <c r="AH229" s="855">
        <f t="shared" si="48"/>
        <v>0</v>
      </c>
      <c r="AI229" s="1568"/>
      <c r="AJ229" s="1568"/>
      <c r="AK229" s="1160"/>
      <c r="AL229" s="1160"/>
      <c r="AM229" s="1160"/>
      <c r="AN229" s="1160"/>
      <c r="AO229" s="1160"/>
      <c r="AP229" s="1160"/>
      <c r="AQ229" s="1568"/>
      <c r="AR229" s="1568"/>
      <c r="AS229" s="1568"/>
      <c r="AT229" s="1568"/>
      <c r="AU229" s="1160"/>
      <c r="AV229" s="1160"/>
      <c r="AW229" s="1160"/>
      <c r="AX229" s="1160"/>
      <c r="AY229" s="1160"/>
      <c r="AZ229" s="1160"/>
      <c r="BA229" s="1568"/>
      <c r="BB229" s="1568"/>
      <c r="BC229" s="1568"/>
      <c r="BD229" s="855">
        <f t="shared" si="50"/>
        <v>0</v>
      </c>
      <c r="BE229" s="855">
        <f t="shared" si="51"/>
        <v>0</v>
      </c>
      <c r="BF229" s="855">
        <f t="shared" si="52"/>
        <v>0</v>
      </c>
      <c r="BG229" s="855">
        <f t="shared" si="53"/>
        <v>0</v>
      </c>
      <c r="BH229" s="855">
        <f t="shared" si="54"/>
        <v>0</v>
      </c>
      <c r="BI229" s="855">
        <f t="shared" si="55"/>
        <v>0</v>
      </c>
      <c r="BJ229" s="855">
        <f t="shared" si="56"/>
        <v>0</v>
      </c>
      <c r="BK229" s="855">
        <f t="shared" si="57"/>
        <v>0</v>
      </c>
      <c r="BL229" s="855">
        <f t="shared" si="58"/>
        <v>0</v>
      </c>
      <c r="BM229" s="855">
        <f t="shared" si="59"/>
        <v>0</v>
      </c>
      <c r="BN229" s="1581"/>
      <c r="BO229" s="1581"/>
      <c r="BP229" s="1581"/>
      <c r="BQ229" s="1184"/>
      <c r="BR229" s="1184"/>
      <c r="BS229" s="973" t="s">
        <v>2005</v>
      </c>
      <c r="BT229" s="973"/>
      <c r="BU229" s="973"/>
      <c r="BV229" s="888"/>
      <c r="BW229" s="888"/>
    </row>
    <row r="230" spans="1:75" s="1334" customFormat="1" ht="14.25" customHeight="1" x14ac:dyDescent="0.15">
      <c r="A230" s="1184"/>
      <c r="B230" s="15"/>
      <c r="C230" s="26"/>
      <c r="D230" s="26"/>
      <c r="E230" s="545">
        <v>15</v>
      </c>
      <c r="F230" s="3" t="str" cm="1">
        <f t="array" aca="1" ref="F230" ca="1">OFFSET(E230,-1,1)</f>
        <v>1</v>
      </c>
      <c r="G230" s="26"/>
      <c r="H230" s="26"/>
      <c r="I230" s="26" t="s">
        <v>2006</v>
      </c>
      <c r="J230" s="26"/>
      <c r="K230" s="26" t="s">
        <v>2006</v>
      </c>
      <c r="L230" s="889"/>
      <c r="M230" s="26"/>
      <c r="N230" s="26"/>
      <c r="O230" s="26"/>
      <c r="P230" s="26"/>
      <c r="Q230" s="26"/>
      <c r="R230" s="26"/>
      <c r="S230" s="26"/>
      <c r="T230" s="388" t="b" cm="1">
        <f t="array" aca="1" ref="T230" ca="1">T229</f>
        <v>1</v>
      </c>
      <c r="U230" s="26"/>
      <c r="V230" s="26"/>
      <c r="W230" s="1184"/>
      <c r="X230" s="2032"/>
      <c r="Y230" s="1184"/>
      <c r="Z230" s="2012"/>
      <c r="AA230" s="1184"/>
      <c r="AB230" s="217" t="s">
        <v>2007</v>
      </c>
      <c r="AC230" s="685" t="s">
        <v>2008</v>
      </c>
      <c r="AD230" s="218" t="s">
        <v>831</v>
      </c>
      <c r="AE230" s="1567"/>
      <c r="AF230" s="1567"/>
      <c r="AG230" s="1567"/>
      <c r="AH230" s="855">
        <f t="shared" si="48"/>
        <v>0</v>
      </c>
      <c r="AI230" s="1568"/>
      <c r="AJ230" s="1568"/>
      <c r="AK230" s="1160"/>
      <c r="AL230" s="1160"/>
      <c r="AM230" s="1160"/>
      <c r="AN230" s="1160"/>
      <c r="AO230" s="1160"/>
      <c r="AP230" s="1160"/>
      <c r="AQ230" s="1568"/>
      <c r="AR230" s="1568"/>
      <c r="AS230" s="1568"/>
      <c r="AT230" s="1568"/>
      <c r="AU230" s="1160"/>
      <c r="AV230" s="1160"/>
      <c r="AW230" s="1160"/>
      <c r="AX230" s="1160"/>
      <c r="AY230" s="1160"/>
      <c r="AZ230" s="1160"/>
      <c r="BA230" s="1568"/>
      <c r="BB230" s="1568"/>
      <c r="BC230" s="1568"/>
      <c r="BD230" s="855">
        <f t="shared" si="50"/>
        <v>0</v>
      </c>
      <c r="BE230" s="855">
        <f t="shared" si="51"/>
        <v>0</v>
      </c>
      <c r="BF230" s="855">
        <f t="shared" si="52"/>
        <v>0</v>
      </c>
      <c r="BG230" s="855">
        <f t="shared" si="53"/>
        <v>0</v>
      </c>
      <c r="BH230" s="855">
        <f t="shared" si="54"/>
        <v>0</v>
      </c>
      <c r="BI230" s="855">
        <f t="shared" si="55"/>
        <v>0</v>
      </c>
      <c r="BJ230" s="855">
        <f t="shared" si="56"/>
        <v>0</v>
      </c>
      <c r="BK230" s="855">
        <f t="shared" si="57"/>
        <v>0</v>
      </c>
      <c r="BL230" s="855">
        <f t="shared" si="58"/>
        <v>0</v>
      </c>
      <c r="BM230" s="855">
        <f t="shared" si="59"/>
        <v>0</v>
      </c>
      <c r="BN230" s="1581"/>
      <c r="BO230" s="1581"/>
      <c r="BP230" s="1581"/>
      <c r="BQ230" s="1184"/>
      <c r="BR230" s="1184"/>
      <c r="BS230" s="973" t="s">
        <v>2009</v>
      </c>
      <c r="BT230" s="973"/>
      <c r="BU230" s="973"/>
      <c r="BV230" s="888"/>
      <c r="BW230" s="888"/>
    </row>
    <row r="231" spans="1:75" s="1334" customFormat="1" ht="14.25" customHeight="1" x14ac:dyDescent="0.15">
      <c r="A231" s="1184"/>
      <c r="B231" s="15"/>
      <c r="C231" s="26"/>
      <c r="D231" s="26"/>
      <c r="E231" s="545">
        <v>15</v>
      </c>
      <c r="F231" s="3" t="str" cm="1">
        <f t="array" aca="1" ref="F231" ca="1">OFFSET(E231,-1,1)</f>
        <v>1</v>
      </c>
      <c r="G231" s="26" t="s">
        <v>1074</v>
      </c>
      <c r="H231" s="26"/>
      <c r="I231" s="26" t="s">
        <v>2010</v>
      </c>
      <c r="J231" s="26"/>
      <c r="K231" s="26" t="s">
        <v>2010</v>
      </c>
      <c r="L231" s="889" t="s">
        <v>1487</v>
      </c>
      <c r="M231" s="26"/>
      <c r="N231" s="26"/>
      <c r="O231" s="26"/>
      <c r="P231" s="26"/>
      <c r="Q231" s="26"/>
      <c r="R231" s="26"/>
      <c r="S231" s="26"/>
      <c r="T231" s="388" t="b" cm="1">
        <f t="array" aca="1" ref="T231" ca="1">T230</f>
        <v>1</v>
      </c>
      <c r="U231" s="26"/>
      <c r="V231" s="26"/>
      <c r="W231" s="1184"/>
      <c r="X231" s="2032"/>
      <c r="Y231" s="1184"/>
      <c r="Z231" s="2012"/>
      <c r="AA231" s="1184"/>
      <c r="AB231" s="217" t="s">
        <v>2011</v>
      </c>
      <c r="AC231" s="685" t="s">
        <v>2012</v>
      </c>
      <c r="AD231" s="218" t="s">
        <v>831</v>
      </c>
      <c r="AE231" s="177">
        <f ca="1">SUMIFS(Покупка!AE$25:AE$117,Покупка!$F$25:$F$117,$F231,Покупка!$AC$25:$AC$117,$G231)</f>
        <v>0</v>
      </c>
      <c r="AF231" s="177">
        <f ca="1">SUMIFS(Покупка!AF$25:AF$117,Покупка!$F$25:$F$117,$F231,Покупка!$AC$25:$AC$117,$G231)</f>
        <v>0</v>
      </c>
      <c r="AG231" s="177">
        <f ca="1">SUMIFS(Покупка!AG$25:AG$117,Покупка!$F$25:$F$117,$F231,Покупка!$AC$25:$AC$117,$G231)</f>
        <v>0</v>
      </c>
      <c r="AH231" s="855">
        <f t="shared" ca="1" si="48"/>
        <v>0</v>
      </c>
      <c r="AI231" s="855">
        <f ca="1">SUMIFS(Покупка!AH$25:AH$117,Покупка!$F$25:$F$117,$F231,Покупка!$AC$25:$AC$117,$G231)</f>
        <v>0</v>
      </c>
      <c r="AJ231" s="855">
        <f ca="1">SUMIFS(Покупка!AI$25:AI$117,Покупка!$F$25:$F$117,$F231,Покупка!$AC$25:$AC$117,$G231)</f>
        <v>0</v>
      </c>
      <c r="AK231" s="855">
        <f ca="1">SUMIFS(Покупка!AJ$25:AJ$117,Покупка!$F$25:$F$117,$F231,Покупка!$AC$25:$AC$117,$G231)</f>
        <v>0</v>
      </c>
      <c r="AL231" s="855">
        <f ca="1">SUMIFS(Покупка!AK$25:AK$117,Покупка!$F$25:$F$117,$F231,Покупка!$AC$25:$AC$117,$G231)</f>
        <v>0</v>
      </c>
      <c r="AM231" s="855">
        <f ca="1">SUMIFS(Покупка!AL$25:AL$117,Покупка!$F$25:$F$117,$F231,Покупка!$AC$25:$AC$117,$G231)</f>
        <v>0</v>
      </c>
      <c r="AN231" s="855">
        <f ca="1">SUMIFS(Покупка!AM$25:AM$117,Покупка!$F$25:$F$117,$F231,Покупка!$AC$25:$AC$117,$G231)</f>
        <v>0</v>
      </c>
      <c r="AO231" s="855">
        <f ca="1">SUMIFS(Покупка!AN$25:AN$117,Покупка!$F$25:$F$117,$F231,Покупка!$AC$25:$AC$117,$G231)</f>
        <v>0</v>
      </c>
      <c r="AP231" s="855">
        <f ca="1">SUMIFS(Покупка!AO$25:AO$117,Покупка!$F$25:$F$117,$F231,Покупка!$AC$25:$AC$117,$G231)</f>
        <v>0</v>
      </c>
      <c r="AQ231" s="855">
        <f ca="1">SUMIFS(Покупка!AP$25:AP$117,Покупка!$F$25:$F$117,$F231,Покупка!$AC$25:$AC$117,$G231)</f>
        <v>0</v>
      </c>
      <c r="AR231" s="855">
        <f ca="1">SUMIFS(Покупка!AQ$25:AQ$117,Покупка!$F$25:$F$117,$F231,Покупка!$AC$25:$AC$117,$G231)</f>
        <v>0</v>
      </c>
      <c r="AS231" s="855">
        <f ca="1">SUMIFS(Покупка!AR$25:AR$117,Покупка!$F$25:$F$117,$F231,Покупка!$AC$25:$AC$117,$G231)</f>
        <v>0</v>
      </c>
      <c r="AT231" s="855">
        <f ca="1">SUMIFS(Покупка!AS$25:AS$117,Покупка!$F$25:$F$117,$F231,Покупка!$AC$25:$AC$117,$G231)</f>
        <v>0</v>
      </c>
      <c r="AU231" s="855">
        <f ca="1">SUMIFS(Покупка!AT$25:AT$117,Покупка!$F$25:$F$117,$F231,Покупка!$AC$25:$AC$117,$G231)</f>
        <v>0</v>
      </c>
      <c r="AV231" s="855">
        <f ca="1">SUMIFS(Покупка!AU$25:AU$117,Покупка!$F$25:$F$117,$F231,Покупка!$AC$25:$AC$117,$G231)</f>
        <v>0</v>
      </c>
      <c r="AW231" s="855">
        <f ca="1">SUMIFS(Покупка!AV$25:AV$117,Покупка!$F$25:$F$117,$F231,Покупка!$AC$25:$AC$117,$G231)</f>
        <v>0</v>
      </c>
      <c r="AX231" s="855">
        <f ca="1">SUMIFS(Покупка!AW$25:AW$117,Покупка!$F$25:$F$117,$F231,Покупка!$AC$25:$AC$117,$G231)</f>
        <v>0</v>
      </c>
      <c r="AY231" s="855">
        <f ca="1">SUMIFS(Покупка!AX$25:AX$117,Покупка!$F$25:$F$117,$F231,Покупка!$AC$25:$AC$117,$G231)</f>
        <v>0</v>
      </c>
      <c r="AZ231" s="855">
        <f ca="1">SUMIFS(Покупка!AY$25:AY$117,Покупка!$F$25:$F$117,$F231,Покупка!$AC$25:$AC$117,$G231)</f>
        <v>0</v>
      </c>
      <c r="BA231" s="855">
        <f ca="1">SUMIFS(Покупка!AZ$25:AZ$117,Покупка!$F$25:$F$117,$F231,Покупка!$AC$25:$AC$117,$G231)</f>
        <v>0</v>
      </c>
      <c r="BB231" s="855">
        <f ca="1">SUMIFS(Покупка!BA$25:BA$117,Покупка!$F$25:$F$117,$F231,Покупка!$AC$25:$AC$117,$G231)</f>
        <v>0</v>
      </c>
      <c r="BC231" s="855">
        <f ca="1">SUMIFS(Покупка!BB$25:BB$117,Покупка!$F$25:$F$117,$F231,Покупка!$AC$25:$AC$117,$G231)</f>
        <v>0</v>
      </c>
      <c r="BD231" s="855">
        <f t="shared" ca="1" si="50"/>
        <v>0</v>
      </c>
      <c r="BE231" s="855">
        <f t="shared" ca="1" si="51"/>
        <v>0</v>
      </c>
      <c r="BF231" s="855">
        <f t="shared" ca="1" si="52"/>
        <v>0</v>
      </c>
      <c r="BG231" s="855">
        <f t="shared" ca="1" si="53"/>
        <v>0</v>
      </c>
      <c r="BH231" s="855">
        <f t="shared" ca="1" si="54"/>
        <v>0</v>
      </c>
      <c r="BI231" s="855">
        <f t="shared" ca="1" si="55"/>
        <v>0</v>
      </c>
      <c r="BJ231" s="855">
        <f t="shared" ca="1" si="56"/>
        <v>0</v>
      </c>
      <c r="BK231" s="855">
        <f t="shared" ca="1" si="57"/>
        <v>0</v>
      </c>
      <c r="BL231" s="855">
        <f t="shared" ca="1" si="58"/>
        <v>0</v>
      </c>
      <c r="BM231" s="855">
        <f t="shared" ca="1" si="59"/>
        <v>0</v>
      </c>
      <c r="BN231" s="1581"/>
      <c r="BO231" s="1576" t="str">
        <f ca="1">IF(IFERROR(INDEX(Покупка!$K$26:$L$117,MATCH($F231&amp;"3komm",Покупка!$K$26:$K$117,0),2),"")=0,"",IFERROR(INDEX(Покупка!$K$26:$L$117,MATCH($F231&amp;"3komm",Покупка!$K$26:$K$117,0),2),""))</f>
        <v/>
      </c>
      <c r="BP231" s="1581"/>
      <c r="BQ231" s="1184"/>
      <c r="BR231" s="1184"/>
      <c r="BS231" s="973" t="s">
        <v>1705</v>
      </c>
      <c r="BT231" s="973"/>
      <c r="BU231" s="973"/>
      <c r="BV231" s="888"/>
      <c r="BW231" s="888"/>
    </row>
    <row r="232" spans="1:75" s="1334" customFormat="1" ht="14.25" customHeight="1" x14ac:dyDescent="0.15">
      <c r="A232" s="1184"/>
      <c r="B232" s="15"/>
      <c r="C232" s="26"/>
      <c r="D232" s="26"/>
      <c r="E232" s="545">
        <v>15</v>
      </c>
      <c r="F232" s="3" t="str" cm="1">
        <f t="array" aca="1" ref="F232" ca="1">OFFSET(E232,-1,1)</f>
        <v>1</v>
      </c>
      <c r="G232" s="26" t="s">
        <v>1080</v>
      </c>
      <c r="H232" s="26"/>
      <c r="I232" s="26" t="s">
        <v>2013</v>
      </c>
      <c r="J232" s="26"/>
      <c r="K232" s="26" t="s">
        <v>2013</v>
      </c>
      <c r="L232" s="889" t="s">
        <v>1492</v>
      </c>
      <c r="M232" s="26"/>
      <c r="N232" s="26"/>
      <c r="O232" s="26"/>
      <c r="P232" s="26"/>
      <c r="Q232" s="26"/>
      <c r="R232" s="26"/>
      <c r="S232" s="26"/>
      <c r="T232" s="388" t="b" cm="1">
        <f t="array" aca="1" ref="T232" ca="1">T231</f>
        <v>1</v>
      </c>
      <c r="U232" s="26"/>
      <c r="V232" s="26"/>
      <c r="W232" s="1184"/>
      <c r="X232" s="2032"/>
      <c r="Y232" s="1184"/>
      <c r="Z232" s="2012"/>
      <c r="AA232" s="1184"/>
      <c r="AB232" s="217" t="s">
        <v>2014</v>
      </c>
      <c r="AC232" s="685" t="s">
        <v>2015</v>
      </c>
      <c r="AD232" s="218" t="s">
        <v>831</v>
      </c>
      <c r="AE232" s="177">
        <f ca="1">SUMIFS(Покупка!AE$25:AE$117,Покупка!$F$25:$F$117,$F232,Покупка!$AC$25:$AC$117,$G232)</f>
        <v>0</v>
      </c>
      <c r="AF232" s="177">
        <f ca="1">SUMIFS(Покупка!AF$25:AF$117,Покупка!$F$25:$F$117,$F232,Покупка!$AC$25:$AC$117,$G232)</f>
        <v>0</v>
      </c>
      <c r="AG232" s="177">
        <f ca="1">SUMIFS(Покупка!AG$25:AG$117,Покупка!$F$25:$F$117,$F232,Покупка!$AC$25:$AC$117,$G232)</f>
        <v>0</v>
      </c>
      <c r="AH232" s="855">
        <f t="shared" ca="1" si="48"/>
        <v>0</v>
      </c>
      <c r="AI232" s="855">
        <f ca="1">SUMIFS(Покупка!AH$25:AH$117,Покупка!$F$25:$F$117,$F232,Покупка!$AC$25:$AC$117,$G232)</f>
        <v>0</v>
      </c>
      <c r="AJ232" s="855">
        <f ca="1">SUMIFS(Покупка!AI$25:AI$117,Покупка!$F$25:$F$117,$F232,Покупка!$AC$25:$AC$117,$G232)</f>
        <v>0</v>
      </c>
      <c r="AK232" s="855">
        <f ca="1">SUMIFS(Покупка!AJ$25:AJ$117,Покупка!$F$25:$F$117,$F232,Покупка!$AC$25:$AC$117,$G232)</f>
        <v>0</v>
      </c>
      <c r="AL232" s="855">
        <f ca="1">SUMIFS(Покупка!AK$25:AK$117,Покупка!$F$25:$F$117,$F232,Покупка!$AC$25:$AC$117,$G232)</f>
        <v>0</v>
      </c>
      <c r="AM232" s="855">
        <f ca="1">SUMIFS(Покупка!AL$25:AL$117,Покупка!$F$25:$F$117,$F232,Покупка!$AC$25:$AC$117,$G232)</f>
        <v>0</v>
      </c>
      <c r="AN232" s="855">
        <f ca="1">SUMIFS(Покупка!AM$25:AM$117,Покупка!$F$25:$F$117,$F232,Покупка!$AC$25:$AC$117,$G232)</f>
        <v>0</v>
      </c>
      <c r="AO232" s="855">
        <f ca="1">SUMIFS(Покупка!AN$25:AN$117,Покупка!$F$25:$F$117,$F232,Покупка!$AC$25:$AC$117,$G232)</f>
        <v>0</v>
      </c>
      <c r="AP232" s="855">
        <f ca="1">SUMIFS(Покупка!AO$25:AO$117,Покупка!$F$25:$F$117,$F232,Покупка!$AC$25:$AC$117,$G232)</f>
        <v>0</v>
      </c>
      <c r="AQ232" s="855">
        <f ca="1">SUMIFS(Покупка!AP$25:AP$117,Покупка!$F$25:$F$117,$F232,Покупка!$AC$25:$AC$117,$G232)</f>
        <v>0</v>
      </c>
      <c r="AR232" s="855">
        <f ca="1">SUMIFS(Покупка!AQ$25:AQ$117,Покупка!$F$25:$F$117,$F232,Покупка!$AC$25:$AC$117,$G232)</f>
        <v>0</v>
      </c>
      <c r="AS232" s="855">
        <f ca="1">SUMIFS(Покупка!AR$25:AR$117,Покупка!$F$25:$F$117,$F232,Покупка!$AC$25:$AC$117,$G232)</f>
        <v>0</v>
      </c>
      <c r="AT232" s="855">
        <f ca="1">SUMIFS(Покупка!AS$25:AS$117,Покупка!$F$25:$F$117,$F232,Покупка!$AC$25:$AC$117,$G232)</f>
        <v>0</v>
      </c>
      <c r="AU232" s="855">
        <f ca="1">SUMIFS(Покупка!AT$25:AT$117,Покупка!$F$25:$F$117,$F232,Покупка!$AC$25:$AC$117,$G232)</f>
        <v>0</v>
      </c>
      <c r="AV232" s="855">
        <f ca="1">SUMIFS(Покупка!AU$25:AU$117,Покупка!$F$25:$F$117,$F232,Покупка!$AC$25:$AC$117,$G232)</f>
        <v>0</v>
      </c>
      <c r="AW232" s="855">
        <f ca="1">SUMIFS(Покупка!AV$25:AV$117,Покупка!$F$25:$F$117,$F232,Покупка!$AC$25:$AC$117,$G232)</f>
        <v>0</v>
      </c>
      <c r="AX232" s="855">
        <f ca="1">SUMIFS(Покупка!AW$25:AW$117,Покупка!$F$25:$F$117,$F232,Покупка!$AC$25:$AC$117,$G232)</f>
        <v>0</v>
      </c>
      <c r="AY232" s="855">
        <f ca="1">SUMIFS(Покупка!AX$25:AX$117,Покупка!$F$25:$F$117,$F232,Покупка!$AC$25:$AC$117,$G232)</f>
        <v>0</v>
      </c>
      <c r="AZ232" s="855">
        <f ca="1">SUMIFS(Покупка!AY$25:AY$117,Покупка!$F$25:$F$117,$F232,Покупка!$AC$25:$AC$117,$G232)</f>
        <v>0</v>
      </c>
      <c r="BA232" s="855">
        <f ca="1">SUMIFS(Покупка!AZ$25:AZ$117,Покупка!$F$25:$F$117,$F232,Покупка!$AC$25:$AC$117,$G232)</f>
        <v>0</v>
      </c>
      <c r="BB232" s="855">
        <f ca="1">SUMIFS(Покупка!BA$25:BA$117,Покупка!$F$25:$F$117,$F232,Покупка!$AC$25:$AC$117,$G232)</f>
        <v>0</v>
      </c>
      <c r="BC232" s="855">
        <f ca="1">SUMIFS(Покупка!BB$25:BB$117,Покупка!$F$25:$F$117,$F232,Покупка!$AC$25:$AC$117,$G232)</f>
        <v>0</v>
      </c>
      <c r="BD232" s="855">
        <f t="shared" ca="1" si="50"/>
        <v>0</v>
      </c>
      <c r="BE232" s="855">
        <f t="shared" ca="1" si="51"/>
        <v>0</v>
      </c>
      <c r="BF232" s="855">
        <f t="shared" ca="1" si="52"/>
        <v>0</v>
      </c>
      <c r="BG232" s="855">
        <f t="shared" ca="1" si="53"/>
        <v>0</v>
      </c>
      <c r="BH232" s="855">
        <f t="shared" ca="1" si="54"/>
        <v>0</v>
      </c>
      <c r="BI232" s="855">
        <f t="shared" ca="1" si="55"/>
        <v>0</v>
      </c>
      <c r="BJ232" s="855">
        <f t="shared" ca="1" si="56"/>
        <v>0</v>
      </c>
      <c r="BK232" s="855">
        <f t="shared" ca="1" si="57"/>
        <v>0</v>
      </c>
      <c r="BL232" s="855">
        <f t="shared" ca="1" si="58"/>
        <v>0</v>
      </c>
      <c r="BM232" s="855">
        <f t="shared" ca="1" si="59"/>
        <v>0</v>
      </c>
      <c r="BN232" s="1581"/>
      <c r="BO232" s="1576" t="str">
        <f ca="1">IF(IFERROR(INDEX(Покупка!$K$26:$L$117,MATCH($F232&amp;"4komm",Покупка!$K$26:$K$117,0),2),"")=0,"",IFERROR(INDEX(Покупка!$K$26:$L$117,MATCH($F231&amp;"3komm",Покупка!$K$26:$K$117,0),2),""))</f>
        <v/>
      </c>
      <c r="BP232" s="1581"/>
      <c r="BQ232" s="1184"/>
      <c r="BR232" s="1184"/>
      <c r="BS232" s="973" t="s">
        <v>1708</v>
      </c>
      <c r="BT232" s="973"/>
      <c r="BU232" s="973"/>
      <c r="BV232" s="888"/>
      <c r="BW232" s="888"/>
    </row>
    <row r="233" spans="1:75" s="1334" customFormat="1" ht="14.25" customHeight="1" x14ac:dyDescent="0.15">
      <c r="A233" s="1184"/>
      <c r="B233" s="15"/>
      <c r="C233" s="26"/>
      <c r="D233" s="26"/>
      <c r="E233" s="545">
        <v>15</v>
      </c>
      <c r="F233" s="3" t="str" cm="1">
        <f t="array" aca="1" ref="F233" ca="1">OFFSET(E233,-1,1)</f>
        <v>1</v>
      </c>
      <c r="G233" s="26" t="s">
        <v>1086</v>
      </c>
      <c r="H233" s="26"/>
      <c r="I233" s="26" t="s">
        <v>2016</v>
      </c>
      <c r="J233" s="26"/>
      <c r="K233" s="26" t="s">
        <v>2016</v>
      </c>
      <c r="L233" s="889" t="s">
        <v>1502</v>
      </c>
      <c r="M233" s="26"/>
      <c r="N233" s="26"/>
      <c r="O233" s="26"/>
      <c r="P233" s="26"/>
      <c r="Q233" s="26"/>
      <c r="R233" s="26"/>
      <c r="S233" s="26"/>
      <c r="T233" s="388" t="b" cm="1">
        <f t="array" aca="1" ref="T233" ca="1">T232</f>
        <v>1</v>
      </c>
      <c r="U233" s="26"/>
      <c r="V233" s="26"/>
      <c r="W233" s="1184"/>
      <c r="X233" s="2032"/>
      <c r="Y233" s="1184"/>
      <c r="Z233" s="2012"/>
      <c r="AA233" s="1184"/>
      <c r="AB233" s="217" t="s">
        <v>2017</v>
      </c>
      <c r="AC233" s="685" t="s">
        <v>2018</v>
      </c>
      <c r="AD233" s="218" t="s">
        <v>831</v>
      </c>
      <c r="AE233" s="177">
        <f ca="1">SUMIFS(Покупка!AE$25:AE$117,Покупка!$F$25:$F$117,$F233,Покупка!$AC$25:$AC$117,$G233)</f>
        <v>0</v>
      </c>
      <c r="AF233" s="177">
        <f ca="1">SUMIFS(Покупка!AF$25:AF$117,Покупка!$F$25:$F$117,$F233,Покупка!$AC$25:$AC$117,$G233)</f>
        <v>0</v>
      </c>
      <c r="AG233" s="177">
        <f ca="1">SUMIFS(Покупка!AG$25:AG$117,Покупка!$F$25:$F$117,$F233,Покупка!$AC$25:$AC$117,$G233)</f>
        <v>0</v>
      </c>
      <c r="AH233" s="855">
        <f t="shared" ca="1" si="48"/>
        <v>0</v>
      </c>
      <c r="AI233" s="855">
        <f ca="1">SUMIFS(Покупка!AH$25:AH$117,Покупка!$F$25:$F$117,$F233,Покупка!$AC$25:$AC$117,$G233)</f>
        <v>0</v>
      </c>
      <c r="AJ233" s="855">
        <f ca="1">SUMIFS(Покупка!AI$25:AI$117,Покупка!$F$25:$F$117,$F233,Покупка!$AC$25:$AC$117,$G233)</f>
        <v>0</v>
      </c>
      <c r="AK233" s="855">
        <f ca="1">SUMIFS(Покупка!AJ$25:AJ$117,Покупка!$F$25:$F$117,$F233,Покупка!$AC$25:$AC$117,$G233)</f>
        <v>0</v>
      </c>
      <c r="AL233" s="855">
        <f ca="1">SUMIFS(Покупка!AK$25:AK$117,Покупка!$F$25:$F$117,$F233,Покупка!$AC$25:$AC$117,$G233)</f>
        <v>0</v>
      </c>
      <c r="AM233" s="855">
        <f ca="1">SUMIFS(Покупка!AL$25:AL$117,Покупка!$F$25:$F$117,$F233,Покупка!$AC$25:$AC$117,$G233)</f>
        <v>0</v>
      </c>
      <c r="AN233" s="855">
        <f ca="1">SUMIFS(Покупка!AM$25:AM$117,Покупка!$F$25:$F$117,$F233,Покупка!$AC$25:$AC$117,$G233)</f>
        <v>0</v>
      </c>
      <c r="AO233" s="855">
        <f ca="1">SUMIFS(Покупка!AN$25:AN$117,Покупка!$F$25:$F$117,$F233,Покупка!$AC$25:$AC$117,$G233)</f>
        <v>0</v>
      </c>
      <c r="AP233" s="855">
        <f ca="1">SUMIFS(Покупка!AO$25:AO$117,Покупка!$F$25:$F$117,$F233,Покупка!$AC$25:$AC$117,$G233)</f>
        <v>0</v>
      </c>
      <c r="AQ233" s="855">
        <f ca="1">SUMIFS(Покупка!AP$25:AP$117,Покупка!$F$25:$F$117,$F233,Покупка!$AC$25:$AC$117,$G233)</f>
        <v>0</v>
      </c>
      <c r="AR233" s="855">
        <f ca="1">SUMIFS(Покупка!AQ$25:AQ$117,Покупка!$F$25:$F$117,$F233,Покупка!$AC$25:$AC$117,$G233)</f>
        <v>0</v>
      </c>
      <c r="AS233" s="855">
        <f ca="1">SUMIFS(Покупка!AR$25:AR$117,Покупка!$F$25:$F$117,$F233,Покупка!$AC$25:$AC$117,$G233)</f>
        <v>0</v>
      </c>
      <c r="AT233" s="855">
        <f ca="1">SUMIFS(Покупка!AS$25:AS$117,Покупка!$F$25:$F$117,$F233,Покупка!$AC$25:$AC$117,$G233)</f>
        <v>0</v>
      </c>
      <c r="AU233" s="855">
        <f ca="1">SUMIFS(Покупка!AT$25:AT$117,Покупка!$F$25:$F$117,$F233,Покупка!$AC$25:$AC$117,$G233)</f>
        <v>0</v>
      </c>
      <c r="AV233" s="855">
        <f ca="1">SUMIFS(Покупка!AU$25:AU$117,Покупка!$F$25:$F$117,$F233,Покупка!$AC$25:$AC$117,$G233)</f>
        <v>0</v>
      </c>
      <c r="AW233" s="855">
        <f ca="1">SUMIFS(Покупка!AV$25:AV$117,Покупка!$F$25:$F$117,$F233,Покупка!$AC$25:$AC$117,$G233)</f>
        <v>0</v>
      </c>
      <c r="AX233" s="855">
        <f ca="1">SUMIFS(Покупка!AW$25:AW$117,Покупка!$F$25:$F$117,$F233,Покупка!$AC$25:$AC$117,$G233)</f>
        <v>0</v>
      </c>
      <c r="AY233" s="855">
        <f ca="1">SUMIFS(Покупка!AX$25:AX$117,Покупка!$F$25:$F$117,$F233,Покупка!$AC$25:$AC$117,$G233)</f>
        <v>0</v>
      </c>
      <c r="AZ233" s="855">
        <f ca="1">SUMIFS(Покупка!AY$25:AY$117,Покупка!$F$25:$F$117,$F233,Покупка!$AC$25:$AC$117,$G233)</f>
        <v>0</v>
      </c>
      <c r="BA233" s="855">
        <f ca="1">SUMIFS(Покупка!AZ$25:AZ$117,Покупка!$F$25:$F$117,$F233,Покупка!$AC$25:$AC$117,$G233)</f>
        <v>0</v>
      </c>
      <c r="BB233" s="855">
        <f ca="1">SUMIFS(Покупка!BA$25:BA$117,Покупка!$F$25:$F$117,$F233,Покупка!$AC$25:$AC$117,$G233)</f>
        <v>0</v>
      </c>
      <c r="BC233" s="855">
        <f ca="1">SUMIFS(Покупка!BB$25:BB$117,Покупка!$F$25:$F$117,$F233,Покупка!$AC$25:$AC$117,$G233)</f>
        <v>0</v>
      </c>
      <c r="BD233" s="855">
        <f t="shared" ca="1" si="50"/>
        <v>0</v>
      </c>
      <c r="BE233" s="855">
        <f t="shared" ca="1" si="51"/>
        <v>0</v>
      </c>
      <c r="BF233" s="855">
        <f t="shared" ca="1" si="52"/>
        <v>0</v>
      </c>
      <c r="BG233" s="855">
        <f t="shared" ca="1" si="53"/>
        <v>0</v>
      </c>
      <c r="BH233" s="855">
        <f t="shared" ca="1" si="54"/>
        <v>0</v>
      </c>
      <c r="BI233" s="855">
        <f t="shared" ca="1" si="55"/>
        <v>0</v>
      </c>
      <c r="BJ233" s="855">
        <f t="shared" ca="1" si="56"/>
        <v>0</v>
      </c>
      <c r="BK233" s="855">
        <f t="shared" ca="1" si="57"/>
        <v>0</v>
      </c>
      <c r="BL233" s="855">
        <f t="shared" ca="1" si="58"/>
        <v>0</v>
      </c>
      <c r="BM233" s="855">
        <f t="shared" ca="1" si="59"/>
        <v>0</v>
      </c>
      <c r="BN233" s="1581"/>
      <c r="BO233" s="1576"/>
      <c r="BP233" s="1581"/>
      <c r="BQ233" s="1184"/>
      <c r="BR233" s="1184"/>
      <c r="BS233" s="973" t="s">
        <v>1711</v>
      </c>
      <c r="BT233" s="973"/>
      <c r="BU233" s="973"/>
      <c r="BV233" s="888"/>
      <c r="BW233" s="888"/>
    </row>
    <row r="234" spans="1:75" s="1140" customFormat="1" ht="14.25" customHeight="1" x14ac:dyDescent="0.15">
      <c r="B234" s="15"/>
      <c r="C234" s="26"/>
      <c r="D234" s="26"/>
      <c r="E234" s="545">
        <v>15</v>
      </c>
      <c r="F234" s="3" t="str" cm="1">
        <f t="array" aca="1" ref="F234" ca="1">OFFSET(E234,-1,1)</f>
        <v>1</v>
      </c>
      <c r="G234" s="26" t="s">
        <v>1098</v>
      </c>
      <c r="H234" s="26"/>
      <c r="I234" s="26"/>
      <c r="J234" s="26"/>
      <c r="K234" s="26"/>
      <c r="L234" s="889" t="s">
        <v>1469</v>
      </c>
      <c r="M234" s="26"/>
      <c r="N234" s="26"/>
      <c r="O234" s="26"/>
      <c r="P234" s="26"/>
      <c r="Q234" s="26"/>
      <c r="R234" s="26"/>
      <c r="S234" s="26"/>
      <c r="T234" s="388" t="b" cm="1">
        <f t="array" aca="1" ref="T234" ca="1">T233</f>
        <v>1</v>
      </c>
      <c r="U234" s="26"/>
      <c r="V234" s="26"/>
      <c r="X234" s="2032"/>
      <c r="Z234" s="2012"/>
      <c r="AB234" s="217" t="s">
        <v>2019</v>
      </c>
      <c r="AC234" s="685" t="s">
        <v>2020</v>
      </c>
      <c r="AD234" s="218" t="s">
        <v>831</v>
      </c>
      <c r="AE234" s="177">
        <f ca="1">SUMIFS(Покупка!AE$25:AE$117,Покупка!$F$25:$F$117,$F234,Покупка!$AC$25:$AC$117,$G234)</f>
        <v>0</v>
      </c>
      <c r="AF234" s="177">
        <f ca="1">SUMIFS(Покупка!AF$25:AF$117,Покупка!$F$25:$F$117,$F234,Покупка!$AC$25:$AC$117,$G234)</f>
        <v>0</v>
      </c>
      <c r="AG234" s="177">
        <f ca="1">SUMIFS(Покупка!AG$25:AG$117,Покупка!$F$25:$F$117,$F234,Покупка!$AC$25:$AC$117,$G234)</f>
        <v>0</v>
      </c>
      <c r="AH234" s="855">
        <f t="shared" ca="1" si="48"/>
        <v>0</v>
      </c>
      <c r="AI234" s="855">
        <f ca="1">SUMIFS(Покупка!AH$25:AH$117,Покупка!$F$25:$F$117,$F234,Покупка!$AC$25:$AC$117,$G234)</f>
        <v>0</v>
      </c>
      <c r="AJ234" s="1024">
        <f ca="1">SUMIFS(Покупка!AI$25:AI$117,Покупка!$F$25:$F$117,$F234,Покупка!$AC$25:$AC$117,$G234)</f>
        <v>0</v>
      </c>
      <c r="AK234" s="1024">
        <f ca="1">SUMIFS(Покупка!AJ$25:AJ$117,Покупка!$F$25:$F$117,$F234,Покупка!$AC$25:$AC$117,$G234)</f>
        <v>0</v>
      </c>
      <c r="AL234" s="1024">
        <f ca="1">SUMIFS(Покупка!AK$25:AK$117,Покупка!$F$25:$F$117,$F234,Покупка!$AC$25:$AC$117,$G234)</f>
        <v>0</v>
      </c>
      <c r="AM234" s="1024">
        <f ca="1">SUMIFS(Покупка!AL$25:AL$117,Покупка!$F$25:$F$117,$F234,Покупка!$AC$25:$AC$117,$G234)</f>
        <v>0</v>
      </c>
      <c r="AN234" s="1024">
        <f ca="1">SUMIFS(Покупка!AM$25:AM$117,Покупка!$F$25:$F$117,$F234,Покупка!$AC$25:$AC$117,$G234)</f>
        <v>0</v>
      </c>
      <c r="AO234" s="1024">
        <f ca="1">SUMIFS(Покупка!AN$25:AN$117,Покупка!$F$25:$F$117,$F234,Покупка!$AC$25:$AC$117,$G234)</f>
        <v>0</v>
      </c>
      <c r="AP234" s="1024">
        <f ca="1">SUMIFS(Покупка!AO$25:AO$117,Покупка!$F$25:$F$117,$F234,Покупка!$AC$25:$AC$117,$G234)</f>
        <v>0</v>
      </c>
      <c r="AQ234" s="1024">
        <f ca="1">SUMIFS(Покупка!AP$25:AP$117,Покупка!$F$25:$F$117,$F234,Покупка!$AC$25:$AC$117,$G234)</f>
        <v>0</v>
      </c>
      <c r="AR234" s="1024">
        <f ca="1">SUMIFS(Покупка!AQ$25:AQ$117,Покупка!$F$25:$F$117,$F234,Покупка!$AC$25:$AC$117,$G234)</f>
        <v>0</v>
      </c>
      <c r="AS234" s="1024">
        <f ca="1">SUMIFS(Покупка!AR$25:AR$117,Покупка!$F$25:$F$117,$F234,Покупка!$AC$25:$AC$117,$G234)</f>
        <v>0</v>
      </c>
      <c r="AT234" s="1024">
        <f ca="1">SUMIFS(Покупка!AS$25:AS$117,Покупка!$F$25:$F$117,$F234,Покупка!$AC$25:$AC$117,$G234)</f>
        <v>0</v>
      </c>
      <c r="AU234" s="1024">
        <f ca="1">SUMIFS(Покупка!AT$25:AT$117,Покупка!$F$25:$F$117,$F234,Покупка!$AC$25:$AC$117,$G234)</f>
        <v>0</v>
      </c>
      <c r="AV234" s="1024">
        <f ca="1">SUMIFS(Покупка!AU$25:AU$117,Покупка!$F$25:$F$117,$F234,Покупка!$AC$25:$AC$117,$G234)</f>
        <v>0</v>
      </c>
      <c r="AW234" s="1024">
        <f ca="1">SUMIFS(Покупка!AV$25:AV$117,Покупка!$F$25:$F$117,$F234,Покупка!$AC$25:$AC$117,$G234)</f>
        <v>0</v>
      </c>
      <c r="AX234" s="1024">
        <f ca="1">SUMIFS(Покупка!AW$25:AW$117,Покупка!$F$25:$F$117,$F234,Покупка!$AC$25:$AC$117,$G234)</f>
        <v>0</v>
      </c>
      <c r="AY234" s="1024">
        <f ca="1">SUMIFS(Покупка!AX$25:AX$117,Покупка!$F$25:$F$117,$F234,Покупка!$AC$25:$AC$117,$G234)</f>
        <v>0</v>
      </c>
      <c r="AZ234" s="1024">
        <f ca="1">SUMIFS(Покупка!AY$25:AY$117,Покупка!$F$25:$F$117,$F234,Покупка!$AC$25:$AC$117,$G234)</f>
        <v>0</v>
      </c>
      <c r="BA234" s="1024">
        <f ca="1">SUMIFS(Покупка!AZ$25:AZ$117,Покупка!$F$25:$F$117,$F234,Покупка!$AC$25:$AC$117,$G234)</f>
        <v>0</v>
      </c>
      <c r="BB234" s="1024">
        <f ca="1">SUMIFS(Покупка!BA$25:BA$117,Покупка!$F$25:$F$117,$F234,Покупка!$AC$25:$AC$117,$G234)</f>
        <v>0</v>
      </c>
      <c r="BC234" s="1024">
        <f ca="1">SUMIFS(Покупка!BB$25:BB$117,Покупка!$F$25:$F$117,$F234,Покупка!$AC$25:$AC$117,$G234)</f>
        <v>0</v>
      </c>
      <c r="BD234" s="855">
        <f t="shared" ca="1" si="50"/>
        <v>0</v>
      </c>
      <c r="BE234" s="855">
        <f t="shared" ca="1" si="51"/>
        <v>0</v>
      </c>
      <c r="BF234" s="855">
        <f t="shared" ca="1" si="52"/>
        <v>0</v>
      </c>
      <c r="BG234" s="855">
        <f t="shared" ca="1" si="53"/>
        <v>0</v>
      </c>
      <c r="BH234" s="855">
        <f t="shared" ca="1" si="54"/>
        <v>0</v>
      </c>
      <c r="BI234" s="855">
        <f t="shared" ca="1" si="55"/>
        <v>0</v>
      </c>
      <c r="BJ234" s="855">
        <f t="shared" ca="1" si="56"/>
        <v>0</v>
      </c>
      <c r="BK234" s="855">
        <f t="shared" ca="1" si="57"/>
        <v>0</v>
      </c>
      <c r="BL234" s="855">
        <f t="shared" ca="1" si="58"/>
        <v>0</v>
      </c>
      <c r="BM234" s="855">
        <f t="shared" ca="1" si="59"/>
        <v>0</v>
      </c>
      <c r="BN234" s="1581"/>
      <c r="BO234" s="1576"/>
      <c r="BP234" s="1581"/>
      <c r="BS234" s="973" t="s">
        <v>1099</v>
      </c>
      <c r="BT234" s="973"/>
      <c r="BU234" s="973"/>
      <c r="BV234" s="626"/>
      <c r="BW234" s="626"/>
    </row>
    <row r="235" spans="1:75" s="1334" customFormat="1" ht="25.35" customHeight="1" x14ac:dyDescent="0.15">
      <c r="A235" s="1184"/>
      <c r="B235" s="15"/>
      <c r="C235" s="26"/>
      <c r="D235" s="26"/>
      <c r="E235" s="545">
        <v>15</v>
      </c>
      <c r="F235" s="3" t="str" cm="1">
        <f t="array" aca="1" ref="F235" ca="1">OFFSET(E235,-1,1)</f>
        <v>1</v>
      </c>
      <c r="G235" s="26"/>
      <c r="H235" s="26"/>
      <c r="I235" s="26" t="s">
        <v>515</v>
      </c>
      <c r="J235" s="26"/>
      <c r="K235" s="26" t="s">
        <v>515</v>
      </c>
      <c r="L235" s="889"/>
      <c r="M235" s="26"/>
      <c r="N235" s="26"/>
      <c r="O235" s="26"/>
      <c r="P235" s="26"/>
      <c r="Q235" s="26"/>
      <c r="R235" s="26"/>
      <c r="S235" s="26"/>
      <c r="T235" s="388" t="b" cm="1">
        <f t="array" aca="1" ref="T235" ca="1">T234</f>
        <v>1</v>
      </c>
      <c r="U235" s="26"/>
      <c r="V235" s="26"/>
      <c r="W235" s="1184"/>
      <c r="X235" s="2032"/>
      <c r="Y235" s="1184"/>
      <c r="Z235" s="2012"/>
      <c r="AA235" s="1184"/>
      <c r="AB235" s="217" t="s">
        <v>570</v>
      </c>
      <c r="AC235" s="682" t="s">
        <v>2021</v>
      </c>
      <c r="AD235" s="699" t="s">
        <v>831</v>
      </c>
      <c r="AE235" s="177">
        <f ca="1">SUMIFS('Сырье и материалы'!AE$25:AE$46,'Сырье и материалы'!$F$25:$F$46,$F235,'Сырье и материалы'!$AC$25:$AC$46,"Всего по тарифу")</f>
        <v>24438.1472204167</v>
      </c>
      <c r="AF235" s="177">
        <f ca="1">SUMIFS('Сырье и материалы'!AF$25:AF$46,'Сырье и материалы'!$F$25:$F$46,$F235,'Сырье и материалы'!$AC$25:$AC$46,"Всего по тарифу")</f>
        <v>21908.58</v>
      </c>
      <c r="AG235" s="177">
        <f ca="1">SUMIFS('Сырье и материалы'!AG$25:AG$46,'Сырье и материалы'!$F$25:$F$46,$F235,'Сырье и материалы'!$AC$25:$AC$46,"Всего по тарифу")</f>
        <v>21887.43</v>
      </c>
      <c r="AH235" s="855">
        <f t="shared" ca="1" si="48"/>
        <v>-21.150000000001455</v>
      </c>
      <c r="AI235" s="855">
        <f ca="1">SUMIFS('Сырье и материалы'!AH$25:AH$46,'Сырье и материалы'!$F$25:$F$46,$F235,'Сырье и материалы'!$AC$25:$AC$46,"Всего по тарифу")</f>
        <v>25464.549403674202</v>
      </c>
      <c r="AJ235" s="855">
        <f ca="1">SUMIFS('Сырье и материалы'!AI$25:AI$46,'Сырье и материалы'!$F$25:$F$46,$F235,'Сырье и материалы'!$AC$25:$AC$46,"Всего по тарифу")</f>
        <v>31510.65</v>
      </c>
      <c r="AK235" s="855">
        <f ca="1">SUMIFS('Сырье и материалы'!AJ$25:AJ$46,'Сырье и материалы'!$F$25:$F$46,$F235,'Сырье и материалы'!$AC$25:$AC$46,"Всего по тарифу")</f>
        <v>28747.65152576</v>
      </c>
      <c r="AL235" s="855">
        <f ca="1">SUMIFS('Сырье и материалы'!AK$25:AK$46,'Сырье и материалы'!$F$25:$F$46,$F235,'Сырье и материалы'!$AC$25:$AC$46,"Всего по тарифу")</f>
        <v>29897.547586790399</v>
      </c>
      <c r="AM235" s="855">
        <f ca="1">SUMIFS('Сырье и материалы'!AL$25:AL$46,'Сырье и материалы'!$F$25:$F$46,$F235,'Сырье и материалы'!$AC$25:$AC$46,"Всего по тарифу")</f>
        <v>31093.459890262002</v>
      </c>
      <c r="AN235" s="855">
        <f ca="1">SUMIFS('Сырье и материалы'!AM$25:AM$46,'Сырье и материалы'!$F$25:$F$46,$F235,'Сырье и материалы'!$AC$25:$AC$46,"Всего по тарифу")</f>
        <v>32337.1954858725</v>
      </c>
      <c r="AO235" s="855">
        <f ca="1">SUMIFS('Сырье и материалы'!AN$25:AN$46,'Сырье и материалы'!$F$25:$F$46,$F235,'Сырье и материалы'!$AC$25:$AC$46,"Всего по тарифу")</f>
        <v>33630.678313307399</v>
      </c>
      <c r="AP235" s="855">
        <f ca="1">SUMIFS('Сырье и материалы'!AO$25:AO$46,'Сырье и материалы'!$F$25:$F$46,$F235,'Сырье и материалы'!$AC$25:$AC$46,"Всего по тарифу")</f>
        <v>34975.918245839697</v>
      </c>
      <c r="AQ235" s="855">
        <f ca="1">SUMIFS('Сырье и материалы'!AP$25:AP$46,'Сырье и материалы'!$F$25:$F$46,$F235,'Сырье и материалы'!$AC$25:$AC$46,"Всего по тарифу")</f>
        <v>0</v>
      </c>
      <c r="AR235" s="855">
        <f ca="1">SUMIFS('Сырье и материалы'!AQ$25:AQ$46,'Сырье и материалы'!$F$25:$F$46,$F235,'Сырье и материалы'!$AC$25:$AC$46,"Всего по тарифу")</f>
        <v>0</v>
      </c>
      <c r="AS235" s="855">
        <f ca="1">SUMIFS('Сырье и материалы'!AR$25:AR$46,'Сырье и материалы'!$F$25:$F$46,$F235,'Сырье и материалы'!$AC$25:$AC$46,"Всего по тарифу")</f>
        <v>0</v>
      </c>
      <c r="AT235" s="855">
        <f ca="1">SUMIFS('Сырье и материалы'!AS$25:AS$46,'Сырье и материалы'!$F$25:$F$46,$F235,'Сырье и материалы'!$AC$25:$AC$46,"Всего по тарифу")</f>
        <v>18562.939999999999</v>
      </c>
      <c r="AU235" s="855">
        <f ca="1">SUMIFS('Сырье и материалы'!AT$25:AT$46,'Сырье и материалы'!$F$25:$F$46,$F235,'Сырье и материалы'!$AC$25:$AC$46,"Всего по тарифу")</f>
        <v>27542.456635013998</v>
      </c>
      <c r="AV235" s="855">
        <f ca="1">SUMIFS('Сырье и материалы'!AU$25:AU$46,'Сырье и материалы'!$F$25:$F$46,$F235,'Сырье и материалы'!$AC$25:$AC$46,"Всего по тарифу")</f>
        <v>28644.154900414502</v>
      </c>
      <c r="AW235" s="855">
        <f ca="1">SUMIFS('Сырье и материалы'!AV$25:AV$46,'Сырье и материалы'!$F$25:$F$46,$F235,'Сырье и материалы'!$AC$25:$AC$46,"Всего по тарифу")</f>
        <v>29789.921096431197</v>
      </c>
      <c r="AX235" s="855">
        <f ca="1">SUMIFS('Сырье и материалы'!AW$25:AW$46,'Сырье и материалы'!$F$25:$F$46,$F235,'Сырье и материалы'!$AC$25:$AC$46,"Всего по тарифу")</f>
        <v>30981.517940288399</v>
      </c>
      <c r="AY235" s="855">
        <f ca="1">SUMIFS('Сырье и материалы'!AX$25:AX$46,'Сырье и материалы'!$F$25:$F$46,$F235,'Сырье и материалы'!$AC$25:$AC$46,"Всего по тарифу")</f>
        <v>32220.778657899904</v>
      </c>
      <c r="AZ235" s="855">
        <f ca="1">SUMIFS('Сырье и материалы'!AY$25:AY$46,'Сырье и материалы'!$F$25:$F$46,$F235,'Сырье и материалы'!$AC$25:$AC$46,"Всего по тарифу")</f>
        <v>33509.609804215899</v>
      </c>
      <c r="BA235" s="855">
        <f ca="1">SUMIFS('Сырье и материалы'!AZ$25:AZ$46,'Сырье и материалы'!$F$25:$F$46,$F235,'Сырье и материалы'!$AC$25:$AC$46,"Всего по тарифу")</f>
        <v>0</v>
      </c>
      <c r="BB235" s="855">
        <f ca="1">SUMIFS('Сырье и материалы'!BA$25:BA$46,'Сырье и материалы'!$F$25:$F$46,$F235,'Сырье и материалы'!$AC$25:$AC$46,"Всего по тарифу")</f>
        <v>0</v>
      </c>
      <c r="BC235" s="855">
        <f ca="1">SUMIFS('Сырье и материалы'!BB$25:BB$46,'Сырье и материалы'!$F$25:$F$46,$F235,'Сырье и материалы'!$AC$25:$AC$46,"Всего по тарифу")</f>
        <v>0</v>
      </c>
      <c r="BD235" s="855">
        <f t="shared" ca="1" si="50"/>
        <v>-27.10281377560284</v>
      </c>
      <c r="BE235" s="855">
        <f t="shared" ca="1" si="51"/>
        <v>48.37335376300306</v>
      </c>
      <c r="BF235" s="855">
        <f t="shared" ca="1" si="52"/>
        <v>3.9999999999997975</v>
      </c>
      <c r="BG235" s="855">
        <f t="shared" ca="1" si="53"/>
        <v>4.0000000000004015</v>
      </c>
      <c r="BH235" s="855">
        <f t="shared" ca="1" si="54"/>
        <v>3.9999999999998455</v>
      </c>
      <c r="BI235" s="855">
        <f t="shared" ca="1" si="55"/>
        <v>3.999999999999901</v>
      </c>
      <c r="BJ235" s="855">
        <f t="shared" ca="1" si="56"/>
        <v>3.9999999999999973</v>
      </c>
      <c r="BK235" s="855">
        <f t="shared" ca="1" si="57"/>
        <v>-100</v>
      </c>
      <c r="BL235" s="855">
        <f t="shared" ca="1" si="58"/>
        <v>0</v>
      </c>
      <c r="BM235" s="855">
        <f t="shared" ca="1" si="59"/>
        <v>0</v>
      </c>
      <c r="BN235" s="1581"/>
      <c r="BO235" s="1576"/>
      <c r="BP235" s="1581" t="s">
        <v>2205</v>
      </c>
      <c r="BQ235" s="1184"/>
      <c r="BR235" s="1184"/>
      <c r="BS235" s="973" t="s">
        <v>1684</v>
      </c>
      <c r="BT235" s="973"/>
      <c r="BU235" s="973"/>
      <c r="BV235" s="888"/>
      <c r="BW235" s="888"/>
    </row>
    <row r="236" spans="1:75" s="1583" customFormat="1" ht="33.75" customHeight="1" x14ac:dyDescent="0.15">
      <c r="A236" s="623"/>
      <c r="B236" s="30"/>
      <c r="C236" s="28"/>
      <c r="D236" s="28"/>
      <c r="E236" s="745">
        <v>21</v>
      </c>
      <c r="F236" s="3" t="str" cm="1">
        <f t="array" aca="1" ref="F236" ca="1">OFFSET(E236,-1,1)</f>
        <v>1</v>
      </c>
      <c r="G236" s="28"/>
      <c r="H236" s="26"/>
      <c r="I236" s="26" t="s">
        <v>930</v>
      </c>
      <c r="J236" s="28"/>
      <c r="K236" s="26" t="s">
        <v>930</v>
      </c>
      <c r="L236" s="894" t="s">
        <v>547</v>
      </c>
      <c r="M236" s="28"/>
      <c r="N236" s="28"/>
      <c r="O236" s="28"/>
      <c r="P236" s="28"/>
      <c r="Q236" s="28"/>
      <c r="R236" s="28"/>
      <c r="S236" s="28"/>
      <c r="T236" s="388" t="b" cm="1">
        <f t="array" aca="1" ref="T236" ca="1">T235</f>
        <v>1</v>
      </c>
      <c r="U236" s="28"/>
      <c r="V236" s="28"/>
      <c r="W236" s="623"/>
      <c r="X236" s="2032"/>
      <c r="Y236" s="623"/>
      <c r="Z236" s="2012"/>
      <c r="AA236" s="623"/>
      <c r="AB236" s="137" t="s">
        <v>574</v>
      </c>
      <c r="AC236" s="277" t="s">
        <v>2022</v>
      </c>
      <c r="AD236" s="130" t="s">
        <v>831</v>
      </c>
      <c r="AE236" s="698">
        <f ca="1">SUM(AE237:AE246)</f>
        <v>16335.20414751</v>
      </c>
      <c r="AF236" s="698">
        <f ca="1">SUM(AF237:AF246)</f>
        <v>16073.75</v>
      </c>
      <c r="AG236" s="698">
        <f ca="1">SUM(AG237:AG246)</f>
        <v>11219.74</v>
      </c>
      <c r="AH236" s="681">
        <f t="shared" ca="1" si="48"/>
        <v>-4854.01</v>
      </c>
      <c r="AI236" s="681">
        <f t="shared" ref="AI236:BC236" ca="1" si="61">SUM(AI237:AI246)</f>
        <v>17591.304965691099</v>
      </c>
      <c r="AJ236" s="690">
        <f t="shared" ca="1" si="61"/>
        <v>26794.14</v>
      </c>
      <c r="AK236" s="681">
        <f t="shared" ca="1" si="61"/>
        <v>26239.0648895335</v>
      </c>
      <c r="AL236" s="681">
        <f t="shared" ca="1" si="61"/>
        <v>26617.871203079798</v>
      </c>
      <c r="AM236" s="681">
        <f t="shared" ca="1" si="61"/>
        <v>26854.787860617998</v>
      </c>
      <c r="AN236" s="681">
        <f t="shared" ca="1" si="61"/>
        <v>27042.655986011599</v>
      </c>
      <c r="AO236" s="681">
        <f t="shared" ca="1" si="61"/>
        <v>27217.416688327998</v>
      </c>
      <c r="AP236" s="681">
        <f t="shared" ca="1" si="61"/>
        <v>27341.799873588097</v>
      </c>
      <c r="AQ236" s="681">
        <f t="shared" ca="1" si="61"/>
        <v>0</v>
      </c>
      <c r="AR236" s="681">
        <f t="shared" ca="1" si="61"/>
        <v>0</v>
      </c>
      <c r="AS236" s="681">
        <f t="shared" ca="1" si="61"/>
        <v>0</v>
      </c>
      <c r="AT236" s="690">
        <f t="shared" ca="1" si="61"/>
        <v>15397.36</v>
      </c>
      <c r="AU236" s="681">
        <f t="shared" ca="1" si="61"/>
        <v>18324.885694336601</v>
      </c>
      <c r="AV236" s="681">
        <f t="shared" ca="1" si="61"/>
        <v>18722.504181092401</v>
      </c>
      <c r="AW236" s="681">
        <f t="shared" ca="1" si="61"/>
        <v>25536.668783352601</v>
      </c>
      <c r="AX236" s="681">
        <f t="shared" ca="1" si="61"/>
        <v>25671.8105456556</v>
      </c>
      <c r="AY236" s="681">
        <f t="shared" ca="1" si="61"/>
        <v>25791.740230357798</v>
      </c>
      <c r="AZ236" s="681">
        <f t="shared" ca="1" si="61"/>
        <v>25859.092757299099</v>
      </c>
      <c r="BA236" s="681">
        <f t="shared" ca="1" si="61"/>
        <v>0</v>
      </c>
      <c r="BB236" s="681">
        <f t="shared" ca="1" si="61"/>
        <v>0</v>
      </c>
      <c r="BC236" s="681">
        <f t="shared" ca="1" si="61"/>
        <v>0</v>
      </c>
      <c r="BD236" s="681">
        <f t="shared" ca="1" si="50"/>
        <v>-12.471757893857342</v>
      </c>
      <c r="BE236" s="681">
        <f t="shared" ca="1" si="51"/>
        <v>19.013166506054286</v>
      </c>
      <c r="BF236" s="681">
        <f t="shared" ca="1" si="52"/>
        <v>2.1698279235579978</v>
      </c>
      <c r="BG236" s="681">
        <f t="shared" ca="1" si="53"/>
        <v>36.395583284963188</v>
      </c>
      <c r="BH236" s="681">
        <f t="shared" ca="1" si="54"/>
        <v>0.52920670056659236</v>
      </c>
      <c r="BI236" s="681">
        <f t="shared" ca="1" si="55"/>
        <v>0.46716488690546742</v>
      </c>
      <c r="BJ236" s="681">
        <f t="shared" ca="1" si="56"/>
        <v>0.26113990890007488</v>
      </c>
      <c r="BK236" s="681">
        <f t="shared" ca="1" si="57"/>
        <v>-100</v>
      </c>
      <c r="BL236" s="681">
        <f t="shared" ca="1" si="58"/>
        <v>0</v>
      </c>
      <c r="BM236" s="681">
        <f t="shared" ca="1" si="59"/>
        <v>0</v>
      </c>
      <c r="BN236" s="1524"/>
      <c r="BO236" s="1576" t="s">
        <v>2206</v>
      </c>
      <c r="BP236" s="1524" t="s">
        <v>2184</v>
      </c>
      <c r="BQ236" s="623"/>
      <c r="BR236" s="623"/>
      <c r="BS236" s="979" t="s">
        <v>1233</v>
      </c>
      <c r="BT236" s="979"/>
      <c r="BU236" s="979"/>
      <c r="BV236" s="630"/>
      <c r="BW236" s="630"/>
    </row>
    <row r="237" spans="1:75" s="1334" customFormat="1" ht="14.25" customHeight="1" x14ac:dyDescent="0.15">
      <c r="A237" s="1184"/>
      <c r="B237" s="15"/>
      <c r="C237" s="26"/>
      <c r="D237" s="26"/>
      <c r="E237" s="545">
        <v>15</v>
      </c>
      <c r="F237" s="3" t="str" cm="1">
        <f t="array" aca="1" ref="F237" ca="1">OFFSET(E237,-1,1)</f>
        <v>1</v>
      </c>
      <c r="G237" s="834">
        <v>7</v>
      </c>
      <c r="H237" s="26"/>
      <c r="I237" s="26" t="s">
        <v>2023</v>
      </c>
      <c r="J237" s="26"/>
      <c r="K237" s="26" t="s">
        <v>2023</v>
      </c>
      <c r="L237" s="889"/>
      <c r="M237" s="26"/>
      <c r="N237" s="26"/>
      <c r="O237" s="26"/>
      <c r="P237" s="26"/>
      <c r="Q237" s="26"/>
      <c r="R237" s="26"/>
      <c r="S237" s="26"/>
      <c r="T237" s="388" t="b" cm="1">
        <f t="array" aca="1" ref="T237" ca="1">T236</f>
        <v>1</v>
      </c>
      <c r="U237" s="26"/>
      <c r="V237" s="26"/>
      <c r="W237" s="1184"/>
      <c r="X237" s="2032"/>
      <c r="Y237" s="1184"/>
      <c r="Z237" s="2012"/>
      <c r="AA237" s="1184"/>
      <c r="AB237" s="217" t="s">
        <v>531</v>
      </c>
      <c r="AC237" s="685" t="s">
        <v>1247</v>
      </c>
      <c r="AD237" s="218" t="s">
        <v>831</v>
      </c>
      <c r="AE237" s="177">
        <f ca="1">SUMIFS(Налоги!AE$25:AE$69,Налоги!$F$25:$F$69,$F237,Налоги!$AB$25:$AB$69,$G237)</f>
        <v>0</v>
      </c>
      <c r="AF237" s="177">
        <f ca="1">SUMIFS(Налоги!AF$25:AF$69,Налоги!$F$25:$F$69,$F237,Налоги!$AB$25:$AB$69,$G237)</f>
        <v>0</v>
      </c>
      <c r="AG237" s="177">
        <f ca="1">SUMIFS(Налоги!AG$25:AG$69,Налоги!$F$25:$F$69,$F237,Налоги!$AB$25:$AB$69,$G237)</f>
        <v>0</v>
      </c>
      <c r="AH237" s="855">
        <f t="shared" ca="1" si="48"/>
        <v>0</v>
      </c>
      <c r="AI237" s="855">
        <f ca="1">SUMIFS(Налоги!AH$25:AH$69,Налоги!$F$25:$F$69,$F237,Налоги!$AB$25:$AB$69,$G237)</f>
        <v>0</v>
      </c>
      <c r="AJ237" s="855">
        <f ca="1">SUMIFS(Налоги!AI$25:AI$69,Налоги!$F$25:$F$69,$F237,Налоги!$AB$25:$AB$69,$G237)</f>
        <v>0</v>
      </c>
      <c r="AK237" s="855">
        <f ca="1">SUMIFS(Налоги!AJ$25:AJ$69,Налоги!$F$25:$F$69,$F237,Налоги!$AB$25:$AB$69,$G237)</f>
        <v>0</v>
      </c>
      <c r="AL237" s="855">
        <f ca="1">SUMIFS(Налоги!AK$25:AK$69,Налоги!$F$25:$F$69,$F237,Налоги!$AB$25:$AB$69,$G237)</f>
        <v>0</v>
      </c>
      <c r="AM237" s="855">
        <f ca="1">SUMIFS(Налоги!AL$25:AL$69,Налоги!$F$25:$F$69,$F237,Налоги!$AB$25:$AB$69,$G237)</f>
        <v>0</v>
      </c>
      <c r="AN237" s="855">
        <f ca="1">SUMIFS(Налоги!AM$25:AM$69,Налоги!$F$25:$F$69,$F237,Налоги!$AB$25:$AB$69,$G237)</f>
        <v>0</v>
      </c>
      <c r="AO237" s="855">
        <f ca="1">SUMIFS(Налоги!AN$25:AN$69,Налоги!$F$25:$F$69,$F237,Налоги!$AB$25:$AB$69,$G237)</f>
        <v>0</v>
      </c>
      <c r="AP237" s="855">
        <f ca="1">SUMIFS(Налоги!AO$25:AO$69,Налоги!$F$25:$F$69,$F237,Налоги!$AB$25:$AB$69,$G237)</f>
        <v>0</v>
      </c>
      <c r="AQ237" s="855">
        <f ca="1">SUMIFS(Налоги!AP$25:AP$69,Налоги!$F$25:$F$69,$F237,Налоги!$AB$25:$AB$69,$G237)</f>
        <v>0</v>
      </c>
      <c r="AR237" s="855">
        <f ca="1">SUMIFS(Налоги!AQ$25:AQ$69,Налоги!$F$25:$F$69,$F237,Налоги!$AB$25:$AB$69,$G237)</f>
        <v>0</v>
      </c>
      <c r="AS237" s="855">
        <f ca="1">SUMIFS(Налоги!AR$25:AR$69,Налоги!$F$25:$F$69,$F237,Налоги!$AB$25:$AB$69,$G237)</f>
        <v>0</v>
      </c>
      <c r="AT237" s="855">
        <f ca="1">SUMIFS(Налоги!AS$25:AS$69,Налоги!$F$25:$F$69,$F237,Налоги!$AB$25:$AB$69,$G237)</f>
        <v>0</v>
      </c>
      <c r="AU237" s="855">
        <f ca="1">SUMIFS(Налоги!AT$25:AT$69,Налоги!$F$25:$F$69,$F237,Налоги!$AB$25:$AB$69,$G237)</f>
        <v>0</v>
      </c>
      <c r="AV237" s="855">
        <f ca="1">SUMIFS(Налоги!AU$25:AU$69,Налоги!$F$25:$F$69,$F237,Налоги!$AB$25:$AB$69,$G237)</f>
        <v>0</v>
      </c>
      <c r="AW237" s="855">
        <f ca="1">SUMIFS(Налоги!AV$25:AV$69,Налоги!$F$25:$F$69,$F237,Налоги!$AB$25:$AB$69,$G237)</f>
        <v>0</v>
      </c>
      <c r="AX237" s="855">
        <f ca="1">SUMIFS(Налоги!AW$25:AW$69,Налоги!$F$25:$F$69,$F237,Налоги!$AB$25:$AB$69,$G237)</f>
        <v>0</v>
      </c>
      <c r="AY237" s="855">
        <f ca="1">SUMIFS(Налоги!AX$25:AX$69,Налоги!$F$25:$F$69,$F237,Налоги!$AB$25:$AB$69,$G237)</f>
        <v>0</v>
      </c>
      <c r="AZ237" s="855">
        <f ca="1">SUMIFS(Налоги!AY$25:AY$69,Налоги!$F$25:$F$69,$F237,Налоги!$AB$25:$AB$69,$G237)</f>
        <v>0</v>
      </c>
      <c r="BA237" s="855">
        <f ca="1">SUMIFS(Налоги!AZ$25:AZ$69,Налоги!$F$25:$F$69,$F237,Налоги!$AB$25:$AB$69,$G237)</f>
        <v>0</v>
      </c>
      <c r="BB237" s="855">
        <f ca="1">SUMIFS(Налоги!BA$25:BA$69,Налоги!$F$25:$F$69,$F237,Налоги!$AB$25:$AB$69,$G237)</f>
        <v>0</v>
      </c>
      <c r="BC237" s="855">
        <f ca="1">SUMIFS(Налоги!BB$25:BB$69,Налоги!$F$25:$F$69,$F237,Налоги!$AB$25:$AB$69,$G237)</f>
        <v>0</v>
      </c>
      <c r="BD237" s="855">
        <f t="shared" ca="1" si="50"/>
        <v>0</v>
      </c>
      <c r="BE237" s="855">
        <f t="shared" ca="1" si="51"/>
        <v>0</v>
      </c>
      <c r="BF237" s="855">
        <f t="shared" ca="1" si="52"/>
        <v>0</v>
      </c>
      <c r="BG237" s="855">
        <f t="shared" ca="1" si="53"/>
        <v>0</v>
      </c>
      <c r="BH237" s="855">
        <f t="shared" ca="1" si="54"/>
        <v>0</v>
      </c>
      <c r="BI237" s="855">
        <f t="shared" ca="1" si="55"/>
        <v>0</v>
      </c>
      <c r="BJ237" s="855">
        <f t="shared" ca="1" si="56"/>
        <v>0</v>
      </c>
      <c r="BK237" s="855">
        <f t="shared" ca="1" si="57"/>
        <v>0</v>
      </c>
      <c r="BL237" s="855">
        <f t="shared" ca="1" si="58"/>
        <v>0</v>
      </c>
      <c r="BM237" s="855">
        <f t="shared" ca="1" si="59"/>
        <v>0</v>
      </c>
      <c r="BN237" s="1581"/>
      <c r="BO237" s="1576"/>
      <c r="BP237" s="1581"/>
      <c r="BQ237" s="1184"/>
      <c r="BR237" s="1184"/>
      <c r="BS237" s="973" t="s">
        <v>2024</v>
      </c>
      <c r="BT237" s="973"/>
      <c r="BU237" s="973"/>
      <c r="BV237" s="888"/>
      <c r="BW237" s="888"/>
    </row>
    <row r="238" spans="1:75" s="1334" customFormat="1" ht="19.899999999999999" customHeight="1" x14ac:dyDescent="0.15">
      <c r="A238" s="1184"/>
      <c r="B238" s="15"/>
      <c r="C238" s="26"/>
      <c r="D238" s="26"/>
      <c r="E238" s="545">
        <v>15</v>
      </c>
      <c r="F238" s="3" t="str" cm="1">
        <f t="array" aca="1" ref="F238" ca="1">OFFSET(E238,-1,1)</f>
        <v>1</v>
      </c>
      <c r="G238" s="834">
        <v>6</v>
      </c>
      <c r="H238" s="26"/>
      <c r="I238" s="26" t="s">
        <v>2025</v>
      </c>
      <c r="J238" s="26"/>
      <c r="K238" s="26" t="s">
        <v>2025</v>
      </c>
      <c r="L238" s="889"/>
      <c r="M238" s="26"/>
      <c r="N238" s="26"/>
      <c r="O238" s="26"/>
      <c r="P238" s="26"/>
      <c r="Q238" s="26"/>
      <c r="R238" s="26"/>
      <c r="S238" s="26"/>
      <c r="T238" s="388" t="b" cm="1">
        <f t="array" aca="1" ref="T238" ca="1">T237</f>
        <v>1</v>
      </c>
      <c r="U238" s="26"/>
      <c r="V238" s="26"/>
      <c r="W238" s="1184"/>
      <c r="X238" s="2032"/>
      <c r="Y238" s="1184"/>
      <c r="Z238" s="2012"/>
      <c r="AA238" s="1184"/>
      <c r="AB238" s="217" t="s">
        <v>1459</v>
      </c>
      <c r="AC238" s="685" t="s">
        <v>2026</v>
      </c>
      <c r="AD238" s="218" t="s">
        <v>831</v>
      </c>
      <c r="AE238" s="177">
        <f ca="1">SUMIFS(Налоги!AE$25:AE$69,Налоги!$F$25:$F$69,$F238,Налоги!$AB$25:$AB$69,$G238)</f>
        <v>6968.59</v>
      </c>
      <c r="AF238" s="177">
        <f ca="1">SUMIFS(Налоги!AF$25:AF$69,Налоги!$F$25:$F$69,$F238,Налоги!$AB$25:$AB$69,$G238)</f>
        <v>4986.8900000000003</v>
      </c>
      <c r="AG238" s="177">
        <f ca="1">SUMIFS(Налоги!AG$25:AG$69,Налоги!$F$25:$F$69,$F238,Налоги!$AB$25:$AB$69,$G238)</f>
        <v>4986.8900000000003</v>
      </c>
      <c r="AH238" s="855">
        <f t="shared" ca="1" si="48"/>
        <v>0</v>
      </c>
      <c r="AI238" s="855">
        <f ca="1">SUMIFS(Налоги!AH$25:AH$69,Налоги!$F$25:$F$69,$F238,Налоги!$AB$25:$AB$69,$G238)</f>
        <v>6839.2864287368002</v>
      </c>
      <c r="AJ238" s="855">
        <f ca="1">SUMIFS(Налоги!AI$25:AI$69,Налоги!$F$25:$F$69,$F238,Налоги!$AB$25:$AB$69,$G238)</f>
        <v>14698.81</v>
      </c>
      <c r="AK238" s="855">
        <f ca="1">SUMIFS(Налоги!AJ$25:AJ$69,Налоги!$F$25:$F$69,$F238,Налоги!$AB$25:$AB$69,$G238)</f>
        <v>13391.0048895335</v>
      </c>
      <c r="AL238" s="855">
        <f ca="1">SUMIFS(Налоги!AK$25:AK$69,Налоги!$F$25:$F$69,$F238,Налоги!$AB$25:$AB$69,$G238)</f>
        <v>13255.8912030798</v>
      </c>
      <c r="AM238" s="855">
        <f ca="1">SUMIFS(Налоги!AL$25:AL$69,Налоги!$F$25:$F$69,$F238,Налоги!$AB$25:$AB$69,$G238)</f>
        <v>12958.327860617999</v>
      </c>
      <c r="AN238" s="855">
        <f ca="1">SUMIFS(Налоги!AM$25:AM$69,Налоги!$F$25:$F$69,$F238,Налоги!$AB$25:$AB$69,$G238)</f>
        <v>12590.3359860116</v>
      </c>
      <c r="AO238" s="855">
        <f ca="1">SUMIFS(Налоги!AN$25:AN$69,Налоги!$F$25:$F$69,$F238,Налоги!$AB$25:$AB$69,$G238)</f>
        <v>12187.006688328</v>
      </c>
      <c r="AP238" s="855">
        <f ca="1">SUMIFS(Налоги!AO$25:AO$69,Налоги!$F$25:$F$69,$F238,Налоги!$AB$25:$AB$69,$G238)</f>
        <v>11710.1698735881</v>
      </c>
      <c r="AQ238" s="855">
        <f ca="1">SUMIFS(Налоги!AP$25:AP$69,Налоги!$F$25:$F$69,$F238,Налоги!$AB$25:$AB$69,$G238)</f>
        <v>0</v>
      </c>
      <c r="AR238" s="855">
        <f ca="1">SUMIFS(Налоги!AQ$25:AQ$69,Налоги!$F$25:$F$69,$F238,Налоги!$AB$25:$AB$69,$G238)</f>
        <v>0</v>
      </c>
      <c r="AS238" s="855">
        <f ca="1">SUMIFS(Налоги!AR$25:AR$69,Налоги!$F$25:$F$69,$F238,Налоги!$AB$25:$AB$69,$G238)</f>
        <v>0</v>
      </c>
      <c r="AT238" s="855">
        <f ca="1">SUMIFS(Налоги!AS$25:AS$69,Налоги!$F$25:$F$69,$F238,Налоги!$AB$25:$AB$69,$G238)</f>
        <v>6760.13</v>
      </c>
      <c r="AU238" s="855">
        <f ca="1">SUMIFS(Налоги!AT$25:AT$69,Налоги!$F$25:$F$69,$F238,Налоги!$AB$25:$AB$69,$G238)</f>
        <v>6695.5024447668002</v>
      </c>
      <c r="AV238" s="855">
        <f ca="1">SUMIFS(Налоги!AU$25:AU$69,Налоги!$F$25:$F$69,$F238,Налоги!$AB$25:$AB$69,$G238)</f>
        <v>6627.9456015399001</v>
      </c>
      <c r="AW238" s="855">
        <f ca="1">SUMIFS(Налоги!AV$25:AV$69,Налоги!$F$25:$F$69,$F238,Налоги!$AB$25:$AB$69,$G238)</f>
        <v>12958.327860617999</v>
      </c>
      <c r="AX238" s="855">
        <f ca="1">SUMIFS(Налоги!AW$25:AW$69,Налоги!$F$25:$F$69,$F238,Налоги!$AB$25:$AB$69,$G238)</f>
        <v>12590.3359860116</v>
      </c>
      <c r="AY238" s="855">
        <f ca="1">SUMIFS(Налоги!AX$25:AX$69,Налоги!$F$25:$F$69,$F238,Налоги!$AB$25:$AB$69,$G238)</f>
        <v>12187.006688328</v>
      </c>
      <c r="AZ238" s="855">
        <f ca="1">SUMIFS(Налоги!AY$25:AY$69,Налоги!$F$25:$F$69,$F238,Налоги!$AB$25:$AB$69,$G238)</f>
        <v>11710.1698735881</v>
      </c>
      <c r="BA238" s="855">
        <f ca="1">SUMIFS(Налоги!AZ$25:AZ$69,Налоги!$F$25:$F$69,$F238,Налоги!$AB$25:$AB$69,$G238)</f>
        <v>0</v>
      </c>
      <c r="BB238" s="855">
        <f ca="1">SUMIFS(Налоги!BA$25:BA$69,Налоги!$F$25:$F$69,$F238,Налоги!$AB$25:$AB$69,$G238)</f>
        <v>0</v>
      </c>
      <c r="BC238" s="855">
        <f ca="1">SUMIFS(Налоги!BB$25:BB$69,Налоги!$F$25:$F$69,$F238,Налоги!$AB$25:$AB$69,$G238)</f>
        <v>0</v>
      </c>
      <c r="BD238" s="855">
        <f t="shared" ca="1" si="50"/>
        <v>-1.1573784715932725</v>
      </c>
      <c r="BE238" s="855">
        <f t="shared" ca="1" si="51"/>
        <v>-0.95601053874999342</v>
      </c>
      <c r="BF238" s="855">
        <f t="shared" ca="1" si="52"/>
        <v>-1.0089884035469587</v>
      </c>
      <c r="BG238" s="855">
        <f t="shared" ca="1" si="53"/>
        <v>95.510473978653849</v>
      </c>
      <c r="BH238" s="855">
        <f t="shared" ca="1" si="54"/>
        <v>-2.8398098779764127</v>
      </c>
      <c r="BI238" s="855">
        <f t="shared" ca="1" si="55"/>
        <v>-3.2034831964112485</v>
      </c>
      <c r="BJ238" s="855">
        <f t="shared" ca="1" si="56"/>
        <v>-3.9126655702633357</v>
      </c>
      <c r="BK238" s="855">
        <f t="shared" ca="1" si="57"/>
        <v>-100</v>
      </c>
      <c r="BL238" s="855">
        <f t="shared" ca="1" si="58"/>
        <v>0</v>
      </c>
      <c r="BM238" s="855">
        <f t="shared" ca="1" si="59"/>
        <v>0</v>
      </c>
      <c r="BN238" s="1581"/>
      <c r="BO238" s="1576"/>
      <c r="BP238" s="1581"/>
      <c r="BQ238" s="1184"/>
      <c r="BR238" s="1184"/>
      <c r="BS238" s="973" t="s">
        <v>2027</v>
      </c>
      <c r="BT238" s="973"/>
      <c r="BU238" s="973"/>
      <c r="BV238" s="888"/>
      <c r="BW238" s="888"/>
    </row>
    <row r="239" spans="1:75" s="1334" customFormat="1" ht="14.25" customHeight="1" x14ac:dyDescent="0.15">
      <c r="A239" s="1184"/>
      <c r="B239" s="15"/>
      <c r="C239" s="26"/>
      <c r="D239" s="26"/>
      <c r="E239" s="545">
        <v>15</v>
      </c>
      <c r="F239" s="3" t="str" cm="1">
        <f t="array" aca="1" ref="F239" ca="1">OFFSET(E239,-1,1)</f>
        <v>1</v>
      </c>
      <c r="G239" s="834">
        <v>2</v>
      </c>
      <c r="H239" s="26"/>
      <c r="I239" s="26" t="s">
        <v>2028</v>
      </c>
      <c r="J239" s="26"/>
      <c r="K239" s="26" t="s">
        <v>2028</v>
      </c>
      <c r="L239" s="889"/>
      <c r="M239" s="26"/>
      <c r="N239" s="26"/>
      <c r="O239" s="26"/>
      <c r="P239" s="26"/>
      <c r="Q239" s="26"/>
      <c r="R239" s="26"/>
      <c r="S239" s="26"/>
      <c r="T239" s="388" t="b" cm="1">
        <f t="array" aca="1" ref="T239" ca="1">T238</f>
        <v>1</v>
      </c>
      <c r="U239" s="26"/>
      <c r="V239" s="26"/>
      <c r="W239" s="1184"/>
      <c r="X239" s="2032"/>
      <c r="Y239" s="1184"/>
      <c r="Z239" s="2012"/>
      <c r="AA239" s="1184"/>
      <c r="AB239" s="217" t="s">
        <v>1464</v>
      </c>
      <c r="AC239" s="685" t="s">
        <v>2029</v>
      </c>
      <c r="AD239" s="218" t="s">
        <v>831</v>
      </c>
      <c r="AE239" s="177">
        <f ca="1">SUMIFS(Налоги!AE$25:AE$69,Налоги!$F$25:$F$69,$F239,Налоги!$AB$25:$AB$69,$G239)</f>
        <v>0</v>
      </c>
      <c r="AF239" s="177">
        <f ca="1">SUMIFS(Налоги!AF$25:AF$69,Налоги!$F$25:$F$69,$F239,Налоги!$AB$25:$AB$69,$G239)</f>
        <v>0</v>
      </c>
      <c r="AG239" s="177">
        <f ca="1">SUMIFS(Налоги!AG$25:AG$69,Налоги!$F$25:$F$69,$F239,Налоги!$AB$25:$AB$69,$G239)</f>
        <v>0</v>
      </c>
      <c r="AH239" s="855">
        <f t="shared" ca="1" si="48"/>
        <v>0</v>
      </c>
      <c r="AI239" s="855">
        <f ca="1">SUMIFS(Налоги!AH$25:AH$69,Налоги!$F$25:$F$69,$F239,Налоги!$AB$25:$AB$69,$G239)</f>
        <v>0</v>
      </c>
      <c r="AJ239" s="855">
        <f ca="1">SUMIFS(Налоги!AI$25:AI$69,Налоги!$F$25:$F$69,$F239,Налоги!$AB$25:$AB$69,$G239)</f>
        <v>0</v>
      </c>
      <c r="AK239" s="855">
        <f ca="1">SUMIFS(Налоги!AJ$25:AJ$69,Налоги!$F$25:$F$69,$F239,Налоги!$AB$25:$AB$69,$G239)</f>
        <v>0</v>
      </c>
      <c r="AL239" s="855">
        <f ca="1">SUMIFS(Налоги!AK$25:AK$69,Налоги!$F$25:$F$69,$F239,Налоги!$AB$25:$AB$69,$G239)</f>
        <v>0</v>
      </c>
      <c r="AM239" s="855">
        <f ca="1">SUMIFS(Налоги!AL$25:AL$69,Налоги!$F$25:$F$69,$F239,Налоги!$AB$25:$AB$69,$G239)</f>
        <v>0</v>
      </c>
      <c r="AN239" s="855">
        <f ca="1">SUMIFS(Налоги!AM$25:AM$69,Налоги!$F$25:$F$69,$F239,Налоги!$AB$25:$AB$69,$G239)</f>
        <v>0</v>
      </c>
      <c r="AO239" s="855">
        <f ca="1">SUMIFS(Налоги!AN$25:AN$69,Налоги!$F$25:$F$69,$F239,Налоги!$AB$25:$AB$69,$G239)</f>
        <v>0</v>
      </c>
      <c r="AP239" s="855">
        <f ca="1">SUMIFS(Налоги!AO$25:AO$69,Налоги!$F$25:$F$69,$F239,Налоги!$AB$25:$AB$69,$G239)</f>
        <v>0</v>
      </c>
      <c r="AQ239" s="855">
        <f ca="1">SUMIFS(Налоги!AP$25:AP$69,Налоги!$F$25:$F$69,$F239,Налоги!$AB$25:$AB$69,$G239)</f>
        <v>0</v>
      </c>
      <c r="AR239" s="855">
        <f ca="1">SUMIFS(Налоги!AQ$25:AQ$69,Налоги!$F$25:$F$69,$F239,Налоги!$AB$25:$AB$69,$G239)</f>
        <v>0</v>
      </c>
      <c r="AS239" s="855">
        <f ca="1">SUMIFS(Налоги!AR$25:AR$69,Налоги!$F$25:$F$69,$F239,Налоги!$AB$25:$AB$69,$G239)</f>
        <v>0</v>
      </c>
      <c r="AT239" s="855">
        <f ca="1">SUMIFS(Налоги!AS$25:AS$69,Налоги!$F$25:$F$69,$F239,Налоги!$AB$25:$AB$69,$G239)</f>
        <v>0</v>
      </c>
      <c r="AU239" s="855">
        <f ca="1">SUMIFS(Налоги!AT$25:AT$69,Налоги!$F$25:$F$69,$F239,Налоги!$AB$25:$AB$69,$G239)</f>
        <v>0</v>
      </c>
      <c r="AV239" s="855">
        <f ca="1">SUMIFS(Налоги!AU$25:AU$69,Налоги!$F$25:$F$69,$F239,Налоги!$AB$25:$AB$69,$G239)</f>
        <v>0</v>
      </c>
      <c r="AW239" s="855">
        <f ca="1">SUMIFS(Налоги!AV$25:AV$69,Налоги!$F$25:$F$69,$F239,Налоги!$AB$25:$AB$69,$G239)</f>
        <v>0</v>
      </c>
      <c r="AX239" s="855">
        <f ca="1">SUMIFS(Налоги!AW$25:AW$69,Налоги!$F$25:$F$69,$F239,Налоги!$AB$25:$AB$69,$G239)</f>
        <v>0</v>
      </c>
      <c r="AY239" s="855">
        <f ca="1">SUMIFS(Налоги!AX$25:AX$69,Налоги!$F$25:$F$69,$F239,Налоги!$AB$25:$AB$69,$G239)</f>
        <v>0</v>
      </c>
      <c r="AZ239" s="855">
        <f ca="1">SUMIFS(Налоги!AY$25:AY$69,Налоги!$F$25:$F$69,$F239,Налоги!$AB$25:$AB$69,$G239)</f>
        <v>0</v>
      </c>
      <c r="BA239" s="855">
        <f ca="1">SUMIFS(Налоги!AZ$25:AZ$69,Налоги!$F$25:$F$69,$F239,Налоги!$AB$25:$AB$69,$G239)</f>
        <v>0</v>
      </c>
      <c r="BB239" s="855">
        <f ca="1">SUMIFS(Налоги!BA$25:BA$69,Налоги!$F$25:$F$69,$F239,Налоги!$AB$25:$AB$69,$G239)</f>
        <v>0</v>
      </c>
      <c r="BC239" s="855">
        <f ca="1">SUMIFS(Налоги!BB$25:BB$69,Налоги!$F$25:$F$69,$F239,Налоги!$AB$25:$AB$69,$G239)</f>
        <v>0</v>
      </c>
      <c r="BD239" s="855">
        <f t="shared" ca="1" si="50"/>
        <v>0</v>
      </c>
      <c r="BE239" s="855">
        <f t="shared" ca="1" si="51"/>
        <v>0</v>
      </c>
      <c r="BF239" s="855">
        <f t="shared" ca="1" si="52"/>
        <v>0</v>
      </c>
      <c r="BG239" s="855">
        <f t="shared" ca="1" si="53"/>
        <v>0</v>
      </c>
      <c r="BH239" s="855">
        <f t="shared" ca="1" si="54"/>
        <v>0</v>
      </c>
      <c r="BI239" s="855">
        <f t="shared" ca="1" si="55"/>
        <v>0</v>
      </c>
      <c r="BJ239" s="855">
        <f t="shared" ca="1" si="56"/>
        <v>0</v>
      </c>
      <c r="BK239" s="855">
        <f t="shared" ca="1" si="57"/>
        <v>0</v>
      </c>
      <c r="BL239" s="855">
        <f t="shared" ca="1" si="58"/>
        <v>0</v>
      </c>
      <c r="BM239" s="855">
        <f t="shared" ca="1" si="59"/>
        <v>0</v>
      </c>
      <c r="BN239" s="1581"/>
      <c r="BO239" s="1576" t="str">
        <f ca="1">IF(IFERROR(INDEX(Налоги!$K$26:$L$69,MATCH($F239&amp;"2komm",Налоги!$K$26:$K$69,0),2),"")=0,"",IFERROR(INDEX(Налоги!$K$26:$L$69,MATCH($F239&amp;"2komm",Налоги!$K$26:$K$69,0),2),""))</f>
        <v/>
      </c>
      <c r="BP239" s="1581"/>
      <c r="BQ239" s="1184"/>
      <c r="BR239" s="1184"/>
      <c r="BS239" s="973" t="s">
        <v>2030</v>
      </c>
      <c r="BT239" s="973"/>
      <c r="BU239" s="973"/>
      <c r="BV239" s="888"/>
      <c r="BW239" s="888"/>
    </row>
    <row r="240" spans="1:75" s="1334" customFormat="1" ht="14.25" customHeight="1" x14ac:dyDescent="0.15">
      <c r="A240" s="1184"/>
      <c r="B240" s="15"/>
      <c r="C240" s="26"/>
      <c r="D240" s="26"/>
      <c r="E240" s="545">
        <v>15</v>
      </c>
      <c r="F240" s="3" t="str" cm="1">
        <f t="array" aca="1" ref="F240" ca="1">OFFSET(E240,-1,1)</f>
        <v>1</v>
      </c>
      <c r="G240" s="834">
        <v>4</v>
      </c>
      <c r="H240" s="26"/>
      <c r="I240" s="26" t="s">
        <v>2031</v>
      </c>
      <c r="J240" s="26"/>
      <c r="K240" s="26" t="s">
        <v>2031</v>
      </c>
      <c r="L240" s="889"/>
      <c r="M240" s="26"/>
      <c r="N240" s="26"/>
      <c r="O240" s="26"/>
      <c r="P240" s="26"/>
      <c r="Q240" s="26"/>
      <c r="R240" s="26"/>
      <c r="S240" s="26"/>
      <c r="T240" s="388" t="b" cm="1">
        <f t="array" aca="1" ref="T240" ca="1">T239</f>
        <v>1</v>
      </c>
      <c r="U240" s="26"/>
      <c r="V240" s="26"/>
      <c r="W240" s="1184"/>
      <c r="X240" s="2032"/>
      <c r="Y240" s="1184"/>
      <c r="Z240" s="2012"/>
      <c r="AA240" s="1184"/>
      <c r="AB240" s="217" t="s">
        <v>2032</v>
      </c>
      <c r="AC240" s="685" t="s">
        <v>2033</v>
      </c>
      <c r="AD240" s="218" t="s">
        <v>831</v>
      </c>
      <c r="AE240" s="177">
        <f ca="1">SUMIFS(Налоги!AE$25:AE$69,Налоги!$F$25:$F$69,$F240,Налоги!$AB$25:$AB$69,$G240)</f>
        <v>0</v>
      </c>
      <c r="AF240" s="177">
        <f ca="1">SUMIFS(Налоги!AF$25:AF$69,Налоги!$F$25:$F$69,$F240,Налоги!$AB$25:$AB$69,$G240)</f>
        <v>53.36</v>
      </c>
      <c r="AG240" s="177">
        <f ca="1">SUMIFS(Налоги!AG$25:AG$69,Налоги!$F$25:$F$69,$F240,Налоги!$AB$25:$AB$69,$G240)</f>
        <v>53.36</v>
      </c>
      <c r="AH240" s="855">
        <f t="shared" ca="1" si="48"/>
        <v>0</v>
      </c>
      <c r="AI240" s="855">
        <f ca="1">SUMIFS(Налоги!AH$25:AH$69,Налоги!$F$25:$F$69,$F240,Налоги!$AB$25:$AB$69,$G240)</f>
        <v>0</v>
      </c>
      <c r="AJ240" s="855">
        <f ca="1">SUMIFS(Налоги!AI$25:AI$69,Налоги!$F$25:$F$69,$F240,Налоги!$AB$25:$AB$69,$G240)</f>
        <v>58.22</v>
      </c>
      <c r="AK240" s="855">
        <f ca="1">SUMIFS(Налоги!AJ$25:AJ$69,Налоги!$F$25:$F$69,$F240,Налоги!$AB$25:$AB$69,$G240)</f>
        <v>0</v>
      </c>
      <c r="AL240" s="855">
        <f ca="1">SUMIFS(Налоги!AK$25:AK$69,Налоги!$F$25:$F$69,$F240,Налоги!$AB$25:$AB$69,$G240)</f>
        <v>0</v>
      </c>
      <c r="AM240" s="855">
        <f ca="1">SUMIFS(Налоги!AL$25:AL$69,Налоги!$F$25:$F$69,$F240,Налоги!$AB$25:$AB$69,$G240)</f>
        <v>0</v>
      </c>
      <c r="AN240" s="855">
        <f ca="1">SUMIFS(Налоги!AM$25:AM$69,Налоги!$F$25:$F$69,$F240,Налоги!$AB$25:$AB$69,$G240)</f>
        <v>0</v>
      </c>
      <c r="AO240" s="855">
        <f ca="1">SUMIFS(Налоги!AN$25:AN$69,Налоги!$F$25:$F$69,$F240,Налоги!$AB$25:$AB$69,$G240)</f>
        <v>0</v>
      </c>
      <c r="AP240" s="855">
        <f ca="1">SUMIFS(Налоги!AO$25:AO$69,Налоги!$F$25:$F$69,$F240,Налоги!$AB$25:$AB$69,$G240)</f>
        <v>0</v>
      </c>
      <c r="AQ240" s="855">
        <f ca="1">SUMIFS(Налоги!AP$25:AP$69,Налоги!$F$25:$F$69,$F240,Налоги!$AB$25:$AB$69,$G240)</f>
        <v>0</v>
      </c>
      <c r="AR240" s="855">
        <f ca="1">SUMIFS(Налоги!AQ$25:AQ$69,Налоги!$F$25:$F$69,$F240,Налоги!$AB$25:$AB$69,$G240)</f>
        <v>0</v>
      </c>
      <c r="AS240" s="855">
        <f ca="1">SUMIFS(Налоги!AR$25:AR$69,Налоги!$F$25:$F$69,$F240,Налоги!$AB$25:$AB$69,$G240)</f>
        <v>0</v>
      </c>
      <c r="AT240" s="855">
        <f ca="1">SUMIFS(Налоги!AS$25:AS$69,Налоги!$F$25:$F$69,$F240,Налоги!$AB$25:$AB$69,$G240)</f>
        <v>58.22</v>
      </c>
      <c r="AU240" s="855">
        <f ca="1">SUMIFS(Налоги!AT$25:AT$69,Налоги!$F$25:$F$69,$F240,Налоги!$AB$25:$AB$69,$G240)</f>
        <v>0</v>
      </c>
      <c r="AV240" s="855">
        <f ca="1">SUMIFS(Налоги!AU$25:AU$69,Налоги!$F$25:$F$69,$F240,Налоги!$AB$25:$AB$69,$G240)</f>
        <v>0</v>
      </c>
      <c r="AW240" s="855">
        <f ca="1">SUMIFS(Налоги!AV$25:AV$69,Налоги!$F$25:$F$69,$F240,Налоги!$AB$25:$AB$69,$G240)</f>
        <v>0</v>
      </c>
      <c r="AX240" s="855">
        <f ca="1">SUMIFS(Налоги!AW$25:AW$69,Налоги!$F$25:$F$69,$F240,Налоги!$AB$25:$AB$69,$G240)</f>
        <v>0</v>
      </c>
      <c r="AY240" s="855">
        <f ca="1">SUMIFS(Налоги!AX$25:AX$69,Налоги!$F$25:$F$69,$F240,Налоги!$AB$25:$AB$69,$G240)</f>
        <v>0</v>
      </c>
      <c r="AZ240" s="855">
        <f ca="1">SUMIFS(Налоги!AY$25:AY$69,Налоги!$F$25:$F$69,$F240,Налоги!$AB$25:$AB$69,$G240)</f>
        <v>0</v>
      </c>
      <c r="BA240" s="855">
        <f ca="1">SUMIFS(Налоги!AZ$25:AZ$69,Налоги!$F$25:$F$69,$F240,Налоги!$AB$25:$AB$69,$G240)</f>
        <v>0</v>
      </c>
      <c r="BB240" s="855">
        <f ca="1">SUMIFS(Налоги!BA$25:BA$69,Налоги!$F$25:$F$69,$F240,Налоги!$AB$25:$AB$69,$G240)</f>
        <v>0</v>
      </c>
      <c r="BC240" s="855">
        <f ca="1">SUMIFS(Налоги!BB$25:BB$69,Налоги!$F$25:$F$69,$F240,Налоги!$AB$25:$AB$69,$G240)</f>
        <v>0</v>
      </c>
      <c r="BD240" s="855">
        <f t="shared" ca="1" si="50"/>
        <v>0</v>
      </c>
      <c r="BE240" s="855">
        <f t="shared" ca="1" si="51"/>
        <v>-100</v>
      </c>
      <c r="BF240" s="855">
        <f t="shared" ca="1" si="52"/>
        <v>0</v>
      </c>
      <c r="BG240" s="855">
        <f t="shared" ca="1" si="53"/>
        <v>0</v>
      </c>
      <c r="BH240" s="855">
        <f t="shared" ca="1" si="54"/>
        <v>0</v>
      </c>
      <c r="BI240" s="855">
        <f t="shared" ca="1" si="55"/>
        <v>0</v>
      </c>
      <c r="BJ240" s="855">
        <f t="shared" ca="1" si="56"/>
        <v>0</v>
      </c>
      <c r="BK240" s="855">
        <f t="shared" ca="1" si="57"/>
        <v>0</v>
      </c>
      <c r="BL240" s="855">
        <f t="shared" ca="1" si="58"/>
        <v>0</v>
      </c>
      <c r="BM240" s="855">
        <f t="shared" ca="1" si="59"/>
        <v>0</v>
      </c>
      <c r="BN240" s="1581"/>
      <c r="BO240" s="1576"/>
      <c r="BP240" s="1581"/>
      <c r="BQ240" s="1184"/>
      <c r="BR240" s="1184"/>
      <c r="BS240" s="973" t="s">
        <v>2034</v>
      </c>
      <c r="BT240" s="973"/>
      <c r="BU240" s="973"/>
      <c r="BV240" s="888"/>
      <c r="BW240" s="888"/>
    </row>
    <row r="241" spans="1:75" s="1334" customFormat="1" ht="32.1" customHeight="1" x14ac:dyDescent="0.15">
      <c r="A241" s="1184"/>
      <c r="B241" s="15"/>
      <c r="C241" s="26"/>
      <c r="D241" s="26"/>
      <c r="E241" s="545">
        <v>15</v>
      </c>
      <c r="F241" s="3" t="str" cm="1">
        <f t="array" aca="1" ref="F241" ca="1">OFFSET(E241,-1,1)</f>
        <v>1</v>
      </c>
      <c r="G241" s="834">
        <v>5</v>
      </c>
      <c r="H241" s="26"/>
      <c r="I241" s="26" t="s">
        <v>2035</v>
      </c>
      <c r="J241" s="26"/>
      <c r="K241" s="26" t="s">
        <v>2035</v>
      </c>
      <c r="L241" s="889"/>
      <c r="M241" s="26"/>
      <c r="N241" s="26"/>
      <c r="O241" s="26"/>
      <c r="P241" s="26"/>
      <c r="Q241" s="26"/>
      <c r="R241" s="26"/>
      <c r="S241" s="26"/>
      <c r="T241" s="388" t="b" cm="1">
        <f t="array" aca="1" ref="T241" ca="1">T240</f>
        <v>1</v>
      </c>
      <c r="U241" s="26"/>
      <c r="V241" s="26"/>
      <c r="W241" s="1184"/>
      <c r="X241" s="2032"/>
      <c r="Y241" s="1184"/>
      <c r="Z241" s="2012"/>
      <c r="AA241" s="1184"/>
      <c r="AB241" s="217" t="s">
        <v>2036</v>
      </c>
      <c r="AC241" s="685" t="s">
        <v>2037</v>
      </c>
      <c r="AD241" s="218" t="s">
        <v>831</v>
      </c>
      <c r="AE241" s="177">
        <f ca="1">SUMIFS(Налоги!AE$25:AE$69,Налоги!$F$25:$F$69,$F241,Налоги!$AB$25:$AB$69,$G241)</f>
        <v>9366.6141475099994</v>
      </c>
      <c r="AF241" s="177">
        <f ca="1">SUMIFS(Налоги!AF$25:AF$69,Налоги!$F$25:$F$69,$F241,Налоги!$AB$25:$AB$69,$G241)</f>
        <v>11033.5</v>
      </c>
      <c r="AG241" s="177">
        <f ca="1">SUMIFS(Налоги!AG$25:AG$69,Налоги!$F$25:$F$69,$F241,Налоги!$AB$25:$AB$69,$G241)</f>
        <v>6179.49</v>
      </c>
      <c r="AH241" s="855">
        <f t="shared" ca="1" si="48"/>
        <v>-4854.01</v>
      </c>
      <c r="AI241" s="855">
        <f ca="1">SUMIFS(Налоги!AH$25:AH$69,Налоги!$F$25:$F$69,$F241,Налоги!$AB$25:$AB$69,$G241)</f>
        <v>10752.0185369543</v>
      </c>
      <c r="AJ241" s="855">
        <f ca="1">SUMIFS(Налоги!AI$25:AI$69,Налоги!$F$25:$F$69,$F241,Налоги!$AB$25:$AB$69,$G241)</f>
        <v>12037.11</v>
      </c>
      <c r="AK241" s="855">
        <f ca="1">SUMIFS(Налоги!AJ$25:AJ$69,Налоги!$F$25:$F$69,$F241,Налоги!$AB$25:$AB$69,$G241)</f>
        <v>12848.06</v>
      </c>
      <c r="AL241" s="855">
        <f ca="1">SUMIFS(Налоги!AK$25:AK$69,Налоги!$F$25:$F$69,$F241,Налоги!$AB$25:$AB$69,$G241)</f>
        <v>13361.98</v>
      </c>
      <c r="AM241" s="855">
        <f ca="1">SUMIFS(Налоги!AL$25:AL$69,Налоги!$F$25:$F$69,$F241,Налоги!$AB$25:$AB$69,$G241)</f>
        <v>13896.46</v>
      </c>
      <c r="AN241" s="855">
        <f ca="1">SUMIFS(Налоги!AM$25:AM$69,Налоги!$F$25:$F$69,$F241,Налоги!$AB$25:$AB$69,$G241)</f>
        <v>14452.32</v>
      </c>
      <c r="AO241" s="855">
        <f ca="1">SUMIFS(Налоги!AN$25:AN$69,Налоги!$F$25:$F$69,$F241,Налоги!$AB$25:$AB$69,$G241)</f>
        <v>15030.41</v>
      </c>
      <c r="AP241" s="855">
        <f ca="1">SUMIFS(Налоги!AO$25:AO$69,Налоги!$F$25:$F$69,$F241,Налоги!$AB$25:$AB$69,$G241)</f>
        <v>15631.63</v>
      </c>
      <c r="AQ241" s="855">
        <f ca="1">SUMIFS(Налоги!AP$25:AP$69,Налоги!$F$25:$F$69,$F241,Налоги!$AB$25:$AB$69,$G241)</f>
        <v>0</v>
      </c>
      <c r="AR241" s="855">
        <f ca="1">SUMIFS(Налоги!AQ$25:AQ$69,Налоги!$F$25:$F$69,$F241,Налоги!$AB$25:$AB$69,$G241)</f>
        <v>0</v>
      </c>
      <c r="AS241" s="855">
        <f ca="1">SUMIFS(Налоги!AR$25:AR$69,Налоги!$F$25:$F$69,$F241,Налоги!$AB$25:$AB$69,$G241)</f>
        <v>0</v>
      </c>
      <c r="AT241" s="855">
        <f ca="1">SUMIFS(Налоги!AS$25:AS$69,Налоги!$F$25:$F$69,$F241,Налоги!$AB$25:$AB$69,$G241)</f>
        <v>8579.01</v>
      </c>
      <c r="AU241" s="855">
        <f ca="1">SUMIFS(Налоги!AT$25:AT$69,Налоги!$F$25:$F$69,$F241,Налоги!$AB$25:$AB$69,$G241)</f>
        <v>11629.383249569801</v>
      </c>
      <c r="AV241" s="855">
        <f ca="1">SUMIFS(Налоги!AU$25:AU$69,Налоги!$F$25:$F$69,$F241,Налоги!$AB$25:$AB$69,$G241)</f>
        <v>12094.5585795525</v>
      </c>
      <c r="AW241" s="855">
        <f ca="1">SUMIFS(Налоги!AV$25:AV$69,Налоги!$F$25:$F$69,$F241,Налоги!$AB$25:$AB$69,$G241)</f>
        <v>12578.3409227346</v>
      </c>
      <c r="AX241" s="855">
        <f ca="1">SUMIFS(Налоги!AW$25:AW$69,Налоги!$F$25:$F$69,$F241,Налоги!$AB$25:$AB$69,$G241)</f>
        <v>13081.474559644001</v>
      </c>
      <c r="AY241" s="855">
        <f ca="1">SUMIFS(Налоги!AX$25:AX$69,Налоги!$F$25:$F$69,$F241,Налоги!$AB$25:$AB$69,$G241)</f>
        <v>13604.7335420298</v>
      </c>
      <c r="AZ241" s="855">
        <f ca="1">SUMIFS(Налоги!AY$25:AY$69,Налоги!$F$25:$F$69,$F241,Налоги!$AB$25:$AB$69,$G241)</f>
        <v>14148.922883711</v>
      </c>
      <c r="BA241" s="855">
        <f ca="1">SUMIFS(Налоги!AZ$25:AZ$69,Налоги!$F$25:$F$69,$F241,Налоги!$AB$25:$AB$69,$G241)</f>
        <v>0</v>
      </c>
      <c r="BB241" s="855">
        <f ca="1">SUMIFS(Налоги!BA$25:BA$69,Налоги!$F$25:$F$69,$F241,Налоги!$AB$25:$AB$69,$G241)</f>
        <v>0</v>
      </c>
      <c r="BC241" s="855">
        <f ca="1">SUMIFS(Налоги!BB$25:BB$69,Налоги!$F$25:$F$69,$F241,Налоги!$AB$25:$AB$69,$G241)</f>
        <v>0</v>
      </c>
      <c r="BD241" s="855">
        <f t="shared" ca="1" si="50"/>
        <v>-20.210238007735455</v>
      </c>
      <c r="BE241" s="855">
        <f t="shared" ca="1" si="51"/>
        <v>35.55623841876627</v>
      </c>
      <c r="BF241" s="855">
        <f t="shared" ca="1" si="52"/>
        <v>3.9999999999992055</v>
      </c>
      <c r="BG241" s="855">
        <f t="shared" ca="1" si="53"/>
        <v>3.9999999999999982</v>
      </c>
      <c r="BH241" s="855">
        <f t="shared" ca="1" si="54"/>
        <v>4.0000000000001323</v>
      </c>
      <c r="BI241" s="855">
        <f t="shared" ca="1" si="55"/>
        <v>4.0000000000003038</v>
      </c>
      <c r="BJ241" s="855">
        <f t="shared" ca="1" si="56"/>
        <v>4.0000000000000586</v>
      </c>
      <c r="BK241" s="855">
        <f t="shared" ca="1" si="57"/>
        <v>-100</v>
      </c>
      <c r="BL241" s="855">
        <f t="shared" ca="1" si="58"/>
        <v>0</v>
      </c>
      <c r="BM241" s="855">
        <f t="shared" ca="1" si="59"/>
        <v>0</v>
      </c>
      <c r="BN241" s="1584"/>
      <c r="BO241" s="1576"/>
      <c r="BP241" s="1581"/>
      <c r="BQ241" s="1184"/>
      <c r="BR241" s="1184"/>
      <c r="BS241" s="973" t="s">
        <v>2038</v>
      </c>
      <c r="BT241" s="973"/>
      <c r="BU241" s="973"/>
      <c r="BV241" s="888"/>
      <c r="BW241" s="888"/>
    </row>
    <row r="242" spans="1:75" s="1334" customFormat="1" ht="14.25" customHeight="1" x14ac:dyDescent="0.15">
      <c r="A242" s="1184"/>
      <c r="B242" s="15"/>
      <c r="C242" s="26"/>
      <c r="D242" s="26"/>
      <c r="E242" s="545">
        <v>15</v>
      </c>
      <c r="F242" s="3" t="str" cm="1">
        <f t="array" aca="1" ref="F242" ca="1">OFFSET(E242,-1,1)</f>
        <v>1</v>
      </c>
      <c r="G242" s="834">
        <v>1</v>
      </c>
      <c r="H242" s="26"/>
      <c r="I242" s="26" t="s">
        <v>2039</v>
      </c>
      <c r="J242" s="26"/>
      <c r="K242" s="26" t="s">
        <v>2039</v>
      </c>
      <c r="L242" s="889"/>
      <c r="M242" s="26"/>
      <c r="N242" s="26"/>
      <c r="O242" s="26"/>
      <c r="P242" s="26"/>
      <c r="Q242" s="26"/>
      <c r="R242" s="26"/>
      <c r="S242" s="26"/>
      <c r="T242" s="388" t="b" cm="1">
        <f t="array" aca="1" ref="T242" ca="1">T241</f>
        <v>1</v>
      </c>
      <c r="U242" s="26"/>
      <c r="V242" s="26"/>
      <c r="W242" s="1184"/>
      <c r="X242" s="2032"/>
      <c r="Y242" s="1184"/>
      <c r="Z242" s="2012"/>
      <c r="AA242" s="1184"/>
      <c r="AB242" s="217" t="s">
        <v>2040</v>
      </c>
      <c r="AC242" s="685" t="s">
        <v>2041</v>
      </c>
      <c r="AD242" s="218" t="s">
        <v>831</v>
      </c>
      <c r="AE242" s="177">
        <f ca="1">SUMIFS(Налоги!AE$25:AE$69,Налоги!$F$25:$F$69,$F242,Налоги!$AB$25:$AB$69,$G242)</f>
        <v>0</v>
      </c>
      <c r="AF242" s="177">
        <f ca="1">SUMIFS(Налоги!AF$25:AF$69,Налоги!$F$25:$F$69,$F242,Налоги!$AB$25:$AB$69,$G242)</f>
        <v>0</v>
      </c>
      <c r="AG242" s="177">
        <f ca="1">SUMIFS(Налоги!AG$25:AG$69,Налоги!$F$25:$F$69,$F242,Налоги!$AB$25:$AB$69,$G242)</f>
        <v>0</v>
      </c>
      <c r="AH242" s="855">
        <f t="shared" ca="1" si="48"/>
        <v>0</v>
      </c>
      <c r="AI242" s="855">
        <f ca="1">SUMIFS(Налоги!AH$25:AH$69,Налоги!$F$25:$F$69,$F242,Налоги!$AB$25:$AB$69,$G242)</f>
        <v>0</v>
      </c>
      <c r="AJ242" s="855">
        <f ca="1">SUMIFS(Налоги!AI$25:AI$69,Налоги!$F$25:$F$69,$F242,Налоги!$AB$25:$AB$69,$G242)</f>
        <v>0</v>
      </c>
      <c r="AK242" s="855">
        <f ca="1">SUMIFS(Налоги!AJ$25:AJ$69,Налоги!$F$25:$F$69,$F242,Налоги!$AB$25:$AB$69,$G242)</f>
        <v>0</v>
      </c>
      <c r="AL242" s="855">
        <f ca="1">SUMIFS(Налоги!AK$25:AK$69,Налоги!$F$25:$F$69,$F242,Налоги!$AB$25:$AB$69,$G242)</f>
        <v>0</v>
      </c>
      <c r="AM242" s="855">
        <f ca="1">SUMIFS(Налоги!AL$25:AL$69,Налоги!$F$25:$F$69,$F242,Налоги!$AB$25:$AB$69,$G242)</f>
        <v>0</v>
      </c>
      <c r="AN242" s="855">
        <f ca="1">SUMIFS(Налоги!AM$25:AM$69,Налоги!$F$25:$F$69,$F242,Налоги!$AB$25:$AB$69,$G242)</f>
        <v>0</v>
      </c>
      <c r="AO242" s="855">
        <f ca="1">SUMIFS(Налоги!AN$25:AN$69,Налоги!$F$25:$F$69,$F242,Налоги!$AB$25:$AB$69,$G242)</f>
        <v>0</v>
      </c>
      <c r="AP242" s="855">
        <f ca="1">SUMIFS(Налоги!AO$25:AO$69,Налоги!$F$25:$F$69,$F242,Налоги!$AB$25:$AB$69,$G242)</f>
        <v>0</v>
      </c>
      <c r="AQ242" s="855">
        <f ca="1">SUMIFS(Налоги!AP$25:AP$69,Налоги!$F$25:$F$69,$F242,Налоги!$AB$25:$AB$69,$G242)</f>
        <v>0</v>
      </c>
      <c r="AR242" s="855">
        <f ca="1">SUMIFS(Налоги!AQ$25:AQ$69,Налоги!$F$25:$F$69,$F242,Налоги!$AB$25:$AB$69,$G242)</f>
        <v>0</v>
      </c>
      <c r="AS242" s="855">
        <f ca="1">SUMIFS(Налоги!AR$25:AR$69,Налоги!$F$25:$F$69,$F242,Налоги!$AB$25:$AB$69,$G242)</f>
        <v>0</v>
      </c>
      <c r="AT242" s="855">
        <f ca="1">SUMIFS(Налоги!AS$25:AS$69,Налоги!$F$25:$F$69,$F242,Налоги!$AB$25:$AB$69,$G242)</f>
        <v>0</v>
      </c>
      <c r="AU242" s="855">
        <f ca="1">SUMIFS(Налоги!AT$25:AT$69,Налоги!$F$25:$F$69,$F242,Налоги!$AB$25:$AB$69,$G242)</f>
        <v>0</v>
      </c>
      <c r="AV242" s="855">
        <f ca="1">SUMIFS(Налоги!AU$25:AU$69,Налоги!$F$25:$F$69,$F242,Налоги!$AB$25:$AB$69,$G242)</f>
        <v>0</v>
      </c>
      <c r="AW242" s="855">
        <f ca="1">SUMIFS(Налоги!AV$25:AV$69,Налоги!$F$25:$F$69,$F242,Налоги!$AB$25:$AB$69,$G242)</f>
        <v>0</v>
      </c>
      <c r="AX242" s="855">
        <f ca="1">SUMIFS(Налоги!AW$25:AW$69,Налоги!$F$25:$F$69,$F242,Налоги!$AB$25:$AB$69,$G242)</f>
        <v>0</v>
      </c>
      <c r="AY242" s="855">
        <f ca="1">SUMIFS(Налоги!AX$25:AX$69,Налоги!$F$25:$F$69,$F242,Налоги!$AB$25:$AB$69,$G242)</f>
        <v>0</v>
      </c>
      <c r="AZ242" s="855">
        <f ca="1">SUMIFS(Налоги!AY$25:AY$69,Налоги!$F$25:$F$69,$F242,Налоги!$AB$25:$AB$69,$G242)</f>
        <v>0</v>
      </c>
      <c r="BA242" s="855">
        <f ca="1">SUMIFS(Налоги!AZ$25:AZ$69,Налоги!$F$25:$F$69,$F242,Налоги!$AB$25:$AB$69,$G242)</f>
        <v>0</v>
      </c>
      <c r="BB242" s="855">
        <f ca="1">SUMIFS(Налоги!BA$25:BA$69,Налоги!$F$25:$F$69,$F242,Налоги!$AB$25:$AB$69,$G242)</f>
        <v>0</v>
      </c>
      <c r="BC242" s="855">
        <f ca="1">SUMIFS(Налоги!BB$25:BB$69,Налоги!$F$25:$F$69,$F242,Налоги!$AB$25:$AB$69,$G242)</f>
        <v>0</v>
      </c>
      <c r="BD242" s="855">
        <f t="shared" ca="1" si="50"/>
        <v>0</v>
      </c>
      <c r="BE242" s="855">
        <f t="shared" ca="1" si="51"/>
        <v>0</v>
      </c>
      <c r="BF242" s="855">
        <f t="shared" ca="1" si="52"/>
        <v>0</v>
      </c>
      <c r="BG242" s="855">
        <f t="shared" ca="1" si="53"/>
        <v>0</v>
      </c>
      <c r="BH242" s="855">
        <f t="shared" ca="1" si="54"/>
        <v>0</v>
      </c>
      <c r="BI242" s="855">
        <f t="shared" ca="1" si="55"/>
        <v>0</v>
      </c>
      <c r="BJ242" s="855">
        <f t="shared" ca="1" si="56"/>
        <v>0</v>
      </c>
      <c r="BK242" s="855">
        <f t="shared" ca="1" si="57"/>
        <v>0</v>
      </c>
      <c r="BL242" s="855">
        <f t="shared" ca="1" si="58"/>
        <v>0</v>
      </c>
      <c r="BM242" s="855">
        <f t="shared" ca="1" si="59"/>
        <v>0</v>
      </c>
      <c r="BN242" s="1581"/>
      <c r="BO242" s="1576"/>
      <c r="BP242" s="1581"/>
      <c r="BQ242" s="1184"/>
      <c r="BR242" s="1184"/>
      <c r="BS242" s="973" t="s">
        <v>2042</v>
      </c>
      <c r="BT242" s="973"/>
      <c r="BU242" s="973"/>
      <c r="BV242" s="888"/>
      <c r="BW242" s="888"/>
    </row>
    <row r="243" spans="1:75" s="1334" customFormat="1" ht="14.25" customHeight="1" x14ac:dyDescent="0.15">
      <c r="A243" s="1184"/>
      <c r="B243" s="15"/>
      <c r="C243" s="26"/>
      <c r="D243" s="26"/>
      <c r="E243" s="545">
        <v>15</v>
      </c>
      <c r="F243" s="3" t="str" cm="1">
        <f t="array" aca="1" ref="F243" ca="1">OFFSET(E243,-1,1)</f>
        <v>1</v>
      </c>
      <c r="G243" s="834">
        <v>3</v>
      </c>
      <c r="H243" s="26"/>
      <c r="I243" s="26" t="s">
        <v>2043</v>
      </c>
      <c r="J243" s="26"/>
      <c r="K243" s="26" t="s">
        <v>2043</v>
      </c>
      <c r="L243" s="889"/>
      <c r="M243" s="26"/>
      <c r="N243" s="26"/>
      <c r="O243" s="26"/>
      <c r="P243" s="26"/>
      <c r="Q243" s="26"/>
      <c r="R243" s="26"/>
      <c r="S243" s="26"/>
      <c r="T243" s="388" t="b" cm="1">
        <f t="array" aca="1" ref="T243" ca="1">T242</f>
        <v>1</v>
      </c>
      <c r="U243" s="26"/>
      <c r="V243" s="26"/>
      <c r="W243" s="1184"/>
      <c r="X243" s="2032"/>
      <c r="Y243" s="1184"/>
      <c r="Z243" s="2012"/>
      <c r="AA243" s="1184"/>
      <c r="AB243" s="217" t="s">
        <v>2044</v>
      </c>
      <c r="AC243" s="685" t="s">
        <v>2045</v>
      </c>
      <c r="AD243" s="218" t="s">
        <v>831</v>
      </c>
      <c r="AE243" s="1567">
        <f ca="1">SUMIFS(Налоги!AE$25:AE$69,Налоги!$F$25:$F$69,$F243,Налоги!$AB$25:$AB$69,$G243)</f>
        <v>0</v>
      </c>
      <c r="AF243" s="1567">
        <f ca="1">SUMIFS(Налоги!AF$25:AF$69,Налоги!$F$25:$F$69,$F243,Налоги!$AB$25:$AB$69,$G243)</f>
        <v>0</v>
      </c>
      <c r="AG243" s="1567">
        <f ca="1">SUMIFS(Налоги!AG$25:AG$69,Налоги!$F$25:$F$69,$F243,Налоги!$AB$25:$AB$69,$G243)</f>
        <v>0</v>
      </c>
      <c r="AH243" s="855">
        <f t="shared" ca="1" si="48"/>
        <v>0</v>
      </c>
      <c r="AI243" s="1568">
        <f ca="1">SUMIFS(Налоги!AH$25:AH$69,Налоги!$F$25:$F$69,$F243,Налоги!$AB$25:$AB$69,$G243)</f>
        <v>0</v>
      </c>
      <c r="AJ243" s="1568">
        <f ca="1">SUMIFS(Налоги!AI$25:AI$69,Налоги!$F$25:$F$69,$F243,Налоги!$AB$25:$AB$69,$G243)</f>
        <v>0</v>
      </c>
      <c r="AK243" s="1160">
        <f ca="1">SUMIFS(Налоги!AJ$25:AJ$69,Налоги!$F$25:$F$69,$F243,Налоги!$AB$25:$AB$69,$G243)</f>
        <v>0</v>
      </c>
      <c r="AL243" s="1160">
        <f ca="1">SUMIFS(Налоги!AK$25:AK$69,Налоги!$F$25:$F$69,$F243,Налоги!$AB$25:$AB$69,$G243)</f>
        <v>0</v>
      </c>
      <c r="AM243" s="1160">
        <f ca="1">SUMIFS(Налоги!AL$25:AL$69,Налоги!$F$25:$F$69,$F243,Налоги!$AB$25:$AB$69,$G243)</f>
        <v>0</v>
      </c>
      <c r="AN243" s="1160">
        <f ca="1">SUMIFS(Налоги!AM$25:AM$69,Налоги!$F$25:$F$69,$F243,Налоги!$AB$25:$AB$69,$G243)</f>
        <v>0</v>
      </c>
      <c r="AO243" s="1160">
        <f ca="1">SUMIFS(Налоги!AN$25:AN$69,Налоги!$F$25:$F$69,$F243,Налоги!$AB$25:$AB$69,$G243)</f>
        <v>0</v>
      </c>
      <c r="AP243" s="1160">
        <f ca="1">SUMIFS(Налоги!AO$25:AO$69,Налоги!$F$25:$F$69,$F243,Налоги!$AB$25:$AB$69,$G243)</f>
        <v>0</v>
      </c>
      <c r="AQ243" s="1568">
        <f ca="1">SUMIFS(Налоги!AP$25:AP$69,Налоги!$F$25:$F$69,$F243,Налоги!$AB$25:$AB$69,$G243)</f>
        <v>0</v>
      </c>
      <c r="AR243" s="1568">
        <f ca="1">SUMIFS(Налоги!AQ$25:AQ$69,Налоги!$F$25:$F$69,$F243,Налоги!$AB$25:$AB$69,$G243)</f>
        <v>0</v>
      </c>
      <c r="AS243" s="1568">
        <f ca="1">SUMIFS(Налоги!AR$25:AR$69,Налоги!$F$25:$F$69,$F243,Налоги!$AB$25:$AB$69,$G243)</f>
        <v>0</v>
      </c>
      <c r="AT243" s="1568">
        <f ca="1">SUMIFS(Налоги!AS$25:AS$69,Налоги!$F$25:$F$69,$F243,Налоги!$AB$25:$AB$69,$G243)</f>
        <v>0</v>
      </c>
      <c r="AU243" s="1160">
        <f ca="1">SUMIFS(Налоги!AT$25:AT$69,Налоги!$F$25:$F$69,$F243,Налоги!$AB$25:$AB$69,$G243)</f>
        <v>0</v>
      </c>
      <c r="AV243" s="1160">
        <f ca="1">SUMIFS(Налоги!AU$25:AU$69,Налоги!$F$25:$F$69,$F243,Налоги!$AB$25:$AB$69,$G243)</f>
        <v>0</v>
      </c>
      <c r="AW243" s="1160">
        <f ca="1">SUMIFS(Налоги!AV$25:AV$69,Налоги!$F$25:$F$69,$F243,Налоги!$AB$25:$AB$69,$G243)</f>
        <v>0</v>
      </c>
      <c r="AX243" s="1160">
        <f ca="1">SUMIFS(Налоги!AW$25:AW$69,Налоги!$F$25:$F$69,$F243,Налоги!$AB$25:$AB$69,$G243)</f>
        <v>0</v>
      </c>
      <c r="AY243" s="1160">
        <f ca="1">SUMIFS(Налоги!AX$25:AX$69,Налоги!$F$25:$F$69,$F243,Налоги!$AB$25:$AB$69,$G243)</f>
        <v>0</v>
      </c>
      <c r="AZ243" s="1160">
        <f ca="1">SUMIFS(Налоги!AY$25:AY$69,Налоги!$F$25:$F$69,$F243,Налоги!$AB$25:$AB$69,$G243)</f>
        <v>0</v>
      </c>
      <c r="BA243" s="1568">
        <f ca="1">SUMIFS(Налоги!AZ$25:AZ$69,Налоги!$F$25:$F$69,$F243,Налоги!$AB$25:$AB$69,$G243)</f>
        <v>0</v>
      </c>
      <c r="BB243" s="1568">
        <f ca="1">SUMIFS(Налоги!BA$25:BA$69,Налоги!$F$25:$F$69,$F243,Налоги!$AB$25:$AB$69,$G243)</f>
        <v>0</v>
      </c>
      <c r="BC243" s="1568">
        <f ca="1">SUMIFS(Налоги!BB$25:BB$69,Налоги!$F$25:$F$69,$F243,Налоги!$AB$25:$AB$69,$G243)</f>
        <v>0</v>
      </c>
      <c r="BD243" s="855">
        <f t="shared" ca="1" si="50"/>
        <v>0</v>
      </c>
      <c r="BE243" s="855">
        <f t="shared" ca="1" si="51"/>
        <v>0</v>
      </c>
      <c r="BF243" s="855">
        <f t="shared" ca="1" si="52"/>
        <v>0</v>
      </c>
      <c r="BG243" s="855">
        <f t="shared" ca="1" si="53"/>
        <v>0</v>
      </c>
      <c r="BH243" s="855">
        <f t="shared" ca="1" si="54"/>
        <v>0</v>
      </c>
      <c r="BI243" s="855">
        <f t="shared" ca="1" si="55"/>
        <v>0</v>
      </c>
      <c r="BJ243" s="855">
        <f t="shared" ca="1" si="56"/>
        <v>0</v>
      </c>
      <c r="BK243" s="855">
        <f t="shared" ca="1" si="57"/>
        <v>0</v>
      </c>
      <c r="BL243" s="855">
        <f t="shared" ca="1" si="58"/>
        <v>0</v>
      </c>
      <c r="BM243" s="855">
        <f t="shared" ca="1" si="59"/>
        <v>0</v>
      </c>
      <c r="BN243" s="1581"/>
      <c r="BO243" s="1576"/>
      <c r="BP243" s="1581"/>
      <c r="BQ243" s="1184"/>
      <c r="BR243" s="1184"/>
      <c r="BS243" s="973" t="s">
        <v>2046</v>
      </c>
      <c r="BT243" s="973"/>
      <c r="BU243" s="973"/>
      <c r="BV243" s="888"/>
      <c r="BW243" s="888"/>
    </row>
    <row r="244" spans="1:75" s="1334" customFormat="1" ht="14.25" customHeight="1" x14ac:dyDescent="0.15">
      <c r="A244" s="1184"/>
      <c r="B244" s="15"/>
      <c r="C244" s="26"/>
      <c r="D244" s="26"/>
      <c r="E244" s="545">
        <v>15</v>
      </c>
      <c r="F244" s="3" t="str" cm="1">
        <f t="array" aca="1" ref="F244" ca="1">OFFSET(E244,-1,1)</f>
        <v>1</v>
      </c>
      <c r="G244" s="834">
        <v>8</v>
      </c>
      <c r="H244" s="26"/>
      <c r="I244" s="26" t="s">
        <v>2047</v>
      </c>
      <c r="J244" s="26"/>
      <c r="K244" s="26" t="s">
        <v>2047</v>
      </c>
      <c r="L244" s="889"/>
      <c r="M244" s="26"/>
      <c r="N244" s="26"/>
      <c r="O244" s="26"/>
      <c r="P244" s="26"/>
      <c r="Q244" s="26"/>
      <c r="R244" s="26"/>
      <c r="S244" s="26"/>
      <c r="T244" s="388" t="b" cm="1">
        <f t="array" aca="1" ref="T244" ca="1">T243</f>
        <v>1</v>
      </c>
      <c r="U244" s="26"/>
      <c r="V244" s="26"/>
      <c r="W244" s="1184"/>
      <c r="X244" s="2032"/>
      <c r="Y244" s="1184"/>
      <c r="Z244" s="2012"/>
      <c r="AA244" s="1184"/>
      <c r="AB244" s="217" t="s">
        <v>2048</v>
      </c>
      <c r="AC244" s="685" t="s">
        <v>2049</v>
      </c>
      <c r="AD244" s="218" t="s">
        <v>831</v>
      </c>
      <c r="AE244" s="177">
        <f ca="1">SUMIFS(Налоги!AE$25:AE$69,Налоги!$F$25:$F$69,$F244,Налоги!$AB$25:$AB$69,$G244)</f>
        <v>0</v>
      </c>
      <c r="AF244" s="177">
        <f ca="1">SUMIFS(Налоги!AF$25:AF$69,Налоги!$F$25:$F$69,$F244,Налоги!$AB$25:$AB$69,$G244)</f>
        <v>0</v>
      </c>
      <c r="AG244" s="177">
        <f ca="1">SUMIFS(Налоги!AG$25:AG$69,Налоги!$F$25:$F$69,$F244,Налоги!$AB$25:$AB$69,$G244)</f>
        <v>0</v>
      </c>
      <c r="AH244" s="855">
        <f t="shared" ca="1" si="48"/>
        <v>0</v>
      </c>
      <c r="AI244" s="855">
        <f ca="1">SUMIFS(Налоги!AH$25:AH$69,Налоги!$F$25:$F$69,$F244,Налоги!$AB$25:$AB$69,$G244)</f>
        <v>0</v>
      </c>
      <c r="AJ244" s="855">
        <f ca="1">SUMIFS(Налоги!AI$25:AI$69,Налоги!$F$25:$F$69,$F244,Налоги!$AB$25:$AB$69,$G244)</f>
        <v>0</v>
      </c>
      <c r="AK244" s="855">
        <f ca="1">SUMIFS(Налоги!AJ$25:AJ$69,Налоги!$F$25:$F$69,$F244,Налоги!$AB$25:$AB$69,$G244)</f>
        <v>0</v>
      </c>
      <c r="AL244" s="855">
        <f ca="1">SUMIFS(Налоги!AK$25:AK$69,Налоги!$F$25:$F$69,$F244,Налоги!$AB$25:$AB$69,$G244)</f>
        <v>0</v>
      </c>
      <c r="AM244" s="855">
        <f ca="1">SUMIFS(Налоги!AL$25:AL$69,Налоги!$F$25:$F$69,$F244,Налоги!$AB$25:$AB$69,$G244)</f>
        <v>0</v>
      </c>
      <c r="AN244" s="855">
        <f ca="1">SUMIFS(Налоги!AM$25:AM$69,Налоги!$F$25:$F$69,$F244,Налоги!$AB$25:$AB$69,$G244)</f>
        <v>0</v>
      </c>
      <c r="AO244" s="855">
        <f ca="1">SUMIFS(Налоги!AN$25:AN$69,Налоги!$F$25:$F$69,$F244,Налоги!$AB$25:$AB$69,$G244)</f>
        <v>0</v>
      </c>
      <c r="AP244" s="855">
        <f ca="1">SUMIFS(Налоги!AO$25:AO$69,Налоги!$F$25:$F$69,$F244,Налоги!$AB$25:$AB$69,$G244)</f>
        <v>0</v>
      </c>
      <c r="AQ244" s="855">
        <f ca="1">SUMIFS(Налоги!AP$25:AP$69,Налоги!$F$25:$F$69,$F244,Налоги!$AB$25:$AB$69,$G244)</f>
        <v>0</v>
      </c>
      <c r="AR244" s="855">
        <f ca="1">SUMIFS(Налоги!AQ$25:AQ$69,Налоги!$F$25:$F$69,$F244,Налоги!$AB$25:$AB$69,$G244)</f>
        <v>0</v>
      </c>
      <c r="AS244" s="855">
        <f ca="1">SUMIFS(Налоги!AR$25:AR$69,Налоги!$F$25:$F$69,$F244,Налоги!$AB$25:$AB$69,$G244)</f>
        <v>0</v>
      </c>
      <c r="AT244" s="855">
        <f ca="1">SUMIFS(Налоги!AS$25:AS$69,Налоги!$F$25:$F$69,$F244,Налоги!$AB$25:$AB$69,$G244)</f>
        <v>0</v>
      </c>
      <c r="AU244" s="855">
        <f ca="1">SUMIFS(Налоги!AT$25:AT$69,Налоги!$F$25:$F$69,$F244,Налоги!$AB$25:$AB$69,$G244)</f>
        <v>0</v>
      </c>
      <c r="AV244" s="855">
        <f ca="1">SUMIFS(Налоги!AU$25:AU$69,Налоги!$F$25:$F$69,$F244,Налоги!$AB$25:$AB$69,$G244)</f>
        <v>0</v>
      </c>
      <c r="AW244" s="855">
        <f ca="1">SUMIFS(Налоги!AV$25:AV$69,Налоги!$F$25:$F$69,$F244,Налоги!$AB$25:$AB$69,$G244)</f>
        <v>0</v>
      </c>
      <c r="AX244" s="855">
        <f ca="1">SUMIFS(Налоги!AW$25:AW$69,Налоги!$F$25:$F$69,$F244,Налоги!$AB$25:$AB$69,$G244)</f>
        <v>0</v>
      </c>
      <c r="AY244" s="855">
        <f ca="1">SUMIFS(Налоги!AX$25:AX$69,Налоги!$F$25:$F$69,$F244,Налоги!$AB$25:$AB$69,$G244)</f>
        <v>0</v>
      </c>
      <c r="AZ244" s="855">
        <f ca="1">SUMIFS(Налоги!AY$25:AY$69,Налоги!$F$25:$F$69,$F244,Налоги!$AB$25:$AB$69,$G244)</f>
        <v>0</v>
      </c>
      <c r="BA244" s="855">
        <f ca="1">SUMIFS(Налоги!AZ$25:AZ$69,Налоги!$F$25:$F$69,$F244,Налоги!$AB$25:$AB$69,$G244)</f>
        <v>0</v>
      </c>
      <c r="BB244" s="855">
        <f ca="1">SUMIFS(Налоги!BA$25:BA$69,Налоги!$F$25:$F$69,$F244,Налоги!$AB$25:$AB$69,$G244)</f>
        <v>0</v>
      </c>
      <c r="BC244" s="855">
        <f ca="1">SUMIFS(Налоги!BB$25:BB$69,Налоги!$F$25:$F$69,$F244,Налоги!$AB$25:$AB$69,$G244)</f>
        <v>0</v>
      </c>
      <c r="BD244" s="855">
        <f t="shared" ca="1" si="50"/>
        <v>0</v>
      </c>
      <c r="BE244" s="855">
        <f t="shared" ca="1" si="51"/>
        <v>0</v>
      </c>
      <c r="BF244" s="855">
        <f t="shared" ca="1" si="52"/>
        <v>0</v>
      </c>
      <c r="BG244" s="855">
        <f t="shared" ca="1" si="53"/>
        <v>0</v>
      </c>
      <c r="BH244" s="855">
        <f t="shared" ca="1" si="54"/>
        <v>0</v>
      </c>
      <c r="BI244" s="855">
        <f t="shared" ca="1" si="55"/>
        <v>0</v>
      </c>
      <c r="BJ244" s="855">
        <f t="shared" ca="1" si="56"/>
        <v>0</v>
      </c>
      <c r="BK244" s="855">
        <f t="shared" ca="1" si="57"/>
        <v>0</v>
      </c>
      <c r="BL244" s="855">
        <f t="shared" ca="1" si="58"/>
        <v>0</v>
      </c>
      <c r="BM244" s="855">
        <f t="shared" ca="1" si="59"/>
        <v>0</v>
      </c>
      <c r="BN244" s="1581"/>
      <c r="BO244" s="1576"/>
      <c r="BP244" s="1581"/>
      <c r="BQ244" s="1184"/>
      <c r="BR244" s="1184"/>
      <c r="BS244" s="973" t="s">
        <v>1251</v>
      </c>
      <c r="BT244" s="973"/>
      <c r="BU244" s="973"/>
      <c r="BV244" s="888"/>
      <c r="BW244" s="888"/>
    </row>
    <row r="245" spans="1:75" s="1140" customFormat="1" ht="14.25" customHeight="1" x14ac:dyDescent="0.15">
      <c r="B245" s="15"/>
      <c r="C245" s="26"/>
      <c r="D245" s="26"/>
      <c r="E245" s="545">
        <v>15</v>
      </c>
      <c r="F245" s="3" t="str" cm="1">
        <f t="array" aca="1" ref="F245" ca="1">OFFSET(E245,-1,1)</f>
        <v>1</v>
      </c>
      <c r="G245" s="834">
        <v>9</v>
      </c>
      <c r="H245" s="26"/>
      <c r="I245" s="26"/>
      <c r="J245" s="26"/>
      <c r="K245" s="26"/>
      <c r="L245" s="889"/>
      <c r="M245" s="26"/>
      <c r="N245" s="26"/>
      <c r="O245" s="26"/>
      <c r="P245" s="26"/>
      <c r="Q245" s="26"/>
      <c r="R245" s="26"/>
      <c r="S245" s="26"/>
      <c r="T245" s="388" t="b" cm="1">
        <f t="array" aca="1" ref="T245" ca="1">T244</f>
        <v>1</v>
      </c>
      <c r="U245" s="26"/>
      <c r="V245" s="26"/>
      <c r="X245" s="2032"/>
      <c r="Z245" s="2012"/>
      <c r="AB245" s="217" t="s">
        <v>2050</v>
      </c>
      <c r="AC245" s="700" t="s">
        <v>2051</v>
      </c>
      <c r="AD245" s="218" t="s">
        <v>831</v>
      </c>
      <c r="AE245" s="177">
        <f ca="1">SUMIFS(Налоги!AE$25:AE$69,Налоги!$F$25:$F$69,$F245,Налоги!$AB$25:$AB$69,$G245)</f>
        <v>0</v>
      </c>
      <c r="AF245" s="177">
        <f ca="1">SUMIFS(Налоги!AF$25:AF$69,Налоги!$F$25:$F$69,$F245,Налоги!$AB$25:$AB$69,$G245)</f>
        <v>0</v>
      </c>
      <c r="AG245" s="177">
        <f ca="1">SUMIFS(Налоги!AG$25:AG$69,Налоги!$F$25:$F$69,$F245,Налоги!$AB$25:$AB$69,$G245)</f>
        <v>0</v>
      </c>
      <c r="AH245" s="855">
        <f t="shared" ca="1" si="48"/>
        <v>0</v>
      </c>
      <c r="AI245" s="855">
        <f ca="1">SUMIFS(Налоги!AH$25:AH$69,Налоги!$F$25:$F$69,$F245,Налоги!$AB$25:$AB$69,$G245)</f>
        <v>0</v>
      </c>
      <c r="AJ245" s="855">
        <f ca="1">SUMIFS(Налоги!AI$25:AI$69,Налоги!$F$25:$F$69,$F245,Налоги!$AB$25:$AB$69,$G245)</f>
        <v>0</v>
      </c>
      <c r="AK245" s="855">
        <f ca="1">SUMIFS(Налоги!AJ$25:AJ$69,Налоги!$F$25:$F$69,$F245,Налоги!$AB$25:$AB$69,$G245)</f>
        <v>0</v>
      </c>
      <c r="AL245" s="855">
        <f ca="1">SUMIFS(Налоги!AK$25:AK$69,Налоги!$F$25:$F$69,$F245,Налоги!$AB$25:$AB$69,$G245)</f>
        <v>0</v>
      </c>
      <c r="AM245" s="855">
        <f ca="1">SUMIFS(Налоги!AL$25:AL$69,Налоги!$F$25:$F$69,$F245,Налоги!$AB$25:$AB$69,$G245)</f>
        <v>0</v>
      </c>
      <c r="AN245" s="855">
        <f ca="1">SUMIFS(Налоги!AM$25:AM$69,Налоги!$F$25:$F$69,$F245,Налоги!$AB$25:$AB$69,$G245)</f>
        <v>0</v>
      </c>
      <c r="AO245" s="855">
        <f ca="1">SUMIFS(Налоги!AN$25:AN$69,Налоги!$F$25:$F$69,$F245,Налоги!$AB$25:$AB$69,$G245)</f>
        <v>0</v>
      </c>
      <c r="AP245" s="855">
        <f ca="1">SUMIFS(Налоги!AO$25:AO$69,Налоги!$F$25:$F$69,$F245,Налоги!$AB$25:$AB$69,$G245)</f>
        <v>0</v>
      </c>
      <c r="AQ245" s="855">
        <f ca="1">SUMIFS(Налоги!AP$25:AP$69,Налоги!$F$25:$F$69,$F245,Налоги!$AB$25:$AB$69,$G245)</f>
        <v>0</v>
      </c>
      <c r="AR245" s="855">
        <f ca="1">SUMIFS(Налоги!AQ$25:AQ$69,Налоги!$F$25:$F$69,$F245,Налоги!$AB$25:$AB$69,$G245)</f>
        <v>0</v>
      </c>
      <c r="AS245" s="855">
        <f ca="1">SUMIFS(Налоги!AR$25:AR$69,Налоги!$F$25:$F$69,$F245,Налоги!$AB$25:$AB$69,$G245)</f>
        <v>0</v>
      </c>
      <c r="AT245" s="855">
        <f ca="1">SUMIFS(Налоги!AS$25:AS$69,Налоги!$F$25:$F$69,$F245,Налоги!$AB$25:$AB$69,$G245)</f>
        <v>0</v>
      </c>
      <c r="AU245" s="855">
        <f ca="1">SUMIFS(Налоги!AT$25:AT$69,Налоги!$F$25:$F$69,$F245,Налоги!$AB$25:$AB$69,$G245)</f>
        <v>0</v>
      </c>
      <c r="AV245" s="855">
        <f ca="1">SUMIFS(Налоги!AU$25:AU$69,Налоги!$F$25:$F$69,$F245,Налоги!$AB$25:$AB$69,$G245)</f>
        <v>0</v>
      </c>
      <c r="AW245" s="855">
        <f ca="1">SUMIFS(Налоги!AV$25:AV$69,Налоги!$F$25:$F$69,$F245,Налоги!$AB$25:$AB$69,$G245)</f>
        <v>0</v>
      </c>
      <c r="AX245" s="855">
        <f ca="1">SUMIFS(Налоги!AW$25:AW$69,Налоги!$F$25:$F$69,$F245,Налоги!$AB$25:$AB$69,$G245)</f>
        <v>0</v>
      </c>
      <c r="AY245" s="855">
        <f ca="1">SUMIFS(Налоги!AX$25:AX$69,Налоги!$F$25:$F$69,$F245,Налоги!$AB$25:$AB$69,$G245)</f>
        <v>0</v>
      </c>
      <c r="AZ245" s="855">
        <f ca="1">SUMIFS(Налоги!AY$25:AY$69,Налоги!$F$25:$F$69,$F245,Налоги!$AB$25:$AB$69,$G245)</f>
        <v>0</v>
      </c>
      <c r="BA245" s="855">
        <f ca="1">SUMIFS(Налоги!AZ$25:AZ$69,Налоги!$F$25:$F$69,$F245,Налоги!$AB$25:$AB$69,$G245)</f>
        <v>0</v>
      </c>
      <c r="BB245" s="855">
        <f ca="1">SUMIFS(Налоги!BA$25:BA$69,Налоги!$F$25:$F$69,$F245,Налоги!$AB$25:$AB$69,$G245)</f>
        <v>0</v>
      </c>
      <c r="BC245" s="855">
        <f ca="1">SUMIFS(Налоги!BB$25:BB$69,Налоги!$F$25:$F$69,$F245,Налоги!$AB$25:$AB$69,$G245)</f>
        <v>0</v>
      </c>
      <c r="BD245" s="855">
        <f t="shared" ca="1" si="50"/>
        <v>0</v>
      </c>
      <c r="BE245" s="855">
        <f t="shared" ca="1" si="51"/>
        <v>0</v>
      </c>
      <c r="BF245" s="855">
        <f t="shared" ca="1" si="52"/>
        <v>0</v>
      </c>
      <c r="BG245" s="855">
        <f t="shared" ca="1" si="53"/>
        <v>0</v>
      </c>
      <c r="BH245" s="855">
        <f t="shared" ca="1" si="54"/>
        <v>0</v>
      </c>
      <c r="BI245" s="855">
        <f t="shared" ca="1" si="55"/>
        <v>0</v>
      </c>
      <c r="BJ245" s="855">
        <f t="shared" ca="1" si="56"/>
        <v>0</v>
      </c>
      <c r="BK245" s="855">
        <f t="shared" ca="1" si="57"/>
        <v>0</v>
      </c>
      <c r="BL245" s="855">
        <f t="shared" ca="1" si="58"/>
        <v>0</v>
      </c>
      <c r="BM245" s="855">
        <f t="shared" ca="1" si="59"/>
        <v>0</v>
      </c>
      <c r="BN245" s="1581"/>
      <c r="BO245" s="1576"/>
      <c r="BP245" s="1581"/>
      <c r="BS245" s="980" t="s">
        <v>2052</v>
      </c>
      <c r="BT245" s="980"/>
      <c r="BU245" s="980"/>
      <c r="BV245" s="981"/>
      <c r="BW245" s="981"/>
    </row>
    <row r="246" spans="1:75" s="1334" customFormat="1" ht="14.25" customHeight="1" x14ac:dyDescent="0.15">
      <c r="A246" s="1184"/>
      <c r="B246" s="15"/>
      <c r="C246" s="26"/>
      <c r="D246" s="26"/>
      <c r="E246" s="545">
        <v>15</v>
      </c>
      <c r="F246" s="3" t="str" cm="1">
        <f t="array" aca="1" ref="F246" ca="1">OFFSET(E246,-1,1)</f>
        <v>1</v>
      </c>
      <c r="G246" s="834">
        <v>10</v>
      </c>
      <c r="H246" s="26"/>
      <c r="I246" s="26" t="s">
        <v>2053</v>
      </c>
      <c r="J246" s="26"/>
      <c r="K246" s="26" t="s">
        <v>2053</v>
      </c>
      <c r="L246" s="889"/>
      <c r="M246" s="26"/>
      <c r="N246" s="26"/>
      <c r="O246" s="26"/>
      <c r="P246" s="26"/>
      <c r="Q246" s="26"/>
      <c r="R246" s="26"/>
      <c r="S246" s="26"/>
      <c r="T246" s="388" t="b" cm="1">
        <f t="array" aca="1" ref="T246" ca="1">T245</f>
        <v>1</v>
      </c>
      <c r="U246" s="26"/>
      <c r="V246" s="26"/>
      <c r="W246" s="1184"/>
      <c r="X246" s="2032"/>
      <c r="Y246" s="1184"/>
      <c r="Z246" s="2012"/>
      <c r="AA246" s="1184"/>
      <c r="AB246" s="217" t="s">
        <v>2054</v>
      </c>
      <c r="AC246" s="701" t="s">
        <v>2055</v>
      </c>
      <c r="AD246" s="218" t="s">
        <v>831</v>
      </c>
      <c r="AE246" s="177">
        <f ca="1">SUMIFS(Налоги!AE$25:AE$69,Налоги!$F$25:$F$69,$F246,Налоги!$AB$25:$AB$69,$G246)</f>
        <v>0</v>
      </c>
      <c r="AF246" s="177">
        <f ca="1">SUMIFS(Налоги!AF$25:AF$69,Налоги!$F$25:$F$69,$F246,Налоги!$AB$25:$AB$69,$G246)</f>
        <v>0</v>
      </c>
      <c r="AG246" s="177">
        <f ca="1">SUMIFS(Налоги!AG$25:AG$69,Налоги!$F$25:$F$69,$F246,Налоги!$AB$25:$AB$69,$G246)</f>
        <v>0</v>
      </c>
      <c r="AH246" s="855">
        <f t="shared" ca="1" si="48"/>
        <v>0</v>
      </c>
      <c r="AI246" s="855">
        <f ca="1">SUMIFS(Налоги!AH$25:AH$69,Налоги!$F$25:$F$69,$F246,Налоги!$AB$25:$AB$69,$G246)</f>
        <v>0</v>
      </c>
      <c r="AJ246" s="855">
        <f ca="1">SUMIFS(Налоги!AI$25:AI$69,Налоги!$F$25:$F$69,$F246,Налоги!$AB$25:$AB$69,$G246)</f>
        <v>0</v>
      </c>
      <c r="AK246" s="855">
        <f ca="1">SUMIFS(Налоги!AJ$25:AJ$69,Налоги!$F$25:$F$69,$F246,Налоги!$AB$25:$AB$69,$G246)</f>
        <v>0</v>
      </c>
      <c r="AL246" s="855">
        <f ca="1">SUMIFS(Налоги!AK$25:AK$69,Налоги!$F$25:$F$69,$F246,Налоги!$AB$25:$AB$69,$G246)</f>
        <v>0</v>
      </c>
      <c r="AM246" s="855">
        <f ca="1">SUMIFS(Налоги!AL$25:AL$69,Налоги!$F$25:$F$69,$F246,Налоги!$AB$25:$AB$69,$G246)</f>
        <v>0</v>
      </c>
      <c r="AN246" s="855">
        <f ca="1">SUMIFS(Налоги!AM$25:AM$69,Налоги!$F$25:$F$69,$F246,Налоги!$AB$25:$AB$69,$G246)</f>
        <v>0</v>
      </c>
      <c r="AO246" s="855">
        <f ca="1">SUMIFS(Налоги!AN$25:AN$69,Налоги!$F$25:$F$69,$F246,Налоги!$AB$25:$AB$69,$G246)</f>
        <v>0</v>
      </c>
      <c r="AP246" s="855">
        <f ca="1">SUMIFS(Налоги!AO$25:AO$69,Налоги!$F$25:$F$69,$F246,Налоги!$AB$25:$AB$69,$G246)</f>
        <v>0</v>
      </c>
      <c r="AQ246" s="855">
        <f ca="1">SUMIFS(Налоги!AP$25:AP$69,Налоги!$F$25:$F$69,$F246,Налоги!$AB$25:$AB$69,$G246)</f>
        <v>0</v>
      </c>
      <c r="AR246" s="855">
        <f ca="1">SUMIFS(Налоги!AQ$25:AQ$69,Налоги!$F$25:$F$69,$F246,Налоги!$AB$25:$AB$69,$G246)</f>
        <v>0</v>
      </c>
      <c r="AS246" s="855">
        <f ca="1">SUMIFS(Налоги!AR$25:AR$69,Налоги!$F$25:$F$69,$F246,Налоги!$AB$25:$AB$69,$G246)</f>
        <v>0</v>
      </c>
      <c r="AT246" s="855">
        <f ca="1">SUMIFS(Налоги!AS$25:AS$69,Налоги!$F$25:$F$69,$F246,Налоги!$AB$25:$AB$69,$G246)</f>
        <v>0</v>
      </c>
      <c r="AU246" s="855">
        <f ca="1">SUMIFS(Налоги!AT$25:AT$69,Налоги!$F$25:$F$69,$F246,Налоги!$AB$25:$AB$69,$G246)</f>
        <v>0</v>
      </c>
      <c r="AV246" s="855">
        <f ca="1">SUMIFS(Налоги!AU$25:AU$69,Налоги!$F$25:$F$69,$F246,Налоги!$AB$25:$AB$69,$G246)</f>
        <v>0</v>
      </c>
      <c r="AW246" s="855">
        <f ca="1">SUMIFS(Налоги!AV$25:AV$69,Налоги!$F$25:$F$69,$F246,Налоги!$AB$25:$AB$69,$G246)</f>
        <v>0</v>
      </c>
      <c r="AX246" s="855">
        <f ca="1">SUMIFS(Налоги!AW$25:AW$69,Налоги!$F$25:$F$69,$F246,Налоги!$AB$25:$AB$69,$G246)</f>
        <v>0</v>
      </c>
      <c r="AY246" s="855">
        <f ca="1">SUMIFS(Налоги!AX$25:AX$69,Налоги!$F$25:$F$69,$F246,Налоги!$AB$25:$AB$69,$G246)</f>
        <v>0</v>
      </c>
      <c r="AZ246" s="855">
        <f ca="1">SUMIFS(Налоги!AY$25:AY$69,Налоги!$F$25:$F$69,$F246,Налоги!$AB$25:$AB$69,$G246)</f>
        <v>0</v>
      </c>
      <c r="BA246" s="855">
        <f ca="1">SUMIFS(Налоги!AZ$25:AZ$69,Налоги!$F$25:$F$69,$F246,Налоги!$AB$25:$AB$69,$G246)</f>
        <v>0</v>
      </c>
      <c r="BB246" s="855">
        <f ca="1">SUMIFS(Налоги!BA$25:BA$69,Налоги!$F$25:$F$69,$F246,Налоги!$AB$25:$AB$69,$G246)</f>
        <v>0</v>
      </c>
      <c r="BC246" s="855">
        <f ca="1">SUMIFS(Налоги!BB$25:BB$69,Налоги!$F$25:$F$69,$F246,Налоги!$AB$25:$AB$69,$G246)</f>
        <v>0</v>
      </c>
      <c r="BD246" s="855">
        <f t="shared" ca="1" si="50"/>
        <v>0</v>
      </c>
      <c r="BE246" s="855">
        <f t="shared" ca="1" si="51"/>
        <v>0</v>
      </c>
      <c r="BF246" s="855">
        <f t="shared" ca="1" si="52"/>
        <v>0</v>
      </c>
      <c r="BG246" s="855">
        <f t="shared" ca="1" si="53"/>
        <v>0</v>
      </c>
      <c r="BH246" s="855">
        <f t="shared" ca="1" si="54"/>
        <v>0</v>
      </c>
      <c r="BI246" s="855">
        <f t="shared" ca="1" si="55"/>
        <v>0</v>
      </c>
      <c r="BJ246" s="855">
        <f t="shared" ca="1" si="56"/>
        <v>0</v>
      </c>
      <c r="BK246" s="855">
        <f t="shared" ca="1" si="57"/>
        <v>0</v>
      </c>
      <c r="BL246" s="855">
        <f t="shared" ca="1" si="58"/>
        <v>0</v>
      </c>
      <c r="BM246" s="855">
        <f t="shared" ca="1" si="59"/>
        <v>0</v>
      </c>
      <c r="BN246" s="1581"/>
      <c r="BO246" s="1576" t="str">
        <f ca="1">IF(IFERROR(INDEX(Налоги!$K$26:$L$69,MATCH($F246&amp;"10komm",Налоги!$K$26:$K$69,0),2),"")=0,"",IFERROR(INDEX(Налоги!$K$26:$L$69,MATCH($F246&amp;"10komm",Налоги!$K$26:$K$69,0),2),""))</f>
        <v/>
      </c>
      <c r="BP246" s="1581"/>
      <c r="BQ246" s="1184"/>
      <c r="BR246" s="1184"/>
      <c r="BS246" s="973" t="s">
        <v>2056</v>
      </c>
      <c r="BT246" s="973"/>
      <c r="BU246" s="973"/>
      <c r="BV246" s="888"/>
      <c r="BW246" s="888"/>
    </row>
    <row r="247" spans="1:75" s="1334" customFormat="1" ht="65.25" customHeight="1" x14ac:dyDescent="0.15">
      <c r="A247" s="1184"/>
      <c r="B247" s="887"/>
      <c r="C247" s="1184"/>
      <c r="D247" s="1184"/>
      <c r="E247" s="626">
        <v>67.5</v>
      </c>
      <c r="F247" s="3" t="str" cm="1">
        <f t="array" aca="1" ref="F247" ca="1">OFFSET(E247,-1,1)</f>
        <v>1</v>
      </c>
      <c r="G247" s="77" t="s">
        <v>1412</v>
      </c>
      <c r="H247" s="1184"/>
      <c r="I247" s="77" t="s">
        <v>932</v>
      </c>
      <c r="J247" s="1184"/>
      <c r="K247" s="77" t="s">
        <v>932</v>
      </c>
      <c r="L247" s="889"/>
      <c r="M247" s="26"/>
      <c r="N247" s="1184"/>
      <c r="O247" s="1184"/>
      <c r="P247" s="1184"/>
      <c r="Q247" s="1184"/>
      <c r="R247" s="1184"/>
      <c r="S247" s="1184"/>
      <c r="T247" s="388" t="b" cm="1">
        <f t="array" aca="1" ref="T247" ca="1">T246</f>
        <v>1</v>
      </c>
      <c r="U247" s="1184"/>
      <c r="V247" s="1184"/>
      <c r="W247" s="1184"/>
      <c r="X247" s="2032"/>
      <c r="Y247" s="1184"/>
      <c r="Z247" s="2012"/>
      <c r="AA247" s="1184"/>
      <c r="AB247" s="217" t="s">
        <v>933</v>
      </c>
      <c r="AC247" s="702" t="s">
        <v>1415</v>
      </c>
      <c r="AD247" s="218" t="s">
        <v>831</v>
      </c>
      <c r="AE247" s="1585"/>
      <c r="AF247" s="1585"/>
      <c r="AG247" s="1585"/>
      <c r="AH247" s="855">
        <f t="shared" si="48"/>
        <v>0</v>
      </c>
      <c r="AI247" s="1569"/>
      <c r="AJ247" s="1569"/>
      <c r="AK247" s="1165"/>
      <c r="AL247" s="1165"/>
      <c r="AM247" s="1165"/>
      <c r="AN247" s="1165"/>
      <c r="AO247" s="1165"/>
      <c r="AP247" s="1165"/>
      <c r="AQ247" s="1569"/>
      <c r="AR247" s="1569"/>
      <c r="AS247" s="1569"/>
      <c r="AT247" s="1569"/>
      <c r="AU247" s="1165"/>
      <c r="AV247" s="1165"/>
      <c r="AW247" s="1165"/>
      <c r="AX247" s="1165"/>
      <c r="AY247" s="1165"/>
      <c r="AZ247" s="1165"/>
      <c r="BA247" s="1569"/>
      <c r="BB247" s="1569"/>
      <c r="BC247" s="1569"/>
      <c r="BD247" s="855">
        <f t="shared" si="50"/>
        <v>0</v>
      </c>
      <c r="BE247" s="855">
        <f t="shared" si="51"/>
        <v>0</v>
      </c>
      <c r="BF247" s="855">
        <f t="shared" si="52"/>
        <v>0</v>
      </c>
      <c r="BG247" s="855">
        <f t="shared" si="53"/>
        <v>0</v>
      </c>
      <c r="BH247" s="855">
        <f t="shared" si="54"/>
        <v>0</v>
      </c>
      <c r="BI247" s="855">
        <f t="shared" si="55"/>
        <v>0</v>
      </c>
      <c r="BJ247" s="855">
        <f t="shared" si="56"/>
        <v>0</v>
      </c>
      <c r="BK247" s="855">
        <f t="shared" si="57"/>
        <v>0</v>
      </c>
      <c r="BL247" s="855">
        <f t="shared" si="58"/>
        <v>0</v>
      </c>
      <c r="BM247" s="855">
        <f t="shared" si="59"/>
        <v>0</v>
      </c>
      <c r="BN247" s="1581"/>
      <c r="BO247" s="1581"/>
      <c r="BP247" s="1581"/>
      <c r="BQ247" s="1184"/>
      <c r="BR247" s="1184"/>
      <c r="BS247" s="973" t="s">
        <v>2057</v>
      </c>
      <c r="BT247" s="973"/>
      <c r="BU247" s="973"/>
      <c r="BV247" s="888"/>
      <c r="BW247" s="888"/>
    </row>
    <row r="248" spans="1:75" s="1334" customFormat="1" ht="26.65" customHeight="1" x14ac:dyDescent="0.15">
      <c r="A248" s="1184"/>
      <c r="B248" s="887"/>
      <c r="C248" s="1184"/>
      <c r="D248" s="1184"/>
      <c r="E248" s="626">
        <v>15</v>
      </c>
      <c r="F248" s="3" t="str" cm="1">
        <f t="array" aca="1" ref="F248" ca="1">OFFSET(E248,-1,1)</f>
        <v>1</v>
      </c>
      <c r="G248" s="77" t="s">
        <v>1011</v>
      </c>
      <c r="H248" s="1184"/>
      <c r="I248" s="77" t="s">
        <v>935</v>
      </c>
      <c r="J248" s="1184"/>
      <c r="K248" s="77" t="s">
        <v>935</v>
      </c>
      <c r="L248" s="889" t="s">
        <v>544</v>
      </c>
      <c r="M248" s="26"/>
      <c r="N248" s="1184"/>
      <c r="O248" s="1184"/>
      <c r="P248" s="1184"/>
      <c r="Q248" s="1184"/>
      <c r="R248" s="1184"/>
      <c r="S248" s="1184"/>
      <c r="T248" s="388" t="b" cm="1">
        <f t="array" aca="1" ref="T248" ca="1">T247</f>
        <v>1</v>
      </c>
      <c r="U248" s="1184"/>
      <c r="V248" s="1184"/>
      <c r="W248" s="1184"/>
      <c r="X248" s="2032"/>
      <c r="Y248" s="1184"/>
      <c r="Z248" s="2012"/>
      <c r="AA248" s="1184"/>
      <c r="AB248" s="217" t="s">
        <v>936</v>
      </c>
      <c r="AC248" s="682" t="s">
        <v>1011</v>
      </c>
      <c r="AD248" s="218" t="s">
        <v>831</v>
      </c>
      <c r="AE248" s="177">
        <f ca="1">SUMIFS(Аренда!AE$25:AE$57,Аренда!$F$25:$F$57,$F248,Аренда!$G$25:$G$57,"Арендная и концессионная плата, лизинговые платежи")</f>
        <v>119.99</v>
      </c>
      <c r="AF248" s="177">
        <f ca="1">SUMIFS(Аренда!AF$25:AF$57,Аренда!$F$25:$F$57,$F248,Аренда!$G$25:$G$57,"Арендная и концессионная плата, лизинговые платежи")</f>
        <v>253.09</v>
      </c>
      <c r="AG248" s="177">
        <f ca="1">SUMIFS(Аренда!AG$25:AG$57,Аренда!$F$25:$F$57,$F248,Аренда!$G$25:$G$57,"Арендная и концессионная плата, лизинговые платежи")</f>
        <v>97.87</v>
      </c>
      <c r="AH248" s="855">
        <f t="shared" ca="1" si="48"/>
        <v>-155.22</v>
      </c>
      <c r="AI248" s="177">
        <f ca="1">SUMIFS(Аренда!AH$25:AH$57,Аренда!$F$25:$F$57,$F248,Аренда!$G$25:$G$57,"Арендная и концессионная плата, лизинговые платежи")</f>
        <v>119.99</v>
      </c>
      <c r="AJ248" s="177">
        <f ca="1">SUMIFS(Аренда!AI$25:AI$57,Аренда!$F$25:$F$57,$F248,Аренда!$G$25:$G$57,"Арендная и концессионная плата, лизинговые платежи")</f>
        <v>812.5</v>
      </c>
      <c r="AK248" s="177">
        <f ca="1">SUMIFS(Аренда!AJ$25:AJ$57,Аренда!$F$25:$F$57,$F248,Аренда!$G$25:$G$57,"Арендная и концессионная плата, лизинговые платежи")</f>
        <v>1134.35785216</v>
      </c>
      <c r="AL248" s="177">
        <f ca="1">SUMIFS(Аренда!AK$25:AK$57,Аренда!$F$25:$F$57,$F248,Аренда!$G$25:$G$57,"Арендная и концессионная плата, лизинговые платежи")</f>
        <v>1179.7321662464001</v>
      </c>
      <c r="AM248" s="177">
        <f ca="1">SUMIFS(Аренда!AL$25:AL$57,Аренда!$F$25:$F$57,$F248,Аренда!$G$25:$G$57,"Арендная и концессионная плата, лизинговые платежи")</f>
        <v>1226.9214528963</v>
      </c>
      <c r="AN248" s="177">
        <f ca="1">SUMIFS(Аренда!AM$25:AM$57,Аренда!$F$25:$F$57,$F248,Аренда!$G$25:$G$57,"Арендная и концессионная плата, лизинговые платежи")</f>
        <v>1275.9983110121</v>
      </c>
      <c r="AO248" s="177">
        <f ca="1">SUMIFS(Аренда!AN$25:AN$57,Аренда!$F$25:$F$57,$F248,Аренда!$G$25:$G$57,"Арендная и концессионная плата, лизинговые платежи")</f>
        <v>1327.0382434526</v>
      </c>
      <c r="AP248" s="177">
        <f ca="1">SUMIFS(Аренда!AO$25:AO$57,Аренда!$F$25:$F$57,$F248,Аренда!$G$25:$G$57,"Арендная и концессионная плата, лизинговые платежи")</f>
        <v>1380.1197731907</v>
      </c>
      <c r="AQ248" s="177">
        <f ca="1">SUMIFS(Аренда!AP$25:AP$57,Аренда!$F$25:$F$57,$F248,Аренда!$G$25:$G$57,"Арендная и концессионная плата, лизинговые платежи")</f>
        <v>0</v>
      </c>
      <c r="AR248" s="177">
        <f ca="1">SUMIFS(Аренда!AQ$25:AQ$57,Аренда!$F$25:$F$57,$F248,Аренда!$G$25:$G$57,"Арендная и концессионная плата, лизинговые платежи")</f>
        <v>0</v>
      </c>
      <c r="AS248" s="177">
        <f ca="1">SUMIFS(Аренда!AR$25:AR$57,Аренда!$F$25:$F$57,$F248,Аренда!$G$25:$G$57,"Арендная и концессионная плата, лизинговые платежи")</f>
        <v>0</v>
      </c>
      <c r="AT248" s="177">
        <f ca="1">SUMIFS(Аренда!AS$25:AS$57,Аренда!$F$25:$F$57,$F248,Аренда!$G$25:$G$57,"Арендная и концессионная плата, лизинговые платежи")</f>
        <v>96.87</v>
      </c>
      <c r="AU248" s="177">
        <f ca="1">SUMIFS(Аренда!AT$25:AT$57,Аренда!$F$25:$F$57,$F248,Аренда!$G$25:$G$57,"Арендная и концессионная плата, лизинговые платежи")</f>
        <v>119.99</v>
      </c>
      <c r="AV248" s="177">
        <f ca="1">SUMIFS(Аренда!AU$25:AU$57,Аренда!$F$25:$F$57,$F248,Аренда!$G$25:$G$57,"Арендная и концессионная плата, лизинговые платежи")</f>
        <v>119.99</v>
      </c>
      <c r="AW248" s="177">
        <f ca="1">SUMIFS(Аренда!AV$25:AV$57,Аренда!$F$25:$F$57,$F248,Аренда!$G$25:$G$57,"Арендная и концессионная плата, лизинговые платежи")</f>
        <v>119.99</v>
      </c>
      <c r="AX248" s="177">
        <f ca="1">SUMIFS(Аренда!AW$25:AW$57,Аренда!$F$25:$F$57,$F248,Аренда!$G$25:$G$57,"Арендная и концессионная плата, лизинговые платежи")</f>
        <v>119.99</v>
      </c>
      <c r="AY248" s="177">
        <f ca="1">SUMIFS(Аренда!AX$25:AX$57,Аренда!$F$25:$F$57,$F248,Аренда!$G$25:$G$57,"Арендная и концессионная плата, лизинговые платежи")</f>
        <v>119.99</v>
      </c>
      <c r="AZ248" s="177">
        <f ca="1">SUMIFS(Аренда!AY$25:AY$57,Аренда!$F$25:$F$57,$F248,Аренда!$G$25:$G$57,"Арендная и концессионная плата, лизинговые платежи")</f>
        <v>119.99</v>
      </c>
      <c r="BA248" s="177">
        <f ca="1">SUMIFS(Аренда!AZ$25:AZ$57,Аренда!$F$25:$F$57,$F248,Аренда!$G$25:$G$57,"Арендная и концессионная плата, лизинговые платежи")</f>
        <v>0</v>
      </c>
      <c r="BB248" s="177">
        <f ca="1">SUMIFS(Аренда!BA$25:BA$57,Аренда!$F$25:$F$57,$F248,Аренда!$G$25:$G$57,"Арендная и концессионная плата, лизинговые платежи")</f>
        <v>0</v>
      </c>
      <c r="BC248" s="177">
        <f ca="1">SUMIFS(Аренда!BB$25:BB$57,Аренда!$F$25:$F$57,$F248,Аренда!$G$25:$G$57,"Арендная и концессионная плата, лизинговые платежи")</f>
        <v>0</v>
      </c>
      <c r="BD248" s="855">
        <f t="shared" ca="1" si="50"/>
        <v>-19.268272356029662</v>
      </c>
      <c r="BE248" s="855">
        <f t="shared" ca="1" si="51"/>
        <v>23.867038298750892</v>
      </c>
      <c r="BF248" s="855">
        <f t="shared" ca="1" si="52"/>
        <v>0</v>
      </c>
      <c r="BG248" s="855">
        <f t="shared" ca="1" si="53"/>
        <v>0</v>
      </c>
      <c r="BH248" s="855">
        <f t="shared" ca="1" si="54"/>
        <v>0</v>
      </c>
      <c r="BI248" s="855">
        <f t="shared" ca="1" si="55"/>
        <v>0</v>
      </c>
      <c r="BJ248" s="855">
        <f t="shared" ca="1" si="56"/>
        <v>0</v>
      </c>
      <c r="BK248" s="855">
        <f t="shared" ca="1" si="57"/>
        <v>-100</v>
      </c>
      <c r="BL248" s="855">
        <f t="shared" ca="1" si="58"/>
        <v>0</v>
      </c>
      <c r="BM248" s="855">
        <f t="shared" ca="1" si="59"/>
        <v>0</v>
      </c>
      <c r="BN248" s="1581"/>
      <c r="BO248" s="1586" t="s">
        <v>2207</v>
      </c>
      <c r="BP248" s="1581" t="s">
        <v>2208</v>
      </c>
      <c r="BQ248" s="1184"/>
      <c r="BR248" s="1184"/>
      <c r="BS248" s="973" t="s">
        <v>2058</v>
      </c>
      <c r="BT248" s="973"/>
      <c r="BU248" s="973"/>
      <c r="BV248" s="888"/>
      <c r="BW248" s="888"/>
    </row>
    <row r="249" spans="1:75" s="1334" customFormat="1" ht="14.25" customHeight="1" x14ac:dyDescent="0.15">
      <c r="A249" s="1184"/>
      <c r="B249" s="354" t="b">
        <f>STATUS_GO="да"</f>
        <v>1</v>
      </c>
      <c r="C249" s="1184"/>
      <c r="D249" s="1184"/>
      <c r="E249" s="626">
        <v>15</v>
      </c>
      <c r="F249" s="3" t="str" cm="1">
        <f t="array" aca="1" ref="F249" ca="1">OFFSET(E249,-1,1)</f>
        <v>1</v>
      </c>
      <c r="G249" s="1184"/>
      <c r="H249" s="1184"/>
      <c r="I249" s="77" t="s">
        <v>2059</v>
      </c>
      <c r="J249" s="1184"/>
      <c r="K249" s="77" t="s">
        <v>2059</v>
      </c>
      <c r="L249" s="889"/>
      <c r="M249" s="26"/>
      <c r="N249" s="1184"/>
      <c r="O249" s="1184"/>
      <c r="P249" s="1184"/>
      <c r="Q249" s="1184"/>
      <c r="R249" s="1184"/>
      <c r="S249" s="1184"/>
      <c r="T249" s="388" t="b" cm="1">
        <f t="array" aca="1" ref="T249" ca="1">T248</f>
        <v>1</v>
      </c>
      <c r="U249" s="1184"/>
      <c r="V249" s="1184"/>
      <c r="W249" s="1184"/>
      <c r="X249" s="2032"/>
      <c r="Y249" s="1184"/>
      <c r="Z249" s="2012"/>
      <c r="AA249" s="1184"/>
      <c r="AB249" s="217" t="s">
        <v>1479</v>
      </c>
      <c r="AC249" s="682" t="s">
        <v>2060</v>
      </c>
      <c r="AD249" s="218" t="s">
        <v>831</v>
      </c>
      <c r="AE249" s="1567"/>
      <c r="AF249" s="1567"/>
      <c r="AG249" s="1567"/>
      <c r="AH249" s="855">
        <f t="shared" si="48"/>
        <v>0</v>
      </c>
      <c r="AI249" s="1568"/>
      <c r="AJ249" s="1568"/>
      <c r="AK249" s="1160"/>
      <c r="AL249" s="1160"/>
      <c r="AM249" s="1160"/>
      <c r="AN249" s="1160"/>
      <c r="AO249" s="1160"/>
      <c r="AP249" s="1160"/>
      <c r="AQ249" s="1568"/>
      <c r="AR249" s="1568"/>
      <c r="AS249" s="1568"/>
      <c r="AT249" s="1568"/>
      <c r="AU249" s="1160"/>
      <c r="AV249" s="1160"/>
      <c r="AW249" s="1160"/>
      <c r="AX249" s="1160"/>
      <c r="AY249" s="1160"/>
      <c r="AZ249" s="1160"/>
      <c r="BA249" s="1568"/>
      <c r="BB249" s="1568"/>
      <c r="BC249" s="1568"/>
      <c r="BD249" s="855">
        <f t="shared" si="50"/>
        <v>0</v>
      </c>
      <c r="BE249" s="855">
        <f t="shared" si="51"/>
        <v>0</v>
      </c>
      <c r="BF249" s="855">
        <f t="shared" si="52"/>
        <v>0</v>
      </c>
      <c r="BG249" s="855">
        <f t="shared" si="53"/>
        <v>0</v>
      </c>
      <c r="BH249" s="855">
        <f t="shared" si="54"/>
        <v>0</v>
      </c>
      <c r="BI249" s="855">
        <f t="shared" si="55"/>
        <v>0</v>
      </c>
      <c r="BJ249" s="855">
        <f t="shared" si="56"/>
        <v>0</v>
      </c>
      <c r="BK249" s="855">
        <f t="shared" si="57"/>
        <v>0</v>
      </c>
      <c r="BL249" s="855">
        <f t="shared" si="58"/>
        <v>0</v>
      </c>
      <c r="BM249" s="855">
        <f t="shared" si="59"/>
        <v>0</v>
      </c>
      <c r="BN249" s="1581"/>
      <c r="BO249" s="1581"/>
      <c r="BP249" s="1581"/>
      <c r="BQ249" s="1184"/>
      <c r="BR249" s="1184"/>
      <c r="BS249" s="973" t="s">
        <v>2061</v>
      </c>
      <c r="BT249" s="973"/>
      <c r="BU249" s="973"/>
      <c r="BV249" s="888"/>
      <c r="BW249" s="888"/>
    </row>
    <row r="250" spans="1:75" s="1334" customFormat="1" ht="14.25" customHeight="1" x14ac:dyDescent="0.15">
      <c r="A250" s="1184"/>
      <c r="B250" s="354" t="b">
        <f>STATUS_GO="да"</f>
        <v>1</v>
      </c>
      <c r="C250" s="1184"/>
      <c r="D250" s="1184"/>
      <c r="E250" s="626">
        <v>15</v>
      </c>
      <c r="F250" s="3" t="str" cm="1">
        <f t="array" aca="1" ref="F250" ca="1">OFFSET(E250,-1,1)</f>
        <v>1</v>
      </c>
      <c r="G250" s="77" t="s">
        <v>1421</v>
      </c>
      <c r="H250" s="1184"/>
      <c r="I250" s="77" t="s">
        <v>2062</v>
      </c>
      <c r="J250" s="1184"/>
      <c r="K250" s="77" t="s">
        <v>2062</v>
      </c>
      <c r="L250" s="889"/>
      <c r="M250" s="26"/>
      <c r="N250" s="1184"/>
      <c r="O250" s="1184"/>
      <c r="P250" s="1184"/>
      <c r="Q250" s="1184"/>
      <c r="R250" s="1184"/>
      <c r="S250" s="1184"/>
      <c r="T250" s="388" t="b" cm="1">
        <f t="array" aca="1" ref="T250" ca="1">T249</f>
        <v>1</v>
      </c>
      <c r="U250" s="1184"/>
      <c r="V250" s="1184"/>
      <c r="W250" s="1184"/>
      <c r="X250" s="2032"/>
      <c r="Y250" s="1184"/>
      <c r="Z250" s="2012"/>
      <c r="AA250" s="1184"/>
      <c r="AB250" s="217" t="s">
        <v>2063</v>
      </c>
      <c r="AC250" s="685" t="s">
        <v>1421</v>
      </c>
      <c r="AD250" s="218" t="s">
        <v>831</v>
      </c>
      <c r="AE250" s="1567"/>
      <c r="AF250" s="1567"/>
      <c r="AG250" s="1567"/>
      <c r="AH250" s="855">
        <f t="shared" si="48"/>
        <v>0</v>
      </c>
      <c r="AI250" s="1568"/>
      <c r="AJ250" s="1568"/>
      <c r="AK250" s="1160"/>
      <c r="AL250" s="1160"/>
      <c r="AM250" s="1160"/>
      <c r="AN250" s="1160"/>
      <c r="AO250" s="1160"/>
      <c r="AP250" s="1160"/>
      <c r="AQ250" s="1568"/>
      <c r="AR250" s="1568"/>
      <c r="AS250" s="1568"/>
      <c r="AT250" s="1568"/>
      <c r="AU250" s="1160"/>
      <c r="AV250" s="1160"/>
      <c r="AW250" s="1160"/>
      <c r="AX250" s="1160"/>
      <c r="AY250" s="1160"/>
      <c r="AZ250" s="1160"/>
      <c r="BA250" s="1568"/>
      <c r="BB250" s="1568"/>
      <c r="BC250" s="1568"/>
      <c r="BD250" s="855">
        <f t="shared" si="50"/>
        <v>0</v>
      </c>
      <c r="BE250" s="855">
        <f t="shared" si="51"/>
        <v>0</v>
      </c>
      <c r="BF250" s="855">
        <f t="shared" si="52"/>
        <v>0</v>
      </c>
      <c r="BG250" s="855">
        <f t="shared" si="53"/>
        <v>0</v>
      </c>
      <c r="BH250" s="855">
        <f t="shared" si="54"/>
        <v>0</v>
      </c>
      <c r="BI250" s="855">
        <f t="shared" si="55"/>
        <v>0</v>
      </c>
      <c r="BJ250" s="855">
        <f t="shared" si="56"/>
        <v>0</v>
      </c>
      <c r="BK250" s="855">
        <f t="shared" si="57"/>
        <v>0</v>
      </c>
      <c r="BL250" s="855">
        <f t="shared" si="58"/>
        <v>0</v>
      </c>
      <c r="BM250" s="855">
        <f t="shared" si="59"/>
        <v>0</v>
      </c>
      <c r="BN250" s="1581"/>
      <c r="BO250" s="1586" t="str">
        <f ca="1">IF(IFERROR(INDEX('Сбытовые расходы ГО'!$K$26:$M$65,MATCH($F250&amp;"komm",'Сбытовые расходы ГО'!$K$26:$K$65,0),2),"")=0,"",IFERROR(INDEX('Сбытовые расходы ГО'!$K$26:$M$65,MATCH($F250&amp;"komm",'Сбытовые расходы ГО'!$K$26:$K$65,0),2),""))</f>
        <v/>
      </c>
      <c r="BP250" s="1581"/>
      <c r="BQ250" s="1184"/>
      <c r="BR250" s="1184"/>
      <c r="BS250" s="973" t="s">
        <v>2064</v>
      </c>
      <c r="BT250" s="973"/>
      <c r="BU250" s="973"/>
      <c r="BV250" s="888"/>
      <c r="BW250" s="888"/>
    </row>
    <row r="251" spans="1:75" s="1334" customFormat="1" ht="14.65" customHeight="1" x14ac:dyDescent="0.15">
      <c r="A251" s="1184"/>
      <c r="B251" s="887"/>
      <c r="C251" s="1184"/>
      <c r="D251" s="1184"/>
      <c r="E251" s="626">
        <v>15</v>
      </c>
      <c r="F251" s="3" t="str" cm="1">
        <f t="array" aca="1" ref="F251" ca="1">OFFSET(E251,-1,1)</f>
        <v>1</v>
      </c>
      <c r="G251" s="77" t="s">
        <v>1426</v>
      </c>
      <c r="H251" s="1184"/>
      <c r="I251" s="77" t="s">
        <v>2065</v>
      </c>
      <c r="J251" s="1184"/>
      <c r="K251" s="77" t="s">
        <v>2065</v>
      </c>
      <c r="L251" s="889"/>
      <c r="M251" s="26"/>
      <c r="N251" s="1184"/>
      <c r="O251" s="1184"/>
      <c r="P251" s="1184"/>
      <c r="Q251" s="1184"/>
      <c r="R251" s="1184"/>
      <c r="S251" s="1184"/>
      <c r="T251" s="388" t="b" cm="1">
        <f t="array" aca="1" ref="T251" ca="1">T250</f>
        <v>1</v>
      </c>
      <c r="U251" s="1184"/>
      <c r="V251" s="1184"/>
      <c r="W251" s="1184"/>
      <c r="X251" s="2032"/>
      <c r="Y251" s="1184"/>
      <c r="Z251" s="2012"/>
      <c r="AA251" s="1184"/>
      <c r="AB251" s="217" t="s">
        <v>1484</v>
      </c>
      <c r="AC251" s="682" t="s">
        <v>1426</v>
      </c>
      <c r="AD251" s="218" t="s">
        <v>831</v>
      </c>
      <c r="AE251" s="1567">
        <v>0</v>
      </c>
      <c r="AF251" s="1567"/>
      <c r="AG251" s="1567"/>
      <c r="AH251" s="855">
        <f t="shared" si="48"/>
        <v>0</v>
      </c>
      <c r="AI251" s="1568">
        <v>0</v>
      </c>
      <c r="AJ251" s="1568">
        <f ca="1">SUMIFS(Экономия_корр!AE$25:AE$51,Экономия_корр!$F$25:$F$51,$F251,Экономия_корр!$AC$25:$AC$51,"Экономия расходов с учетом ИПЦ")</f>
        <v>0</v>
      </c>
      <c r="AK251" s="1160">
        <f ca="1">SUMIFS(Экономия_корр!AF$25:AF$51,Экономия_корр!$F$25:$F$51,$F251,Экономия_корр!$AC$25:$AC$51,"Экономия расходов с учетом ИПЦ")</f>
        <v>0</v>
      </c>
      <c r="AL251" s="1160">
        <f ca="1">SUMIFS(Экономия_корр!AG$25:AG$51,Экономия_корр!$F$25:$F$51,$F251,Экономия_корр!$AC$25:$AC$51,"Экономия расходов с учетом ИПЦ")</f>
        <v>0</v>
      </c>
      <c r="AM251" s="1160">
        <f ca="1">SUMIFS(Экономия_корр!AH$25:AH$51,Экономия_корр!$F$25:$F$51,$F251,Экономия_корр!$AC$25:$AC$51,"Экономия расходов с учетом ИПЦ")</f>
        <v>0</v>
      </c>
      <c r="AN251" s="1160">
        <f ca="1">SUMIFS(Экономия_корр!AI$25:AI$51,Экономия_корр!$F$25:$F$51,$F251,Экономия_корр!$AC$25:$AC$51,"Экономия расходов с учетом ИПЦ")</f>
        <v>0</v>
      </c>
      <c r="AO251" s="1160">
        <f ca="1">SUMIFS(Экономия_корр!AJ$25:AJ$51,Экономия_корр!$F$25:$F$51,$F251,Экономия_корр!$AC$25:$AC$51,"Экономия расходов с учетом ИПЦ")</f>
        <v>0</v>
      </c>
      <c r="AP251" s="1160">
        <f ca="1">SUMIFS(Экономия_корр!AK$25:AK$51,Экономия_корр!$F$25:$F$51,$F251,Экономия_корр!$AC$25:$AC$51,"Экономия расходов с учетом ИПЦ")</f>
        <v>0</v>
      </c>
      <c r="AQ251" s="1568">
        <f ca="1">SUMIFS(Экономия_корр!AL$25:AL$51,Экономия_корр!$F$25:$F$51,$F251,Экономия_корр!$AC$25:$AC$51,"Экономия расходов с учетом ИПЦ")</f>
        <v>0</v>
      </c>
      <c r="AR251" s="1568">
        <f ca="1">SUMIFS(Экономия_корр!AM$25:AM$51,Экономия_корр!$F$25:$F$51,$F251,Экономия_корр!$AC$25:$AC$51,"Экономия расходов с учетом ИПЦ")</f>
        <v>0</v>
      </c>
      <c r="AS251" s="1568">
        <f ca="1">SUMIFS(Экономия_корр!AN$25:AN$51,Экономия_корр!$F$25:$F$51,$F251,Экономия_корр!$AC$25:$AC$51,"Экономия расходов с учетом ИПЦ")</f>
        <v>0</v>
      </c>
      <c r="AT251" s="1568">
        <f ca="1">SUMIFS(Экономия_корр!AO$25:AO$51,Экономия_корр!$F$25:$F$51,$F251,Экономия_корр!$AC$25:$AC$51,"Экономия расходов с учетом ИПЦ")</f>
        <v>0</v>
      </c>
      <c r="AU251" s="1160">
        <f ca="1">SUMIFS(Экономия_корр!AP$25:AP$51,Экономия_корр!$F$25:$F$51,$F251,Экономия_корр!$AC$25:$AC$51,"Экономия расходов с учетом ИПЦ")</f>
        <v>0</v>
      </c>
      <c r="AV251" s="1160">
        <f ca="1">SUMIFS(Экономия_корр!AQ$25:AQ$51,Экономия_корр!$F$25:$F$51,$F251,Экономия_корр!$AC$25:$AC$51,"Экономия расходов с учетом ИПЦ")</f>
        <v>0</v>
      </c>
      <c r="AW251" s="1160">
        <f ca="1">SUMIFS(Экономия_корр!AR$25:AR$51,Экономия_корр!$F$25:$F$51,$F251,Экономия_корр!$AC$25:$AC$51,"Экономия расходов с учетом ИПЦ")</f>
        <v>0</v>
      </c>
      <c r="AX251" s="1160">
        <f ca="1">SUMIFS(Экономия_корр!AS$25:AS$51,Экономия_корр!$F$25:$F$51,$F251,Экономия_корр!$AC$25:$AC$51,"Экономия расходов с учетом ИПЦ")</f>
        <v>0</v>
      </c>
      <c r="AY251" s="1160">
        <f ca="1">SUMIFS(Экономия_корр!AT$25:AT$51,Экономия_корр!$F$25:$F$51,$F251,Экономия_корр!$AC$25:$AC$51,"Экономия расходов с учетом ИПЦ")</f>
        <v>0</v>
      </c>
      <c r="AZ251" s="1160">
        <f ca="1">SUMIFS(Экономия_корр!AU$25:AU$51,Экономия_корр!$F$25:$F$51,$F251,Экономия_корр!$AC$25:$AC$51,"Экономия расходов с учетом ИПЦ")</f>
        <v>0</v>
      </c>
      <c r="BA251" s="1568">
        <f ca="1">SUMIFS(Экономия_корр!AV$25:AV$51,Экономия_корр!$F$25:$F$51,$F251,Экономия_корр!$AC$25:$AC$51,"Экономия расходов с учетом ИПЦ")</f>
        <v>0</v>
      </c>
      <c r="BB251" s="1568">
        <f ca="1">SUMIFS(Экономия_корр!AW$25:AW$51,Экономия_корр!$F$25:$F$51,$F251,Экономия_корр!$AC$25:$AC$51,"Экономия расходов с учетом ИПЦ")</f>
        <v>0</v>
      </c>
      <c r="BC251" s="1568">
        <f ca="1">SUMIFS(Экономия_корр!AX$25:AX$51,Экономия_корр!$F$25:$F$51,$F251,Экономия_корр!$AC$25:$AC$51,"Экономия расходов с учетом ИПЦ")</f>
        <v>0</v>
      </c>
      <c r="BD251" s="855">
        <f t="shared" si="50"/>
        <v>0</v>
      </c>
      <c r="BE251" s="855">
        <f t="shared" ca="1" si="51"/>
        <v>0</v>
      </c>
      <c r="BF251" s="855">
        <f t="shared" ca="1" si="52"/>
        <v>0</v>
      </c>
      <c r="BG251" s="855">
        <f t="shared" ca="1" si="53"/>
        <v>0</v>
      </c>
      <c r="BH251" s="855">
        <f t="shared" ca="1" si="54"/>
        <v>0</v>
      </c>
      <c r="BI251" s="855">
        <f t="shared" ca="1" si="55"/>
        <v>0</v>
      </c>
      <c r="BJ251" s="855">
        <f t="shared" ca="1" si="56"/>
        <v>0</v>
      </c>
      <c r="BK251" s="855">
        <f t="shared" ca="1" si="57"/>
        <v>0</v>
      </c>
      <c r="BL251" s="855">
        <f t="shared" ca="1" si="58"/>
        <v>0</v>
      </c>
      <c r="BM251" s="855">
        <f t="shared" ca="1" si="59"/>
        <v>0</v>
      </c>
      <c r="BN251" s="1581"/>
      <c r="BO251" s="1581"/>
      <c r="BP251" s="1581"/>
      <c r="BQ251" s="1184"/>
      <c r="BR251" s="1184"/>
      <c r="BS251" s="973" t="s">
        <v>2066</v>
      </c>
      <c r="BT251" s="973"/>
      <c r="BU251" s="973"/>
      <c r="BV251" s="888"/>
      <c r="BW251" s="888"/>
    </row>
    <row r="252" spans="1:75" s="1334" customFormat="1" ht="14.25" customHeight="1" x14ac:dyDescent="0.15">
      <c r="A252" s="1184"/>
      <c r="B252" s="887"/>
      <c r="C252" s="1184"/>
      <c r="D252" s="1184"/>
      <c r="E252" s="626">
        <v>15</v>
      </c>
      <c r="F252" s="3" t="str" cm="1">
        <f t="array" aca="1" ref="F252" ca="1">OFFSET(E252,-1,1)</f>
        <v>1</v>
      </c>
      <c r="G252" s="77" t="s">
        <v>1431</v>
      </c>
      <c r="H252" s="1184"/>
      <c r="I252" s="77" t="s">
        <v>2067</v>
      </c>
      <c r="J252" s="1184"/>
      <c r="K252" s="77" t="s">
        <v>2067</v>
      </c>
      <c r="L252" s="889"/>
      <c r="M252" s="26"/>
      <c r="N252" s="1184"/>
      <c r="O252" s="1184"/>
      <c r="P252" s="1184"/>
      <c r="Q252" s="1184"/>
      <c r="R252" s="1184"/>
      <c r="S252" s="1184"/>
      <c r="T252" s="388" t="b" cm="1">
        <f t="array" aca="1" ref="T252" ca="1">T251</f>
        <v>1</v>
      </c>
      <c r="U252" s="1184"/>
      <c r="V252" s="1184"/>
      <c r="W252" s="1184"/>
      <c r="X252" s="2032"/>
      <c r="Y252" s="1184"/>
      <c r="Z252" s="2012"/>
      <c r="AA252" s="1184"/>
      <c r="AB252" s="217" t="s">
        <v>2068</v>
      </c>
      <c r="AC252" s="682" t="s">
        <v>1431</v>
      </c>
      <c r="AD252" s="218" t="s">
        <v>831</v>
      </c>
      <c r="AE252" s="1567"/>
      <c r="AF252" s="1567"/>
      <c r="AG252" s="1567"/>
      <c r="AH252" s="855">
        <f t="shared" si="48"/>
        <v>0</v>
      </c>
      <c r="AI252" s="1568"/>
      <c r="AJ252" s="1568"/>
      <c r="AK252" s="1160"/>
      <c r="AL252" s="1160"/>
      <c r="AM252" s="1160"/>
      <c r="AN252" s="1160"/>
      <c r="AO252" s="1160"/>
      <c r="AP252" s="1160"/>
      <c r="AQ252" s="1568"/>
      <c r="AR252" s="1568"/>
      <c r="AS252" s="1568"/>
      <c r="AT252" s="1568"/>
      <c r="AU252" s="1160"/>
      <c r="AV252" s="1160"/>
      <c r="AW252" s="1160"/>
      <c r="AX252" s="1160"/>
      <c r="AY252" s="1160"/>
      <c r="AZ252" s="1160"/>
      <c r="BA252" s="1568"/>
      <c r="BB252" s="1568"/>
      <c r="BC252" s="1568"/>
      <c r="BD252" s="855">
        <f t="shared" si="50"/>
        <v>0</v>
      </c>
      <c r="BE252" s="855">
        <f t="shared" si="51"/>
        <v>0</v>
      </c>
      <c r="BF252" s="855">
        <f t="shared" si="52"/>
        <v>0</v>
      </c>
      <c r="BG252" s="855">
        <f t="shared" si="53"/>
        <v>0</v>
      </c>
      <c r="BH252" s="855">
        <f t="shared" si="54"/>
        <v>0</v>
      </c>
      <c r="BI252" s="855">
        <f t="shared" si="55"/>
        <v>0</v>
      </c>
      <c r="BJ252" s="855">
        <f t="shared" si="56"/>
        <v>0</v>
      </c>
      <c r="BK252" s="855">
        <f t="shared" si="57"/>
        <v>0</v>
      </c>
      <c r="BL252" s="855">
        <f t="shared" si="58"/>
        <v>0</v>
      </c>
      <c r="BM252" s="855">
        <f t="shared" si="59"/>
        <v>0</v>
      </c>
      <c r="BN252" s="1581"/>
      <c r="BO252" s="1581"/>
      <c r="BP252" s="1581"/>
      <c r="BQ252" s="1184"/>
      <c r="BR252" s="1184"/>
      <c r="BS252" s="973" t="s">
        <v>1798</v>
      </c>
      <c r="BT252" s="973"/>
      <c r="BU252" s="973"/>
      <c r="BV252" s="888"/>
      <c r="BW252" s="888"/>
    </row>
    <row r="253" spans="1:75" s="1334" customFormat="1" ht="14.25" customHeight="1" x14ac:dyDescent="0.15">
      <c r="A253" s="1184"/>
      <c r="B253" s="887"/>
      <c r="C253" s="1184"/>
      <c r="D253" s="1184"/>
      <c r="E253" s="626">
        <v>15</v>
      </c>
      <c r="F253" s="3" t="str" cm="1">
        <f t="array" aca="1" ref="F253" ca="1">OFFSET(E253,-1,1)</f>
        <v>1</v>
      </c>
      <c r="G253" s="77" t="s">
        <v>1436</v>
      </c>
      <c r="H253" s="1184"/>
      <c r="I253" s="77" t="s">
        <v>2069</v>
      </c>
      <c r="J253" s="1184"/>
      <c r="K253" s="77" t="s">
        <v>2069</v>
      </c>
      <c r="L253" s="889"/>
      <c r="M253" s="26"/>
      <c r="N253" s="1184"/>
      <c r="O253" s="1184"/>
      <c r="P253" s="1184"/>
      <c r="Q253" s="1184"/>
      <c r="R253" s="1184"/>
      <c r="S253" s="1184"/>
      <c r="T253" s="388" t="b" cm="1">
        <f t="array" aca="1" ref="T253" ca="1">T252</f>
        <v>1</v>
      </c>
      <c r="U253" s="1184"/>
      <c r="V253" s="1184"/>
      <c r="W253" s="1184"/>
      <c r="X253" s="2032"/>
      <c r="Y253" s="1184"/>
      <c r="Z253" s="2012"/>
      <c r="AA253" s="1184"/>
      <c r="AB253" s="217" t="s">
        <v>1503</v>
      </c>
      <c r="AC253" s="682" t="s">
        <v>1436</v>
      </c>
      <c r="AD253" s="218" t="s">
        <v>831</v>
      </c>
      <c r="AE253" s="1567"/>
      <c r="AF253" s="1567"/>
      <c r="AG253" s="1567"/>
      <c r="AH253" s="855">
        <f t="shared" si="48"/>
        <v>0</v>
      </c>
      <c r="AI253" s="1568"/>
      <c r="AJ253" s="1568"/>
      <c r="AK253" s="1160"/>
      <c r="AL253" s="1160"/>
      <c r="AM253" s="1160"/>
      <c r="AN253" s="1160"/>
      <c r="AO253" s="1160"/>
      <c r="AP253" s="1160"/>
      <c r="AQ253" s="1568"/>
      <c r="AR253" s="1568"/>
      <c r="AS253" s="1568"/>
      <c r="AT253" s="1568"/>
      <c r="AU253" s="1160"/>
      <c r="AV253" s="1160"/>
      <c r="AW253" s="1160"/>
      <c r="AX253" s="1160"/>
      <c r="AY253" s="1160"/>
      <c r="AZ253" s="1160"/>
      <c r="BA253" s="1568"/>
      <c r="BB253" s="1568"/>
      <c r="BC253" s="1568"/>
      <c r="BD253" s="855">
        <f t="shared" si="50"/>
        <v>0</v>
      </c>
      <c r="BE253" s="855">
        <f t="shared" si="51"/>
        <v>0</v>
      </c>
      <c r="BF253" s="855">
        <f t="shared" si="52"/>
        <v>0</v>
      </c>
      <c r="BG253" s="855">
        <f t="shared" si="53"/>
        <v>0</v>
      </c>
      <c r="BH253" s="855">
        <f t="shared" si="54"/>
        <v>0</v>
      </c>
      <c r="BI253" s="855">
        <f t="shared" si="55"/>
        <v>0</v>
      </c>
      <c r="BJ253" s="855">
        <f t="shared" si="56"/>
        <v>0</v>
      </c>
      <c r="BK253" s="855">
        <f t="shared" si="57"/>
        <v>0</v>
      </c>
      <c r="BL253" s="855">
        <f t="shared" si="58"/>
        <v>0</v>
      </c>
      <c r="BM253" s="855">
        <f t="shared" si="59"/>
        <v>0</v>
      </c>
      <c r="BN253" s="1581"/>
      <c r="BO253" s="1581"/>
      <c r="BP253" s="1581"/>
      <c r="BQ253" s="1184"/>
      <c r="BR253" s="1184"/>
      <c r="BS253" s="973" t="s">
        <v>2070</v>
      </c>
      <c r="BT253" s="973"/>
      <c r="BU253" s="973"/>
      <c r="BV253" s="888"/>
      <c r="BW253" s="888"/>
    </row>
    <row r="254" spans="1:75" s="1334" customFormat="1" ht="14.25" customHeight="1" x14ac:dyDescent="0.15">
      <c r="A254" s="1184"/>
      <c r="B254" s="887"/>
      <c r="C254" s="1184"/>
      <c r="D254" s="1184"/>
      <c r="E254" s="626">
        <v>15</v>
      </c>
      <c r="F254" s="3" t="str" cm="1">
        <f t="array" aca="1" ref="F254" ca="1">OFFSET(E254,-1,1)</f>
        <v>1</v>
      </c>
      <c r="G254" s="77" t="s">
        <v>1441</v>
      </c>
      <c r="H254" s="1184"/>
      <c r="I254" s="77" t="s">
        <v>2071</v>
      </c>
      <c r="J254" s="1184"/>
      <c r="K254" s="77" t="s">
        <v>2071</v>
      </c>
      <c r="L254" s="889"/>
      <c r="M254" s="26"/>
      <c r="N254" s="1184"/>
      <c r="O254" s="1184"/>
      <c r="P254" s="1184"/>
      <c r="Q254" s="1184"/>
      <c r="R254" s="1184"/>
      <c r="S254" s="1184"/>
      <c r="T254" s="388" t="b" cm="1">
        <f t="array" aca="1" ref="T254" ca="1">T253</f>
        <v>1</v>
      </c>
      <c r="U254" s="1184"/>
      <c r="V254" s="1184"/>
      <c r="W254" s="1184"/>
      <c r="X254" s="2032"/>
      <c r="Y254" s="1184"/>
      <c r="Z254" s="2012"/>
      <c r="AA254" s="1184"/>
      <c r="AB254" s="217" t="s">
        <v>1507</v>
      </c>
      <c r="AC254" s="682" t="s">
        <v>1441</v>
      </c>
      <c r="AD254" s="218" t="s">
        <v>831</v>
      </c>
      <c r="AE254" s="269">
        <f>SUM(AE255,AE256)</f>
        <v>0</v>
      </c>
      <c r="AF254" s="177">
        <f>SUM(AF255,AF256)</f>
        <v>0</v>
      </c>
      <c r="AG254" s="177">
        <f>SUM(AG255,AG256)</f>
        <v>0</v>
      </c>
      <c r="AH254" s="855">
        <f t="shared" si="48"/>
        <v>0</v>
      </c>
      <c r="AI254" s="855">
        <f t="shared" ref="AI254:BC254" si="62">SUM(AI255,AI256)</f>
        <v>0</v>
      </c>
      <c r="AJ254" s="856">
        <f t="shared" si="62"/>
        <v>0</v>
      </c>
      <c r="AK254" s="855">
        <f t="shared" si="62"/>
        <v>0</v>
      </c>
      <c r="AL254" s="855">
        <f t="shared" si="62"/>
        <v>0</v>
      </c>
      <c r="AM254" s="855">
        <f t="shared" si="62"/>
        <v>0</v>
      </c>
      <c r="AN254" s="855">
        <f t="shared" si="62"/>
        <v>0</v>
      </c>
      <c r="AO254" s="855">
        <f t="shared" si="62"/>
        <v>0</v>
      </c>
      <c r="AP254" s="855">
        <f t="shared" si="62"/>
        <v>0</v>
      </c>
      <c r="AQ254" s="855">
        <f t="shared" si="62"/>
        <v>0</v>
      </c>
      <c r="AR254" s="855">
        <f t="shared" si="62"/>
        <v>0</v>
      </c>
      <c r="AS254" s="855">
        <f t="shared" si="62"/>
        <v>0</v>
      </c>
      <c r="AT254" s="856">
        <f t="shared" si="62"/>
        <v>0</v>
      </c>
      <c r="AU254" s="855">
        <f t="shared" si="62"/>
        <v>0</v>
      </c>
      <c r="AV254" s="855">
        <f t="shared" si="62"/>
        <v>0</v>
      </c>
      <c r="AW254" s="855">
        <f t="shared" si="62"/>
        <v>0</v>
      </c>
      <c r="AX254" s="855">
        <f t="shared" si="62"/>
        <v>0</v>
      </c>
      <c r="AY254" s="855">
        <f t="shared" si="62"/>
        <v>0</v>
      </c>
      <c r="AZ254" s="855">
        <f t="shared" si="62"/>
        <v>0</v>
      </c>
      <c r="BA254" s="855">
        <f t="shared" si="62"/>
        <v>0</v>
      </c>
      <c r="BB254" s="855">
        <f t="shared" si="62"/>
        <v>0</v>
      </c>
      <c r="BC254" s="855">
        <f t="shared" si="62"/>
        <v>0</v>
      </c>
      <c r="BD254" s="855">
        <f t="shared" si="50"/>
        <v>0</v>
      </c>
      <c r="BE254" s="855">
        <f t="shared" si="51"/>
        <v>0</v>
      </c>
      <c r="BF254" s="855">
        <f t="shared" si="52"/>
        <v>0</v>
      </c>
      <c r="BG254" s="855">
        <f t="shared" si="53"/>
        <v>0</v>
      </c>
      <c r="BH254" s="855">
        <f t="shared" si="54"/>
        <v>0</v>
      </c>
      <c r="BI254" s="855">
        <f t="shared" si="55"/>
        <v>0</v>
      </c>
      <c r="BJ254" s="855">
        <f t="shared" si="56"/>
        <v>0</v>
      </c>
      <c r="BK254" s="855">
        <f t="shared" si="57"/>
        <v>0</v>
      </c>
      <c r="BL254" s="855">
        <f t="shared" si="58"/>
        <v>0</v>
      </c>
      <c r="BM254" s="855">
        <f t="shared" si="59"/>
        <v>0</v>
      </c>
      <c r="BN254" s="1581"/>
      <c r="BO254" s="1581"/>
      <c r="BP254" s="1581"/>
      <c r="BQ254" s="1184"/>
      <c r="BR254" s="1184"/>
      <c r="BS254" s="973" t="s">
        <v>2072</v>
      </c>
      <c r="BT254" s="973"/>
      <c r="BU254" s="973"/>
      <c r="BV254" s="888"/>
      <c r="BW254" s="888"/>
    </row>
    <row r="255" spans="1:75" s="1334" customFormat="1" ht="14.25" customHeight="1" x14ac:dyDescent="0.15">
      <c r="A255" s="1184"/>
      <c r="B255" s="887"/>
      <c r="C255" s="1184"/>
      <c r="D255" s="1184"/>
      <c r="E255" s="626">
        <v>15</v>
      </c>
      <c r="F255" s="3" t="str" cm="1">
        <f t="array" aca="1" ref="F255" ca="1">OFFSET(E255,-1,1)</f>
        <v>1</v>
      </c>
      <c r="G255" s="1184"/>
      <c r="H255" s="1184"/>
      <c r="I255" s="77" t="s">
        <v>2073</v>
      </c>
      <c r="J255" s="1184"/>
      <c r="K255" s="77" t="s">
        <v>2073</v>
      </c>
      <c r="L255" s="889"/>
      <c r="M255" s="26"/>
      <c r="N255" s="1184"/>
      <c r="O255" s="1184"/>
      <c r="P255" s="1184"/>
      <c r="Q255" s="1184"/>
      <c r="R255" s="1184"/>
      <c r="S255" s="1184"/>
      <c r="T255" s="388" t="b" cm="1">
        <f t="array" aca="1" ref="T255" ca="1">T254</f>
        <v>1</v>
      </c>
      <c r="U255" s="1184"/>
      <c r="V255" s="1184"/>
      <c r="W255" s="1184"/>
      <c r="X255" s="2032"/>
      <c r="Y255" s="1184"/>
      <c r="Z255" s="2012"/>
      <c r="AA255" s="1184"/>
      <c r="AB255" s="217" t="s">
        <v>2074</v>
      </c>
      <c r="AC255" s="685" t="s">
        <v>2075</v>
      </c>
      <c r="AD255" s="218" t="s">
        <v>831</v>
      </c>
      <c r="AE255" s="1567"/>
      <c r="AF255" s="1567"/>
      <c r="AG255" s="1567"/>
      <c r="AH255" s="855">
        <f t="shared" si="48"/>
        <v>0</v>
      </c>
      <c r="AI255" s="1568"/>
      <c r="AJ255" s="1568"/>
      <c r="AK255" s="1160"/>
      <c r="AL255" s="1160"/>
      <c r="AM255" s="1160"/>
      <c r="AN255" s="1160"/>
      <c r="AO255" s="1160"/>
      <c r="AP255" s="1160"/>
      <c r="AQ255" s="1568"/>
      <c r="AR255" s="1568"/>
      <c r="AS255" s="1568"/>
      <c r="AT255" s="1568"/>
      <c r="AU255" s="1160"/>
      <c r="AV255" s="1160"/>
      <c r="AW255" s="1160"/>
      <c r="AX255" s="1160"/>
      <c r="AY255" s="1160"/>
      <c r="AZ255" s="1160"/>
      <c r="BA255" s="1568"/>
      <c r="BB255" s="1568"/>
      <c r="BC255" s="1568"/>
      <c r="BD255" s="855">
        <f t="shared" si="50"/>
        <v>0</v>
      </c>
      <c r="BE255" s="855">
        <f t="shared" si="51"/>
        <v>0</v>
      </c>
      <c r="BF255" s="855">
        <f t="shared" si="52"/>
        <v>0</v>
      </c>
      <c r="BG255" s="855">
        <f t="shared" si="53"/>
        <v>0</v>
      </c>
      <c r="BH255" s="855">
        <f t="shared" si="54"/>
        <v>0</v>
      </c>
      <c r="BI255" s="855">
        <f t="shared" si="55"/>
        <v>0</v>
      </c>
      <c r="BJ255" s="855">
        <f t="shared" si="56"/>
        <v>0</v>
      </c>
      <c r="BK255" s="855">
        <f t="shared" si="57"/>
        <v>0</v>
      </c>
      <c r="BL255" s="855">
        <f t="shared" si="58"/>
        <v>0</v>
      </c>
      <c r="BM255" s="855">
        <f t="shared" si="59"/>
        <v>0</v>
      </c>
      <c r="BN255" s="1581"/>
      <c r="BO255" s="1581"/>
      <c r="BP255" s="1581"/>
      <c r="BQ255" s="1184"/>
      <c r="BR255" s="1184"/>
      <c r="BS255" s="973" t="s">
        <v>1222</v>
      </c>
      <c r="BT255" s="973"/>
      <c r="BU255" s="973"/>
      <c r="BV255" s="888"/>
      <c r="BW255" s="888"/>
    </row>
    <row r="256" spans="1:75" s="1334" customFormat="1" ht="14.25" customHeight="1" x14ac:dyDescent="0.15">
      <c r="A256" s="1184"/>
      <c r="B256" s="887"/>
      <c r="C256" s="1184"/>
      <c r="D256" s="1184"/>
      <c r="E256" s="626">
        <v>15</v>
      </c>
      <c r="F256" s="3" t="str" cm="1">
        <f t="array" aca="1" ref="F256" ca="1">OFFSET(E256,-1,1)</f>
        <v>1</v>
      </c>
      <c r="G256" s="1184"/>
      <c r="H256" s="1184"/>
      <c r="I256" s="77" t="s">
        <v>2076</v>
      </c>
      <c r="J256" s="1184"/>
      <c r="K256" s="77" t="s">
        <v>2076</v>
      </c>
      <c r="L256" s="889" t="s">
        <v>922</v>
      </c>
      <c r="M256" s="26"/>
      <c r="N256" s="1184"/>
      <c r="O256" s="1184"/>
      <c r="P256" s="1184"/>
      <c r="Q256" s="1184"/>
      <c r="R256" s="1184"/>
      <c r="S256" s="1184"/>
      <c r="T256" s="388" t="b" cm="1">
        <f t="array" aca="1" ref="T256" ca="1">T255</f>
        <v>1</v>
      </c>
      <c r="U256" s="1184"/>
      <c r="V256" s="1184"/>
      <c r="W256" s="1184"/>
      <c r="X256" s="2032"/>
      <c r="Y256" s="1184"/>
      <c r="Z256" s="2012"/>
      <c r="AA256" s="1184"/>
      <c r="AB256" s="217" t="s">
        <v>2077</v>
      </c>
      <c r="AC256" s="685" t="s">
        <v>2078</v>
      </c>
      <c r="AD256" s="218" t="s">
        <v>831</v>
      </c>
      <c r="AE256" s="1567"/>
      <c r="AF256" s="1567"/>
      <c r="AG256" s="1567"/>
      <c r="AH256" s="855">
        <f t="shared" si="48"/>
        <v>0</v>
      </c>
      <c r="AI256" s="1568"/>
      <c r="AJ256" s="1568"/>
      <c r="AK256" s="1160"/>
      <c r="AL256" s="1160"/>
      <c r="AM256" s="1160"/>
      <c r="AN256" s="1160"/>
      <c r="AO256" s="1160"/>
      <c r="AP256" s="1160"/>
      <c r="AQ256" s="1568"/>
      <c r="AR256" s="1568"/>
      <c r="AS256" s="1568"/>
      <c r="AT256" s="1568"/>
      <c r="AU256" s="1160"/>
      <c r="AV256" s="1160"/>
      <c r="AW256" s="1160"/>
      <c r="AX256" s="1160"/>
      <c r="AY256" s="1160"/>
      <c r="AZ256" s="1160"/>
      <c r="BA256" s="1568"/>
      <c r="BB256" s="1568"/>
      <c r="BC256" s="1568"/>
      <c r="BD256" s="855">
        <f t="shared" si="50"/>
        <v>0</v>
      </c>
      <c r="BE256" s="855">
        <f t="shared" si="51"/>
        <v>0</v>
      </c>
      <c r="BF256" s="855">
        <f t="shared" si="52"/>
        <v>0</v>
      </c>
      <c r="BG256" s="855">
        <f t="shared" si="53"/>
        <v>0</v>
      </c>
      <c r="BH256" s="855">
        <f t="shared" si="54"/>
        <v>0</v>
      </c>
      <c r="BI256" s="855">
        <f t="shared" si="55"/>
        <v>0</v>
      </c>
      <c r="BJ256" s="855">
        <f t="shared" si="56"/>
        <v>0</v>
      </c>
      <c r="BK256" s="855">
        <f t="shared" si="57"/>
        <v>0</v>
      </c>
      <c r="BL256" s="855">
        <f t="shared" si="58"/>
        <v>0</v>
      </c>
      <c r="BM256" s="855">
        <f t="shared" si="59"/>
        <v>0</v>
      </c>
      <c r="BN256" s="1581"/>
      <c r="BO256" s="1581"/>
      <c r="BP256" s="1581"/>
      <c r="BQ256" s="1184"/>
      <c r="BR256" s="1184"/>
      <c r="BS256" s="973" t="s">
        <v>2079</v>
      </c>
      <c r="BT256" s="973"/>
      <c r="BU256" s="973"/>
      <c r="BV256" s="888"/>
      <c r="BW256" s="888"/>
    </row>
    <row r="257" spans="1:75" s="1334" customFormat="1" ht="21.75" customHeight="1" x14ac:dyDescent="0.15">
      <c r="A257" s="1184"/>
      <c r="B257" s="887"/>
      <c r="C257" s="1184"/>
      <c r="D257" s="1184"/>
      <c r="E257" s="626">
        <v>22.5</v>
      </c>
      <c r="F257" s="3" t="str" cm="1">
        <f t="array" aca="1" ref="F257" ca="1">OFFSET(E257,-1,1)</f>
        <v>1</v>
      </c>
      <c r="G257" s="77" t="s">
        <v>1446</v>
      </c>
      <c r="H257" s="1184"/>
      <c r="I257" s="77" t="s">
        <v>2080</v>
      </c>
      <c r="J257" s="1184"/>
      <c r="K257" s="77" t="s">
        <v>2080</v>
      </c>
      <c r="L257" s="889"/>
      <c r="M257" s="26"/>
      <c r="N257" s="1184"/>
      <c r="O257" s="1184"/>
      <c r="P257" s="1184"/>
      <c r="Q257" s="1184"/>
      <c r="R257" s="1184"/>
      <c r="S257" s="1184"/>
      <c r="T257" s="388" t="b" cm="1">
        <f t="array" aca="1" ref="T257" ca="1">T256</f>
        <v>1</v>
      </c>
      <c r="U257" s="1184"/>
      <c r="V257" s="1184"/>
      <c r="W257" s="1184"/>
      <c r="X257" s="2032"/>
      <c r="Y257" s="1184"/>
      <c r="Z257" s="2012"/>
      <c r="AA257" s="1184"/>
      <c r="AB257" s="217" t="s">
        <v>1510</v>
      </c>
      <c r="AC257" s="682" t="s">
        <v>2081</v>
      </c>
      <c r="AD257" s="218" t="s">
        <v>831</v>
      </c>
      <c r="AE257" s="1567"/>
      <c r="AF257" s="1567"/>
      <c r="AG257" s="1567"/>
      <c r="AH257" s="855">
        <f t="shared" si="48"/>
        <v>0</v>
      </c>
      <c r="AI257" s="1568"/>
      <c r="AJ257" s="1568"/>
      <c r="AK257" s="1160"/>
      <c r="AL257" s="1160"/>
      <c r="AM257" s="1160"/>
      <c r="AN257" s="1160"/>
      <c r="AO257" s="1160"/>
      <c r="AP257" s="1160"/>
      <c r="AQ257" s="1568"/>
      <c r="AR257" s="1568"/>
      <c r="AS257" s="1568"/>
      <c r="AT257" s="1568"/>
      <c r="AU257" s="1160"/>
      <c r="AV257" s="1160"/>
      <c r="AW257" s="1160"/>
      <c r="AX257" s="1160"/>
      <c r="AY257" s="1160"/>
      <c r="AZ257" s="1160"/>
      <c r="BA257" s="1568"/>
      <c r="BB257" s="1568"/>
      <c r="BC257" s="1568"/>
      <c r="BD257" s="855">
        <f t="shared" si="50"/>
        <v>0</v>
      </c>
      <c r="BE257" s="855">
        <f t="shared" si="51"/>
        <v>0</v>
      </c>
      <c r="BF257" s="855">
        <f t="shared" si="52"/>
        <v>0</v>
      </c>
      <c r="BG257" s="855">
        <f t="shared" si="53"/>
        <v>0</v>
      </c>
      <c r="BH257" s="855">
        <f t="shared" si="54"/>
        <v>0</v>
      </c>
      <c r="BI257" s="855">
        <f t="shared" si="55"/>
        <v>0</v>
      </c>
      <c r="BJ257" s="855">
        <f t="shared" si="56"/>
        <v>0</v>
      </c>
      <c r="BK257" s="855">
        <f t="shared" si="57"/>
        <v>0</v>
      </c>
      <c r="BL257" s="855">
        <f t="shared" si="58"/>
        <v>0</v>
      </c>
      <c r="BM257" s="855">
        <f t="shared" si="59"/>
        <v>0</v>
      </c>
      <c r="BN257" s="1581"/>
      <c r="BO257" s="1581"/>
      <c r="BP257" s="1581"/>
      <c r="BQ257" s="1184"/>
      <c r="BR257" s="1184"/>
      <c r="BS257" s="973" t="s">
        <v>2082</v>
      </c>
      <c r="BT257" s="973"/>
      <c r="BU257" s="973"/>
      <c r="BV257" s="888"/>
      <c r="BW257" s="888"/>
    </row>
    <row r="258" spans="1:75" s="1587" customFormat="1" ht="23.85" customHeight="1" x14ac:dyDescent="0.15">
      <c r="A258" s="623"/>
      <c r="B258" s="357"/>
      <c r="C258" s="623"/>
      <c r="D258" s="623"/>
      <c r="E258" s="630">
        <v>21</v>
      </c>
      <c r="F258" s="3" t="str" cm="1">
        <f t="array" aca="1" ref="F258" ca="1">OFFSET(E258,-1,1)</f>
        <v>1</v>
      </c>
      <c r="G258" s="77" t="s">
        <v>2083</v>
      </c>
      <c r="H258" s="77"/>
      <c r="I258" s="77" t="s">
        <v>333</v>
      </c>
      <c r="J258" s="623"/>
      <c r="K258" s="77" t="s">
        <v>333</v>
      </c>
      <c r="L258" s="894" t="s">
        <v>1301</v>
      </c>
      <c r="M258" s="28"/>
      <c r="N258" s="623"/>
      <c r="O258" s="623"/>
      <c r="P258" s="623"/>
      <c r="Q258" s="623"/>
      <c r="R258" s="623"/>
      <c r="S258" s="623"/>
      <c r="T258" s="388" t="b" cm="1">
        <f t="array" aca="1" ref="T258" ca="1">T257</f>
        <v>1</v>
      </c>
      <c r="U258" s="623"/>
      <c r="V258" s="623"/>
      <c r="W258" s="623"/>
      <c r="X258" s="2032"/>
      <c r="Y258" s="623"/>
      <c r="Z258" s="2012"/>
      <c r="AA258" s="623"/>
      <c r="AB258" s="137" t="s">
        <v>329</v>
      </c>
      <c r="AC258" s="131" t="s">
        <v>2084</v>
      </c>
      <c r="AD258" s="130" t="s">
        <v>831</v>
      </c>
      <c r="AE258" s="698">
        <f ca="1">SUMIFS(ЭЭ!AE$25:AE$117,ЭЭ!$F$25:$F$117,$F258,ЭЭ!$AC$25:$AC$117,"Всего по тарифу")</f>
        <v>64441.363047370498</v>
      </c>
      <c r="AF258" s="698">
        <f ca="1">SUMIFS(ЭЭ!AF$25:AF$117,ЭЭ!$F$25:$F$117,$F258,ЭЭ!$AC$25:$AC$117,"Всего по тарифу")</f>
        <v>73107.17</v>
      </c>
      <c r="AG258" s="698">
        <f ca="1">SUMIFS(ЭЭ!AG$25:AG$117,ЭЭ!$F$25:$F$117,$F258,ЭЭ!$AC$25:$AC$117,"Всего по тарифу")</f>
        <v>73107.17</v>
      </c>
      <c r="AH258" s="681">
        <f t="shared" ca="1" si="48"/>
        <v>0</v>
      </c>
      <c r="AI258" s="681">
        <f ca="1">SUMIFS(ЭЭ!AH$25:AH$117,ЭЭ!$F$25:$F$117,$F258,ЭЭ!$AC$25:$AC$117,"Всего по тарифу")</f>
        <v>67598.989836691704</v>
      </c>
      <c r="AJ258" s="681">
        <f ca="1">SUMIFS(ЭЭ!AI$25:AI$117,ЭЭ!$F$25:$F$117,$F258,ЭЭ!$AC$25:$AC$117,"Всего по тарифу")</f>
        <v>79757.03</v>
      </c>
      <c r="AK258" s="681">
        <f ca="1">SUMIFS(ЭЭ!AJ$25:AJ$117,ЭЭ!$F$25:$F$117,$F258,ЭЭ!$AC$25:$AC$117,"Всего по тарифу")</f>
        <v>76555.25</v>
      </c>
      <c r="AL258" s="681">
        <f ca="1">SUMIFS(ЭЭ!AK$25:AK$117,ЭЭ!$F$25:$F$117,$F258,ЭЭ!$AC$25:$AC$117,"Всего по тарифу")</f>
        <v>79617.47</v>
      </c>
      <c r="AM258" s="681">
        <f ca="1">SUMIFS(ЭЭ!AL$25:AL$117,ЭЭ!$F$25:$F$117,$F258,ЭЭ!$AC$25:$AC$117,"Всего по тарифу")</f>
        <v>82802.16</v>
      </c>
      <c r="AN258" s="681">
        <f ca="1">SUMIFS(ЭЭ!AM$25:AM$117,ЭЭ!$F$25:$F$117,$F258,ЭЭ!$AC$25:$AC$117,"Всего по тарифу")</f>
        <v>86114.240000000005</v>
      </c>
      <c r="AO258" s="681">
        <f ca="1">SUMIFS(ЭЭ!AN$25:AN$117,ЭЭ!$F$25:$F$117,$F258,ЭЭ!$AC$25:$AC$117,"Всего по тарифу")</f>
        <v>89558.819999999992</v>
      </c>
      <c r="AP258" s="681">
        <f ca="1">SUMIFS(ЭЭ!AO$25:AO$117,ЭЭ!$F$25:$F$117,$F258,ЭЭ!$AC$25:$AC$117,"Всего по тарифу")</f>
        <v>93141.17</v>
      </c>
      <c r="AQ258" s="681">
        <f ca="1">SUMIFS(ЭЭ!AP$25:AP$117,ЭЭ!$F$25:$F$117,$F258,ЭЭ!$AC$25:$AC$117,"Всего по тарифу")</f>
        <v>0</v>
      </c>
      <c r="AR258" s="681">
        <f ca="1">SUMIFS(ЭЭ!AQ$25:AQ$117,ЭЭ!$F$25:$F$117,$F258,ЭЭ!$AC$25:$AC$117,"Всего по тарифу")</f>
        <v>0</v>
      </c>
      <c r="AS258" s="681">
        <f ca="1">SUMIFS(ЭЭ!AR$25:AR$117,ЭЭ!$F$25:$F$117,$F258,ЭЭ!$AC$25:$AC$117,"Всего по тарифу")</f>
        <v>0</v>
      </c>
      <c r="AT258" s="681">
        <f ca="1">SUMIFS(ЭЭ!AS$25:AS$117,ЭЭ!$F$25:$F$117,$F258,ЭЭ!$AC$25:$AC$117,"Всего по тарифу")</f>
        <v>85914.21</v>
      </c>
      <c r="AU258" s="681">
        <f ca="1">SUMIFS(ЭЭ!AT$25:AT$117,ЭЭ!$F$25:$F$117,$F258,ЭЭ!$AC$25:$AC$117,"Всего по тарифу")</f>
        <v>71715.768317746188</v>
      </c>
      <c r="AV258" s="681">
        <f ca="1">SUMIFS(ЭЭ!AU$25:AU$117,ЭЭ!$F$25:$F$117,$F258,ЭЭ!$AC$25:$AC$117,"Всего по тарифу")</f>
        <v>73867.241367278606</v>
      </c>
      <c r="AW258" s="681">
        <f ca="1">SUMIFS(ЭЭ!AV$25:AV$117,ЭЭ!$F$25:$F$117,$F258,ЭЭ!$AC$25:$AC$117,"Всего по тарифу")</f>
        <v>76083.258608296892</v>
      </c>
      <c r="AX258" s="681">
        <f ca="1">SUMIFS(ЭЭ!AW$25:AW$117,ЭЭ!$F$25:$F$117,$F258,ЭЭ!$AC$25:$AC$117,"Всего по тарифу")</f>
        <v>78365.7563665458</v>
      </c>
      <c r="AY258" s="681">
        <f ca="1">SUMIFS(ЭЭ!AX$25:AX$117,ЭЭ!$F$25:$F$117,$F258,ЭЭ!$AC$25:$AC$117,"Всего по тарифу")</f>
        <v>80716.72905754231</v>
      </c>
      <c r="AZ258" s="681">
        <f ca="1">SUMIFS(ЭЭ!AY$25:AY$117,ЭЭ!$F$25:$F$117,$F258,ЭЭ!$AC$25:$AC$117,"Всего по тарифу")</f>
        <v>83138.230929268509</v>
      </c>
      <c r="BA258" s="681">
        <f ca="1">SUMIFS(ЭЭ!AZ$25:AZ$117,ЭЭ!$F$25:$F$117,$F258,ЭЭ!$AC$25:$AC$117,"Всего по тарифу")</f>
        <v>0</v>
      </c>
      <c r="BB258" s="681">
        <f ca="1">SUMIFS(ЭЭ!BA$25:BA$117,ЭЭ!$F$25:$F$117,$F258,ЭЭ!$AC$25:$AC$117,"Всего по тарифу")</f>
        <v>0</v>
      </c>
      <c r="BC258" s="681">
        <f ca="1">SUMIFS(ЭЭ!BB$25:BB$117,ЭЭ!$F$25:$F$117,$F258,ЭЭ!$AC$25:$AC$117,"Всего по тарифу")</f>
        <v>0</v>
      </c>
      <c r="BD258" s="681">
        <f t="shared" ca="1" si="50"/>
        <v>27.093925822789554</v>
      </c>
      <c r="BE258" s="681">
        <f t="shared" ca="1" si="51"/>
        <v>-16.526301856530857</v>
      </c>
      <c r="BF258" s="681">
        <f t="shared" ca="1" si="52"/>
        <v>3.0000000000000457</v>
      </c>
      <c r="BG258" s="681">
        <f t="shared" ca="1" si="53"/>
        <v>2.9999999999999019</v>
      </c>
      <c r="BH258" s="681">
        <f t="shared" ca="1" si="54"/>
        <v>3.0000000000000018</v>
      </c>
      <c r="BI258" s="681">
        <f t="shared" ca="1" si="55"/>
        <v>3.0000000000001736</v>
      </c>
      <c r="BJ258" s="681">
        <f t="shared" ca="1" si="56"/>
        <v>2.999999999999913</v>
      </c>
      <c r="BK258" s="681">
        <f t="shared" ca="1" si="57"/>
        <v>-100</v>
      </c>
      <c r="BL258" s="681">
        <f t="shared" ca="1" si="58"/>
        <v>0</v>
      </c>
      <c r="BM258" s="681">
        <f t="shared" ca="1" si="59"/>
        <v>0</v>
      </c>
      <c r="BN258" s="1581"/>
      <c r="BO258" s="1586" t="s">
        <v>2190</v>
      </c>
      <c r="BP258" s="1581" t="s">
        <v>2209</v>
      </c>
      <c r="BQ258" s="623"/>
      <c r="BR258" s="623"/>
      <c r="BS258" s="979" t="s">
        <v>1692</v>
      </c>
      <c r="BT258" s="979"/>
      <c r="BU258" s="979"/>
      <c r="BV258" s="630"/>
      <c r="BW258" s="630"/>
    </row>
    <row r="259" spans="1:75" s="1588" customFormat="1" ht="45.75" customHeight="1" x14ac:dyDescent="0.15">
      <c r="A259" s="623"/>
      <c r="B259" s="81" t="b">
        <f>method_reg="Метод индексации"</f>
        <v>1</v>
      </c>
      <c r="C259" s="623"/>
      <c r="D259" s="623"/>
      <c r="E259" s="630">
        <v>22.5</v>
      </c>
      <c r="F259" s="3" t="str" cm="1">
        <f t="array" aca="1" ref="F259" ca="1">OFFSET(E259,-1,1)</f>
        <v>1</v>
      </c>
      <c r="G259" s="77" t="s">
        <v>1468</v>
      </c>
      <c r="H259" s="77"/>
      <c r="I259" s="77" t="s">
        <v>335</v>
      </c>
      <c r="J259" s="623"/>
      <c r="K259" s="77" t="s">
        <v>335</v>
      </c>
      <c r="L259" s="894" t="s">
        <v>334</v>
      </c>
      <c r="M259" s="28"/>
      <c r="N259" s="623"/>
      <c r="O259" s="623"/>
      <c r="P259" s="623"/>
      <c r="Q259" s="623"/>
      <c r="R259" s="623"/>
      <c r="S259" s="623"/>
      <c r="T259" s="388" t="b" cm="1">
        <f t="array" aca="1" ref="T259" ca="1">T258</f>
        <v>1</v>
      </c>
      <c r="U259" s="623"/>
      <c r="V259" s="623"/>
      <c r="W259" s="623"/>
      <c r="X259" s="2032"/>
      <c r="Y259" s="623"/>
      <c r="Z259" s="2012"/>
      <c r="AA259" s="623"/>
      <c r="AB259" s="137" t="s">
        <v>441</v>
      </c>
      <c r="AC259" s="131" t="s">
        <v>2085</v>
      </c>
      <c r="AD259" s="130" t="s">
        <v>831</v>
      </c>
      <c r="AE259" s="698">
        <f ca="1">SUMIFS(Амортизация!AE$25:AE$174,Амортизация!$F$25:$F$174,$F259,Амортизация!$AC$25:$AC$174,"Сумма амортизационных отчислений")</f>
        <v>157.69999999999999</v>
      </c>
      <c r="AF259" s="698">
        <f ca="1">SUMIFS(Амортизация!AF$25:AF$174,Амортизация!$F$25:$F$174,$F259,Амортизация!$AC$25:$AC$174,"Сумма амортизационных отчислений")</f>
        <v>29649.01</v>
      </c>
      <c r="AG259" s="698">
        <f ca="1">SUMIFS(Амортизация!AG$25:AG$174,Амортизация!$F$25:$F$174,$F259,Амортизация!$AC$25:$AC$174,"Сумма амортизационных отчислений")</f>
        <v>0</v>
      </c>
      <c r="AH259" s="681">
        <f t="shared" ca="1" si="48"/>
        <v>-29649.01</v>
      </c>
      <c r="AI259" s="681">
        <f ca="1">SUMIFS(Амортизация!AH$25:AH$174,Амортизация!$F$25:$F$174,$F259,Амортизация!$AC$25:$AC$174,"Сумма амортизационных отчислений")</f>
        <v>419.6</v>
      </c>
      <c r="AJ259" s="681">
        <f ca="1">SUMIFS(Амортизация!AI$25:AI$174,Амортизация!$F$25:$F$174,$F259,Амортизация!$AC$25:$AC$174,"Сумма амортизационных отчислений")</f>
        <v>29636.22</v>
      </c>
      <c r="AK259" s="681">
        <f ca="1">SUMIFS(Амортизация!AJ$25:AJ$174,Амортизация!$F$25:$F$174,$F259,Амортизация!$AC$25:$AC$174,"Сумма амортизационных отчислений")</f>
        <v>1436.27</v>
      </c>
      <c r="AL259" s="681">
        <f ca="1">SUMIFS(Амортизация!AK$25:AK$174,Амортизация!$F$25:$F$174,$F259,Амортизация!$AC$25:$AC$174,"Сумма амортизационных отчислений")</f>
        <v>1436.27</v>
      </c>
      <c r="AM259" s="681">
        <f ca="1">SUMIFS(Амортизация!AL$25:AL$174,Амортизация!$F$25:$F$174,$F259,Амортизация!$AC$25:$AC$174,"Сумма амортизационных отчислений")</f>
        <v>1436.27</v>
      </c>
      <c r="AN259" s="681">
        <f ca="1">SUMIFS(Амортизация!AM$25:AM$174,Амортизация!$F$25:$F$174,$F259,Амортизация!$AC$25:$AC$174,"Сумма амортизационных отчислений")</f>
        <v>1436.27</v>
      </c>
      <c r="AO259" s="681">
        <f ca="1">SUMIFS(Амортизация!AN$25:AN$174,Амортизация!$F$25:$F$174,$F259,Амортизация!$AC$25:$AC$174,"Сумма амортизационных отчислений")</f>
        <v>1436.27</v>
      </c>
      <c r="AP259" s="681">
        <f ca="1">SUMIFS(Амортизация!AO$25:AO$174,Амортизация!$F$25:$F$174,$F259,Амортизация!$AC$25:$AC$174,"Сумма амортизационных отчислений")</f>
        <v>1436.27</v>
      </c>
      <c r="AQ259" s="681">
        <f ca="1">SUMIFS(Амортизация!AP$25:AP$174,Амортизация!$F$25:$F$174,$F259,Амортизация!$AC$25:$AC$174,"Сумма амортизационных отчислений")</f>
        <v>0</v>
      </c>
      <c r="AR259" s="681">
        <f ca="1">SUMIFS(Амортизация!AQ$25:AQ$174,Амортизация!$F$25:$F$174,$F259,Амортизация!$AC$25:$AC$174,"Сумма амортизационных отчислений")</f>
        <v>0</v>
      </c>
      <c r="AS259" s="681">
        <f ca="1">SUMIFS(Амортизация!AR$25:AR$174,Амортизация!$F$25:$F$174,$F259,Амортизация!$AC$25:$AC$174,"Сумма амортизационных отчислений")</f>
        <v>0</v>
      </c>
      <c r="AT259" s="681">
        <f ca="1">SUMIFS(Амортизация!AS$25:AS$174,Амортизация!$F$25:$F$174,$F259,Амортизация!$AC$25:$AC$174,"Сумма амортизационных отчислений")</f>
        <v>1463.0234844966001</v>
      </c>
      <c r="AU259" s="681">
        <f ca="1">SUMIFS(Амортизация!AT$25:AT$174,Амортизация!$F$25:$F$174,$F259,Амортизация!$AC$25:$AC$174,"Сумма амортизационных отчислений")</f>
        <v>3126.3767730043</v>
      </c>
      <c r="AV259" s="681">
        <f ca="1">SUMIFS(Амортизация!AU$25:AU$174,Амортизация!$F$25:$F$174,$F259,Амортизация!$AC$25:$AC$174,"Сумма амортизационных отчислений")</f>
        <v>5469.7323543415996</v>
      </c>
      <c r="AW259" s="681">
        <f ca="1">SUMIFS(Амортизация!AV$25:AV$174,Амортизация!$F$25:$F$174,$F259,Амортизация!$AC$25:$AC$174,"Сумма амортизационных отчислений")</f>
        <v>7042.3475404938999</v>
      </c>
      <c r="AX259" s="681">
        <f ca="1">SUMIFS(Амортизация!AW$25:AW$174,Амортизация!$F$25:$F$174,$F259,Амортизация!$AC$25:$AC$174,"Сумма амортизационных отчислений")</f>
        <v>8592.3542911205004</v>
      </c>
      <c r="AY259" s="681">
        <f ca="1">SUMIFS(Амортизация!AX$25:AX$174,Амортизация!$F$25:$F$174,$F259,Амортизация!$AC$25:$AC$174,"Сумма амортизационных отчислений")</f>
        <v>11139.1147978194</v>
      </c>
      <c r="AZ259" s="681">
        <f ca="1">SUMIFS(Амортизация!AY$25:AY$174,Амортизация!$F$25:$F$174,$F259,Амортизация!$AC$25:$AC$174,"Сумма амортизационных отчислений")</f>
        <v>22716.390725279001</v>
      </c>
      <c r="BA259" s="681">
        <f ca="1">SUMIFS(Амортизация!AZ$25:AZ$174,Амортизация!$F$25:$F$174,$F259,Амортизация!$AC$25:$AC$174,"Сумма амортизационных отчислений")</f>
        <v>0</v>
      </c>
      <c r="BB259" s="681">
        <f ca="1">SUMIFS(Амортизация!BA$25:BA$174,Амортизация!$F$25:$F$174,$F259,Амортизация!$AC$25:$AC$174,"Сумма амортизационных отчислений")</f>
        <v>0</v>
      </c>
      <c r="BC259" s="681">
        <f ca="1">SUMIFS(Амортизация!BB$25:BB$174,Амортизация!$F$25:$F$174,$F259,Амортизация!$AC$25:$AC$174,"Сумма амортизационных отчислений")</f>
        <v>0</v>
      </c>
      <c r="BD259" s="681">
        <f t="shared" ca="1" si="50"/>
        <v>248.67099249204</v>
      </c>
      <c r="BE259" s="681">
        <f t="shared" ca="1" si="51"/>
        <v>113.6928631791601</v>
      </c>
      <c r="BF259" s="681">
        <f t="shared" ca="1" si="52"/>
        <v>74.954356159876596</v>
      </c>
      <c r="BG259" s="681">
        <f t="shared" ca="1" si="53"/>
        <v>28.75122737777173</v>
      </c>
      <c r="BH259" s="681">
        <f t="shared" ca="1" si="54"/>
        <v>22.009802011530578</v>
      </c>
      <c r="BI259" s="681">
        <f t="shared" ca="1" si="55"/>
        <v>29.639845150831011</v>
      </c>
      <c r="BJ259" s="681">
        <f t="shared" ca="1" si="56"/>
        <v>103.93353634999771</v>
      </c>
      <c r="BK259" s="681">
        <f t="shared" ca="1" si="57"/>
        <v>-100</v>
      </c>
      <c r="BL259" s="681">
        <f t="shared" ca="1" si="58"/>
        <v>0</v>
      </c>
      <c r="BM259" s="681">
        <f t="shared" ca="1" si="59"/>
        <v>0</v>
      </c>
      <c r="BN259" s="1581"/>
      <c r="BO259" s="1576" t="s">
        <v>2210</v>
      </c>
      <c r="BP259" s="1581" t="s">
        <v>2211</v>
      </c>
      <c r="BQ259" s="623"/>
      <c r="BR259" s="623"/>
      <c r="BS259" s="979" t="s">
        <v>1199</v>
      </c>
      <c r="BT259" s="979"/>
      <c r="BU259" s="979"/>
      <c r="BV259" s="630"/>
      <c r="BW259" s="630"/>
    </row>
    <row r="260" spans="1:75" s="1334" customFormat="1" ht="25.35" customHeight="1" x14ac:dyDescent="0.15">
      <c r="A260" s="1184"/>
      <c r="B260" s="354" t="b" cm="1">
        <f t="array" ref="B260">B259</f>
        <v>1</v>
      </c>
      <c r="C260" s="1184"/>
      <c r="D260" s="1184"/>
      <c r="E260" s="626">
        <v>15</v>
      </c>
      <c r="F260" s="3" t="str" cm="1">
        <f t="array" aca="1" ref="F260" ca="1">OFFSET(E260,-1,1)</f>
        <v>1</v>
      </c>
      <c r="G260" s="1184"/>
      <c r="H260" s="1184"/>
      <c r="I260" s="77" t="s">
        <v>565</v>
      </c>
      <c r="J260" s="1184"/>
      <c r="K260" s="77" t="s">
        <v>565</v>
      </c>
      <c r="L260" s="889" t="s">
        <v>579</v>
      </c>
      <c r="M260" s="26"/>
      <c r="N260" s="1184"/>
      <c r="O260" s="1184"/>
      <c r="P260" s="1184"/>
      <c r="Q260" s="1184"/>
      <c r="R260" s="1184"/>
      <c r="S260" s="1184"/>
      <c r="T260" s="388" t="b" cm="1">
        <f t="array" aca="1" ref="T260" ca="1">T259</f>
        <v>1</v>
      </c>
      <c r="U260" s="1184"/>
      <c r="V260" s="1184"/>
      <c r="W260" s="1184"/>
      <c r="X260" s="2032"/>
      <c r="Y260" s="1184"/>
      <c r="Z260" s="2012"/>
      <c r="AA260" s="1184"/>
      <c r="AB260" s="217" t="s">
        <v>700</v>
      </c>
      <c r="AC260" s="682" t="s">
        <v>1785</v>
      </c>
      <c r="AD260" s="218" t="s">
        <v>831</v>
      </c>
      <c r="AE260" s="1567">
        <f ca="1">SUMIFS('ИП + источники'!AF$27:AF$116,'ИП + источники'!$F$27:$F$116,$F260,'ИП + источники'!$AC$27:$AC$116,"Амортизационные отчисления")+SUMIFS('ИП + источники'!AF$27:AF$116,'ИП + источники'!$F$27:$F$116,$F260,'ИП + источники'!$AC$27:$AC$116,"погашение займов и кредитов из амортизации")</f>
        <v>0</v>
      </c>
      <c r="AF260" s="1567">
        <f ca="1">SUMIFS('ИП + источники'!AG$27:AG$116,'ИП + источники'!$F$27:$F$116,$F260,'ИП + источники'!$AC$27:$AC$116,"Амортизационные отчисления")+SUMIFS('ИП + источники'!AG$27:AG$116,'ИП + источники'!$F$27:$F$116,$F260,'ИП + источники'!$AC$27:$AC$116,"погашение займов и кредитов из амортизации")</f>
        <v>0</v>
      </c>
      <c r="AG260" s="1567">
        <f ca="1">SUMIFS('ИП + источники'!AH$27:AH$116,'ИП + источники'!$F$27:$F$116,$F260,'ИП + источники'!$AC$27:$AC$116,"Амортизационные отчисления")+SUMIFS('ИП + источники'!AH$27:AH$116,'ИП + источники'!$F$27:$F$116,$F260,'ИП + источники'!$AC$27:$AC$116,"погашение займов и кредитов из амортизации")</f>
        <v>0</v>
      </c>
      <c r="AH260" s="855">
        <f t="shared" ca="1" si="48"/>
        <v>0</v>
      </c>
      <c r="AI260" s="1568">
        <v>261.89999999999998</v>
      </c>
      <c r="AJ260" s="1568">
        <v>1305.3234844966</v>
      </c>
      <c r="AK260" s="1160">
        <v>2968.6767730042998</v>
      </c>
      <c r="AL260" s="1160">
        <v>5312.0323543415998</v>
      </c>
      <c r="AM260" s="1160">
        <v>6884.6475404939001</v>
      </c>
      <c r="AN260" s="1160">
        <v>8434.6542911204997</v>
      </c>
      <c r="AO260" s="1160">
        <v>10981.4147978194</v>
      </c>
      <c r="AP260" s="1160">
        <v>22558.690725279001</v>
      </c>
      <c r="AQ260" s="1568">
        <f ca="1">SUMIFS('ИП + источники'!AR$27:AR$116,'ИП + источники'!$F$27:$F$116,$F260,'ИП + источники'!$AC$27:$AC$116,"Амортизационные отчисления")+SUMIFS('ИП + источники'!AR$27:AR$116,'ИП + источники'!$F$27:$F$116,$F260,'ИП + источники'!$AC$27:$AC$116,"погашение займов и кредитов из амортизации")</f>
        <v>0</v>
      </c>
      <c r="AR260" s="1568">
        <f ca="1">SUMIFS('ИП + источники'!AS$27:AS$116,'ИП + источники'!$F$27:$F$116,$F260,'ИП + источники'!$AC$27:$AC$116,"Амортизационные отчисления")+SUMIFS('ИП + источники'!AS$27:AS$116,'ИП + источники'!$F$27:$F$116,$F260,'ИП + источники'!$AC$27:$AC$116,"погашение займов и кредитов из амортизации")</f>
        <v>0</v>
      </c>
      <c r="AS260" s="1568">
        <f ca="1">SUMIFS('ИП + источники'!AT$27:AT$116,'ИП + источники'!$F$27:$F$116,$F260,'ИП + источники'!$AC$27:$AC$116,"Амортизационные отчисления")+SUMIFS('ИП + источники'!AT$27:AT$116,'ИП + источники'!$F$27:$F$116,$F260,'ИП + источники'!$AC$27:$AC$116,"погашение займов и кредитов из амортизации")</f>
        <v>0</v>
      </c>
      <c r="AT260" s="1568">
        <v>1305.3234844966</v>
      </c>
      <c r="AU260" s="1160">
        <v>2968.6767730042998</v>
      </c>
      <c r="AV260" s="1160">
        <v>5312.0323543415998</v>
      </c>
      <c r="AW260" s="1160">
        <v>6884.6475404939001</v>
      </c>
      <c r="AX260" s="1160">
        <v>8434.6542911204997</v>
      </c>
      <c r="AY260" s="1160">
        <v>10981.4147978194</v>
      </c>
      <c r="AZ260" s="1160">
        <v>22558.690725279001</v>
      </c>
      <c r="BA260" s="1568">
        <f ca="1">SUMIFS('ИП + источники'!BB$27:BB$116,'ИП + источники'!$F$27:$F$116,$F260,'ИП + источники'!$AC$27:$AC$116,"Амортизационные отчисления")+SUMIFS('ИП + источники'!BB$27:BB$116,'ИП + источники'!$F$27:$F$116,$F260,'ИП + источники'!$AC$27:$AC$116,"погашение займов и кредитов из амортизации")</f>
        <v>0</v>
      </c>
      <c r="BB260" s="1568">
        <f ca="1">SUMIFS('ИП + источники'!BC$27:BC$116,'ИП + источники'!$F$27:$F$116,$F260,'ИП + источники'!$AC$27:$AC$116,"Амортизационные отчисления")+SUMIFS('ИП + источники'!BC$27:BC$116,'ИП + источники'!$F$27:$F$116,$F260,'ИП + источники'!$AC$27:$AC$116,"погашение займов и кредитов из амортизации")</f>
        <v>0</v>
      </c>
      <c r="BC260" s="1568">
        <f ca="1">SUMIFS('ИП + источники'!BD$27:BD$116,'ИП + источники'!$F$27:$F$116,$F260,'ИП + источники'!$AC$27:$AC$116,"Амортизационные отчисления")+SUMIFS('ИП + источники'!BD$27:BD$116,'ИП + источники'!$F$27:$F$116,$F260,'ИП + источники'!$AC$27:$AC$116,"погашение займов и кредитов из амортизации")</f>
        <v>0</v>
      </c>
      <c r="BD260" s="855">
        <f t="shared" si="50"/>
        <v>398.40530144963731</v>
      </c>
      <c r="BE260" s="855">
        <f t="shared" si="51"/>
        <v>127.42843504031298</v>
      </c>
      <c r="BF260" s="855">
        <f t="shared" si="52"/>
        <v>78.936029770793297</v>
      </c>
      <c r="BG260" s="855">
        <f t="shared" si="53"/>
        <v>29.604774241764165</v>
      </c>
      <c r="BH260" s="855">
        <f t="shared" si="54"/>
        <v>22.513959378600273</v>
      </c>
      <c r="BI260" s="855">
        <f t="shared" si="55"/>
        <v>30.194011737742198</v>
      </c>
      <c r="BJ260" s="855">
        <f t="shared" si="56"/>
        <v>105.42608708086067</v>
      </c>
      <c r="BK260" s="855">
        <f t="shared" ca="1" si="57"/>
        <v>-100</v>
      </c>
      <c r="BL260" s="855">
        <f t="shared" ca="1" si="58"/>
        <v>0</v>
      </c>
      <c r="BM260" s="855">
        <f t="shared" ca="1" si="59"/>
        <v>0</v>
      </c>
      <c r="BN260" s="1581"/>
      <c r="BO260" s="1581"/>
      <c r="BP260" s="1581"/>
      <c r="BQ260" s="1184"/>
      <c r="BR260" s="1184"/>
      <c r="BS260" s="973" t="s">
        <v>1786</v>
      </c>
      <c r="BT260" s="973"/>
      <c r="BU260" s="973"/>
      <c r="BV260" s="888"/>
      <c r="BW260" s="888"/>
    </row>
    <row r="261" spans="1:75" s="1589" customFormat="1" ht="20.25" customHeight="1" x14ac:dyDescent="0.25">
      <c r="A261" s="623"/>
      <c r="B261" s="354" t="b" cm="1">
        <f t="array" ref="B261">B260</f>
        <v>1</v>
      </c>
      <c r="C261" s="623"/>
      <c r="D261" s="623"/>
      <c r="E261" s="630">
        <v>21</v>
      </c>
      <c r="F261" s="3" t="str" cm="1">
        <f t="array" aca="1" ref="F261" ca="1">OFFSET(E261,-1,1)</f>
        <v>1</v>
      </c>
      <c r="G261" s="77" t="s">
        <v>1472</v>
      </c>
      <c r="H261" s="77"/>
      <c r="I261" s="77" t="s">
        <v>334</v>
      </c>
      <c r="J261" s="623"/>
      <c r="K261" s="77" t="s">
        <v>334</v>
      </c>
      <c r="L261" s="894" t="s">
        <v>591</v>
      </c>
      <c r="M261" s="28"/>
      <c r="N261" s="623"/>
      <c r="O261" s="623"/>
      <c r="P261" s="623"/>
      <c r="Q261" s="623"/>
      <c r="R261" s="623"/>
      <c r="S261" s="623"/>
      <c r="T261" s="388" t="b" cm="1">
        <f t="array" aca="1" ref="T261" ca="1">T260</f>
        <v>1</v>
      </c>
      <c r="U261" s="623"/>
      <c r="V261" s="623"/>
      <c r="W261" s="623"/>
      <c r="X261" s="2032"/>
      <c r="Y261" s="623"/>
      <c r="Z261" s="2012"/>
      <c r="AA261" s="623"/>
      <c r="AB261" s="137" t="s">
        <v>444</v>
      </c>
      <c r="AC261" s="131" t="s">
        <v>1472</v>
      </c>
      <c r="AD261" s="153" t="s">
        <v>831</v>
      </c>
      <c r="AE261" s="132">
        <f ca="1">AE262+AE263+AE264+AE265</f>
        <v>0</v>
      </c>
      <c r="AF261" s="132">
        <f ca="1">AF262+AF263+AF264+AF265</f>
        <v>0</v>
      </c>
      <c r="AG261" s="132">
        <f ca="1">AG262+AG263+AG264+AG265</f>
        <v>0</v>
      </c>
      <c r="AH261" s="690">
        <f t="shared" ca="1" si="48"/>
        <v>0</v>
      </c>
      <c r="AI261" s="690">
        <f t="shared" ref="AI261:BC261" ca="1" si="63">AI262+AI263+AI264+AI265</f>
        <v>0</v>
      </c>
      <c r="AJ261" s="690">
        <f t="shared" ca="1" si="63"/>
        <v>0</v>
      </c>
      <c r="AK261" s="690">
        <f t="shared" ca="1" si="63"/>
        <v>0</v>
      </c>
      <c r="AL261" s="690">
        <f t="shared" ca="1" si="63"/>
        <v>0</v>
      </c>
      <c r="AM261" s="690">
        <f t="shared" ca="1" si="63"/>
        <v>0</v>
      </c>
      <c r="AN261" s="690">
        <f t="shared" ca="1" si="63"/>
        <v>0</v>
      </c>
      <c r="AO261" s="690">
        <f t="shared" ca="1" si="63"/>
        <v>0</v>
      </c>
      <c r="AP261" s="690">
        <f t="shared" ca="1" si="63"/>
        <v>0</v>
      </c>
      <c r="AQ261" s="690">
        <f t="shared" ca="1" si="63"/>
        <v>0</v>
      </c>
      <c r="AR261" s="690">
        <f t="shared" ca="1" si="63"/>
        <v>0</v>
      </c>
      <c r="AS261" s="690">
        <f t="shared" ca="1" si="63"/>
        <v>0</v>
      </c>
      <c r="AT261" s="690">
        <f t="shared" ca="1" si="63"/>
        <v>0</v>
      </c>
      <c r="AU261" s="690">
        <f t="shared" ca="1" si="63"/>
        <v>0</v>
      </c>
      <c r="AV261" s="690">
        <f t="shared" ca="1" si="63"/>
        <v>0</v>
      </c>
      <c r="AW261" s="690">
        <f t="shared" ca="1" si="63"/>
        <v>0</v>
      </c>
      <c r="AX261" s="690">
        <f t="shared" ca="1" si="63"/>
        <v>0</v>
      </c>
      <c r="AY261" s="690">
        <f t="shared" ca="1" si="63"/>
        <v>0</v>
      </c>
      <c r="AZ261" s="690">
        <f t="shared" ca="1" si="63"/>
        <v>0</v>
      </c>
      <c r="BA261" s="690">
        <f t="shared" ca="1" si="63"/>
        <v>0</v>
      </c>
      <c r="BB261" s="690">
        <f t="shared" ca="1" si="63"/>
        <v>0</v>
      </c>
      <c r="BC261" s="690">
        <f t="shared" ca="1" si="63"/>
        <v>0</v>
      </c>
      <c r="BD261" s="681">
        <f t="shared" ca="1" si="50"/>
        <v>0</v>
      </c>
      <c r="BE261" s="681">
        <f t="shared" ca="1" si="51"/>
        <v>0</v>
      </c>
      <c r="BF261" s="681">
        <f t="shared" ca="1" si="52"/>
        <v>0</v>
      </c>
      <c r="BG261" s="681">
        <f t="shared" ca="1" si="53"/>
        <v>0</v>
      </c>
      <c r="BH261" s="681">
        <f t="shared" ca="1" si="54"/>
        <v>0</v>
      </c>
      <c r="BI261" s="681">
        <f t="shared" ca="1" si="55"/>
        <v>0</v>
      </c>
      <c r="BJ261" s="681">
        <f t="shared" ca="1" si="56"/>
        <v>0</v>
      </c>
      <c r="BK261" s="681">
        <f t="shared" ca="1" si="57"/>
        <v>0</v>
      </c>
      <c r="BL261" s="681">
        <f t="shared" ca="1" si="58"/>
        <v>0</v>
      </c>
      <c r="BM261" s="681">
        <f t="shared" ca="1" si="59"/>
        <v>0</v>
      </c>
      <c r="BN261" s="1581"/>
      <c r="BO261" s="1581"/>
      <c r="BP261" s="1581"/>
      <c r="BQ261" s="623"/>
      <c r="BR261" s="623"/>
      <c r="BS261" s="972" t="s">
        <v>1476</v>
      </c>
      <c r="BT261" s="979"/>
      <c r="BU261" s="979"/>
      <c r="BV261" s="630"/>
      <c r="BW261" s="630"/>
    </row>
    <row r="262" spans="1:75" s="1334" customFormat="1" ht="14.25" customHeight="1" x14ac:dyDescent="0.15">
      <c r="A262" s="1184"/>
      <c r="B262" s="354" t="b" cm="1">
        <f t="array" ref="B262">B261</f>
        <v>1</v>
      </c>
      <c r="C262" s="1184"/>
      <c r="D262" s="1184"/>
      <c r="E262" s="626">
        <v>15</v>
      </c>
      <c r="F262" s="3" t="str" cm="1">
        <f t="array" aca="1" ref="F262" ca="1">OFFSET(E262,-1,1)</f>
        <v>1</v>
      </c>
      <c r="G262" s="1184"/>
      <c r="H262" s="1184"/>
      <c r="I262" s="77" t="s">
        <v>579</v>
      </c>
      <c r="J262" s="1184"/>
      <c r="K262" s="77" t="s">
        <v>579</v>
      </c>
      <c r="L262" s="889"/>
      <c r="M262" s="26"/>
      <c r="N262" s="1184"/>
      <c r="O262" s="1184"/>
      <c r="P262" s="1184"/>
      <c r="Q262" s="1184"/>
      <c r="R262" s="1184"/>
      <c r="S262" s="1184"/>
      <c r="T262" s="388" t="b" cm="1">
        <f t="array" aca="1" ref="T262" ca="1">T261</f>
        <v>1</v>
      </c>
      <c r="U262" s="1184"/>
      <c r="V262" s="1184"/>
      <c r="W262" s="1184"/>
      <c r="X262" s="2032"/>
      <c r="Y262" s="1184"/>
      <c r="Z262" s="2012"/>
      <c r="AA262" s="1184"/>
      <c r="AB262" s="217" t="s">
        <v>707</v>
      </c>
      <c r="AC262" s="682" t="s">
        <v>2086</v>
      </c>
      <c r="AD262" s="218" t="s">
        <v>831</v>
      </c>
      <c r="AE262" s="1567">
        <f ca="1">SUMIFS('ИП + источники'!AF$27:AF$116,'ИП + источники'!$F$27:$F$116,$F262,'ИП + источники'!$AC$27:$AC$116,"погашение займов и кредитов из нормативной прибыли")</f>
        <v>0</v>
      </c>
      <c r="AF262" s="1567">
        <f ca="1">SUMIFS('ИП + источники'!AG$27:AG$116,'ИП + источники'!$F$27:$F$116,$F262,'ИП + источники'!$AC$27:$AC$116,"погашение займов и кредитов из нормативной прибыли")</f>
        <v>0</v>
      </c>
      <c r="AG262" s="1567">
        <f ca="1">SUMIFS('ИП + источники'!AH$27:AH$116,'ИП + источники'!$F$27:$F$116,$F262,'ИП + источники'!$AC$27:$AC$116,"погашение займов и кредитов из нормативной прибыли")</f>
        <v>0</v>
      </c>
      <c r="AH262" s="855">
        <f t="shared" ca="1" si="48"/>
        <v>0</v>
      </c>
      <c r="AI262" s="1568">
        <f ca="1">SUMIFS('ИП + источники'!AJ$27:AJ$116,'ИП + источники'!$F$27:$F$116,$F262,'ИП + источники'!$AC$27:$AC$116,"погашение займов и кредитов из нормативной прибыли")</f>
        <v>0</v>
      </c>
      <c r="AJ262" s="1568">
        <f ca="1">SUMIFS('ИП + источники'!AK$27:AK$116,'ИП + источники'!$F$27:$F$116,$F262,'ИП + источники'!$AC$27:$AC$116,"погашение займов и кредитов из нормативной прибыли")</f>
        <v>0</v>
      </c>
      <c r="AK262" s="1160">
        <f ca="1">SUMIFS('ИП + источники'!AL$27:AL$116,'ИП + источники'!$F$27:$F$116,$F262,'ИП + источники'!$AC$27:$AC$116,"погашение займов и кредитов из нормативной прибыли")</f>
        <v>0</v>
      </c>
      <c r="AL262" s="1160">
        <f ca="1">SUMIFS('ИП + источники'!AM$27:AM$116,'ИП + источники'!$F$27:$F$116,$F262,'ИП + источники'!$AC$27:$AC$116,"погашение займов и кредитов из нормативной прибыли")</f>
        <v>0</v>
      </c>
      <c r="AM262" s="1160">
        <f ca="1">SUMIFS('ИП + источники'!AN$27:AN$116,'ИП + источники'!$F$27:$F$116,$F262,'ИП + источники'!$AC$27:$AC$116,"погашение займов и кредитов из нормативной прибыли")</f>
        <v>0</v>
      </c>
      <c r="AN262" s="1160">
        <f ca="1">SUMIFS('ИП + источники'!AO$27:AO$116,'ИП + источники'!$F$27:$F$116,$F262,'ИП + источники'!$AC$27:$AC$116,"погашение займов и кредитов из нормативной прибыли")</f>
        <v>0</v>
      </c>
      <c r="AO262" s="1160">
        <f ca="1">SUMIFS('ИП + источники'!AP$27:AP$116,'ИП + источники'!$F$27:$F$116,$F262,'ИП + источники'!$AC$27:$AC$116,"погашение займов и кредитов из нормативной прибыли")</f>
        <v>0</v>
      </c>
      <c r="AP262" s="1160">
        <f ca="1">SUMIFS('ИП + источники'!AQ$27:AQ$116,'ИП + источники'!$F$27:$F$116,$F262,'ИП + источники'!$AC$27:$AC$116,"погашение займов и кредитов из нормативной прибыли")</f>
        <v>0</v>
      </c>
      <c r="AQ262" s="1568">
        <f ca="1">SUMIFS('ИП + источники'!AR$27:AR$116,'ИП + источники'!$F$27:$F$116,$F262,'ИП + источники'!$AC$27:$AC$116,"погашение займов и кредитов из нормативной прибыли")</f>
        <v>0</v>
      </c>
      <c r="AR262" s="1568">
        <f ca="1">SUMIFS('ИП + источники'!AS$27:AS$116,'ИП + источники'!$F$27:$F$116,$F262,'ИП + источники'!$AC$27:$AC$116,"погашение займов и кредитов из нормативной прибыли")</f>
        <v>0</v>
      </c>
      <c r="AS262" s="1568">
        <f ca="1">SUMIFS('ИП + источники'!AT$27:AT$116,'ИП + источники'!$F$27:$F$116,$F262,'ИП + источники'!$AC$27:$AC$116,"погашение займов и кредитов из нормативной прибыли")</f>
        <v>0</v>
      </c>
      <c r="AT262" s="1568">
        <f ca="1">SUMIFS('ИП + источники'!AU$27:AU$116,'ИП + источники'!$F$27:$F$116,$F262,'ИП + источники'!$AC$27:$AC$116,"погашение займов и кредитов из нормативной прибыли")</f>
        <v>0</v>
      </c>
      <c r="AU262" s="1160">
        <f ca="1">SUMIFS('ИП + источники'!AV$27:AV$116,'ИП + источники'!$F$27:$F$116,$F262,'ИП + источники'!$AC$27:$AC$116,"погашение займов и кредитов из нормативной прибыли")</f>
        <v>0</v>
      </c>
      <c r="AV262" s="1160">
        <f ca="1">SUMIFS('ИП + источники'!AW$27:AW$116,'ИП + источники'!$F$27:$F$116,$F262,'ИП + источники'!$AC$27:$AC$116,"погашение займов и кредитов из нормативной прибыли")</f>
        <v>0</v>
      </c>
      <c r="AW262" s="1160">
        <f ca="1">SUMIFS('ИП + источники'!AX$27:AX$116,'ИП + источники'!$F$27:$F$116,$F262,'ИП + источники'!$AC$27:$AC$116,"погашение займов и кредитов из нормативной прибыли")</f>
        <v>0</v>
      </c>
      <c r="AX262" s="1160">
        <f ca="1">SUMIFS('ИП + источники'!AY$27:AY$116,'ИП + источники'!$F$27:$F$116,$F262,'ИП + источники'!$AC$27:$AC$116,"погашение займов и кредитов из нормативной прибыли")</f>
        <v>0</v>
      </c>
      <c r="AY262" s="1160">
        <f ca="1">SUMIFS('ИП + источники'!AZ$27:AZ$116,'ИП + источники'!$F$27:$F$116,$F262,'ИП + источники'!$AC$27:$AC$116,"погашение займов и кредитов из нормативной прибыли")</f>
        <v>0</v>
      </c>
      <c r="AZ262" s="1160">
        <f ca="1">SUMIFS('ИП + источники'!BA$27:BA$116,'ИП + источники'!$F$27:$F$116,$F262,'ИП + источники'!$AC$27:$AC$116,"погашение займов и кредитов из нормативной прибыли")</f>
        <v>0</v>
      </c>
      <c r="BA262" s="1568">
        <f ca="1">SUMIFS('ИП + источники'!BB$27:BB$116,'ИП + источники'!$F$27:$F$116,$F262,'ИП + источники'!$AC$27:$AC$116,"погашение займов и кредитов из нормативной прибыли")</f>
        <v>0</v>
      </c>
      <c r="BB262" s="1568">
        <f ca="1">SUMIFS('ИП + источники'!BC$27:BC$116,'ИП + источники'!$F$27:$F$116,$F262,'ИП + источники'!$AC$27:$AC$116,"погашение займов и кредитов из нормативной прибыли")</f>
        <v>0</v>
      </c>
      <c r="BC262" s="1568">
        <f ca="1">SUMIFS('ИП + источники'!BD$27:BD$116,'ИП + источники'!$F$27:$F$116,$F262,'ИП + источники'!$AC$27:$AC$116,"погашение займов и кредитов из нормативной прибыли")</f>
        <v>0</v>
      </c>
      <c r="BD262" s="855">
        <f t="shared" ca="1" si="50"/>
        <v>0</v>
      </c>
      <c r="BE262" s="855">
        <f t="shared" ca="1" si="51"/>
        <v>0</v>
      </c>
      <c r="BF262" s="855">
        <f t="shared" ca="1" si="52"/>
        <v>0</v>
      </c>
      <c r="BG262" s="855">
        <f t="shared" ca="1" si="53"/>
        <v>0</v>
      </c>
      <c r="BH262" s="855">
        <f t="shared" ca="1" si="54"/>
        <v>0</v>
      </c>
      <c r="BI262" s="855">
        <f t="shared" ca="1" si="55"/>
        <v>0</v>
      </c>
      <c r="BJ262" s="855">
        <f t="shared" ca="1" si="56"/>
        <v>0</v>
      </c>
      <c r="BK262" s="855">
        <f t="shared" ca="1" si="57"/>
        <v>0</v>
      </c>
      <c r="BL262" s="855">
        <f t="shared" ca="1" si="58"/>
        <v>0</v>
      </c>
      <c r="BM262" s="855">
        <f t="shared" ca="1" si="59"/>
        <v>0</v>
      </c>
      <c r="BN262" s="1581"/>
      <c r="BO262" s="1576" t="str">
        <f ca="1">IF(IFERROR(INDEX('ИП + источники'!$K$28:$L$116,MATCH($F262&amp;"2komm",'ИП + источники'!$K$28:$K$116,0),2),"")=0,"",IFERROR(INDEX('ИП + источники'!$K$28:$L$116,MATCH($F262&amp;"2komm",'ИП + источники'!$K$28:$K$116,0),2),""))</f>
        <v/>
      </c>
      <c r="BP262" s="1581"/>
      <c r="BQ262" s="1184"/>
      <c r="BR262" s="1184"/>
      <c r="BS262" s="973" t="s">
        <v>2087</v>
      </c>
      <c r="BT262" s="973"/>
      <c r="BU262" s="973"/>
      <c r="BV262" s="888"/>
      <c r="BW262" s="888"/>
    </row>
    <row r="263" spans="1:75" s="1334" customFormat="1" ht="14.25" customHeight="1" x14ac:dyDescent="0.15">
      <c r="A263" s="1184"/>
      <c r="B263" s="354" t="b" cm="1">
        <f t="array" ref="B263">B262</f>
        <v>1</v>
      </c>
      <c r="C263" s="1184"/>
      <c r="D263" s="1184"/>
      <c r="E263" s="626">
        <v>15</v>
      </c>
      <c r="F263" s="3" t="str" cm="1">
        <f t="array" aca="1" ref="F263" ca="1">OFFSET(E263,-1,1)</f>
        <v>1</v>
      </c>
      <c r="G263" s="1184"/>
      <c r="H263" s="1184"/>
      <c r="I263" s="77" t="s">
        <v>583</v>
      </c>
      <c r="J263" s="1184"/>
      <c r="K263" s="77" t="s">
        <v>583</v>
      </c>
      <c r="L263" s="889"/>
      <c r="M263" s="26"/>
      <c r="N263" s="1184"/>
      <c r="O263" s="1184"/>
      <c r="P263" s="1184"/>
      <c r="Q263" s="1184"/>
      <c r="R263" s="1184"/>
      <c r="S263" s="1184"/>
      <c r="T263" s="388" t="b" cm="1">
        <f t="array" aca="1" ref="T263" ca="1">T262</f>
        <v>1</v>
      </c>
      <c r="U263" s="1184"/>
      <c r="V263" s="1184"/>
      <c r="W263" s="1184"/>
      <c r="X263" s="2032"/>
      <c r="Y263" s="1184"/>
      <c r="Z263" s="2012"/>
      <c r="AA263" s="1184"/>
      <c r="AB263" s="217" t="s">
        <v>710</v>
      </c>
      <c r="AC263" s="682" t="s">
        <v>2088</v>
      </c>
      <c r="AD263" s="218" t="s">
        <v>831</v>
      </c>
      <c r="AE263" s="1567">
        <f ca="1">SUMIFS('ИП + источники'!AF$27:AF$116,'ИП + источники'!$F$27:$F$116,$F263,'ИП + источники'!$AC$27:$AC$116,"уплата процентов по кредитам из нормативной прибыли")</f>
        <v>0</v>
      </c>
      <c r="AF263" s="1567">
        <f ca="1">SUMIFS('ИП + источники'!AG$27:AG$116,'ИП + источники'!$F$27:$F$116,$F263,'ИП + источники'!$AC$27:$AC$116,"уплата процентов по кредитам из нормативной прибыли")</f>
        <v>0</v>
      </c>
      <c r="AG263" s="1567">
        <f ca="1">SUMIFS('ИП + источники'!AH$27:AH$116,'ИП + источники'!$F$27:$F$116,$F263,'ИП + источники'!$AC$27:$AC$116,"уплата процентов по кредитам из нормативной прибыли")</f>
        <v>0</v>
      </c>
      <c r="AH263" s="855">
        <f t="shared" ca="1" si="48"/>
        <v>0</v>
      </c>
      <c r="AI263" s="1568">
        <f ca="1">SUMIFS('ИП + источники'!AJ$27:AJ$116,'ИП + источники'!$F$27:$F$116,$F263,'ИП + источники'!$AC$27:$AC$116,"уплата процентов по кредитам из нормативной прибыли")</f>
        <v>0</v>
      </c>
      <c r="AJ263" s="1568">
        <f ca="1">SUMIFS('ИП + источники'!AK$27:AK$116,'ИП + источники'!$F$27:$F$116,$F263,'ИП + источники'!$AC$27:$AC$116,"уплата процентов по кредитам из нормативной прибыли")</f>
        <v>0</v>
      </c>
      <c r="AK263" s="1160">
        <f ca="1">SUMIFS('ИП + источники'!AL$27:AL$116,'ИП + источники'!$F$27:$F$116,$F263,'ИП + источники'!$AC$27:$AC$116,"уплата процентов по кредитам из нормативной прибыли")</f>
        <v>0</v>
      </c>
      <c r="AL263" s="1160">
        <f ca="1">SUMIFS('ИП + источники'!AM$27:AM$116,'ИП + источники'!$F$27:$F$116,$F263,'ИП + источники'!$AC$27:$AC$116,"уплата процентов по кредитам из нормативной прибыли")</f>
        <v>0</v>
      </c>
      <c r="AM263" s="1160">
        <f ca="1">SUMIFS('ИП + источники'!AN$27:AN$116,'ИП + источники'!$F$27:$F$116,$F263,'ИП + источники'!$AC$27:$AC$116,"уплата процентов по кредитам из нормативной прибыли")</f>
        <v>0</v>
      </c>
      <c r="AN263" s="1160">
        <f ca="1">SUMIFS('ИП + источники'!AO$27:AO$116,'ИП + источники'!$F$27:$F$116,$F263,'ИП + источники'!$AC$27:$AC$116,"уплата процентов по кредитам из нормативной прибыли")</f>
        <v>0</v>
      </c>
      <c r="AO263" s="1160">
        <f ca="1">SUMIFS('ИП + источники'!AP$27:AP$116,'ИП + источники'!$F$27:$F$116,$F263,'ИП + источники'!$AC$27:$AC$116,"уплата процентов по кредитам из нормативной прибыли")</f>
        <v>0</v>
      </c>
      <c r="AP263" s="1160">
        <f ca="1">SUMIFS('ИП + источники'!AQ$27:AQ$116,'ИП + источники'!$F$27:$F$116,$F263,'ИП + источники'!$AC$27:$AC$116,"уплата процентов по кредитам из нормативной прибыли")</f>
        <v>0</v>
      </c>
      <c r="AQ263" s="1568">
        <f ca="1">SUMIFS('ИП + источники'!AR$27:AR$116,'ИП + источники'!$F$27:$F$116,$F263,'ИП + источники'!$AC$27:$AC$116,"уплата процентов по кредитам из нормативной прибыли")</f>
        <v>0</v>
      </c>
      <c r="AR263" s="1568">
        <f ca="1">SUMIFS('ИП + источники'!AS$27:AS$116,'ИП + источники'!$F$27:$F$116,$F263,'ИП + источники'!$AC$27:$AC$116,"уплата процентов по кредитам из нормативной прибыли")</f>
        <v>0</v>
      </c>
      <c r="AS263" s="1568">
        <f ca="1">SUMIFS('ИП + источники'!AT$27:AT$116,'ИП + источники'!$F$27:$F$116,$F263,'ИП + источники'!$AC$27:$AC$116,"уплата процентов по кредитам из нормативной прибыли")</f>
        <v>0</v>
      </c>
      <c r="AT263" s="1568">
        <f ca="1">SUMIFS('ИП + источники'!AU$27:AU$116,'ИП + источники'!$F$27:$F$116,$F263,'ИП + источники'!$AC$27:$AC$116,"уплата процентов по кредитам из нормативной прибыли")</f>
        <v>0</v>
      </c>
      <c r="AU263" s="1160">
        <f ca="1">SUMIFS('ИП + источники'!AV$27:AV$116,'ИП + источники'!$F$27:$F$116,$F263,'ИП + источники'!$AC$27:$AC$116,"уплата процентов по кредитам из нормативной прибыли")</f>
        <v>0</v>
      </c>
      <c r="AV263" s="1160">
        <f ca="1">SUMIFS('ИП + источники'!AW$27:AW$116,'ИП + источники'!$F$27:$F$116,$F263,'ИП + источники'!$AC$27:$AC$116,"уплата процентов по кредитам из нормативной прибыли")</f>
        <v>0</v>
      </c>
      <c r="AW263" s="1160">
        <f ca="1">SUMIFS('ИП + источники'!AX$27:AX$116,'ИП + источники'!$F$27:$F$116,$F263,'ИП + источники'!$AC$27:$AC$116,"уплата процентов по кредитам из нормативной прибыли")</f>
        <v>0</v>
      </c>
      <c r="AX263" s="1160">
        <f ca="1">SUMIFS('ИП + источники'!AY$27:AY$116,'ИП + источники'!$F$27:$F$116,$F263,'ИП + источники'!$AC$27:$AC$116,"уплата процентов по кредитам из нормативной прибыли")</f>
        <v>0</v>
      </c>
      <c r="AY263" s="1160">
        <f ca="1">SUMIFS('ИП + источники'!AZ$27:AZ$116,'ИП + источники'!$F$27:$F$116,$F263,'ИП + источники'!$AC$27:$AC$116,"уплата процентов по кредитам из нормативной прибыли")</f>
        <v>0</v>
      </c>
      <c r="AZ263" s="1160">
        <f ca="1">SUMIFS('ИП + источники'!BA$27:BA$116,'ИП + источники'!$F$27:$F$116,$F263,'ИП + источники'!$AC$27:$AC$116,"уплата процентов по кредитам из нормативной прибыли")</f>
        <v>0</v>
      </c>
      <c r="BA263" s="1568">
        <f ca="1">SUMIFS('ИП + источники'!BB$27:BB$116,'ИП + источники'!$F$27:$F$116,$F263,'ИП + источники'!$AC$27:$AC$116,"уплата процентов по кредитам из нормативной прибыли")</f>
        <v>0</v>
      </c>
      <c r="BB263" s="1568">
        <f ca="1">SUMIFS('ИП + источники'!BC$27:BC$116,'ИП + источники'!$F$27:$F$116,$F263,'ИП + источники'!$AC$27:$AC$116,"уплата процентов по кредитам из нормативной прибыли")</f>
        <v>0</v>
      </c>
      <c r="BC263" s="1568">
        <f ca="1">SUMIFS('ИП + источники'!BD$27:BD$116,'ИП + источники'!$F$27:$F$116,$F263,'ИП + источники'!$AC$27:$AC$116,"уплата процентов по кредитам из нормативной прибыли")</f>
        <v>0</v>
      </c>
      <c r="BD263" s="855">
        <f t="shared" ca="1" si="50"/>
        <v>0</v>
      </c>
      <c r="BE263" s="855">
        <f t="shared" ca="1" si="51"/>
        <v>0</v>
      </c>
      <c r="BF263" s="855">
        <f t="shared" ca="1" si="52"/>
        <v>0</v>
      </c>
      <c r="BG263" s="855">
        <f t="shared" ca="1" si="53"/>
        <v>0</v>
      </c>
      <c r="BH263" s="855">
        <f t="shared" ca="1" si="54"/>
        <v>0</v>
      </c>
      <c r="BI263" s="855">
        <f t="shared" ca="1" si="55"/>
        <v>0</v>
      </c>
      <c r="BJ263" s="855">
        <f t="shared" ca="1" si="56"/>
        <v>0</v>
      </c>
      <c r="BK263" s="855">
        <f t="shared" ca="1" si="57"/>
        <v>0</v>
      </c>
      <c r="BL263" s="855">
        <f t="shared" ca="1" si="58"/>
        <v>0</v>
      </c>
      <c r="BM263" s="855">
        <f t="shared" ca="1" si="59"/>
        <v>0</v>
      </c>
      <c r="BN263" s="1581"/>
      <c r="BO263" s="1576" t="str">
        <f ca="1">IF(IFERROR(INDEX('ИП + источники'!$K$28:$L$116,MATCH($F263&amp;"3komm",'ИП + источники'!$K$28:$K$116,0),2),"")=0,"",IFERROR(INDEX('ИП + источники'!$K$28:$L$116,MATCH($F263&amp;"3komm",'ИП + источники'!$K$28:$K$116,0),2),""))</f>
        <v/>
      </c>
      <c r="BP263" s="1581"/>
      <c r="BQ263" s="1184"/>
      <c r="BR263" s="1184"/>
      <c r="BS263" s="973" t="s">
        <v>2089</v>
      </c>
      <c r="BT263" s="973"/>
      <c r="BU263" s="973"/>
      <c r="BV263" s="888"/>
      <c r="BW263" s="888"/>
    </row>
    <row r="264" spans="1:75" s="1334" customFormat="1" ht="14.25" customHeight="1" x14ac:dyDescent="0.15">
      <c r="A264" s="1184"/>
      <c r="B264" s="354" t="b" cm="1">
        <f t="array" ref="B264">B263</f>
        <v>1</v>
      </c>
      <c r="C264" s="1184"/>
      <c r="D264" s="1184"/>
      <c r="E264" s="626">
        <v>15</v>
      </c>
      <c r="F264" s="3" t="str" cm="1">
        <f t="array" aca="1" ref="F264" ca="1">OFFSET(E264,-1,1)</f>
        <v>1</v>
      </c>
      <c r="G264" s="1184"/>
      <c r="H264" s="1184"/>
      <c r="I264" s="77" t="s">
        <v>795</v>
      </c>
      <c r="J264" s="1184"/>
      <c r="K264" s="77" t="s">
        <v>795</v>
      </c>
      <c r="L264" s="889" t="s">
        <v>598</v>
      </c>
      <c r="M264" s="26"/>
      <c r="N264" s="1184"/>
      <c r="O264" s="1184"/>
      <c r="P264" s="1184"/>
      <c r="Q264" s="1184"/>
      <c r="R264" s="1184"/>
      <c r="S264" s="1184"/>
      <c r="T264" s="388" t="b" cm="1">
        <f t="array" aca="1" ref="T264" ca="1">T263</f>
        <v>1</v>
      </c>
      <c r="U264" s="1184"/>
      <c r="V264" s="1184"/>
      <c r="W264" s="1184"/>
      <c r="X264" s="2032"/>
      <c r="Y264" s="1184"/>
      <c r="Z264" s="2012"/>
      <c r="AA264" s="1184"/>
      <c r="AB264" s="217" t="s">
        <v>965</v>
      </c>
      <c r="AC264" s="682" t="s">
        <v>2090</v>
      </c>
      <c r="AD264" s="218" t="s">
        <v>831</v>
      </c>
      <c r="AE264" s="1567">
        <f ca="1">SUMIFS('ИП + источники'!AF$27:AF$116,'ИП + источники'!$F$27:$F$116,$F264,'ИП + источники'!$AC$27:$AC$116,"Прибыль на капвложения")</f>
        <v>0</v>
      </c>
      <c r="AF264" s="1567">
        <f ca="1">SUMIFS('ИП + источники'!AG$27:AG$116,'ИП + источники'!$F$27:$F$116,$F264,'ИП + источники'!$AC$27:$AC$116,"Прибыль на капвложения")</f>
        <v>0</v>
      </c>
      <c r="AG264" s="1567">
        <f ca="1">SUMIFS('ИП + источники'!AH$27:AH$116,'ИП + источники'!$F$27:$F$116,$F264,'ИП + источники'!$AC$27:$AC$116,"Прибыль на капвложения")</f>
        <v>0</v>
      </c>
      <c r="AH264" s="855">
        <f t="shared" ca="1" si="48"/>
        <v>0</v>
      </c>
      <c r="AI264" s="1568">
        <f ca="1">SUMIFS('ИП + источники'!AJ$27:AJ$116,'ИП + источники'!$F$27:$F$116,$F264,'ИП + источники'!$AC$27:$AC$116,"Прибыль на капвложения")</f>
        <v>0</v>
      </c>
      <c r="AJ264" s="1568">
        <f ca="1">SUMIFS('ИП + источники'!AK$27:AK$116,'ИП + источники'!$F$27:$F$116,$F264,'ИП + источники'!$AC$27:$AC$116,"Прибыль на капвложения")</f>
        <v>0</v>
      </c>
      <c r="AK264" s="1160">
        <f ca="1">SUMIFS('ИП + источники'!AL$27:AL$116,'ИП + источники'!$F$27:$F$116,$F264,'ИП + источники'!$AC$27:$AC$116,"Прибыль на капвложения")</f>
        <v>0</v>
      </c>
      <c r="AL264" s="1160">
        <f ca="1">SUMIFS('ИП + источники'!AM$27:AM$116,'ИП + источники'!$F$27:$F$116,$F264,'ИП + источники'!$AC$27:$AC$116,"Прибыль на капвложения")</f>
        <v>0</v>
      </c>
      <c r="AM264" s="1160">
        <f ca="1">SUMIFS('ИП + источники'!AN$27:AN$116,'ИП + источники'!$F$27:$F$116,$F264,'ИП + источники'!$AC$27:$AC$116,"Прибыль на капвложения")</f>
        <v>0</v>
      </c>
      <c r="AN264" s="1160">
        <f ca="1">SUMIFS('ИП + источники'!AO$27:AO$116,'ИП + источники'!$F$27:$F$116,$F264,'ИП + источники'!$AC$27:$AC$116,"Прибыль на капвложения")</f>
        <v>0</v>
      </c>
      <c r="AO264" s="1160">
        <f ca="1">SUMIFS('ИП + источники'!AP$27:AP$116,'ИП + источники'!$F$27:$F$116,$F264,'ИП + источники'!$AC$27:$AC$116,"Прибыль на капвложения")</f>
        <v>0</v>
      </c>
      <c r="AP264" s="1160">
        <f ca="1">SUMIFS('ИП + источники'!AQ$27:AQ$116,'ИП + источники'!$F$27:$F$116,$F264,'ИП + источники'!$AC$27:$AC$116,"Прибыль на капвложения")</f>
        <v>0</v>
      </c>
      <c r="AQ264" s="1568">
        <f ca="1">SUMIFS('ИП + источники'!AR$27:AR$116,'ИП + источники'!$F$27:$F$116,$F264,'ИП + источники'!$AC$27:$AC$116,"Прибыль на капвложения")</f>
        <v>0</v>
      </c>
      <c r="AR264" s="1568">
        <f ca="1">SUMIFS('ИП + источники'!AS$27:AS$116,'ИП + источники'!$F$27:$F$116,$F264,'ИП + источники'!$AC$27:$AC$116,"Прибыль на капвложения")</f>
        <v>0</v>
      </c>
      <c r="AS264" s="1568">
        <f ca="1">SUMIFS('ИП + источники'!AT$27:AT$116,'ИП + источники'!$F$27:$F$116,$F264,'ИП + источники'!$AC$27:$AC$116,"Прибыль на капвложения")</f>
        <v>0</v>
      </c>
      <c r="AT264" s="1568">
        <f ca="1">SUMIFS('ИП + источники'!AU$27:AU$116,'ИП + источники'!$F$27:$F$116,$F264,'ИП + источники'!$AC$27:$AC$116,"Прибыль на капвложения")</f>
        <v>0</v>
      </c>
      <c r="AU264" s="1160">
        <f ca="1">SUMIFS('ИП + источники'!AV$27:AV$116,'ИП + источники'!$F$27:$F$116,$F264,'ИП + источники'!$AC$27:$AC$116,"Прибыль на капвложения")</f>
        <v>0</v>
      </c>
      <c r="AV264" s="1160">
        <f ca="1">SUMIFS('ИП + источники'!AW$27:AW$116,'ИП + источники'!$F$27:$F$116,$F264,'ИП + источники'!$AC$27:$AC$116,"Прибыль на капвложения")</f>
        <v>0</v>
      </c>
      <c r="AW264" s="1160">
        <f ca="1">SUMIFS('ИП + источники'!AX$27:AX$116,'ИП + источники'!$F$27:$F$116,$F264,'ИП + источники'!$AC$27:$AC$116,"Прибыль на капвложения")</f>
        <v>0</v>
      </c>
      <c r="AX264" s="1160">
        <f ca="1">SUMIFS('ИП + источники'!AY$27:AY$116,'ИП + источники'!$F$27:$F$116,$F264,'ИП + источники'!$AC$27:$AC$116,"Прибыль на капвложения")</f>
        <v>0</v>
      </c>
      <c r="AY264" s="1160">
        <f ca="1">SUMIFS('ИП + источники'!AZ$27:AZ$116,'ИП + источники'!$F$27:$F$116,$F264,'ИП + источники'!$AC$27:$AC$116,"Прибыль на капвложения")</f>
        <v>0</v>
      </c>
      <c r="AZ264" s="1160">
        <f ca="1">SUMIFS('ИП + источники'!BA$27:BA$116,'ИП + источники'!$F$27:$F$116,$F264,'ИП + источники'!$AC$27:$AC$116,"Прибыль на капвложения")</f>
        <v>0</v>
      </c>
      <c r="BA264" s="1568">
        <f ca="1">SUMIFS('ИП + источники'!BB$27:BB$116,'ИП + источники'!$F$27:$F$116,$F264,'ИП + источники'!$AC$27:$AC$116,"Прибыль на капвложения")</f>
        <v>0</v>
      </c>
      <c r="BB264" s="1568">
        <f ca="1">SUMIFS('ИП + источники'!BC$27:BC$116,'ИП + источники'!$F$27:$F$116,$F264,'ИП + источники'!$AC$27:$AC$116,"Прибыль на капвложения")</f>
        <v>0</v>
      </c>
      <c r="BC264" s="1568">
        <f ca="1">SUMIFS('ИП + источники'!BD$27:BD$116,'ИП + источники'!$F$27:$F$116,$F264,'ИП + источники'!$AC$27:$AC$116,"Прибыль на капвложения")</f>
        <v>0</v>
      </c>
      <c r="BD264" s="855">
        <f t="shared" ca="1" si="50"/>
        <v>0</v>
      </c>
      <c r="BE264" s="855">
        <f t="shared" ca="1" si="51"/>
        <v>0</v>
      </c>
      <c r="BF264" s="855">
        <f t="shared" ca="1" si="52"/>
        <v>0</v>
      </c>
      <c r="BG264" s="855">
        <f t="shared" ca="1" si="53"/>
        <v>0</v>
      </c>
      <c r="BH264" s="855">
        <f t="shared" ca="1" si="54"/>
        <v>0</v>
      </c>
      <c r="BI264" s="855">
        <f t="shared" ca="1" si="55"/>
        <v>0</v>
      </c>
      <c r="BJ264" s="855">
        <f t="shared" ca="1" si="56"/>
        <v>0</v>
      </c>
      <c r="BK264" s="855">
        <f t="shared" ca="1" si="57"/>
        <v>0</v>
      </c>
      <c r="BL264" s="855">
        <f t="shared" ca="1" si="58"/>
        <v>0</v>
      </c>
      <c r="BM264" s="855">
        <f t="shared" ca="1" si="59"/>
        <v>0</v>
      </c>
      <c r="BN264" s="1581"/>
      <c r="BO264" s="1576" t="str">
        <f ca="1">IF(IFERROR(INDEX('ИП + источники'!$K$28:$L$116,MATCH($F264&amp;"1komm",'ИП + источники'!$K$28:$K$116,0),2),"")=0,"",IFERROR(INDEX('ИП + источники'!$K$28:$L$116,MATCH($F264&amp;"1komm",'ИП + источники'!$K$28:$K$116,0),2),""))</f>
        <v/>
      </c>
      <c r="BP264" s="1581"/>
      <c r="BQ264" s="1184"/>
      <c r="BR264" s="1184"/>
      <c r="BS264" s="973" t="s">
        <v>1793</v>
      </c>
      <c r="BT264" s="973"/>
      <c r="BU264" s="973"/>
      <c r="BV264" s="888"/>
      <c r="BW264" s="888"/>
    </row>
    <row r="265" spans="1:75" s="1334" customFormat="1" ht="21.75" customHeight="1" x14ac:dyDescent="0.15">
      <c r="A265" s="1184"/>
      <c r="B265" s="354" t="b" cm="1">
        <f t="array" ref="B265">B264</f>
        <v>1</v>
      </c>
      <c r="C265" s="1184"/>
      <c r="D265" s="1184"/>
      <c r="E265" s="626">
        <v>22.5</v>
      </c>
      <c r="F265" s="3" t="str" cm="1">
        <f t="array" aca="1" ref="F265" ca="1">OFFSET(E265,-1,1)</f>
        <v>1</v>
      </c>
      <c r="G265" s="77" t="s">
        <v>2091</v>
      </c>
      <c r="H265" s="1184"/>
      <c r="I265" s="77" t="s">
        <v>967</v>
      </c>
      <c r="J265" s="1184"/>
      <c r="K265" s="77" t="s">
        <v>967</v>
      </c>
      <c r="L265" s="889" t="s">
        <v>602</v>
      </c>
      <c r="M265" s="26"/>
      <c r="N265" s="1184"/>
      <c r="O265" s="1184"/>
      <c r="P265" s="1184"/>
      <c r="Q265" s="1184"/>
      <c r="R265" s="1184"/>
      <c r="S265" s="1184"/>
      <c r="T265" s="388" t="b" cm="1">
        <f t="array" aca="1" ref="T265" ca="1">T264</f>
        <v>1</v>
      </c>
      <c r="U265" s="1184"/>
      <c r="V265" s="1184"/>
      <c r="W265" s="1184"/>
      <c r="X265" s="2032"/>
      <c r="Y265" s="1184"/>
      <c r="Z265" s="2012"/>
      <c r="AA265" s="1184"/>
      <c r="AB265" s="217" t="s">
        <v>968</v>
      </c>
      <c r="AC265" s="682" t="s">
        <v>2092</v>
      </c>
      <c r="AD265" s="218" t="s">
        <v>831</v>
      </c>
      <c r="AE265" s="1567"/>
      <c r="AF265" s="1567"/>
      <c r="AG265" s="1567"/>
      <c r="AH265" s="855">
        <f t="shared" si="48"/>
        <v>0</v>
      </c>
      <c r="AI265" s="1568"/>
      <c r="AJ265" s="1568"/>
      <c r="AK265" s="1160"/>
      <c r="AL265" s="1160"/>
      <c r="AM265" s="1160"/>
      <c r="AN265" s="1160"/>
      <c r="AO265" s="1160"/>
      <c r="AP265" s="1160"/>
      <c r="AQ265" s="1568"/>
      <c r="AR265" s="1568"/>
      <c r="AS265" s="1568"/>
      <c r="AT265" s="1568"/>
      <c r="AU265" s="1160"/>
      <c r="AV265" s="1160"/>
      <c r="AW265" s="1160"/>
      <c r="AX265" s="1160"/>
      <c r="AY265" s="1160"/>
      <c r="AZ265" s="1160"/>
      <c r="BA265" s="1568"/>
      <c r="BB265" s="1568"/>
      <c r="BC265" s="1568"/>
      <c r="BD265" s="855">
        <f t="shared" si="50"/>
        <v>0</v>
      </c>
      <c r="BE265" s="855">
        <f t="shared" si="51"/>
        <v>0</v>
      </c>
      <c r="BF265" s="855">
        <f t="shared" si="52"/>
        <v>0</v>
      </c>
      <c r="BG265" s="855">
        <f t="shared" si="53"/>
        <v>0</v>
      </c>
      <c r="BH265" s="855">
        <f t="shared" si="54"/>
        <v>0</v>
      </c>
      <c r="BI265" s="855">
        <f t="shared" si="55"/>
        <v>0</v>
      </c>
      <c r="BJ265" s="855">
        <f t="shared" si="56"/>
        <v>0</v>
      </c>
      <c r="BK265" s="855">
        <f t="shared" si="57"/>
        <v>0</v>
      </c>
      <c r="BL265" s="855">
        <f t="shared" si="58"/>
        <v>0</v>
      </c>
      <c r="BM265" s="855">
        <f t="shared" si="59"/>
        <v>0</v>
      </c>
      <c r="BN265" s="1581"/>
      <c r="BO265" s="1581"/>
      <c r="BP265" s="1581"/>
      <c r="BQ265" s="1184"/>
      <c r="BR265" s="1184"/>
      <c r="BS265" s="973" t="s">
        <v>2093</v>
      </c>
      <c r="BT265" s="973"/>
      <c r="BU265" s="973"/>
      <c r="BV265" s="888"/>
      <c r="BW265" s="888"/>
    </row>
    <row r="266" spans="1:75" s="1334" customFormat="1" ht="14.25" customHeight="1" x14ac:dyDescent="0.15">
      <c r="A266" s="1184"/>
      <c r="B266" s="354" t="b">
        <f>AND(method_reg="Метод индексации",STATUS_GO="да")</f>
        <v>1</v>
      </c>
      <c r="C266" s="1184"/>
      <c r="D266" s="1184"/>
      <c r="E266" s="626">
        <v>15</v>
      </c>
      <c r="F266" s="3" t="str" cm="1">
        <f t="array" aca="1" ref="F266" ca="1">OFFSET(E266,-1,1)</f>
        <v>1</v>
      </c>
      <c r="G266" s="77" t="s">
        <v>1796</v>
      </c>
      <c r="H266" s="1184"/>
      <c r="I266" s="77" t="s">
        <v>544</v>
      </c>
      <c r="J266" s="1184"/>
      <c r="K266" s="77" t="s">
        <v>544</v>
      </c>
      <c r="L266" s="889" t="s">
        <v>606</v>
      </c>
      <c r="M266" s="26"/>
      <c r="N266" s="1184"/>
      <c r="O266" s="1184"/>
      <c r="P266" s="1184"/>
      <c r="Q266" s="1184"/>
      <c r="R266" s="1184"/>
      <c r="S266" s="1184"/>
      <c r="T266" s="388" t="b" cm="1">
        <f t="array" aca="1" ref="T266" ca="1">T265</f>
        <v>1</v>
      </c>
      <c r="U266" s="1184"/>
      <c r="V266" s="1184"/>
      <c r="W266" s="1184"/>
      <c r="X266" s="2032"/>
      <c r="Y266" s="1184"/>
      <c r="Z266" s="2012"/>
      <c r="AA266" s="1184"/>
      <c r="AB266" s="217" t="s">
        <v>446</v>
      </c>
      <c r="AC266" s="374" t="s">
        <v>1796</v>
      </c>
      <c r="AD266" s="218" t="s">
        <v>831</v>
      </c>
      <c r="AE266" s="1567">
        <v>2192.86</v>
      </c>
      <c r="AF266" s="1567"/>
      <c r="AG266" s="1567">
        <v>1030.8800000000001</v>
      </c>
      <c r="AH266" s="855">
        <f t="shared" si="48"/>
        <v>1030.8800000000001</v>
      </c>
      <c r="AI266" s="1568">
        <v>2254.09</v>
      </c>
      <c r="AJ266" s="1568"/>
      <c r="AK266" s="1160"/>
      <c r="AL266" s="1160"/>
      <c r="AM266" s="1160"/>
      <c r="AN266" s="1160"/>
      <c r="AO266" s="1160"/>
      <c r="AP266" s="1160"/>
      <c r="AQ266" s="1568"/>
      <c r="AR266" s="1568"/>
      <c r="AS266" s="1568"/>
      <c r="AT266" s="1568">
        <v>2358.5100000000002</v>
      </c>
      <c r="AU266" s="1160"/>
      <c r="AV266" s="1160"/>
      <c r="AW266" s="1160"/>
      <c r="AX266" s="1160"/>
      <c r="AY266" s="1160"/>
      <c r="AZ266" s="1160"/>
      <c r="BA266" s="1568"/>
      <c r="BB266" s="1568"/>
      <c r="BC266" s="1568"/>
      <c r="BD266" s="855">
        <f t="shared" si="50"/>
        <v>4.6324680913361966</v>
      </c>
      <c r="BE266" s="855">
        <f t="shared" si="51"/>
        <v>-100</v>
      </c>
      <c r="BF266" s="855">
        <f t="shared" si="52"/>
        <v>0</v>
      </c>
      <c r="BG266" s="855">
        <f t="shared" si="53"/>
        <v>0</v>
      </c>
      <c r="BH266" s="855">
        <f t="shared" si="54"/>
        <v>0</v>
      </c>
      <c r="BI266" s="855">
        <f t="shared" si="55"/>
        <v>0</v>
      </c>
      <c r="BJ266" s="855">
        <f t="shared" si="56"/>
        <v>0</v>
      </c>
      <c r="BK266" s="855">
        <f t="shared" si="57"/>
        <v>0</v>
      </c>
      <c r="BL266" s="855">
        <f t="shared" si="58"/>
        <v>0</v>
      </c>
      <c r="BM266" s="855">
        <f t="shared" si="59"/>
        <v>0</v>
      </c>
      <c r="BN266" s="1581"/>
      <c r="BO266" s="1581" t="s">
        <v>2212</v>
      </c>
      <c r="BP266" s="1581" t="s">
        <v>2213</v>
      </c>
      <c r="BQ266" s="1184"/>
      <c r="BR266" s="1184"/>
      <c r="BS266" s="973" t="s">
        <v>1797</v>
      </c>
      <c r="BT266" s="973"/>
      <c r="BU266" s="973"/>
      <c r="BV266" s="888"/>
      <c r="BW266" s="888"/>
    </row>
    <row r="267" spans="1:75" s="1334" customFormat="1" ht="14.25" hidden="1" customHeight="1" x14ac:dyDescent="0.15">
      <c r="A267" s="1184"/>
      <c r="B267" s="884" t="b">
        <f>method_reg="Метод обеспечения доходности инвестированного капитала"</f>
        <v>0</v>
      </c>
      <c r="C267" s="1184"/>
      <c r="D267" s="1184"/>
      <c r="E267" s="626">
        <v>15</v>
      </c>
      <c r="F267" s="3" t="str" cm="1">
        <f t="array" aca="1" ref="F267" ca="1">OFFSET(E267,-1,1)</f>
        <v>1</v>
      </c>
      <c r="G267" s="1184"/>
      <c r="H267" s="1184"/>
      <c r="I267" s="1184"/>
      <c r="J267" s="1184"/>
      <c r="K267" s="26" t="s">
        <v>335</v>
      </c>
      <c r="L267" s="889"/>
      <c r="M267" s="26"/>
      <c r="N267" s="1184"/>
      <c r="O267" s="1184"/>
      <c r="P267" s="1184"/>
      <c r="Q267" s="1184"/>
      <c r="R267" s="1184"/>
      <c r="S267" s="1184"/>
      <c r="T267" s="388" t="b" cm="1">
        <f t="array" aca="1" ref="T267" ca="1">T266</f>
        <v>1</v>
      </c>
      <c r="U267" s="1184"/>
      <c r="V267" s="1184"/>
      <c r="W267" s="1184"/>
      <c r="X267" s="2032"/>
      <c r="Y267" s="1184"/>
      <c r="Z267" s="2012"/>
      <c r="AA267" s="1184"/>
      <c r="AB267" s="712" t="s">
        <v>441</v>
      </c>
      <c r="AC267" s="713" t="s">
        <v>2094</v>
      </c>
      <c r="AD267" s="714" t="s">
        <v>831</v>
      </c>
      <c r="AE267" s="1153"/>
      <c r="AF267" s="1153"/>
      <c r="AG267" s="1153"/>
      <c r="AH267" s="681">
        <f t="shared" si="48"/>
        <v>0</v>
      </c>
      <c r="AI267" s="1153"/>
      <c r="AJ267" s="1516"/>
      <c r="AK267" s="1153"/>
      <c r="AL267" s="1153"/>
      <c r="AM267" s="1153"/>
      <c r="AN267" s="1153"/>
      <c r="AO267" s="1153"/>
      <c r="AP267" s="1153"/>
      <c r="AQ267" s="1153"/>
      <c r="AR267" s="1153"/>
      <c r="AS267" s="1153"/>
      <c r="AT267" s="1516"/>
      <c r="AU267" s="1153"/>
      <c r="AV267" s="1153"/>
      <c r="AW267" s="1153"/>
      <c r="AX267" s="1153"/>
      <c r="AY267" s="1153"/>
      <c r="AZ267" s="1153"/>
      <c r="BA267" s="1153"/>
      <c r="BB267" s="1153"/>
      <c r="BC267" s="1153"/>
      <c r="BD267" s="681">
        <f t="shared" si="50"/>
        <v>0</v>
      </c>
      <c r="BE267" s="681">
        <f t="shared" si="51"/>
        <v>0</v>
      </c>
      <c r="BF267" s="681">
        <f t="shared" si="52"/>
        <v>0</v>
      </c>
      <c r="BG267" s="681">
        <f t="shared" si="53"/>
        <v>0</v>
      </c>
      <c r="BH267" s="681">
        <f t="shared" si="54"/>
        <v>0</v>
      </c>
      <c r="BI267" s="681">
        <f t="shared" si="55"/>
        <v>0</v>
      </c>
      <c r="BJ267" s="681">
        <f t="shared" si="56"/>
        <v>0</v>
      </c>
      <c r="BK267" s="681">
        <f t="shared" si="57"/>
        <v>0</v>
      </c>
      <c r="BL267" s="681">
        <f t="shared" si="58"/>
        <v>0</v>
      </c>
      <c r="BM267" s="681">
        <f t="shared" si="59"/>
        <v>0</v>
      </c>
      <c r="BN267" s="1154"/>
      <c r="BO267" s="1154"/>
      <c r="BP267" s="1154"/>
      <c r="BQ267" s="1184"/>
      <c r="BR267" s="1184"/>
      <c r="BS267" s="973" t="s">
        <v>2095</v>
      </c>
      <c r="BT267" s="973"/>
      <c r="BU267" s="973"/>
      <c r="BV267" s="888"/>
      <c r="BW267" s="888"/>
    </row>
    <row r="268" spans="1:75" s="1334" customFormat="1" ht="14.25" hidden="1" customHeight="1" x14ac:dyDescent="0.15">
      <c r="A268" s="1184"/>
      <c r="B268" s="884" t="b" cm="1">
        <f t="array" ref="B268">B267</f>
        <v>0</v>
      </c>
      <c r="C268" s="1184"/>
      <c r="D268" s="1184"/>
      <c r="E268" s="626">
        <v>15</v>
      </c>
      <c r="F268" s="3" t="str" cm="1">
        <f t="array" aca="1" ref="F268" ca="1">OFFSET(E268,-1,1)</f>
        <v>1</v>
      </c>
      <c r="G268" s="1184"/>
      <c r="H268" s="1184"/>
      <c r="I268" s="1184"/>
      <c r="J268" s="1184"/>
      <c r="K268" s="26" t="s">
        <v>565</v>
      </c>
      <c r="L268" s="889"/>
      <c r="M268" s="26"/>
      <c r="N268" s="1184"/>
      <c r="O268" s="1184"/>
      <c r="P268" s="1184"/>
      <c r="Q268" s="1184"/>
      <c r="R268" s="1184"/>
      <c r="S268" s="1184"/>
      <c r="T268" s="388" t="b" cm="1">
        <f t="array" aca="1" ref="T268" ca="1">T267</f>
        <v>1</v>
      </c>
      <c r="U268" s="1184"/>
      <c r="V268" s="1184"/>
      <c r="W268" s="1184"/>
      <c r="X268" s="2032"/>
      <c r="Y268" s="1184"/>
      <c r="Z268" s="2012"/>
      <c r="AA268" s="1184"/>
      <c r="AB268" s="715" t="s">
        <v>700</v>
      </c>
      <c r="AC268" s="716" t="s">
        <v>2096</v>
      </c>
      <c r="AD268" s="717" t="s">
        <v>831</v>
      </c>
      <c r="AE268" s="1160"/>
      <c r="AF268" s="1160"/>
      <c r="AG268" s="1160"/>
      <c r="AH268" s="854"/>
      <c r="AI268" s="1160"/>
      <c r="AJ268" s="1568"/>
      <c r="AK268" s="1160"/>
      <c r="AL268" s="1160"/>
      <c r="AM268" s="1160"/>
      <c r="AN268" s="1160"/>
      <c r="AO268" s="1160"/>
      <c r="AP268" s="1160"/>
      <c r="AQ268" s="1160"/>
      <c r="AR268" s="1160"/>
      <c r="AS268" s="1160"/>
      <c r="AT268" s="1568"/>
      <c r="AU268" s="1160"/>
      <c r="AV268" s="1160"/>
      <c r="AW268" s="1160"/>
      <c r="AX268" s="1160"/>
      <c r="AY268" s="1160"/>
      <c r="AZ268" s="1160"/>
      <c r="BA268" s="1160"/>
      <c r="BB268" s="1160"/>
      <c r="BC268" s="1160"/>
      <c r="BD268" s="854"/>
      <c r="BE268" s="854"/>
      <c r="BF268" s="854"/>
      <c r="BG268" s="854"/>
      <c r="BH268" s="854"/>
      <c r="BI268" s="854"/>
      <c r="BJ268" s="854"/>
      <c r="BK268" s="854"/>
      <c r="BL268" s="854"/>
      <c r="BM268" s="854"/>
      <c r="BN268" s="1158"/>
      <c r="BO268" s="1158"/>
      <c r="BP268" s="1158"/>
      <c r="BQ268" s="1184"/>
      <c r="BR268" s="1184"/>
      <c r="BS268" s="973" t="s">
        <v>2097</v>
      </c>
      <c r="BT268" s="973"/>
      <c r="BU268" s="973"/>
      <c r="BV268" s="888"/>
      <c r="BW268" s="888"/>
    </row>
    <row r="269" spans="1:75" s="1334" customFormat="1" ht="14.25" hidden="1" customHeight="1" x14ac:dyDescent="0.15">
      <c r="A269" s="1184"/>
      <c r="B269" s="884" t="b" cm="1">
        <f t="array" ref="B269">B268</f>
        <v>0</v>
      </c>
      <c r="C269" s="1184"/>
      <c r="D269" s="1184"/>
      <c r="E269" s="626">
        <v>15</v>
      </c>
      <c r="F269" s="3" t="str" cm="1">
        <f t="array" aca="1" ref="F269" ca="1">OFFSET(E269,-1,1)</f>
        <v>1</v>
      </c>
      <c r="G269" s="1184"/>
      <c r="H269" s="1184"/>
      <c r="I269" s="1184"/>
      <c r="J269" s="1184"/>
      <c r="K269" s="26" t="s">
        <v>569</v>
      </c>
      <c r="L269" s="889"/>
      <c r="M269" s="26"/>
      <c r="N269" s="1184"/>
      <c r="O269" s="1184"/>
      <c r="P269" s="1184"/>
      <c r="Q269" s="1184"/>
      <c r="R269" s="1184"/>
      <c r="S269" s="1184"/>
      <c r="T269" s="388" t="b" cm="1">
        <f t="array" aca="1" ref="T269" ca="1">T268</f>
        <v>1</v>
      </c>
      <c r="U269" s="1184"/>
      <c r="V269" s="1184"/>
      <c r="W269" s="1184"/>
      <c r="X269" s="2032"/>
      <c r="Y269" s="1184"/>
      <c r="Z269" s="2012"/>
      <c r="AA269" s="1184"/>
      <c r="AB269" s="715" t="s">
        <v>703</v>
      </c>
      <c r="AC269" s="716" t="s">
        <v>2098</v>
      </c>
      <c r="AD269" s="717" t="s">
        <v>2099</v>
      </c>
      <c r="AE269" s="1160"/>
      <c r="AF269" s="1160"/>
      <c r="AG269" s="1160"/>
      <c r="AH269" s="854"/>
      <c r="AI269" s="1160"/>
      <c r="AJ269" s="1568"/>
      <c r="AK269" s="1160"/>
      <c r="AL269" s="1160"/>
      <c r="AM269" s="1160"/>
      <c r="AN269" s="1160"/>
      <c r="AO269" s="1160"/>
      <c r="AP269" s="1160"/>
      <c r="AQ269" s="1160"/>
      <c r="AR269" s="1160"/>
      <c r="AS269" s="1160"/>
      <c r="AT269" s="1568"/>
      <c r="AU269" s="1160"/>
      <c r="AV269" s="1160"/>
      <c r="AW269" s="1160"/>
      <c r="AX269" s="1160"/>
      <c r="AY269" s="1160"/>
      <c r="AZ269" s="1160"/>
      <c r="BA269" s="1160"/>
      <c r="BB269" s="1160"/>
      <c r="BC269" s="1160"/>
      <c r="BD269" s="854"/>
      <c r="BE269" s="854"/>
      <c r="BF269" s="854"/>
      <c r="BG269" s="854"/>
      <c r="BH269" s="854"/>
      <c r="BI269" s="854"/>
      <c r="BJ269" s="854"/>
      <c r="BK269" s="854"/>
      <c r="BL269" s="854"/>
      <c r="BM269" s="854"/>
      <c r="BN269" s="1158"/>
      <c r="BO269" s="1158"/>
      <c r="BP269" s="1158"/>
      <c r="BQ269" s="1184"/>
      <c r="BR269" s="1184"/>
      <c r="BS269" s="973" t="s">
        <v>2100</v>
      </c>
      <c r="BT269" s="973"/>
      <c r="BU269" s="973"/>
      <c r="BV269" s="888"/>
      <c r="BW269" s="888"/>
    </row>
    <row r="270" spans="1:75" s="1334" customFormat="1" ht="14.25" hidden="1" customHeight="1" x14ac:dyDescent="0.15">
      <c r="A270" s="1184"/>
      <c r="B270" s="884" t="b" cm="1">
        <f t="array" ref="B270">B269</f>
        <v>0</v>
      </c>
      <c r="C270" s="1184"/>
      <c r="D270" s="1184"/>
      <c r="E270" s="626">
        <v>15</v>
      </c>
      <c r="F270" s="3" t="str" cm="1">
        <f t="array" aca="1" ref="F270" ca="1">OFFSET(E270,-1,1)</f>
        <v>1</v>
      </c>
      <c r="G270" s="1184"/>
      <c r="H270" s="1184"/>
      <c r="I270" s="1184"/>
      <c r="J270" s="1184"/>
      <c r="K270" s="26" t="s">
        <v>334</v>
      </c>
      <c r="L270" s="889"/>
      <c r="M270" s="26"/>
      <c r="N270" s="1184"/>
      <c r="O270" s="1184"/>
      <c r="P270" s="1184"/>
      <c r="Q270" s="1184"/>
      <c r="R270" s="1184"/>
      <c r="S270" s="1184"/>
      <c r="T270" s="388" t="b" cm="1">
        <f t="array" aca="1" ref="T270" ca="1">T269</f>
        <v>1</v>
      </c>
      <c r="U270" s="1184"/>
      <c r="V270" s="1184"/>
      <c r="W270" s="1184"/>
      <c r="X270" s="2032"/>
      <c r="Y270" s="1184"/>
      <c r="Z270" s="2012"/>
      <c r="AA270" s="1184"/>
      <c r="AB270" s="712" t="s">
        <v>444</v>
      </c>
      <c r="AC270" s="713" t="s">
        <v>2101</v>
      </c>
      <c r="AD270" s="714" t="s">
        <v>831</v>
      </c>
      <c r="AE270" s="1153"/>
      <c r="AF270" s="1153"/>
      <c r="AG270" s="1153"/>
      <c r="AH270" s="681">
        <f>AG270-AF270</f>
        <v>0</v>
      </c>
      <c r="AI270" s="1153"/>
      <c r="AJ270" s="1516"/>
      <c r="AK270" s="1153"/>
      <c r="AL270" s="1153"/>
      <c r="AM270" s="1153"/>
      <c r="AN270" s="1153"/>
      <c r="AO270" s="1153"/>
      <c r="AP270" s="1153"/>
      <c r="AQ270" s="1153"/>
      <c r="AR270" s="1153"/>
      <c r="AS270" s="1153"/>
      <c r="AT270" s="1516"/>
      <c r="AU270" s="1153"/>
      <c r="AV270" s="1153"/>
      <c r="AW270" s="1153"/>
      <c r="AX270" s="1153"/>
      <c r="AY270" s="1153"/>
      <c r="AZ270" s="1153"/>
      <c r="BA270" s="1153"/>
      <c r="BB270" s="1153"/>
      <c r="BC270" s="1153"/>
      <c r="BD270" s="681">
        <f>IF(AI270=0,0,(AT270-AI270)/AI270*100)</f>
        <v>0</v>
      </c>
      <c r="BE270" s="681">
        <f t="shared" ref="BE270:BM270" si="64">IF(AT270=0,0,(AU270-AT270)/AT270*100)</f>
        <v>0</v>
      </c>
      <c r="BF270" s="681">
        <f t="shared" si="64"/>
        <v>0</v>
      </c>
      <c r="BG270" s="681">
        <f t="shared" si="64"/>
        <v>0</v>
      </c>
      <c r="BH270" s="681">
        <f t="shared" si="64"/>
        <v>0</v>
      </c>
      <c r="BI270" s="681">
        <f t="shared" si="64"/>
        <v>0</v>
      </c>
      <c r="BJ270" s="681">
        <f t="shared" si="64"/>
        <v>0</v>
      </c>
      <c r="BK270" s="681">
        <f t="shared" si="64"/>
        <v>0</v>
      </c>
      <c r="BL270" s="681">
        <f t="shared" si="64"/>
        <v>0</v>
      </c>
      <c r="BM270" s="681">
        <f t="shared" si="64"/>
        <v>0</v>
      </c>
      <c r="BN270" s="1154"/>
      <c r="BO270" s="1154"/>
      <c r="BP270" s="1154"/>
      <c r="BQ270" s="1184"/>
      <c r="BR270" s="1184"/>
      <c r="BS270" s="973" t="s">
        <v>2102</v>
      </c>
      <c r="BT270" s="973"/>
      <c r="BU270" s="973"/>
      <c r="BV270" s="888"/>
      <c r="BW270" s="888"/>
    </row>
    <row r="271" spans="1:75" s="1334" customFormat="1" ht="14.25" hidden="1" customHeight="1" x14ac:dyDescent="0.15">
      <c r="A271" s="1184"/>
      <c r="B271" s="884" t="b" cm="1">
        <f t="array" ref="B271">B270</f>
        <v>0</v>
      </c>
      <c r="C271" s="1184"/>
      <c r="D271" s="1184"/>
      <c r="E271" s="626">
        <v>15</v>
      </c>
      <c r="F271" s="3" t="str" cm="1">
        <f t="array" aca="1" ref="F271" ca="1">OFFSET(E271,-1,1)</f>
        <v>1</v>
      </c>
      <c r="G271" s="1184"/>
      <c r="H271" s="1184"/>
      <c r="I271" s="1184"/>
      <c r="J271" s="1184"/>
      <c r="K271" s="26" t="s">
        <v>579</v>
      </c>
      <c r="L271" s="889"/>
      <c r="M271" s="26"/>
      <c r="N271" s="1184"/>
      <c r="O271" s="1184"/>
      <c r="P271" s="1184"/>
      <c r="Q271" s="1184"/>
      <c r="R271" s="1184"/>
      <c r="S271" s="1184"/>
      <c r="T271" s="388" t="b" cm="1">
        <f t="array" aca="1" ref="T271" ca="1">T270</f>
        <v>1</v>
      </c>
      <c r="U271" s="1184"/>
      <c r="V271" s="1184"/>
      <c r="W271" s="1184"/>
      <c r="X271" s="2032"/>
      <c r="Y271" s="1184"/>
      <c r="Z271" s="2012"/>
      <c r="AA271" s="1184"/>
      <c r="AB271" s="715" t="s">
        <v>707</v>
      </c>
      <c r="AC271" s="716" t="s">
        <v>2103</v>
      </c>
      <c r="AD271" s="717" t="s">
        <v>831</v>
      </c>
      <c r="AE271" s="1160"/>
      <c r="AF271" s="1160"/>
      <c r="AG271" s="1160"/>
      <c r="AH271" s="854"/>
      <c r="AI271" s="1160"/>
      <c r="AJ271" s="1568"/>
      <c r="AK271" s="1160"/>
      <c r="AL271" s="1160"/>
      <c r="AM271" s="1160"/>
      <c r="AN271" s="1160"/>
      <c r="AO271" s="1160"/>
      <c r="AP271" s="1160"/>
      <c r="AQ271" s="1160"/>
      <c r="AR271" s="1160"/>
      <c r="AS271" s="1160"/>
      <c r="AT271" s="1568"/>
      <c r="AU271" s="1160"/>
      <c r="AV271" s="1160"/>
      <c r="AW271" s="1160"/>
      <c r="AX271" s="1160"/>
      <c r="AY271" s="1160"/>
      <c r="AZ271" s="1160"/>
      <c r="BA271" s="1160"/>
      <c r="BB271" s="1160"/>
      <c r="BC271" s="1160"/>
      <c r="BD271" s="854"/>
      <c r="BE271" s="854"/>
      <c r="BF271" s="854"/>
      <c r="BG271" s="854"/>
      <c r="BH271" s="854"/>
      <c r="BI271" s="854"/>
      <c r="BJ271" s="854"/>
      <c r="BK271" s="854"/>
      <c r="BL271" s="854"/>
      <c r="BM271" s="854"/>
      <c r="BN271" s="1158"/>
      <c r="BO271" s="1158"/>
      <c r="BP271" s="1158"/>
      <c r="BQ271" s="1184"/>
      <c r="BR271" s="1184"/>
      <c r="BS271" s="973" t="s">
        <v>2104</v>
      </c>
      <c r="BT271" s="973"/>
      <c r="BU271" s="973"/>
      <c r="BV271" s="888"/>
      <c r="BW271" s="888"/>
    </row>
    <row r="272" spans="1:75" s="1334" customFormat="1" ht="14.25" hidden="1" customHeight="1" x14ac:dyDescent="0.15">
      <c r="A272" s="1184"/>
      <c r="B272" s="884" t="b" cm="1">
        <f t="array" ref="B272">B271</f>
        <v>0</v>
      </c>
      <c r="C272" s="1184"/>
      <c r="D272" s="1184"/>
      <c r="E272" s="626">
        <v>15</v>
      </c>
      <c r="F272" s="3" t="str" cm="1">
        <f t="array" aca="1" ref="F272" ca="1">OFFSET(E272,-1,1)</f>
        <v>1</v>
      </c>
      <c r="G272" s="1184"/>
      <c r="H272" s="1184"/>
      <c r="I272" s="1184"/>
      <c r="J272" s="1184"/>
      <c r="K272" s="26" t="s">
        <v>583</v>
      </c>
      <c r="L272" s="889"/>
      <c r="M272" s="26"/>
      <c r="N272" s="1184"/>
      <c r="O272" s="1184"/>
      <c r="P272" s="1184"/>
      <c r="Q272" s="1184"/>
      <c r="R272" s="1184"/>
      <c r="S272" s="1184"/>
      <c r="T272" s="388" t="b" cm="1">
        <f t="array" aca="1" ref="T272" ca="1">T271</f>
        <v>1</v>
      </c>
      <c r="U272" s="1184"/>
      <c r="V272" s="1184"/>
      <c r="W272" s="1184"/>
      <c r="X272" s="2032"/>
      <c r="Y272" s="1184"/>
      <c r="Z272" s="2012"/>
      <c r="AA272" s="1184"/>
      <c r="AB272" s="715" t="s">
        <v>710</v>
      </c>
      <c r="AC272" s="716" t="s">
        <v>2105</v>
      </c>
      <c r="AD272" s="717" t="s">
        <v>490</v>
      </c>
      <c r="AE272" s="1160"/>
      <c r="AF272" s="1160"/>
      <c r="AG272" s="1160"/>
      <c r="AH272" s="854"/>
      <c r="AI272" s="1160"/>
      <c r="AJ272" s="1568"/>
      <c r="AK272" s="1160"/>
      <c r="AL272" s="1160"/>
      <c r="AM272" s="1160"/>
      <c r="AN272" s="1160"/>
      <c r="AO272" s="1160"/>
      <c r="AP272" s="1160"/>
      <c r="AQ272" s="1160"/>
      <c r="AR272" s="1160"/>
      <c r="AS272" s="1160"/>
      <c r="AT272" s="1568"/>
      <c r="AU272" s="1160"/>
      <c r="AV272" s="1160"/>
      <c r="AW272" s="1160"/>
      <c r="AX272" s="1160"/>
      <c r="AY272" s="1160"/>
      <c r="AZ272" s="1160"/>
      <c r="BA272" s="1160"/>
      <c r="BB272" s="1160"/>
      <c r="BC272" s="1160"/>
      <c r="BD272" s="854"/>
      <c r="BE272" s="854"/>
      <c r="BF272" s="854"/>
      <c r="BG272" s="854"/>
      <c r="BH272" s="854"/>
      <c r="BI272" s="854"/>
      <c r="BJ272" s="854"/>
      <c r="BK272" s="854"/>
      <c r="BL272" s="854"/>
      <c r="BM272" s="854"/>
      <c r="BN272" s="1158"/>
      <c r="BO272" s="1158"/>
      <c r="BP272" s="1158"/>
      <c r="BQ272" s="1184"/>
      <c r="BR272" s="1184"/>
      <c r="BS272" s="973" t="s">
        <v>2106</v>
      </c>
      <c r="BT272" s="973"/>
      <c r="BU272" s="973"/>
      <c r="BV272" s="888"/>
      <c r="BW272" s="888"/>
    </row>
    <row r="273" spans="1:75" s="1334" customFormat="1" ht="14.25" hidden="1" customHeight="1" x14ac:dyDescent="0.15">
      <c r="A273" s="1184"/>
      <c r="B273" s="884" t="b" cm="1">
        <f t="array" ref="B273">B272</f>
        <v>0</v>
      </c>
      <c r="C273" s="1184"/>
      <c r="D273" s="1184"/>
      <c r="E273" s="626">
        <v>15</v>
      </c>
      <c r="F273" s="3" t="str" cm="1">
        <f t="array" aca="1" ref="F273" ca="1">OFFSET(E273,-1,1)</f>
        <v>1</v>
      </c>
      <c r="G273" s="1184"/>
      <c r="H273" s="1184"/>
      <c r="I273" s="1184"/>
      <c r="J273" s="1184"/>
      <c r="K273" s="26" t="s">
        <v>795</v>
      </c>
      <c r="L273" s="889"/>
      <c r="M273" s="26"/>
      <c r="N273" s="1184"/>
      <c r="O273" s="1184"/>
      <c r="P273" s="1184"/>
      <c r="Q273" s="1184"/>
      <c r="R273" s="1184"/>
      <c r="S273" s="1184"/>
      <c r="T273" s="388" t="b" cm="1">
        <f t="array" aca="1" ref="T273" ca="1">T272</f>
        <v>1</v>
      </c>
      <c r="U273" s="1184"/>
      <c r="V273" s="1184"/>
      <c r="W273" s="1184"/>
      <c r="X273" s="2032"/>
      <c r="Y273" s="1184"/>
      <c r="Z273" s="2012"/>
      <c r="AA273" s="1184"/>
      <c r="AB273" s="715" t="s">
        <v>965</v>
      </c>
      <c r="AC273" s="716" t="s">
        <v>2107</v>
      </c>
      <c r="AD273" s="717" t="s">
        <v>831</v>
      </c>
      <c r="AE273" s="1160"/>
      <c r="AF273" s="1160"/>
      <c r="AG273" s="1160"/>
      <c r="AH273" s="854"/>
      <c r="AI273" s="1160"/>
      <c r="AJ273" s="1568"/>
      <c r="AK273" s="1160"/>
      <c r="AL273" s="1160"/>
      <c r="AM273" s="1160"/>
      <c r="AN273" s="1160"/>
      <c r="AO273" s="1160"/>
      <c r="AP273" s="1160"/>
      <c r="AQ273" s="1160"/>
      <c r="AR273" s="1160"/>
      <c r="AS273" s="1160"/>
      <c r="AT273" s="1568"/>
      <c r="AU273" s="1160"/>
      <c r="AV273" s="1160"/>
      <c r="AW273" s="1160"/>
      <c r="AX273" s="1160"/>
      <c r="AY273" s="1160"/>
      <c r="AZ273" s="1160"/>
      <c r="BA273" s="1160"/>
      <c r="BB273" s="1160"/>
      <c r="BC273" s="1160"/>
      <c r="BD273" s="854"/>
      <c r="BE273" s="854"/>
      <c r="BF273" s="854"/>
      <c r="BG273" s="854"/>
      <c r="BH273" s="854"/>
      <c r="BI273" s="854"/>
      <c r="BJ273" s="854"/>
      <c r="BK273" s="854"/>
      <c r="BL273" s="854"/>
      <c r="BM273" s="854"/>
      <c r="BN273" s="1158"/>
      <c r="BO273" s="1158"/>
      <c r="BP273" s="1158"/>
      <c r="BQ273" s="1184"/>
      <c r="BR273" s="1184"/>
      <c r="BS273" s="973" t="s">
        <v>2108</v>
      </c>
      <c r="BT273" s="973"/>
      <c r="BU273" s="973"/>
      <c r="BV273" s="888"/>
      <c r="BW273" s="888"/>
    </row>
    <row r="274" spans="1:75" s="1334" customFormat="1" ht="14.25" hidden="1" customHeight="1" x14ac:dyDescent="0.15">
      <c r="A274" s="1184"/>
      <c r="B274" s="884" t="b" cm="1">
        <f t="array" ref="B274">B273</f>
        <v>0</v>
      </c>
      <c r="C274" s="1184"/>
      <c r="D274" s="1184"/>
      <c r="E274" s="626">
        <v>15</v>
      </c>
      <c r="F274" s="3" t="str" cm="1">
        <f t="array" aca="1" ref="F274" ca="1">OFFSET(E274,-1,1)</f>
        <v>1</v>
      </c>
      <c r="G274" s="1184"/>
      <c r="H274" s="1184"/>
      <c r="I274" s="1184"/>
      <c r="J274" s="1184"/>
      <c r="K274" s="26" t="s">
        <v>967</v>
      </c>
      <c r="L274" s="889"/>
      <c r="M274" s="26"/>
      <c r="N274" s="1184"/>
      <c r="O274" s="1184"/>
      <c r="P274" s="1184"/>
      <c r="Q274" s="1184"/>
      <c r="R274" s="1184"/>
      <c r="S274" s="1184"/>
      <c r="T274" s="388" t="b" cm="1">
        <f t="array" aca="1" ref="T274" ca="1">T273</f>
        <v>1</v>
      </c>
      <c r="U274" s="1184"/>
      <c r="V274" s="1184"/>
      <c r="W274" s="1184"/>
      <c r="X274" s="2032"/>
      <c r="Y274" s="1184"/>
      <c r="Z274" s="2012"/>
      <c r="AA274" s="1184"/>
      <c r="AB274" s="715" t="s">
        <v>968</v>
      </c>
      <c r="AC274" s="716" t="s">
        <v>2109</v>
      </c>
      <c r="AD274" s="717" t="s">
        <v>831</v>
      </c>
      <c r="AE274" s="1160"/>
      <c r="AF274" s="1160"/>
      <c r="AG274" s="1160"/>
      <c r="AH274" s="854"/>
      <c r="AI274" s="1160"/>
      <c r="AJ274" s="1568"/>
      <c r="AK274" s="1160"/>
      <c r="AL274" s="1160"/>
      <c r="AM274" s="1160"/>
      <c r="AN274" s="1160"/>
      <c r="AO274" s="1160"/>
      <c r="AP274" s="1160"/>
      <c r="AQ274" s="1160"/>
      <c r="AR274" s="1160"/>
      <c r="AS274" s="1160"/>
      <c r="AT274" s="1568"/>
      <c r="AU274" s="1160"/>
      <c r="AV274" s="1160"/>
      <c r="AW274" s="1160"/>
      <c r="AX274" s="1160"/>
      <c r="AY274" s="1160"/>
      <c r="AZ274" s="1160"/>
      <c r="BA274" s="1160"/>
      <c r="BB274" s="1160"/>
      <c r="BC274" s="1160"/>
      <c r="BD274" s="854"/>
      <c r="BE274" s="854"/>
      <c r="BF274" s="854"/>
      <c r="BG274" s="854"/>
      <c r="BH274" s="854"/>
      <c r="BI274" s="854"/>
      <c r="BJ274" s="854"/>
      <c r="BK274" s="854"/>
      <c r="BL274" s="854"/>
      <c r="BM274" s="854"/>
      <c r="BN274" s="1158"/>
      <c r="BO274" s="1158"/>
      <c r="BP274" s="1158"/>
      <c r="BQ274" s="1184"/>
      <c r="BR274" s="1184"/>
      <c r="BS274" s="973" t="s">
        <v>2110</v>
      </c>
      <c r="BT274" s="973"/>
      <c r="BU274" s="973"/>
      <c r="BV274" s="888"/>
      <c r="BW274" s="888"/>
    </row>
    <row r="275" spans="1:75" s="1334" customFormat="1" ht="14.25" hidden="1" customHeight="1" x14ac:dyDescent="0.15">
      <c r="A275" s="1184"/>
      <c r="B275" s="884" t="b" cm="1">
        <f t="array" ref="B275">B274</f>
        <v>0</v>
      </c>
      <c r="C275" s="1184"/>
      <c r="D275" s="1184"/>
      <c r="E275" s="626">
        <v>15</v>
      </c>
      <c r="F275" s="3" t="str" cm="1">
        <f t="array" aca="1" ref="F275" ca="1">OFFSET(E275,-1,1)</f>
        <v>1</v>
      </c>
      <c r="G275" s="1184"/>
      <c r="H275" s="1184"/>
      <c r="I275" s="1184"/>
      <c r="J275" s="1184"/>
      <c r="K275" s="26" t="s">
        <v>2111</v>
      </c>
      <c r="L275" s="889"/>
      <c r="M275" s="26"/>
      <c r="N275" s="1184"/>
      <c r="O275" s="1184"/>
      <c r="P275" s="1184"/>
      <c r="Q275" s="1184"/>
      <c r="R275" s="1184"/>
      <c r="S275" s="1184"/>
      <c r="T275" s="388" t="b" cm="1">
        <f t="array" aca="1" ref="T275" ca="1">T274</f>
        <v>1</v>
      </c>
      <c r="U275" s="1184"/>
      <c r="V275" s="1184"/>
      <c r="W275" s="1184"/>
      <c r="X275" s="2032"/>
      <c r="Y275" s="1184"/>
      <c r="Z275" s="2012"/>
      <c r="AA275" s="1184"/>
      <c r="AB275" s="715" t="s">
        <v>2112</v>
      </c>
      <c r="AC275" s="718" t="s">
        <v>2113</v>
      </c>
      <c r="AD275" s="717" t="s">
        <v>490</v>
      </c>
      <c r="AE275" s="1160"/>
      <c r="AF275" s="1160"/>
      <c r="AG275" s="1160"/>
      <c r="AH275" s="854"/>
      <c r="AI275" s="1160"/>
      <c r="AJ275" s="1568"/>
      <c r="AK275" s="1160"/>
      <c r="AL275" s="1160"/>
      <c r="AM275" s="1160"/>
      <c r="AN275" s="1160"/>
      <c r="AO275" s="1160"/>
      <c r="AP275" s="1160"/>
      <c r="AQ275" s="1160"/>
      <c r="AR275" s="1160"/>
      <c r="AS275" s="1160"/>
      <c r="AT275" s="1568"/>
      <c r="AU275" s="1160"/>
      <c r="AV275" s="1160"/>
      <c r="AW275" s="1160"/>
      <c r="AX275" s="1160"/>
      <c r="AY275" s="1160"/>
      <c r="AZ275" s="1160"/>
      <c r="BA275" s="1160"/>
      <c r="BB275" s="1160"/>
      <c r="BC275" s="1160"/>
      <c r="BD275" s="854"/>
      <c r="BE275" s="854"/>
      <c r="BF275" s="854"/>
      <c r="BG275" s="854"/>
      <c r="BH275" s="854"/>
      <c r="BI275" s="854"/>
      <c r="BJ275" s="854"/>
      <c r="BK275" s="854"/>
      <c r="BL275" s="854"/>
      <c r="BM275" s="854"/>
      <c r="BN275" s="1158"/>
      <c r="BO275" s="1158"/>
      <c r="BP275" s="1158"/>
      <c r="BQ275" s="1184"/>
      <c r="BR275" s="1184"/>
      <c r="BS275" s="973" t="s">
        <v>2114</v>
      </c>
      <c r="BT275" s="973"/>
      <c r="BU275" s="973"/>
      <c r="BV275" s="888"/>
      <c r="BW275" s="888"/>
    </row>
    <row r="276" spans="1:75" s="1334" customFormat="1" ht="14.25" hidden="1" customHeight="1" x14ac:dyDescent="0.15">
      <c r="A276" s="1184"/>
      <c r="B276" s="884" t="b" cm="1">
        <f t="array" ref="B276">B275</f>
        <v>0</v>
      </c>
      <c r="C276" s="1184"/>
      <c r="D276" s="1184"/>
      <c r="E276" s="626">
        <v>15</v>
      </c>
      <c r="F276" s="3" t="str" cm="1">
        <f t="array" aca="1" ref="F276" ca="1">OFFSET(E276,-1,1)</f>
        <v>1</v>
      </c>
      <c r="G276" s="1184"/>
      <c r="H276" s="1184"/>
      <c r="I276" s="1184"/>
      <c r="J276" s="1184"/>
      <c r="K276" s="26" t="s">
        <v>970</v>
      </c>
      <c r="L276" s="889"/>
      <c r="M276" s="26"/>
      <c r="N276" s="1184"/>
      <c r="O276" s="1184"/>
      <c r="P276" s="1184"/>
      <c r="Q276" s="1184"/>
      <c r="R276" s="1184"/>
      <c r="S276" s="1184"/>
      <c r="T276" s="388" t="b" cm="1">
        <f t="array" aca="1" ref="T276" ca="1">T275</f>
        <v>1</v>
      </c>
      <c r="U276" s="1184"/>
      <c r="V276" s="1184"/>
      <c r="W276" s="1184"/>
      <c r="X276" s="2032"/>
      <c r="Y276" s="1184"/>
      <c r="Z276" s="2012"/>
      <c r="AA276" s="1184"/>
      <c r="AB276" s="715" t="s">
        <v>971</v>
      </c>
      <c r="AC276" s="716" t="s">
        <v>2115</v>
      </c>
      <c r="AD276" s="717" t="s">
        <v>490</v>
      </c>
      <c r="AE276" s="1160"/>
      <c r="AF276" s="1160"/>
      <c r="AG276" s="1160"/>
      <c r="AH276" s="854"/>
      <c r="AI276" s="1160"/>
      <c r="AJ276" s="1568"/>
      <c r="AK276" s="1160"/>
      <c r="AL276" s="1160"/>
      <c r="AM276" s="1160"/>
      <c r="AN276" s="1160"/>
      <c r="AO276" s="1160"/>
      <c r="AP276" s="1160"/>
      <c r="AQ276" s="1160"/>
      <c r="AR276" s="1160"/>
      <c r="AS276" s="1160"/>
      <c r="AT276" s="1568"/>
      <c r="AU276" s="1160"/>
      <c r="AV276" s="1160"/>
      <c r="AW276" s="1160"/>
      <c r="AX276" s="1160"/>
      <c r="AY276" s="1160"/>
      <c r="AZ276" s="1160"/>
      <c r="BA276" s="1160"/>
      <c r="BB276" s="1160"/>
      <c r="BC276" s="1160"/>
      <c r="BD276" s="854"/>
      <c r="BE276" s="854"/>
      <c r="BF276" s="854"/>
      <c r="BG276" s="854"/>
      <c r="BH276" s="854"/>
      <c r="BI276" s="854"/>
      <c r="BJ276" s="854"/>
      <c r="BK276" s="854"/>
      <c r="BL276" s="854"/>
      <c r="BM276" s="854"/>
      <c r="BN276" s="1158"/>
      <c r="BO276" s="1158"/>
      <c r="BP276" s="1158"/>
      <c r="BQ276" s="1184"/>
      <c r="BR276" s="1184"/>
      <c r="BS276" s="973" t="s">
        <v>2116</v>
      </c>
      <c r="BT276" s="973"/>
      <c r="BU276" s="973"/>
      <c r="BV276" s="888"/>
      <c r="BW276" s="888"/>
    </row>
    <row r="277" spans="1:75" s="1334" customFormat="1" ht="14.25" hidden="1" customHeight="1" x14ac:dyDescent="0.15">
      <c r="A277" s="1184"/>
      <c r="B277" s="884" t="b" cm="1">
        <f t="array" ref="B277">B276</f>
        <v>0</v>
      </c>
      <c r="C277" s="1184"/>
      <c r="D277" s="1184"/>
      <c r="E277" s="626">
        <v>15</v>
      </c>
      <c r="F277" s="3" t="str" cm="1">
        <f t="array" aca="1" ref="F277" ca="1">OFFSET(E277,-1,1)</f>
        <v>1</v>
      </c>
      <c r="G277" s="1184"/>
      <c r="H277" s="1184"/>
      <c r="I277" s="1184"/>
      <c r="J277" s="1184"/>
      <c r="K277" s="26" t="s">
        <v>2117</v>
      </c>
      <c r="L277" s="889"/>
      <c r="M277" s="26"/>
      <c r="N277" s="1184"/>
      <c r="O277" s="1184"/>
      <c r="P277" s="1184"/>
      <c r="Q277" s="1184"/>
      <c r="R277" s="1184"/>
      <c r="S277" s="1184"/>
      <c r="T277" s="388" t="b" cm="1">
        <f t="array" aca="1" ref="T277" ca="1">T276</f>
        <v>1</v>
      </c>
      <c r="U277" s="1184"/>
      <c r="V277" s="1184"/>
      <c r="W277" s="1184"/>
      <c r="X277" s="2032"/>
      <c r="Y277" s="1184"/>
      <c r="Z277" s="2012"/>
      <c r="AA277" s="1184"/>
      <c r="AB277" s="715" t="s">
        <v>2118</v>
      </c>
      <c r="AC277" s="718" t="s">
        <v>2119</v>
      </c>
      <c r="AD277" s="717" t="s">
        <v>490</v>
      </c>
      <c r="AE277" s="1160"/>
      <c r="AF277" s="1160"/>
      <c r="AG277" s="1160"/>
      <c r="AH277" s="854"/>
      <c r="AI277" s="1160"/>
      <c r="AJ277" s="1568"/>
      <c r="AK277" s="1160"/>
      <c r="AL277" s="1160"/>
      <c r="AM277" s="1160"/>
      <c r="AN277" s="1160"/>
      <c r="AO277" s="1160"/>
      <c r="AP277" s="1160"/>
      <c r="AQ277" s="1160"/>
      <c r="AR277" s="1160"/>
      <c r="AS277" s="1160"/>
      <c r="AT277" s="1568"/>
      <c r="AU277" s="1160"/>
      <c r="AV277" s="1160"/>
      <c r="AW277" s="1160"/>
      <c r="AX277" s="1160"/>
      <c r="AY277" s="1160"/>
      <c r="AZ277" s="1160"/>
      <c r="BA277" s="1160"/>
      <c r="BB277" s="1160"/>
      <c r="BC277" s="1160"/>
      <c r="BD277" s="854"/>
      <c r="BE277" s="854"/>
      <c r="BF277" s="854"/>
      <c r="BG277" s="854"/>
      <c r="BH277" s="854"/>
      <c r="BI277" s="854"/>
      <c r="BJ277" s="854"/>
      <c r="BK277" s="854"/>
      <c r="BL277" s="854"/>
      <c r="BM277" s="854"/>
      <c r="BN277" s="1158"/>
      <c r="BO277" s="1158"/>
      <c r="BP277" s="1158"/>
      <c r="BQ277" s="1184"/>
      <c r="BR277" s="1184"/>
      <c r="BS277" s="973" t="s">
        <v>2120</v>
      </c>
      <c r="BT277" s="973"/>
      <c r="BU277" s="973"/>
      <c r="BV277" s="888"/>
      <c r="BW277" s="888"/>
    </row>
    <row r="278" spans="1:75" s="1334" customFormat="1" ht="14.25" hidden="1" customHeight="1" x14ac:dyDescent="0.15">
      <c r="A278" s="1184"/>
      <c r="B278" s="884" t="b" cm="1">
        <f t="array" ref="B278">B277</f>
        <v>0</v>
      </c>
      <c r="C278" s="1184"/>
      <c r="D278" s="1184"/>
      <c r="E278" s="626">
        <v>15</v>
      </c>
      <c r="F278" s="3" t="str" cm="1">
        <f t="array" aca="1" ref="F278" ca="1">OFFSET(E278,-1,1)</f>
        <v>1</v>
      </c>
      <c r="G278" s="1184"/>
      <c r="H278" s="1184"/>
      <c r="I278" s="1184"/>
      <c r="J278" s="1184"/>
      <c r="K278" s="26" t="s">
        <v>2121</v>
      </c>
      <c r="L278" s="889"/>
      <c r="M278" s="26"/>
      <c r="N278" s="1184"/>
      <c r="O278" s="1184"/>
      <c r="P278" s="1184"/>
      <c r="Q278" s="1184"/>
      <c r="R278" s="1184"/>
      <c r="S278" s="1184"/>
      <c r="T278" s="388" t="b" cm="1">
        <f t="array" aca="1" ref="T278" ca="1">T277</f>
        <v>1</v>
      </c>
      <c r="U278" s="1184"/>
      <c r="V278" s="1184"/>
      <c r="W278" s="1184"/>
      <c r="X278" s="2032"/>
      <c r="Y278" s="1184"/>
      <c r="Z278" s="2012"/>
      <c r="AA278" s="1184"/>
      <c r="AB278" s="715" t="s">
        <v>2122</v>
      </c>
      <c r="AC278" s="718" t="s">
        <v>2123</v>
      </c>
      <c r="AD278" s="717" t="s">
        <v>490</v>
      </c>
      <c r="AE278" s="1160"/>
      <c r="AF278" s="1160"/>
      <c r="AG278" s="1160"/>
      <c r="AH278" s="854"/>
      <c r="AI278" s="1160"/>
      <c r="AJ278" s="1568"/>
      <c r="AK278" s="1160"/>
      <c r="AL278" s="1160"/>
      <c r="AM278" s="1160"/>
      <c r="AN278" s="1160"/>
      <c r="AO278" s="1160"/>
      <c r="AP278" s="1160"/>
      <c r="AQ278" s="1160"/>
      <c r="AR278" s="1160"/>
      <c r="AS278" s="1160"/>
      <c r="AT278" s="1568"/>
      <c r="AU278" s="1160"/>
      <c r="AV278" s="1160"/>
      <c r="AW278" s="1160"/>
      <c r="AX278" s="1160"/>
      <c r="AY278" s="1160"/>
      <c r="AZ278" s="1160"/>
      <c r="BA278" s="1160"/>
      <c r="BB278" s="1160"/>
      <c r="BC278" s="1160"/>
      <c r="BD278" s="854"/>
      <c r="BE278" s="854"/>
      <c r="BF278" s="854"/>
      <c r="BG278" s="854"/>
      <c r="BH278" s="854"/>
      <c r="BI278" s="854"/>
      <c r="BJ278" s="854"/>
      <c r="BK278" s="854"/>
      <c r="BL278" s="854"/>
      <c r="BM278" s="854"/>
      <c r="BN278" s="1158"/>
      <c r="BO278" s="1158"/>
      <c r="BP278" s="1158"/>
      <c r="BQ278" s="1184"/>
      <c r="BR278" s="1184"/>
      <c r="BS278" s="973" t="s">
        <v>2124</v>
      </c>
      <c r="BT278" s="973"/>
      <c r="BU278" s="973"/>
      <c r="BV278" s="888"/>
      <c r="BW278" s="888"/>
    </row>
    <row r="279" spans="1:75" s="1590" customFormat="1" ht="20.45" customHeight="1" x14ac:dyDescent="0.15">
      <c r="A279" s="623"/>
      <c r="B279" s="357"/>
      <c r="C279" s="623"/>
      <c r="D279" s="28" t="str">
        <f>IF(B278,"6","7")</f>
        <v>7</v>
      </c>
      <c r="E279" s="630">
        <v>21</v>
      </c>
      <c r="F279" s="3" t="str" cm="1">
        <f t="array" aca="1" ref="F279" ca="1">OFFSET(E279,-1,1)</f>
        <v>1</v>
      </c>
      <c r="G279" s="77" t="s">
        <v>2125</v>
      </c>
      <c r="H279" s="77"/>
      <c r="I279" s="296" t="s">
        <v>2126</v>
      </c>
      <c r="J279" s="623"/>
      <c r="K279" s="296" t="s">
        <v>2126</v>
      </c>
      <c r="L279" s="894"/>
      <c r="M279" s="28"/>
      <c r="N279" s="623"/>
      <c r="O279" s="623"/>
      <c r="P279" s="623"/>
      <c r="Q279" s="623"/>
      <c r="R279" s="623"/>
      <c r="S279" s="623"/>
      <c r="T279" s="388" t="b" cm="1">
        <f t="array" aca="1" ref="T279" ca="1">T278</f>
        <v>1</v>
      </c>
      <c r="U279" s="623"/>
      <c r="V279" s="623"/>
      <c r="W279" s="623"/>
      <c r="X279" s="2032"/>
      <c r="Y279" s="623"/>
      <c r="Z279" s="2012"/>
      <c r="AA279" s="623"/>
      <c r="AB279" s="130" t="str" cm="1">
        <f t="array" ref="AB279">D279</f>
        <v>7</v>
      </c>
      <c r="AC279" s="138" t="s">
        <v>1557</v>
      </c>
      <c r="AD279" s="130" t="s">
        <v>831</v>
      </c>
      <c r="AE279" s="1518"/>
      <c r="AF279" s="1518"/>
      <c r="AG279" s="1518">
        <v>-8692.23</v>
      </c>
      <c r="AH279" s="681">
        <f>AG279-AF279</f>
        <v>-8692.23</v>
      </c>
      <c r="AI279" s="1516"/>
      <c r="AJ279" s="1568"/>
      <c r="AK279" s="1153"/>
      <c r="AL279" s="1153"/>
      <c r="AM279" s="1153"/>
      <c r="AN279" s="1153"/>
      <c r="AO279" s="1153"/>
      <c r="AP279" s="1153"/>
      <c r="AQ279" s="1516"/>
      <c r="AR279" s="1516"/>
      <c r="AS279" s="1516"/>
      <c r="AT279" s="1568">
        <f ca="1">AT281+AT282+AT283+AT286+AT287+AT290+AT291</f>
        <v>-9753.7400000000125</v>
      </c>
      <c r="AU279" s="1153"/>
      <c r="AV279" s="1153"/>
      <c r="AW279" s="1153"/>
      <c r="AX279" s="1153"/>
      <c r="AY279" s="1153"/>
      <c r="AZ279" s="1153"/>
      <c r="BA279" s="1516"/>
      <c r="BB279" s="1516"/>
      <c r="BC279" s="1516"/>
      <c r="BD279" s="681">
        <f>IF(AI279=0,0,(AT279-AI279)/AI279*100)</f>
        <v>0</v>
      </c>
      <c r="BE279" s="681">
        <f t="shared" ref="BE279:BM279" ca="1" si="65">IF(AT279=0,0,(AU279-AT279)/AT279*100)</f>
        <v>-100</v>
      </c>
      <c r="BF279" s="681">
        <f t="shared" si="65"/>
        <v>0</v>
      </c>
      <c r="BG279" s="681">
        <f t="shared" si="65"/>
        <v>0</v>
      </c>
      <c r="BH279" s="681">
        <f t="shared" si="65"/>
        <v>0</v>
      </c>
      <c r="BI279" s="681">
        <f t="shared" si="65"/>
        <v>0</v>
      </c>
      <c r="BJ279" s="681">
        <f t="shared" si="65"/>
        <v>0</v>
      </c>
      <c r="BK279" s="681">
        <f t="shared" si="65"/>
        <v>0</v>
      </c>
      <c r="BL279" s="681">
        <f t="shared" si="65"/>
        <v>0</v>
      </c>
      <c r="BM279" s="681">
        <f t="shared" si="65"/>
        <v>0</v>
      </c>
      <c r="BN279" s="1524"/>
      <c r="BO279" s="1576" t="str">
        <f ca="1">IF(IFERROR(INDEX('Корректировка НВВ'!$K$26:$L$180,MATCH($F279&amp;"11komm",'Корректировка НВВ'!$K$26:$K$180,0),2),"")=0,"",IFERROR(INDEX('Корректировка НВВ'!$K$26:$L$180,MATCH($F279&amp;"11komm",'Корректировка НВВ'!$K$26:$K$180,0),2),""))</f>
        <v/>
      </c>
      <c r="BP279" s="1524"/>
      <c r="BQ279" s="623"/>
      <c r="BR279" s="623"/>
      <c r="BS279" s="979" t="s">
        <v>2127</v>
      </c>
      <c r="BT279" s="979"/>
      <c r="BU279" s="979"/>
      <c r="BV279" s="630"/>
      <c r="BW279" s="630"/>
    </row>
    <row r="280" spans="1:75" s="1334" customFormat="1" ht="14.25" customHeight="1" x14ac:dyDescent="0.15">
      <c r="A280" s="1184"/>
      <c r="B280" s="887"/>
      <c r="C280" s="1184"/>
      <c r="D280" s="26" t="str" cm="1">
        <f t="array" ref="D280">D279</f>
        <v>7</v>
      </c>
      <c r="E280" s="626">
        <v>15</v>
      </c>
      <c r="F280" s="3" t="str" cm="1">
        <f t="array" aca="1" ref="F280" ca="1">OFFSET(E280,-1,1)</f>
        <v>1</v>
      </c>
      <c r="G280" s="1184"/>
      <c r="H280" s="1184"/>
      <c r="I280" s="1184"/>
      <c r="J280" s="1184"/>
      <c r="K280" s="1184"/>
      <c r="L280" s="889"/>
      <c r="M280" s="26"/>
      <c r="N280" s="1184"/>
      <c r="O280" s="1184"/>
      <c r="P280" s="1184"/>
      <c r="Q280" s="1184"/>
      <c r="R280" s="1184"/>
      <c r="S280" s="1184"/>
      <c r="T280" s="388" t="b" cm="1">
        <f t="array" aca="1" ref="T280" ca="1">T279</f>
        <v>1</v>
      </c>
      <c r="U280" s="1184"/>
      <c r="V280" s="1184"/>
      <c r="W280" s="1184"/>
      <c r="X280" s="2032"/>
      <c r="Y280" s="1184"/>
      <c r="Z280" s="2012"/>
      <c r="AA280" s="1184"/>
      <c r="AB280" s="218"/>
      <c r="AC280" s="374" t="s">
        <v>2128</v>
      </c>
      <c r="AD280" s="218"/>
      <c r="AE280" s="857"/>
      <c r="AF280" s="857"/>
      <c r="AG280" s="857"/>
      <c r="AH280" s="854"/>
      <c r="AI280" s="854"/>
      <c r="AJ280" s="854"/>
      <c r="AK280" s="854"/>
      <c r="AL280" s="854"/>
      <c r="AM280" s="854"/>
      <c r="AN280" s="854"/>
      <c r="AO280" s="854"/>
      <c r="AP280" s="854"/>
      <c r="AQ280" s="854"/>
      <c r="AR280" s="854"/>
      <c r="AS280" s="854"/>
      <c r="AT280" s="854"/>
      <c r="AU280" s="854"/>
      <c r="AV280" s="854"/>
      <c r="AW280" s="854"/>
      <c r="AX280" s="854"/>
      <c r="AY280" s="854"/>
      <c r="AZ280" s="854"/>
      <c r="BA280" s="854"/>
      <c r="BB280" s="854"/>
      <c r="BC280" s="854"/>
      <c r="BD280" s="854"/>
      <c r="BE280" s="854"/>
      <c r="BF280" s="854"/>
      <c r="BG280" s="854"/>
      <c r="BH280" s="854"/>
      <c r="BI280" s="854"/>
      <c r="BJ280" s="854"/>
      <c r="BK280" s="854"/>
      <c r="BL280" s="854"/>
      <c r="BM280" s="854"/>
      <c r="BN280" s="449"/>
      <c r="BO280" s="449"/>
      <c r="BP280" s="449"/>
      <c r="BQ280" s="1184"/>
      <c r="BR280" s="1184"/>
      <c r="BS280" s="973"/>
      <c r="BT280" s="973"/>
      <c r="BU280" s="973"/>
      <c r="BV280" s="888"/>
      <c r="BW280" s="888"/>
    </row>
    <row r="281" spans="1:75" s="1334" customFormat="1" ht="23.25" customHeight="1" x14ac:dyDescent="0.15">
      <c r="A281" s="1184"/>
      <c r="B281" s="887"/>
      <c r="C281" s="1184"/>
      <c r="D281" s="26" t="str" cm="1">
        <f t="array" ref="D281">D280</f>
        <v>7</v>
      </c>
      <c r="E281" s="626">
        <v>22.5</v>
      </c>
      <c r="F281" s="3" t="str" cm="1">
        <f t="array" aca="1" ref="F281" ca="1">OFFSET(E281,-1,1)</f>
        <v>1</v>
      </c>
      <c r="G281" s="77" t="s">
        <v>372</v>
      </c>
      <c r="H281" s="1184"/>
      <c r="I281" s="77" t="s">
        <v>547</v>
      </c>
      <c r="J281" s="1184"/>
      <c r="K281" s="77" t="s">
        <v>547</v>
      </c>
      <c r="L281" s="889"/>
      <c r="M281" s="26"/>
      <c r="N281" s="1184"/>
      <c r="O281" s="1184"/>
      <c r="P281" s="1184"/>
      <c r="Q281" s="1184"/>
      <c r="R281" s="1184"/>
      <c r="S281" s="1184"/>
      <c r="T281" s="388" t="b" cm="1">
        <f t="array" aca="1" ref="T281" ca="1">T280</f>
        <v>1</v>
      </c>
      <c r="U281" s="1184"/>
      <c r="V281" s="1184"/>
      <c r="W281" s="1184"/>
      <c r="X281" s="2032"/>
      <c r="Y281" s="1184"/>
      <c r="Z281" s="2012"/>
      <c r="AA281" s="1184"/>
      <c r="AB281" s="218" t="str">
        <f>D281&amp;".1"</f>
        <v>7.1</v>
      </c>
      <c r="AC281" s="682" t="s">
        <v>2129</v>
      </c>
      <c r="AD281" s="218" t="s">
        <v>831</v>
      </c>
      <c r="AE281" s="1567">
        <v>0</v>
      </c>
      <c r="AF281" s="1567"/>
      <c r="AG281" s="1567"/>
      <c r="AH281" s="855">
        <f t="shared" ref="AH281:AH294" si="66">AG281-AF281</f>
        <v>0</v>
      </c>
      <c r="AI281" s="1568"/>
      <c r="AJ281" s="1568">
        <f ca="1">SUMIFS('Корректировка НВВ'!$AF$25:$AF$180,'Корректировка НВВ'!$F$25:$F$180,$F281,'Корректировка НВВ'!$I$25:$I$180,$G281)</f>
        <v>0</v>
      </c>
      <c r="AK281" s="1160"/>
      <c r="AL281" s="1160"/>
      <c r="AM281" s="1160"/>
      <c r="AN281" s="1160"/>
      <c r="AO281" s="1160"/>
      <c r="AP281" s="1160"/>
      <c r="AQ281" s="1568"/>
      <c r="AR281" s="1568"/>
      <c r="AS281" s="1568"/>
      <c r="AT281" s="1568">
        <f ca="1">SUMIFS('Корректировка НВВ'!$AG$25:$AG$180,'Корректировка НВВ'!$F$25:$F$180,$F281,'Корректировка НВВ'!$I$25:$I$180,$G281)</f>
        <v>0</v>
      </c>
      <c r="AU281" s="1160"/>
      <c r="AV281" s="1160"/>
      <c r="AW281" s="1160"/>
      <c r="AX281" s="1160"/>
      <c r="AY281" s="1160"/>
      <c r="AZ281" s="1160"/>
      <c r="BA281" s="1568"/>
      <c r="BB281" s="1568"/>
      <c r="BC281" s="1568"/>
      <c r="BD281" s="854"/>
      <c r="BE281" s="854"/>
      <c r="BF281" s="854"/>
      <c r="BG281" s="854"/>
      <c r="BH281" s="854"/>
      <c r="BI281" s="854"/>
      <c r="BJ281" s="854"/>
      <c r="BK281" s="854"/>
      <c r="BL281" s="854"/>
      <c r="BM281" s="854"/>
      <c r="BN281" s="1581"/>
      <c r="BO281" s="1576" t="str">
        <f ca="1">IF(IFERROR(INDEX('Корректировка НВВ'!$K$26:$L$180,MATCH($F281&amp;"1komm",'Корректировка НВВ'!$K$26:$K$180,0),2),"")=0,"",IFERROR(INDEX('Корректировка НВВ'!$K$26:$L$180,MATCH($F281&amp;"1komm",'Корректировка НВВ'!$K$26:$K$180,0),2),""))</f>
        <v/>
      </c>
      <c r="BP281" s="1581"/>
      <c r="BQ281" s="1184"/>
      <c r="BR281" s="1184"/>
      <c r="BS281" s="973" t="s">
        <v>2130</v>
      </c>
      <c r="BT281" s="973"/>
      <c r="BU281" s="973"/>
      <c r="BV281" s="888"/>
      <c r="BW281" s="888"/>
    </row>
    <row r="282" spans="1:75" s="1334" customFormat="1" ht="98.65" customHeight="1" x14ac:dyDescent="0.15">
      <c r="A282" s="1184"/>
      <c r="B282" s="887"/>
      <c r="C282" s="1184"/>
      <c r="D282" s="26" t="str" cm="1">
        <f t="array" ref="D282">D281</f>
        <v>7</v>
      </c>
      <c r="E282" s="626">
        <v>101.25</v>
      </c>
      <c r="F282" s="3" t="str" cm="1">
        <f t="array" aca="1" ref="F282" ca="1">OFFSET(E282,-1,1)</f>
        <v>1</v>
      </c>
      <c r="G282" s="77" t="s">
        <v>2131</v>
      </c>
      <c r="H282" s="1184"/>
      <c r="I282" s="77" t="s">
        <v>591</v>
      </c>
      <c r="J282" s="1184"/>
      <c r="K282" s="77" t="s">
        <v>591</v>
      </c>
      <c r="L282" s="889"/>
      <c r="M282" s="26"/>
      <c r="N282" s="1184"/>
      <c r="O282" s="1184"/>
      <c r="P282" s="1184"/>
      <c r="Q282" s="1184"/>
      <c r="R282" s="1184"/>
      <c r="S282" s="1184"/>
      <c r="T282" s="388" t="b" cm="1">
        <f t="array" aca="1" ref="T282" ca="1">T281</f>
        <v>1</v>
      </c>
      <c r="U282" s="1184"/>
      <c r="V282" s="1184"/>
      <c r="W282" s="1184"/>
      <c r="X282" s="2032"/>
      <c r="Y282" s="1184"/>
      <c r="Z282" s="2012"/>
      <c r="AA282" s="1184"/>
      <c r="AB282" s="218" t="str">
        <f>D282&amp;".2"</f>
        <v>7.2</v>
      </c>
      <c r="AC282" s="682" t="s">
        <v>2132</v>
      </c>
      <c r="AD282" s="218" t="s">
        <v>831</v>
      </c>
      <c r="AE282" s="1567">
        <v>0</v>
      </c>
      <c r="AF282" s="1567"/>
      <c r="AG282" s="1567"/>
      <c r="AH282" s="855">
        <f t="shared" si="66"/>
        <v>0</v>
      </c>
      <c r="AI282" s="1568"/>
      <c r="AJ282" s="1568">
        <f ca="1">SUMIFS('Корректировка НВВ'!$AF$25:$AF$180,'Корректировка НВВ'!$F$25:$F$180,$F282,'Корректировка НВВ'!$I$25:$I$180,$G282)</f>
        <v>0</v>
      </c>
      <c r="AK282" s="1160"/>
      <c r="AL282" s="1160"/>
      <c r="AM282" s="1160"/>
      <c r="AN282" s="1160"/>
      <c r="AO282" s="1160"/>
      <c r="AP282" s="1160"/>
      <c r="AQ282" s="1568"/>
      <c r="AR282" s="1568"/>
      <c r="AS282" s="1568"/>
      <c r="AT282" s="1568">
        <v>-6722.61</v>
      </c>
      <c r="AU282" s="1160"/>
      <c r="AV282" s="1160"/>
      <c r="AW282" s="1160"/>
      <c r="AX282" s="1160"/>
      <c r="AY282" s="1160"/>
      <c r="AZ282" s="1160"/>
      <c r="BA282" s="1568"/>
      <c r="BB282" s="1568"/>
      <c r="BC282" s="1568"/>
      <c r="BD282" s="854"/>
      <c r="BE282" s="854"/>
      <c r="BF282" s="854"/>
      <c r="BG282" s="854"/>
      <c r="BH282" s="854"/>
      <c r="BI282" s="854"/>
      <c r="BJ282" s="854"/>
      <c r="BK282" s="854"/>
      <c r="BL282" s="854"/>
      <c r="BM282" s="854"/>
      <c r="BN282" s="1581"/>
      <c r="BO282" s="1576" t="s">
        <v>2214</v>
      </c>
      <c r="BP282" s="1581"/>
      <c r="BQ282" s="1184"/>
      <c r="BR282" s="1184"/>
      <c r="BS282" s="973" t="s">
        <v>2133</v>
      </c>
      <c r="BT282" s="973"/>
      <c r="BU282" s="973"/>
      <c r="BV282" s="888"/>
      <c r="BW282" s="888"/>
    </row>
    <row r="283" spans="1:75" s="1334" customFormat="1" ht="43.9" customHeight="1" x14ac:dyDescent="0.15">
      <c r="A283" s="1184"/>
      <c r="B283" s="887"/>
      <c r="C283" s="1184"/>
      <c r="D283" s="26" t="str" cm="1">
        <f t="array" ref="D283">D282</f>
        <v>7</v>
      </c>
      <c r="E283" s="626">
        <v>45</v>
      </c>
      <c r="F283" s="3" t="str" cm="1">
        <f t="array" aca="1" ref="F283" ca="1">OFFSET(E283,-1,1)</f>
        <v>1</v>
      </c>
      <c r="G283" s="1184"/>
      <c r="H283" s="1184"/>
      <c r="I283" s="77" t="s">
        <v>606</v>
      </c>
      <c r="J283" s="1184"/>
      <c r="K283" s="77" t="s">
        <v>606</v>
      </c>
      <c r="L283" s="889"/>
      <c r="M283" s="26"/>
      <c r="N283" s="1184"/>
      <c r="O283" s="1184"/>
      <c r="P283" s="1184"/>
      <c r="Q283" s="1184"/>
      <c r="R283" s="1184"/>
      <c r="S283" s="1184"/>
      <c r="T283" s="388" t="b" cm="1">
        <f t="array" aca="1" ref="T283" ca="1">T282</f>
        <v>1</v>
      </c>
      <c r="U283" s="1184"/>
      <c r="V283" s="1184"/>
      <c r="W283" s="1184"/>
      <c r="X283" s="2032"/>
      <c r="Y283" s="1184"/>
      <c r="Z283" s="2012"/>
      <c r="AA283" s="1184"/>
      <c r="AB283" s="218" t="str">
        <f>D283&amp;".3"</f>
        <v>7.3</v>
      </c>
      <c r="AC283" s="682" t="s">
        <v>2134</v>
      </c>
      <c r="AD283" s="218" t="s">
        <v>831</v>
      </c>
      <c r="AE283" s="1567"/>
      <c r="AF283" s="1567"/>
      <c r="AG283" s="1567">
        <v>-8692.23</v>
      </c>
      <c r="AH283" s="855">
        <f t="shared" si="66"/>
        <v>-8692.23</v>
      </c>
      <c r="AI283" s="1568"/>
      <c r="AJ283" s="1568"/>
      <c r="AK283" s="1160"/>
      <c r="AL283" s="1160"/>
      <c r="AM283" s="1160"/>
      <c r="AN283" s="1160"/>
      <c r="AO283" s="1160"/>
      <c r="AP283" s="1160"/>
      <c r="AQ283" s="1568"/>
      <c r="AR283" s="1568"/>
      <c r="AS283" s="1568"/>
      <c r="AT283" s="1568">
        <f ca="1">SUMIFS('Корректировка НВВ'!$AG$25:$AG$180,'Корректировка НВВ'!$F$25:$F$180,$F283,'Корректировка НВВ'!$I$25:$I$180,"L1")+SUMIFS('Корректировка НВВ'!$AF$25:$AF$180,'Корректировка НВВ'!$F$25:$F$180,$F283,'Корректировка НВВ'!$I$25:$I$180,"L2")</f>
        <v>9589.0499999999884</v>
      </c>
      <c r="AU283" s="1160"/>
      <c r="AV283" s="1160"/>
      <c r="AW283" s="1160"/>
      <c r="AX283" s="1160"/>
      <c r="AY283" s="1160"/>
      <c r="AZ283" s="1160"/>
      <c r="BA283" s="1568"/>
      <c r="BB283" s="1568"/>
      <c r="BC283" s="1568"/>
      <c r="BD283" s="854"/>
      <c r="BE283" s="854"/>
      <c r="BF283" s="854"/>
      <c r="BG283" s="854"/>
      <c r="BH283" s="854"/>
      <c r="BI283" s="854"/>
      <c r="BJ283" s="854"/>
      <c r="BK283" s="854"/>
      <c r="BL283" s="854"/>
      <c r="BM283" s="854"/>
      <c r="BN283" s="1581"/>
      <c r="BO283" s="1576" t="s">
        <v>2215</v>
      </c>
      <c r="BP283" s="1581"/>
      <c r="BQ283" s="1184"/>
      <c r="BR283" s="1184"/>
      <c r="BS283" s="973" t="s">
        <v>2135</v>
      </c>
      <c r="BT283" s="973"/>
      <c r="BU283" s="973"/>
      <c r="BV283" s="888"/>
      <c r="BW283" s="888"/>
    </row>
    <row r="284" spans="1:75" s="1334" customFormat="1" ht="87.75" hidden="1" customHeight="1" x14ac:dyDescent="0.25">
      <c r="A284" s="1184"/>
      <c r="B284" s="367" t="b">
        <f>S171="Водоотведение"</f>
        <v>0</v>
      </c>
      <c r="C284" s="1184"/>
      <c r="D284" s="26" t="str" cm="1">
        <f t="array" ref="D284">D283</f>
        <v>7</v>
      </c>
      <c r="E284" s="626">
        <v>90</v>
      </c>
      <c r="F284" s="3" t="str" cm="1">
        <f t="array" aca="1" ref="F284" ca="1">OFFSET(E284,-1,1)</f>
        <v>1</v>
      </c>
      <c r="G284" s="77" t="s">
        <v>2136</v>
      </c>
      <c r="H284" s="2"/>
      <c r="I284" s="77" t="s">
        <v>772</v>
      </c>
      <c r="J284" s="1184"/>
      <c r="K284" s="77" t="s">
        <v>772</v>
      </c>
      <c r="L284" s="889" t="s">
        <v>770</v>
      </c>
      <c r="M284" s="26"/>
      <c r="N284" s="1184"/>
      <c r="O284" s="1184"/>
      <c r="P284" s="1184"/>
      <c r="Q284" s="1184"/>
      <c r="R284" s="1184"/>
      <c r="S284" s="1184"/>
      <c r="T284" s="388" t="b" cm="1">
        <f t="array" aca="1" ref="T284" ca="1">T283</f>
        <v>1</v>
      </c>
      <c r="U284" s="1184"/>
      <c r="V284" s="1184"/>
      <c r="W284" s="1184"/>
      <c r="X284" s="2032"/>
      <c r="Y284" s="1184"/>
      <c r="Z284" s="2012"/>
      <c r="AA284" s="1184"/>
      <c r="AB284" s="218" t="str">
        <f>D284&amp;".4"</f>
        <v>7.4</v>
      </c>
      <c r="AC284" s="682" t="s">
        <v>1799</v>
      </c>
      <c r="AD284" s="686" t="s">
        <v>831</v>
      </c>
      <c r="AE284" s="1162"/>
      <c r="AF284" s="1162"/>
      <c r="AG284" s="1162"/>
      <c r="AH284" s="855">
        <f t="shared" si="66"/>
        <v>0</v>
      </c>
      <c r="AI284" s="1160"/>
      <c r="AJ284" s="1568">
        <f ca="1">SUMIFS('Корректировка НВВ'!$AF$25:$AF$180,'Корректировка НВВ'!$F$25:$F$180,$F284,'Корректировка НВВ'!$I$25:$I$180,$G284)</f>
        <v>0</v>
      </c>
      <c r="AK284" s="1160"/>
      <c r="AL284" s="1160"/>
      <c r="AM284" s="1160"/>
      <c r="AN284" s="1160"/>
      <c r="AO284" s="1160"/>
      <c r="AP284" s="1160"/>
      <c r="AQ284" s="1160"/>
      <c r="AR284" s="1160"/>
      <c r="AS284" s="1160"/>
      <c r="AT284" s="1568">
        <f ca="1">SUMIFS('Корректировка НВВ'!$AG$25:$AG$180,'Корректировка НВВ'!$F$25:$F$180,$F284,'Корректировка НВВ'!$I$25:$I$180,$G284)</f>
        <v>0</v>
      </c>
      <c r="AU284" s="1160"/>
      <c r="AV284" s="1160"/>
      <c r="AW284" s="1160"/>
      <c r="AX284" s="1160"/>
      <c r="AY284" s="1160"/>
      <c r="AZ284" s="1160"/>
      <c r="BA284" s="1160"/>
      <c r="BB284" s="1160"/>
      <c r="BC284" s="1160"/>
      <c r="BD284" s="854"/>
      <c r="BE284" s="854"/>
      <c r="BF284" s="854"/>
      <c r="BG284" s="854"/>
      <c r="BH284" s="854"/>
      <c r="BI284" s="854"/>
      <c r="BJ284" s="854"/>
      <c r="BK284" s="854"/>
      <c r="BL284" s="854"/>
      <c r="BM284" s="854"/>
      <c r="BN284" s="1163"/>
      <c r="BO284" s="1161" t="str">
        <f ca="1">IF(IFERROR(INDEX('Корректировка НВВ'!$K$26:$L$180,MATCH($F284&amp;"3komm",'Корректировка НВВ'!$K$26:$K$180,0),2),"")=0,"",IFERROR(INDEX('Корректировка НВВ'!$K$26:$L$180,MATCH($F284&amp;"3komm",'Корректировка НВВ'!$K$26:$K$180,0),2),""))</f>
        <v/>
      </c>
      <c r="BP284" s="1163"/>
      <c r="BQ284" s="1184"/>
      <c r="BR284" s="1184"/>
      <c r="BS284" s="973" t="s">
        <v>1331</v>
      </c>
      <c r="BT284" s="973"/>
      <c r="BU284" s="973"/>
      <c r="BV284" s="888"/>
      <c r="BW284" s="888"/>
    </row>
    <row r="285" spans="1:75" s="1334" customFormat="1" ht="54.75" hidden="1" customHeight="1" x14ac:dyDescent="0.25">
      <c r="A285" s="1184"/>
      <c r="B285" s="367" t="b" cm="1">
        <f t="array" ref="B285">B284</f>
        <v>0</v>
      </c>
      <c r="C285" s="1184"/>
      <c r="D285" s="26" t="str" cm="1">
        <f t="array" ref="D285">D284</f>
        <v>7</v>
      </c>
      <c r="E285" s="626">
        <v>56.25</v>
      </c>
      <c r="F285" s="3" t="str" cm="1">
        <f t="array" aca="1" ref="F285" ca="1">OFFSET(E285,-1,1)</f>
        <v>1</v>
      </c>
      <c r="G285" s="77" t="s">
        <v>2137</v>
      </c>
      <c r="H285" s="2"/>
      <c r="I285" s="77" t="s">
        <v>809</v>
      </c>
      <c r="J285" s="1184"/>
      <c r="K285" s="77" t="s">
        <v>809</v>
      </c>
      <c r="L285" s="889" t="s">
        <v>772</v>
      </c>
      <c r="M285" s="26"/>
      <c r="N285" s="1184"/>
      <c r="O285" s="1184"/>
      <c r="P285" s="1184"/>
      <c r="Q285" s="1184"/>
      <c r="R285" s="1184"/>
      <c r="S285" s="1184"/>
      <c r="T285" s="388" t="b" cm="1">
        <f t="array" aca="1" ref="T285" ca="1">T284</f>
        <v>1</v>
      </c>
      <c r="U285" s="1184"/>
      <c r="V285" s="1184"/>
      <c r="W285" s="1184"/>
      <c r="X285" s="2032"/>
      <c r="Y285" s="1184"/>
      <c r="Z285" s="2012"/>
      <c r="AA285" s="1184"/>
      <c r="AB285" s="218" t="str">
        <f>D285&amp;".5"</f>
        <v>7.5</v>
      </c>
      <c r="AC285" s="682" t="s">
        <v>1800</v>
      </c>
      <c r="AD285" s="686" t="s">
        <v>831</v>
      </c>
      <c r="AE285" s="1162"/>
      <c r="AF285" s="1162"/>
      <c r="AG285" s="1162"/>
      <c r="AH285" s="855">
        <f t="shared" si="66"/>
        <v>0</v>
      </c>
      <c r="AI285" s="1160"/>
      <c r="AJ285" s="1568">
        <f ca="1">SUMIFS('Корректировка НВВ'!$AF$25:$AF$180,'Корректировка НВВ'!$F$25:$F$180,$F285,'Корректировка НВВ'!$I$25:$I$180,$G285)</f>
        <v>0</v>
      </c>
      <c r="AK285" s="1160"/>
      <c r="AL285" s="1160"/>
      <c r="AM285" s="1160"/>
      <c r="AN285" s="1160"/>
      <c r="AO285" s="1160"/>
      <c r="AP285" s="1160"/>
      <c r="AQ285" s="1160"/>
      <c r="AR285" s="1160"/>
      <c r="AS285" s="1160"/>
      <c r="AT285" s="1568">
        <f ca="1">SUMIFS('Корректировка НВВ'!$AG$25:$AG$180,'Корректировка НВВ'!$F$25:$F$180,$F285,'Корректировка НВВ'!$I$25:$I$180,$G285)</f>
        <v>0</v>
      </c>
      <c r="AU285" s="1160"/>
      <c r="AV285" s="1160"/>
      <c r="AW285" s="1160"/>
      <c r="AX285" s="1160"/>
      <c r="AY285" s="1160"/>
      <c r="AZ285" s="1160"/>
      <c r="BA285" s="1160"/>
      <c r="BB285" s="1160"/>
      <c r="BC285" s="1160"/>
      <c r="BD285" s="854"/>
      <c r="BE285" s="854"/>
      <c r="BF285" s="854"/>
      <c r="BG285" s="854"/>
      <c r="BH285" s="854"/>
      <c r="BI285" s="854"/>
      <c r="BJ285" s="854"/>
      <c r="BK285" s="854"/>
      <c r="BL285" s="854"/>
      <c r="BM285" s="854"/>
      <c r="BN285" s="1163"/>
      <c r="BO285" s="1161" t="str">
        <f ca="1">IF(IFERROR(INDEX('Корректировка НВВ'!$K$26:$L$180,MATCH($F285&amp;"4komm",'Корректировка НВВ'!$K$26:$K$180,0),2),"")=0,"",IFERROR(INDEX('Корректировка НВВ'!$K$26:$L$180,MATCH($F285&amp;"4komm",'Корректировка НВВ'!$K$26:$K$180,0),2),""))</f>
        <v/>
      </c>
      <c r="BP285" s="1163"/>
      <c r="BQ285" s="1184"/>
      <c r="BR285" s="1184"/>
      <c r="BS285" s="973" t="s">
        <v>1335</v>
      </c>
      <c r="BT285" s="973"/>
      <c r="BU285" s="973"/>
      <c r="BV285" s="888"/>
      <c r="BW285" s="888"/>
    </row>
    <row r="286" spans="1:75" s="1334" customFormat="1" ht="14.65" customHeight="1" x14ac:dyDescent="0.15">
      <c r="A286" s="1184"/>
      <c r="B286" s="887"/>
      <c r="C286" s="1184"/>
      <c r="D286" s="26" t="str" cm="1">
        <f t="array" ref="D286">D285</f>
        <v>7</v>
      </c>
      <c r="E286" s="626">
        <v>15</v>
      </c>
      <c r="F286" s="3" t="str" cm="1">
        <f t="array" aca="1" ref="F286" ca="1">OFFSET(E286,-1,1)</f>
        <v>1</v>
      </c>
      <c r="G286" s="77" t="s">
        <v>2138</v>
      </c>
      <c r="H286" s="1184"/>
      <c r="I286" s="77" t="s">
        <v>810</v>
      </c>
      <c r="J286" s="1184"/>
      <c r="K286" s="77" t="s">
        <v>810</v>
      </c>
      <c r="L286" s="889" t="s">
        <v>809</v>
      </c>
      <c r="M286" s="26"/>
      <c r="N286" s="1184"/>
      <c r="O286" s="1184"/>
      <c r="P286" s="1184"/>
      <c r="Q286" s="1184"/>
      <c r="R286" s="1184"/>
      <c r="S286" s="1184"/>
      <c r="T286" s="388" t="b" cm="1">
        <f t="array" aca="1" ref="T286" ca="1">T285</f>
        <v>1</v>
      </c>
      <c r="U286" s="1184"/>
      <c r="V286" s="1184"/>
      <c r="W286" s="1184"/>
      <c r="X286" s="2032"/>
      <c r="Y286" s="1184"/>
      <c r="Z286" s="2012"/>
      <c r="AA286" s="1184"/>
      <c r="AB286" s="218" t="str">
        <f>IF(B285,D286&amp;".6",D286&amp;".4")</f>
        <v>7.4</v>
      </c>
      <c r="AC286" s="682" t="s">
        <v>1550</v>
      </c>
      <c r="AD286" s="218" t="s">
        <v>831</v>
      </c>
      <c r="AE286" s="1567">
        <v>0</v>
      </c>
      <c r="AF286" s="1567"/>
      <c r="AG286" s="1567"/>
      <c r="AH286" s="855">
        <f t="shared" si="66"/>
        <v>0</v>
      </c>
      <c r="AI286" s="1568"/>
      <c r="AJ286" s="1568">
        <f ca="1">SUMIFS('Корректировка НВВ'!$AF$25:$AF$180,'Корректировка НВВ'!$F$25:$F$180,$F286,'Корректировка НВВ'!$I$25:$I$180,$G286)</f>
        <v>0</v>
      </c>
      <c r="AK286" s="1160"/>
      <c r="AL286" s="1160"/>
      <c r="AM286" s="1160"/>
      <c r="AN286" s="1160"/>
      <c r="AO286" s="1160"/>
      <c r="AP286" s="1160"/>
      <c r="AQ286" s="1568"/>
      <c r="AR286" s="1568"/>
      <c r="AS286" s="1568"/>
      <c r="AT286" s="1568">
        <f ca="1">SUMIFS('Корректировка НВВ'!$AG$25:$AG$180,'Корректировка НВВ'!$F$25:$F$180,$F286,'Корректировка НВВ'!$I$25:$I$180,$G286)</f>
        <v>0</v>
      </c>
      <c r="AU286" s="1160"/>
      <c r="AV286" s="1160"/>
      <c r="AW286" s="1160"/>
      <c r="AX286" s="1160"/>
      <c r="AY286" s="1160"/>
      <c r="AZ286" s="1160"/>
      <c r="BA286" s="1568"/>
      <c r="BB286" s="1568"/>
      <c r="BC286" s="1568"/>
      <c r="BD286" s="854"/>
      <c r="BE286" s="854"/>
      <c r="BF286" s="854"/>
      <c r="BG286" s="854"/>
      <c r="BH286" s="854"/>
      <c r="BI286" s="854"/>
      <c r="BJ286" s="854"/>
      <c r="BK286" s="854"/>
      <c r="BL286" s="854"/>
      <c r="BM286" s="854"/>
      <c r="BN286" s="1581"/>
      <c r="BO286" s="1576" t="str">
        <f ca="1">IF(IFERROR(INDEX('Корректировка НВВ'!$K$26:$L$180,MATCH($F286&amp;"5komm",'Корректировка НВВ'!$K$26:$K$180,0),2),"")=0,"",IFERROR(INDEX('Корректировка НВВ'!$K$26:$L$180,MATCH($F286&amp;"5komm",'Корректировка НВВ'!$K$26:$K$180,0),2),""))</f>
        <v/>
      </c>
      <c r="BP286" s="1581"/>
      <c r="BQ286" s="1184"/>
      <c r="BR286" s="1184"/>
      <c r="BS286" s="973" t="s">
        <v>2139</v>
      </c>
      <c r="BT286" s="973"/>
      <c r="BU286" s="973"/>
      <c r="BV286" s="888"/>
      <c r="BW286" s="888"/>
    </row>
    <row r="287" spans="1:75" s="1334" customFormat="1" ht="14.25" customHeight="1" x14ac:dyDescent="0.15">
      <c r="A287" s="1184"/>
      <c r="B287" s="887"/>
      <c r="C287" s="1184"/>
      <c r="D287" s="26" t="str" cm="1">
        <f t="array" ref="D287">D286</f>
        <v>7</v>
      </c>
      <c r="E287" s="626">
        <v>15</v>
      </c>
      <c r="F287" s="3" t="str" cm="1">
        <f t="array" aca="1" ref="F287" ca="1">OFFSET(E287,-1,1)</f>
        <v>1</v>
      </c>
      <c r="G287" s="77" t="s">
        <v>2140</v>
      </c>
      <c r="H287" s="1184"/>
      <c r="I287" s="77" t="s">
        <v>1809</v>
      </c>
      <c r="J287" s="1184"/>
      <c r="K287" s="77" t="s">
        <v>1809</v>
      </c>
      <c r="L287" s="889" t="s">
        <v>810</v>
      </c>
      <c r="M287" s="26"/>
      <c r="N287" s="1184"/>
      <c r="O287" s="1184"/>
      <c r="P287" s="1184"/>
      <c r="Q287" s="1184"/>
      <c r="R287" s="1184"/>
      <c r="S287" s="1184"/>
      <c r="T287" s="388" t="b" cm="1">
        <f t="array" aca="1" ref="T287" ca="1">T286</f>
        <v>1</v>
      </c>
      <c r="U287" s="1184"/>
      <c r="V287" s="1184"/>
      <c r="W287" s="1184"/>
      <c r="X287" s="2032"/>
      <c r="Y287" s="1184"/>
      <c r="Z287" s="2012"/>
      <c r="AA287" s="1184"/>
      <c r="AB287" s="218" t="str">
        <f>IF(B285,D286&amp;".7",D286&amp;".5")</f>
        <v>7.5</v>
      </c>
      <c r="AC287" s="682" t="s">
        <v>1512</v>
      </c>
      <c r="AD287" s="218" t="s">
        <v>831</v>
      </c>
      <c r="AE287" s="1567">
        <f>AE288+AE289</f>
        <v>0</v>
      </c>
      <c r="AF287" s="1567">
        <f>AF288+AF289</f>
        <v>0</v>
      </c>
      <c r="AG287" s="1567">
        <f>AG288+AG289</f>
        <v>0</v>
      </c>
      <c r="AH287" s="855">
        <f t="shared" si="66"/>
        <v>0</v>
      </c>
      <c r="AI287" s="1568">
        <f>AI288+AI289</f>
        <v>0</v>
      </c>
      <c r="AJ287" s="1568">
        <f ca="1">SUMIFS('Корректировка НВВ'!$AF$25:$AF$180,'Корректировка НВВ'!$F$25:$F$180,$F287,'Корректировка НВВ'!$I$25:$I$180,$G287)</f>
        <v>0</v>
      </c>
      <c r="AK287" s="1160">
        <f t="shared" ref="AK287:BC287" si="67">AK288+AK289</f>
        <v>0</v>
      </c>
      <c r="AL287" s="1160">
        <f t="shared" si="67"/>
        <v>0</v>
      </c>
      <c r="AM287" s="1160">
        <f t="shared" si="67"/>
        <v>0</v>
      </c>
      <c r="AN287" s="1160">
        <f t="shared" si="67"/>
        <v>0</v>
      </c>
      <c r="AO287" s="1160">
        <f t="shared" si="67"/>
        <v>0</v>
      </c>
      <c r="AP287" s="1160">
        <f t="shared" si="67"/>
        <v>0</v>
      </c>
      <c r="AQ287" s="1568">
        <f t="shared" si="67"/>
        <v>0</v>
      </c>
      <c r="AR287" s="1568">
        <f t="shared" si="67"/>
        <v>0</v>
      </c>
      <c r="AS287" s="1568">
        <f t="shared" si="67"/>
        <v>0</v>
      </c>
      <c r="AT287" s="1568">
        <f t="shared" ca="1" si="67"/>
        <v>-12620.18</v>
      </c>
      <c r="AU287" s="1160">
        <f t="shared" si="67"/>
        <v>0</v>
      </c>
      <c r="AV287" s="1160">
        <f t="shared" si="67"/>
        <v>0</v>
      </c>
      <c r="AW287" s="1160">
        <f t="shared" si="67"/>
        <v>0</v>
      </c>
      <c r="AX287" s="1160">
        <f t="shared" si="67"/>
        <v>0</v>
      </c>
      <c r="AY287" s="1160">
        <f t="shared" si="67"/>
        <v>0</v>
      </c>
      <c r="AZ287" s="1160">
        <f t="shared" si="67"/>
        <v>0</v>
      </c>
      <c r="BA287" s="1568">
        <f t="shared" si="67"/>
        <v>0</v>
      </c>
      <c r="BB287" s="1568">
        <f t="shared" si="67"/>
        <v>0</v>
      </c>
      <c r="BC287" s="1568">
        <f t="shared" si="67"/>
        <v>0</v>
      </c>
      <c r="BD287" s="855">
        <f>IF(AI287=0,0,(AT287-AI287)/AI287*100)</f>
        <v>0</v>
      </c>
      <c r="BE287" s="855">
        <f t="shared" ref="BE287:BM287" ca="1" si="68">IF(AT287=0,0,(AU287-AT287)/AT287*100)</f>
        <v>-100</v>
      </c>
      <c r="BF287" s="855">
        <f t="shared" si="68"/>
        <v>0</v>
      </c>
      <c r="BG287" s="855">
        <f t="shared" si="68"/>
        <v>0</v>
      </c>
      <c r="BH287" s="855">
        <f t="shared" si="68"/>
        <v>0</v>
      </c>
      <c r="BI287" s="855">
        <f t="shared" si="68"/>
        <v>0</v>
      </c>
      <c r="BJ287" s="855">
        <f t="shared" si="68"/>
        <v>0</v>
      </c>
      <c r="BK287" s="855">
        <f t="shared" si="68"/>
        <v>0</v>
      </c>
      <c r="BL287" s="855">
        <f t="shared" si="68"/>
        <v>0</v>
      </c>
      <c r="BM287" s="855">
        <f t="shared" si="68"/>
        <v>0</v>
      </c>
      <c r="BN287" s="1581"/>
      <c r="BO287" s="1576" t="str">
        <f ca="1">IF(IFERROR(INDEX('Корректировка НВВ'!$K$26:$L$180,MATCH($F287&amp;"6komm",'Корректировка НВВ'!$K$26:$K$180,0),2),"")=0,"",IFERROR(INDEX('Корректировка НВВ'!$K$26:$L$180,MATCH($F287&amp;"6komm",'Корректировка НВВ'!$K$26:$K$180,0),2),""))</f>
        <v/>
      </c>
      <c r="BP287" s="1581"/>
      <c r="BQ287" s="1184"/>
      <c r="BR287" s="1184"/>
      <c r="BS287" s="973" t="s">
        <v>1514</v>
      </c>
      <c r="BT287" s="973"/>
      <c r="BU287" s="973"/>
      <c r="BV287" s="888"/>
      <c r="BW287" s="888"/>
    </row>
    <row r="288" spans="1:75" s="1334" customFormat="1" ht="21.95" customHeight="1" x14ac:dyDescent="0.15">
      <c r="A288" s="1184"/>
      <c r="B288" s="887"/>
      <c r="C288" s="1184"/>
      <c r="D288" s="26" t="str" cm="1">
        <f t="array" ref="D288">D287</f>
        <v>7</v>
      </c>
      <c r="E288" s="626">
        <v>22.5</v>
      </c>
      <c r="F288" s="3" t="str" cm="1">
        <f t="array" aca="1" ref="F288" ca="1">OFFSET(E288,-1,1)</f>
        <v>1</v>
      </c>
      <c r="G288" s="77" t="s">
        <v>2141</v>
      </c>
      <c r="H288" s="1184"/>
      <c r="I288" s="77" t="s">
        <v>2142</v>
      </c>
      <c r="J288" s="1184"/>
      <c r="K288" s="77" t="s">
        <v>2142</v>
      </c>
      <c r="L288" s="889" t="s">
        <v>1804</v>
      </c>
      <c r="M288" s="26"/>
      <c r="N288" s="1184"/>
      <c r="O288" s="1184"/>
      <c r="P288" s="1184"/>
      <c r="Q288" s="1184"/>
      <c r="R288" s="1184"/>
      <c r="S288" s="1184"/>
      <c r="T288" s="388" t="b" cm="1">
        <f t="array" aca="1" ref="T288" ca="1">T287</f>
        <v>1</v>
      </c>
      <c r="U288" s="1184"/>
      <c r="V288" s="1184"/>
      <c r="W288" s="1184"/>
      <c r="X288" s="2032"/>
      <c r="Y288" s="1184"/>
      <c r="Z288" s="2012"/>
      <c r="AA288" s="1184"/>
      <c r="AB288" s="218" t="str">
        <f>AB287&amp;".1"</f>
        <v>7.5.1</v>
      </c>
      <c r="AC288" s="701" t="s">
        <v>1515</v>
      </c>
      <c r="AD288" s="218" t="s">
        <v>831</v>
      </c>
      <c r="AE288" s="1567">
        <v>0</v>
      </c>
      <c r="AF288" s="1567"/>
      <c r="AG288" s="1567"/>
      <c r="AH288" s="855">
        <f t="shared" si="66"/>
        <v>0</v>
      </c>
      <c r="AI288" s="1568"/>
      <c r="AJ288" s="1568">
        <f ca="1">SUMIFS('Корректировка НВВ'!$AF$25:$AF$180,'Корректировка НВВ'!$F$25:$F$180,$F288,'Корректировка НВВ'!$I$25:$I$180,$G288)</f>
        <v>0</v>
      </c>
      <c r="AK288" s="1160"/>
      <c r="AL288" s="1160"/>
      <c r="AM288" s="1160"/>
      <c r="AN288" s="1160"/>
      <c r="AO288" s="1160"/>
      <c r="AP288" s="1160"/>
      <c r="AQ288" s="1568"/>
      <c r="AR288" s="1568"/>
      <c r="AS288" s="1568"/>
      <c r="AT288" s="1568">
        <v>-12620.18</v>
      </c>
      <c r="AU288" s="1160"/>
      <c r="AV288" s="1160"/>
      <c r="AW288" s="1160"/>
      <c r="AX288" s="1160"/>
      <c r="AY288" s="1160"/>
      <c r="AZ288" s="1160"/>
      <c r="BA288" s="1568"/>
      <c r="BB288" s="1568"/>
      <c r="BC288" s="1568"/>
      <c r="BD288" s="854"/>
      <c r="BE288" s="854"/>
      <c r="BF288" s="854"/>
      <c r="BG288" s="854"/>
      <c r="BH288" s="854"/>
      <c r="BI288" s="854"/>
      <c r="BJ288" s="854"/>
      <c r="BK288" s="854"/>
      <c r="BL288" s="854"/>
      <c r="BM288" s="854"/>
      <c r="BN288" s="1581"/>
      <c r="BO288" s="1576" t="str">
        <f ca="1">IF(IFERROR(INDEX('Корректировка НВВ'!$K$26:$L$180,MATCH($F288&amp;"7komm",'Корректировка НВВ'!$K$26:$K$180,0),2),"")=0,"",IFERROR(INDEX('Корректировка НВВ'!$K$26:$L$180,MATCH($F288&amp;"7komm",'Корректировка НВВ'!$K$26:$K$180,0),2),""))</f>
        <v/>
      </c>
      <c r="BP288" s="1581" t="s">
        <v>2216</v>
      </c>
      <c r="BQ288" s="1184"/>
      <c r="BR288" s="1184"/>
      <c r="BS288" s="973" t="s">
        <v>1516</v>
      </c>
      <c r="BT288" s="973"/>
      <c r="BU288" s="973"/>
      <c r="BV288" s="888"/>
      <c r="BW288" s="888"/>
    </row>
    <row r="289" spans="1:75" s="1334" customFormat="1" ht="21.95" customHeight="1" x14ac:dyDescent="0.15">
      <c r="A289" s="1184"/>
      <c r="B289" s="887"/>
      <c r="C289" s="1184"/>
      <c r="D289" s="26" t="str" cm="1">
        <f t="array" ref="D289">D288</f>
        <v>7</v>
      </c>
      <c r="E289" s="626">
        <v>22.5</v>
      </c>
      <c r="F289" s="3" t="str" cm="1">
        <f t="array" aca="1" ref="F289" ca="1">OFFSET(E289,-1,1)</f>
        <v>1</v>
      </c>
      <c r="G289" s="77" t="s">
        <v>2143</v>
      </c>
      <c r="H289" s="1184"/>
      <c r="I289" s="77" t="s">
        <v>2144</v>
      </c>
      <c r="J289" s="1184"/>
      <c r="K289" s="77" t="s">
        <v>2144</v>
      </c>
      <c r="L289" s="889" t="s">
        <v>1806</v>
      </c>
      <c r="M289" s="26"/>
      <c r="N289" s="1184"/>
      <c r="O289" s="1184"/>
      <c r="P289" s="1184"/>
      <c r="Q289" s="1184"/>
      <c r="R289" s="1184"/>
      <c r="S289" s="1184"/>
      <c r="T289" s="388" t="b" cm="1">
        <f t="array" aca="1" ref="T289" ca="1">T288</f>
        <v>1</v>
      </c>
      <c r="U289" s="1184"/>
      <c r="V289" s="1184"/>
      <c r="W289" s="1184"/>
      <c r="X289" s="2032"/>
      <c r="Y289" s="1184"/>
      <c r="Z289" s="2012"/>
      <c r="AA289" s="1184"/>
      <c r="AB289" s="218" t="str">
        <f>AB287&amp;".2"</f>
        <v>7.5.2</v>
      </c>
      <c r="AC289" s="701" t="s">
        <v>1517</v>
      </c>
      <c r="AD289" s="218" t="s">
        <v>831</v>
      </c>
      <c r="AE289" s="1567">
        <v>0</v>
      </c>
      <c r="AF289" s="1567"/>
      <c r="AG289" s="1567"/>
      <c r="AH289" s="855">
        <f t="shared" si="66"/>
        <v>0</v>
      </c>
      <c r="AI289" s="1568"/>
      <c r="AJ289" s="1568">
        <f ca="1">SUMIFS('Корректировка НВВ'!$AF$25:$AF$180,'Корректировка НВВ'!$F$25:$F$180,$F289,'Корректировка НВВ'!$I$25:$I$180,$G289)</f>
        <v>0</v>
      </c>
      <c r="AK289" s="1160"/>
      <c r="AL289" s="1160"/>
      <c r="AM289" s="1160"/>
      <c r="AN289" s="1160"/>
      <c r="AO289" s="1160"/>
      <c r="AP289" s="1160"/>
      <c r="AQ289" s="1568"/>
      <c r="AR289" s="1568"/>
      <c r="AS289" s="1568"/>
      <c r="AT289" s="1568">
        <f ca="1">SUMIFS('Корректировка НВВ'!$AG$25:$AG$180,'Корректировка НВВ'!$F$25:$F$180,$F289,'Корректировка НВВ'!$I$25:$I$180,$G289)</f>
        <v>0</v>
      </c>
      <c r="AU289" s="1160"/>
      <c r="AV289" s="1160"/>
      <c r="AW289" s="1160"/>
      <c r="AX289" s="1160"/>
      <c r="AY289" s="1160"/>
      <c r="AZ289" s="1160"/>
      <c r="BA289" s="1568"/>
      <c r="BB289" s="1568"/>
      <c r="BC289" s="1568"/>
      <c r="BD289" s="854"/>
      <c r="BE289" s="854"/>
      <c r="BF289" s="854"/>
      <c r="BG289" s="854"/>
      <c r="BH289" s="854"/>
      <c r="BI289" s="854"/>
      <c r="BJ289" s="854"/>
      <c r="BK289" s="854"/>
      <c r="BL289" s="854"/>
      <c r="BM289" s="854"/>
      <c r="BN289" s="1581"/>
      <c r="BO289" s="1576"/>
      <c r="BP289" s="1581"/>
      <c r="BQ289" s="1184"/>
      <c r="BR289" s="1184"/>
      <c r="BS289" s="973" t="s">
        <v>1518</v>
      </c>
      <c r="BT289" s="973"/>
      <c r="BU289" s="973"/>
      <c r="BV289" s="888"/>
      <c r="BW289" s="888"/>
    </row>
    <row r="290" spans="1:75" s="1334" customFormat="1" ht="14.65" customHeight="1" x14ac:dyDescent="0.15">
      <c r="A290" s="1184"/>
      <c r="B290" s="887"/>
      <c r="C290" s="1184"/>
      <c r="D290" s="26" t="str" cm="1">
        <f t="array" ref="D290">D289</f>
        <v>7</v>
      </c>
      <c r="E290" s="626">
        <v>15</v>
      </c>
      <c r="F290" s="3" t="str" cm="1">
        <f t="array" aca="1" ref="F290" ca="1">OFFSET(E290,-1,1)</f>
        <v>1</v>
      </c>
      <c r="G290" s="77" t="s">
        <v>318</v>
      </c>
      <c r="H290" s="1184"/>
      <c r="I290" s="77" t="s">
        <v>1810</v>
      </c>
      <c r="J290" s="1184"/>
      <c r="K290" s="77" t="s">
        <v>1810</v>
      </c>
      <c r="L290" s="889" t="s">
        <v>1809</v>
      </c>
      <c r="M290" s="26"/>
      <c r="N290" s="1184"/>
      <c r="O290" s="1184"/>
      <c r="P290" s="1184"/>
      <c r="Q290" s="1184"/>
      <c r="R290" s="1184"/>
      <c r="S290" s="1184"/>
      <c r="T290" s="388" t="b" cm="1">
        <f t="array" aca="1" ref="T290" ca="1">T289</f>
        <v>1</v>
      </c>
      <c r="U290" s="1184"/>
      <c r="V290" s="1184"/>
      <c r="W290" s="1184"/>
      <c r="X290" s="2032"/>
      <c r="Y290" s="1184"/>
      <c r="Z290" s="2012"/>
      <c r="AA290" s="1184"/>
      <c r="AB290" s="218" t="str">
        <f>IF(B285,D286&amp;".8",D286&amp;".6")</f>
        <v>7.6</v>
      </c>
      <c r="AC290" s="702" t="s">
        <v>1519</v>
      </c>
      <c r="AD290" s="218" t="s">
        <v>831</v>
      </c>
      <c r="AE290" s="1567">
        <v>0</v>
      </c>
      <c r="AF290" s="1567"/>
      <c r="AG290" s="1567"/>
      <c r="AH290" s="855">
        <f t="shared" si="66"/>
        <v>0</v>
      </c>
      <c r="AI290" s="1568"/>
      <c r="AJ290" s="1568">
        <f ca="1">SUMIFS('Корректировка НВВ'!$AF$25:$AF$180,'Корректировка НВВ'!$F$25:$F$180,$F290,'Корректировка НВВ'!$I$25:$I$180,$G290)</f>
        <v>0</v>
      </c>
      <c r="AK290" s="1160"/>
      <c r="AL290" s="1160"/>
      <c r="AM290" s="1160"/>
      <c r="AN290" s="1160"/>
      <c r="AO290" s="1160"/>
      <c r="AP290" s="1160"/>
      <c r="AQ290" s="1568"/>
      <c r="AR290" s="1568"/>
      <c r="AS290" s="1568"/>
      <c r="AT290" s="1568">
        <f ca="1">SUMIFS('Корректировка НВВ'!$AG$25:$AG$180,'Корректировка НВВ'!$F$25:$F$180,$F290,'Корректировка НВВ'!$I$25:$I$180,$G290)</f>
        <v>0</v>
      </c>
      <c r="AU290" s="1160"/>
      <c r="AV290" s="1160"/>
      <c r="AW290" s="1160"/>
      <c r="AX290" s="1160"/>
      <c r="AY290" s="1160"/>
      <c r="AZ290" s="1160"/>
      <c r="BA290" s="1568"/>
      <c r="BB290" s="1568"/>
      <c r="BC290" s="1568"/>
      <c r="BD290" s="854"/>
      <c r="BE290" s="854"/>
      <c r="BF290" s="854"/>
      <c r="BG290" s="854"/>
      <c r="BH290" s="854"/>
      <c r="BI290" s="854"/>
      <c r="BJ290" s="854"/>
      <c r="BK290" s="854"/>
      <c r="BL290" s="854"/>
      <c r="BM290" s="854"/>
      <c r="BN290" s="1581"/>
      <c r="BO290" s="1576"/>
      <c r="BP290" s="1581"/>
      <c r="BQ290" s="1184"/>
      <c r="BR290" s="1184"/>
      <c r="BS290" s="973" t="s">
        <v>2145</v>
      </c>
      <c r="BT290" s="973"/>
      <c r="BU290" s="973"/>
      <c r="BV290" s="888"/>
      <c r="BW290" s="888"/>
    </row>
    <row r="291" spans="1:75" s="1334" customFormat="1" ht="14.65" customHeight="1" x14ac:dyDescent="0.15">
      <c r="A291" s="1184"/>
      <c r="B291" s="887"/>
      <c r="C291" s="1184"/>
      <c r="D291" s="26" t="str" cm="1">
        <f t="array" ref="D291">D290</f>
        <v>7</v>
      </c>
      <c r="E291" s="626">
        <v>15</v>
      </c>
      <c r="F291" s="3" t="str" cm="1">
        <f t="array" aca="1" ref="F291" ca="1">OFFSET(E291,-1,1)</f>
        <v>1</v>
      </c>
      <c r="G291" s="77" t="s">
        <v>2146</v>
      </c>
      <c r="H291" s="1184"/>
      <c r="I291" s="77" t="s">
        <v>1812</v>
      </c>
      <c r="J291" s="1184"/>
      <c r="K291" s="77" t="s">
        <v>1812</v>
      </c>
      <c r="L291" s="889" t="s">
        <v>1810</v>
      </c>
      <c r="M291" s="26"/>
      <c r="N291" s="1184"/>
      <c r="O291" s="1184"/>
      <c r="P291" s="1184"/>
      <c r="Q291" s="1184"/>
      <c r="R291" s="1184"/>
      <c r="S291" s="1184"/>
      <c r="T291" s="388" t="b" cm="1">
        <f t="array" aca="1" ref="T291" ca="1">T290</f>
        <v>1</v>
      </c>
      <c r="U291" s="1184"/>
      <c r="V291" s="1184"/>
      <c r="W291" s="1184"/>
      <c r="X291" s="2032"/>
      <c r="Y291" s="1184"/>
      <c r="Z291" s="2012"/>
      <c r="AA291" s="1184"/>
      <c r="AB291" s="218" t="str">
        <f>IF(B285,D286&amp;".9",D286&amp;".7")</f>
        <v>7.7</v>
      </c>
      <c r="AC291" s="702" t="s">
        <v>1521</v>
      </c>
      <c r="AD291" s="218" t="s">
        <v>831</v>
      </c>
      <c r="AE291" s="1567">
        <v>0</v>
      </c>
      <c r="AF291" s="1567"/>
      <c r="AG291" s="1567"/>
      <c r="AH291" s="855">
        <f t="shared" si="66"/>
        <v>0</v>
      </c>
      <c r="AI291" s="1568"/>
      <c r="AJ291" s="1568">
        <f ca="1">SUMIFS('Корректировка НВВ'!$AF$25:$AF$180,'Корректировка НВВ'!$F$25:$F$180,$F291,'Корректировка НВВ'!$I$25:$I$180,$G291)</f>
        <v>0</v>
      </c>
      <c r="AK291" s="1160"/>
      <c r="AL291" s="1160"/>
      <c r="AM291" s="1160"/>
      <c r="AN291" s="1160"/>
      <c r="AO291" s="1160"/>
      <c r="AP291" s="1160"/>
      <c r="AQ291" s="1568"/>
      <c r="AR291" s="1568"/>
      <c r="AS291" s="1568"/>
      <c r="AT291" s="1568">
        <f ca="1">SUMIFS('Корректировка НВВ'!$AG$25:$AG$180,'Корректировка НВВ'!$F$25:$F$180,$F291,'Корректировка НВВ'!$I$25:$I$180,$G291)</f>
        <v>0</v>
      </c>
      <c r="AU291" s="1160"/>
      <c r="AV291" s="1160"/>
      <c r="AW291" s="1160"/>
      <c r="AX291" s="1160"/>
      <c r="AY291" s="1160"/>
      <c r="AZ291" s="1160"/>
      <c r="BA291" s="1568"/>
      <c r="BB291" s="1568"/>
      <c r="BC291" s="1568"/>
      <c r="BD291" s="854"/>
      <c r="BE291" s="854"/>
      <c r="BF291" s="854"/>
      <c r="BG291" s="854"/>
      <c r="BH291" s="854"/>
      <c r="BI291" s="854"/>
      <c r="BJ291" s="854"/>
      <c r="BK291" s="854"/>
      <c r="BL291" s="854"/>
      <c r="BM291" s="854"/>
      <c r="BN291" s="1581"/>
      <c r="BO291" s="1576"/>
      <c r="BP291" s="1581"/>
      <c r="BQ291" s="1184"/>
      <c r="BR291" s="1184"/>
      <c r="BS291" s="973" t="s">
        <v>1522</v>
      </c>
      <c r="BT291" s="973"/>
      <c r="BU291" s="973"/>
      <c r="BV291" s="888"/>
      <c r="BW291" s="888"/>
    </row>
    <row r="292" spans="1:75" s="1591" customFormat="1" ht="27.95" customHeight="1" x14ac:dyDescent="0.15">
      <c r="A292" s="623"/>
      <c r="B292" s="357"/>
      <c r="C292" s="623"/>
      <c r="D292" s="28">
        <f>D291+1</f>
        <v>8</v>
      </c>
      <c r="E292" s="630">
        <v>21</v>
      </c>
      <c r="F292" s="3" t="str" cm="1">
        <f t="array" aca="1" ref="F292" ca="1">OFFSET(E292,-1,1)</f>
        <v>1</v>
      </c>
      <c r="G292" s="623"/>
      <c r="H292" s="623"/>
      <c r="I292" s="81" t="s">
        <v>613</v>
      </c>
      <c r="J292" s="623"/>
      <c r="K292" s="81" t="s">
        <v>613</v>
      </c>
      <c r="L292" s="894"/>
      <c r="M292" s="28"/>
      <c r="N292" s="623"/>
      <c r="O292" s="623"/>
      <c r="P292" s="623"/>
      <c r="Q292" s="623"/>
      <c r="R292" s="623"/>
      <c r="S292" s="623"/>
      <c r="T292" s="388" t="b" cm="1">
        <f t="array" aca="1" ref="T292" ca="1">T291</f>
        <v>1</v>
      </c>
      <c r="U292" s="623"/>
      <c r="V292" s="623"/>
      <c r="W292" s="623"/>
      <c r="X292" s="2032"/>
      <c r="Y292" s="623"/>
      <c r="Z292" s="2012"/>
      <c r="AA292" s="623"/>
      <c r="AB292" s="130" cm="1">
        <f t="array" ref="AB292">D292</f>
        <v>8</v>
      </c>
      <c r="AC292" s="131" t="s">
        <v>2147</v>
      </c>
      <c r="AD292" s="130" t="s">
        <v>831</v>
      </c>
      <c r="AE292" s="1518"/>
      <c r="AF292" s="1518"/>
      <c r="AG292" s="1518"/>
      <c r="AH292" s="681">
        <f t="shared" si="66"/>
        <v>0</v>
      </c>
      <c r="AI292" s="1516">
        <v>-3500</v>
      </c>
      <c r="AJ292" s="1516"/>
      <c r="AK292" s="1153"/>
      <c r="AL292" s="1153"/>
      <c r="AM292" s="1153"/>
      <c r="AN292" s="1153"/>
      <c r="AO292" s="1153"/>
      <c r="AP292" s="1153"/>
      <c r="AQ292" s="1516"/>
      <c r="AR292" s="1516"/>
      <c r="AS292" s="1516"/>
      <c r="AT292" s="1516">
        <v>-10795.16</v>
      </c>
      <c r="AU292" s="1153">
        <v>3100</v>
      </c>
      <c r="AV292" s="1153">
        <v>4000</v>
      </c>
      <c r="AW292" s="1153"/>
      <c r="AX292" s="1153">
        <v>2500</v>
      </c>
      <c r="AY292" s="1153">
        <v>2000</v>
      </c>
      <c r="AZ292" s="1153">
        <v>-8500</v>
      </c>
      <c r="BA292" s="1516"/>
      <c r="BB292" s="1516"/>
      <c r="BC292" s="1516"/>
      <c r="BD292" s="684"/>
      <c r="BE292" s="684"/>
      <c r="BF292" s="684"/>
      <c r="BG292" s="684"/>
      <c r="BH292" s="684"/>
      <c r="BI292" s="684"/>
      <c r="BJ292" s="684"/>
      <c r="BK292" s="684"/>
      <c r="BL292" s="684"/>
      <c r="BM292" s="684"/>
      <c r="BN292" s="1524"/>
      <c r="BO292" s="1524" t="s">
        <v>2217</v>
      </c>
      <c r="BP292" s="1524" t="s">
        <v>2218</v>
      </c>
      <c r="BQ292" s="623"/>
      <c r="BR292" s="623"/>
      <c r="BS292" s="979" t="s">
        <v>2148</v>
      </c>
      <c r="BT292" s="979"/>
      <c r="BU292" s="979"/>
      <c r="BV292" s="630"/>
      <c r="BW292" s="630"/>
    </row>
    <row r="293" spans="1:75" s="1334" customFormat="1" ht="14.25" customHeight="1" x14ac:dyDescent="0.15">
      <c r="A293" s="1184"/>
      <c r="B293" s="887"/>
      <c r="C293" s="1184"/>
      <c r="D293" s="28" cm="1">
        <f t="array" ref="D293">D292</f>
        <v>8</v>
      </c>
      <c r="E293" s="626">
        <v>15</v>
      </c>
      <c r="F293" s="3" t="str" cm="1">
        <f t="array" aca="1" ref="F293" ca="1">OFFSET(E293,-1,1)</f>
        <v>1</v>
      </c>
      <c r="G293" s="1184"/>
      <c r="H293" s="1184"/>
      <c r="I293" s="77" t="s">
        <v>616</v>
      </c>
      <c r="J293" s="1184"/>
      <c r="K293" s="77" t="s">
        <v>616</v>
      </c>
      <c r="L293" s="889"/>
      <c r="M293" s="26"/>
      <c r="N293" s="1184"/>
      <c r="O293" s="1184"/>
      <c r="P293" s="1184"/>
      <c r="Q293" s="1184"/>
      <c r="R293" s="1184"/>
      <c r="S293" s="1184"/>
      <c r="T293" s="388" t="b" cm="1">
        <f t="array" aca="1" ref="T293" ca="1">T292</f>
        <v>1</v>
      </c>
      <c r="U293" s="1184"/>
      <c r="V293" s="1184"/>
      <c r="W293" s="1184"/>
      <c r="X293" s="2032"/>
      <c r="Y293" s="1184"/>
      <c r="Z293" s="2012"/>
      <c r="AA293" s="1184"/>
      <c r="AB293" s="218" t="str">
        <f>D293&amp;".1"</f>
        <v>8.1</v>
      </c>
      <c r="AC293" s="682" t="s">
        <v>2149</v>
      </c>
      <c r="AD293" s="218" t="s">
        <v>490</v>
      </c>
      <c r="AE293" s="177">
        <f ca="1">IF(AE294=0,0,AE292/(AE294+AE279)*100)</f>
        <v>0</v>
      </c>
      <c r="AF293" s="177">
        <f ca="1">IF(AF294=0,0,AF292/(AF294+AF279)*100)</f>
        <v>0</v>
      </c>
      <c r="AG293" s="177">
        <f ca="1">IF(AG294=0,0,AG292/(AG294+AG279)*100)</f>
        <v>0</v>
      </c>
      <c r="AH293" s="855">
        <f t="shared" ca="1" si="66"/>
        <v>0</v>
      </c>
      <c r="AI293" s="855">
        <f t="shared" ref="AI293:BC293" ca="1" si="69">IF(AI294=0,0,AI292/(AI294+AI279)*100)</f>
        <v>-1.5529045675065083</v>
      </c>
      <c r="AJ293" s="855">
        <f t="shared" ca="1" si="69"/>
        <v>0</v>
      </c>
      <c r="AK293" s="855">
        <f t="shared" ca="1" si="69"/>
        <v>0</v>
      </c>
      <c r="AL293" s="855">
        <f t="shared" ca="1" si="69"/>
        <v>0</v>
      </c>
      <c r="AM293" s="855">
        <f t="shared" ca="1" si="69"/>
        <v>0</v>
      </c>
      <c r="AN293" s="855">
        <f t="shared" ca="1" si="69"/>
        <v>0</v>
      </c>
      <c r="AO293" s="855">
        <f t="shared" ca="1" si="69"/>
        <v>0</v>
      </c>
      <c r="AP293" s="855">
        <f t="shared" ca="1" si="69"/>
        <v>0</v>
      </c>
      <c r="AQ293" s="855">
        <f t="shared" ca="1" si="69"/>
        <v>0</v>
      </c>
      <c r="AR293" s="855">
        <f t="shared" ca="1" si="69"/>
        <v>0</v>
      </c>
      <c r="AS293" s="855">
        <f t="shared" ca="1" si="69"/>
        <v>0</v>
      </c>
      <c r="AT293" s="855">
        <f t="shared" ca="1" si="69"/>
        <v>-4.5616789404994957</v>
      </c>
      <c r="AU293" s="855">
        <f t="shared" ca="1" si="69"/>
        <v>1.2943749183734092</v>
      </c>
      <c r="AV293" s="855">
        <f t="shared" ca="1" si="69"/>
        <v>1.606369201689567</v>
      </c>
      <c r="AW293" s="855">
        <f t="shared" ca="1" si="69"/>
        <v>0</v>
      </c>
      <c r="AX293" s="855">
        <f t="shared" ca="1" si="69"/>
        <v>0.91485998205416297</v>
      </c>
      <c r="AY293" s="855">
        <f t="shared" ca="1" si="69"/>
        <v>0.70581199225548363</v>
      </c>
      <c r="AZ293" s="855">
        <f t="shared" ca="1" si="69"/>
        <v>-2.8083474707074068</v>
      </c>
      <c r="BA293" s="855">
        <f t="shared" ca="1" si="69"/>
        <v>0</v>
      </c>
      <c r="BB293" s="855">
        <f t="shared" ca="1" si="69"/>
        <v>0</v>
      </c>
      <c r="BC293" s="855">
        <f t="shared" ca="1" si="69"/>
        <v>0</v>
      </c>
      <c r="BD293" s="854"/>
      <c r="BE293" s="854"/>
      <c r="BF293" s="854"/>
      <c r="BG293" s="854"/>
      <c r="BH293" s="854"/>
      <c r="BI293" s="854"/>
      <c r="BJ293" s="854"/>
      <c r="BK293" s="854"/>
      <c r="BL293" s="854"/>
      <c r="BM293" s="854"/>
      <c r="BN293" s="1581"/>
      <c r="BO293" s="1581"/>
      <c r="BP293" s="1581"/>
      <c r="BQ293" s="1184"/>
      <c r="BR293" s="1184"/>
      <c r="BS293" s="973" t="s">
        <v>2150</v>
      </c>
      <c r="BT293" s="973"/>
      <c r="BU293" s="973"/>
      <c r="BV293" s="888"/>
      <c r="BW293" s="888"/>
    </row>
    <row r="294" spans="1:75" s="1592" customFormat="1" ht="20.25" customHeight="1" x14ac:dyDescent="0.15">
      <c r="A294" s="623"/>
      <c r="B294" s="357"/>
      <c r="C294" s="623"/>
      <c r="D294" s="28">
        <f>D293+1</f>
        <v>9</v>
      </c>
      <c r="E294" s="630">
        <v>21</v>
      </c>
      <c r="F294" s="3" t="str" cm="1">
        <f t="array" aca="1" ref="F294" ca="1">OFFSET(E294,-1,1)</f>
        <v>1</v>
      </c>
      <c r="G294" s="623"/>
      <c r="H294" s="77"/>
      <c r="I294" s="77" t="s">
        <v>770</v>
      </c>
      <c r="J294" s="623"/>
      <c r="K294" s="77" t="s">
        <v>770</v>
      </c>
      <c r="L294" s="894" t="s">
        <v>1812</v>
      </c>
      <c r="M294" s="28"/>
      <c r="N294" s="623"/>
      <c r="O294" s="623"/>
      <c r="P294" s="623"/>
      <c r="Q294" s="623"/>
      <c r="R294" s="623"/>
      <c r="S294" s="623"/>
      <c r="T294" s="388" t="b" cm="1">
        <f t="array" aca="1" ref="T294" ca="1">T293</f>
        <v>1</v>
      </c>
      <c r="U294" s="623"/>
      <c r="V294" s="623"/>
      <c r="W294" s="623"/>
      <c r="X294" s="2032"/>
      <c r="Y294" s="623"/>
      <c r="Z294" s="2012"/>
      <c r="AA294" s="623"/>
      <c r="AB294" s="130" cm="1">
        <f t="array" ref="AB294">D294</f>
        <v>9</v>
      </c>
      <c r="AC294" s="131" t="s">
        <v>1814</v>
      </c>
      <c r="AD294" s="153" t="s">
        <v>831</v>
      </c>
      <c r="AE294" s="132">
        <f ca="1">AE172+AE222+AE258+AE259+AE261+AE266+AE267+AE270</f>
        <v>216035.30709615839</v>
      </c>
      <c r="AF294" s="132">
        <f ca="1">AF172+AF222+AF258+AF259+AF261+AF266+AF267+AF270</f>
        <v>235695.33000000002</v>
      </c>
      <c r="AG294" s="132">
        <f ca="1">AG172+AG222+AG258+AG259+AG261+AG266+AG267+AG270</f>
        <v>213889.62097599549</v>
      </c>
      <c r="AH294" s="681">
        <f t="shared" ca="1" si="66"/>
        <v>-21805.709024004522</v>
      </c>
      <c r="AI294" s="132">
        <f t="shared" ref="AI294:BC294" ca="1" si="70">AI172+AI222+AI258+AI259+AI261+AI266+AI267+AI270</f>
        <v>225384.10107325102</v>
      </c>
      <c r="AJ294" s="132">
        <f t="shared" ca="1" si="70"/>
        <v>303684.68999999994</v>
      </c>
      <c r="AK294" s="132">
        <f t="shared" ca="1" si="70"/>
        <v>281085.48981059855</v>
      </c>
      <c r="AL294" s="132">
        <f t="shared" ca="1" si="70"/>
        <v>291532.99803321564</v>
      </c>
      <c r="AM294" s="132">
        <f t="shared" ca="1" si="70"/>
        <v>302238.70782542031</v>
      </c>
      <c r="AN294" s="132">
        <f t="shared" ca="1" si="70"/>
        <v>313311.31433509523</v>
      </c>
      <c r="AO294" s="132">
        <f t="shared" ca="1" si="70"/>
        <v>324803.34209209902</v>
      </c>
      <c r="AP294" s="132">
        <f t="shared" ca="1" si="70"/>
        <v>336694.67599908652</v>
      </c>
      <c r="AQ294" s="132">
        <f t="shared" ca="1" si="70"/>
        <v>164333.088106468</v>
      </c>
      <c r="AR294" s="132">
        <f t="shared" ca="1" si="70"/>
        <v>164333.088106468</v>
      </c>
      <c r="AS294" s="132">
        <f t="shared" ca="1" si="70"/>
        <v>164333.088106468</v>
      </c>
      <c r="AT294" s="132">
        <f t="shared" ca="1" si="70"/>
        <v>246402.57348449659</v>
      </c>
      <c r="AU294" s="132">
        <f t="shared" ca="1" si="70"/>
        <v>239497.84223999409</v>
      </c>
      <c r="AV294" s="132">
        <f t="shared" ca="1" si="70"/>
        <v>249008.75812315312</v>
      </c>
      <c r="AW294" s="132">
        <f t="shared" ca="1" si="70"/>
        <v>264378.31386258069</v>
      </c>
      <c r="AX294" s="132">
        <f t="shared" ca="1" si="70"/>
        <v>273265.86024526658</v>
      </c>
      <c r="AY294" s="132">
        <f t="shared" ca="1" si="70"/>
        <v>283361.57814616128</v>
      </c>
      <c r="AZ294" s="132">
        <f t="shared" ca="1" si="70"/>
        <v>302669.0994850042</v>
      </c>
      <c r="BA294" s="132">
        <f t="shared" ca="1" si="70"/>
        <v>125191.369471513</v>
      </c>
      <c r="BB294" s="132">
        <f t="shared" ca="1" si="70"/>
        <v>125191.369471513</v>
      </c>
      <c r="BC294" s="132">
        <f t="shared" ca="1" si="70"/>
        <v>125191.369471513</v>
      </c>
      <c r="BD294" s="681">
        <f ca="1">IF(AI294=0,0,(AT294-AI294)/AI294*100)</f>
        <v>9.3256233741236532</v>
      </c>
      <c r="BE294" s="681">
        <f t="shared" ref="BE294:BM295" ca="1" si="71">IF(AT294=0,0,(AU294-AT294)/AT294*100)</f>
        <v>-2.8022155559738668</v>
      </c>
      <c r="BF294" s="681">
        <f t="shared" ca="1" si="71"/>
        <v>3.9711906354581723</v>
      </c>
      <c r="BG294" s="681">
        <f t="shared" ca="1" si="71"/>
        <v>6.1722952458668914</v>
      </c>
      <c r="BH294" s="681">
        <f t="shared" ca="1" si="71"/>
        <v>3.3616775343024106</v>
      </c>
      <c r="BI294" s="681">
        <f t="shared" ca="1" si="71"/>
        <v>3.6944673190545667</v>
      </c>
      <c r="BJ294" s="681">
        <f t="shared" ca="1" si="71"/>
        <v>6.813740050841993</v>
      </c>
      <c r="BK294" s="681">
        <f t="shared" ca="1" si="71"/>
        <v>-58.637545198856479</v>
      </c>
      <c r="BL294" s="681">
        <f t="shared" ca="1" si="71"/>
        <v>0</v>
      </c>
      <c r="BM294" s="681">
        <f t="shared" ca="1" si="71"/>
        <v>0</v>
      </c>
      <c r="BN294" s="1581"/>
      <c r="BO294" s="1581"/>
      <c r="BP294" s="1581"/>
      <c r="BQ294" s="623"/>
      <c r="BR294" s="623"/>
      <c r="BS294" s="979" t="s">
        <v>1815</v>
      </c>
      <c r="BT294" s="979"/>
      <c r="BU294" s="979"/>
      <c r="BV294" s="630"/>
      <c r="BW294" s="630"/>
    </row>
    <row r="295" spans="1:75" s="1593" customFormat="1" ht="20.25" customHeight="1" x14ac:dyDescent="0.15">
      <c r="A295" s="623"/>
      <c r="B295" s="357"/>
      <c r="C295" s="623"/>
      <c r="D295" s="28">
        <f>D294+1</f>
        <v>10</v>
      </c>
      <c r="E295" s="630">
        <v>21</v>
      </c>
      <c r="F295" s="3" t="str" cm="1">
        <f t="array" aca="1" ref="F295" ca="1">OFFSET(E295,-1,1)</f>
        <v>1</v>
      </c>
      <c r="G295" s="623"/>
      <c r="H295" s="77"/>
      <c r="I295" s="77" t="s">
        <v>1824</v>
      </c>
      <c r="J295" s="623"/>
      <c r="K295" s="77" t="s">
        <v>1824</v>
      </c>
      <c r="L295" s="894"/>
      <c r="M295" s="28"/>
      <c r="N295" s="623"/>
      <c r="O295" s="623"/>
      <c r="P295" s="623"/>
      <c r="Q295" s="623"/>
      <c r="R295" s="623"/>
      <c r="S295" s="623"/>
      <c r="T295" s="388" t="b" cm="1">
        <f t="array" aca="1" ref="T295" ca="1">T294</f>
        <v>1</v>
      </c>
      <c r="U295" s="623"/>
      <c r="V295" s="623"/>
      <c r="W295" s="623"/>
      <c r="X295" s="2032"/>
      <c r="Y295" s="623"/>
      <c r="Z295" s="2012"/>
      <c r="AA295" s="623"/>
      <c r="AB295" s="130" cm="1">
        <f t="array" ref="AB295">D295</f>
        <v>10</v>
      </c>
      <c r="AC295" s="131" t="s">
        <v>2151</v>
      </c>
      <c r="AD295" s="130" t="s">
        <v>831</v>
      </c>
      <c r="AE295" s="132">
        <f t="shared" ref="AE295:BC295" ca="1" si="72">AE294+AE279+AE292</f>
        <v>216035.30709615839</v>
      </c>
      <c r="AF295" s="132">
        <f t="shared" ca="1" si="72"/>
        <v>235695.33000000002</v>
      </c>
      <c r="AG295" s="132">
        <f t="shared" ca="1" si="72"/>
        <v>205197.39097599548</v>
      </c>
      <c r="AH295" s="690">
        <f t="shared" ca="1" si="72"/>
        <v>-30497.939024004521</v>
      </c>
      <c r="AI295" s="690">
        <f t="shared" ca="1" si="72"/>
        <v>221884.10107325102</v>
      </c>
      <c r="AJ295" s="690">
        <f t="shared" ca="1" si="72"/>
        <v>303684.68999999994</v>
      </c>
      <c r="AK295" s="690">
        <f t="shared" ca="1" si="72"/>
        <v>281085.48981059855</v>
      </c>
      <c r="AL295" s="690">
        <f t="shared" ca="1" si="72"/>
        <v>291532.99803321564</v>
      </c>
      <c r="AM295" s="690">
        <f t="shared" ca="1" si="72"/>
        <v>302238.70782542031</v>
      </c>
      <c r="AN295" s="690">
        <f t="shared" ca="1" si="72"/>
        <v>313311.31433509523</v>
      </c>
      <c r="AO295" s="690">
        <f t="shared" ca="1" si="72"/>
        <v>324803.34209209902</v>
      </c>
      <c r="AP295" s="690">
        <f t="shared" ca="1" si="72"/>
        <v>336694.67599908652</v>
      </c>
      <c r="AQ295" s="690">
        <f t="shared" ca="1" si="72"/>
        <v>164333.088106468</v>
      </c>
      <c r="AR295" s="690">
        <f t="shared" ca="1" si="72"/>
        <v>164333.088106468</v>
      </c>
      <c r="AS295" s="690">
        <f t="shared" ca="1" si="72"/>
        <v>164333.088106468</v>
      </c>
      <c r="AT295" s="690">
        <f t="shared" ca="1" si="72"/>
        <v>225853.67348449657</v>
      </c>
      <c r="AU295" s="690">
        <f t="shared" ca="1" si="72"/>
        <v>242597.84223999409</v>
      </c>
      <c r="AV295" s="690">
        <f t="shared" ca="1" si="72"/>
        <v>253008.75812315312</v>
      </c>
      <c r="AW295" s="690">
        <f t="shared" ca="1" si="72"/>
        <v>264378.31386258069</v>
      </c>
      <c r="AX295" s="690">
        <f t="shared" ca="1" si="72"/>
        <v>275765.86024526658</v>
      </c>
      <c r="AY295" s="690">
        <f t="shared" ca="1" si="72"/>
        <v>285361.57814616128</v>
      </c>
      <c r="AZ295" s="690">
        <f t="shared" ca="1" si="72"/>
        <v>294169.0994850042</v>
      </c>
      <c r="BA295" s="690">
        <f t="shared" ca="1" si="72"/>
        <v>125191.369471513</v>
      </c>
      <c r="BB295" s="690">
        <f t="shared" ca="1" si="72"/>
        <v>125191.369471513</v>
      </c>
      <c r="BC295" s="690">
        <f t="shared" ca="1" si="72"/>
        <v>125191.369471513</v>
      </c>
      <c r="BD295" s="681">
        <f ca="1">IF(AI295=0,0,(AT295-AI295)/AI295*100)</f>
        <v>1.7890296745214151</v>
      </c>
      <c r="BE295" s="681">
        <f t="shared" ca="1" si="71"/>
        <v>7.4137243362777996</v>
      </c>
      <c r="BF295" s="681">
        <f t="shared" ca="1" si="71"/>
        <v>4.2914297122477514</v>
      </c>
      <c r="BG295" s="681">
        <f t="shared" ca="1" si="71"/>
        <v>4.4937399889901783</v>
      </c>
      <c r="BH295" s="681">
        <f t="shared" ca="1" si="71"/>
        <v>4.3072921588436115</v>
      </c>
      <c r="BI295" s="681">
        <f t="shared" ca="1" si="71"/>
        <v>3.4796612939543179</v>
      </c>
      <c r="BJ295" s="681">
        <f t="shared" ca="1" si="71"/>
        <v>3.0864426094292701</v>
      </c>
      <c r="BK295" s="681">
        <f t="shared" ca="1" si="71"/>
        <v>-57.442379335326876</v>
      </c>
      <c r="BL295" s="681">
        <f t="shared" ca="1" si="71"/>
        <v>0</v>
      </c>
      <c r="BM295" s="681">
        <f t="shared" ca="1" si="71"/>
        <v>0</v>
      </c>
      <c r="BN295" s="1581"/>
      <c r="BO295" s="1581"/>
      <c r="BP295" s="1581"/>
      <c r="BQ295" s="623"/>
      <c r="BR295" s="623"/>
      <c r="BS295" s="979" t="s">
        <v>2152</v>
      </c>
      <c r="BT295" s="979"/>
      <c r="BU295" s="979"/>
      <c r="BV295" s="630"/>
      <c r="BW295" s="630"/>
    </row>
    <row r="296" spans="1:75" s="1334" customFormat="1" ht="14.25" hidden="1" customHeight="1" x14ac:dyDescent="0.25">
      <c r="A296" s="1184"/>
      <c r="B296" s="367" t="b">
        <f>A171="двухставочный"</f>
        <v>0</v>
      </c>
      <c r="C296" s="1184"/>
      <c r="D296" s="26" cm="1">
        <f t="array" ref="D296">D295</f>
        <v>10</v>
      </c>
      <c r="E296" s="626">
        <v>15</v>
      </c>
      <c r="F296" s="3" t="str" cm="1">
        <f t="array" aca="1" ref="F296" ca="1">OFFSET(E296,-1,1)</f>
        <v>1</v>
      </c>
      <c r="G296" s="1184"/>
      <c r="H296" s="2"/>
      <c r="I296" s="295" t="s">
        <v>1828</v>
      </c>
      <c r="J296" s="1184"/>
      <c r="K296" s="295" t="s">
        <v>1828</v>
      </c>
      <c r="L296" s="889" t="s">
        <v>1816</v>
      </c>
      <c r="M296" s="26"/>
      <c r="N296" s="1184"/>
      <c r="O296" s="1184"/>
      <c r="P296" s="1184"/>
      <c r="Q296" s="1184"/>
      <c r="R296" s="1184"/>
      <c r="S296" s="1184"/>
      <c r="T296" s="388" t="b" cm="1">
        <f t="array" aca="1" ref="T296" ca="1">T295</f>
        <v>1</v>
      </c>
      <c r="U296" s="1184"/>
      <c r="V296" s="1184"/>
      <c r="W296" s="1184"/>
      <c r="X296" s="2032"/>
      <c r="Y296" s="1184"/>
      <c r="Z296" s="2012"/>
      <c r="AA296" s="1184"/>
      <c r="AB296" s="218" t="str">
        <f>D296&amp;".1"</f>
        <v>10.1</v>
      </c>
      <c r="AC296" s="702" t="s">
        <v>1818</v>
      </c>
      <c r="AD296" s="218" t="s">
        <v>831</v>
      </c>
      <c r="AE296" s="1162"/>
      <c r="AF296" s="1162"/>
      <c r="AG296" s="1162"/>
      <c r="AH296" s="855">
        <f t="shared" ref="AH296:AH302" si="73">AG296-AF296</f>
        <v>0</v>
      </c>
      <c r="AI296" s="1160"/>
      <c r="AJ296" s="1568"/>
      <c r="AK296" s="1160"/>
      <c r="AL296" s="1160"/>
      <c r="AM296" s="1160"/>
      <c r="AN296" s="1160"/>
      <c r="AO296" s="1160"/>
      <c r="AP296" s="1160"/>
      <c r="AQ296" s="1160"/>
      <c r="AR296" s="1160"/>
      <c r="AS296" s="1160"/>
      <c r="AT296" s="1568"/>
      <c r="AU296" s="1160"/>
      <c r="AV296" s="1160"/>
      <c r="AW296" s="1160"/>
      <c r="AX296" s="1160"/>
      <c r="AY296" s="1160"/>
      <c r="AZ296" s="1160"/>
      <c r="BA296" s="1160"/>
      <c r="BB296" s="1160"/>
      <c r="BC296" s="1160"/>
      <c r="BD296" s="854"/>
      <c r="BE296" s="854"/>
      <c r="BF296" s="854"/>
      <c r="BG296" s="854"/>
      <c r="BH296" s="854"/>
      <c r="BI296" s="854"/>
      <c r="BJ296" s="854"/>
      <c r="BK296" s="854"/>
      <c r="BL296" s="854"/>
      <c r="BM296" s="854"/>
      <c r="BN296" s="1163"/>
      <c r="BO296" s="1163"/>
      <c r="BP296" s="1163"/>
      <c r="BQ296" s="1184"/>
      <c r="BR296" s="1184"/>
      <c r="BS296" s="971" t="s">
        <v>1819</v>
      </c>
      <c r="BT296" s="973"/>
      <c r="BU296" s="973"/>
      <c r="BV296" s="888"/>
      <c r="BW296" s="888"/>
    </row>
    <row r="297" spans="1:75" s="1334" customFormat="1" ht="14.25" hidden="1" customHeight="1" x14ac:dyDescent="0.25">
      <c r="A297" s="1184"/>
      <c r="B297" s="367" t="b">
        <f>A171="двухставочный"</f>
        <v>0</v>
      </c>
      <c r="C297" s="1184"/>
      <c r="D297" s="26" cm="1">
        <f t="array" ref="D297">D296</f>
        <v>10</v>
      </c>
      <c r="E297" s="626">
        <v>15</v>
      </c>
      <c r="F297" s="3" t="str" cm="1">
        <f t="array" aca="1" ref="F297" ca="1">OFFSET(E297,-1,1)</f>
        <v>1</v>
      </c>
      <c r="G297" s="1184"/>
      <c r="H297" s="2"/>
      <c r="I297" s="295" t="s">
        <v>1832</v>
      </c>
      <c r="J297" s="1184"/>
      <c r="K297" s="295" t="s">
        <v>1832</v>
      </c>
      <c r="L297" s="889" t="s">
        <v>1820</v>
      </c>
      <c r="M297" s="26"/>
      <c r="N297" s="1184"/>
      <c r="O297" s="1184"/>
      <c r="P297" s="1184"/>
      <c r="Q297" s="1184"/>
      <c r="R297" s="1184"/>
      <c r="S297" s="1184"/>
      <c r="T297" s="388" t="b" cm="1">
        <f t="array" aca="1" ref="T297" ca="1">T296</f>
        <v>1</v>
      </c>
      <c r="U297" s="1184"/>
      <c r="V297" s="1184"/>
      <c r="W297" s="1184"/>
      <c r="X297" s="2032"/>
      <c r="Y297" s="1184"/>
      <c r="Z297" s="2012"/>
      <c r="AA297" s="1184"/>
      <c r="AB297" s="218" t="str">
        <f>D297&amp;".2"</f>
        <v>10.2</v>
      </c>
      <c r="AC297" s="702" t="s">
        <v>1822</v>
      </c>
      <c r="AD297" s="218" t="s">
        <v>831</v>
      </c>
      <c r="AE297" s="1162"/>
      <c r="AF297" s="1162"/>
      <c r="AG297" s="1162"/>
      <c r="AH297" s="855">
        <f t="shared" si="73"/>
        <v>0</v>
      </c>
      <c r="AI297" s="1160"/>
      <c r="AJ297" s="1568"/>
      <c r="AK297" s="1160"/>
      <c r="AL297" s="1160"/>
      <c r="AM297" s="1160"/>
      <c r="AN297" s="1160"/>
      <c r="AO297" s="1160"/>
      <c r="AP297" s="1160"/>
      <c r="AQ297" s="1160"/>
      <c r="AR297" s="1160"/>
      <c r="AS297" s="1160"/>
      <c r="AT297" s="1568"/>
      <c r="AU297" s="1160"/>
      <c r="AV297" s="1160"/>
      <c r="AW297" s="1160"/>
      <c r="AX297" s="1160"/>
      <c r="AY297" s="1160"/>
      <c r="AZ297" s="1160"/>
      <c r="BA297" s="1160"/>
      <c r="BB297" s="1160"/>
      <c r="BC297" s="1160"/>
      <c r="BD297" s="854"/>
      <c r="BE297" s="854"/>
      <c r="BF297" s="854"/>
      <c r="BG297" s="854"/>
      <c r="BH297" s="854"/>
      <c r="BI297" s="854"/>
      <c r="BJ297" s="854"/>
      <c r="BK297" s="854"/>
      <c r="BL297" s="854"/>
      <c r="BM297" s="854"/>
      <c r="BN297" s="1163"/>
      <c r="BO297" s="1163"/>
      <c r="BP297" s="1163"/>
      <c r="BQ297" s="1184"/>
      <c r="BR297" s="1184"/>
      <c r="BS297" s="971" t="s">
        <v>1823</v>
      </c>
      <c r="BT297" s="973"/>
      <c r="BU297" s="973"/>
      <c r="BV297" s="888"/>
      <c r="BW297" s="888"/>
    </row>
    <row r="298" spans="1:75" s="1594" customFormat="1" ht="20.25" customHeight="1" x14ac:dyDescent="0.25">
      <c r="A298" s="623"/>
      <c r="B298" s="357"/>
      <c r="C298" s="623"/>
      <c r="D298" s="28">
        <f>D297+1</f>
        <v>11</v>
      </c>
      <c r="E298" s="630">
        <v>21</v>
      </c>
      <c r="F298" s="3" t="str" cm="1">
        <f t="array" aca="1" ref="F298" ca="1">OFFSET(E298,-1,1)</f>
        <v>1</v>
      </c>
      <c r="G298" s="77" t="s">
        <v>1597</v>
      </c>
      <c r="H298" s="77"/>
      <c r="I298" s="77" t="s">
        <v>1852</v>
      </c>
      <c r="J298" s="623"/>
      <c r="K298" s="77" t="s">
        <v>1852</v>
      </c>
      <c r="L298" s="894" t="s">
        <v>1824</v>
      </c>
      <c r="M298" s="28"/>
      <c r="N298" s="623"/>
      <c r="O298" s="623"/>
      <c r="P298" s="623"/>
      <c r="Q298" s="623"/>
      <c r="R298" s="623"/>
      <c r="S298" s="623"/>
      <c r="T298" s="388" t="b" cm="1">
        <f t="array" aca="1" ref="T298" ca="1">T297</f>
        <v>1</v>
      </c>
      <c r="U298" s="623"/>
      <c r="V298" s="623"/>
      <c r="W298" s="623"/>
      <c r="X298" s="2032"/>
      <c r="Y298" s="623"/>
      <c r="Z298" s="2012"/>
      <c r="AA298" s="623"/>
      <c r="AB298" s="130" cm="1">
        <f t="array" ref="AB298">D298</f>
        <v>11</v>
      </c>
      <c r="AC298" s="131" t="s">
        <v>1826</v>
      </c>
      <c r="AD298" s="130" t="s">
        <v>563</v>
      </c>
      <c r="AE298" s="705">
        <f ca="1">SUMIFS(Баланс!AE$26:AE$300,Баланс!$F$26:$F$300,$F298,Баланс!$G$26:$G$300,"ПО")</f>
        <v>4526.2517653333998</v>
      </c>
      <c r="AF298" s="705">
        <f ca="1">SUMIFS(Баланс!AF$26:AF$300,Баланс!$F$26:$F$300,$F298,Баланс!$G$26:$G$300,"ПО")</f>
        <v>4334.1180000000004</v>
      </c>
      <c r="AG298" s="705">
        <f ca="1">SUMIFS(Баланс!AG$26:AG$300,Баланс!$F$26:$F$300,$F298,Баланс!$G$26:$G$300,"ПО")</f>
        <v>4334.1180000000004</v>
      </c>
      <c r="AH298" s="706">
        <f t="shared" ca="1" si="73"/>
        <v>0</v>
      </c>
      <c r="AI298" s="706">
        <f ca="1">SUMIFS(Баланс!AH$26:AH$300,Баланс!$F$26:$F$300,$F298,Баланс!$G$26:$G$300,"ПО")</f>
        <v>4526.2517653333998</v>
      </c>
      <c r="AJ298" s="706">
        <f ca="1">SUMIFS(Баланс!AI$26:AI$300,Баланс!$F$26:$F$300,$F298,Баланс!$G$26:$G$300,"ПО")</f>
        <v>4334.1180000000004</v>
      </c>
      <c r="AK298" s="706">
        <f ca="1">SUMIFS(Баланс!AJ$26:AJ$300,Баланс!$F$26:$F$300,$F298,Баланс!$G$26:$G$300,"ПО")</f>
        <v>4507.9322099999999</v>
      </c>
      <c r="AL298" s="706">
        <f ca="1">SUMIFS(Баланс!AK$26:AK$300,Баланс!$F$26:$F$300,$F298,Баланс!$G$26:$G$300,"ПО")</f>
        <v>4507.9322099999999</v>
      </c>
      <c r="AM298" s="706">
        <f ca="1">SUMIFS(Баланс!AL$26:AL$300,Баланс!$F$26:$F$300,$F298,Баланс!$G$26:$G$300,"ПО")</f>
        <v>4507.9322099999999</v>
      </c>
      <c r="AN298" s="706">
        <f ca="1">SUMIFS(Баланс!AM$26:AM$300,Баланс!$F$26:$F$300,$F298,Баланс!$G$26:$G$300,"ПО")</f>
        <v>4507.9322099999999</v>
      </c>
      <c r="AO298" s="706">
        <f ca="1">SUMIFS(Баланс!AN$26:AN$300,Баланс!$F$26:$F$300,$F298,Баланс!$G$26:$G$300,"ПО")</f>
        <v>4507.9322099999999</v>
      </c>
      <c r="AP298" s="706">
        <f ca="1">SUMIFS(Баланс!AO$26:AO$300,Баланс!$F$26:$F$300,$F298,Баланс!$G$26:$G$300,"ПО")</f>
        <v>4507.9322099999999</v>
      </c>
      <c r="AQ298" s="706">
        <f ca="1">SUMIFS(Баланс!AP$26:AP$300,Баланс!$F$26:$F$300,$F298,Баланс!$G$26:$G$300,"ПО")</f>
        <v>0</v>
      </c>
      <c r="AR298" s="706">
        <f ca="1">SUMIFS(Баланс!AQ$26:AQ$300,Баланс!$F$26:$F$300,$F298,Баланс!$G$26:$G$300,"ПО")</f>
        <v>0</v>
      </c>
      <c r="AS298" s="706">
        <f ca="1">SUMIFS(Баланс!AR$26:AR$300,Баланс!$F$26:$F$300,$F298,Баланс!$G$26:$G$300,"ПО")</f>
        <v>0</v>
      </c>
      <c r="AT298" s="706">
        <f ca="1">SUMIFS(Баланс!AS$26:AS$300,Баланс!$F$26:$F$300,$F298,Баланс!$G$26:$G$300,"ПО")</f>
        <v>4336.8803100000005</v>
      </c>
      <c r="AU298" s="706">
        <f ca="1">SUMIFS(Баланс!AT$26:AT$300,Баланс!$F$26:$F$300,$F298,Баланс!$G$26:$G$300,"ПО")</f>
        <v>4526.2517653333998</v>
      </c>
      <c r="AV298" s="706">
        <f ca="1">SUMIFS(Баланс!AU$26:AU$300,Баланс!$F$26:$F$300,$F298,Баланс!$G$26:$G$300,"ПО")</f>
        <v>4526.2517653333998</v>
      </c>
      <c r="AW298" s="706">
        <f ca="1">SUMIFS(Баланс!AV$26:AV$300,Баланс!$F$26:$F$300,$F298,Баланс!$G$26:$G$300,"ПО")</f>
        <v>4526.2517653333998</v>
      </c>
      <c r="AX298" s="706">
        <f ca="1">SUMIFS(Баланс!AW$26:AW$300,Баланс!$F$26:$F$300,$F298,Баланс!$G$26:$G$300,"ПО")</f>
        <v>4526.2517653333998</v>
      </c>
      <c r="AY298" s="706">
        <f ca="1">SUMIFS(Баланс!AX$26:AX$300,Баланс!$F$26:$F$300,$F298,Баланс!$G$26:$G$300,"ПО")</f>
        <v>4526.2517653333998</v>
      </c>
      <c r="AZ298" s="706">
        <f ca="1">SUMIFS(Баланс!AY$26:AY$300,Баланс!$F$26:$F$300,$F298,Баланс!$G$26:$G$300,"ПО")</f>
        <v>4526.2517653333998</v>
      </c>
      <c r="BA298" s="706">
        <f ca="1">SUMIFS(Баланс!AZ$26:AZ$300,Баланс!$F$26:$F$300,$F298,Баланс!$G$26:$G$300,"ПО")</f>
        <v>0</v>
      </c>
      <c r="BB298" s="706">
        <f ca="1">SUMIFS(Баланс!BA$26:BA$300,Баланс!$F$26:$F$300,$F298,Баланс!$G$26:$G$300,"ПО")</f>
        <v>0</v>
      </c>
      <c r="BC298" s="706">
        <f ca="1">SUMIFS(Баланс!BB$26:BB$300,Баланс!$F$26:$F$300,$F298,Баланс!$G$26:$G$300,"ПО")</f>
        <v>0</v>
      </c>
      <c r="BD298" s="684"/>
      <c r="BE298" s="684"/>
      <c r="BF298" s="684"/>
      <c r="BG298" s="684"/>
      <c r="BH298" s="684"/>
      <c r="BI298" s="684"/>
      <c r="BJ298" s="684"/>
      <c r="BK298" s="684"/>
      <c r="BL298" s="684"/>
      <c r="BM298" s="684"/>
      <c r="BN298" s="1581"/>
      <c r="BO298" s="1581" t="s">
        <v>2219</v>
      </c>
      <c r="BP298" s="1581"/>
      <c r="BQ298" s="623"/>
      <c r="BR298" s="623"/>
      <c r="BS298" s="972" t="s">
        <v>1827</v>
      </c>
      <c r="BT298" s="979"/>
      <c r="BU298" s="979"/>
      <c r="BV298" s="630"/>
      <c r="BW298" s="630"/>
    </row>
    <row r="299" spans="1:75" s="1334" customFormat="1" ht="14.65" customHeight="1" x14ac:dyDescent="0.25">
      <c r="A299" s="1184"/>
      <c r="B299" s="887"/>
      <c r="C299" s="1184"/>
      <c r="D299" s="26" cm="1">
        <f t="array" ref="D299">D298</f>
        <v>11</v>
      </c>
      <c r="E299" s="626">
        <v>15</v>
      </c>
      <c r="F299" s="3" t="str" cm="1">
        <f t="array" aca="1" ref="F299" ca="1">OFFSET(E299,-1,1)</f>
        <v>1</v>
      </c>
      <c r="G299" s="77" t="s">
        <v>1624</v>
      </c>
      <c r="H299" s="1184"/>
      <c r="I299" s="77" t="s">
        <v>2153</v>
      </c>
      <c r="J299" s="1184"/>
      <c r="K299" s="77" t="s">
        <v>2153</v>
      </c>
      <c r="L299" s="889" t="s">
        <v>1828</v>
      </c>
      <c r="M299" s="26"/>
      <c r="N299" s="1184"/>
      <c r="O299" s="1184"/>
      <c r="P299" s="1184"/>
      <c r="Q299" s="1184"/>
      <c r="R299" s="1184"/>
      <c r="S299" s="1184"/>
      <c r="T299" s="388" t="b" cm="1">
        <f t="array" aca="1" ref="T299" ca="1">T298</f>
        <v>1</v>
      </c>
      <c r="U299" s="1184"/>
      <c r="V299" s="1184"/>
      <c r="W299" s="1184"/>
      <c r="X299" s="2032"/>
      <c r="Y299" s="1184"/>
      <c r="Z299" s="2012"/>
      <c r="AA299" s="1184"/>
      <c r="AB299" s="218" t="str">
        <f>D299&amp;".1"</f>
        <v>11.1</v>
      </c>
      <c r="AC299" s="1019" t="s">
        <v>1830</v>
      </c>
      <c r="AD299" s="218" t="s">
        <v>563</v>
      </c>
      <c r="AE299" s="1570">
        <v>2263.1258826666999</v>
      </c>
      <c r="AF299" s="1570">
        <f ca="1">AF298/2</f>
        <v>2167.0590000000002</v>
      </c>
      <c r="AG299" s="1570">
        <f ca="1">AG298/2</f>
        <v>2167.0590000000002</v>
      </c>
      <c r="AH299" s="853">
        <f t="shared" ca="1" si="73"/>
        <v>0</v>
      </c>
      <c r="AI299" s="1519">
        <v>2263.1258826666999</v>
      </c>
      <c r="AJ299" s="1570">
        <v>2253.966105</v>
      </c>
      <c r="AK299" s="1167">
        <v>2253.966105</v>
      </c>
      <c r="AL299" s="1168">
        <v>2253.966105</v>
      </c>
      <c r="AM299" s="1168">
        <v>2253.966105</v>
      </c>
      <c r="AN299" s="1168">
        <v>2253.966105</v>
      </c>
      <c r="AO299" s="1168">
        <v>2253.966105</v>
      </c>
      <c r="AP299" s="1168">
        <v>2253.966105</v>
      </c>
      <c r="AQ299" s="1519">
        <f ca="1">AQ298/2</f>
        <v>0</v>
      </c>
      <c r="AR299" s="1519">
        <f ca="1">AR298/2</f>
        <v>0</v>
      </c>
      <c r="AS299" s="1519">
        <f ca="1">AS298/2</f>
        <v>0</v>
      </c>
      <c r="AT299" s="1519">
        <v>2263.1258826666999</v>
      </c>
      <c r="AU299" s="1168">
        <v>2263.1258826666999</v>
      </c>
      <c r="AV299" s="1168">
        <v>2263.1258826666999</v>
      </c>
      <c r="AW299" s="1168">
        <v>2263.1258826666999</v>
      </c>
      <c r="AX299" s="1168">
        <v>2263.1258826666999</v>
      </c>
      <c r="AY299" s="1168">
        <v>2263.1258826666999</v>
      </c>
      <c r="AZ299" s="1168">
        <v>2263.1258826666999</v>
      </c>
      <c r="BA299" s="1519">
        <f ca="1">BA298/2</f>
        <v>0</v>
      </c>
      <c r="BB299" s="1519">
        <f ca="1">BB298/2</f>
        <v>0</v>
      </c>
      <c r="BC299" s="1519">
        <f ca="1">BC298/2</f>
        <v>0</v>
      </c>
      <c r="BD299" s="854"/>
      <c r="BE299" s="854"/>
      <c r="BF299" s="854"/>
      <c r="BG299" s="854"/>
      <c r="BH299" s="854"/>
      <c r="BI299" s="854"/>
      <c r="BJ299" s="854"/>
      <c r="BK299" s="854"/>
      <c r="BL299" s="854"/>
      <c r="BM299" s="854"/>
      <c r="BN299" s="1581"/>
      <c r="BO299" s="1581"/>
      <c r="BP299" s="1581"/>
      <c r="BQ299" s="1184"/>
      <c r="BR299" s="1184"/>
      <c r="BS299" s="971" t="s">
        <v>1831</v>
      </c>
      <c r="BT299" s="973"/>
      <c r="BU299" s="973"/>
      <c r="BV299" s="888"/>
      <c r="BW299" s="888"/>
    </row>
    <row r="300" spans="1:75" s="1334" customFormat="1" ht="14.65" customHeight="1" x14ac:dyDescent="0.25">
      <c r="A300" s="1184"/>
      <c r="B300" s="887"/>
      <c r="C300" s="1184"/>
      <c r="D300" s="26" cm="1">
        <f t="array" ref="D300">D299</f>
        <v>11</v>
      </c>
      <c r="E300" s="626">
        <v>15</v>
      </c>
      <c r="F300" s="3" t="str" cm="1">
        <f t="array" aca="1" ref="F300" ca="1">OFFSET(E300,-1,1)</f>
        <v>1</v>
      </c>
      <c r="G300" s="77" t="s">
        <v>1585</v>
      </c>
      <c r="H300" s="1184"/>
      <c r="I300" s="77" t="s">
        <v>2154</v>
      </c>
      <c r="J300" s="1184"/>
      <c r="K300" s="77" t="s">
        <v>2154</v>
      </c>
      <c r="L300" s="889" t="s">
        <v>1832</v>
      </c>
      <c r="M300" s="26"/>
      <c r="N300" s="1184"/>
      <c r="O300" s="1184"/>
      <c r="P300" s="1184"/>
      <c r="Q300" s="1184"/>
      <c r="R300" s="1184"/>
      <c r="S300" s="1184"/>
      <c r="T300" s="388" t="b" cm="1">
        <f t="array" aca="1" ref="T300" ca="1">T299</f>
        <v>1</v>
      </c>
      <c r="U300" s="1184"/>
      <c r="V300" s="1184"/>
      <c r="W300" s="1184"/>
      <c r="X300" s="2032"/>
      <c r="Y300" s="1184"/>
      <c r="Z300" s="2012"/>
      <c r="AA300" s="1184"/>
      <c r="AB300" s="218" t="str">
        <f>D300&amp;".2"</f>
        <v>11.2</v>
      </c>
      <c r="AC300" s="1019" t="s">
        <v>1834</v>
      </c>
      <c r="AD300" s="218" t="s">
        <v>1588</v>
      </c>
      <c r="AE300" s="1567">
        <v>47.729405464999999</v>
      </c>
      <c r="AF300" s="1567">
        <v>54.381382786532299</v>
      </c>
      <c r="AG300" s="1567">
        <v>47.344671044026903</v>
      </c>
      <c r="AH300" s="855">
        <f t="shared" si="73"/>
        <v>-7.0367117425053962</v>
      </c>
      <c r="AI300" s="1521">
        <v>47.729405464999999</v>
      </c>
      <c r="AJ300" s="1521">
        <v>70.069999999999993</v>
      </c>
      <c r="AK300" s="1169">
        <v>62.907293322900003</v>
      </c>
      <c r="AL300" s="1169">
        <v>65.263337262799993</v>
      </c>
      <c r="AM300" s="1169">
        <v>67.739464045600002</v>
      </c>
      <c r="AN300" s="1169">
        <v>70.222836525000005</v>
      </c>
      <c r="AO300" s="1169">
        <v>72.810328324799997</v>
      </c>
      <c r="AP300" s="1169">
        <v>75.586172871299993</v>
      </c>
      <c r="AQ300" s="1521"/>
      <c r="AR300" s="1521"/>
      <c r="AS300" s="1521"/>
      <c r="AT300" s="1521">
        <v>50.313792702000001</v>
      </c>
      <c r="AU300" s="1169">
        <v>52.926890897600003</v>
      </c>
      <c r="AV300" s="1169">
        <v>55.3720632705</v>
      </c>
      <c r="AW300" s="1169">
        <v>57.603738131900002</v>
      </c>
      <c r="AX300" s="1169">
        <v>60.597604509</v>
      </c>
      <c r="AY300" s="1169">
        <v>62.68954213</v>
      </c>
      <c r="AZ300" s="1169">
        <v>64.913726668099997</v>
      </c>
      <c r="BA300" s="1521" cm="1">
        <f t="array" ref="BA300">AZ302</f>
        <v>66.856127181900007</v>
      </c>
      <c r="BB300" s="1521" cm="1">
        <f t="array" aca="1" ref="BB300" ca="1">BA302</f>
        <v>0</v>
      </c>
      <c r="BC300" s="1521" cm="1">
        <f t="array" aca="1" ref="BC300" ca="1">BB302</f>
        <v>0</v>
      </c>
      <c r="BD300" s="854"/>
      <c r="BE300" s="854"/>
      <c r="BF300" s="854"/>
      <c r="BG300" s="854"/>
      <c r="BH300" s="854"/>
      <c r="BI300" s="854"/>
      <c r="BJ300" s="854"/>
      <c r="BK300" s="854"/>
      <c r="BL300" s="854"/>
      <c r="BM300" s="854"/>
      <c r="BN300" s="1581"/>
      <c r="BO300" s="1581" t="s">
        <v>2220</v>
      </c>
      <c r="BP300" s="1581"/>
      <c r="BQ300" s="1184"/>
      <c r="BR300" s="1184"/>
      <c r="BS300" s="971" t="s">
        <v>1835</v>
      </c>
      <c r="BT300" s="973"/>
      <c r="BU300" s="973"/>
      <c r="BV300" s="888"/>
      <c r="BW300" s="888"/>
    </row>
    <row r="301" spans="1:75" s="1334" customFormat="1" ht="14.25" customHeight="1" x14ac:dyDescent="0.25">
      <c r="A301" s="1184"/>
      <c r="B301" s="887"/>
      <c r="C301" s="1184"/>
      <c r="D301" s="26" cm="1">
        <f t="array" ref="D301">D300</f>
        <v>11</v>
      </c>
      <c r="E301" s="626">
        <v>15</v>
      </c>
      <c r="F301" s="3" t="str" cm="1">
        <f t="array" aca="1" ref="F301" ca="1">OFFSET(E301,-1,1)</f>
        <v>1</v>
      </c>
      <c r="G301" s="77" t="s">
        <v>1637</v>
      </c>
      <c r="H301" s="1184"/>
      <c r="I301" s="77" t="s">
        <v>2155</v>
      </c>
      <c r="J301" s="1184"/>
      <c r="K301" s="77" t="s">
        <v>2155</v>
      </c>
      <c r="L301" s="889" t="s">
        <v>1836</v>
      </c>
      <c r="M301" s="26"/>
      <c r="N301" s="1184"/>
      <c r="O301" s="1184"/>
      <c r="P301" s="1184"/>
      <c r="Q301" s="1184"/>
      <c r="R301" s="1184"/>
      <c r="S301" s="1184"/>
      <c r="T301" s="388" t="b" cm="1">
        <f t="array" aca="1" ref="T301" ca="1">T300</f>
        <v>1</v>
      </c>
      <c r="U301" s="1184"/>
      <c r="V301" s="1184"/>
      <c r="W301" s="1184"/>
      <c r="X301" s="2032"/>
      <c r="Y301" s="1184"/>
      <c r="Z301" s="2012"/>
      <c r="AA301" s="1184"/>
      <c r="AB301" s="218" t="str">
        <f>D301&amp;".3"</f>
        <v>11.3</v>
      </c>
      <c r="AC301" s="1019" t="s">
        <v>2156</v>
      </c>
      <c r="AD301" s="218" t="s">
        <v>563</v>
      </c>
      <c r="AE301" s="858">
        <f ca="1">AE298-AE299</f>
        <v>2263.1258826666999</v>
      </c>
      <c r="AF301" s="858">
        <f ca="1">AF298-AF299</f>
        <v>2167.0590000000002</v>
      </c>
      <c r="AG301" s="858">
        <f ca="1">AG298-AG299</f>
        <v>2167.0590000000002</v>
      </c>
      <c r="AH301" s="853">
        <f t="shared" ca="1" si="73"/>
        <v>0</v>
      </c>
      <c r="AI301" s="744">
        <f t="shared" ref="AI301:BC301" ca="1" si="74">AI298-AI299</f>
        <v>2263.1258826666999</v>
      </c>
      <c r="AJ301" s="744">
        <f t="shared" ca="1" si="74"/>
        <v>2080.1518950000004</v>
      </c>
      <c r="AK301" s="744">
        <f t="shared" ca="1" si="74"/>
        <v>2253.966105</v>
      </c>
      <c r="AL301" s="744">
        <f t="shared" ca="1" si="74"/>
        <v>2253.966105</v>
      </c>
      <c r="AM301" s="744">
        <f t="shared" ca="1" si="74"/>
        <v>2253.966105</v>
      </c>
      <c r="AN301" s="744">
        <f t="shared" ca="1" si="74"/>
        <v>2253.966105</v>
      </c>
      <c r="AO301" s="744">
        <f t="shared" ca="1" si="74"/>
        <v>2253.966105</v>
      </c>
      <c r="AP301" s="744">
        <f t="shared" ca="1" si="74"/>
        <v>2253.966105</v>
      </c>
      <c r="AQ301" s="744">
        <f t="shared" ca="1" si="74"/>
        <v>0</v>
      </c>
      <c r="AR301" s="744">
        <f t="shared" ca="1" si="74"/>
        <v>0</v>
      </c>
      <c r="AS301" s="744">
        <f t="shared" ca="1" si="74"/>
        <v>0</v>
      </c>
      <c r="AT301" s="744">
        <f t="shared" ca="1" si="74"/>
        <v>2073.7544273333006</v>
      </c>
      <c r="AU301" s="744">
        <f t="shared" ca="1" si="74"/>
        <v>2263.1258826666999</v>
      </c>
      <c r="AV301" s="744">
        <f t="shared" ca="1" si="74"/>
        <v>2263.1258826666999</v>
      </c>
      <c r="AW301" s="744">
        <f t="shared" ca="1" si="74"/>
        <v>2263.1258826666999</v>
      </c>
      <c r="AX301" s="744">
        <f t="shared" ca="1" si="74"/>
        <v>2263.1258826666999</v>
      </c>
      <c r="AY301" s="744">
        <f t="shared" ca="1" si="74"/>
        <v>2263.1258826666999</v>
      </c>
      <c r="AZ301" s="744">
        <f t="shared" ca="1" si="74"/>
        <v>2263.1258826666999</v>
      </c>
      <c r="BA301" s="744">
        <f t="shared" ca="1" si="74"/>
        <v>0</v>
      </c>
      <c r="BB301" s="744">
        <f t="shared" ca="1" si="74"/>
        <v>0</v>
      </c>
      <c r="BC301" s="744">
        <f t="shared" ca="1" si="74"/>
        <v>0</v>
      </c>
      <c r="BD301" s="854"/>
      <c r="BE301" s="854"/>
      <c r="BF301" s="854"/>
      <c r="BG301" s="854"/>
      <c r="BH301" s="854"/>
      <c r="BI301" s="854"/>
      <c r="BJ301" s="854"/>
      <c r="BK301" s="854"/>
      <c r="BL301" s="854"/>
      <c r="BM301" s="854"/>
      <c r="BN301" s="1581"/>
      <c r="BO301" s="1581"/>
      <c r="BP301" s="1581"/>
      <c r="BQ301" s="1184"/>
      <c r="BR301" s="1184"/>
      <c r="BS301" s="971" t="s">
        <v>1839</v>
      </c>
      <c r="BT301" s="973"/>
      <c r="BU301" s="973"/>
      <c r="BV301" s="888"/>
      <c r="BW301" s="888"/>
    </row>
    <row r="302" spans="1:75" s="1334" customFormat="1" ht="14.65" customHeight="1" x14ac:dyDescent="0.25">
      <c r="A302" s="1184"/>
      <c r="B302" s="887"/>
      <c r="C302" s="1184"/>
      <c r="D302" s="26" cm="1">
        <f t="array" ref="D302">D301</f>
        <v>11</v>
      </c>
      <c r="E302" s="626">
        <v>15</v>
      </c>
      <c r="F302" s="3" t="str" cm="1">
        <f t="array" aca="1" ref="F302" ca="1">OFFSET(E302,-1,1)</f>
        <v>1</v>
      </c>
      <c r="G302" s="77" t="s">
        <v>1590</v>
      </c>
      <c r="H302" s="1184"/>
      <c r="I302" s="77" t="s">
        <v>2157</v>
      </c>
      <c r="J302" s="1184"/>
      <c r="K302" s="77" t="s">
        <v>2157</v>
      </c>
      <c r="L302" s="889" t="s">
        <v>1840</v>
      </c>
      <c r="M302" s="26"/>
      <c r="N302" s="1184"/>
      <c r="O302" s="1184"/>
      <c r="P302" s="1184"/>
      <c r="Q302" s="1184"/>
      <c r="R302" s="1184"/>
      <c r="S302" s="1184"/>
      <c r="T302" s="388" t="b" cm="1">
        <f t="array" aca="1" ref="T302" ca="1">T301</f>
        <v>1</v>
      </c>
      <c r="U302" s="1184"/>
      <c r="V302" s="1184"/>
      <c r="W302" s="1184"/>
      <c r="X302" s="2032"/>
      <c r="Y302" s="1184"/>
      <c r="Z302" s="2012"/>
      <c r="AA302" s="1184"/>
      <c r="AB302" s="218" t="str">
        <f>D302&amp;".4"</f>
        <v>11.4</v>
      </c>
      <c r="AC302" s="1019" t="s">
        <v>1842</v>
      </c>
      <c r="AD302" s="218" t="s">
        <v>1588</v>
      </c>
      <c r="AE302" s="1567">
        <v>47.729405464999999</v>
      </c>
      <c r="AF302" s="1567">
        <f ca="1">IF(AF301=0,0,(AF295-AF299*AF300)/AF301)</f>
        <v>54.381382786532392</v>
      </c>
      <c r="AG302" s="1567">
        <f ca="1">IF(AG301=0,0,(AG295-AG299*AG300)/AG301)</f>
        <v>47.344671044026754</v>
      </c>
      <c r="AH302" s="855">
        <f t="shared" ca="1" si="73"/>
        <v>-7.0367117425056378</v>
      </c>
      <c r="AI302" s="1521">
        <v>50.313792702000001</v>
      </c>
      <c r="AJ302" s="1521">
        <v>70.069999999999993</v>
      </c>
      <c r="AK302" s="1169">
        <v>62.907293322900003</v>
      </c>
      <c r="AL302" s="1169">
        <v>65.263337262799993</v>
      </c>
      <c r="AM302" s="1169">
        <v>67.739464045600002</v>
      </c>
      <c r="AN302" s="1169">
        <v>70.222836525000005</v>
      </c>
      <c r="AO302" s="1169">
        <v>72.810328324799997</v>
      </c>
      <c r="AP302" s="1169">
        <v>75.586172871299993</v>
      </c>
      <c r="AQ302" s="1521">
        <f ca="1">IF(AQ301=0,0,(AQ295-AQ299*AQ300)/AQ301)</f>
        <v>0</v>
      </c>
      <c r="AR302" s="1521">
        <f ca="1">IF(AR301=0,0,(AR295-AR299*AR300)/AR301)</f>
        <v>0</v>
      </c>
      <c r="AS302" s="1521">
        <f ca="1">IF(AS301=0,0,(AS295-AS299*AS300)/AS301)</f>
        <v>0</v>
      </c>
      <c r="AT302" s="1521">
        <v>57.37</v>
      </c>
      <c r="AU302" s="1169">
        <v>55.3720632705</v>
      </c>
      <c r="AV302" s="1169">
        <v>57.603738131900002</v>
      </c>
      <c r="AW302" s="1169">
        <v>60.597604509</v>
      </c>
      <c r="AX302" s="1169">
        <v>62.68954213</v>
      </c>
      <c r="AY302" s="1169">
        <v>64.913726668099997</v>
      </c>
      <c r="AZ302" s="1169">
        <v>66.856127181900007</v>
      </c>
      <c r="BA302" s="1521">
        <f ca="1">IF(BA301=0,0,(BA295-BA299*BA300)/BA301)</f>
        <v>0</v>
      </c>
      <c r="BB302" s="1521">
        <f ca="1">IF(BB301=0,0,(BB295-BB299*BB300)/BB301)</f>
        <v>0</v>
      </c>
      <c r="BC302" s="1521">
        <f ca="1">IF(BC301=0,0,(BC295-BC299*BC300)/BC301)</f>
        <v>0</v>
      </c>
      <c r="BD302" s="854"/>
      <c r="BE302" s="854"/>
      <c r="BF302" s="854"/>
      <c r="BG302" s="854"/>
      <c r="BH302" s="854"/>
      <c r="BI302" s="854"/>
      <c r="BJ302" s="854"/>
      <c r="BK302" s="854"/>
      <c r="BL302" s="854"/>
      <c r="BM302" s="854"/>
      <c r="BN302" s="1581"/>
      <c r="BO302" s="1581"/>
      <c r="BP302" s="1581"/>
      <c r="BQ302" s="1184"/>
      <c r="BR302" s="1184"/>
      <c r="BS302" s="971" t="s">
        <v>1843</v>
      </c>
      <c r="BT302" s="973"/>
      <c r="BU302" s="973"/>
      <c r="BV302" s="888"/>
      <c r="BW302" s="888"/>
    </row>
    <row r="303" spans="1:75" s="1334" customFormat="1" ht="14.25" customHeight="1" x14ac:dyDescent="0.25">
      <c r="A303" s="1184"/>
      <c r="B303" s="887"/>
      <c r="C303" s="1184"/>
      <c r="D303" s="26" cm="1">
        <f t="array" ref="D303">D302</f>
        <v>11</v>
      </c>
      <c r="E303" s="626">
        <v>15</v>
      </c>
      <c r="F303" s="3" t="str" cm="1">
        <f t="array" aca="1" ref="F303" ca="1">OFFSET(E303,-1,1)</f>
        <v>1</v>
      </c>
      <c r="G303" s="1184"/>
      <c r="H303" s="1184"/>
      <c r="I303" s="77" t="s">
        <v>2158</v>
      </c>
      <c r="J303" s="1184"/>
      <c r="K303" s="77" t="s">
        <v>2158</v>
      </c>
      <c r="L303" s="889" t="s">
        <v>1844</v>
      </c>
      <c r="M303" s="26"/>
      <c r="N303" s="1184"/>
      <c r="O303" s="1184"/>
      <c r="P303" s="1184"/>
      <c r="Q303" s="1184"/>
      <c r="R303" s="1184"/>
      <c r="S303" s="1184"/>
      <c r="T303" s="388" t="b" cm="1">
        <f t="array" aca="1" ref="T303" ca="1">T302</f>
        <v>1</v>
      </c>
      <c r="U303" s="1184"/>
      <c r="V303" s="1184"/>
      <c r="W303" s="1184"/>
      <c r="X303" s="2032"/>
      <c r="Y303" s="1184"/>
      <c r="Z303" s="2012"/>
      <c r="AA303" s="1184"/>
      <c r="AB303" s="218" t="str">
        <f>D303&amp;".5"</f>
        <v>11.5</v>
      </c>
      <c r="AC303" s="1019" t="s">
        <v>1846</v>
      </c>
      <c r="AD303" s="218" t="s">
        <v>490</v>
      </c>
      <c r="AE303" s="177">
        <f>IF(AE300=0,0,AE302/AE300*100)</f>
        <v>100</v>
      </c>
      <c r="AF303" s="177">
        <f ca="1">IF(AF300=0,0,AF302/AF300*100)</f>
        <v>100.00000000000017</v>
      </c>
      <c r="AG303" s="177">
        <f ca="1">IF(AG300=0,0,AG302/AG300*100)</f>
        <v>99.999999999999687</v>
      </c>
      <c r="AH303" s="854"/>
      <c r="AI303" s="722">
        <f t="shared" ref="AI303:BC303" si="75">IF(AI300=0,0,AI302/AI300*100)</f>
        <v>105.41466463246674</v>
      </c>
      <c r="AJ303" s="722">
        <f t="shared" si="75"/>
        <v>100</v>
      </c>
      <c r="AK303" s="722">
        <f t="shared" si="75"/>
        <v>100</v>
      </c>
      <c r="AL303" s="722">
        <f t="shared" si="75"/>
        <v>100</v>
      </c>
      <c r="AM303" s="722">
        <f t="shared" si="75"/>
        <v>100</v>
      </c>
      <c r="AN303" s="722">
        <f t="shared" si="75"/>
        <v>100</v>
      </c>
      <c r="AO303" s="722">
        <f t="shared" si="75"/>
        <v>100</v>
      </c>
      <c r="AP303" s="722">
        <f t="shared" si="75"/>
        <v>100</v>
      </c>
      <c r="AQ303" s="722">
        <f t="shared" si="75"/>
        <v>0</v>
      </c>
      <c r="AR303" s="722">
        <f t="shared" si="75"/>
        <v>0</v>
      </c>
      <c r="AS303" s="722">
        <f t="shared" si="75"/>
        <v>0</v>
      </c>
      <c r="AT303" s="722">
        <f t="shared" si="75"/>
        <v>114.02439951166612</v>
      </c>
      <c r="AU303" s="722">
        <f t="shared" si="75"/>
        <v>104.61990555544021</v>
      </c>
      <c r="AV303" s="722">
        <f t="shared" si="75"/>
        <v>104.03032635879572</v>
      </c>
      <c r="AW303" s="722">
        <f t="shared" si="75"/>
        <v>105.19734738437407</v>
      </c>
      <c r="AX303" s="722">
        <f t="shared" si="75"/>
        <v>103.45217874196547</v>
      </c>
      <c r="AY303" s="722">
        <f t="shared" si="75"/>
        <v>103.54793552884416</v>
      </c>
      <c r="AZ303" s="722">
        <f t="shared" si="75"/>
        <v>102.99228008234897</v>
      </c>
      <c r="BA303" s="722">
        <f t="shared" ca="1" si="75"/>
        <v>0</v>
      </c>
      <c r="BB303" s="722">
        <f t="shared" ca="1" si="75"/>
        <v>0</v>
      </c>
      <c r="BC303" s="722">
        <f t="shared" ca="1" si="75"/>
        <v>0</v>
      </c>
      <c r="BD303" s="854"/>
      <c r="BE303" s="854"/>
      <c r="BF303" s="854"/>
      <c r="BG303" s="854"/>
      <c r="BH303" s="854"/>
      <c r="BI303" s="854"/>
      <c r="BJ303" s="854"/>
      <c r="BK303" s="854"/>
      <c r="BL303" s="854"/>
      <c r="BM303" s="854"/>
      <c r="BN303" s="1581"/>
      <c r="BO303" s="1581"/>
      <c r="BP303" s="1581"/>
      <c r="BQ303" s="1184"/>
      <c r="BR303" s="1184"/>
      <c r="BS303" s="971" t="s">
        <v>1847</v>
      </c>
      <c r="BT303" s="973"/>
      <c r="BU303" s="973"/>
      <c r="BV303" s="888"/>
      <c r="BW303" s="888"/>
    </row>
    <row r="304" spans="1:75" s="1334" customFormat="1" ht="14.65" customHeight="1" x14ac:dyDescent="0.25">
      <c r="A304" s="1184"/>
      <c r="B304" s="887"/>
      <c r="C304" s="1184"/>
      <c r="D304" s="26" cm="1">
        <f t="array" ref="D304">D303</f>
        <v>11</v>
      </c>
      <c r="E304" s="626">
        <v>15</v>
      </c>
      <c r="F304" s="3" t="str" cm="1">
        <f t="array" aca="1" ref="F304" ca="1">OFFSET(E304,-1,1)</f>
        <v>1</v>
      </c>
      <c r="G304" s="1184"/>
      <c r="H304" s="1184"/>
      <c r="I304" s="77" t="s">
        <v>2159</v>
      </c>
      <c r="J304" s="1184"/>
      <c r="K304" s="77" t="s">
        <v>2159</v>
      </c>
      <c r="L304" s="889" t="s">
        <v>1848</v>
      </c>
      <c r="M304" s="26"/>
      <c r="N304" s="1184"/>
      <c r="O304" s="1184"/>
      <c r="P304" s="1184"/>
      <c r="Q304" s="1184"/>
      <c r="R304" s="1184"/>
      <c r="S304" s="1184"/>
      <c r="T304" s="388" t="b" cm="1">
        <f t="array" aca="1" ref="T304" ca="1">T303</f>
        <v>1</v>
      </c>
      <c r="U304" s="1184"/>
      <c r="V304" s="1184"/>
      <c r="W304" s="1184"/>
      <c r="X304" s="2032"/>
      <c r="Y304" s="1184"/>
      <c r="Z304" s="2012"/>
      <c r="AA304" s="1184"/>
      <c r="AB304" s="218" t="str">
        <f>D304&amp;".6"</f>
        <v>11.6</v>
      </c>
      <c r="AC304" s="1019" t="s">
        <v>1850</v>
      </c>
      <c r="AD304" s="218" t="s">
        <v>1588</v>
      </c>
      <c r="AE304" s="1567">
        <v>47.729405464999999</v>
      </c>
      <c r="AF304" s="1567">
        <f ca="1">IF(AF298=0,0,AF295/AF298)</f>
        <v>54.381382786532342</v>
      </c>
      <c r="AG304" s="1567">
        <f ca="1">IF(AG298=0,0,AG295/AG298)</f>
        <v>47.344671044026825</v>
      </c>
      <c r="AH304" s="855">
        <f ca="1">AG304-AF304</f>
        <v>-7.036711742505517</v>
      </c>
      <c r="AI304" s="1521">
        <v>49.0215990835</v>
      </c>
      <c r="AJ304" s="1521">
        <v>70.069999999999993</v>
      </c>
      <c r="AK304" s="1169">
        <v>62.907293322900003</v>
      </c>
      <c r="AL304" s="1169">
        <v>65.263337262799993</v>
      </c>
      <c r="AM304" s="1169">
        <v>67.739464045600002</v>
      </c>
      <c r="AN304" s="1169">
        <v>70.222836525000005</v>
      </c>
      <c r="AO304" s="1169">
        <v>72.810328324799997</v>
      </c>
      <c r="AP304" s="1169">
        <v>75.586172871299993</v>
      </c>
      <c r="AQ304" s="1521">
        <f ca="1">IF(AQ298=0,0,AQ295/AQ298)</f>
        <v>0</v>
      </c>
      <c r="AR304" s="1521">
        <f ca="1">IF(AR298=0,0,AR295/AR298)</f>
        <v>0</v>
      </c>
      <c r="AS304" s="1521">
        <f ca="1">IF(AS298=0,0,AS295/AS298)</f>
        <v>0</v>
      </c>
      <c r="AT304" s="1521">
        <v>52.08</v>
      </c>
      <c r="AU304" s="1169">
        <v>54.149477083999997</v>
      </c>
      <c r="AV304" s="1169">
        <v>56.487900701199997</v>
      </c>
      <c r="AW304" s="1169">
        <v>59.100671320499998</v>
      </c>
      <c r="AX304" s="1169">
        <v>61.6435733195</v>
      </c>
      <c r="AY304" s="1169">
        <v>63.801634399100003</v>
      </c>
      <c r="AZ304" s="1169">
        <v>65.884926925000002</v>
      </c>
      <c r="BA304" s="1521">
        <f ca="1">IF(BA298=0,0,BA295/BA298)</f>
        <v>0</v>
      </c>
      <c r="BB304" s="1521">
        <f ca="1">IF(BB298=0,0,BB295/BB298)</f>
        <v>0</v>
      </c>
      <c r="BC304" s="1521">
        <f ca="1">IF(BC298=0,0,BC295/BC298)</f>
        <v>0</v>
      </c>
      <c r="BD304" s="854"/>
      <c r="BE304" s="854"/>
      <c r="BF304" s="854"/>
      <c r="BG304" s="854"/>
      <c r="BH304" s="854"/>
      <c r="BI304" s="854"/>
      <c r="BJ304" s="854"/>
      <c r="BK304" s="854"/>
      <c r="BL304" s="854"/>
      <c r="BM304" s="854"/>
      <c r="BN304" s="1581"/>
      <c r="BO304" s="1581"/>
      <c r="BP304" s="1581"/>
      <c r="BQ304" s="1184"/>
      <c r="BR304" s="1184"/>
      <c r="BS304" s="971" t="s">
        <v>1851</v>
      </c>
      <c r="BT304" s="973"/>
      <c r="BU304" s="973"/>
      <c r="BV304" s="888"/>
      <c r="BW304" s="888"/>
    </row>
    <row r="305" spans="1:75" s="1595" customFormat="1" ht="20.45" customHeight="1" x14ac:dyDescent="0.25">
      <c r="A305" s="623"/>
      <c r="B305" s="357"/>
      <c r="C305" s="623"/>
      <c r="D305" s="28">
        <f>D304+1</f>
        <v>12</v>
      </c>
      <c r="E305" s="630">
        <v>21</v>
      </c>
      <c r="F305" s="3" t="str" cm="1">
        <f t="array" aca="1" ref="F305" ca="1">OFFSET(E305,-1,1)</f>
        <v>1</v>
      </c>
      <c r="G305" s="623"/>
      <c r="H305" s="77"/>
      <c r="I305" s="77" t="s">
        <v>1856</v>
      </c>
      <c r="J305" s="623"/>
      <c r="K305" s="77" t="s">
        <v>1856</v>
      </c>
      <c r="L305" s="894" t="s">
        <v>1852</v>
      </c>
      <c r="M305" s="28"/>
      <c r="N305" s="623"/>
      <c r="O305" s="623"/>
      <c r="P305" s="623"/>
      <c r="Q305" s="623"/>
      <c r="R305" s="623"/>
      <c r="S305" s="623"/>
      <c r="T305" s="388" t="b" cm="1">
        <f t="array" aca="1" ref="T305" ca="1">T304</f>
        <v>1</v>
      </c>
      <c r="U305" s="623"/>
      <c r="V305" s="623"/>
      <c r="W305" s="623"/>
      <c r="X305" s="2032"/>
      <c r="Y305" s="623"/>
      <c r="Z305" s="2012"/>
      <c r="AA305" s="623"/>
      <c r="AB305" s="130" cm="1">
        <f t="array" ref="AB305">D305</f>
        <v>12</v>
      </c>
      <c r="AC305" s="131" t="s">
        <v>1854</v>
      </c>
      <c r="AD305" s="130" t="s">
        <v>831</v>
      </c>
      <c r="AE305" s="1520">
        <v>104352.433041079</v>
      </c>
      <c r="AF305" s="1520">
        <f ca="1">IF(AF298=0,0,AF295/AF298*AF306)</f>
        <v>103298.41546790834</v>
      </c>
      <c r="AG305" s="1520">
        <f ca="1">IF(AG298=0,0,AG295/AG298*AG306)</f>
        <v>89932.054852207744</v>
      </c>
      <c r="AH305" s="690">
        <f ca="1">AH307*AH308+AH309*AH310</f>
        <v>0</v>
      </c>
      <c r="AI305" s="1571">
        <v>107177.600183603</v>
      </c>
      <c r="AJ305" s="1571">
        <v>140294.17965859099</v>
      </c>
      <c r="AK305" s="1170">
        <v>145520.97504882299</v>
      </c>
      <c r="AL305" s="1170">
        <v>150971.11911447701</v>
      </c>
      <c r="AM305" s="1170">
        <v>156699.04611239</v>
      </c>
      <c r="AN305" s="1170">
        <v>162443.73429593799</v>
      </c>
      <c r="AO305" s="1170">
        <v>168429.27762070799</v>
      </c>
      <c r="AP305" s="1170">
        <v>174850.52996943801</v>
      </c>
      <c r="AQ305" s="1571">
        <f ca="1">IF(AQ298=0,0,AQ295/AQ298*AQ306)</f>
        <v>0</v>
      </c>
      <c r="AR305" s="1571">
        <f ca="1">IF(AR298=0,0,AR295/AR298*AR306)</f>
        <v>0</v>
      </c>
      <c r="AS305" s="1571">
        <f ca="1">IF(AS298=0,0,AS295/AS298*AS306)</f>
        <v>0</v>
      </c>
      <c r="AT305" s="1571">
        <v>112859.320344408</v>
      </c>
      <c r="AU305" s="1170">
        <v>118388.855393719</v>
      </c>
      <c r="AV305" s="1170">
        <v>123501.430996861</v>
      </c>
      <c r="AW305" s="1170">
        <v>129213.82084210801</v>
      </c>
      <c r="AX305" s="1170">
        <v>134773.45453126801</v>
      </c>
      <c r="AY305" s="1170">
        <v>139491.69734423899</v>
      </c>
      <c r="AZ305" s="1170">
        <v>144046.471109009</v>
      </c>
      <c r="BA305" s="1571">
        <f ca="1">IF(BA298=0,0,BA295/BA298*BA306)</f>
        <v>0</v>
      </c>
      <c r="BB305" s="1571">
        <f ca="1">IF(BB298=0,0,BB295/BB298*BB306)</f>
        <v>0</v>
      </c>
      <c r="BC305" s="1571">
        <f ca="1">IF(BC298=0,0,BC295/BC298*BC306)</f>
        <v>0</v>
      </c>
      <c r="BD305" s="681">
        <f>IF(AI305=0,0,(AT305-AI305)/AI305*100)</f>
        <v>5.3012197987935865</v>
      </c>
      <c r="BE305" s="681">
        <f t="shared" ref="BE305:BM305" si="76">IF(AT305=0,0,(AU305-AT305)/AT305*100)</f>
        <v>4.8994934866139133</v>
      </c>
      <c r="BF305" s="681">
        <f t="shared" si="76"/>
        <v>4.3184602014601827</v>
      </c>
      <c r="BG305" s="681">
        <f t="shared" si="76"/>
        <v>4.6253632845697084</v>
      </c>
      <c r="BH305" s="681">
        <f t="shared" si="76"/>
        <v>4.3026617841086567</v>
      </c>
      <c r="BI305" s="681">
        <f t="shared" si="76"/>
        <v>3.5008695364978726</v>
      </c>
      <c r="BJ305" s="681">
        <f t="shared" si="76"/>
        <v>3.2652651387054936</v>
      </c>
      <c r="BK305" s="681">
        <f t="shared" ca="1" si="76"/>
        <v>-100</v>
      </c>
      <c r="BL305" s="681">
        <f t="shared" ca="1" si="76"/>
        <v>0</v>
      </c>
      <c r="BM305" s="681">
        <f t="shared" ca="1" si="76"/>
        <v>0</v>
      </c>
      <c r="BN305" s="1581"/>
      <c r="BO305" s="1581"/>
      <c r="BP305" s="1581"/>
      <c r="BQ305" s="623"/>
      <c r="BR305" s="623"/>
      <c r="BS305" s="972" t="s">
        <v>1855</v>
      </c>
      <c r="BT305" s="979"/>
      <c r="BU305" s="979"/>
      <c r="BV305" s="630"/>
      <c r="BW305" s="630"/>
    </row>
    <row r="306" spans="1:75" s="1596" customFormat="1" ht="20.25" customHeight="1" x14ac:dyDescent="0.25">
      <c r="A306" s="623"/>
      <c r="B306" s="357"/>
      <c r="C306" s="623"/>
      <c r="D306" s="28">
        <f>D305+1</f>
        <v>13</v>
      </c>
      <c r="E306" s="630">
        <v>21</v>
      </c>
      <c r="F306" s="3" t="str" cm="1">
        <f t="array" aca="1" ref="F306" ca="1">OFFSET(E306,-1,1)</f>
        <v>1</v>
      </c>
      <c r="G306" s="77" t="s">
        <v>1610</v>
      </c>
      <c r="H306" s="77"/>
      <c r="I306" s="77" t="s">
        <v>2160</v>
      </c>
      <c r="J306" s="623"/>
      <c r="K306" s="77" t="s">
        <v>2160</v>
      </c>
      <c r="L306" s="894" t="s">
        <v>1856</v>
      </c>
      <c r="M306" s="28"/>
      <c r="N306" s="623"/>
      <c r="O306" s="623"/>
      <c r="P306" s="623"/>
      <c r="Q306" s="623"/>
      <c r="R306" s="623"/>
      <c r="S306" s="623"/>
      <c r="T306" s="388" t="b" cm="1">
        <f t="array" aca="1" ref="T306" ca="1">T305</f>
        <v>1</v>
      </c>
      <c r="U306" s="623"/>
      <c r="V306" s="623"/>
      <c r="W306" s="623"/>
      <c r="X306" s="2032"/>
      <c r="Y306" s="623"/>
      <c r="Z306" s="2012"/>
      <c r="AA306" s="623"/>
      <c r="AB306" s="130" cm="1">
        <f t="array" ref="AB306">D306</f>
        <v>13</v>
      </c>
      <c r="AC306" s="131" t="s">
        <v>1858</v>
      </c>
      <c r="AD306" s="130" t="s">
        <v>563</v>
      </c>
      <c r="AE306" s="705">
        <f ca="1">SUMIFS(Баланс!AE$26:AE$300,Баланс!$F$26:$F$300,$F306,Баланс!$G$26:$G$300,"население")</f>
        <v>2186.3342320000002</v>
      </c>
      <c r="AF306" s="705">
        <f ca="1">SUMIFS(Баланс!AF$26:AF$300,Баланс!$F$26:$F$300,$F306,Баланс!$G$26:$G$300,"население")</f>
        <v>1899.518</v>
      </c>
      <c r="AG306" s="705">
        <f ca="1">SUMIFS(Баланс!AG$26:AG$300,Баланс!$F$26:$F$300,$F306,Баланс!$G$26:$G$300,"население")</f>
        <v>1899.518</v>
      </c>
      <c r="AH306" s="706">
        <f ca="1">AG306-AF306</f>
        <v>0</v>
      </c>
      <c r="AI306" s="706">
        <f ca="1">SUMIFS(Баланс!AH$26:AH$300,Баланс!$F$26:$F$300,$F306,Баланс!$G$26:$G$300,"население")</f>
        <v>2186.3342320000002</v>
      </c>
      <c r="AJ306" s="706">
        <f ca="1">SUMIFS(Баланс!AI$26:AI$300,Баланс!$F$26:$F$300,$F306,Баланс!$G$26:$G$300,"население")</f>
        <v>1899.518</v>
      </c>
      <c r="AK306" s="706">
        <f ca="1">SUMIFS(Баланс!AJ$26:AJ$300,Баланс!$F$26:$F$300,$F306,Баланс!$G$26:$G$300,"население")</f>
        <v>2313.2607899999998</v>
      </c>
      <c r="AL306" s="706">
        <f ca="1">SUMIFS(Баланс!AK$26:AK$300,Баланс!$F$26:$F$300,$F306,Баланс!$G$26:$G$300,"население")</f>
        <v>2313.2607899999998</v>
      </c>
      <c r="AM306" s="706">
        <f ca="1">SUMIFS(Баланс!AL$26:AL$300,Баланс!$F$26:$F$300,$F306,Баланс!$G$26:$G$300,"население")</f>
        <v>2313.2607899999998</v>
      </c>
      <c r="AN306" s="706">
        <f ca="1">SUMIFS(Баланс!AM$26:AM$300,Баланс!$F$26:$F$300,$F306,Баланс!$G$26:$G$300,"население")</f>
        <v>2313.2607899999998</v>
      </c>
      <c r="AO306" s="706">
        <f ca="1">SUMIFS(Баланс!AN$26:AN$300,Баланс!$F$26:$F$300,$F306,Баланс!$G$26:$G$300,"население")</f>
        <v>2313.2607899999998</v>
      </c>
      <c r="AP306" s="706">
        <f ca="1">SUMIFS(Баланс!AO$26:AO$300,Баланс!$F$26:$F$300,$F306,Баланс!$G$26:$G$300,"население")</f>
        <v>2313.2607899999998</v>
      </c>
      <c r="AQ306" s="706">
        <f ca="1">SUMIFS(Баланс!AP$26:AP$300,Баланс!$F$26:$F$300,$F306,Баланс!$G$26:$G$300,"население")</f>
        <v>0</v>
      </c>
      <c r="AR306" s="706">
        <f ca="1">SUMIFS(Баланс!AQ$26:AQ$300,Баланс!$F$26:$F$300,$F306,Баланс!$G$26:$G$300,"население")</f>
        <v>0</v>
      </c>
      <c r="AS306" s="706">
        <f ca="1">SUMIFS(Баланс!AR$26:AR$300,Баланс!$F$26:$F$300,$F306,Баланс!$G$26:$G$300,"население")</f>
        <v>0</v>
      </c>
      <c r="AT306" s="706">
        <f ca="1">SUMIFS(Баланс!AS$26:AS$300,Баланс!$F$26:$F$300,$F306,Баланс!$G$26:$G$300,"население")</f>
        <v>1899.5178800000001</v>
      </c>
      <c r="AU306" s="706">
        <f ca="1">SUMIFS(Баланс!AT$26:AT$300,Баланс!$F$26:$F$300,$F306,Баланс!$G$26:$G$300,"население")</f>
        <v>2186.3342320000002</v>
      </c>
      <c r="AV306" s="706">
        <f ca="1">SUMIFS(Баланс!AU$26:AU$300,Баланс!$F$26:$F$300,$F306,Баланс!$G$26:$G$300,"население")</f>
        <v>2186.3342320000002</v>
      </c>
      <c r="AW306" s="706">
        <f ca="1">SUMIFS(Баланс!AV$26:AV$300,Баланс!$F$26:$F$300,$F306,Баланс!$G$26:$G$300,"население")</f>
        <v>2186.3342320000002</v>
      </c>
      <c r="AX306" s="706">
        <f ca="1">SUMIFS(Баланс!AW$26:AW$300,Баланс!$F$26:$F$300,$F306,Баланс!$G$26:$G$300,"население")</f>
        <v>2186.3342320000002</v>
      </c>
      <c r="AY306" s="706">
        <f ca="1">SUMIFS(Баланс!AX$26:AX$300,Баланс!$F$26:$F$300,$F306,Баланс!$G$26:$G$300,"население")</f>
        <v>2186.3342320000002</v>
      </c>
      <c r="AZ306" s="706">
        <f ca="1">SUMIFS(Баланс!AY$26:AY$300,Баланс!$F$26:$F$300,$F306,Баланс!$G$26:$G$300,"население")</f>
        <v>2186.3342320000002</v>
      </c>
      <c r="BA306" s="706">
        <f ca="1">SUMIFS(Баланс!AZ$26:AZ$300,Баланс!$F$26:$F$300,$F306,Баланс!$G$26:$G$300,"население")</f>
        <v>0</v>
      </c>
      <c r="BB306" s="706">
        <f ca="1">SUMIFS(Баланс!BA$26:BA$300,Баланс!$F$26:$F$300,$F306,Баланс!$G$26:$G$300,"население")</f>
        <v>0</v>
      </c>
      <c r="BC306" s="706">
        <f ca="1">SUMIFS(Баланс!BB$26:BB$300,Баланс!$F$26:$F$300,$F306,Баланс!$G$26:$G$300,"население")</f>
        <v>0</v>
      </c>
      <c r="BD306" s="684"/>
      <c r="BE306" s="684"/>
      <c r="BF306" s="684"/>
      <c r="BG306" s="684"/>
      <c r="BH306" s="684"/>
      <c r="BI306" s="684"/>
      <c r="BJ306" s="684"/>
      <c r="BK306" s="684"/>
      <c r="BL306" s="684"/>
      <c r="BM306" s="684"/>
      <c r="BN306" s="1581"/>
      <c r="BO306" s="1581"/>
      <c r="BP306" s="1581"/>
      <c r="BQ306" s="623"/>
      <c r="BR306" s="623"/>
      <c r="BS306" s="972" t="s">
        <v>1859</v>
      </c>
      <c r="BT306" s="979"/>
      <c r="BU306" s="979"/>
      <c r="BV306" s="630"/>
      <c r="BW306" s="630"/>
    </row>
    <row r="307" spans="1:75" s="1334" customFormat="1" ht="14.65" customHeight="1" x14ac:dyDescent="0.25">
      <c r="A307" s="1184"/>
      <c r="B307" s="887"/>
      <c r="C307" s="1184"/>
      <c r="D307" s="26" cm="1">
        <f t="array" ref="D307">D306</f>
        <v>13</v>
      </c>
      <c r="E307" s="626">
        <v>15</v>
      </c>
      <c r="F307" s="3" t="str" cm="1">
        <f t="array" aca="1" ref="F307" ca="1">OFFSET(E307,-1,1)</f>
        <v>1</v>
      </c>
      <c r="G307" s="77" t="s">
        <v>1644</v>
      </c>
      <c r="H307" s="1184"/>
      <c r="I307" s="77" t="s">
        <v>2161</v>
      </c>
      <c r="J307" s="1184"/>
      <c r="K307" s="77" t="s">
        <v>2161</v>
      </c>
      <c r="L307" s="889" t="s">
        <v>1860</v>
      </c>
      <c r="M307" s="26"/>
      <c r="N307" s="1184"/>
      <c r="O307" s="1184"/>
      <c r="P307" s="1184"/>
      <c r="Q307" s="1184"/>
      <c r="R307" s="1184"/>
      <c r="S307" s="1184"/>
      <c r="T307" s="388" t="b" cm="1">
        <f t="array" aca="1" ref="T307" ca="1">T306</f>
        <v>1</v>
      </c>
      <c r="U307" s="1184"/>
      <c r="V307" s="1184"/>
      <c r="W307" s="1184"/>
      <c r="X307" s="2032"/>
      <c r="Y307" s="1184"/>
      <c r="Z307" s="2012"/>
      <c r="AA307" s="1184"/>
      <c r="AB307" s="218" t="str">
        <f>D307&amp;".1"</f>
        <v>13.1</v>
      </c>
      <c r="AC307" s="1019" t="s">
        <v>1862</v>
      </c>
      <c r="AD307" s="218" t="s">
        <v>563</v>
      </c>
      <c r="AE307" s="1570">
        <v>1093.1671160000001</v>
      </c>
      <c r="AF307" s="1570">
        <f ca="1">AF306/2</f>
        <v>949.75900000000001</v>
      </c>
      <c r="AG307" s="1570">
        <f ca="1">AG306/2</f>
        <v>949.75900000000001</v>
      </c>
      <c r="AH307" s="853">
        <f ca="1">AG307-AF307</f>
        <v>0</v>
      </c>
      <c r="AI307" s="1519">
        <v>1093.1671160000001</v>
      </c>
      <c r="AJ307" s="1570">
        <v>1156.6303949999999</v>
      </c>
      <c r="AK307" s="1167">
        <v>1156.6303949999999</v>
      </c>
      <c r="AL307" s="1168">
        <v>1156.6303949999999</v>
      </c>
      <c r="AM307" s="1168">
        <v>1156.6303949999999</v>
      </c>
      <c r="AN307" s="1168">
        <v>1156.6303949999999</v>
      </c>
      <c r="AO307" s="1168">
        <v>1156.6303949999999</v>
      </c>
      <c r="AP307" s="1168">
        <v>1156.6303949999999</v>
      </c>
      <c r="AQ307" s="1519">
        <f ca="1">AQ306/2</f>
        <v>0</v>
      </c>
      <c r="AR307" s="1519">
        <f ca="1">AR306/2</f>
        <v>0</v>
      </c>
      <c r="AS307" s="1519">
        <f ca="1">AS306/2</f>
        <v>0</v>
      </c>
      <c r="AT307" s="1519">
        <v>1093.1671160000001</v>
      </c>
      <c r="AU307" s="1168">
        <v>1093.1671160000001</v>
      </c>
      <c r="AV307" s="1168">
        <v>1093.1671160000001</v>
      </c>
      <c r="AW307" s="1168">
        <v>1093.1671160000001</v>
      </c>
      <c r="AX307" s="1168">
        <v>1093.1671160000001</v>
      </c>
      <c r="AY307" s="1168">
        <v>1093.1671160000001</v>
      </c>
      <c r="AZ307" s="1168">
        <v>1093.1671160000001</v>
      </c>
      <c r="BA307" s="1519">
        <f ca="1">BA306/2</f>
        <v>0</v>
      </c>
      <c r="BB307" s="1519">
        <f ca="1">BB306/2</f>
        <v>0</v>
      </c>
      <c r="BC307" s="1519">
        <f ca="1">BC306/2</f>
        <v>0</v>
      </c>
      <c r="BD307" s="854"/>
      <c r="BE307" s="854"/>
      <c r="BF307" s="854"/>
      <c r="BG307" s="854"/>
      <c r="BH307" s="854"/>
      <c r="BI307" s="854"/>
      <c r="BJ307" s="854"/>
      <c r="BK307" s="854"/>
      <c r="BL307" s="854"/>
      <c r="BM307" s="854"/>
      <c r="BN307" s="1581"/>
      <c r="BO307" s="1581"/>
      <c r="BP307" s="1581"/>
      <c r="BQ307" s="1184"/>
      <c r="BR307" s="1184"/>
      <c r="BS307" s="971" t="s">
        <v>1863</v>
      </c>
      <c r="BT307" s="973"/>
      <c r="BU307" s="973"/>
      <c r="BV307" s="888"/>
      <c r="BW307" s="888"/>
    </row>
    <row r="308" spans="1:75" s="1334" customFormat="1" ht="14.65" customHeight="1" x14ac:dyDescent="0.25">
      <c r="A308" s="1184"/>
      <c r="B308" s="887"/>
      <c r="C308" s="1184"/>
      <c r="D308" s="26" cm="1">
        <f t="array" ref="D308">D307</f>
        <v>13</v>
      </c>
      <c r="E308" s="626">
        <v>15</v>
      </c>
      <c r="F308" s="3" t="str" cm="1">
        <f t="array" aca="1" ref="F308" ca="1">OFFSET(E308,-1,1)</f>
        <v>1</v>
      </c>
      <c r="G308" s="77" t="s">
        <v>1600</v>
      </c>
      <c r="H308" s="1184"/>
      <c r="I308" s="77" t="s">
        <v>2162</v>
      </c>
      <c r="J308" s="1184"/>
      <c r="K308" s="77" t="s">
        <v>2162</v>
      </c>
      <c r="L308" s="889" t="s">
        <v>1864</v>
      </c>
      <c r="M308" s="26"/>
      <c r="N308" s="1184"/>
      <c r="O308" s="1184"/>
      <c r="P308" s="1184"/>
      <c r="Q308" s="1184"/>
      <c r="R308" s="1184"/>
      <c r="S308" s="1184"/>
      <c r="T308" s="388" t="b" cm="1">
        <f t="array" aca="1" ref="T308" ca="1">T307</f>
        <v>1</v>
      </c>
      <c r="U308" s="1184"/>
      <c r="V308" s="1184"/>
      <c r="W308" s="1184"/>
      <c r="X308" s="2032"/>
      <c r="Y308" s="1184"/>
      <c r="Z308" s="2012"/>
      <c r="AA308" s="1184"/>
      <c r="AB308" s="218" t="str">
        <f>D308&amp;".2"</f>
        <v>13.2</v>
      </c>
      <c r="AC308" s="1019" t="s">
        <v>1866</v>
      </c>
      <c r="AD308" s="218" t="s">
        <v>1588</v>
      </c>
      <c r="AE308" s="1521">
        <v>47.729405464999999</v>
      </c>
      <c r="AF308" s="1521">
        <f ca="1">IF(AF306=0,0,AF300*(1+Сценарии!AF$26))</f>
        <v>54.381382786532299</v>
      </c>
      <c r="AG308" s="1521">
        <f ca="1">IF(AG306=0,0,AG300*(1+Сценарии!AG$26))</f>
        <v>47.344671044026903</v>
      </c>
      <c r="AH308" s="855">
        <f ca="1">AG308-AF308</f>
        <v>-7.0367117425053962</v>
      </c>
      <c r="AI308" s="1521">
        <v>47.729405464999999</v>
      </c>
      <c r="AJ308" s="1521">
        <v>70.069999999999993</v>
      </c>
      <c r="AK308" s="1169">
        <v>62.907293322900003</v>
      </c>
      <c r="AL308" s="1169">
        <v>65.263337262799993</v>
      </c>
      <c r="AM308" s="1169">
        <v>67.739464045600002</v>
      </c>
      <c r="AN308" s="1169">
        <v>70.222836525000005</v>
      </c>
      <c r="AO308" s="1169">
        <v>72.810328324799997</v>
      </c>
      <c r="AP308" s="1169">
        <v>75.586172871299993</v>
      </c>
      <c r="AQ308" s="1521">
        <f ca="1">IF(AQ306=0,0,AQ300*(1+Сценарии!AU$26))</f>
        <v>0</v>
      </c>
      <c r="AR308" s="1521">
        <f ca="1">IF(AR306=0,0,AR300*(1+Сценарии!AV$26))</f>
        <v>0</v>
      </c>
      <c r="AS308" s="1521">
        <f ca="1">IF(AS306=0,0,AS300*(1+Сценарии!AW$26))</f>
        <v>0</v>
      </c>
      <c r="AT308" s="1521">
        <v>50.313792702000001</v>
      </c>
      <c r="AU308" s="1169">
        <v>52.926890897600003</v>
      </c>
      <c r="AV308" s="1169">
        <v>55.3720632705</v>
      </c>
      <c r="AW308" s="1169">
        <v>57.603738131900002</v>
      </c>
      <c r="AX308" s="1169">
        <v>60.597604509</v>
      </c>
      <c r="AY308" s="1169">
        <v>62.68954213</v>
      </c>
      <c r="AZ308" s="1169">
        <v>64.913726668099997</v>
      </c>
      <c r="BA308" s="1521">
        <f ca="1">IF(BA306=0,0,BA300*(1+Сценарии!BD$26))</f>
        <v>0</v>
      </c>
      <c r="BB308" s="1521">
        <f ca="1">IF(BB306=0,0,BB300*(1+Сценарии!BE$26))</f>
        <v>0</v>
      </c>
      <c r="BC308" s="1521">
        <f ca="1">IF(BC306=0,0,BC300*(1+Сценарии!BF$26))</f>
        <v>0</v>
      </c>
      <c r="BD308" s="854"/>
      <c r="BE308" s="854"/>
      <c r="BF308" s="854"/>
      <c r="BG308" s="854"/>
      <c r="BH308" s="854"/>
      <c r="BI308" s="854"/>
      <c r="BJ308" s="854"/>
      <c r="BK308" s="854"/>
      <c r="BL308" s="854"/>
      <c r="BM308" s="854"/>
      <c r="BN308" s="1581"/>
      <c r="BO308" s="1581"/>
      <c r="BP308" s="1581"/>
      <c r="BQ308" s="1184"/>
      <c r="BR308" s="1184"/>
      <c r="BS308" s="971" t="s">
        <v>1867</v>
      </c>
      <c r="BT308" s="973"/>
      <c r="BU308" s="973"/>
      <c r="BV308" s="888"/>
      <c r="BW308" s="888"/>
    </row>
    <row r="309" spans="1:75" s="1334" customFormat="1" ht="14.25" customHeight="1" x14ac:dyDescent="0.25">
      <c r="A309" s="1184"/>
      <c r="B309" s="15"/>
      <c r="C309" s="26"/>
      <c r="D309" s="26" cm="1">
        <f t="array" ref="D309">D308</f>
        <v>13</v>
      </c>
      <c r="E309" s="545">
        <v>15</v>
      </c>
      <c r="F309" s="3" t="str" cm="1">
        <f t="array" aca="1" ref="F309" ca="1">OFFSET(E309,-1,1)</f>
        <v>1</v>
      </c>
      <c r="G309" s="26" t="s">
        <v>1651</v>
      </c>
      <c r="H309" s="26"/>
      <c r="I309" s="26" t="s">
        <v>2163</v>
      </c>
      <c r="J309" s="26"/>
      <c r="K309" s="26" t="s">
        <v>2163</v>
      </c>
      <c r="L309" s="889" t="s">
        <v>1868</v>
      </c>
      <c r="M309" s="26"/>
      <c r="N309" s="26"/>
      <c r="O309" s="26"/>
      <c r="P309" s="26"/>
      <c r="Q309" s="26"/>
      <c r="R309" s="26"/>
      <c r="S309" s="26"/>
      <c r="T309" s="388" t="b" cm="1">
        <f t="array" aca="1" ref="T309" ca="1">T308</f>
        <v>1</v>
      </c>
      <c r="U309" s="26"/>
      <c r="V309" s="26"/>
      <c r="W309" s="26"/>
      <c r="X309" s="2032"/>
      <c r="Y309" s="1184"/>
      <c r="Z309" s="2012"/>
      <c r="AA309" s="1184"/>
      <c r="AB309" s="218" t="str">
        <f>D309&amp;".3"</f>
        <v>13.3</v>
      </c>
      <c r="AC309" s="1019" t="s">
        <v>1838</v>
      </c>
      <c r="AD309" s="218" t="s">
        <v>563</v>
      </c>
      <c r="AE309" s="858">
        <f ca="1">AE306-AE307</f>
        <v>1093.1671160000001</v>
      </c>
      <c r="AF309" s="858">
        <f ca="1">AF306-AF307</f>
        <v>949.75900000000001</v>
      </c>
      <c r="AG309" s="858">
        <f ca="1">AG306-AG307</f>
        <v>949.75900000000001</v>
      </c>
      <c r="AH309" s="853">
        <f ca="1">AG309-AF309</f>
        <v>0</v>
      </c>
      <c r="AI309" s="744">
        <f t="shared" ref="AI309:BC309" ca="1" si="77">AI306-AI307</f>
        <v>1093.1671160000001</v>
      </c>
      <c r="AJ309" s="744">
        <f t="shared" ca="1" si="77"/>
        <v>742.88760500000012</v>
      </c>
      <c r="AK309" s="744">
        <f t="shared" ca="1" si="77"/>
        <v>1156.6303949999999</v>
      </c>
      <c r="AL309" s="744">
        <f t="shared" ca="1" si="77"/>
        <v>1156.6303949999999</v>
      </c>
      <c r="AM309" s="744">
        <f t="shared" ca="1" si="77"/>
        <v>1156.6303949999999</v>
      </c>
      <c r="AN309" s="744">
        <f t="shared" ca="1" si="77"/>
        <v>1156.6303949999999</v>
      </c>
      <c r="AO309" s="744">
        <f t="shared" ca="1" si="77"/>
        <v>1156.6303949999999</v>
      </c>
      <c r="AP309" s="744">
        <f t="shared" ca="1" si="77"/>
        <v>1156.6303949999999</v>
      </c>
      <c r="AQ309" s="744">
        <f t="shared" ca="1" si="77"/>
        <v>0</v>
      </c>
      <c r="AR309" s="744">
        <f t="shared" ca="1" si="77"/>
        <v>0</v>
      </c>
      <c r="AS309" s="744">
        <f t="shared" ca="1" si="77"/>
        <v>0</v>
      </c>
      <c r="AT309" s="744">
        <f t="shared" ca="1" si="77"/>
        <v>806.35076400000003</v>
      </c>
      <c r="AU309" s="744">
        <f t="shared" ca="1" si="77"/>
        <v>1093.1671160000001</v>
      </c>
      <c r="AV309" s="744">
        <f t="shared" ca="1" si="77"/>
        <v>1093.1671160000001</v>
      </c>
      <c r="AW309" s="744">
        <f t="shared" ca="1" si="77"/>
        <v>1093.1671160000001</v>
      </c>
      <c r="AX309" s="744">
        <f t="shared" ca="1" si="77"/>
        <v>1093.1671160000001</v>
      </c>
      <c r="AY309" s="744">
        <f t="shared" ca="1" si="77"/>
        <v>1093.1671160000001</v>
      </c>
      <c r="AZ309" s="744">
        <f t="shared" ca="1" si="77"/>
        <v>1093.1671160000001</v>
      </c>
      <c r="BA309" s="744">
        <f t="shared" ca="1" si="77"/>
        <v>0</v>
      </c>
      <c r="BB309" s="744">
        <f t="shared" ca="1" si="77"/>
        <v>0</v>
      </c>
      <c r="BC309" s="744">
        <f t="shared" ca="1" si="77"/>
        <v>0</v>
      </c>
      <c r="BD309" s="854"/>
      <c r="BE309" s="854"/>
      <c r="BF309" s="854"/>
      <c r="BG309" s="854"/>
      <c r="BH309" s="854"/>
      <c r="BI309" s="854"/>
      <c r="BJ309" s="854"/>
      <c r="BK309" s="854"/>
      <c r="BL309" s="854"/>
      <c r="BM309" s="854"/>
      <c r="BN309" s="1581"/>
      <c r="BO309" s="1581"/>
      <c r="BP309" s="1581"/>
      <c r="BQ309" s="1184"/>
      <c r="BR309" s="1184"/>
      <c r="BS309" s="971" t="s">
        <v>1870</v>
      </c>
      <c r="BT309" s="973"/>
      <c r="BU309" s="973"/>
      <c r="BV309" s="888"/>
      <c r="BW309" s="888"/>
    </row>
    <row r="310" spans="1:75" s="1334" customFormat="1" ht="14.65" customHeight="1" x14ac:dyDescent="0.25">
      <c r="A310" s="1184"/>
      <c r="B310" s="15"/>
      <c r="C310" s="26"/>
      <c r="D310" s="26" cm="1">
        <f t="array" ref="D310">D309</f>
        <v>13</v>
      </c>
      <c r="E310" s="545">
        <v>15</v>
      </c>
      <c r="F310" s="3" t="str" cm="1">
        <f t="array" aca="1" ref="F310" ca="1">OFFSET(E310,-1,1)</f>
        <v>1</v>
      </c>
      <c r="G310" s="26" t="s">
        <v>1604</v>
      </c>
      <c r="H310" s="26"/>
      <c r="I310" s="26" t="s">
        <v>2164</v>
      </c>
      <c r="J310" s="26"/>
      <c r="K310" s="26" t="s">
        <v>2164</v>
      </c>
      <c r="L310" s="889" t="s">
        <v>1871</v>
      </c>
      <c r="M310" s="26"/>
      <c r="N310" s="26"/>
      <c r="O310" s="26"/>
      <c r="P310" s="26"/>
      <c r="Q310" s="26"/>
      <c r="R310" s="26"/>
      <c r="S310" s="26"/>
      <c r="T310" s="388" t="b" cm="1">
        <f t="array" aca="1" ref="T310" ca="1">T309</f>
        <v>1</v>
      </c>
      <c r="U310" s="26"/>
      <c r="V310" s="26"/>
      <c r="W310" s="26"/>
      <c r="X310" s="2032"/>
      <c r="Y310" s="1184"/>
      <c r="Z310" s="2012"/>
      <c r="AA310" s="1184"/>
      <c r="AB310" s="218" t="str">
        <f>D310&amp;".4"</f>
        <v>13.4</v>
      </c>
      <c r="AC310" s="1019" t="s">
        <v>1842</v>
      </c>
      <c r="AD310" s="218" t="s">
        <v>1588</v>
      </c>
      <c r="AE310" s="1521">
        <v>47.729405464999999</v>
      </c>
      <c r="AF310" s="1521">
        <f ca="1">IF(AF306=0,0,AF302*(1+Сценарии!AF$26))</f>
        <v>54.381382786532392</v>
      </c>
      <c r="AG310" s="1521">
        <f ca="1">IF(AG306=0,0,AG302*(1+Сценарии!AG$26))</f>
        <v>47.344671044026754</v>
      </c>
      <c r="AH310" s="855">
        <f ca="1">AG310-AF310</f>
        <v>-7.0367117425056378</v>
      </c>
      <c r="AI310" s="1521">
        <v>50.313792702000001</v>
      </c>
      <c r="AJ310" s="1521">
        <v>70.069999999999993</v>
      </c>
      <c r="AK310" s="1169">
        <v>62.907293322900003</v>
      </c>
      <c r="AL310" s="1169">
        <v>65.263337262799993</v>
      </c>
      <c r="AM310" s="1169">
        <v>67.739464045600002</v>
      </c>
      <c r="AN310" s="1169">
        <v>70.222836525000005</v>
      </c>
      <c r="AO310" s="1169">
        <v>72.810328324799997</v>
      </c>
      <c r="AP310" s="1169">
        <v>75.586172871299993</v>
      </c>
      <c r="AQ310" s="1521">
        <f ca="1">IF(AQ306=0,0,AQ302*(1+Сценарии!AU$26))</f>
        <v>0</v>
      </c>
      <c r="AR310" s="1521">
        <f ca="1">IF(AR306=0,0,AR302*(1+Сценарии!AV$26))</f>
        <v>0</v>
      </c>
      <c r="AS310" s="1521">
        <f ca="1">IF(AS306=0,0,AS302*(1+Сценарии!AW$26))</f>
        <v>0</v>
      </c>
      <c r="AT310" s="1521">
        <v>57.37</v>
      </c>
      <c r="AU310" s="1169">
        <v>55.3720632705</v>
      </c>
      <c r="AV310" s="1169">
        <v>57.603738131900002</v>
      </c>
      <c r="AW310" s="1169">
        <v>60.597604509</v>
      </c>
      <c r="AX310" s="1169">
        <v>62.68954213</v>
      </c>
      <c r="AY310" s="1169">
        <v>64.913726668099997</v>
      </c>
      <c r="AZ310" s="1169">
        <v>66.856127181900007</v>
      </c>
      <c r="BA310" s="1521">
        <f ca="1">IF(BA306=0,0,BA302*(1+Сценарии!BD$26))</f>
        <v>0</v>
      </c>
      <c r="BB310" s="1521">
        <f ca="1">IF(BB306=0,0,BB302*(1+Сценарии!BE$26))</f>
        <v>0</v>
      </c>
      <c r="BC310" s="1521">
        <f ca="1">IF(BC306=0,0,BC302*(1+Сценарии!BF$26))</f>
        <v>0</v>
      </c>
      <c r="BD310" s="854"/>
      <c r="BE310" s="854"/>
      <c r="BF310" s="854"/>
      <c r="BG310" s="854"/>
      <c r="BH310" s="854"/>
      <c r="BI310" s="854"/>
      <c r="BJ310" s="854"/>
      <c r="BK310" s="854"/>
      <c r="BL310" s="854"/>
      <c r="BM310" s="854"/>
      <c r="BN310" s="1581"/>
      <c r="BO310" s="1581"/>
      <c r="BP310" s="1581"/>
      <c r="BQ310" s="1184"/>
      <c r="BR310" s="1184"/>
      <c r="BS310" s="971" t="s">
        <v>1874</v>
      </c>
      <c r="BT310" s="973"/>
      <c r="BU310" s="973"/>
      <c r="BV310" s="888"/>
      <c r="BW310" s="888"/>
    </row>
    <row r="311" spans="1:75" s="1334" customFormat="1" ht="14.25" customHeight="1" x14ac:dyDescent="0.25">
      <c r="A311" s="1184"/>
      <c r="B311" s="15"/>
      <c r="C311" s="26"/>
      <c r="D311" s="26">
        <f>D310+1</f>
        <v>14</v>
      </c>
      <c r="E311" s="545">
        <v>15</v>
      </c>
      <c r="F311" s="3" t="str" cm="1">
        <f t="array" aca="1" ref="F311" ca="1">OFFSET(E311,-1,1)</f>
        <v>1</v>
      </c>
      <c r="G311" s="26"/>
      <c r="H311" s="26"/>
      <c r="I311" s="26"/>
      <c r="J311" s="26"/>
      <c r="K311" s="26"/>
      <c r="L311" s="889"/>
      <c r="M311" s="26"/>
      <c r="N311" s="26"/>
      <c r="O311" s="26"/>
      <c r="P311" s="26"/>
      <c r="Q311" s="26"/>
      <c r="R311" s="26"/>
      <c r="S311" s="26"/>
      <c r="T311" s="388" t="b" cm="1">
        <f t="array" aca="1" ref="T311" ca="1">T310</f>
        <v>1</v>
      </c>
      <c r="U311" s="26"/>
      <c r="V311" s="26"/>
      <c r="W311" s="26"/>
      <c r="X311" s="2032"/>
      <c r="Y311" s="1184"/>
      <c r="Z311" s="2012"/>
      <c r="AA311" s="1184"/>
      <c r="AB311" s="130" cm="1">
        <f t="array" ref="AB311">D311</f>
        <v>14</v>
      </c>
      <c r="AC311" s="131" t="s">
        <v>1876</v>
      </c>
      <c r="AD311" s="130" t="s">
        <v>831</v>
      </c>
      <c r="AE311" s="1567"/>
      <c r="AF311" s="1567"/>
      <c r="AG311" s="1567"/>
      <c r="AH311" s="855"/>
      <c r="AI311" s="1521"/>
      <c r="AJ311" s="1521"/>
      <c r="AK311" s="1169"/>
      <c r="AL311" s="1169"/>
      <c r="AM311" s="1169"/>
      <c r="AN311" s="1169"/>
      <c r="AO311" s="1169"/>
      <c r="AP311" s="1169"/>
      <c r="AQ311" s="1521"/>
      <c r="AR311" s="1521"/>
      <c r="AS311" s="1521"/>
      <c r="AT311" s="1521"/>
      <c r="AU311" s="1169"/>
      <c r="AV311" s="1169"/>
      <c r="AW311" s="1169"/>
      <c r="AX311" s="1169"/>
      <c r="AY311" s="1169"/>
      <c r="AZ311" s="1169"/>
      <c r="BA311" s="1521"/>
      <c r="BB311" s="1521"/>
      <c r="BC311" s="1521"/>
      <c r="BD311" s="854"/>
      <c r="BE311" s="854"/>
      <c r="BF311" s="854"/>
      <c r="BG311" s="854"/>
      <c r="BH311" s="854"/>
      <c r="BI311" s="854"/>
      <c r="BJ311" s="854"/>
      <c r="BK311" s="854"/>
      <c r="BL311" s="854"/>
      <c r="BM311" s="854"/>
      <c r="BN311" s="1581"/>
      <c r="BO311" s="1581"/>
      <c r="BP311" s="1581"/>
      <c r="BQ311" s="1184"/>
      <c r="BR311" s="1184"/>
      <c r="BS311" s="971" t="s">
        <v>1877</v>
      </c>
      <c r="BT311" s="973"/>
      <c r="BU311" s="973"/>
      <c r="BV311" s="888"/>
      <c r="BW311" s="888"/>
    </row>
    <row r="312" spans="1:75" s="1334" customFormat="1" ht="20.25" customHeight="1" x14ac:dyDescent="0.25">
      <c r="A312" s="1184"/>
      <c r="B312" s="15"/>
      <c r="C312" s="26"/>
      <c r="D312" s="26" cm="1">
        <f t="array" ref="D312">D311</f>
        <v>14</v>
      </c>
      <c r="E312" s="545">
        <v>21</v>
      </c>
      <c r="F312" s="3" t="str" cm="1">
        <f t="array" aca="1" ref="F312" ca="1">OFFSET(E312,-1,1)</f>
        <v>1</v>
      </c>
      <c r="G312" s="26"/>
      <c r="H312" s="26"/>
      <c r="I312" s="26"/>
      <c r="J312" s="26"/>
      <c r="K312" s="26"/>
      <c r="L312" s="889"/>
      <c r="M312" s="26"/>
      <c r="N312" s="26"/>
      <c r="O312" s="26"/>
      <c r="P312" s="26"/>
      <c r="Q312" s="26"/>
      <c r="R312" s="26"/>
      <c r="S312" s="26"/>
      <c r="T312" s="388" t="b" cm="1">
        <f t="array" aca="1" ref="T312" ca="1">T311</f>
        <v>1</v>
      </c>
      <c r="U312" s="26"/>
      <c r="V312" s="26"/>
      <c r="W312" s="26"/>
      <c r="X312" s="2032"/>
      <c r="Y312" s="1184"/>
      <c r="Z312" s="2012"/>
      <c r="AA312" s="1184"/>
      <c r="AB312" s="218" t="str">
        <f>D312&amp;".1"</f>
        <v>14.1</v>
      </c>
      <c r="AC312" s="682" t="s">
        <v>1879</v>
      </c>
      <c r="AD312" s="218" t="s">
        <v>831</v>
      </c>
      <c r="AE312" s="1567"/>
      <c r="AF312" s="1567"/>
      <c r="AG312" s="1567"/>
      <c r="AH312" s="855">
        <f>AG312-AF312</f>
        <v>0</v>
      </c>
      <c r="AI312" s="1521"/>
      <c r="AJ312" s="1521"/>
      <c r="AK312" s="1169"/>
      <c r="AL312" s="1169"/>
      <c r="AM312" s="1169"/>
      <c r="AN312" s="1169"/>
      <c r="AO312" s="1169"/>
      <c r="AP312" s="1169"/>
      <c r="AQ312" s="1521"/>
      <c r="AR312" s="1521"/>
      <c r="AS312" s="1521"/>
      <c r="AT312" s="1521"/>
      <c r="AU312" s="1169"/>
      <c r="AV312" s="1169"/>
      <c r="AW312" s="1169"/>
      <c r="AX312" s="1169"/>
      <c r="AY312" s="1169"/>
      <c r="AZ312" s="1169"/>
      <c r="BA312" s="1521"/>
      <c r="BB312" s="1521"/>
      <c r="BC312" s="1521"/>
      <c r="BD312" s="854"/>
      <c r="BE312" s="854"/>
      <c r="BF312" s="854"/>
      <c r="BG312" s="854"/>
      <c r="BH312" s="854"/>
      <c r="BI312" s="854"/>
      <c r="BJ312" s="854"/>
      <c r="BK312" s="854"/>
      <c r="BL312" s="854"/>
      <c r="BM312" s="854"/>
      <c r="BN312" s="1581"/>
      <c r="BO312" s="1581"/>
      <c r="BP312" s="1581"/>
      <c r="BQ312" s="1184"/>
      <c r="BR312" s="1184"/>
      <c r="BS312" s="971" t="s">
        <v>1880</v>
      </c>
      <c r="BT312" s="980"/>
      <c r="BU312" s="980"/>
      <c r="BV312" s="981"/>
      <c r="BW312" s="981"/>
    </row>
    <row r="313" spans="1:75" s="1334" customFormat="1" ht="64.5" customHeight="1" x14ac:dyDescent="0.25">
      <c r="A313" s="1184"/>
      <c r="B313" s="15"/>
      <c r="C313" s="26"/>
      <c r="D313" s="26" cm="1">
        <f t="array" ref="D313">D312</f>
        <v>14</v>
      </c>
      <c r="E313" s="545">
        <v>66.599999999999994</v>
      </c>
      <c r="F313" s="3" t="str" cm="1">
        <f t="array" aca="1" ref="F313" ca="1">OFFSET(E313,-1,1)</f>
        <v>1</v>
      </c>
      <c r="G313" s="26"/>
      <c r="H313" s="26"/>
      <c r="I313" s="26"/>
      <c r="J313" s="26"/>
      <c r="K313" s="26"/>
      <c r="L313" s="889"/>
      <c r="M313" s="26"/>
      <c r="N313" s="26"/>
      <c r="O313" s="26"/>
      <c r="P313" s="26"/>
      <c r="Q313" s="26"/>
      <c r="R313" s="26"/>
      <c r="S313" s="26"/>
      <c r="T313" s="388" t="b" cm="1">
        <f t="array" aca="1" ref="T313" ca="1">T312</f>
        <v>1</v>
      </c>
      <c r="U313" s="26"/>
      <c r="V313" s="26"/>
      <c r="W313" s="26"/>
      <c r="X313" s="2032"/>
      <c r="Y313" s="1184"/>
      <c r="Z313" s="2012"/>
      <c r="AA313" s="1184"/>
      <c r="AB313" s="218" t="str">
        <f>D313&amp;".2"</f>
        <v>14.2</v>
      </c>
      <c r="AC313" s="682" t="s">
        <v>1882</v>
      </c>
      <c r="AD313" s="218" t="s">
        <v>831</v>
      </c>
      <c r="AE313" s="1567"/>
      <c r="AF313" s="1567"/>
      <c r="AG313" s="1567"/>
      <c r="AH313" s="855">
        <f>AG313-AF313</f>
        <v>0</v>
      </c>
      <c r="AI313" s="1521"/>
      <c r="AJ313" s="1521"/>
      <c r="AK313" s="1169"/>
      <c r="AL313" s="1169"/>
      <c r="AM313" s="1169"/>
      <c r="AN313" s="1169"/>
      <c r="AO313" s="1169"/>
      <c r="AP313" s="1169"/>
      <c r="AQ313" s="1521"/>
      <c r="AR313" s="1521"/>
      <c r="AS313" s="1521"/>
      <c r="AT313" s="1521"/>
      <c r="AU313" s="1169"/>
      <c r="AV313" s="1169"/>
      <c r="AW313" s="1169"/>
      <c r="AX313" s="1169"/>
      <c r="AY313" s="1169"/>
      <c r="AZ313" s="1169"/>
      <c r="BA313" s="1521"/>
      <c r="BB313" s="1521"/>
      <c r="BC313" s="1521"/>
      <c r="BD313" s="854"/>
      <c r="BE313" s="854"/>
      <c r="BF313" s="854"/>
      <c r="BG313" s="854"/>
      <c r="BH313" s="854"/>
      <c r="BI313" s="854"/>
      <c r="BJ313" s="854"/>
      <c r="BK313" s="854"/>
      <c r="BL313" s="854"/>
      <c r="BM313" s="854"/>
      <c r="BN313" s="1581"/>
      <c r="BO313" s="1581"/>
      <c r="BP313" s="1581"/>
      <c r="BQ313" s="1184"/>
      <c r="BR313" s="1184"/>
      <c r="BS313" s="971" t="s">
        <v>1883</v>
      </c>
      <c r="BT313" s="980"/>
      <c r="BU313" s="980"/>
      <c r="BV313" s="981"/>
      <c r="BW313" s="981"/>
    </row>
    <row r="314" spans="1:75" s="1334" customFormat="1" ht="44.25" customHeight="1" x14ac:dyDescent="0.15">
      <c r="A314" s="421"/>
      <c r="B314" s="673"/>
      <c r="C314" s="26"/>
      <c r="D314" s="26" cm="1">
        <f t="array" ref="D314">D313</f>
        <v>14</v>
      </c>
      <c r="E314" s="545">
        <v>45.6</v>
      </c>
      <c r="F314" s="3" t="str" cm="1">
        <f t="array" aca="1" ref="F314" ca="1">OFFSET(E314,-1,1)</f>
        <v>1</v>
      </c>
      <c r="G314" s="26"/>
      <c r="H314" s="26"/>
      <c r="I314" s="26"/>
      <c r="J314" s="26"/>
      <c r="K314" s="26"/>
      <c r="L314" s="889"/>
      <c r="M314" s="26"/>
      <c r="N314" s="26"/>
      <c r="O314" s="26"/>
      <c r="P314" s="26"/>
      <c r="Q314" s="26"/>
      <c r="R314" s="26"/>
      <c r="S314" s="26"/>
      <c r="T314" s="388" t="b" cm="1">
        <f t="array" aca="1" ref="T314" ca="1">T313</f>
        <v>1</v>
      </c>
      <c r="U314" s="26"/>
      <c r="V314" s="26"/>
      <c r="W314" s="26"/>
      <c r="X314" s="2032"/>
      <c r="Y314" s="421"/>
      <c r="Z314" s="2012"/>
      <c r="AA314" s="421"/>
      <c r="AB314" s="218" t="str">
        <f>D314&amp;".3"</f>
        <v>14.3</v>
      </c>
      <c r="AC314" s="682" t="s">
        <v>2165</v>
      </c>
      <c r="AD314" s="218" t="s">
        <v>831</v>
      </c>
      <c r="AE314" s="857"/>
      <c r="AF314" s="1567"/>
      <c r="AG314" s="1567"/>
      <c r="AH314" s="177">
        <f>AG314-AF314</f>
        <v>0</v>
      </c>
      <c r="AI314" s="857"/>
      <c r="AJ314" s="857"/>
      <c r="AK314" s="857"/>
      <c r="AL314" s="857"/>
      <c r="AM314" s="857"/>
      <c r="AN314" s="857"/>
      <c r="AO314" s="857"/>
      <c r="AP314" s="857"/>
      <c r="AQ314" s="857"/>
      <c r="AR314" s="857"/>
      <c r="AS314" s="857"/>
      <c r="AT314" s="857"/>
      <c r="AU314" s="857"/>
      <c r="AV314" s="857"/>
      <c r="AW314" s="857"/>
      <c r="AX314" s="857"/>
      <c r="AY314" s="857"/>
      <c r="AZ314" s="857"/>
      <c r="BA314" s="857"/>
      <c r="BB314" s="857"/>
      <c r="BC314" s="857"/>
      <c r="BD314" s="857"/>
      <c r="BE314" s="857"/>
      <c r="BF314" s="857"/>
      <c r="BG314" s="857"/>
      <c r="BH314" s="857"/>
      <c r="BI314" s="857"/>
      <c r="BJ314" s="857"/>
      <c r="BK314" s="857"/>
      <c r="BL314" s="857"/>
      <c r="BM314" s="857"/>
      <c r="BN314" s="1581"/>
      <c r="BO314" s="1581"/>
      <c r="BP314" s="1581"/>
      <c r="BQ314" s="1184"/>
      <c r="BR314" s="1184"/>
      <c r="BS314" s="980" t="s">
        <v>2166</v>
      </c>
      <c r="BT314" s="980"/>
      <c r="BU314" s="980"/>
      <c r="BV314" s="981"/>
      <c r="BW314" s="981"/>
    </row>
    <row r="315" spans="1:75" s="461" customFormat="1" ht="14.25" customHeight="1" x14ac:dyDescent="0.15">
      <c r="A315" s="1217"/>
      <c r="B315" s="350"/>
      <c r="C315" s="1217"/>
      <c r="D315" s="1217"/>
      <c r="E315" s="542">
        <v>15</v>
      </c>
      <c r="F315" s="17" t="str" cm="1">
        <f t="array" ref="F315">X315</f>
        <v>2</v>
      </c>
      <c r="G315" s="17" t="str" cm="1">
        <f t="array" ref="G315">INDEX('Общие сведения'!$AK$185:$AK$228,MATCH($X315,'Общие сведения'!$Z$185:$Z$228,0))</f>
        <v>одноставочный</v>
      </c>
      <c r="H315" s="1217"/>
      <c r="I315" s="17"/>
      <c r="J315" s="1217"/>
      <c r="K315" s="1217"/>
      <c r="L315" s="891"/>
      <c r="M315" s="348"/>
      <c r="N315" s="1217"/>
      <c r="O315" s="1217"/>
      <c r="P315" s="1217"/>
      <c r="Q315" s="1217"/>
      <c r="R315" s="1217"/>
      <c r="S315" s="41" t="str" cm="1">
        <f t="array" ref="S315">INDEX('Общие сведения'!$AE$185:$AE$228,MATCH($X315,'Общие сведения'!$Z$185:$Z$228,0))</f>
        <v>Водоотведение</v>
      </c>
      <c r="T315" s="388" t="b">
        <f>X315&gt;0</f>
        <v>1</v>
      </c>
      <c r="U315" s="1217"/>
      <c r="V315" s="41" t="str" cm="1">
        <f t="array" ref="V315">'Калькуляция (МИ)'!$AB$315</f>
        <v>Тариф 2 (Водоотведение) - тариф на водоотведение</v>
      </c>
      <c r="W315" s="1217"/>
      <c r="X315" s="2032" t="s">
        <v>289</v>
      </c>
      <c r="Y315" s="1217"/>
      <c r="Z315" s="2012"/>
      <c r="AA315" s="1217"/>
      <c r="AB315" s="297" t="str" cm="1">
        <f t="array" ref="AB315">'Калькуляция (МИ)'!$AB$315</f>
        <v>Тариф 2 (Водоотведение) - тариф на водоотведение</v>
      </c>
      <c r="AC315" s="171"/>
      <c r="AD315" s="171"/>
      <c r="AE315" s="171"/>
      <c r="AF315" s="171"/>
      <c r="AG315" s="171"/>
      <c r="AH315" s="171"/>
      <c r="AI315" s="171"/>
      <c r="AJ315" s="171"/>
      <c r="AK315" s="171"/>
      <c r="AL315" s="171"/>
      <c r="AM315" s="171"/>
      <c r="AN315" s="171"/>
      <c r="AO315" s="171"/>
      <c r="AP315" s="171"/>
      <c r="AQ315" s="171"/>
      <c r="AR315" s="171"/>
      <c r="AS315" s="171"/>
      <c r="AT315" s="171"/>
      <c r="AU315" s="171"/>
      <c r="AV315" s="171"/>
      <c r="AW315" s="171"/>
      <c r="AX315" s="171"/>
      <c r="AY315" s="171"/>
      <c r="AZ315" s="171"/>
      <c r="BA315" s="171"/>
      <c r="BB315" s="171"/>
      <c r="BC315" s="171"/>
      <c r="BD315" s="171"/>
      <c r="BE315" s="171"/>
      <c r="BF315" s="171"/>
      <c r="BG315" s="171"/>
      <c r="BH315" s="171"/>
      <c r="BI315" s="171"/>
      <c r="BJ315" s="171"/>
      <c r="BK315" s="171"/>
      <c r="BL315" s="171"/>
      <c r="BM315" s="171"/>
      <c r="BN315" s="171"/>
      <c r="BO315" s="171"/>
      <c r="BP315" s="171"/>
      <c r="BQ315" s="1217"/>
      <c r="BR315" s="1217"/>
      <c r="BS315" s="906"/>
      <c r="BT315" s="906"/>
      <c r="BU315" s="906"/>
      <c r="BV315" s="542"/>
      <c r="BW315" s="542"/>
    </row>
    <row r="316" spans="1:75" s="1597" customFormat="1" ht="42.95" customHeight="1" x14ac:dyDescent="0.15">
      <c r="A316" s="80"/>
      <c r="B316" s="356"/>
      <c r="C316" s="80"/>
      <c r="D316" s="80"/>
      <c r="E316" s="628">
        <v>21</v>
      </c>
      <c r="F316" s="3" t="str" cm="1">
        <f t="array" aca="1" ref="F316" ca="1">OFFSET(E316,-1,1)</f>
        <v>2</v>
      </c>
      <c r="G316" s="80"/>
      <c r="H316" s="293"/>
      <c r="I316" s="293" t="s">
        <v>331</v>
      </c>
      <c r="J316" s="80"/>
      <c r="K316" s="293" t="s">
        <v>331</v>
      </c>
      <c r="L316" s="892"/>
      <c r="M316" s="774"/>
      <c r="N316" s="80"/>
      <c r="O316" s="80"/>
      <c r="P316" s="80"/>
      <c r="Q316" s="80"/>
      <c r="R316" s="80" t="s">
        <v>2200</v>
      </c>
      <c r="S316" s="80"/>
      <c r="T316" s="388" t="b" cm="1">
        <f t="array" ref="T316">T315</f>
        <v>1</v>
      </c>
      <c r="U316" s="80"/>
      <c r="V316" s="80"/>
      <c r="W316" s="80"/>
      <c r="X316" s="2032"/>
      <c r="Y316" s="80"/>
      <c r="Z316" s="2012"/>
      <c r="AA316" s="80"/>
      <c r="AB316" s="166" t="s">
        <v>282</v>
      </c>
      <c r="AC316" s="131" t="s">
        <v>1890</v>
      </c>
      <c r="AD316" s="153" t="s">
        <v>831</v>
      </c>
      <c r="AE316" s="681">
        <f>SUM(AE318,AE335,AE341,AE361,AE362,AE363)</f>
        <v>86701.4696532042</v>
      </c>
      <c r="AF316" s="681">
        <f>SUM(AF318,AF335,AF341,AF361,AF362,AF363)</f>
        <v>78032.62</v>
      </c>
      <c r="AG316" s="681">
        <f>SUM(AG318,AG335,AG341,AG361,AG362,AG363)</f>
        <v>82559.479755579159</v>
      </c>
      <c r="AH316" s="681">
        <f t="shared" ref="AH316:AH347" si="78">AG316-AF316</f>
        <v>4526.8597555791639</v>
      </c>
      <c r="AI316" s="1516">
        <v>89439.5034672357</v>
      </c>
      <c r="AJ316" s="1516">
        <v>116524.37</v>
      </c>
      <c r="AK316" s="1153">
        <f t="shared" ref="AK316:AS316" ca="1" si="79">AJ316*AK317</f>
        <v>116524.37</v>
      </c>
      <c r="AL316" s="1153">
        <f t="shared" ca="1" si="79"/>
        <v>116524.37</v>
      </c>
      <c r="AM316" s="1153">
        <f t="shared" ca="1" si="79"/>
        <v>116524.37</v>
      </c>
      <c r="AN316" s="1153">
        <f t="shared" ca="1" si="79"/>
        <v>116524.37</v>
      </c>
      <c r="AO316" s="1153">
        <f t="shared" ca="1" si="79"/>
        <v>116524.37</v>
      </c>
      <c r="AP316" s="1153">
        <f t="shared" ca="1" si="79"/>
        <v>116524.37</v>
      </c>
      <c r="AQ316" s="1516">
        <f t="shared" ca="1" si="79"/>
        <v>116524.37</v>
      </c>
      <c r="AR316" s="1516">
        <f t="shared" ca="1" si="79"/>
        <v>116524.37</v>
      </c>
      <c r="AS316" s="1516">
        <f t="shared" ca="1" si="79"/>
        <v>116524.37</v>
      </c>
      <c r="AT316" s="1516">
        <v>97970.72</v>
      </c>
      <c r="AU316" s="1153">
        <f t="shared" ref="AU316:BC316" ca="1" si="80">AT316*AU317</f>
        <v>97970.72</v>
      </c>
      <c r="AV316" s="1153">
        <f t="shared" ca="1" si="80"/>
        <v>97970.72</v>
      </c>
      <c r="AW316" s="1153">
        <f t="shared" ca="1" si="80"/>
        <v>97970.72</v>
      </c>
      <c r="AX316" s="1153">
        <f t="shared" ca="1" si="80"/>
        <v>97970.72</v>
      </c>
      <c r="AY316" s="1153">
        <f t="shared" ca="1" si="80"/>
        <v>97970.72</v>
      </c>
      <c r="AZ316" s="1153">
        <f t="shared" ca="1" si="80"/>
        <v>97970.72</v>
      </c>
      <c r="BA316" s="1516">
        <f t="shared" ca="1" si="80"/>
        <v>97970.72</v>
      </c>
      <c r="BB316" s="1516">
        <f t="shared" ca="1" si="80"/>
        <v>97970.72</v>
      </c>
      <c r="BC316" s="1516">
        <f t="shared" ca="1" si="80"/>
        <v>97970.72</v>
      </c>
      <c r="BD316" s="681">
        <f>IF(AI316=0,0,(AT316-AI316)/AI316*100)</f>
        <v>9.538532977086053</v>
      </c>
      <c r="BE316" s="681">
        <f t="shared" ref="BE316:BM316" ca="1" si="81">IF(AT316=0,0,(AU316-AT316)/AT316*100)</f>
        <v>0</v>
      </c>
      <c r="BF316" s="681">
        <f t="shared" ca="1" si="81"/>
        <v>0</v>
      </c>
      <c r="BG316" s="681">
        <f t="shared" ca="1" si="81"/>
        <v>0</v>
      </c>
      <c r="BH316" s="681">
        <f t="shared" ca="1" si="81"/>
        <v>0</v>
      </c>
      <c r="BI316" s="681">
        <f t="shared" ca="1" si="81"/>
        <v>0</v>
      </c>
      <c r="BJ316" s="681">
        <f t="shared" ca="1" si="81"/>
        <v>0</v>
      </c>
      <c r="BK316" s="681">
        <f t="shared" ca="1" si="81"/>
        <v>0</v>
      </c>
      <c r="BL316" s="681">
        <f t="shared" ca="1" si="81"/>
        <v>0</v>
      </c>
      <c r="BM316" s="681">
        <f t="shared" ca="1" si="81"/>
        <v>0</v>
      </c>
      <c r="BN316" s="1573"/>
      <c r="BO316" s="1574" t="s">
        <v>2221</v>
      </c>
      <c r="BP316" s="1574"/>
      <c r="BQ316" s="79"/>
      <c r="BR316" s="80"/>
      <c r="BS316" s="977" t="s">
        <v>555</v>
      </c>
      <c r="BT316" s="977"/>
      <c r="BU316" s="977"/>
      <c r="BV316" s="628"/>
      <c r="BW316" s="628"/>
    </row>
    <row r="317" spans="1:75" s="1334" customFormat="1" ht="14.65" customHeight="1" x14ac:dyDescent="0.15">
      <c r="A317" s="1184"/>
      <c r="B317" s="887"/>
      <c r="C317" s="1184"/>
      <c r="D317" s="1184"/>
      <c r="E317" s="626">
        <v>15</v>
      </c>
      <c r="F317" s="3" t="str" cm="1">
        <f t="array" aca="1" ref="F317" ca="1">OFFSET(E317,-1,1)</f>
        <v>2</v>
      </c>
      <c r="G317" s="1184"/>
      <c r="H317" s="294"/>
      <c r="I317" s="294" t="s">
        <v>494</v>
      </c>
      <c r="J317" s="1184"/>
      <c r="K317" s="294" t="s">
        <v>494</v>
      </c>
      <c r="L317" s="889"/>
      <c r="M317" s="26"/>
      <c r="N317" s="1184"/>
      <c r="O317" s="1184"/>
      <c r="P317" s="1184"/>
      <c r="Q317" s="1184"/>
      <c r="R317" s="80" t="s">
        <v>2200</v>
      </c>
      <c r="S317" s="1184"/>
      <c r="T317" s="388" t="b" cm="1">
        <f t="array" ref="T317">T316</f>
        <v>1</v>
      </c>
      <c r="U317" s="1184"/>
      <c r="V317" s="1184"/>
      <c r="W317" s="1184"/>
      <c r="X317" s="2032"/>
      <c r="Y317" s="1184"/>
      <c r="Z317" s="2012"/>
      <c r="AA317" s="1184"/>
      <c r="AB317" s="217" t="s">
        <v>910</v>
      </c>
      <c r="AC317" s="682" t="s">
        <v>1891</v>
      </c>
      <c r="AD317" s="218"/>
      <c r="AE317" s="1560"/>
      <c r="AF317" s="1560"/>
      <c r="AG317" s="1560"/>
      <c r="AH317" s="853">
        <f t="shared" si="78"/>
        <v>0</v>
      </c>
      <c r="AI317" s="1560">
        <v>1.0315799999999999</v>
      </c>
      <c r="AJ317" s="1560">
        <f ca="1">SUMIFS(INDEX(Сценарии!$AE$25:$BF$109,,MATCH(AJ$8,Сценарии!$AE$8:$BF$8,0)),Сценарии!$F$25:$F$109,$F317,Сценарии!$G$25:$G$109,"ИОР")</f>
        <v>1.0395000000000001</v>
      </c>
      <c r="AK317" s="1159">
        <f ca="1">SUMIFS(INDEX(Сценарии!$AE$25:$BF$109,,MATCH(AK$8,Сценарии!$AE$8:$BF$8,0)),Сценарии!$F$25:$F$109,$F317,Сценарии!$G$25:$G$109,"ИОР")</f>
        <v>1</v>
      </c>
      <c r="AL317" s="1159">
        <f ca="1">SUMIFS(INDEX(Сценарии!$AE$25:$BF$109,,MATCH(AL$8,Сценарии!$AE$8:$BF$8,0)),Сценарии!$F$25:$F$109,$F317,Сценарии!$G$25:$G$109,"ИОР")</f>
        <v>1</v>
      </c>
      <c r="AM317" s="1159">
        <f ca="1">SUMIFS(INDEX(Сценарии!$AE$25:$BF$109,,MATCH(AM$8,Сценарии!$AE$8:$BF$8,0)),Сценарии!$F$25:$F$109,$F317,Сценарии!$G$25:$G$109,"ИОР")</f>
        <v>1</v>
      </c>
      <c r="AN317" s="1159">
        <f ca="1">SUMIFS(INDEX(Сценарии!$AE$25:$BF$109,,MATCH(AN$8,Сценарии!$AE$8:$BF$8,0)),Сценарии!$F$25:$F$109,$F317,Сценарии!$G$25:$G$109,"ИОР")</f>
        <v>1</v>
      </c>
      <c r="AO317" s="1159">
        <f ca="1">SUMIFS(INDEX(Сценарии!$AE$25:$BF$109,,MATCH(AO$8,Сценарии!$AE$8:$BF$8,0)),Сценарии!$F$25:$F$109,$F317,Сценарии!$G$25:$G$109,"ИОР")</f>
        <v>1</v>
      </c>
      <c r="AP317" s="1159">
        <f ca="1">SUMIFS(INDEX(Сценарии!$AE$25:$BF$109,,MATCH(AP$8,Сценарии!$AE$8:$BF$8,0)),Сценарии!$F$25:$F$109,$F317,Сценарии!$G$25:$G$109,"ИОР")</f>
        <v>1</v>
      </c>
      <c r="AQ317" s="1560">
        <f ca="1">SUMIFS(INDEX(Сценарии!$AE$25:$BF$109,,MATCH(AQ$8,Сценарии!$AE$8:$BF$8,0)),Сценарии!$F$25:$F$109,$F317,Сценарии!$G$25:$G$109,"ИОР")</f>
        <v>1</v>
      </c>
      <c r="AR317" s="1560">
        <f ca="1">SUMIFS(INDEX(Сценарии!$AE$25:$BF$109,,MATCH(AR$8,Сценарии!$AE$8:$BF$8,0)),Сценарии!$F$25:$F$109,$F317,Сценарии!$G$25:$G$109,"ИОР")</f>
        <v>1</v>
      </c>
      <c r="AS317" s="1560">
        <f ca="1">SUMIFS(INDEX(Сценарии!$AE$25:$BF$109,,MATCH(AS$8,Сценарии!$AE$8:$BF$8,0)),Сценарии!$F$25:$F$109,$F317,Сценарии!$G$25:$G$109,"ИОР")</f>
        <v>1</v>
      </c>
      <c r="AT317" s="1560">
        <f ca="1">SUMIFS(INDEX(Сценарии!$AE$25:$BF$109,,MATCH(AT$8,Сценарии!$AE$8:$BF$8,0)),Сценарии!$F$25:$F$109,$F317,Сценарии!$G$25:$G$109,"ИОР")</f>
        <v>1.0404899999999999</v>
      </c>
      <c r="AU317" s="1159">
        <f ca="1">SUMIFS(INDEX(Сценарии!$AE$25:$BF$109,,MATCH(AU$8,Сценарии!$AE$8:$BF$8,0)),Сценарии!$F$25:$F$109,$F317,Сценарии!$G$25:$G$109,"ИОР")</f>
        <v>1</v>
      </c>
      <c r="AV317" s="1159">
        <f ca="1">SUMIFS(INDEX(Сценарии!$AE$25:$BF$109,,MATCH(AV$8,Сценарии!$AE$8:$BF$8,0)),Сценарии!$F$25:$F$109,$F317,Сценарии!$G$25:$G$109,"ИОР")</f>
        <v>1</v>
      </c>
      <c r="AW317" s="1159">
        <f ca="1">SUMIFS(INDEX(Сценарии!$AE$25:$BF$109,,MATCH(AW$8,Сценарии!$AE$8:$BF$8,0)),Сценарии!$F$25:$F$109,$F317,Сценарии!$G$25:$G$109,"ИОР")</f>
        <v>1</v>
      </c>
      <c r="AX317" s="1159">
        <f ca="1">SUMIFS(INDEX(Сценарии!$AE$25:$BF$109,,MATCH(AX$8,Сценарии!$AE$8:$BF$8,0)),Сценарии!$F$25:$F$109,$F317,Сценарии!$G$25:$G$109,"ИОР")</f>
        <v>1</v>
      </c>
      <c r="AY317" s="1159">
        <f ca="1">SUMIFS(INDEX(Сценарии!$AE$25:$BF$109,,MATCH(AY$8,Сценарии!$AE$8:$BF$8,0)),Сценарии!$F$25:$F$109,$F317,Сценарии!$G$25:$G$109,"ИОР")</f>
        <v>1</v>
      </c>
      <c r="AZ317" s="1159">
        <f ca="1">SUMIFS(INDEX(Сценарии!$AE$25:$BF$109,,MATCH(AZ$8,Сценарии!$AE$8:$BF$8,0)),Сценарии!$F$25:$F$109,$F317,Сценарии!$G$25:$G$109,"ИОР")</f>
        <v>1</v>
      </c>
      <c r="BA317" s="1560">
        <f ca="1">SUMIFS(INDEX(Сценарии!$AE$25:$BF$109,,MATCH(BA$8,Сценарии!$AE$8:$BF$8,0)),Сценарии!$F$25:$F$109,$F317,Сценарии!$G$25:$G$109,"ИОР")</f>
        <v>1</v>
      </c>
      <c r="BB317" s="1560">
        <f ca="1">SUMIFS(INDEX(Сценарии!$AE$25:$BF$109,,MATCH(BB$8,Сценарии!$AE$8:$BF$8,0)),Сценарии!$F$25:$F$109,$F317,Сценарии!$G$25:$G$109,"ИОР")</f>
        <v>1</v>
      </c>
      <c r="BC317" s="1560">
        <f ca="1">SUMIFS(INDEX(Сценарии!$AE$25:$BF$109,,MATCH(BC$8,Сценарии!$AE$8:$BF$8,0)),Сценарии!$F$25:$F$109,$F317,Сценарии!$G$25:$G$109,"ИОР")</f>
        <v>1</v>
      </c>
      <c r="BD317" s="854"/>
      <c r="BE317" s="854"/>
      <c r="BF317" s="854"/>
      <c r="BG317" s="854"/>
      <c r="BH317" s="854"/>
      <c r="BI317" s="854"/>
      <c r="BJ317" s="854"/>
      <c r="BK317" s="854"/>
      <c r="BL317" s="854"/>
      <c r="BM317" s="854"/>
      <c r="BN317" s="1574"/>
      <c r="BO317" s="1574"/>
      <c r="BP317" s="1574"/>
      <c r="BQ317" s="1184"/>
      <c r="BR317" s="1184"/>
      <c r="BS317" s="973" t="s">
        <v>1892</v>
      </c>
      <c r="BT317" s="973"/>
      <c r="BU317" s="973"/>
      <c r="BV317" s="888"/>
      <c r="BW317" s="888"/>
    </row>
    <row r="318" spans="1:75" s="356" customFormat="1" ht="20.25" customHeight="1" x14ac:dyDescent="0.25">
      <c r="A318" s="79"/>
      <c r="C318" s="79"/>
      <c r="D318" s="79"/>
      <c r="E318" s="629">
        <v>21</v>
      </c>
      <c r="F318" s="3" t="str" cm="1">
        <f t="array" aca="1" ref="F318" ca="1">OFFSET(E318,-1,1)</f>
        <v>2</v>
      </c>
      <c r="G318" s="79"/>
      <c r="H318" s="293"/>
      <c r="I318" s="293" t="s">
        <v>498</v>
      </c>
      <c r="J318" s="79"/>
      <c r="K318" s="293" t="s">
        <v>498</v>
      </c>
      <c r="L318" s="893" t="s">
        <v>331</v>
      </c>
      <c r="M318" s="777"/>
      <c r="N318" s="79"/>
      <c r="O318" s="79"/>
      <c r="P318" s="79"/>
      <c r="Q318" s="77" t="s">
        <v>2200</v>
      </c>
      <c r="R318" s="80" t="s">
        <v>2200</v>
      </c>
      <c r="S318" s="79"/>
      <c r="T318" s="388" t="b" cm="1">
        <f t="array" ref="T318">T317</f>
        <v>1</v>
      </c>
      <c r="U318" s="79"/>
      <c r="V318" s="79"/>
      <c r="W318" s="79"/>
      <c r="X318" s="2032"/>
      <c r="Y318" s="79"/>
      <c r="Z318" s="2012"/>
      <c r="AA318" s="79"/>
      <c r="AB318" s="166" t="s">
        <v>913</v>
      </c>
      <c r="AC318" s="277" t="s">
        <v>1680</v>
      </c>
      <c r="AD318" s="153" t="s">
        <v>831</v>
      </c>
      <c r="AE318" s="681">
        <f>SUM(AE319,AE322,AE323,AE326,AE327)</f>
        <v>52137.407566292502</v>
      </c>
      <c r="AF318" s="681">
        <f>SUM(AF319,AF322,AF323,AF326,AF327)</f>
        <v>46559.330000000009</v>
      </c>
      <c r="AG318" s="681">
        <f>SUM(AG319,AG322,AG323,AG326,AG327)</f>
        <v>49646.646841108392</v>
      </c>
      <c r="AH318" s="681">
        <f t="shared" si="78"/>
        <v>3087.3168411083825</v>
      </c>
      <c r="AI318" s="1561">
        <f ca="1">SUM(AI319,AI322,AI323,AI326,AI327)</f>
        <v>0</v>
      </c>
      <c r="AJ318" s="1560"/>
      <c r="AK318" s="684"/>
      <c r="AL318" s="684"/>
      <c r="AM318" s="684"/>
      <c r="AN318" s="684"/>
      <c r="AO318" s="684"/>
      <c r="AP318" s="684"/>
      <c r="AQ318" s="684"/>
      <c r="AR318" s="684"/>
      <c r="AS318" s="684"/>
      <c r="AT318" s="684"/>
      <c r="AU318" s="684"/>
      <c r="AV318" s="684"/>
      <c r="AW318" s="684"/>
      <c r="AX318" s="684"/>
      <c r="AY318" s="684"/>
      <c r="AZ318" s="684"/>
      <c r="BA318" s="684"/>
      <c r="BB318" s="684"/>
      <c r="BC318" s="684"/>
      <c r="BD318" s="684"/>
      <c r="BE318" s="684"/>
      <c r="BF318" s="684"/>
      <c r="BG318" s="684"/>
      <c r="BH318" s="684"/>
      <c r="BI318" s="684"/>
      <c r="BJ318" s="684"/>
      <c r="BK318" s="684"/>
      <c r="BL318" s="684"/>
      <c r="BM318" s="684"/>
      <c r="BN318" s="1575"/>
      <c r="BO318" s="1575"/>
      <c r="BP318" s="1575"/>
      <c r="BQ318" s="79"/>
      <c r="BR318" s="79"/>
      <c r="BS318" s="971" t="s">
        <v>549</v>
      </c>
      <c r="BT318" s="978"/>
      <c r="BU318" s="978"/>
      <c r="BV318" s="629"/>
      <c r="BW318" s="629"/>
    </row>
    <row r="319" spans="1:75" s="1334" customFormat="1" ht="14.25" customHeight="1" x14ac:dyDescent="0.25">
      <c r="A319" s="1184"/>
      <c r="B319" s="887"/>
      <c r="C319" s="1184"/>
      <c r="D319" s="1184"/>
      <c r="E319" s="626">
        <v>15</v>
      </c>
      <c r="F319" s="3" t="str" cm="1">
        <f t="array" aca="1" ref="F319" ca="1">OFFSET(E319,-1,1)</f>
        <v>2</v>
      </c>
      <c r="G319" s="1184"/>
      <c r="H319" s="294"/>
      <c r="I319" s="294" t="s">
        <v>1301</v>
      </c>
      <c r="J319" s="1184"/>
      <c r="K319" s="294" t="s">
        <v>1301</v>
      </c>
      <c r="L319" s="889" t="s">
        <v>494</v>
      </c>
      <c r="M319" s="26"/>
      <c r="N319" s="1184"/>
      <c r="O319" s="1184"/>
      <c r="P319" s="1184"/>
      <c r="Q319" s="77" t="s">
        <v>2200</v>
      </c>
      <c r="R319" s="80" t="s">
        <v>2200</v>
      </c>
      <c r="S319" s="1184"/>
      <c r="T319" s="388" t="b" cm="1">
        <f t="array" ref="T319">T318</f>
        <v>1</v>
      </c>
      <c r="U319" s="1184"/>
      <c r="V319" s="1184"/>
      <c r="W319" s="1184"/>
      <c r="X319" s="2032"/>
      <c r="Y319" s="1184"/>
      <c r="Z319" s="2012"/>
      <c r="AA319" s="1184"/>
      <c r="AB319" s="217" t="s">
        <v>1302</v>
      </c>
      <c r="AC319" s="685" t="s">
        <v>1893</v>
      </c>
      <c r="AD319" s="686" t="s">
        <v>831</v>
      </c>
      <c r="AE319" s="855">
        <f>SUM(AE320,AE321)</f>
        <v>7213.9326700000001</v>
      </c>
      <c r="AF319" s="855">
        <f>SUM(AF320,AF321)</f>
        <v>4283.6899999999996</v>
      </c>
      <c r="AG319" s="855">
        <f>SUM(AG320,AG321)</f>
        <v>6869.301415641753</v>
      </c>
      <c r="AH319" s="855">
        <f t="shared" si="78"/>
        <v>2585.6114156417534</v>
      </c>
      <c r="AI319" s="1562">
        <f>SUM(AI320,AI321)</f>
        <v>0</v>
      </c>
      <c r="AJ319" s="1560"/>
      <c r="AK319" s="854"/>
      <c r="AL319" s="854"/>
      <c r="AM319" s="854"/>
      <c r="AN319" s="854"/>
      <c r="AO319" s="854"/>
      <c r="AP319" s="854"/>
      <c r="AQ319" s="854"/>
      <c r="AR319" s="854"/>
      <c r="AS319" s="854"/>
      <c r="AT319" s="854"/>
      <c r="AU319" s="854"/>
      <c r="AV319" s="854"/>
      <c r="AW319" s="854"/>
      <c r="AX319" s="854"/>
      <c r="AY319" s="854"/>
      <c r="AZ319" s="854"/>
      <c r="BA319" s="854"/>
      <c r="BB319" s="854"/>
      <c r="BC319" s="854"/>
      <c r="BD319" s="854"/>
      <c r="BE319" s="854"/>
      <c r="BF319" s="854"/>
      <c r="BG319" s="854"/>
      <c r="BH319" s="854"/>
      <c r="BI319" s="854"/>
      <c r="BJ319" s="854"/>
      <c r="BK319" s="854"/>
      <c r="BL319" s="854"/>
      <c r="BM319" s="854"/>
      <c r="BN319" s="1574"/>
      <c r="BO319" s="1574"/>
      <c r="BP319" s="1574"/>
      <c r="BQ319" s="29"/>
      <c r="BR319" s="1184"/>
      <c r="BS319" s="972" t="s">
        <v>1682</v>
      </c>
      <c r="BT319" s="973"/>
      <c r="BU319" s="973"/>
      <c r="BV319" s="888"/>
      <c r="BW319" s="888"/>
    </row>
    <row r="320" spans="1:75" s="1334" customFormat="1" ht="21.2" customHeight="1" x14ac:dyDescent="0.25">
      <c r="A320" s="1184"/>
      <c r="B320" s="887"/>
      <c r="C320" s="1184"/>
      <c r="D320" s="1184"/>
      <c r="E320" s="626">
        <v>15</v>
      </c>
      <c r="F320" s="3" t="str" cm="1">
        <f t="array" aca="1" ref="F320" ca="1">OFFSET(E320,-1,1)</f>
        <v>2</v>
      </c>
      <c r="G320" s="1184"/>
      <c r="H320" s="294"/>
      <c r="I320" s="294" t="s">
        <v>1894</v>
      </c>
      <c r="J320" s="1184"/>
      <c r="K320" s="294" t="s">
        <v>1894</v>
      </c>
      <c r="L320" s="889" t="s">
        <v>1020</v>
      </c>
      <c r="M320" s="26"/>
      <c r="N320" s="1184"/>
      <c r="O320" s="1184"/>
      <c r="P320" s="1184"/>
      <c r="Q320" s="77" t="s">
        <v>2200</v>
      </c>
      <c r="R320" s="80" t="s">
        <v>2200</v>
      </c>
      <c r="S320" s="1184"/>
      <c r="T320" s="388" t="b" cm="1">
        <f t="array" ref="T320">T319</f>
        <v>1</v>
      </c>
      <c r="U320" s="1184"/>
      <c r="V320" s="1184"/>
      <c r="W320" s="1184"/>
      <c r="X320" s="2032"/>
      <c r="Y320" s="1184"/>
      <c r="Z320" s="2012"/>
      <c r="AA320" s="1184"/>
      <c r="AB320" s="217" t="s">
        <v>1895</v>
      </c>
      <c r="AC320" s="688" t="s">
        <v>1685</v>
      </c>
      <c r="AD320" s="686" t="s">
        <v>831</v>
      </c>
      <c r="AE320" s="1568">
        <v>7213.9326700000001</v>
      </c>
      <c r="AF320" s="1568">
        <v>4283.6899999999996</v>
      </c>
      <c r="AG320" s="1568">
        <f>AE320*0.952226993219463</f>
        <v>6869.301415641753</v>
      </c>
      <c r="AH320" s="855">
        <f t="shared" si="78"/>
        <v>2585.6114156417534</v>
      </c>
      <c r="AI320" s="1563"/>
      <c r="AJ320" s="1560"/>
      <c r="AK320" s="854"/>
      <c r="AL320" s="854"/>
      <c r="AM320" s="854"/>
      <c r="AN320" s="854"/>
      <c r="AO320" s="854"/>
      <c r="AP320" s="854"/>
      <c r="AQ320" s="854"/>
      <c r="AR320" s="854"/>
      <c r="AS320" s="854"/>
      <c r="AT320" s="854"/>
      <c r="AU320" s="854"/>
      <c r="AV320" s="854"/>
      <c r="AW320" s="854"/>
      <c r="AX320" s="854"/>
      <c r="AY320" s="854"/>
      <c r="AZ320" s="854"/>
      <c r="BA320" s="854"/>
      <c r="BB320" s="854"/>
      <c r="BC320" s="854"/>
      <c r="BD320" s="854"/>
      <c r="BE320" s="854"/>
      <c r="BF320" s="854"/>
      <c r="BG320" s="854"/>
      <c r="BH320" s="854"/>
      <c r="BI320" s="854"/>
      <c r="BJ320" s="854"/>
      <c r="BK320" s="854"/>
      <c r="BL320" s="854"/>
      <c r="BM320" s="854"/>
      <c r="BN320" s="1574"/>
      <c r="BO320" s="1574"/>
      <c r="BP320" s="1574"/>
      <c r="BQ320" s="1184"/>
      <c r="BR320" s="1184"/>
      <c r="BS320" s="971" t="s">
        <v>1686</v>
      </c>
      <c r="BT320" s="973"/>
      <c r="BU320" s="973"/>
      <c r="BV320" s="888"/>
      <c r="BW320" s="888"/>
    </row>
    <row r="321" spans="1:75" s="1334" customFormat="1" ht="14.25" customHeight="1" x14ac:dyDescent="0.25">
      <c r="A321" s="1184"/>
      <c r="B321" s="887"/>
      <c r="C321" s="1184"/>
      <c r="D321" s="1184"/>
      <c r="E321" s="626">
        <v>15</v>
      </c>
      <c r="F321" s="3" t="str" cm="1">
        <f t="array" aca="1" ref="F321" ca="1">OFFSET(E321,-1,1)</f>
        <v>2</v>
      </c>
      <c r="G321" s="1184"/>
      <c r="H321" s="294"/>
      <c r="I321" s="294" t="s">
        <v>1896</v>
      </c>
      <c r="J321" s="1184"/>
      <c r="K321" s="294" t="s">
        <v>1896</v>
      </c>
      <c r="L321" s="889" t="s">
        <v>1276</v>
      </c>
      <c r="M321" s="26"/>
      <c r="N321" s="1184"/>
      <c r="O321" s="1184"/>
      <c r="P321" s="1184"/>
      <c r="Q321" s="77" t="s">
        <v>2200</v>
      </c>
      <c r="R321" s="80" t="s">
        <v>2200</v>
      </c>
      <c r="S321" s="1184"/>
      <c r="T321" s="388" t="b" cm="1">
        <f t="array" ref="T321">T320</f>
        <v>1</v>
      </c>
      <c r="U321" s="1184"/>
      <c r="V321" s="1184"/>
      <c r="W321" s="1184"/>
      <c r="X321" s="2032"/>
      <c r="Y321" s="1184"/>
      <c r="Z321" s="2012"/>
      <c r="AA321" s="1184"/>
      <c r="AB321" s="217" t="s">
        <v>1897</v>
      </c>
      <c r="AC321" s="688" t="s">
        <v>1687</v>
      </c>
      <c r="AD321" s="686" t="s">
        <v>831</v>
      </c>
      <c r="AE321" s="1568"/>
      <c r="AF321" s="1568"/>
      <c r="AG321" s="1568"/>
      <c r="AH321" s="855">
        <f t="shared" si="78"/>
        <v>0</v>
      </c>
      <c r="AI321" s="1563"/>
      <c r="AJ321" s="1560"/>
      <c r="AK321" s="854"/>
      <c r="AL321" s="854"/>
      <c r="AM321" s="854"/>
      <c r="AN321" s="854"/>
      <c r="AO321" s="854"/>
      <c r="AP321" s="854"/>
      <c r="AQ321" s="854"/>
      <c r="AR321" s="854"/>
      <c r="AS321" s="854"/>
      <c r="AT321" s="854"/>
      <c r="AU321" s="854"/>
      <c r="AV321" s="854"/>
      <c r="AW321" s="854"/>
      <c r="AX321" s="854"/>
      <c r="AY321" s="854"/>
      <c r="AZ321" s="854"/>
      <c r="BA321" s="854"/>
      <c r="BB321" s="854"/>
      <c r="BC321" s="854"/>
      <c r="BD321" s="854"/>
      <c r="BE321" s="854"/>
      <c r="BF321" s="854"/>
      <c r="BG321" s="854"/>
      <c r="BH321" s="854"/>
      <c r="BI321" s="854"/>
      <c r="BJ321" s="854"/>
      <c r="BK321" s="854"/>
      <c r="BL321" s="854"/>
      <c r="BM321" s="854"/>
      <c r="BN321" s="1574"/>
      <c r="BO321" s="1574"/>
      <c r="BP321" s="1574"/>
      <c r="BQ321" s="1184"/>
      <c r="BR321" s="1184"/>
      <c r="BS321" s="971" t="s">
        <v>1688</v>
      </c>
      <c r="BT321" s="973"/>
      <c r="BU321" s="973"/>
      <c r="BV321" s="888"/>
      <c r="BW321" s="888"/>
    </row>
    <row r="322" spans="1:75" s="1334" customFormat="1" ht="21.75" customHeight="1" x14ac:dyDescent="0.25">
      <c r="A322" s="1184"/>
      <c r="B322" s="887"/>
      <c r="C322" s="1184"/>
      <c r="D322" s="1184"/>
      <c r="E322" s="626">
        <v>22.5</v>
      </c>
      <c r="F322" s="3" t="str" cm="1">
        <f t="array" aca="1" ref="F322" ca="1">OFFSET(E322,-1,1)</f>
        <v>2</v>
      </c>
      <c r="G322" s="1184"/>
      <c r="H322" s="294"/>
      <c r="I322" s="294" t="s">
        <v>1304</v>
      </c>
      <c r="J322" s="1184"/>
      <c r="K322" s="294" t="s">
        <v>1304</v>
      </c>
      <c r="L322" s="889" t="s">
        <v>501</v>
      </c>
      <c r="M322" s="26"/>
      <c r="N322" s="1184"/>
      <c r="O322" s="1184"/>
      <c r="P322" s="1184"/>
      <c r="Q322" s="77" t="s">
        <v>2200</v>
      </c>
      <c r="R322" s="80" t="s">
        <v>2200</v>
      </c>
      <c r="S322" s="1184"/>
      <c r="T322" s="388" t="b" cm="1">
        <f t="array" ref="T322">T321</f>
        <v>1</v>
      </c>
      <c r="U322" s="1184"/>
      <c r="V322" s="1184"/>
      <c r="W322" s="1184"/>
      <c r="X322" s="2032"/>
      <c r="Y322" s="1184"/>
      <c r="Z322" s="2012"/>
      <c r="AA322" s="1184"/>
      <c r="AB322" s="217" t="s">
        <v>1305</v>
      </c>
      <c r="AC322" s="685" t="s">
        <v>1898</v>
      </c>
      <c r="AD322" s="686" t="s">
        <v>831</v>
      </c>
      <c r="AE322" s="1568"/>
      <c r="AF322" s="1568"/>
      <c r="AG322" s="1568"/>
      <c r="AH322" s="855">
        <f t="shared" si="78"/>
        <v>0</v>
      </c>
      <c r="AI322" s="1563"/>
      <c r="AJ322" s="1560"/>
      <c r="AK322" s="854"/>
      <c r="AL322" s="854"/>
      <c r="AM322" s="854"/>
      <c r="AN322" s="854"/>
      <c r="AO322" s="854"/>
      <c r="AP322" s="854"/>
      <c r="AQ322" s="854"/>
      <c r="AR322" s="854"/>
      <c r="AS322" s="854"/>
      <c r="AT322" s="854"/>
      <c r="AU322" s="854"/>
      <c r="AV322" s="854"/>
      <c r="AW322" s="854"/>
      <c r="AX322" s="854"/>
      <c r="AY322" s="854"/>
      <c r="AZ322" s="854"/>
      <c r="BA322" s="854"/>
      <c r="BB322" s="854"/>
      <c r="BC322" s="854"/>
      <c r="BD322" s="854"/>
      <c r="BE322" s="854"/>
      <c r="BF322" s="854"/>
      <c r="BG322" s="854"/>
      <c r="BH322" s="854"/>
      <c r="BI322" s="854"/>
      <c r="BJ322" s="854"/>
      <c r="BK322" s="854"/>
      <c r="BL322" s="854"/>
      <c r="BM322" s="854"/>
      <c r="BN322" s="1574"/>
      <c r="BO322" s="1574"/>
      <c r="BP322" s="1574"/>
      <c r="BQ322" s="1184"/>
      <c r="BR322" s="1184"/>
      <c r="BS322" s="972" t="s">
        <v>1713</v>
      </c>
      <c r="BT322" s="973"/>
      <c r="BU322" s="973"/>
      <c r="BV322" s="888"/>
      <c r="BW322" s="888"/>
    </row>
    <row r="323" spans="1:75" s="1334" customFormat="1" ht="36.200000000000003" customHeight="1" x14ac:dyDescent="0.25">
      <c r="A323" s="1184"/>
      <c r="B323" s="887"/>
      <c r="C323" s="1184"/>
      <c r="D323" s="1184"/>
      <c r="E323" s="626">
        <v>22.5</v>
      </c>
      <c r="F323" s="3" t="str" cm="1">
        <f t="array" aca="1" ref="F323" ca="1">OFFSET(E323,-1,1)</f>
        <v>2</v>
      </c>
      <c r="G323" s="1184"/>
      <c r="H323" s="294"/>
      <c r="I323" s="294" t="s">
        <v>1308</v>
      </c>
      <c r="J323" s="1184"/>
      <c r="K323" s="294" t="s">
        <v>1308</v>
      </c>
      <c r="L323" s="889" t="s">
        <v>505</v>
      </c>
      <c r="M323" s="26"/>
      <c r="N323" s="1184"/>
      <c r="O323" s="1184"/>
      <c r="P323" s="1184"/>
      <c r="Q323" s="77" t="s">
        <v>2200</v>
      </c>
      <c r="R323" s="80" t="s">
        <v>2200</v>
      </c>
      <c r="S323" s="1184"/>
      <c r="T323" s="388" t="b" cm="1">
        <f t="array" ref="T323">T322</f>
        <v>1</v>
      </c>
      <c r="U323" s="1184"/>
      <c r="V323" s="1184"/>
      <c r="W323" s="1184"/>
      <c r="X323" s="2032"/>
      <c r="Y323" s="1184"/>
      <c r="Z323" s="2012"/>
      <c r="AA323" s="1184"/>
      <c r="AB323" s="217" t="s">
        <v>1309</v>
      </c>
      <c r="AC323" s="685" t="s">
        <v>1899</v>
      </c>
      <c r="AD323" s="686" t="s">
        <v>831</v>
      </c>
      <c r="AE323" s="856">
        <f>AE324+AE325</f>
        <v>43463.894448132502</v>
      </c>
      <c r="AF323" s="856">
        <f>AF324+AF325</f>
        <v>40309.660000000003</v>
      </c>
      <c r="AG323" s="856">
        <f>AG324+AG325</f>
        <v>41387.493523953322</v>
      </c>
      <c r="AH323" s="855">
        <f t="shared" si="78"/>
        <v>1077.8335239533189</v>
      </c>
      <c r="AI323" s="1564">
        <f ca="1">AI324+AI325</f>
        <v>0</v>
      </c>
      <c r="AJ323" s="1560"/>
      <c r="AK323" s="854"/>
      <c r="AL323" s="854"/>
      <c r="AM323" s="854"/>
      <c r="AN323" s="854"/>
      <c r="AO323" s="854"/>
      <c r="AP323" s="854"/>
      <c r="AQ323" s="854"/>
      <c r="AR323" s="854"/>
      <c r="AS323" s="854"/>
      <c r="AT323" s="854"/>
      <c r="AU323" s="854"/>
      <c r="AV323" s="854"/>
      <c r="AW323" s="854"/>
      <c r="AX323" s="854"/>
      <c r="AY323" s="854"/>
      <c r="AZ323" s="854"/>
      <c r="BA323" s="854"/>
      <c r="BB323" s="854"/>
      <c r="BC323" s="854"/>
      <c r="BD323" s="854"/>
      <c r="BE323" s="854"/>
      <c r="BF323" s="854"/>
      <c r="BG323" s="854"/>
      <c r="BH323" s="854"/>
      <c r="BI323" s="854"/>
      <c r="BJ323" s="854"/>
      <c r="BK323" s="854"/>
      <c r="BL323" s="854"/>
      <c r="BM323" s="854"/>
      <c r="BN323" s="1574"/>
      <c r="BO323" s="1574"/>
      <c r="BP323" s="1574"/>
      <c r="BQ323" s="1184"/>
      <c r="BR323" s="1184"/>
      <c r="BS323" s="972" t="s">
        <v>1900</v>
      </c>
      <c r="BT323" s="973"/>
      <c r="BU323" s="973"/>
      <c r="BV323" s="888"/>
      <c r="BW323" s="888"/>
    </row>
    <row r="324" spans="1:75" s="1334" customFormat="1" ht="26.65" customHeight="1" x14ac:dyDescent="0.25">
      <c r="A324" s="1184"/>
      <c r="B324" s="887"/>
      <c r="C324" s="1184"/>
      <c r="D324" s="1184"/>
      <c r="E324" s="626">
        <v>15</v>
      </c>
      <c r="F324" s="3" t="str" cm="1">
        <f t="array" aca="1" ref="F324" ca="1">OFFSET(E324,-1,1)</f>
        <v>2</v>
      </c>
      <c r="G324" s="265" t="s">
        <v>1104</v>
      </c>
      <c r="H324" s="294"/>
      <c r="I324" s="294" t="s">
        <v>1454</v>
      </c>
      <c r="J324" s="1184"/>
      <c r="K324" s="294" t="s">
        <v>1454</v>
      </c>
      <c r="L324" s="889" t="s">
        <v>1328</v>
      </c>
      <c r="M324" s="26"/>
      <c r="N324" s="1184"/>
      <c r="O324" s="1184"/>
      <c r="P324" s="1184"/>
      <c r="Q324" s="77" t="s">
        <v>2200</v>
      </c>
      <c r="R324" s="80" t="s">
        <v>2200</v>
      </c>
      <c r="S324" s="1184"/>
      <c r="T324" s="388" t="b" cm="1">
        <f t="array" ref="T324">T323</f>
        <v>1</v>
      </c>
      <c r="U324" s="1184"/>
      <c r="V324" s="1184"/>
      <c r="W324" s="1184"/>
      <c r="X324" s="2032"/>
      <c r="Y324" s="1184"/>
      <c r="Z324" s="2012"/>
      <c r="AA324" s="1184"/>
      <c r="AB324" s="217" t="s">
        <v>1901</v>
      </c>
      <c r="AC324" s="688" t="s">
        <v>1716</v>
      </c>
      <c r="AD324" s="686" t="s">
        <v>831</v>
      </c>
      <c r="AE324" s="1568">
        <v>33382.407410239997</v>
      </c>
      <c r="AF324" s="1568">
        <f>26194.84+4806.61</f>
        <v>31001.45</v>
      </c>
      <c r="AG324" s="1568">
        <f>AE324*0.952226993219463</f>
        <v>31787.629434679955</v>
      </c>
      <c r="AH324" s="855">
        <f t="shared" si="78"/>
        <v>786.17943467995428</v>
      </c>
      <c r="AI324" s="1563"/>
      <c r="AJ324" s="1560"/>
      <c r="AK324" s="854"/>
      <c r="AL324" s="854"/>
      <c r="AM324" s="854"/>
      <c r="AN324" s="854"/>
      <c r="AO324" s="854"/>
      <c r="AP324" s="854"/>
      <c r="AQ324" s="854"/>
      <c r="AR324" s="854"/>
      <c r="AS324" s="854"/>
      <c r="AT324" s="854"/>
      <c r="AU324" s="854"/>
      <c r="AV324" s="854"/>
      <c r="AW324" s="854"/>
      <c r="AX324" s="854"/>
      <c r="AY324" s="854"/>
      <c r="AZ324" s="854"/>
      <c r="BA324" s="854"/>
      <c r="BB324" s="854"/>
      <c r="BC324" s="854"/>
      <c r="BD324" s="854"/>
      <c r="BE324" s="854"/>
      <c r="BF324" s="854"/>
      <c r="BG324" s="854"/>
      <c r="BH324" s="854"/>
      <c r="BI324" s="854"/>
      <c r="BJ324" s="854"/>
      <c r="BK324" s="854"/>
      <c r="BL324" s="854"/>
      <c r="BM324" s="854"/>
      <c r="BN324" s="1574"/>
      <c r="BO324" s="1576"/>
      <c r="BP324" s="1574"/>
      <c r="BQ324" s="1184"/>
      <c r="BR324" s="1184"/>
      <c r="BS324" s="971" t="s">
        <v>1717</v>
      </c>
      <c r="BT324" s="973"/>
      <c r="BU324" s="973"/>
      <c r="BV324" s="888"/>
      <c r="BW324" s="888"/>
    </row>
    <row r="325" spans="1:75" s="1334" customFormat="1" ht="25.35" customHeight="1" x14ac:dyDescent="0.25">
      <c r="A325" s="1184"/>
      <c r="B325" s="887"/>
      <c r="C325" s="1184"/>
      <c r="D325" s="1184"/>
      <c r="E325" s="626">
        <v>22.5</v>
      </c>
      <c r="F325" s="3" t="str" cm="1">
        <f t="array" aca="1" ref="F325" ca="1">OFFSET(E325,-1,1)</f>
        <v>2</v>
      </c>
      <c r="G325" s="265" t="s">
        <v>1116</v>
      </c>
      <c r="H325" s="294"/>
      <c r="I325" s="294" t="s">
        <v>1458</v>
      </c>
      <c r="J325" s="1184"/>
      <c r="K325" s="294" t="s">
        <v>1458</v>
      </c>
      <c r="L325" s="889" t="s">
        <v>1329</v>
      </c>
      <c r="M325" s="26"/>
      <c r="N325" s="1184"/>
      <c r="O325" s="1184"/>
      <c r="P325" s="1184"/>
      <c r="Q325" s="77" t="s">
        <v>2200</v>
      </c>
      <c r="R325" s="80" t="s">
        <v>2200</v>
      </c>
      <c r="S325" s="1184"/>
      <c r="T325" s="388" t="b" cm="1">
        <f t="array" ref="T325">T324</f>
        <v>1</v>
      </c>
      <c r="U325" s="1184"/>
      <c r="V325" s="1184"/>
      <c r="W325" s="1184"/>
      <c r="X325" s="2032"/>
      <c r="Y325" s="1184"/>
      <c r="Z325" s="2012"/>
      <c r="AA325" s="1184"/>
      <c r="AB325" s="217" t="s">
        <v>1902</v>
      </c>
      <c r="AC325" s="688" t="s">
        <v>1903</v>
      </c>
      <c r="AD325" s="686" t="s">
        <v>831</v>
      </c>
      <c r="AE325" s="1568">
        <v>10081.487037892501</v>
      </c>
      <c r="AF325" s="1568">
        <f>7876.44+1431.77</f>
        <v>9308.2099999999991</v>
      </c>
      <c r="AG325" s="1568">
        <f>AE325*0.952226993219463</f>
        <v>9599.8640892733674</v>
      </c>
      <c r="AH325" s="855">
        <f t="shared" si="78"/>
        <v>291.6540892733683</v>
      </c>
      <c r="AI325" s="1563">
        <f ca="1">AI324*SUMIFS(INDEX(Сценарии!$AE$25:$BF$109,,MATCH(AG$8,Сценарии!$AE$8:$BF$8,0)),Сценарии!$F$25:$F$109,$F325,Сценарии!$G$25:$G$109,"СВФОТ")/100</f>
        <v>0</v>
      </c>
      <c r="AJ325" s="1560"/>
      <c r="AK325" s="854"/>
      <c r="AL325" s="854"/>
      <c r="AM325" s="854"/>
      <c r="AN325" s="854"/>
      <c r="AO325" s="854"/>
      <c r="AP325" s="854"/>
      <c r="AQ325" s="854"/>
      <c r="AR325" s="854"/>
      <c r="AS325" s="854"/>
      <c r="AT325" s="854"/>
      <c r="AU325" s="854"/>
      <c r="AV325" s="854"/>
      <c r="AW325" s="854"/>
      <c r="AX325" s="854"/>
      <c r="AY325" s="854"/>
      <c r="AZ325" s="854"/>
      <c r="BA325" s="854"/>
      <c r="BB325" s="854"/>
      <c r="BC325" s="854"/>
      <c r="BD325" s="854"/>
      <c r="BE325" s="854"/>
      <c r="BF325" s="854"/>
      <c r="BG325" s="854"/>
      <c r="BH325" s="854"/>
      <c r="BI325" s="854"/>
      <c r="BJ325" s="854"/>
      <c r="BK325" s="854"/>
      <c r="BL325" s="854"/>
      <c r="BM325" s="854"/>
      <c r="BN325" s="1574"/>
      <c r="BO325" s="1576"/>
      <c r="BP325" s="1574"/>
      <c r="BQ325" s="1184"/>
      <c r="BR325" s="1184"/>
      <c r="BS325" s="971" t="s">
        <v>1719</v>
      </c>
      <c r="BT325" s="973"/>
      <c r="BU325" s="973"/>
      <c r="BV325" s="888"/>
      <c r="BW325" s="888"/>
    </row>
    <row r="326" spans="1:75" s="1334" customFormat="1" ht="14.25" customHeight="1" x14ac:dyDescent="0.25">
      <c r="A326" s="1184"/>
      <c r="B326" s="887"/>
      <c r="C326" s="1184"/>
      <c r="D326" s="1184"/>
      <c r="E326" s="626">
        <v>15</v>
      </c>
      <c r="F326" s="3" t="str" cm="1">
        <f t="array" aca="1" ref="F326" ca="1">OFFSET(E326,-1,1)</f>
        <v>2</v>
      </c>
      <c r="G326" s="1184"/>
      <c r="H326" s="294"/>
      <c r="I326" s="294" t="s">
        <v>1469</v>
      </c>
      <c r="J326" s="1184"/>
      <c r="K326" s="294" t="s">
        <v>1469</v>
      </c>
      <c r="L326" s="889" t="s">
        <v>1721</v>
      </c>
      <c r="M326" s="26"/>
      <c r="N326" s="1184"/>
      <c r="O326" s="1184"/>
      <c r="P326" s="1184"/>
      <c r="Q326" s="77" t="s">
        <v>2200</v>
      </c>
      <c r="R326" s="80" t="s">
        <v>2200</v>
      </c>
      <c r="S326" s="1184"/>
      <c r="T326" s="388" t="b" cm="1">
        <f t="array" ref="T326">T325</f>
        <v>1</v>
      </c>
      <c r="U326" s="1184"/>
      <c r="V326" s="1184"/>
      <c r="W326" s="1184"/>
      <c r="X326" s="2032"/>
      <c r="Y326" s="1184"/>
      <c r="Z326" s="2012"/>
      <c r="AA326" s="1184"/>
      <c r="AB326" s="217" t="s">
        <v>1695</v>
      </c>
      <c r="AC326" s="685" t="s">
        <v>1904</v>
      </c>
      <c r="AD326" s="686" t="s">
        <v>831</v>
      </c>
      <c r="AE326" s="1568"/>
      <c r="AF326" s="1568"/>
      <c r="AG326" s="1568"/>
      <c r="AH326" s="855">
        <f t="shared" si="78"/>
        <v>0</v>
      </c>
      <c r="AI326" s="1563"/>
      <c r="AJ326" s="1560"/>
      <c r="AK326" s="854"/>
      <c r="AL326" s="854"/>
      <c r="AM326" s="854"/>
      <c r="AN326" s="854"/>
      <c r="AO326" s="854"/>
      <c r="AP326" s="854"/>
      <c r="AQ326" s="854"/>
      <c r="AR326" s="854"/>
      <c r="AS326" s="854"/>
      <c r="AT326" s="854"/>
      <c r="AU326" s="854"/>
      <c r="AV326" s="854"/>
      <c r="AW326" s="854"/>
      <c r="AX326" s="854"/>
      <c r="AY326" s="854"/>
      <c r="AZ326" s="854"/>
      <c r="BA326" s="854"/>
      <c r="BB326" s="854"/>
      <c r="BC326" s="854"/>
      <c r="BD326" s="854"/>
      <c r="BE326" s="854"/>
      <c r="BF326" s="854"/>
      <c r="BG326" s="854"/>
      <c r="BH326" s="854"/>
      <c r="BI326" s="854"/>
      <c r="BJ326" s="854"/>
      <c r="BK326" s="854"/>
      <c r="BL326" s="854"/>
      <c r="BM326" s="854"/>
      <c r="BN326" s="1574"/>
      <c r="BO326" s="1574"/>
      <c r="BP326" s="1574"/>
      <c r="BQ326" s="1184"/>
      <c r="BR326" s="1184"/>
      <c r="BS326" s="972" t="s">
        <v>1724</v>
      </c>
      <c r="BT326" s="973"/>
      <c r="BU326" s="973"/>
      <c r="BV326" s="888"/>
      <c r="BW326" s="888"/>
    </row>
    <row r="327" spans="1:75" s="1334" customFormat="1" ht="14.25" customHeight="1" x14ac:dyDescent="0.25">
      <c r="A327" s="1184"/>
      <c r="B327" s="887"/>
      <c r="C327" s="1184"/>
      <c r="D327" s="1184"/>
      <c r="E327" s="626">
        <v>15</v>
      </c>
      <c r="F327" s="3" t="str" cm="1">
        <f t="array" aca="1" ref="F327" ca="1">OFFSET(E327,-1,1)</f>
        <v>2</v>
      </c>
      <c r="G327" s="1184"/>
      <c r="H327" s="294"/>
      <c r="I327" s="294" t="s">
        <v>1473</v>
      </c>
      <c r="J327" s="1184"/>
      <c r="K327" s="294" t="s">
        <v>1473</v>
      </c>
      <c r="L327" s="889" t="s">
        <v>1725</v>
      </c>
      <c r="M327" s="1184"/>
      <c r="N327" s="1184"/>
      <c r="O327" s="1184"/>
      <c r="P327" s="1184"/>
      <c r="Q327" s="77" t="s">
        <v>2200</v>
      </c>
      <c r="R327" s="80" t="s">
        <v>2200</v>
      </c>
      <c r="S327" s="1184"/>
      <c r="T327" s="388" t="b" cm="1">
        <f t="array" ref="T327">T326</f>
        <v>1</v>
      </c>
      <c r="U327" s="1184"/>
      <c r="V327" s="1184"/>
      <c r="W327" s="1184"/>
      <c r="X327" s="2032"/>
      <c r="Y327" s="1184"/>
      <c r="Z327" s="2012"/>
      <c r="AA327" s="1184"/>
      <c r="AB327" s="217" t="s">
        <v>1697</v>
      </c>
      <c r="AC327" s="685" t="s">
        <v>1905</v>
      </c>
      <c r="AD327" s="218" t="s">
        <v>831</v>
      </c>
      <c r="AE327" s="856">
        <f>SUM(AE328:AE334)</f>
        <v>1459.5804481600001</v>
      </c>
      <c r="AF327" s="856">
        <f>SUM(AF328:AF334)</f>
        <v>1965.98</v>
      </c>
      <c r="AG327" s="856">
        <f>SUM(AG328:AG334)</f>
        <v>1389.8519015133131</v>
      </c>
      <c r="AH327" s="855">
        <f t="shared" si="78"/>
        <v>-576.12809848668689</v>
      </c>
      <c r="AI327" s="1564">
        <f>SUM(AI328:AI334)</f>
        <v>0</v>
      </c>
      <c r="AJ327" s="1560"/>
      <c r="AK327" s="854"/>
      <c r="AL327" s="854"/>
      <c r="AM327" s="854"/>
      <c r="AN327" s="854"/>
      <c r="AO327" s="854"/>
      <c r="AP327" s="854"/>
      <c r="AQ327" s="854"/>
      <c r="AR327" s="854"/>
      <c r="AS327" s="854"/>
      <c r="AT327" s="854"/>
      <c r="AU327" s="854"/>
      <c r="AV327" s="854"/>
      <c r="AW327" s="854"/>
      <c r="AX327" s="854"/>
      <c r="AY327" s="854"/>
      <c r="AZ327" s="854"/>
      <c r="BA327" s="854"/>
      <c r="BB327" s="854"/>
      <c r="BC327" s="854"/>
      <c r="BD327" s="854"/>
      <c r="BE327" s="854"/>
      <c r="BF327" s="854"/>
      <c r="BG327" s="854"/>
      <c r="BH327" s="854"/>
      <c r="BI327" s="854"/>
      <c r="BJ327" s="854"/>
      <c r="BK327" s="854"/>
      <c r="BL327" s="854"/>
      <c r="BM327" s="854"/>
      <c r="BN327" s="1574"/>
      <c r="BO327" s="1574"/>
      <c r="BP327" s="1574"/>
      <c r="BQ327" s="1184"/>
      <c r="BR327" s="1184"/>
      <c r="BS327" s="972" t="s">
        <v>1906</v>
      </c>
      <c r="BT327" s="973"/>
      <c r="BU327" s="973"/>
      <c r="BV327" s="888"/>
      <c r="BW327" s="888"/>
    </row>
    <row r="328" spans="1:75" s="1334" customFormat="1" ht="14.25" customHeight="1" x14ac:dyDescent="0.25">
      <c r="A328" s="1184"/>
      <c r="B328" s="887"/>
      <c r="C328" s="1184"/>
      <c r="D328" s="1184"/>
      <c r="E328" s="626">
        <v>15</v>
      </c>
      <c r="F328" s="3" t="str" cm="1">
        <f t="array" aca="1" ref="F328" ca="1">OFFSET(E328,-1,1)</f>
        <v>2</v>
      </c>
      <c r="G328" s="1184"/>
      <c r="H328" s="294"/>
      <c r="I328" s="294" t="s">
        <v>1907</v>
      </c>
      <c r="J328" s="1184"/>
      <c r="K328" s="294" t="s">
        <v>1907</v>
      </c>
      <c r="L328" s="889" t="s">
        <v>1725</v>
      </c>
      <c r="M328" s="26" t="s">
        <v>1733</v>
      </c>
      <c r="N328" s="1184"/>
      <c r="O328" s="1184"/>
      <c r="P328" s="1184"/>
      <c r="Q328" s="77" t="s">
        <v>2200</v>
      </c>
      <c r="R328" s="80" t="s">
        <v>2200</v>
      </c>
      <c r="S328" s="1184"/>
      <c r="T328" s="388" t="b" cm="1">
        <f t="array" ref="T328">T327</f>
        <v>1</v>
      </c>
      <c r="U328" s="1184"/>
      <c r="V328" s="1184"/>
      <c r="W328" s="1184"/>
      <c r="X328" s="2032"/>
      <c r="Y328" s="1184"/>
      <c r="Z328" s="2012"/>
      <c r="AA328" s="1184"/>
      <c r="AB328" s="217" t="s">
        <v>1908</v>
      </c>
      <c r="AC328" s="688" t="s">
        <v>1909</v>
      </c>
      <c r="AD328" s="218" t="s">
        <v>831</v>
      </c>
      <c r="AE328" s="1568"/>
      <c r="AF328" s="1568"/>
      <c r="AG328" s="1568"/>
      <c r="AH328" s="855">
        <f t="shared" si="78"/>
        <v>0</v>
      </c>
      <c r="AI328" s="1563"/>
      <c r="AJ328" s="1560"/>
      <c r="AK328" s="854"/>
      <c r="AL328" s="854"/>
      <c r="AM328" s="854"/>
      <c r="AN328" s="854"/>
      <c r="AO328" s="854"/>
      <c r="AP328" s="854"/>
      <c r="AQ328" s="854"/>
      <c r="AR328" s="854"/>
      <c r="AS328" s="854"/>
      <c r="AT328" s="854"/>
      <c r="AU328" s="854"/>
      <c r="AV328" s="854"/>
      <c r="AW328" s="854"/>
      <c r="AX328" s="854"/>
      <c r="AY328" s="854"/>
      <c r="AZ328" s="854"/>
      <c r="BA328" s="854"/>
      <c r="BB328" s="854"/>
      <c r="BC328" s="854"/>
      <c r="BD328" s="854"/>
      <c r="BE328" s="854"/>
      <c r="BF328" s="854"/>
      <c r="BG328" s="854"/>
      <c r="BH328" s="854"/>
      <c r="BI328" s="854"/>
      <c r="BJ328" s="854"/>
      <c r="BK328" s="854"/>
      <c r="BL328" s="854"/>
      <c r="BM328" s="854"/>
      <c r="BN328" s="1574"/>
      <c r="BO328" s="1574"/>
      <c r="BP328" s="1574"/>
      <c r="BQ328" s="1184"/>
      <c r="BR328" s="1184"/>
      <c r="BS328" s="971" t="s">
        <v>1736</v>
      </c>
      <c r="BT328" s="973"/>
      <c r="BU328" s="973"/>
      <c r="BV328" s="888"/>
      <c r="BW328" s="888"/>
    </row>
    <row r="329" spans="1:75" s="1334" customFormat="1" ht="21.75" customHeight="1" x14ac:dyDescent="0.15">
      <c r="A329" s="1184"/>
      <c r="B329" s="887"/>
      <c r="C329" s="1184"/>
      <c r="D329" s="1184"/>
      <c r="E329" s="626">
        <v>22.5</v>
      </c>
      <c r="F329" s="3" t="str" cm="1">
        <f t="array" aca="1" ref="F329" ca="1">OFFSET(E329,-1,1)</f>
        <v>2</v>
      </c>
      <c r="G329" s="1184"/>
      <c r="H329" s="294"/>
      <c r="I329" s="294" t="s">
        <v>1910</v>
      </c>
      <c r="J329" s="1184"/>
      <c r="K329" s="294" t="s">
        <v>1910</v>
      </c>
      <c r="L329" s="889" t="s">
        <v>1725</v>
      </c>
      <c r="M329" s="26" t="s">
        <v>1729</v>
      </c>
      <c r="N329" s="1184"/>
      <c r="O329" s="1184"/>
      <c r="P329" s="1184"/>
      <c r="Q329" s="77" t="s">
        <v>2200</v>
      </c>
      <c r="R329" s="80" t="s">
        <v>2200</v>
      </c>
      <c r="S329" s="1184"/>
      <c r="T329" s="388" t="b" cm="1">
        <f t="array" ref="T329">T328</f>
        <v>1</v>
      </c>
      <c r="U329" s="1184"/>
      <c r="V329" s="1184"/>
      <c r="W329" s="1184"/>
      <c r="X329" s="2032"/>
      <c r="Y329" s="1184"/>
      <c r="Z329" s="2012"/>
      <c r="AA329" s="1184"/>
      <c r="AB329" s="217" t="s">
        <v>1911</v>
      </c>
      <c r="AC329" s="688" t="s">
        <v>1912</v>
      </c>
      <c r="AD329" s="218" t="s">
        <v>831</v>
      </c>
      <c r="AE329" s="1568"/>
      <c r="AF329" s="1568"/>
      <c r="AG329" s="1568"/>
      <c r="AH329" s="855">
        <f t="shared" si="78"/>
        <v>0</v>
      </c>
      <c r="AI329" s="1563"/>
      <c r="AJ329" s="1560"/>
      <c r="AK329" s="854"/>
      <c r="AL329" s="854"/>
      <c r="AM329" s="854"/>
      <c r="AN329" s="854"/>
      <c r="AO329" s="854"/>
      <c r="AP329" s="854"/>
      <c r="AQ329" s="854"/>
      <c r="AR329" s="854"/>
      <c r="AS329" s="854"/>
      <c r="AT329" s="854"/>
      <c r="AU329" s="854"/>
      <c r="AV329" s="854"/>
      <c r="AW329" s="854"/>
      <c r="AX329" s="854"/>
      <c r="AY329" s="854"/>
      <c r="AZ329" s="854"/>
      <c r="BA329" s="854"/>
      <c r="BB329" s="854"/>
      <c r="BC329" s="854"/>
      <c r="BD329" s="854"/>
      <c r="BE329" s="854"/>
      <c r="BF329" s="854"/>
      <c r="BG329" s="854"/>
      <c r="BH329" s="854"/>
      <c r="BI329" s="854"/>
      <c r="BJ329" s="854"/>
      <c r="BK329" s="854"/>
      <c r="BL329" s="854"/>
      <c r="BM329" s="854"/>
      <c r="BN329" s="1574"/>
      <c r="BO329" s="1574"/>
      <c r="BP329" s="1574"/>
      <c r="BQ329" s="1184"/>
      <c r="BR329" s="1184"/>
      <c r="BS329" s="973" t="s">
        <v>1913</v>
      </c>
      <c r="BT329" s="973"/>
      <c r="BU329" s="973"/>
      <c r="BV329" s="888"/>
      <c r="BW329" s="888"/>
    </row>
    <row r="330" spans="1:75" s="1334" customFormat="1" ht="21.75" customHeight="1" x14ac:dyDescent="0.15">
      <c r="A330" s="1184"/>
      <c r="B330" s="887"/>
      <c r="C330" s="1184"/>
      <c r="D330" s="1184"/>
      <c r="E330" s="626">
        <v>22.5</v>
      </c>
      <c r="F330" s="3" t="str" cm="1">
        <f t="array" aca="1" ref="F330" ca="1">OFFSET(E330,-1,1)</f>
        <v>2</v>
      </c>
      <c r="G330" s="1184"/>
      <c r="H330" s="294"/>
      <c r="I330" s="294" t="s">
        <v>1914</v>
      </c>
      <c r="J330" s="1184"/>
      <c r="K330" s="294" t="s">
        <v>1914</v>
      </c>
      <c r="L330" s="1184"/>
      <c r="M330" s="1184"/>
      <c r="N330" s="1184"/>
      <c r="O330" s="1184"/>
      <c r="P330" s="1184"/>
      <c r="Q330" s="77" t="s">
        <v>2200</v>
      </c>
      <c r="R330" s="80" t="s">
        <v>2200</v>
      </c>
      <c r="S330" s="1184"/>
      <c r="T330" s="388" t="b" cm="1">
        <f t="array" ref="T330">T329</f>
        <v>1</v>
      </c>
      <c r="U330" s="1184"/>
      <c r="V330" s="1184"/>
      <c r="W330" s="1184"/>
      <c r="X330" s="2032"/>
      <c r="Y330" s="1184"/>
      <c r="Z330" s="2012"/>
      <c r="AA330" s="1184"/>
      <c r="AB330" s="217" t="s">
        <v>1915</v>
      </c>
      <c r="AC330" s="689" t="s">
        <v>1916</v>
      </c>
      <c r="AD330" s="218" t="s">
        <v>831</v>
      </c>
      <c r="AE330" s="1568"/>
      <c r="AF330" s="1568"/>
      <c r="AG330" s="1568"/>
      <c r="AH330" s="855">
        <f t="shared" si="78"/>
        <v>0</v>
      </c>
      <c r="AI330" s="1563"/>
      <c r="AJ330" s="1560"/>
      <c r="AK330" s="854"/>
      <c r="AL330" s="854"/>
      <c r="AM330" s="854"/>
      <c r="AN330" s="854"/>
      <c r="AO330" s="854"/>
      <c r="AP330" s="854"/>
      <c r="AQ330" s="854"/>
      <c r="AR330" s="854"/>
      <c r="AS330" s="854"/>
      <c r="AT330" s="854"/>
      <c r="AU330" s="854"/>
      <c r="AV330" s="854"/>
      <c r="AW330" s="854"/>
      <c r="AX330" s="854"/>
      <c r="AY330" s="854"/>
      <c r="AZ330" s="854"/>
      <c r="BA330" s="854"/>
      <c r="BB330" s="854"/>
      <c r="BC330" s="854"/>
      <c r="BD330" s="854"/>
      <c r="BE330" s="854"/>
      <c r="BF330" s="854"/>
      <c r="BG330" s="854"/>
      <c r="BH330" s="854"/>
      <c r="BI330" s="854"/>
      <c r="BJ330" s="854"/>
      <c r="BK330" s="854"/>
      <c r="BL330" s="854"/>
      <c r="BM330" s="854"/>
      <c r="BN330" s="1574"/>
      <c r="BO330" s="1574"/>
      <c r="BP330" s="1574"/>
      <c r="BQ330" s="1184"/>
      <c r="BR330" s="1184"/>
      <c r="BS330" s="973" t="s">
        <v>1917</v>
      </c>
      <c r="BT330" s="973"/>
      <c r="BU330" s="973"/>
      <c r="BV330" s="888"/>
      <c r="BW330" s="888"/>
    </row>
    <row r="331" spans="1:75" s="1334" customFormat="1" ht="21.75" customHeight="1" x14ac:dyDescent="0.15">
      <c r="A331" s="1184"/>
      <c r="B331" s="887"/>
      <c r="C331" s="1184"/>
      <c r="D331" s="1184"/>
      <c r="E331" s="626">
        <v>22.5</v>
      </c>
      <c r="F331" s="3" t="str" cm="1">
        <f t="array" aca="1" ref="F331" ca="1">OFFSET(E331,-1,1)</f>
        <v>2</v>
      </c>
      <c r="G331" s="1184"/>
      <c r="H331" s="294"/>
      <c r="I331" s="294" t="s">
        <v>1918</v>
      </c>
      <c r="J331" s="1184"/>
      <c r="K331" s="294" t="s">
        <v>1918</v>
      </c>
      <c r="L331" s="889"/>
      <c r="M331" s="1184"/>
      <c r="N331" s="1184"/>
      <c r="O331" s="1184"/>
      <c r="P331" s="1184"/>
      <c r="Q331" s="77" t="s">
        <v>2200</v>
      </c>
      <c r="R331" s="80" t="s">
        <v>2200</v>
      </c>
      <c r="S331" s="1184"/>
      <c r="T331" s="388" t="b" cm="1">
        <f t="array" ref="T331">T330</f>
        <v>1</v>
      </c>
      <c r="U331" s="1184"/>
      <c r="V331" s="1184"/>
      <c r="W331" s="1184"/>
      <c r="X331" s="2032"/>
      <c r="Y331" s="1184"/>
      <c r="Z331" s="2012"/>
      <c r="AA331" s="1184"/>
      <c r="AB331" s="217" t="s">
        <v>1919</v>
      </c>
      <c r="AC331" s="689" t="s">
        <v>1920</v>
      </c>
      <c r="AD331" s="218" t="s">
        <v>831</v>
      </c>
      <c r="AE331" s="1568"/>
      <c r="AF331" s="1568"/>
      <c r="AG331" s="1568"/>
      <c r="AH331" s="855">
        <f t="shared" si="78"/>
        <v>0</v>
      </c>
      <c r="AI331" s="1563"/>
      <c r="AJ331" s="1560"/>
      <c r="AK331" s="854"/>
      <c r="AL331" s="854"/>
      <c r="AM331" s="854"/>
      <c r="AN331" s="854"/>
      <c r="AO331" s="854"/>
      <c r="AP331" s="854"/>
      <c r="AQ331" s="854"/>
      <c r="AR331" s="854"/>
      <c r="AS331" s="854"/>
      <c r="AT331" s="854"/>
      <c r="AU331" s="854"/>
      <c r="AV331" s="854"/>
      <c r="AW331" s="854"/>
      <c r="AX331" s="854"/>
      <c r="AY331" s="854"/>
      <c r="AZ331" s="854"/>
      <c r="BA331" s="854"/>
      <c r="BB331" s="854"/>
      <c r="BC331" s="854"/>
      <c r="BD331" s="854"/>
      <c r="BE331" s="854"/>
      <c r="BF331" s="854"/>
      <c r="BG331" s="854"/>
      <c r="BH331" s="854"/>
      <c r="BI331" s="854"/>
      <c r="BJ331" s="854"/>
      <c r="BK331" s="854"/>
      <c r="BL331" s="854"/>
      <c r="BM331" s="854"/>
      <c r="BN331" s="1574"/>
      <c r="BO331" s="1574"/>
      <c r="BP331" s="1574"/>
      <c r="BQ331" s="1184"/>
      <c r="BR331" s="1184"/>
      <c r="BS331" s="973" t="s">
        <v>1921</v>
      </c>
      <c r="BT331" s="973"/>
      <c r="BU331" s="973"/>
      <c r="BV331" s="888"/>
      <c r="BW331" s="888"/>
    </row>
    <row r="332" spans="1:75" s="1334" customFormat="1" ht="64.900000000000006" customHeight="1" x14ac:dyDescent="0.15">
      <c r="A332" s="1184"/>
      <c r="B332" s="887"/>
      <c r="C332" s="1184"/>
      <c r="D332" s="1184"/>
      <c r="E332" s="626">
        <v>45</v>
      </c>
      <c r="F332" s="3" t="str" cm="1">
        <f t="array" aca="1" ref="F332" ca="1">OFFSET(E332,-1,1)</f>
        <v>2</v>
      </c>
      <c r="G332" s="1184"/>
      <c r="H332" s="294"/>
      <c r="I332" s="294" t="s">
        <v>1922</v>
      </c>
      <c r="J332" s="1184"/>
      <c r="K332" s="294" t="s">
        <v>1922</v>
      </c>
      <c r="L332" s="889" t="s">
        <v>1725</v>
      </c>
      <c r="M332" s="26" t="s">
        <v>1737</v>
      </c>
      <c r="N332" s="1184"/>
      <c r="O332" s="1184"/>
      <c r="P332" s="1184"/>
      <c r="Q332" s="77" t="s">
        <v>2200</v>
      </c>
      <c r="R332" s="80" t="s">
        <v>2200</v>
      </c>
      <c r="S332" s="1184"/>
      <c r="T332" s="388" t="b" cm="1">
        <f t="array" ref="T332">T331</f>
        <v>1</v>
      </c>
      <c r="U332" s="1184"/>
      <c r="V332" s="1184"/>
      <c r="W332" s="1184"/>
      <c r="X332" s="2032"/>
      <c r="Y332" s="1184"/>
      <c r="Z332" s="2012"/>
      <c r="AA332" s="1184"/>
      <c r="AB332" s="217" t="s">
        <v>1923</v>
      </c>
      <c r="AC332" s="688" t="s">
        <v>1924</v>
      </c>
      <c r="AD332" s="218" t="s">
        <v>831</v>
      </c>
      <c r="AE332" s="1568">
        <v>404.12044816000002</v>
      </c>
      <c r="AF332" s="1568">
        <v>472.24</v>
      </c>
      <c r="AG332" s="1568">
        <f>AE332*0.952226993219463</f>
        <v>384.81439924989871</v>
      </c>
      <c r="AH332" s="855">
        <f t="shared" si="78"/>
        <v>-87.425600750101296</v>
      </c>
      <c r="AI332" s="1563"/>
      <c r="AJ332" s="1560"/>
      <c r="AK332" s="854"/>
      <c r="AL332" s="854"/>
      <c r="AM332" s="854"/>
      <c r="AN332" s="854"/>
      <c r="AO332" s="854"/>
      <c r="AP332" s="854"/>
      <c r="AQ332" s="854"/>
      <c r="AR332" s="854"/>
      <c r="AS332" s="854"/>
      <c r="AT332" s="854"/>
      <c r="AU332" s="854"/>
      <c r="AV332" s="854"/>
      <c r="AW332" s="854"/>
      <c r="AX332" s="854"/>
      <c r="AY332" s="854"/>
      <c r="AZ332" s="854"/>
      <c r="BA332" s="854"/>
      <c r="BB332" s="854"/>
      <c r="BC332" s="854"/>
      <c r="BD332" s="854"/>
      <c r="BE332" s="854"/>
      <c r="BF332" s="854"/>
      <c r="BG332" s="854"/>
      <c r="BH332" s="854"/>
      <c r="BI332" s="854"/>
      <c r="BJ332" s="854"/>
      <c r="BK332" s="854"/>
      <c r="BL332" s="854"/>
      <c r="BM332" s="854"/>
      <c r="BN332" s="1574"/>
      <c r="BO332" s="1574"/>
      <c r="BP332" s="1574"/>
      <c r="BQ332" s="1184"/>
      <c r="BR332" s="1184"/>
      <c r="BS332" s="973" t="s">
        <v>1740</v>
      </c>
      <c r="BT332" s="973"/>
      <c r="BU332" s="973"/>
      <c r="BV332" s="888"/>
      <c r="BW332" s="888"/>
    </row>
    <row r="333" spans="1:75" s="1334" customFormat="1" ht="14.25" customHeight="1" x14ac:dyDescent="0.15">
      <c r="A333" s="1184"/>
      <c r="B333" s="887"/>
      <c r="C333" s="1184"/>
      <c r="D333" s="1184"/>
      <c r="E333" s="626">
        <v>15</v>
      </c>
      <c r="F333" s="3" t="str" cm="1">
        <f t="array" aca="1" ref="F333" ca="1">OFFSET(E333,-1,1)</f>
        <v>2</v>
      </c>
      <c r="G333" s="1184"/>
      <c r="H333" s="294"/>
      <c r="I333" s="294" t="s">
        <v>1925</v>
      </c>
      <c r="J333" s="1184"/>
      <c r="K333" s="294" t="s">
        <v>1925</v>
      </c>
      <c r="L333" s="889" t="s">
        <v>1725</v>
      </c>
      <c r="M333" s="26" t="s">
        <v>1741</v>
      </c>
      <c r="N333" s="1184"/>
      <c r="O333" s="1184"/>
      <c r="P333" s="1184"/>
      <c r="Q333" s="77" t="s">
        <v>2200</v>
      </c>
      <c r="R333" s="80" t="s">
        <v>2200</v>
      </c>
      <c r="S333" s="1184"/>
      <c r="T333" s="388" t="b" cm="1">
        <f t="array" ref="T333">T332</f>
        <v>1</v>
      </c>
      <c r="U333" s="1184"/>
      <c r="V333" s="1184"/>
      <c r="W333" s="1184"/>
      <c r="X333" s="2032"/>
      <c r="Y333" s="1184"/>
      <c r="Z333" s="2012"/>
      <c r="AA333" s="1184"/>
      <c r="AB333" s="217" t="s">
        <v>1926</v>
      </c>
      <c r="AC333" s="688" t="s">
        <v>1743</v>
      </c>
      <c r="AD333" s="218" t="s">
        <v>831</v>
      </c>
      <c r="AE333" s="1568"/>
      <c r="AF333" s="1568"/>
      <c r="AG333" s="1568"/>
      <c r="AH333" s="855">
        <f t="shared" si="78"/>
        <v>0</v>
      </c>
      <c r="AI333" s="1563"/>
      <c r="AJ333" s="1560"/>
      <c r="AK333" s="854"/>
      <c r="AL333" s="854"/>
      <c r="AM333" s="854"/>
      <c r="AN333" s="854"/>
      <c r="AO333" s="854"/>
      <c r="AP333" s="854"/>
      <c r="AQ333" s="854"/>
      <c r="AR333" s="854"/>
      <c r="AS333" s="854"/>
      <c r="AT333" s="854"/>
      <c r="AU333" s="854"/>
      <c r="AV333" s="854"/>
      <c r="AW333" s="854"/>
      <c r="AX333" s="854"/>
      <c r="AY333" s="854"/>
      <c r="AZ333" s="854"/>
      <c r="BA333" s="854"/>
      <c r="BB333" s="854"/>
      <c r="BC333" s="854"/>
      <c r="BD333" s="854"/>
      <c r="BE333" s="854"/>
      <c r="BF333" s="854"/>
      <c r="BG333" s="854"/>
      <c r="BH333" s="854"/>
      <c r="BI333" s="854"/>
      <c r="BJ333" s="854"/>
      <c r="BK333" s="854"/>
      <c r="BL333" s="854"/>
      <c r="BM333" s="854"/>
      <c r="BN333" s="1574"/>
      <c r="BO333" s="1574"/>
      <c r="BP333" s="1574"/>
      <c r="BQ333" s="1184"/>
      <c r="BR333" s="1184"/>
      <c r="BS333" s="973" t="s">
        <v>1744</v>
      </c>
      <c r="BT333" s="973"/>
      <c r="BU333" s="973"/>
      <c r="BV333" s="888"/>
      <c r="BW333" s="888"/>
    </row>
    <row r="334" spans="1:75" s="1334" customFormat="1" ht="17.100000000000001" customHeight="1" x14ac:dyDescent="0.15">
      <c r="A334" s="1184"/>
      <c r="B334" s="887"/>
      <c r="C334" s="1184"/>
      <c r="D334" s="1184"/>
      <c r="E334" s="626">
        <v>15</v>
      </c>
      <c r="F334" s="3" t="str" cm="1">
        <f t="array" aca="1" ref="F334" ca="1">OFFSET(E334,-1,1)</f>
        <v>2</v>
      </c>
      <c r="G334" s="1184"/>
      <c r="H334" s="294"/>
      <c r="I334" s="294" t="s">
        <v>1927</v>
      </c>
      <c r="J334" s="1184"/>
      <c r="K334" s="294" t="s">
        <v>1927</v>
      </c>
      <c r="L334" s="889"/>
      <c r="M334" s="26"/>
      <c r="N334" s="1184"/>
      <c r="O334" s="1184"/>
      <c r="P334" s="1184"/>
      <c r="Q334" s="77" t="s">
        <v>2200</v>
      </c>
      <c r="R334" s="80" t="s">
        <v>2200</v>
      </c>
      <c r="S334" s="1184"/>
      <c r="T334" s="388" t="b" cm="1">
        <f t="array" ref="T334">T333</f>
        <v>1</v>
      </c>
      <c r="U334" s="1184"/>
      <c r="V334" s="1184"/>
      <c r="W334" s="1184"/>
      <c r="X334" s="2032"/>
      <c r="Y334" s="1184"/>
      <c r="Z334" s="2012"/>
      <c r="AA334" s="1184"/>
      <c r="AB334" s="217" t="s">
        <v>1928</v>
      </c>
      <c r="AC334" s="688" t="s">
        <v>1929</v>
      </c>
      <c r="AD334" s="218" t="s">
        <v>831</v>
      </c>
      <c r="AE334" s="1568">
        <v>1055.46</v>
      </c>
      <c r="AF334" s="1568">
        <f>1458.8+34.94</f>
        <v>1493.74</v>
      </c>
      <c r="AG334" s="1568">
        <f>AE334*0.952226993219463</f>
        <v>1005.0375022634145</v>
      </c>
      <c r="AH334" s="855">
        <f t="shared" si="78"/>
        <v>-488.70249773658554</v>
      </c>
      <c r="AI334" s="1563"/>
      <c r="AJ334" s="1264"/>
      <c r="AK334" s="854"/>
      <c r="AL334" s="854"/>
      <c r="AM334" s="854"/>
      <c r="AN334" s="854"/>
      <c r="AO334" s="854"/>
      <c r="AP334" s="854"/>
      <c r="AQ334" s="854"/>
      <c r="AR334" s="854"/>
      <c r="AS334" s="854"/>
      <c r="AT334" s="854"/>
      <c r="AU334" s="854"/>
      <c r="AV334" s="854"/>
      <c r="AW334" s="854"/>
      <c r="AX334" s="854"/>
      <c r="AY334" s="854"/>
      <c r="AZ334" s="854"/>
      <c r="BA334" s="854"/>
      <c r="BB334" s="854"/>
      <c r="BC334" s="854"/>
      <c r="BD334" s="854"/>
      <c r="BE334" s="854"/>
      <c r="BF334" s="854"/>
      <c r="BG334" s="854"/>
      <c r="BH334" s="854"/>
      <c r="BI334" s="854"/>
      <c r="BJ334" s="854"/>
      <c r="BK334" s="854"/>
      <c r="BL334" s="854"/>
      <c r="BM334" s="854"/>
      <c r="BN334" s="1574"/>
      <c r="BO334" s="1574"/>
      <c r="BP334" s="1574"/>
      <c r="BQ334" s="1184"/>
      <c r="BR334" s="1184"/>
      <c r="BS334" s="973" t="s">
        <v>1728</v>
      </c>
      <c r="BT334" s="973"/>
      <c r="BU334" s="973"/>
      <c r="BV334" s="888"/>
      <c r="BW334" s="888"/>
    </row>
    <row r="335" spans="1:75" s="1598" customFormat="1" ht="20.25" customHeight="1" x14ac:dyDescent="0.25">
      <c r="A335" s="623"/>
      <c r="B335" s="357"/>
      <c r="C335" s="623"/>
      <c r="D335" s="623"/>
      <c r="E335" s="630">
        <v>21</v>
      </c>
      <c r="F335" s="3" t="str" cm="1">
        <f t="array" aca="1" ref="F335" ca="1">OFFSET(E335,-1,1)</f>
        <v>2</v>
      </c>
      <c r="G335" s="623"/>
      <c r="H335" s="294"/>
      <c r="I335" s="294" t="s">
        <v>501</v>
      </c>
      <c r="J335" s="623"/>
      <c r="K335" s="294" t="s">
        <v>501</v>
      </c>
      <c r="L335" s="894"/>
      <c r="M335" s="28"/>
      <c r="N335" s="623"/>
      <c r="O335" s="623"/>
      <c r="P335" s="623"/>
      <c r="Q335" s="77" t="s">
        <v>2200</v>
      </c>
      <c r="R335" s="80" t="s">
        <v>2200</v>
      </c>
      <c r="S335" s="623"/>
      <c r="T335" s="388" t="b" cm="1">
        <f t="array" ref="T335">T334</f>
        <v>1</v>
      </c>
      <c r="U335" s="623"/>
      <c r="V335" s="623"/>
      <c r="W335" s="623"/>
      <c r="X335" s="2032"/>
      <c r="Y335" s="623"/>
      <c r="Z335" s="2012"/>
      <c r="AA335" s="623"/>
      <c r="AB335" s="137" t="s">
        <v>916</v>
      </c>
      <c r="AC335" s="277" t="s">
        <v>1748</v>
      </c>
      <c r="AD335" s="130" t="s">
        <v>831</v>
      </c>
      <c r="AE335" s="690">
        <f>AE336+AE337+AE338</f>
        <v>18698.660787780798</v>
      </c>
      <c r="AF335" s="690">
        <f>AF336+AF337+AF338</f>
        <v>13879.27</v>
      </c>
      <c r="AG335" s="690">
        <f>AG336+AG337+AG338</f>
        <v>17805.369539179188</v>
      </c>
      <c r="AH335" s="681">
        <f t="shared" si="78"/>
        <v>3926.0995391791876</v>
      </c>
      <c r="AI335" s="1565">
        <f>AI336+AI337+AI338</f>
        <v>0</v>
      </c>
      <c r="AJ335" s="1560"/>
      <c r="AK335" s="684"/>
      <c r="AL335" s="684"/>
      <c r="AM335" s="684"/>
      <c r="AN335" s="684"/>
      <c r="AO335" s="684"/>
      <c r="AP335" s="684"/>
      <c r="AQ335" s="684"/>
      <c r="AR335" s="684"/>
      <c r="AS335" s="684"/>
      <c r="AT335" s="684"/>
      <c r="AU335" s="684"/>
      <c r="AV335" s="684"/>
      <c r="AW335" s="684"/>
      <c r="AX335" s="684"/>
      <c r="AY335" s="684"/>
      <c r="AZ335" s="684"/>
      <c r="BA335" s="684"/>
      <c r="BB335" s="684"/>
      <c r="BC335" s="684"/>
      <c r="BD335" s="684"/>
      <c r="BE335" s="684"/>
      <c r="BF335" s="684"/>
      <c r="BG335" s="684"/>
      <c r="BH335" s="684"/>
      <c r="BI335" s="684"/>
      <c r="BJ335" s="684"/>
      <c r="BK335" s="684"/>
      <c r="BL335" s="684"/>
      <c r="BM335" s="684"/>
      <c r="BN335" s="1575"/>
      <c r="BO335" s="1575"/>
      <c r="BP335" s="1575"/>
      <c r="BQ335" s="623"/>
      <c r="BR335" s="623"/>
      <c r="BS335" s="972" t="s">
        <v>1749</v>
      </c>
      <c r="BT335" s="979"/>
      <c r="BU335" s="979"/>
      <c r="BV335" s="630"/>
      <c r="BW335" s="630"/>
    </row>
    <row r="336" spans="1:75" s="1334" customFormat="1" ht="23.25" customHeight="1" x14ac:dyDescent="0.25">
      <c r="A336" s="1184"/>
      <c r="B336" s="887"/>
      <c r="C336" s="1184"/>
      <c r="D336" s="1184"/>
      <c r="E336" s="626">
        <v>22.5</v>
      </c>
      <c r="F336" s="3" t="str" cm="1">
        <f t="array" aca="1" ref="F336" ca="1">OFFSET(E336,-1,1)</f>
        <v>2</v>
      </c>
      <c r="G336" s="1184"/>
      <c r="H336" s="294"/>
      <c r="I336" s="294" t="s">
        <v>1314</v>
      </c>
      <c r="J336" s="1184"/>
      <c r="K336" s="294" t="s">
        <v>1314</v>
      </c>
      <c r="L336" s="889"/>
      <c r="M336" s="26"/>
      <c r="N336" s="1184"/>
      <c r="O336" s="1184"/>
      <c r="P336" s="1184"/>
      <c r="Q336" s="77" t="s">
        <v>2200</v>
      </c>
      <c r="R336" s="80" t="s">
        <v>2200</v>
      </c>
      <c r="S336" s="1184"/>
      <c r="T336" s="388" t="b" cm="1">
        <f t="array" ref="T336">T335</f>
        <v>1</v>
      </c>
      <c r="U336" s="1184"/>
      <c r="V336" s="1184"/>
      <c r="W336" s="1184"/>
      <c r="X336" s="2032"/>
      <c r="Y336" s="1184"/>
      <c r="Z336" s="2012"/>
      <c r="AA336" s="1184"/>
      <c r="AB336" s="217" t="s">
        <v>1315</v>
      </c>
      <c r="AC336" s="685" t="s">
        <v>1930</v>
      </c>
      <c r="AD336" s="218" t="s">
        <v>831</v>
      </c>
      <c r="AE336" s="1568">
        <v>792.93377615999998</v>
      </c>
      <c r="AF336" s="1568">
        <v>1400.68</v>
      </c>
      <c r="AG336" s="1568">
        <f>AE336*0.952226993219463</f>
        <v>755.05294549499149</v>
      </c>
      <c r="AH336" s="855">
        <f t="shared" si="78"/>
        <v>-645.62705450500857</v>
      </c>
      <c r="AI336" s="1563"/>
      <c r="AJ336" s="1560"/>
      <c r="AK336" s="854"/>
      <c r="AL336" s="854"/>
      <c r="AM336" s="854"/>
      <c r="AN336" s="854"/>
      <c r="AO336" s="854"/>
      <c r="AP336" s="854"/>
      <c r="AQ336" s="854"/>
      <c r="AR336" s="854"/>
      <c r="AS336" s="854"/>
      <c r="AT336" s="854"/>
      <c r="AU336" s="854"/>
      <c r="AV336" s="854"/>
      <c r="AW336" s="854"/>
      <c r="AX336" s="854"/>
      <c r="AY336" s="854"/>
      <c r="AZ336" s="854"/>
      <c r="BA336" s="854"/>
      <c r="BB336" s="854"/>
      <c r="BC336" s="854"/>
      <c r="BD336" s="854"/>
      <c r="BE336" s="854"/>
      <c r="BF336" s="854"/>
      <c r="BG336" s="854"/>
      <c r="BH336" s="854"/>
      <c r="BI336" s="854"/>
      <c r="BJ336" s="854"/>
      <c r="BK336" s="854"/>
      <c r="BL336" s="854"/>
      <c r="BM336" s="854"/>
      <c r="BN336" s="1574"/>
      <c r="BO336" s="1574"/>
      <c r="BP336" s="1574"/>
      <c r="BQ336" s="1184"/>
      <c r="BR336" s="1184"/>
      <c r="BS336" s="971" t="s">
        <v>1751</v>
      </c>
      <c r="BT336" s="973"/>
      <c r="BU336" s="973"/>
      <c r="BV336" s="888"/>
      <c r="BW336" s="888"/>
    </row>
    <row r="337" spans="1:75" s="1334" customFormat="1" ht="23.25" customHeight="1" x14ac:dyDescent="0.15">
      <c r="A337" s="1184"/>
      <c r="B337" s="887"/>
      <c r="C337" s="1184"/>
      <c r="D337" s="1184"/>
      <c r="E337" s="626">
        <v>22.5</v>
      </c>
      <c r="F337" s="3" t="str" cm="1">
        <f t="array" aca="1" ref="F337" ca="1">OFFSET(E337,-1,1)</f>
        <v>2</v>
      </c>
      <c r="G337" s="1184"/>
      <c r="H337" s="294"/>
      <c r="I337" s="294" t="s">
        <v>1318</v>
      </c>
      <c r="J337" s="1184"/>
      <c r="K337" s="294" t="s">
        <v>1318</v>
      </c>
      <c r="L337" s="889"/>
      <c r="M337" s="26"/>
      <c r="N337" s="1184"/>
      <c r="O337" s="1184"/>
      <c r="P337" s="1184"/>
      <c r="Q337" s="77" t="s">
        <v>2200</v>
      </c>
      <c r="R337" s="80" t="s">
        <v>2200</v>
      </c>
      <c r="S337" s="1184"/>
      <c r="T337" s="388" t="b" cm="1">
        <f t="array" ref="T337">T336</f>
        <v>1</v>
      </c>
      <c r="U337" s="1184"/>
      <c r="V337" s="1184"/>
      <c r="W337" s="1184"/>
      <c r="X337" s="2032"/>
      <c r="Y337" s="1184"/>
      <c r="Z337" s="2012"/>
      <c r="AA337" s="1184"/>
      <c r="AB337" s="217" t="s">
        <v>1319</v>
      </c>
      <c r="AC337" s="685" t="s">
        <v>1931</v>
      </c>
      <c r="AD337" s="218" t="s">
        <v>831</v>
      </c>
      <c r="AE337" s="1568">
        <v>8414.1024498000006</v>
      </c>
      <c r="AF337" s="1568">
        <v>1836.05</v>
      </c>
      <c r="AG337" s="1568">
        <f>AE337*0.952226993219463</f>
        <v>8012.1354764135722</v>
      </c>
      <c r="AH337" s="855">
        <f t="shared" si="78"/>
        <v>6176.085476413572</v>
      </c>
      <c r="AI337" s="1563"/>
      <c r="AJ337" s="1560"/>
      <c r="AK337" s="854"/>
      <c r="AL337" s="854"/>
      <c r="AM337" s="854"/>
      <c r="AN337" s="854"/>
      <c r="AO337" s="854"/>
      <c r="AP337" s="854"/>
      <c r="AQ337" s="854"/>
      <c r="AR337" s="854"/>
      <c r="AS337" s="854"/>
      <c r="AT337" s="854"/>
      <c r="AU337" s="854"/>
      <c r="AV337" s="854"/>
      <c r="AW337" s="854"/>
      <c r="AX337" s="854"/>
      <c r="AY337" s="854"/>
      <c r="AZ337" s="854"/>
      <c r="BA337" s="854"/>
      <c r="BB337" s="854"/>
      <c r="BC337" s="854"/>
      <c r="BD337" s="854"/>
      <c r="BE337" s="854"/>
      <c r="BF337" s="854"/>
      <c r="BG337" s="854"/>
      <c r="BH337" s="854"/>
      <c r="BI337" s="854"/>
      <c r="BJ337" s="854"/>
      <c r="BK337" s="854"/>
      <c r="BL337" s="854"/>
      <c r="BM337" s="854"/>
      <c r="BN337" s="1574"/>
      <c r="BO337" s="1574"/>
      <c r="BP337" s="1574"/>
      <c r="BQ337" s="1184"/>
      <c r="BR337" s="1184"/>
      <c r="BS337" s="973" t="s">
        <v>1932</v>
      </c>
      <c r="BT337" s="973"/>
      <c r="BU337" s="973"/>
      <c r="BV337" s="888"/>
      <c r="BW337" s="888"/>
    </row>
    <row r="338" spans="1:75" s="1334" customFormat="1" ht="34.9" customHeight="1" x14ac:dyDescent="0.25">
      <c r="A338" s="1184"/>
      <c r="B338" s="887"/>
      <c r="C338" s="1184"/>
      <c r="D338" s="1184"/>
      <c r="E338" s="626">
        <v>22.5</v>
      </c>
      <c r="F338" s="3" t="str" cm="1">
        <f t="array" aca="1" ref="F338" ca="1">OFFSET(E338,-1,1)</f>
        <v>2</v>
      </c>
      <c r="G338" s="1184"/>
      <c r="H338" s="294"/>
      <c r="I338" s="294" t="s">
        <v>1322</v>
      </c>
      <c r="J338" s="1184"/>
      <c r="K338" s="294" t="s">
        <v>1322</v>
      </c>
      <c r="L338" s="889" t="s">
        <v>515</v>
      </c>
      <c r="M338" s="26"/>
      <c r="N338" s="1184"/>
      <c r="O338" s="1184"/>
      <c r="P338" s="1184"/>
      <c r="Q338" s="77" t="s">
        <v>2200</v>
      </c>
      <c r="R338" s="80" t="s">
        <v>2200</v>
      </c>
      <c r="S338" s="1184"/>
      <c r="T338" s="388" t="b" cm="1">
        <f t="array" ref="T338">T337</f>
        <v>1</v>
      </c>
      <c r="U338" s="1184"/>
      <c r="V338" s="1184"/>
      <c r="W338" s="1184"/>
      <c r="X338" s="2032"/>
      <c r="Y338" s="1184"/>
      <c r="Z338" s="2012"/>
      <c r="AA338" s="1184"/>
      <c r="AB338" s="217" t="s">
        <v>1323</v>
      </c>
      <c r="AC338" s="685" t="s">
        <v>1933</v>
      </c>
      <c r="AD338" s="218" t="s">
        <v>831</v>
      </c>
      <c r="AE338" s="1568">
        <v>9491.6245618207995</v>
      </c>
      <c r="AF338" s="1568">
        <f>AF339+AF340</f>
        <v>10642.54</v>
      </c>
      <c r="AG338" s="1568">
        <f>AE338*0.952226993219463</f>
        <v>9038.1811172706239</v>
      </c>
      <c r="AH338" s="855">
        <f t="shared" si="78"/>
        <v>-1604.358882729377</v>
      </c>
      <c r="AI338" s="1563"/>
      <c r="AJ338" s="1560"/>
      <c r="AK338" s="854"/>
      <c r="AL338" s="854"/>
      <c r="AM338" s="854"/>
      <c r="AN338" s="854"/>
      <c r="AO338" s="854"/>
      <c r="AP338" s="854"/>
      <c r="AQ338" s="854"/>
      <c r="AR338" s="854"/>
      <c r="AS338" s="854"/>
      <c r="AT338" s="854"/>
      <c r="AU338" s="854"/>
      <c r="AV338" s="854"/>
      <c r="AW338" s="854"/>
      <c r="AX338" s="854"/>
      <c r="AY338" s="854"/>
      <c r="AZ338" s="854"/>
      <c r="BA338" s="854"/>
      <c r="BB338" s="854"/>
      <c r="BC338" s="854"/>
      <c r="BD338" s="854"/>
      <c r="BE338" s="854"/>
      <c r="BF338" s="854"/>
      <c r="BG338" s="854"/>
      <c r="BH338" s="854"/>
      <c r="BI338" s="854"/>
      <c r="BJ338" s="854"/>
      <c r="BK338" s="854"/>
      <c r="BL338" s="854"/>
      <c r="BM338" s="854"/>
      <c r="BN338" s="1574"/>
      <c r="BO338" s="1574"/>
      <c r="BP338" s="1574"/>
      <c r="BQ338" s="1184"/>
      <c r="BR338" s="1184"/>
      <c r="BS338" s="971" t="s">
        <v>1753</v>
      </c>
      <c r="BT338" s="973"/>
      <c r="BU338" s="973"/>
      <c r="BV338" s="888"/>
      <c r="BW338" s="888"/>
    </row>
    <row r="339" spans="1:75" s="1334" customFormat="1" ht="23.85" customHeight="1" x14ac:dyDescent="0.25">
      <c r="A339" s="1184"/>
      <c r="B339" s="887"/>
      <c r="C339" s="1184"/>
      <c r="D339" s="1184"/>
      <c r="E339" s="626">
        <v>15</v>
      </c>
      <c r="F339" s="3" t="str" cm="1">
        <f t="array" aca="1" ref="F339" ca="1">OFFSET(E339,-1,1)</f>
        <v>2</v>
      </c>
      <c r="G339" s="2" t="s">
        <v>1119</v>
      </c>
      <c r="H339" s="294"/>
      <c r="I339" s="294" t="s">
        <v>1934</v>
      </c>
      <c r="J339" s="1184"/>
      <c r="K339" s="294" t="s">
        <v>1934</v>
      </c>
      <c r="L339" s="889" t="s">
        <v>1754</v>
      </c>
      <c r="M339" s="26"/>
      <c r="N339" s="1184"/>
      <c r="O339" s="1184"/>
      <c r="P339" s="1184"/>
      <c r="Q339" s="77" t="s">
        <v>2200</v>
      </c>
      <c r="R339" s="80" t="s">
        <v>2200</v>
      </c>
      <c r="S339" s="1184"/>
      <c r="T339" s="388" t="b" cm="1">
        <f t="array" ref="T339">T338</f>
        <v>1</v>
      </c>
      <c r="U339" s="1184"/>
      <c r="V339" s="1184"/>
      <c r="W339" s="1184"/>
      <c r="X339" s="2032"/>
      <c r="Y339" s="1184"/>
      <c r="Z339" s="2012"/>
      <c r="AA339" s="1184"/>
      <c r="AB339" s="217" t="s">
        <v>1935</v>
      </c>
      <c r="AC339" s="688" t="s">
        <v>1755</v>
      </c>
      <c r="AD339" s="218" t="s">
        <v>831</v>
      </c>
      <c r="AE339" s="1568">
        <v>7290.0342256688</v>
      </c>
      <c r="AF339" s="1568">
        <f>3796.8+4377.76</f>
        <v>8174.56</v>
      </c>
      <c r="AG339" s="1568">
        <f>AE339*0.952226993219463</f>
        <v>6941.7673711755779</v>
      </c>
      <c r="AH339" s="855">
        <f t="shared" si="78"/>
        <v>-1232.7926288244225</v>
      </c>
      <c r="AI339" s="1563"/>
      <c r="AJ339" s="1560"/>
      <c r="AK339" s="854"/>
      <c r="AL339" s="854"/>
      <c r="AM339" s="854"/>
      <c r="AN339" s="854"/>
      <c r="AO339" s="854"/>
      <c r="AP339" s="854"/>
      <c r="AQ339" s="854"/>
      <c r="AR339" s="854"/>
      <c r="AS339" s="854"/>
      <c r="AT339" s="854"/>
      <c r="AU339" s="854"/>
      <c r="AV339" s="854"/>
      <c r="AW339" s="854"/>
      <c r="AX339" s="854"/>
      <c r="AY339" s="854"/>
      <c r="AZ339" s="854"/>
      <c r="BA339" s="854"/>
      <c r="BB339" s="854"/>
      <c r="BC339" s="854"/>
      <c r="BD339" s="854"/>
      <c r="BE339" s="854"/>
      <c r="BF339" s="854"/>
      <c r="BG339" s="854"/>
      <c r="BH339" s="854"/>
      <c r="BI339" s="854"/>
      <c r="BJ339" s="854"/>
      <c r="BK339" s="854"/>
      <c r="BL339" s="854"/>
      <c r="BM339" s="854"/>
      <c r="BN339" s="1574"/>
      <c r="BO339" s="1576"/>
      <c r="BP339" s="1574"/>
      <c r="BQ339" s="1184"/>
      <c r="BR339" s="1184"/>
      <c r="BS339" s="971" t="s">
        <v>1756</v>
      </c>
      <c r="BT339" s="973"/>
      <c r="BU339" s="973"/>
      <c r="BV339" s="888"/>
      <c r="BW339" s="888"/>
    </row>
    <row r="340" spans="1:75" s="1334" customFormat="1" ht="19.899999999999999" customHeight="1" x14ac:dyDescent="0.25">
      <c r="A340" s="1184"/>
      <c r="B340" s="887"/>
      <c r="C340" s="1184"/>
      <c r="D340" s="1184"/>
      <c r="E340" s="626">
        <v>22.5</v>
      </c>
      <c r="F340" s="3" t="str" cm="1">
        <f t="array" aca="1" ref="F340" ca="1">OFFSET(E340,-1,1)</f>
        <v>2</v>
      </c>
      <c r="G340" s="2" t="s">
        <v>1124</v>
      </c>
      <c r="H340" s="294"/>
      <c r="I340" s="294" t="s">
        <v>1936</v>
      </c>
      <c r="J340" s="1184"/>
      <c r="K340" s="294" t="s">
        <v>1936</v>
      </c>
      <c r="L340" s="889" t="s">
        <v>1757</v>
      </c>
      <c r="M340" s="26"/>
      <c r="N340" s="1184"/>
      <c r="O340" s="1184"/>
      <c r="P340" s="1184"/>
      <c r="Q340" s="77" t="s">
        <v>2200</v>
      </c>
      <c r="R340" s="80" t="s">
        <v>2200</v>
      </c>
      <c r="S340" s="1184"/>
      <c r="T340" s="388" t="b" cm="1">
        <f t="array" ref="T340">T339</f>
        <v>1</v>
      </c>
      <c r="U340" s="1184"/>
      <c r="V340" s="1184"/>
      <c r="W340" s="1184"/>
      <c r="X340" s="2032"/>
      <c r="Y340" s="1184"/>
      <c r="Z340" s="2012"/>
      <c r="AA340" s="1184"/>
      <c r="AB340" s="217" t="s">
        <v>1937</v>
      </c>
      <c r="AC340" s="688" t="s">
        <v>1938</v>
      </c>
      <c r="AD340" s="218" t="s">
        <v>831</v>
      </c>
      <c r="AE340" s="1568">
        <v>2201.590336152</v>
      </c>
      <c r="AF340" s="1568">
        <f>1146.63+1321.35</f>
        <v>2467.98</v>
      </c>
      <c r="AG340" s="1568">
        <f>AE340*0.952226993219463</f>
        <v>2096.413746095046</v>
      </c>
      <c r="AH340" s="855">
        <f t="shared" si="78"/>
        <v>-371.56625390495401</v>
      </c>
      <c r="AI340" s="1563">
        <f ca="1">AI339*SUMIFS(INDEX(Сценарии!$AE$25:$BF$109,,MATCH(AG$8,Сценарии!$AE$8:$BF$8,0)),Сценарии!$F$25:$F$109,$F340,Сценарии!$G$25:$G$109,"СВФОТ")/100</f>
        <v>0</v>
      </c>
      <c r="AJ340" s="1560"/>
      <c r="AK340" s="854"/>
      <c r="AL340" s="854"/>
      <c r="AM340" s="854"/>
      <c r="AN340" s="854"/>
      <c r="AO340" s="854"/>
      <c r="AP340" s="854"/>
      <c r="AQ340" s="854"/>
      <c r="AR340" s="854"/>
      <c r="AS340" s="854"/>
      <c r="AT340" s="854"/>
      <c r="AU340" s="854"/>
      <c r="AV340" s="854"/>
      <c r="AW340" s="854"/>
      <c r="AX340" s="854"/>
      <c r="AY340" s="854"/>
      <c r="AZ340" s="854"/>
      <c r="BA340" s="854"/>
      <c r="BB340" s="854"/>
      <c r="BC340" s="854"/>
      <c r="BD340" s="854"/>
      <c r="BE340" s="854"/>
      <c r="BF340" s="854"/>
      <c r="BG340" s="854"/>
      <c r="BH340" s="854"/>
      <c r="BI340" s="854"/>
      <c r="BJ340" s="854"/>
      <c r="BK340" s="854"/>
      <c r="BL340" s="854"/>
      <c r="BM340" s="854"/>
      <c r="BN340" s="1574"/>
      <c r="BO340" s="1576"/>
      <c r="BP340" s="1574"/>
      <c r="BQ340" s="1184"/>
      <c r="BR340" s="1184"/>
      <c r="BS340" s="971" t="s">
        <v>1759</v>
      </c>
      <c r="BT340" s="973"/>
      <c r="BU340" s="973"/>
      <c r="BV340" s="888"/>
      <c r="BW340" s="888"/>
    </row>
    <row r="341" spans="1:75" s="1599" customFormat="1" ht="20.25" customHeight="1" x14ac:dyDescent="0.25">
      <c r="A341" s="623"/>
      <c r="B341" s="357"/>
      <c r="C341" s="623"/>
      <c r="D341" s="623"/>
      <c r="E341" s="630">
        <v>21</v>
      </c>
      <c r="F341" s="3" t="str" cm="1">
        <f t="array" aca="1" ref="F341" ca="1">OFFSET(E341,-1,1)</f>
        <v>2</v>
      </c>
      <c r="G341" s="623"/>
      <c r="H341" s="294"/>
      <c r="I341" s="294" t="s">
        <v>505</v>
      </c>
      <c r="J341" s="623"/>
      <c r="K341" s="294" t="s">
        <v>505</v>
      </c>
      <c r="L341" s="894" t="s">
        <v>333</v>
      </c>
      <c r="M341" s="28"/>
      <c r="N341" s="623"/>
      <c r="O341" s="623"/>
      <c r="P341" s="623"/>
      <c r="Q341" s="77" t="s">
        <v>2200</v>
      </c>
      <c r="R341" s="80" t="s">
        <v>2200</v>
      </c>
      <c r="S341" s="623"/>
      <c r="T341" s="388" t="b" cm="1">
        <f t="array" ref="T341">T340</f>
        <v>1</v>
      </c>
      <c r="U341" s="623"/>
      <c r="V341" s="623"/>
      <c r="W341" s="623"/>
      <c r="X341" s="2032"/>
      <c r="Y341" s="623"/>
      <c r="Z341" s="2012"/>
      <c r="AA341" s="623"/>
      <c r="AB341" s="137" t="s">
        <v>919</v>
      </c>
      <c r="AC341" s="277" t="s">
        <v>1939</v>
      </c>
      <c r="AD341" s="130" t="s">
        <v>831</v>
      </c>
      <c r="AE341" s="690">
        <f>AE342+AE350+AE353+AE354+AE355+AE356+AE357</f>
        <v>11111.801299130901</v>
      </c>
      <c r="AF341" s="690">
        <f>AF342+AF350+AF353+AF354+AF355+AF356+AF357</f>
        <v>10680.289999999999</v>
      </c>
      <c r="AG341" s="690">
        <f>AG342+AG350+AG353+AG354+AG355+AG356+AG357</f>
        <v>10580.957140323542</v>
      </c>
      <c r="AH341" s="681">
        <f t="shared" si="78"/>
        <v>-99.332859676456792</v>
      </c>
      <c r="AI341" s="1565">
        <f ca="1">AI342+AI350+AI353+AI354+AI355+AI356+AI357</f>
        <v>0</v>
      </c>
      <c r="AJ341" s="1560"/>
      <c r="AK341" s="684"/>
      <c r="AL341" s="684"/>
      <c r="AM341" s="684"/>
      <c r="AN341" s="684"/>
      <c r="AO341" s="684"/>
      <c r="AP341" s="684"/>
      <c r="AQ341" s="684"/>
      <c r="AR341" s="684"/>
      <c r="AS341" s="684"/>
      <c r="AT341" s="684"/>
      <c r="AU341" s="684"/>
      <c r="AV341" s="684"/>
      <c r="AW341" s="684"/>
      <c r="AX341" s="684"/>
      <c r="AY341" s="684"/>
      <c r="AZ341" s="684"/>
      <c r="BA341" s="684"/>
      <c r="BB341" s="684"/>
      <c r="BC341" s="684"/>
      <c r="BD341" s="684"/>
      <c r="BE341" s="684"/>
      <c r="BF341" s="684"/>
      <c r="BG341" s="684"/>
      <c r="BH341" s="684"/>
      <c r="BI341" s="684"/>
      <c r="BJ341" s="684"/>
      <c r="BK341" s="684"/>
      <c r="BL341" s="684"/>
      <c r="BM341" s="684"/>
      <c r="BN341" s="1575"/>
      <c r="BO341" s="1575"/>
      <c r="BP341" s="1575"/>
      <c r="BQ341" s="623"/>
      <c r="BR341" s="623"/>
      <c r="BS341" s="972" t="s">
        <v>1761</v>
      </c>
      <c r="BT341" s="979"/>
      <c r="BU341" s="979"/>
      <c r="BV341" s="630"/>
      <c r="BW341" s="630"/>
    </row>
    <row r="342" spans="1:75" s="1334" customFormat="1" ht="21.75" customHeight="1" x14ac:dyDescent="0.25">
      <c r="A342" s="1184"/>
      <c r="B342" s="887"/>
      <c r="C342" s="1184"/>
      <c r="D342" s="1184"/>
      <c r="E342" s="626">
        <v>22.5</v>
      </c>
      <c r="F342" s="3" t="str" cm="1">
        <f t="array" aca="1" ref="F342" ca="1">OFFSET(E342,-1,1)</f>
        <v>2</v>
      </c>
      <c r="G342" s="77" t="s">
        <v>1155</v>
      </c>
      <c r="H342" s="294"/>
      <c r="I342" s="294" t="s">
        <v>1328</v>
      </c>
      <c r="J342" s="1184"/>
      <c r="K342" s="294" t="s">
        <v>1328</v>
      </c>
      <c r="L342" s="889" t="s">
        <v>940</v>
      </c>
      <c r="M342" s="26"/>
      <c r="N342" s="1184"/>
      <c r="O342" s="1184"/>
      <c r="P342" s="1184"/>
      <c r="Q342" s="77" t="s">
        <v>2200</v>
      </c>
      <c r="R342" s="80" t="s">
        <v>2200</v>
      </c>
      <c r="S342" s="1184"/>
      <c r="T342" s="388" t="b" cm="1">
        <f t="array" ref="T342">T341</f>
        <v>1</v>
      </c>
      <c r="U342" s="1184"/>
      <c r="V342" s="1184"/>
      <c r="W342" s="1184"/>
      <c r="X342" s="2032"/>
      <c r="Y342" s="1184"/>
      <c r="Z342" s="2012"/>
      <c r="AA342" s="1184"/>
      <c r="AB342" s="217" t="s">
        <v>1033</v>
      </c>
      <c r="AC342" s="685" t="s">
        <v>1940</v>
      </c>
      <c r="AD342" s="218" t="s">
        <v>831</v>
      </c>
      <c r="AE342" s="856">
        <f>SUM(AE343:AE349)</f>
        <v>0</v>
      </c>
      <c r="AF342" s="856">
        <f>SUM(AF343:AF349)</f>
        <v>0</v>
      </c>
      <c r="AG342" s="856">
        <f>SUM(AG343:AG349)</f>
        <v>0</v>
      </c>
      <c r="AH342" s="855">
        <f t="shared" si="78"/>
        <v>0</v>
      </c>
      <c r="AI342" s="1564">
        <f>SUM(AI343:AI349)</f>
        <v>0</v>
      </c>
      <c r="AJ342" s="1560"/>
      <c r="AK342" s="854"/>
      <c r="AL342" s="854"/>
      <c r="AM342" s="854"/>
      <c r="AN342" s="854"/>
      <c r="AO342" s="854"/>
      <c r="AP342" s="854"/>
      <c r="AQ342" s="854"/>
      <c r="AR342" s="854"/>
      <c r="AS342" s="854"/>
      <c r="AT342" s="854"/>
      <c r="AU342" s="854"/>
      <c r="AV342" s="854"/>
      <c r="AW342" s="854"/>
      <c r="AX342" s="854"/>
      <c r="AY342" s="854"/>
      <c r="AZ342" s="854"/>
      <c r="BA342" s="854"/>
      <c r="BB342" s="854"/>
      <c r="BC342" s="854"/>
      <c r="BD342" s="854"/>
      <c r="BE342" s="854"/>
      <c r="BF342" s="854"/>
      <c r="BG342" s="854"/>
      <c r="BH342" s="854"/>
      <c r="BI342" s="854"/>
      <c r="BJ342" s="854"/>
      <c r="BK342" s="854"/>
      <c r="BL342" s="854"/>
      <c r="BM342" s="854"/>
      <c r="BN342" s="1574"/>
      <c r="BO342" s="1576"/>
      <c r="BP342" s="1574"/>
      <c r="BQ342" s="1184"/>
      <c r="BR342" s="1184"/>
      <c r="BS342" s="971" t="s">
        <v>1157</v>
      </c>
      <c r="BT342" s="973"/>
      <c r="BU342" s="973"/>
      <c r="BV342" s="888"/>
      <c r="BW342" s="888"/>
    </row>
    <row r="343" spans="1:75" s="1334" customFormat="1" ht="14.65" customHeight="1" x14ac:dyDescent="0.15">
      <c r="A343" s="1184"/>
      <c r="B343" s="887"/>
      <c r="C343" s="1184"/>
      <c r="D343" s="1184"/>
      <c r="E343" s="626">
        <v>15</v>
      </c>
      <c r="F343" s="3" t="str" cm="1">
        <f t="array" aca="1" ref="F343" ca="1">OFFSET(E343,-1,1)</f>
        <v>2</v>
      </c>
      <c r="G343" s="77" t="s">
        <v>1158</v>
      </c>
      <c r="H343" s="294"/>
      <c r="I343" s="294" t="s">
        <v>1941</v>
      </c>
      <c r="J343" s="1184"/>
      <c r="K343" s="294" t="s">
        <v>1941</v>
      </c>
      <c r="L343" s="889"/>
      <c r="M343" s="26"/>
      <c r="N343" s="1184"/>
      <c r="O343" s="1184"/>
      <c r="P343" s="1184"/>
      <c r="Q343" s="77" t="s">
        <v>2200</v>
      </c>
      <c r="R343" s="80" t="s">
        <v>2200</v>
      </c>
      <c r="S343" s="1184"/>
      <c r="T343" s="388" t="b" cm="1">
        <f t="array" ref="T343">T342</f>
        <v>1</v>
      </c>
      <c r="U343" s="1184"/>
      <c r="V343" s="1184"/>
      <c r="W343" s="1184"/>
      <c r="X343" s="2032"/>
      <c r="Y343" s="1184"/>
      <c r="Z343" s="2012"/>
      <c r="AA343" s="1184"/>
      <c r="AB343" s="217" t="s">
        <v>1942</v>
      </c>
      <c r="AC343" s="688" t="s">
        <v>1159</v>
      </c>
      <c r="AD343" s="218" t="s">
        <v>831</v>
      </c>
      <c r="AE343" s="1568">
        <v>0</v>
      </c>
      <c r="AF343" s="1568"/>
      <c r="AG343" s="1568"/>
      <c r="AH343" s="855">
        <f t="shared" si="78"/>
        <v>0</v>
      </c>
      <c r="AI343" s="1563"/>
      <c r="AJ343" s="1560"/>
      <c r="AK343" s="854"/>
      <c r="AL343" s="854"/>
      <c r="AM343" s="854"/>
      <c r="AN343" s="854"/>
      <c r="AO343" s="854"/>
      <c r="AP343" s="854"/>
      <c r="AQ343" s="854"/>
      <c r="AR343" s="854"/>
      <c r="AS343" s="854"/>
      <c r="AT343" s="854"/>
      <c r="AU343" s="854"/>
      <c r="AV343" s="854"/>
      <c r="AW343" s="854"/>
      <c r="AX343" s="854"/>
      <c r="AY343" s="854"/>
      <c r="AZ343" s="854"/>
      <c r="BA343" s="854"/>
      <c r="BB343" s="854"/>
      <c r="BC343" s="854"/>
      <c r="BD343" s="854"/>
      <c r="BE343" s="854"/>
      <c r="BF343" s="854"/>
      <c r="BG343" s="854"/>
      <c r="BH343" s="854"/>
      <c r="BI343" s="854"/>
      <c r="BJ343" s="854"/>
      <c r="BK343" s="854"/>
      <c r="BL343" s="854"/>
      <c r="BM343" s="854"/>
      <c r="BN343" s="1574"/>
      <c r="BO343" s="1576"/>
      <c r="BP343" s="1574"/>
      <c r="BQ343" s="1184"/>
      <c r="BR343" s="1184"/>
      <c r="BS343" s="973" t="s">
        <v>1160</v>
      </c>
      <c r="BT343" s="973"/>
      <c r="BU343" s="973"/>
      <c r="BV343" s="888"/>
      <c r="BW343" s="888"/>
    </row>
    <row r="344" spans="1:75" s="1334" customFormat="1" ht="14.65" customHeight="1" x14ac:dyDescent="0.15">
      <c r="A344" s="1184"/>
      <c r="B344" s="887"/>
      <c r="C344" s="1184"/>
      <c r="D344" s="1184"/>
      <c r="E344" s="626">
        <v>15</v>
      </c>
      <c r="F344" s="3" t="str" cm="1">
        <f t="array" aca="1" ref="F344" ca="1">OFFSET(E344,-1,1)</f>
        <v>2</v>
      </c>
      <c r="G344" s="77" t="s">
        <v>1161</v>
      </c>
      <c r="H344" s="294"/>
      <c r="I344" s="294" t="s">
        <v>1943</v>
      </c>
      <c r="J344" s="1184"/>
      <c r="K344" s="294" t="s">
        <v>1943</v>
      </c>
      <c r="L344" s="889"/>
      <c r="M344" s="26"/>
      <c r="N344" s="1184"/>
      <c r="O344" s="1184"/>
      <c r="P344" s="1184"/>
      <c r="Q344" s="77" t="s">
        <v>2200</v>
      </c>
      <c r="R344" s="80" t="s">
        <v>2200</v>
      </c>
      <c r="S344" s="1184"/>
      <c r="T344" s="388" t="b" cm="1">
        <f t="array" ref="T344">T343</f>
        <v>1</v>
      </c>
      <c r="U344" s="1184"/>
      <c r="V344" s="1184"/>
      <c r="W344" s="1184"/>
      <c r="X344" s="2032"/>
      <c r="Y344" s="1184"/>
      <c r="Z344" s="2012"/>
      <c r="AA344" s="1184"/>
      <c r="AB344" s="217" t="s">
        <v>1944</v>
      </c>
      <c r="AC344" s="688" t="s">
        <v>1162</v>
      </c>
      <c r="AD344" s="218" t="s">
        <v>831</v>
      </c>
      <c r="AE344" s="1568">
        <v>0</v>
      </c>
      <c r="AF344" s="1568"/>
      <c r="AG344" s="1568"/>
      <c r="AH344" s="855">
        <f t="shared" si="78"/>
        <v>0</v>
      </c>
      <c r="AI344" s="1563"/>
      <c r="AJ344" s="1560"/>
      <c r="AK344" s="854"/>
      <c r="AL344" s="854"/>
      <c r="AM344" s="854"/>
      <c r="AN344" s="854"/>
      <c r="AO344" s="854"/>
      <c r="AP344" s="854"/>
      <c r="AQ344" s="854"/>
      <c r="AR344" s="854"/>
      <c r="AS344" s="854"/>
      <c r="AT344" s="854"/>
      <c r="AU344" s="854"/>
      <c r="AV344" s="854"/>
      <c r="AW344" s="854"/>
      <c r="AX344" s="854"/>
      <c r="AY344" s="854"/>
      <c r="AZ344" s="854"/>
      <c r="BA344" s="854"/>
      <c r="BB344" s="854"/>
      <c r="BC344" s="854"/>
      <c r="BD344" s="854"/>
      <c r="BE344" s="854"/>
      <c r="BF344" s="854"/>
      <c r="BG344" s="854"/>
      <c r="BH344" s="854"/>
      <c r="BI344" s="854"/>
      <c r="BJ344" s="854"/>
      <c r="BK344" s="854"/>
      <c r="BL344" s="854"/>
      <c r="BM344" s="854"/>
      <c r="BN344" s="1574"/>
      <c r="BO344" s="1576" t="str">
        <f ca="1">IF(IFERROR(INDEX(Административные!$K$26:$L$84,MATCH($F344&amp;"11komm",Административные!$K$26:$K$84,0),2),"")=0,"",IFERROR(INDEX(Административные!$K$26:$L$84,MATCH($F344&amp;"11komm",Административные!$K$26:$K$84,0),2),""))</f>
        <v/>
      </c>
      <c r="BP344" s="1574"/>
      <c r="BQ344" s="1184"/>
      <c r="BR344" s="1184"/>
      <c r="BS344" s="973" t="s">
        <v>1163</v>
      </c>
      <c r="BT344" s="973"/>
      <c r="BU344" s="973"/>
      <c r="BV344" s="888"/>
      <c r="BW344" s="888"/>
    </row>
    <row r="345" spans="1:75" s="1334" customFormat="1" ht="14.65" customHeight="1" x14ac:dyDescent="0.15">
      <c r="A345" s="1184"/>
      <c r="B345" s="887"/>
      <c r="C345" s="1184"/>
      <c r="D345" s="1184"/>
      <c r="E345" s="626">
        <v>15</v>
      </c>
      <c r="F345" s="3" t="str" cm="1">
        <f t="array" aca="1" ref="F345" ca="1">OFFSET(E345,-1,1)</f>
        <v>2</v>
      </c>
      <c r="G345" s="77" t="s">
        <v>1164</v>
      </c>
      <c r="H345" s="294"/>
      <c r="I345" s="294" t="s">
        <v>1945</v>
      </c>
      <c r="J345" s="1184"/>
      <c r="K345" s="294" t="s">
        <v>1945</v>
      </c>
      <c r="L345" s="889"/>
      <c r="M345" s="26"/>
      <c r="N345" s="1184"/>
      <c r="O345" s="1184"/>
      <c r="P345" s="1184"/>
      <c r="Q345" s="77" t="s">
        <v>2200</v>
      </c>
      <c r="R345" s="80" t="s">
        <v>2200</v>
      </c>
      <c r="S345" s="1184"/>
      <c r="T345" s="388" t="b" cm="1">
        <f t="array" ref="T345">T344</f>
        <v>1</v>
      </c>
      <c r="U345" s="1184"/>
      <c r="V345" s="1184"/>
      <c r="W345" s="1184"/>
      <c r="X345" s="2032"/>
      <c r="Y345" s="1184"/>
      <c r="Z345" s="2012"/>
      <c r="AA345" s="1184"/>
      <c r="AB345" s="217" t="s">
        <v>1946</v>
      </c>
      <c r="AC345" s="688" t="s">
        <v>1165</v>
      </c>
      <c r="AD345" s="218" t="s">
        <v>831</v>
      </c>
      <c r="AE345" s="1568">
        <v>0</v>
      </c>
      <c r="AF345" s="1568"/>
      <c r="AG345" s="1568"/>
      <c r="AH345" s="855">
        <f t="shared" si="78"/>
        <v>0</v>
      </c>
      <c r="AI345" s="1563"/>
      <c r="AJ345" s="1560"/>
      <c r="AK345" s="854"/>
      <c r="AL345" s="854"/>
      <c r="AM345" s="854"/>
      <c r="AN345" s="854"/>
      <c r="AO345" s="854"/>
      <c r="AP345" s="854"/>
      <c r="AQ345" s="854"/>
      <c r="AR345" s="854"/>
      <c r="AS345" s="854"/>
      <c r="AT345" s="854"/>
      <c r="AU345" s="854"/>
      <c r="AV345" s="854"/>
      <c r="AW345" s="854"/>
      <c r="AX345" s="854"/>
      <c r="AY345" s="854"/>
      <c r="AZ345" s="854"/>
      <c r="BA345" s="854"/>
      <c r="BB345" s="854"/>
      <c r="BC345" s="854"/>
      <c r="BD345" s="854"/>
      <c r="BE345" s="854"/>
      <c r="BF345" s="854"/>
      <c r="BG345" s="854"/>
      <c r="BH345" s="854"/>
      <c r="BI345" s="854"/>
      <c r="BJ345" s="854"/>
      <c r="BK345" s="854"/>
      <c r="BL345" s="854"/>
      <c r="BM345" s="854"/>
      <c r="BN345" s="1574"/>
      <c r="BO345" s="1576" t="str">
        <f ca="1">IF(IFERROR(INDEX(Административные!$K$26:$L$84,MATCH($F345&amp;"12komm",Административные!$K$26:$K$84,0),2),"")=0,"",IFERROR(INDEX(Административные!$K$26:$L$84,MATCH($F345&amp;"12komm",Административные!$K$26:$K$84,0),2),""))</f>
        <v/>
      </c>
      <c r="BP345" s="1574"/>
      <c r="BQ345" s="1184"/>
      <c r="BR345" s="1184"/>
      <c r="BS345" s="973" t="s">
        <v>1166</v>
      </c>
      <c r="BT345" s="973"/>
      <c r="BU345" s="973"/>
      <c r="BV345" s="888"/>
      <c r="BW345" s="888"/>
    </row>
    <row r="346" spans="1:75" s="1334" customFormat="1" ht="14.65" customHeight="1" x14ac:dyDescent="0.15">
      <c r="A346" s="1184"/>
      <c r="B346" s="887"/>
      <c r="C346" s="1184"/>
      <c r="D346" s="1184"/>
      <c r="E346" s="626">
        <v>15</v>
      </c>
      <c r="F346" s="3" t="str" cm="1">
        <f t="array" aca="1" ref="F346" ca="1">OFFSET(E346,-1,1)</f>
        <v>2</v>
      </c>
      <c r="G346" s="77" t="s">
        <v>1167</v>
      </c>
      <c r="H346" s="294"/>
      <c r="I346" s="294" t="s">
        <v>1947</v>
      </c>
      <c r="J346" s="1184"/>
      <c r="K346" s="294" t="s">
        <v>1947</v>
      </c>
      <c r="L346" s="889"/>
      <c r="M346" s="26"/>
      <c r="N346" s="1184"/>
      <c r="O346" s="1184"/>
      <c r="P346" s="1184"/>
      <c r="Q346" s="77" t="s">
        <v>2200</v>
      </c>
      <c r="R346" s="80" t="s">
        <v>2200</v>
      </c>
      <c r="S346" s="1184"/>
      <c r="T346" s="388" t="b" cm="1">
        <f t="array" ref="T346">T345</f>
        <v>1</v>
      </c>
      <c r="U346" s="1184"/>
      <c r="V346" s="1184"/>
      <c r="W346" s="1184"/>
      <c r="X346" s="2032"/>
      <c r="Y346" s="1184"/>
      <c r="Z346" s="2012"/>
      <c r="AA346" s="1184"/>
      <c r="AB346" s="217" t="s">
        <v>1948</v>
      </c>
      <c r="AC346" s="688" t="s">
        <v>1168</v>
      </c>
      <c r="AD346" s="218" t="s">
        <v>831</v>
      </c>
      <c r="AE346" s="1568">
        <v>0</v>
      </c>
      <c r="AF346" s="1568"/>
      <c r="AG346" s="1568"/>
      <c r="AH346" s="855">
        <f t="shared" si="78"/>
        <v>0</v>
      </c>
      <c r="AI346" s="1563"/>
      <c r="AJ346" s="1560"/>
      <c r="AK346" s="854"/>
      <c r="AL346" s="854"/>
      <c r="AM346" s="854"/>
      <c r="AN346" s="854"/>
      <c r="AO346" s="854"/>
      <c r="AP346" s="854"/>
      <c r="AQ346" s="854"/>
      <c r="AR346" s="854"/>
      <c r="AS346" s="854"/>
      <c r="AT346" s="854"/>
      <c r="AU346" s="854"/>
      <c r="AV346" s="854"/>
      <c r="AW346" s="854"/>
      <c r="AX346" s="854"/>
      <c r="AY346" s="854"/>
      <c r="AZ346" s="854"/>
      <c r="BA346" s="854"/>
      <c r="BB346" s="854"/>
      <c r="BC346" s="854"/>
      <c r="BD346" s="854"/>
      <c r="BE346" s="854"/>
      <c r="BF346" s="854"/>
      <c r="BG346" s="854"/>
      <c r="BH346" s="854"/>
      <c r="BI346" s="854"/>
      <c r="BJ346" s="854"/>
      <c r="BK346" s="854"/>
      <c r="BL346" s="854"/>
      <c r="BM346" s="854"/>
      <c r="BN346" s="1574"/>
      <c r="BO346" s="1576" t="str">
        <f ca="1">IF(IFERROR(INDEX(Административные!$K$26:$L$84,MATCH($F346&amp;"13komm",Административные!$K$26:$K$84,0),2),"")=0,"",IFERROR(INDEX(Административные!$K$26:$L$84,MATCH($F346&amp;"13komm",Административные!$K$26:$K$84,0),2),""))</f>
        <v/>
      </c>
      <c r="BP346" s="1574"/>
      <c r="BQ346" s="1184"/>
      <c r="BR346" s="1184"/>
      <c r="BS346" s="973" t="s">
        <v>1169</v>
      </c>
      <c r="BT346" s="973"/>
      <c r="BU346" s="973"/>
      <c r="BV346" s="888"/>
      <c r="BW346" s="888"/>
    </row>
    <row r="347" spans="1:75" s="1334" customFormat="1" ht="14.65" customHeight="1" x14ac:dyDescent="0.15">
      <c r="A347" s="1184"/>
      <c r="B347" s="887"/>
      <c r="C347" s="1184"/>
      <c r="D347" s="1184"/>
      <c r="E347" s="626">
        <v>15</v>
      </c>
      <c r="F347" s="3" t="str" cm="1">
        <f t="array" aca="1" ref="F347" ca="1">OFFSET(E347,-1,1)</f>
        <v>2</v>
      </c>
      <c r="G347" s="77" t="s">
        <v>1170</v>
      </c>
      <c r="H347" s="294"/>
      <c r="I347" s="294" t="s">
        <v>1949</v>
      </c>
      <c r="J347" s="1184"/>
      <c r="K347" s="294" t="s">
        <v>1949</v>
      </c>
      <c r="L347" s="889"/>
      <c r="M347" s="26"/>
      <c r="N347" s="1184"/>
      <c r="O347" s="1184"/>
      <c r="P347" s="1184"/>
      <c r="Q347" s="77" t="s">
        <v>2200</v>
      </c>
      <c r="R347" s="80" t="s">
        <v>2200</v>
      </c>
      <c r="S347" s="1184"/>
      <c r="T347" s="388" t="b" cm="1">
        <f t="array" ref="T347">T346</f>
        <v>1</v>
      </c>
      <c r="U347" s="1184"/>
      <c r="V347" s="1184"/>
      <c r="W347" s="1184"/>
      <c r="X347" s="2032"/>
      <c r="Y347" s="1184"/>
      <c r="Z347" s="2012"/>
      <c r="AA347" s="1184"/>
      <c r="AB347" s="217" t="s">
        <v>1950</v>
      </c>
      <c r="AC347" s="688" t="s">
        <v>1171</v>
      </c>
      <c r="AD347" s="218" t="s">
        <v>831</v>
      </c>
      <c r="AE347" s="1568">
        <v>0</v>
      </c>
      <c r="AF347" s="1568"/>
      <c r="AG347" s="1568"/>
      <c r="AH347" s="855">
        <f t="shared" si="78"/>
        <v>0</v>
      </c>
      <c r="AI347" s="1563"/>
      <c r="AJ347" s="1560"/>
      <c r="AK347" s="854"/>
      <c r="AL347" s="854"/>
      <c r="AM347" s="854"/>
      <c r="AN347" s="854"/>
      <c r="AO347" s="854"/>
      <c r="AP347" s="854"/>
      <c r="AQ347" s="854"/>
      <c r="AR347" s="854"/>
      <c r="AS347" s="854"/>
      <c r="AT347" s="854"/>
      <c r="AU347" s="854"/>
      <c r="AV347" s="854"/>
      <c r="AW347" s="854"/>
      <c r="AX347" s="854"/>
      <c r="AY347" s="854"/>
      <c r="AZ347" s="854"/>
      <c r="BA347" s="854"/>
      <c r="BB347" s="854"/>
      <c r="BC347" s="854"/>
      <c r="BD347" s="854"/>
      <c r="BE347" s="854"/>
      <c r="BF347" s="854"/>
      <c r="BG347" s="854"/>
      <c r="BH347" s="854"/>
      <c r="BI347" s="854"/>
      <c r="BJ347" s="854"/>
      <c r="BK347" s="854"/>
      <c r="BL347" s="854"/>
      <c r="BM347" s="854"/>
      <c r="BN347" s="1574"/>
      <c r="BO347" s="1576" t="str">
        <f ca="1">IF(IFERROR(INDEX(Административные!$K$26:$L$84,MATCH($F347&amp;"14komm",Административные!$K$26:$K$84,0),2),"")=0,"",IFERROR(INDEX(Административные!$K$26:$L$84,MATCH($F347&amp;"14komm",Административные!$K$26:$K$84,0),2),""))</f>
        <v/>
      </c>
      <c r="BP347" s="1574"/>
      <c r="BQ347" s="1184"/>
      <c r="BR347" s="1184"/>
      <c r="BS347" s="973" t="s">
        <v>1951</v>
      </c>
      <c r="BT347" s="973"/>
      <c r="BU347" s="973"/>
      <c r="BV347" s="888"/>
      <c r="BW347" s="888"/>
    </row>
    <row r="348" spans="1:75" s="1334" customFormat="1" ht="14.65" customHeight="1" x14ac:dyDescent="0.15">
      <c r="A348" s="1184"/>
      <c r="B348" s="887"/>
      <c r="C348" s="1184"/>
      <c r="D348" s="1184"/>
      <c r="E348" s="626">
        <v>15</v>
      </c>
      <c r="F348" s="3" t="str" cm="1">
        <f t="array" aca="1" ref="F348" ca="1">OFFSET(E348,-1,1)</f>
        <v>2</v>
      </c>
      <c r="G348" s="77" t="s">
        <v>1173</v>
      </c>
      <c r="H348" s="294"/>
      <c r="I348" s="294" t="s">
        <v>1952</v>
      </c>
      <c r="J348" s="1184"/>
      <c r="K348" s="294" t="s">
        <v>1952</v>
      </c>
      <c r="L348" s="889"/>
      <c r="M348" s="26"/>
      <c r="N348" s="1184"/>
      <c r="O348" s="1184"/>
      <c r="P348" s="1184"/>
      <c r="Q348" s="77" t="s">
        <v>2200</v>
      </c>
      <c r="R348" s="80" t="s">
        <v>2200</v>
      </c>
      <c r="S348" s="1184"/>
      <c r="T348" s="388" t="b" cm="1">
        <f t="array" ref="T348">T347</f>
        <v>1</v>
      </c>
      <c r="U348" s="1184"/>
      <c r="V348" s="1184"/>
      <c r="W348" s="1184"/>
      <c r="X348" s="2032"/>
      <c r="Y348" s="1184"/>
      <c r="Z348" s="2012"/>
      <c r="AA348" s="1184"/>
      <c r="AB348" s="217" t="s">
        <v>1953</v>
      </c>
      <c r="AC348" s="688" t="s">
        <v>1176</v>
      </c>
      <c r="AD348" s="218" t="s">
        <v>831</v>
      </c>
      <c r="AE348" s="1568">
        <v>0</v>
      </c>
      <c r="AF348" s="1568"/>
      <c r="AG348" s="1568"/>
      <c r="AH348" s="855">
        <f t="shared" ref="AH348:AH379" si="82">AG348-AF348</f>
        <v>0</v>
      </c>
      <c r="AI348" s="1563"/>
      <c r="AJ348" s="1560"/>
      <c r="AK348" s="854"/>
      <c r="AL348" s="854"/>
      <c r="AM348" s="854"/>
      <c r="AN348" s="854"/>
      <c r="AO348" s="854"/>
      <c r="AP348" s="854"/>
      <c r="AQ348" s="854"/>
      <c r="AR348" s="854"/>
      <c r="AS348" s="854"/>
      <c r="AT348" s="854"/>
      <c r="AU348" s="854"/>
      <c r="AV348" s="854"/>
      <c r="AW348" s="854"/>
      <c r="AX348" s="854"/>
      <c r="AY348" s="854"/>
      <c r="AZ348" s="854"/>
      <c r="BA348" s="854"/>
      <c r="BB348" s="854"/>
      <c r="BC348" s="854"/>
      <c r="BD348" s="854"/>
      <c r="BE348" s="854"/>
      <c r="BF348" s="854"/>
      <c r="BG348" s="854"/>
      <c r="BH348" s="854"/>
      <c r="BI348" s="854"/>
      <c r="BJ348" s="854"/>
      <c r="BK348" s="854"/>
      <c r="BL348" s="854"/>
      <c r="BM348" s="854"/>
      <c r="BN348" s="1574"/>
      <c r="BO348" s="1576" t="str">
        <f ca="1">IF(IFERROR(INDEX(Административные!$K$26:$L$84,MATCH($F348&amp;"15komm",Административные!$K$26:$K$84,0),2),"")=0,"",IFERROR(INDEX(Административные!$K$26:$L$84,MATCH($F348&amp;"15komm",Административные!$K$26:$K$84,0),2),""))</f>
        <v/>
      </c>
      <c r="BP348" s="1574"/>
      <c r="BQ348" s="1184"/>
      <c r="BR348" s="1184"/>
      <c r="BS348" s="973" t="s">
        <v>1177</v>
      </c>
      <c r="BT348" s="973"/>
      <c r="BU348" s="973"/>
      <c r="BV348" s="888"/>
      <c r="BW348" s="888"/>
    </row>
    <row r="349" spans="1:75" s="1334" customFormat="1" ht="14.65" customHeight="1" x14ac:dyDescent="0.15">
      <c r="A349" s="1184"/>
      <c r="B349" s="887"/>
      <c r="C349" s="1184"/>
      <c r="D349" s="1184"/>
      <c r="E349" s="626">
        <v>15</v>
      </c>
      <c r="F349" s="3" t="str" cm="1">
        <f t="array" aca="1" ref="F349" ca="1">OFFSET(E349,-1,1)</f>
        <v>2</v>
      </c>
      <c r="G349" s="77" t="s">
        <v>1178</v>
      </c>
      <c r="H349" s="294"/>
      <c r="I349" s="294" t="s">
        <v>1954</v>
      </c>
      <c r="J349" s="1184"/>
      <c r="K349" s="294" t="s">
        <v>1954</v>
      </c>
      <c r="L349" s="889"/>
      <c r="M349" s="26"/>
      <c r="N349" s="1184"/>
      <c r="O349" s="1184"/>
      <c r="P349" s="1184"/>
      <c r="Q349" s="77" t="s">
        <v>2200</v>
      </c>
      <c r="R349" s="80" t="s">
        <v>2200</v>
      </c>
      <c r="S349" s="1184"/>
      <c r="T349" s="388" t="b" cm="1">
        <f t="array" ref="T349">T348</f>
        <v>1</v>
      </c>
      <c r="U349" s="1184"/>
      <c r="V349" s="1184"/>
      <c r="W349" s="1184"/>
      <c r="X349" s="2032"/>
      <c r="Y349" s="1184"/>
      <c r="Z349" s="2012"/>
      <c r="AA349" s="1184"/>
      <c r="AB349" s="217" t="s">
        <v>1955</v>
      </c>
      <c r="AC349" s="688" t="s">
        <v>1181</v>
      </c>
      <c r="AD349" s="218" t="s">
        <v>831</v>
      </c>
      <c r="AE349" s="1568">
        <v>0</v>
      </c>
      <c r="AF349" s="1568"/>
      <c r="AG349" s="1568"/>
      <c r="AH349" s="855">
        <f t="shared" si="82"/>
        <v>0</v>
      </c>
      <c r="AI349" s="1563"/>
      <c r="AJ349" s="1560"/>
      <c r="AK349" s="854"/>
      <c r="AL349" s="854"/>
      <c r="AM349" s="854"/>
      <c r="AN349" s="854"/>
      <c r="AO349" s="854"/>
      <c r="AP349" s="854"/>
      <c r="AQ349" s="854"/>
      <c r="AR349" s="854"/>
      <c r="AS349" s="854"/>
      <c r="AT349" s="854"/>
      <c r="AU349" s="854"/>
      <c r="AV349" s="854"/>
      <c r="AW349" s="854"/>
      <c r="AX349" s="854"/>
      <c r="AY349" s="854"/>
      <c r="AZ349" s="854"/>
      <c r="BA349" s="854"/>
      <c r="BB349" s="854"/>
      <c r="BC349" s="854"/>
      <c r="BD349" s="854"/>
      <c r="BE349" s="854"/>
      <c r="BF349" s="854"/>
      <c r="BG349" s="854"/>
      <c r="BH349" s="854"/>
      <c r="BI349" s="854"/>
      <c r="BJ349" s="854"/>
      <c r="BK349" s="854"/>
      <c r="BL349" s="854"/>
      <c r="BM349" s="854"/>
      <c r="BN349" s="1574"/>
      <c r="BO349" s="1576"/>
      <c r="BP349" s="1574"/>
      <c r="BQ349" s="1184"/>
      <c r="BR349" s="1184"/>
      <c r="BS349" s="973" t="s">
        <v>1956</v>
      </c>
      <c r="BT349" s="973"/>
      <c r="BU349" s="973"/>
      <c r="BV349" s="888"/>
      <c r="BW349" s="888"/>
    </row>
    <row r="350" spans="1:75" s="1334" customFormat="1" ht="38.85" customHeight="1" x14ac:dyDescent="0.25">
      <c r="A350" s="1184"/>
      <c r="B350" s="887"/>
      <c r="C350" s="1184"/>
      <c r="D350" s="1184"/>
      <c r="E350" s="626">
        <v>22.5</v>
      </c>
      <c r="F350" s="3" t="str" cm="1">
        <f t="array" aca="1" ref="F350" ca="1">OFFSET(E350,-1,1)</f>
        <v>2</v>
      </c>
      <c r="G350" s="1184"/>
      <c r="H350" s="294"/>
      <c r="I350" s="294" t="s">
        <v>1329</v>
      </c>
      <c r="J350" s="1184"/>
      <c r="K350" s="294" t="s">
        <v>1329</v>
      </c>
      <c r="L350" s="889" t="s">
        <v>942</v>
      </c>
      <c r="M350" s="26"/>
      <c r="N350" s="1184"/>
      <c r="O350" s="1184"/>
      <c r="P350" s="1184"/>
      <c r="Q350" s="77" t="s">
        <v>2200</v>
      </c>
      <c r="R350" s="80" t="s">
        <v>2200</v>
      </c>
      <c r="S350" s="1184"/>
      <c r="T350" s="388" t="b" cm="1">
        <f t="array" ref="T350">T349</f>
        <v>1</v>
      </c>
      <c r="U350" s="1184"/>
      <c r="V350" s="1184"/>
      <c r="W350" s="1184"/>
      <c r="X350" s="2032"/>
      <c r="Y350" s="1184"/>
      <c r="Z350" s="2012"/>
      <c r="AA350" s="1184"/>
      <c r="AB350" s="217" t="s">
        <v>1036</v>
      </c>
      <c r="AC350" s="685" t="s">
        <v>1957</v>
      </c>
      <c r="AD350" s="218" t="s">
        <v>831</v>
      </c>
      <c r="AE350" s="856">
        <f>AE351+AE352</f>
        <v>10308.3601568909</v>
      </c>
      <c r="AF350" s="856">
        <f>AF351+AF352</f>
        <v>9906.869999999999</v>
      </c>
      <c r="AG350" s="856">
        <f>AG351+AG352</f>
        <v>9815.8987972195355</v>
      </c>
      <c r="AH350" s="855">
        <f t="shared" si="82"/>
        <v>-90.9712027804635</v>
      </c>
      <c r="AI350" s="1564">
        <f ca="1">AI351+AI352</f>
        <v>0</v>
      </c>
      <c r="AJ350" s="1560"/>
      <c r="AK350" s="854"/>
      <c r="AL350" s="854"/>
      <c r="AM350" s="854"/>
      <c r="AN350" s="854"/>
      <c r="AO350" s="854"/>
      <c r="AP350" s="854"/>
      <c r="AQ350" s="854"/>
      <c r="AR350" s="854"/>
      <c r="AS350" s="854"/>
      <c r="AT350" s="854"/>
      <c r="AU350" s="854"/>
      <c r="AV350" s="854"/>
      <c r="AW350" s="854"/>
      <c r="AX350" s="854"/>
      <c r="AY350" s="854"/>
      <c r="AZ350" s="854"/>
      <c r="BA350" s="854"/>
      <c r="BB350" s="854"/>
      <c r="BC350" s="854"/>
      <c r="BD350" s="854"/>
      <c r="BE350" s="854"/>
      <c r="BF350" s="854"/>
      <c r="BG350" s="854"/>
      <c r="BH350" s="854"/>
      <c r="BI350" s="854"/>
      <c r="BJ350" s="854"/>
      <c r="BK350" s="854"/>
      <c r="BL350" s="854"/>
      <c r="BM350" s="854"/>
      <c r="BN350" s="1574"/>
      <c r="BO350" s="1574"/>
      <c r="BP350" s="1574"/>
      <c r="BQ350" s="1184"/>
      <c r="BR350" s="1184"/>
      <c r="BS350" s="971" t="s">
        <v>1764</v>
      </c>
      <c r="BT350" s="973"/>
      <c r="BU350" s="973"/>
      <c r="BV350" s="888"/>
      <c r="BW350" s="888"/>
    </row>
    <row r="351" spans="1:75" s="1334" customFormat="1" ht="27.95" customHeight="1" x14ac:dyDescent="0.25">
      <c r="A351" s="1184"/>
      <c r="B351" s="887"/>
      <c r="C351" s="1184"/>
      <c r="D351" s="1184"/>
      <c r="E351" s="626">
        <v>15</v>
      </c>
      <c r="F351" s="3" t="str" cm="1">
        <f t="array" aca="1" ref="F351" ca="1">OFFSET(E351,-1,1)</f>
        <v>2</v>
      </c>
      <c r="G351" s="77" t="s">
        <v>1127</v>
      </c>
      <c r="H351" s="294"/>
      <c r="I351" s="294" t="s">
        <v>1958</v>
      </c>
      <c r="J351" s="1184"/>
      <c r="K351" s="294" t="s">
        <v>1958</v>
      </c>
      <c r="L351" s="889" t="s">
        <v>530</v>
      </c>
      <c r="M351" s="26"/>
      <c r="N351" s="1184"/>
      <c r="O351" s="1184"/>
      <c r="P351" s="1184"/>
      <c r="Q351" s="77" t="s">
        <v>2200</v>
      </c>
      <c r="R351" s="80" t="s">
        <v>2200</v>
      </c>
      <c r="S351" s="1184"/>
      <c r="T351" s="388" t="b" cm="1">
        <f t="array" ref="T351">T350</f>
        <v>1</v>
      </c>
      <c r="U351" s="1184"/>
      <c r="V351" s="1184"/>
      <c r="W351" s="1184"/>
      <c r="X351" s="2032"/>
      <c r="Y351" s="1184"/>
      <c r="Z351" s="2012"/>
      <c r="AA351" s="1184"/>
      <c r="AB351" s="217" t="s">
        <v>1959</v>
      </c>
      <c r="AC351" s="688" t="s">
        <v>1765</v>
      </c>
      <c r="AD351" s="691" t="s">
        <v>831</v>
      </c>
      <c r="AE351" s="1568">
        <v>7917.3273094400001</v>
      </c>
      <c r="AF351" s="1568">
        <v>7615.7</v>
      </c>
      <c r="AG351" s="1568">
        <f>AE351*0.952226993219463</f>
        <v>7539.0927782023928</v>
      </c>
      <c r="AH351" s="855">
        <f t="shared" si="82"/>
        <v>-76.607221797607053</v>
      </c>
      <c r="AI351" s="1563"/>
      <c r="AJ351" s="1560"/>
      <c r="AK351" s="854"/>
      <c r="AL351" s="854"/>
      <c r="AM351" s="854"/>
      <c r="AN351" s="854"/>
      <c r="AO351" s="854"/>
      <c r="AP351" s="854"/>
      <c r="AQ351" s="854"/>
      <c r="AR351" s="854"/>
      <c r="AS351" s="854"/>
      <c r="AT351" s="854"/>
      <c r="AU351" s="854"/>
      <c r="AV351" s="854"/>
      <c r="AW351" s="854"/>
      <c r="AX351" s="854"/>
      <c r="AY351" s="854"/>
      <c r="AZ351" s="854"/>
      <c r="BA351" s="854"/>
      <c r="BB351" s="854"/>
      <c r="BC351" s="854"/>
      <c r="BD351" s="854"/>
      <c r="BE351" s="854"/>
      <c r="BF351" s="854"/>
      <c r="BG351" s="854"/>
      <c r="BH351" s="854"/>
      <c r="BI351" s="854"/>
      <c r="BJ351" s="854"/>
      <c r="BK351" s="854"/>
      <c r="BL351" s="854"/>
      <c r="BM351" s="854"/>
      <c r="BN351" s="1574"/>
      <c r="BO351" s="1576"/>
      <c r="BP351" s="1574"/>
      <c r="BQ351" s="1184"/>
      <c r="BR351" s="1184"/>
      <c r="BS351" s="971" t="s">
        <v>1154</v>
      </c>
      <c r="BT351" s="973"/>
      <c r="BU351" s="973"/>
      <c r="BV351" s="888"/>
      <c r="BW351" s="888"/>
    </row>
    <row r="352" spans="1:75" s="1334" customFormat="1" ht="30.75" customHeight="1" x14ac:dyDescent="0.25">
      <c r="A352" s="1184"/>
      <c r="B352" s="887"/>
      <c r="C352" s="1184"/>
      <c r="D352" s="1184"/>
      <c r="E352" s="626">
        <v>22.5</v>
      </c>
      <c r="F352" s="3" t="str" cm="1">
        <f t="array" aca="1" ref="F352" ca="1">OFFSET(E352,-1,1)</f>
        <v>2</v>
      </c>
      <c r="G352" s="77" t="s">
        <v>1132</v>
      </c>
      <c r="H352" s="294"/>
      <c r="I352" s="294" t="s">
        <v>1960</v>
      </c>
      <c r="J352" s="1184"/>
      <c r="K352" s="294" t="s">
        <v>1960</v>
      </c>
      <c r="L352" s="889" t="s">
        <v>535</v>
      </c>
      <c r="M352" s="26"/>
      <c r="N352" s="1184"/>
      <c r="O352" s="1184"/>
      <c r="P352" s="1184"/>
      <c r="Q352" s="77" t="s">
        <v>2200</v>
      </c>
      <c r="R352" s="80" t="s">
        <v>2200</v>
      </c>
      <c r="S352" s="1184"/>
      <c r="T352" s="388" t="b" cm="1">
        <f t="array" ref="T352">T351</f>
        <v>1</v>
      </c>
      <c r="U352" s="1184"/>
      <c r="V352" s="1184"/>
      <c r="W352" s="1184"/>
      <c r="X352" s="2032"/>
      <c r="Y352" s="1184"/>
      <c r="Z352" s="2012"/>
      <c r="AA352" s="1184"/>
      <c r="AB352" s="217" t="s">
        <v>1961</v>
      </c>
      <c r="AC352" s="688" t="s">
        <v>1962</v>
      </c>
      <c r="AD352" s="218" t="s">
        <v>831</v>
      </c>
      <c r="AE352" s="1568">
        <v>2391.0328474509001</v>
      </c>
      <c r="AF352" s="1568">
        <v>2291.17</v>
      </c>
      <c r="AG352" s="1568">
        <f>AE352*0.952226993219463</f>
        <v>2276.8060190171418</v>
      </c>
      <c r="AH352" s="855">
        <f t="shared" si="82"/>
        <v>-14.363980982858266</v>
      </c>
      <c r="AI352" s="1563">
        <f ca="1">AI351*SUMIFS(INDEX(Сценарии!$AE$25:$BF$109,,MATCH(AG$8,Сценарии!$AE$8:$BF$8,0)),Сценарии!$F$25:$F$109,$F352,Сценарии!$G$25:$G$109,"СВФОТ")/100</f>
        <v>0</v>
      </c>
      <c r="AJ352" s="1560"/>
      <c r="AK352" s="854"/>
      <c r="AL352" s="854"/>
      <c r="AM352" s="854"/>
      <c r="AN352" s="854"/>
      <c r="AO352" s="854"/>
      <c r="AP352" s="854"/>
      <c r="AQ352" s="854"/>
      <c r="AR352" s="854"/>
      <c r="AS352" s="854"/>
      <c r="AT352" s="854"/>
      <c r="AU352" s="854"/>
      <c r="AV352" s="854"/>
      <c r="AW352" s="854"/>
      <c r="AX352" s="854"/>
      <c r="AY352" s="854"/>
      <c r="AZ352" s="854"/>
      <c r="BA352" s="854"/>
      <c r="BB352" s="854"/>
      <c r="BC352" s="854"/>
      <c r="BD352" s="854"/>
      <c r="BE352" s="854"/>
      <c r="BF352" s="854"/>
      <c r="BG352" s="854"/>
      <c r="BH352" s="854"/>
      <c r="BI352" s="854"/>
      <c r="BJ352" s="854"/>
      <c r="BK352" s="854"/>
      <c r="BL352" s="854"/>
      <c r="BM352" s="854"/>
      <c r="BN352" s="1574"/>
      <c r="BO352" s="1576"/>
      <c r="BP352" s="1574"/>
      <c r="BQ352" s="1184"/>
      <c r="BR352" s="1184"/>
      <c r="BS352" s="971" t="s">
        <v>1767</v>
      </c>
      <c r="BT352" s="973"/>
      <c r="BU352" s="973"/>
      <c r="BV352" s="888"/>
      <c r="BW352" s="888"/>
    </row>
    <row r="353" spans="1:75" s="1334" customFormat="1" ht="33.75" customHeight="1" x14ac:dyDescent="0.25">
      <c r="A353" s="1184"/>
      <c r="B353" s="887"/>
      <c r="C353" s="1184"/>
      <c r="D353" s="1184"/>
      <c r="E353" s="626">
        <v>33.75</v>
      </c>
      <c r="F353" s="3" t="str" cm="1">
        <f t="array" aca="1" ref="F353" ca="1">OFFSET(E353,-1,1)</f>
        <v>2</v>
      </c>
      <c r="G353" s="2" t="s">
        <v>1183</v>
      </c>
      <c r="H353" s="294"/>
      <c r="I353" s="294" t="s">
        <v>1332</v>
      </c>
      <c r="J353" s="1184"/>
      <c r="K353" s="294" t="s">
        <v>1332</v>
      </c>
      <c r="L353" s="889" t="s">
        <v>944</v>
      </c>
      <c r="M353" s="26"/>
      <c r="N353" s="1184"/>
      <c r="O353" s="1184"/>
      <c r="P353" s="1184"/>
      <c r="Q353" s="77" t="s">
        <v>2200</v>
      </c>
      <c r="R353" s="80" t="s">
        <v>2200</v>
      </c>
      <c r="S353" s="1184"/>
      <c r="T353" s="388" t="b" cm="1">
        <f t="array" ref="T353">T352</f>
        <v>1</v>
      </c>
      <c r="U353" s="1184"/>
      <c r="V353" s="1184"/>
      <c r="W353" s="1184"/>
      <c r="X353" s="2032"/>
      <c r="Y353" s="1184"/>
      <c r="Z353" s="2012"/>
      <c r="AA353" s="1184"/>
      <c r="AB353" s="217" t="s">
        <v>1333</v>
      </c>
      <c r="AC353" s="685" t="s">
        <v>1963</v>
      </c>
      <c r="AD353" s="218" t="s">
        <v>831</v>
      </c>
      <c r="AE353" s="1568">
        <v>0</v>
      </c>
      <c r="AF353" s="1568"/>
      <c r="AG353" s="1568"/>
      <c r="AH353" s="855">
        <f t="shared" si="82"/>
        <v>0</v>
      </c>
      <c r="AI353" s="1563"/>
      <c r="AJ353" s="1560"/>
      <c r="AK353" s="854"/>
      <c r="AL353" s="854"/>
      <c r="AM353" s="854"/>
      <c r="AN353" s="854"/>
      <c r="AO353" s="854"/>
      <c r="AP353" s="854"/>
      <c r="AQ353" s="854"/>
      <c r="AR353" s="854"/>
      <c r="AS353" s="854"/>
      <c r="AT353" s="854"/>
      <c r="AU353" s="854"/>
      <c r="AV353" s="854"/>
      <c r="AW353" s="854"/>
      <c r="AX353" s="854"/>
      <c r="AY353" s="854"/>
      <c r="AZ353" s="854"/>
      <c r="BA353" s="854"/>
      <c r="BB353" s="854"/>
      <c r="BC353" s="854"/>
      <c r="BD353" s="854"/>
      <c r="BE353" s="854"/>
      <c r="BF353" s="854"/>
      <c r="BG353" s="854"/>
      <c r="BH353" s="854"/>
      <c r="BI353" s="854"/>
      <c r="BJ353" s="854"/>
      <c r="BK353" s="854"/>
      <c r="BL353" s="854"/>
      <c r="BM353" s="854"/>
      <c r="BN353" s="1574"/>
      <c r="BO353" s="1576"/>
      <c r="BP353" s="1574"/>
      <c r="BQ353" s="1184"/>
      <c r="BR353" s="1184"/>
      <c r="BS353" s="971" t="s">
        <v>1185</v>
      </c>
      <c r="BT353" s="973"/>
      <c r="BU353" s="973"/>
      <c r="BV353" s="888"/>
      <c r="BW353" s="888"/>
    </row>
    <row r="354" spans="1:75" s="1334" customFormat="1" ht="14.65" customHeight="1" x14ac:dyDescent="0.25">
      <c r="A354" s="1184"/>
      <c r="B354" s="887"/>
      <c r="C354" s="1184"/>
      <c r="D354" s="1184"/>
      <c r="E354" s="626">
        <v>15</v>
      </c>
      <c r="F354" s="3" t="str" cm="1">
        <f t="array" aca="1" ref="F354" ca="1">OFFSET(E354,-1,1)</f>
        <v>2</v>
      </c>
      <c r="G354" s="2" t="s">
        <v>1186</v>
      </c>
      <c r="H354" s="294"/>
      <c r="I354" s="294" t="s">
        <v>1336</v>
      </c>
      <c r="J354" s="1184"/>
      <c r="K354" s="294" t="s">
        <v>1336</v>
      </c>
      <c r="L354" s="889" t="s">
        <v>946</v>
      </c>
      <c r="M354" s="26"/>
      <c r="N354" s="1184"/>
      <c r="O354" s="1184"/>
      <c r="P354" s="1184"/>
      <c r="Q354" s="77" t="s">
        <v>2200</v>
      </c>
      <c r="R354" s="80" t="s">
        <v>2200</v>
      </c>
      <c r="S354" s="1184"/>
      <c r="T354" s="388" t="b" cm="1">
        <f t="array" ref="T354">T353</f>
        <v>1</v>
      </c>
      <c r="U354" s="1184"/>
      <c r="V354" s="1184"/>
      <c r="W354" s="1184"/>
      <c r="X354" s="2032"/>
      <c r="Y354" s="1184"/>
      <c r="Z354" s="2012"/>
      <c r="AA354" s="1184"/>
      <c r="AB354" s="217" t="s">
        <v>1337</v>
      </c>
      <c r="AC354" s="685" t="s">
        <v>1964</v>
      </c>
      <c r="AD354" s="218" t="s">
        <v>831</v>
      </c>
      <c r="AE354" s="1568">
        <v>0</v>
      </c>
      <c r="AF354" s="1568"/>
      <c r="AG354" s="1568"/>
      <c r="AH354" s="855">
        <f t="shared" si="82"/>
        <v>0</v>
      </c>
      <c r="AI354" s="1563"/>
      <c r="AJ354" s="1560"/>
      <c r="AK354" s="854"/>
      <c r="AL354" s="854"/>
      <c r="AM354" s="854"/>
      <c r="AN354" s="854"/>
      <c r="AO354" s="854"/>
      <c r="AP354" s="854"/>
      <c r="AQ354" s="854"/>
      <c r="AR354" s="854"/>
      <c r="AS354" s="854"/>
      <c r="AT354" s="854"/>
      <c r="AU354" s="854"/>
      <c r="AV354" s="854"/>
      <c r="AW354" s="854"/>
      <c r="AX354" s="854"/>
      <c r="AY354" s="854"/>
      <c r="AZ354" s="854"/>
      <c r="BA354" s="854"/>
      <c r="BB354" s="854"/>
      <c r="BC354" s="854"/>
      <c r="BD354" s="854"/>
      <c r="BE354" s="854"/>
      <c r="BF354" s="854"/>
      <c r="BG354" s="854"/>
      <c r="BH354" s="854"/>
      <c r="BI354" s="854"/>
      <c r="BJ354" s="854"/>
      <c r="BK354" s="854"/>
      <c r="BL354" s="854"/>
      <c r="BM354" s="854"/>
      <c r="BN354" s="1574"/>
      <c r="BO354" s="1576"/>
      <c r="BP354" s="1574"/>
      <c r="BQ354" s="1184"/>
      <c r="BR354" s="1184"/>
      <c r="BS354" s="971" t="s">
        <v>1188</v>
      </c>
      <c r="BT354" s="973"/>
      <c r="BU354" s="973"/>
      <c r="BV354" s="888"/>
      <c r="BW354" s="888"/>
    </row>
    <row r="355" spans="1:75" s="1334" customFormat="1" ht="14.65" customHeight="1" x14ac:dyDescent="0.25">
      <c r="A355" s="1184"/>
      <c r="B355" s="887"/>
      <c r="C355" s="1184"/>
      <c r="D355" s="1184"/>
      <c r="E355" s="626">
        <v>15</v>
      </c>
      <c r="F355" s="3" t="str" cm="1">
        <f t="array" aca="1" ref="F355" ca="1">OFFSET(E355,-1,1)</f>
        <v>2</v>
      </c>
      <c r="G355" s="2" t="s">
        <v>1189</v>
      </c>
      <c r="H355" s="294"/>
      <c r="I355" s="294" t="s">
        <v>1965</v>
      </c>
      <c r="J355" s="1184"/>
      <c r="K355" s="294" t="s">
        <v>1965</v>
      </c>
      <c r="L355" s="889" t="s">
        <v>949</v>
      </c>
      <c r="M355" s="26"/>
      <c r="N355" s="1184"/>
      <c r="O355" s="1184"/>
      <c r="P355" s="1184"/>
      <c r="Q355" s="77" t="s">
        <v>2200</v>
      </c>
      <c r="R355" s="80" t="s">
        <v>2200</v>
      </c>
      <c r="S355" s="1184"/>
      <c r="T355" s="388" t="b" cm="1">
        <f t="array" ref="T355">T354</f>
        <v>1</v>
      </c>
      <c r="U355" s="1184"/>
      <c r="V355" s="1184"/>
      <c r="W355" s="1184"/>
      <c r="X355" s="2032"/>
      <c r="Y355" s="1184"/>
      <c r="Z355" s="2012"/>
      <c r="AA355" s="1184"/>
      <c r="AB355" s="217" t="s">
        <v>1966</v>
      </c>
      <c r="AC355" s="685" t="s">
        <v>1967</v>
      </c>
      <c r="AD355" s="218" t="s">
        <v>831</v>
      </c>
      <c r="AE355" s="1568">
        <v>0</v>
      </c>
      <c r="AF355" s="1568"/>
      <c r="AG355" s="1568"/>
      <c r="AH355" s="855">
        <f t="shared" si="82"/>
        <v>0</v>
      </c>
      <c r="AI355" s="1563"/>
      <c r="AJ355" s="1560"/>
      <c r="AK355" s="854"/>
      <c r="AL355" s="854"/>
      <c r="AM355" s="854"/>
      <c r="AN355" s="854"/>
      <c r="AO355" s="854"/>
      <c r="AP355" s="854"/>
      <c r="AQ355" s="854"/>
      <c r="AR355" s="854"/>
      <c r="AS355" s="854"/>
      <c r="AT355" s="854"/>
      <c r="AU355" s="854"/>
      <c r="AV355" s="854"/>
      <c r="AW355" s="854"/>
      <c r="AX355" s="854"/>
      <c r="AY355" s="854"/>
      <c r="AZ355" s="854"/>
      <c r="BA355" s="854"/>
      <c r="BB355" s="854"/>
      <c r="BC355" s="854"/>
      <c r="BD355" s="854"/>
      <c r="BE355" s="854"/>
      <c r="BF355" s="854"/>
      <c r="BG355" s="854"/>
      <c r="BH355" s="854"/>
      <c r="BI355" s="854"/>
      <c r="BJ355" s="854"/>
      <c r="BK355" s="854"/>
      <c r="BL355" s="854"/>
      <c r="BM355" s="854"/>
      <c r="BN355" s="1574"/>
      <c r="BO355" s="1576" t="str">
        <f ca="1">IF(IFERROR(INDEX(Административные!$K$26:$L$84,MATCH($F355&amp;"4komm",Административные!$K$26:$K$84,0),2),"")=0,"",IFERROR(INDEX(Административные!$K$26:$L$84,MATCH($F355&amp;"4komm",Административные!$K$26:$K$84,0),2),""))</f>
        <v/>
      </c>
      <c r="BP355" s="1574"/>
      <c r="BQ355" s="1184"/>
      <c r="BR355" s="1184"/>
      <c r="BS355" s="971" t="s">
        <v>1191</v>
      </c>
      <c r="BT355" s="973"/>
      <c r="BU355" s="973"/>
      <c r="BV355" s="888"/>
      <c r="BW355" s="888"/>
    </row>
    <row r="356" spans="1:75" s="1334" customFormat="1" ht="14.65" customHeight="1" x14ac:dyDescent="0.25">
      <c r="A356" s="1184"/>
      <c r="B356" s="887"/>
      <c r="C356" s="1184"/>
      <c r="D356" s="1184"/>
      <c r="E356" s="626">
        <v>15</v>
      </c>
      <c r="F356" s="3" t="str" cm="1">
        <f t="array" aca="1" ref="F356" ca="1">OFFSET(E356,-1,1)</f>
        <v>2</v>
      </c>
      <c r="G356" s="2" t="s">
        <v>1192</v>
      </c>
      <c r="H356" s="294"/>
      <c r="I356" s="294" t="s">
        <v>1968</v>
      </c>
      <c r="J356" s="1184"/>
      <c r="K356" s="294" t="s">
        <v>1968</v>
      </c>
      <c r="L356" s="889" t="s">
        <v>1174</v>
      </c>
      <c r="M356" s="26"/>
      <c r="N356" s="1184"/>
      <c r="O356" s="1184"/>
      <c r="P356" s="1184"/>
      <c r="Q356" s="77" t="s">
        <v>2200</v>
      </c>
      <c r="R356" s="80" t="s">
        <v>2200</v>
      </c>
      <c r="S356" s="1184"/>
      <c r="T356" s="388" t="b" cm="1">
        <f t="array" ref="T356">T355</f>
        <v>1</v>
      </c>
      <c r="U356" s="1184"/>
      <c r="V356" s="1184"/>
      <c r="W356" s="1184"/>
      <c r="X356" s="2032"/>
      <c r="Y356" s="1184"/>
      <c r="Z356" s="2012"/>
      <c r="AA356" s="1184"/>
      <c r="AB356" s="217" t="s">
        <v>1969</v>
      </c>
      <c r="AC356" s="685" t="s">
        <v>1970</v>
      </c>
      <c r="AD356" s="218" t="s">
        <v>831</v>
      </c>
      <c r="AE356" s="1568">
        <v>0</v>
      </c>
      <c r="AF356" s="1568"/>
      <c r="AG356" s="1568"/>
      <c r="AH356" s="855">
        <f t="shared" si="82"/>
        <v>0</v>
      </c>
      <c r="AI356" s="1563"/>
      <c r="AJ356" s="1560"/>
      <c r="AK356" s="854"/>
      <c r="AL356" s="854"/>
      <c r="AM356" s="854"/>
      <c r="AN356" s="854"/>
      <c r="AO356" s="854"/>
      <c r="AP356" s="854"/>
      <c r="AQ356" s="854"/>
      <c r="AR356" s="854"/>
      <c r="AS356" s="854"/>
      <c r="AT356" s="854"/>
      <c r="AU356" s="854"/>
      <c r="AV356" s="854"/>
      <c r="AW356" s="854"/>
      <c r="AX356" s="854"/>
      <c r="AY356" s="854"/>
      <c r="AZ356" s="854"/>
      <c r="BA356" s="854"/>
      <c r="BB356" s="854"/>
      <c r="BC356" s="854"/>
      <c r="BD356" s="854"/>
      <c r="BE356" s="854"/>
      <c r="BF356" s="854"/>
      <c r="BG356" s="854"/>
      <c r="BH356" s="854"/>
      <c r="BI356" s="854"/>
      <c r="BJ356" s="854"/>
      <c r="BK356" s="854"/>
      <c r="BL356" s="854"/>
      <c r="BM356" s="854"/>
      <c r="BN356" s="1574"/>
      <c r="BO356" s="1576"/>
      <c r="BP356" s="1574"/>
      <c r="BQ356" s="1184"/>
      <c r="BR356" s="1184"/>
      <c r="BS356" s="971" t="s">
        <v>1769</v>
      </c>
      <c r="BT356" s="973"/>
      <c r="BU356" s="973"/>
      <c r="BV356" s="888"/>
      <c r="BW356" s="888"/>
    </row>
    <row r="357" spans="1:75" s="1334" customFormat="1" ht="23.85" customHeight="1" x14ac:dyDescent="0.25">
      <c r="A357" s="1184"/>
      <c r="B357" s="887"/>
      <c r="C357" s="1184"/>
      <c r="D357" s="1184"/>
      <c r="E357" s="626">
        <v>15</v>
      </c>
      <c r="F357" s="3" t="str" cm="1">
        <f t="array" aca="1" ref="F357" ca="1">OFFSET(E357,-1,1)</f>
        <v>2</v>
      </c>
      <c r="G357" s="2" t="s">
        <v>1195</v>
      </c>
      <c r="H357" s="294"/>
      <c r="I357" s="294" t="s">
        <v>1971</v>
      </c>
      <c r="J357" s="1184"/>
      <c r="K357" s="294" t="s">
        <v>1971</v>
      </c>
      <c r="L357" s="889" t="s">
        <v>1179</v>
      </c>
      <c r="M357" s="26"/>
      <c r="N357" s="1184"/>
      <c r="O357" s="1184"/>
      <c r="P357" s="1184"/>
      <c r="Q357" s="77" t="s">
        <v>2200</v>
      </c>
      <c r="R357" s="80" t="s">
        <v>2200</v>
      </c>
      <c r="S357" s="1184"/>
      <c r="T357" s="388" t="b" cm="1">
        <f t="array" ref="T357">T356</f>
        <v>1</v>
      </c>
      <c r="U357" s="1184"/>
      <c r="V357" s="1184"/>
      <c r="W357" s="1184"/>
      <c r="X357" s="2032"/>
      <c r="Y357" s="1184"/>
      <c r="Z357" s="2012"/>
      <c r="AA357" s="1184"/>
      <c r="AB357" s="217" t="s">
        <v>1972</v>
      </c>
      <c r="AC357" s="685" t="s">
        <v>1973</v>
      </c>
      <c r="AD357" s="218" t="s">
        <v>831</v>
      </c>
      <c r="AE357" s="855">
        <f>SUM(AE358:AE360)</f>
        <v>803.44114223999998</v>
      </c>
      <c r="AF357" s="855">
        <f>SUM(AF358:AF360)</f>
        <v>773.42</v>
      </c>
      <c r="AG357" s="855">
        <f>SUM(AG358:AG360)</f>
        <v>765.0583431040061</v>
      </c>
      <c r="AH357" s="855">
        <f t="shared" si="82"/>
        <v>-8.3616568959938604</v>
      </c>
      <c r="AI357" s="1562">
        <f>SUM(AI358:AI360)</f>
        <v>0</v>
      </c>
      <c r="AJ357" s="1560"/>
      <c r="AK357" s="854"/>
      <c r="AL357" s="854"/>
      <c r="AM357" s="854"/>
      <c r="AN357" s="854"/>
      <c r="AO357" s="854"/>
      <c r="AP357" s="854"/>
      <c r="AQ357" s="854"/>
      <c r="AR357" s="854"/>
      <c r="AS357" s="854"/>
      <c r="AT357" s="854"/>
      <c r="AU357" s="854"/>
      <c r="AV357" s="854"/>
      <c r="AW357" s="854"/>
      <c r="AX357" s="854"/>
      <c r="AY357" s="854"/>
      <c r="AZ357" s="854"/>
      <c r="BA357" s="854"/>
      <c r="BB357" s="854"/>
      <c r="BC357" s="854"/>
      <c r="BD357" s="854"/>
      <c r="BE357" s="854"/>
      <c r="BF357" s="854"/>
      <c r="BG357" s="854"/>
      <c r="BH357" s="854"/>
      <c r="BI357" s="854"/>
      <c r="BJ357" s="854"/>
      <c r="BK357" s="854"/>
      <c r="BL357" s="854"/>
      <c r="BM357" s="854"/>
      <c r="BN357" s="1574"/>
      <c r="BO357" s="1576"/>
      <c r="BP357" s="1574"/>
      <c r="BQ357" s="1184"/>
      <c r="BR357" s="1184"/>
      <c r="BS357" s="971" t="s">
        <v>1771</v>
      </c>
      <c r="BT357" s="973"/>
      <c r="BU357" s="973"/>
      <c r="BV357" s="888"/>
      <c r="BW357" s="888"/>
    </row>
    <row r="358" spans="1:75" s="1334" customFormat="1" ht="14.65" customHeight="1" x14ac:dyDescent="0.25">
      <c r="A358" s="1184"/>
      <c r="B358" s="887"/>
      <c r="C358" s="1184"/>
      <c r="D358" s="1184"/>
      <c r="E358" s="626">
        <v>15</v>
      </c>
      <c r="F358" s="3" t="str" cm="1">
        <f t="array" aca="1" ref="F358" ca="1">OFFSET(E358,-1,1)</f>
        <v>2</v>
      </c>
      <c r="G358" s="2" t="s">
        <v>1197</v>
      </c>
      <c r="H358" s="294"/>
      <c r="I358" s="294" t="s">
        <v>1974</v>
      </c>
      <c r="J358" s="1184"/>
      <c r="K358" s="294" t="s">
        <v>1974</v>
      </c>
      <c r="L358" s="889" t="s">
        <v>1772</v>
      </c>
      <c r="M358" s="26"/>
      <c r="N358" s="1184"/>
      <c r="O358" s="1184"/>
      <c r="P358" s="1184"/>
      <c r="Q358" s="77" t="s">
        <v>2200</v>
      </c>
      <c r="R358" s="80" t="s">
        <v>2200</v>
      </c>
      <c r="S358" s="1184"/>
      <c r="T358" s="388" t="b" cm="1">
        <f t="array" ref="T358">T357</f>
        <v>1</v>
      </c>
      <c r="U358" s="1184"/>
      <c r="V358" s="1184"/>
      <c r="W358" s="1184"/>
      <c r="X358" s="2032"/>
      <c r="Y358" s="1184"/>
      <c r="Z358" s="2012"/>
      <c r="AA358" s="1184"/>
      <c r="AB358" s="217" t="s">
        <v>1975</v>
      </c>
      <c r="AC358" s="688" t="s">
        <v>1774</v>
      </c>
      <c r="AD358" s="218" t="s">
        <v>831</v>
      </c>
      <c r="AE358" s="1568">
        <v>0</v>
      </c>
      <c r="AF358" s="1568"/>
      <c r="AG358" s="1568"/>
      <c r="AH358" s="855">
        <f t="shared" si="82"/>
        <v>0</v>
      </c>
      <c r="AI358" s="1563"/>
      <c r="AJ358" s="1560"/>
      <c r="AK358" s="854"/>
      <c r="AL358" s="854"/>
      <c r="AM358" s="854"/>
      <c r="AN358" s="854"/>
      <c r="AO358" s="854"/>
      <c r="AP358" s="854"/>
      <c r="AQ358" s="854"/>
      <c r="AR358" s="854"/>
      <c r="AS358" s="854"/>
      <c r="AT358" s="854"/>
      <c r="AU358" s="854"/>
      <c r="AV358" s="854"/>
      <c r="AW358" s="854"/>
      <c r="AX358" s="854"/>
      <c r="AY358" s="854"/>
      <c r="AZ358" s="854"/>
      <c r="BA358" s="854"/>
      <c r="BB358" s="854"/>
      <c r="BC358" s="854"/>
      <c r="BD358" s="854"/>
      <c r="BE358" s="854"/>
      <c r="BF358" s="854"/>
      <c r="BG358" s="854"/>
      <c r="BH358" s="854"/>
      <c r="BI358" s="854"/>
      <c r="BJ358" s="854"/>
      <c r="BK358" s="854"/>
      <c r="BL358" s="854"/>
      <c r="BM358" s="854"/>
      <c r="BN358" s="1574"/>
      <c r="BO358" s="1576"/>
      <c r="BP358" s="1574"/>
      <c r="BQ358" s="1184"/>
      <c r="BR358" s="1184"/>
      <c r="BS358" s="971" t="s">
        <v>1775</v>
      </c>
      <c r="BT358" s="973"/>
      <c r="BU358" s="973"/>
      <c r="BV358" s="888"/>
      <c r="BW358" s="888"/>
    </row>
    <row r="359" spans="1:75" s="1334" customFormat="1" ht="14.65" customHeight="1" x14ac:dyDescent="0.25">
      <c r="A359" s="1184"/>
      <c r="B359" s="887"/>
      <c r="C359" s="1184"/>
      <c r="D359" s="1184"/>
      <c r="E359" s="626">
        <v>15</v>
      </c>
      <c r="F359" s="3" t="str" cm="1">
        <f t="array" aca="1" ref="F359" ca="1">OFFSET(E359,-1,1)</f>
        <v>2</v>
      </c>
      <c r="G359" s="2" t="s">
        <v>1200</v>
      </c>
      <c r="H359" s="294"/>
      <c r="I359" s="294" t="s">
        <v>1976</v>
      </c>
      <c r="J359" s="1184"/>
      <c r="K359" s="294" t="s">
        <v>1976</v>
      </c>
      <c r="L359" s="889" t="s">
        <v>1776</v>
      </c>
      <c r="M359" s="26"/>
      <c r="N359" s="1184"/>
      <c r="O359" s="1184"/>
      <c r="P359" s="1184"/>
      <c r="Q359" s="77" t="s">
        <v>2200</v>
      </c>
      <c r="R359" s="80" t="s">
        <v>2200</v>
      </c>
      <c r="S359" s="1184"/>
      <c r="T359" s="388" t="b" cm="1">
        <f t="array" ref="T359">T358</f>
        <v>1</v>
      </c>
      <c r="U359" s="1184"/>
      <c r="V359" s="1184"/>
      <c r="W359" s="1184"/>
      <c r="X359" s="2032"/>
      <c r="Y359" s="1184"/>
      <c r="Z359" s="2012"/>
      <c r="AA359" s="1184"/>
      <c r="AB359" s="217" t="s">
        <v>1977</v>
      </c>
      <c r="AC359" s="688" t="s">
        <v>1201</v>
      </c>
      <c r="AD359" s="218" t="s">
        <v>831</v>
      </c>
      <c r="AE359" s="1568">
        <v>0</v>
      </c>
      <c r="AF359" s="1568"/>
      <c r="AG359" s="1568"/>
      <c r="AH359" s="855">
        <f t="shared" si="82"/>
        <v>0</v>
      </c>
      <c r="AI359" s="1563"/>
      <c r="AJ359" s="1560"/>
      <c r="AK359" s="854"/>
      <c r="AL359" s="854"/>
      <c r="AM359" s="854"/>
      <c r="AN359" s="854"/>
      <c r="AO359" s="854"/>
      <c r="AP359" s="854"/>
      <c r="AQ359" s="854"/>
      <c r="AR359" s="854"/>
      <c r="AS359" s="854"/>
      <c r="AT359" s="854"/>
      <c r="AU359" s="854"/>
      <c r="AV359" s="854"/>
      <c r="AW359" s="854"/>
      <c r="AX359" s="854"/>
      <c r="AY359" s="854"/>
      <c r="AZ359" s="854"/>
      <c r="BA359" s="854"/>
      <c r="BB359" s="854"/>
      <c r="BC359" s="854"/>
      <c r="BD359" s="854"/>
      <c r="BE359" s="854"/>
      <c r="BF359" s="854"/>
      <c r="BG359" s="854"/>
      <c r="BH359" s="854"/>
      <c r="BI359" s="854"/>
      <c r="BJ359" s="854"/>
      <c r="BK359" s="854"/>
      <c r="BL359" s="854"/>
      <c r="BM359" s="854"/>
      <c r="BN359" s="1574"/>
      <c r="BO359" s="1576"/>
      <c r="BP359" s="1574"/>
      <c r="BQ359" s="1184"/>
      <c r="BR359" s="1184"/>
      <c r="BS359" s="971" t="s">
        <v>1778</v>
      </c>
      <c r="BT359" s="973"/>
      <c r="BU359" s="973"/>
      <c r="BV359" s="888"/>
      <c r="BW359" s="888"/>
    </row>
    <row r="360" spans="1:75" s="1334" customFormat="1" ht="14.65" customHeight="1" x14ac:dyDescent="0.25">
      <c r="A360" s="1184"/>
      <c r="B360" s="887"/>
      <c r="C360" s="1184"/>
      <c r="D360" s="1184"/>
      <c r="E360" s="626">
        <v>15</v>
      </c>
      <c r="F360" s="3" t="str" cm="1">
        <f t="array" aca="1" ref="F360" ca="1">OFFSET(E360,-1,1)</f>
        <v>2</v>
      </c>
      <c r="G360" s="77" t="s">
        <v>1203</v>
      </c>
      <c r="H360" s="294"/>
      <c r="I360" s="294" t="s">
        <v>1978</v>
      </c>
      <c r="J360" s="1184"/>
      <c r="K360" s="294" t="s">
        <v>1978</v>
      </c>
      <c r="L360" s="889" t="s">
        <v>1779</v>
      </c>
      <c r="M360" s="26"/>
      <c r="N360" s="1184"/>
      <c r="O360" s="1184"/>
      <c r="P360" s="1184"/>
      <c r="Q360" s="77" t="s">
        <v>2200</v>
      </c>
      <c r="R360" s="80" t="s">
        <v>2200</v>
      </c>
      <c r="S360" s="1184"/>
      <c r="T360" s="388" t="b" cm="1">
        <f t="array" ref="T360">T359</f>
        <v>1</v>
      </c>
      <c r="U360" s="1184"/>
      <c r="V360" s="1184"/>
      <c r="W360" s="1184"/>
      <c r="X360" s="2032"/>
      <c r="Y360" s="1184"/>
      <c r="Z360" s="2012"/>
      <c r="AA360" s="1184"/>
      <c r="AB360" s="217" t="s">
        <v>1979</v>
      </c>
      <c r="AC360" s="688" t="s">
        <v>1204</v>
      </c>
      <c r="AD360" s="218" t="s">
        <v>831</v>
      </c>
      <c r="AE360" s="1568">
        <v>803.44114223999998</v>
      </c>
      <c r="AF360" s="1568">
        <v>773.42</v>
      </c>
      <c r="AG360" s="1568">
        <f>AE360*0.952226993219463</f>
        <v>765.0583431040061</v>
      </c>
      <c r="AH360" s="855">
        <f t="shared" si="82"/>
        <v>-8.3616568959938604</v>
      </c>
      <c r="AI360" s="1563"/>
      <c r="AJ360" s="1264"/>
      <c r="AK360" s="854"/>
      <c r="AL360" s="854"/>
      <c r="AM360" s="854"/>
      <c r="AN360" s="854"/>
      <c r="AO360" s="854"/>
      <c r="AP360" s="854"/>
      <c r="AQ360" s="854"/>
      <c r="AR360" s="854"/>
      <c r="AS360" s="854"/>
      <c r="AT360" s="854"/>
      <c r="AU360" s="854"/>
      <c r="AV360" s="854"/>
      <c r="AW360" s="854"/>
      <c r="AX360" s="854"/>
      <c r="AY360" s="854"/>
      <c r="AZ360" s="854"/>
      <c r="BA360" s="854"/>
      <c r="BB360" s="854"/>
      <c r="BC360" s="854"/>
      <c r="BD360" s="854"/>
      <c r="BE360" s="854"/>
      <c r="BF360" s="854"/>
      <c r="BG360" s="854"/>
      <c r="BH360" s="854"/>
      <c r="BI360" s="854"/>
      <c r="BJ360" s="854"/>
      <c r="BK360" s="854"/>
      <c r="BL360" s="854"/>
      <c r="BM360" s="854"/>
      <c r="BN360" s="1574"/>
      <c r="BO360" s="1576"/>
      <c r="BP360" s="1574"/>
      <c r="BQ360" s="1184"/>
      <c r="BR360" s="1184"/>
      <c r="BS360" s="971" t="s">
        <v>1781</v>
      </c>
      <c r="BT360" s="973"/>
      <c r="BU360" s="973"/>
      <c r="BV360" s="888"/>
      <c r="BW360" s="888"/>
    </row>
    <row r="361" spans="1:75" s="1334" customFormat="1" ht="21.75" customHeight="1" x14ac:dyDescent="0.25">
      <c r="A361" s="1184"/>
      <c r="B361" s="354" t="b">
        <f>STATUS_GO="да"</f>
        <v>1</v>
      </c>
      <c r="C361" s="1184"/>
      <c r="D361" s="1184"/>
      <c r="E361" s="626">
        <v>22.5</v>
      </c>
      <c r="F361" s="3" t="str" cm="1">
        <f t="array" aca="1" ref="F361" ca="1">OFFSET(E361,-1,1)</f>
        <v>2</v>
      </c>
      <c r="G361" s="1184"/>
      <c r="H361" s="294"/>
      <c r="I361" s="294" t="s">
        <v>922</v>
      </c>
      <c r="J361" s="1184"/>
      <c r="K361" s="294" t="s">
        <v>922</v>
      </c>
      <c r="L361" s="889" t="s">
        <v>335</v>
      </c>
      <c r="M361" s="26"/>
      <c r="N361" s="1184"/>
      <c r="O361" s="1184"/>
      <c r="P361" s="1184"/>
      <c r="Q361" s="77" t="s">
        <v>2200</v>
      </c>
      <c r="R361" s="80" t="s">
        <v>2200</v>
      </c>
      <c r="S361" s="1184"/>
      <c r="T361" s="388" t="b" cm="1">
        <f t="array" ref="T361">T360</f>
        <v>1</v>
      </c>
      <c r="U361" s="1184"/>
      <c r="V361" s="1184"/>
      <c r="W361" s="1184"/>
      <c r="X361" s="2032"/>
      <c r="Y361" s="1184"/>
      <c r="Z361" s="2012"/>
      <c r="AA361" s="1184"/>
      <c r="AB361" s="217" t="s">
        <v>923</v>
      </c>
      <c r="AC361" s="682" t="s">
        <v>1980</v>
      </c>
      <c r="AD361" s="218" t="s">
        <v>831</v>
      </c>
      <c r="AE361" s="1568">
        <v>4753.6000000000004</v>
      </c>
      <c r="AF361" s="1568">
        <v>6913.73</v>
      </c>
      <c r="AG361" s="1568">
        <f>AE361*0.952226993219463</f>
        <v>4526.5062349680402</v>
      </c>
      <c r="AH361" s="855">
        <f t="shared" si="82"/>
        <v>-2387.2237650319594</v>
      </c>
      <c r="AI361" s="1563"/>
      <c r="AJ361" s="1560"/>
      <c r="AK361" s="854"/>
      <c r="AL361" s="854"/>
      <c r="AM361" s="854"/>
      <c r="AN361" s="854"/>
      <c r="AO361" s="854"/>
      <c r="AP361" s="854"/>
      <c r="AQ361" s="854"/>
      <c r="AR361" s="854"/>
      <c r="AS361" s="854"/>
      <c r="AT361" s="854"/>
      <c r="AU361" s="854"/>
      <c r="AV361" s="854"/>
      <c r="AW361" s="854"/>
      <c r="AX361" s="854"/>
      <c r="AY361" s="854"/>
      <c r="AZ361" s="854"/>
      <c r="BA361" s="854"/>
      <c r="BB361" s="854"/>
      <c r="BC361" s="854"/>
      <c r="BD361" s="854"/>
      <c r="BE361" s="854"/>
      <c r="BF361" s="854"/>
      <c r="BG361" s="854"/>
      <c r="BH361" s="854"/>
      <c r="BI361" s="854"/>
      <c r="BJ361" s="854"/>
      <c r="BK361" s="854"/>
      <c r="BL361" s="854"/>
      <c r="BM361" s="854"/>
      <c r="BN361" s="1574"/>
      <c r="BO361" s="1574"/>
      <c r="BP361" s="1574"/>
      <c r="BQ361" s="1184"/>
      <c r="BR361" s="1184"/>
      <c r="BS361" s="972" t="s">
        <v>1783</v>
      </c>
      <c r="BT361" s="973"/>
      <c r="BU361" s="973"/>
      <c r="BV361" s="888"/>
      <c r="BW361" s="888"/>
    </row>
    <row r="362" spans="1:75" s="1334" customFormat="1" ht="14.25" customHeight="1" x14ac:dyDescent="0.15">
      <c r="A362" s="1184"/>
      <c r="B362" s="887"/>
      <c r="C362" s="1184"/>
      <c r="D362" s="1184"/>
      <c r="E362" s="626">
        <v>15</v>
      </c>
      <c r="F362" s="3" t="str" cm="1">
        <f t="array" aca="1" ref="F362" ca="1">OFFSET(E362,-1,1)</f>
        <v>2</v>
      </c>
      <c r="G362" s="1184"/>
      <c r="H362" s="294"/>
      <c r="I362" s="294" t="s">
        <v>1721</v>
      </c>
      <c r="J362" s="1184"/>
      <c r="K362" s="294" t="s">
        <v>1721</v>
      </c>
      <c r="L362" s="889"/>
      <c r="M362" s="26"/>
      <c r="N362" s="1184"/>
      <c r="O362" s="1184"/>
      <c r="P362" s="1184"/>
      <c r="Q362" s="77" t="s">
        <v>2200</v>
      </c>
      <c r="R362" s="80" t="s">
        <v>2200</v>
      </c>
      <c r="S362" s="1184"/>
      <c r="T362" s="388" t="b" cm="1">
        <f t="array" ref="T362">T361</f>
        <v>1</v>
      </c>
      <c r="U362" s="1184"/>
      <c r="V362" s="1184"/>
      <c r="W362" s="1184"/>
      <c r="X362" s="2032"/>
      <c r="Y362" s="1184"/>
      <c r="Z362" s="2012"/>
      <c r="AA362" s="1184"/>
      <c r="AB362" s="217" t="s">
        <v>1722</v>
      </c>
      <c r="AC362" s="682" t="s">
        <v>1981</v>
      </c>
      <c r="AD362" s="218" t="s">
        <v>831</v>
      </c>
      <c r="AE362" s="1568"/>
      <c r="AF362" s="1568"/>
      <c r="AG362" s="1568"/>
      <c r="AH362" s="855">
        <f t="shared" si="82"/>
        <v>0</v>
      </c>
      <c r="AI362" s="1563"/>
      <c r="AJ362" s="1560"/>
      <c r="AK362" s="854"/>
      <c r="AL362" s="854"/>
      <c r="AM362" s="854"/>
      <c r="AN362" s="854"/>
      <c r="AO362" s="854"/>
      <c r="AP362" s="854"/>
      <c r="AQ362" s="854"/>
      <c r="AR362" s="854"/>
      <c r="AS362" s="854"/>
      <c r="AT362" s="854"/>
      <c r="AU362" s="854"/>
      <c r="AV362" s="854"/>
      <c r="AW362" s="854"/>
      <c r="AX362" s="854"/>
      <c r="AY362" s="854"/>
      <c r="AZ362" s="854"/>
      <c r="BA362" s="854"/>
      <c r="BB362" s="854"/>
      <c r="BC362" s="854"/>
      <c r="BD362" s="854"/>
      <c r="BE362" s="854"/>
      <c r="BF362" s="854"/>
      <c r="BG362" s="854"/>
      <c r="BH362" s="854"/>
      <c r="BI362" s="854"/>
      <c r="BJ362" s="854"/>
      <c r="BK362" s="854"/>
      <c r="BL362" s="854"/>
      <c r="BM362" s="854"/>
      <c r="BN362" s="1574"/>
      <c r="BO362" s="1574"/>
      <c r="BP362" s="1574"/>
      <c r="BQ362" s="1184"/>
      <c r="BR362" s="1184"/>
      <c r="BS362" s="973" t="s">
        <v>1982</v>
      </c>
      <c r="BT362" s="973"/>
      <c r="BU362" s="973"/>
      <c r="BV362" s="888"/>
      <c r="BW362" s="888"/>
    </row>
    <row r="363" spans="1:75" s="1600" customFormat="1" ht="20.25" customHeight="1" x14ac:dyDescent="0.15">
      <c r="A363" s="623"/>
      <c r="B363" s="357"/>
      <c r="C363" s="623"/>
      <c r="D363" s="623"/>
      <c r="E363" s="630">
        <v>21</v>
      </c>
      <c r="F363" s="3" t="str" cm="1">
        <f t="array" aca="1" ref="F363" ca="1">OFFSET(E363,-1,1)</f>
        <v>2</v>
      </c>
      <c r="G363" s="623"/>
      <c r="H363" s="294"/>
      <c r="I363" s="294" t="s">
        <v>1725</v>
      </c>
      <c r="J363" s="623"/>
      <c r="K363" s="294" t="s">
        <v>1725</v>
      </c>
      <c r="L363" s="894"/>
      <c r="M363" s="28"/>
      <c r="N363" s="623"/>
      <c r="O363" s="623"/>
      <c r="P363" s="623"/>
      <c r="Q363" s="77" t="s">
        <v>2200</v>
      </c>
      <c r="R363" s="80" t="s">
        <v>2200</v>
      </c>
      <c r="S363" s="623"/>
      <c r="T363" s="388" t="b" cm="1">
        <f t="array" ref="T363">T362</f>
        <v>1</v>
      </c>
      <c r="U363" s="623"/>
      <c r="V363" s="623"/>
      <c r="W363" s="623"/>
      <c r="X363" s="2032"/>
      <c r="Y363" s="623"/>
      <c r="Z363" s="2012"/>
      <c r="AA363" s="623"/>
      <c r="AB363" s="137" t="s">
        <v>1726</v>
      </c>
      <c r="AC363" s="277" t="s">
        <v>1983</v>
      </c>
      <c r="AD363" s="130" t="s">
        <v>831</v>
      </c>
      <c r="AE363" s="690">
        <f>SUM(AE364:AE365)</f>
        <v>0</v>
      </c>
      <c r="AF363" s="690">
        <f>SUM(AF364:AF365)</f>
        <v>0</v>
      </c>
      <c r="AG363" s="690">
        <f>SUM(AG364:AG365)</f>
        <v>0</v>
      </c>
      <c r="AH363" s="681">
        <f t="shared" si="82"/>
        <v>0</v>
      </c>
      <c r="AI363" s="1565">
        <f>SUM(AI364:AI365)</f>
        <v>0</v>
      </c>
      <c r="AJ363" s="1560"/>
      <c r="AK363" s="684"/>
      <c r="AL363" s="684"/>
      <c r="AM363" s="684"/>
      <c r="AN363" s="684"/>
      <c r="AO363" s="684"/>
      <c r="AP363" s="684"/>
      <c r="AQ363" s="684"/>
      <c r="AR363" s="684"/>
      <c r="AS363" s="684"/>
      <c r="AT363" s="854"/>
      <c r="AU363" s="854"/>
      <c r="AV363" s="684"/>
      <c r="AW363" s="684"/>
      <c r="AX363" s="684"/>
      <c r="AY363" s="684"/>
      <c r="AZ363" s="684"/>
      <c r="BA363" s="684"/>
      <c r="BB363" s="684"/>
      <c r="BC363" s="684"/>
      <c r="BD363" s="684"/>
      <c r="BE363" s="684"/>
      <c r="BF363" s="684"/>
      <c r="BG363" s="684"/>
      <c r="BH363" s="684"/>
      <c r="BI363" s="684"/>
      <c r="BJ363" s="684"/>
      <c r="BK363" s="684"/>
      <c r="BL363" s="684"/>
      <c r="BM363" s="684"/>
      <c r="BN363" s="1575"/>
      <c r="BO363" s="1575"/>
      <c r="BP363" s="1575"/>
      <c r="BQ363" s="623"/>
      <c r="BR363" s="623"/>
      <c r="BS363" s="979" t="s">
        <v>1984</v>
      </c>
      <c r="BT363" s="979"/>
      <c r="BU363" s="979"/>
      <c r="BV363" s="630"/>
      <c r="BW363" s="630"/>
    </row>
    <row r="364" spans="1:75" s="1334" customFormat="1" ht="14.25" hidden="1" customHeight="1" x14ac:dyDescent="0.15">
      <c r="A364" s="1184"/>
      <c r="B364" s="887"/>
      <c r="C364" s="1184"/>
      <c r="D364" s="1184"/>
      <c r="E364" s="626">
        <v>15</v>
      </c>
      <c r="F364" s="3" t="str" cm="1">
        <f t="array" aca="1" ref="F364" ca="1">OFFSET(E364,-1,1)</f>
        <v>2</v>
      </c>
      <c r="G364" s="1184"/>
      <c r="H364" s="1184"/>
      <c r="I364" s="294" t="s">
        <v>1725</v>
      </c>
      <c r="J364" s="77" cm="1">
        <f t="array" ref="J364">AC364</f>
        <v>0</v>
      </c>
      <c r="K364" s="294" t="s">
        <v>1725</v>
      </c>
      <c r="L364" s="889"/>
      <c r="M364" s="26"/>
      <c r="N364" s="1184"/>
      <c r="O364" s="1184"/>
      <c r="P364" s="1184"/>
      <c r="Q364" s="77" t="s">
        <v>2200</v>
      </c>
      <c r="R364" s="80" t="s">
        <v>2200</v>
      </c>
      <c r="S364" s="1184"/>
      <c r="T364" s="388" t="b">
        <f ca="1">AND(F364&gt;0,Y364&gt;0)</f>
        <v>0</v>
      </c>
      <c r="U364" s="1184"/>
      <c r="V364" s="1184"/>
      <c r="W364" s="77" t="s">
        <v>172</v>
      </c>
      <c r="X364" s="2032"/>
      <c r="Y364" s="77">
        <v>0</v>
      </c>
      <c r="Z364" s="2012"/>
      <c r="AA364" s="342" t="s">
        <v>173</v>
      </c>
      <c r="AB364" s="218" t="str">
        <f>"1.7."&amp;Y364</f>
        <v>1.7.0</v>
      </c>
      <c r="AC364" s="1150"/>
      <c r="AD364" s="218" t="s">
        <v>831</v>
      </c>
      <c r="AE364" s="1162"/>
      <c r="AF364" s="1162"/>
      <c r="AG364" s="1162"/>
      <c r="AH364" s="177">
        <f t="shared" si="82"/>
        <v>0</v>
      </c>
      <c r="AI364" s="1566"/>
      <c r="AJ364" s="1567"/>
      <c r="AK364" s="857"/>
      <c r="AL364" s="857"/>
      <c r="AM364" s="857"/>
      <c r="AN364" s="857"/>
      <c r="AO364" s="857"/>
      <c r="AP364" s="857"/>
      <c r="AQ364" s="857"/>
      <c r="AR364" s="857"/>
      <c r="AS364" s="857"/>
      <c r="AT364" s="854"/>
      <c r="AU364" s="857"/>
      <c r="AV364" s="857"/>
      <c r="AW364" s="857"/>
      <c r="AX364" s="857"/>
      <c r="AY364" s="857"/>
      <c r="AZ364" s="857"/>
      <c r="BA364" s="857"/>
      <c r="BB364" s="857"/>
      <c r="BC364" s="857"/>
      <c r="BD364" s="684"/>
      <c r="BE364" s="857"/>
      <c r="BF364" s="857"/>
      <c r="BG364" s="857"/>
      <c r="BH364" s="857"/>
      <c r="BI364" s="857"/>
      <c r="BJ364" s="857"/>
      <c r="BK364" s="857"/>
      <c r="BL364" s="857"/>
      <c r="BM364" s="857"/>
      <c r="BN364" s="1163"/>
      <c r="BO364" s="1163"/>
      <c r="BP364" s="1163"/>
      <c r="BQ364" s="1184"/>
      <c r="BR364" s="1184"/>
      <c r="BS364" s="973" t="s">
        <v>1984</v>
      </c>
      <c r="BT364" s="973" t="s">
        <v>1985</v>
      </c>
      <c r="BU364" s="973" cm="1">
        <f t="array" ref="BU364">AC364</f>
        <v>0</v>
      </c>
      <c r="BV364" s="888"/>
      <c r="BW364" s="626" t="b">
        <v>1</v>
      </c>
    </row>
    <row r="365" spans="1:75" s="1334" customFormat="1" ht="14.25" customHeight="1" x14ac:dyDescent="0.15">
      <c r="A365" s="1184"/>
      <c r="B365" s="887"/>
      <c r="C365" s="1184"/>
      <c r="D365" s="1184"/>
      <c r="E365" s="626">
        <v>15</v>
      </c>
      <c r="F365" s="3" t="str" cm="1">
        <f t="array" aca="1" ref="F365" ca="1">OFFSET(E365,-1,1)</f>
        <v>2</v>
      </c>
      <c r="G365" s="280"/>
      <c r="H365" s="1184"/>
      <c r="I365" s="1184"/>
      <c r="J365" s="77" t="s">
        <v>1986</v>
      </c>
      <c r="K365" s="1184"/>
      <c r="L365" s="889"/>
      <c r="M365" s="26"/>
      <c r="N365" s="1184"/>
      <c r="O365" s="1184"/>
      <c r="P365" s="1184"/>
      <c r="Q365" s="1184"/>
      <c r="R365" s="1184"/>
      <c r="S365" s="1184"/>
      <c r="T365" s="388" t="b">
        <f ca="1">F365&gt;0</f>
        <v>1</v>
      </c>
      <c r="U365" s="1184"/>
      <c r="V365" s="1184"/>
      <c r="W365" s="625" t="s">
        <v>2201</v>
      </c>
      <c r="X365" s="2032"/>
      <c r="Y365" s="1184"/>
      <c r="Z365" s="2012"/>
      <c r="AA365" s="1184"/>
      <c r="AB365" s="695"/>
      <c r="AC365" s="178" t="s">
        <v>176</v>
      </c>
      <c r="AD365" s="696"/>
      <c r="AE365" s="696"/>
      <c r="AF365" s="696"/>
      <c r="AG365" s="696"/>
      <c r="AH365" s="696"/>
      <c r="AI365" s="696"/>
      <c r="AJ365" s="696"/>
      <c r="AK365" s="696"/>
      <c r="AL365" s="696"/>
      <c r="AM365" s="696"/>
      <c r="AN365" s="696"/>
      <c r="AO365" s="696"/>
      <c r="AP365" s="696"/>
      <c r="AQ365" s="696"/>
      <c r="AR365" s="696"/>
      <c r="AS365" s="696"/>
      <c r="AT365" s="696"/>
      <c r="AU365" s="696"/>
      <c r="AV365" s="696"/>
      <c r="AW365" s="696"/>
      <c r="AX365" s="696"/>
      <c r="AY365" s="696"/>
      <c r="AZ365" s="696"/>
      <c r="BA365" s="696"/>
      <c r="BB365" s="696"/>
      <c r="BC365" s="696"/>
      <c r="BD365" s="696"/>
      <c r="BE365" s="696"/>
      <c r="BF365" s="696"/>
      <c r="BG365" s="696"/>
      <c r="BH365" s="696"/>
      <c r="BI365" s="696"/>
      <c r="BJ365" s="696"/>
      <c r="BK365" s="696"/>
      <c r="BL365" s="696"/>
      <c r="BM365" s="696"/>
      <c r="BN365" s="696"/>
      <c r="BO365" s="696"/>
      <c r="BP365" s="697"/>
      <c r="BQ365" s="1184"/>
      <c r="BR365" s="1184"/>
      <c r="BS365" s="973"/>
      <c r="BT365" s="973"/>
      <c r="BU365" s="973"/>
      <c r="BV365" s="626" t="s">
        <v>1985</v>
      </c>
      <c r="BW365" s="888"/>
    </row>
    <row r="366" spans="1:75" s="1601" customFormat="1" ht="23.25" customHeight="1" x14ac:dyDescent="0.15">
      <c r="A366" s="623"/>
      <c r="B366" s="357"/>
      <c r="C366" s="623"/>
      <c r="D366" s="623"/>
      <c r="E366" s="630">
        <v>21</v>
      </c>
      <c r="F366" s="3" t="str" cm="1">
        <f t="array" aca="1" ref="F366" ca="1">OFFSET(E366,-1,1)</f>
        <v>2</v>
      </c>
      <c r="G366" s="623"/>
      <c r="H366" s="77"/>
      <c r="I366" s="77" t="s">
        <v>332</v>
      </c>
      <c r="J366" s="623"/>
      <c r="K366" s="77" t="s">
        <v>332</v>
      </c>
      <c r="L366" s="894"/>
      <c r="M366" s="28"/>
      <c r="N366" s="623"/>
      <c r="O366" s="623"/>
      <c r="P366" s="623"/>
      <c r="Q366" s="623"/>
      <c r="R366" s="623"/>
      <c r="S366" s="623"/>
      <c r="T366" s="388" t="b" cm="1">
        <f t="array" aca="1" ref="T366" ca="1">T365</f>
        <v>1</v>
      </c>
      <c r="U366" s="623"/>
      <c r="V366" s="623"/>
      <c r="W366" s="623"/>
      <c r="X366" s="2032"/>
      <c r="Y366" s="623"/>
      <c r="Z366" s="2012"/>
      <c r="AA366" s="623"/>
      <c r="AB366" s="166" t="s">
        <v>289</v>
      </c>
      <c r="AC366" s="131" t="s">
        <v>1987</v>
      </c>
      <c r="AD366" s="153" t="s">
        <v>831</v>
      </c>
      <c r="AE366" s="132">
        <f ca="1">AE367+AE379+AE380++AE391+AE392+AE393+AE395+AE396+AE397+AE398+AE401</f>
        <v>2847.101523974</v>
      </c>
      <c r="AF366" s="132">
        <f ca="1">AF367+AF379+AF380++AF391+AF392+AF393+AF395+AF396+AF397+AF398+AF401</f>
        <v>2310.81</v>
      </c>
      <c r="AG366" s="132">
        <f ca="1">AG367+AG379+AG380++AG391+AG392+AG393+AG395+AG396+AG397+AG398+AG401</f>
        <v>2130.2599999999998</v>
      </c>
      <c r="AH366" s="681">
        <f t="shared" ref="AH366:AH411" ca="1" si="83">AG366-AF366</f>
        <v>-180.55000000000018</v>
      </c>
      <c r="AI366" s="690">
        <f t="shared" ref="AI366:BC366" ca="1" si="84">AI367+AI379+AI380++AI391+AI392+AI393+AI395+AI396+AI397+AI398+AI401</f>
        <v>3070.4665707653003</v>
      </c>
      <c r="AJ366" s="690">
        <f t="shared" ca="1" si="84"/>
        <v>5107.2800000000007</v>
      </c>
      <c r="AK366" s="690">
        <f t="shared" ca="1" si="84"/>
        <v>0</v>
      </c>
      <c r="AL366" s="690">
        <f t="shared" ca="1" si="84"/>
        <v>0</v>
      </c>
      <c r="AM366" s="690">
        <f t="shared" ca="1" si="84"/>
        <v>0</v>
      </c>
      <c r="AN366" s="690">
        <f t="shared" ca="1" si="84"/>
        <v>0</v>
      </c>
      <c r="AO366" s="690">
        <f t="shared" ca="1" si="84"/>
        <v>0</v>
      </c>
      <c r="AP366" s="690">
        <f t="shared" ca="1" si="84"/>
        <v>0</v>
      </c>
      <c r="AQ366" s="690">
        <f t="shared" ca="1" si="84"/>
        <v>0</v>
      </c>
      <c r="AR366" s="690">
        <f t="shared" ca="1" si="84"/>
        <v>0</v>
      </c>
      <c r="AS366" s="690">
        <f t="shared" ca="1" si="84"/>
        <v>0</v>
      </c>
      <c r="AT366" s="690">
        <f t="shared" ca="1" si="84"/>
        <v>2447.98</v>
      </c>
      <c r="AU366" s="690">
        <f t="shared" ca="1" si="84"/>
        <v>0</v>
      </c>
      <c r="AV366" s="690">
        <f t="shared" ca="1" si="84"/>
        <v>0</v>
      </c>
      <c r="AW366" s="690">
        <f t="shared" ca="1" si="84"/>
        <v>0</v>
      </c>
      <c r="AX366" s="690">
        <f t="shared" ca="1" si="84"/>
        <v>0</v>
      </c>
      <c r="AY366" s="690">
        <f t="shared" ca="1" si="84"/>
        <v>0</v>
      </c>
      <c r="AZ366" s="690">
        <f t="shared" ca="1" si="84"/>
        <v>0</v>
      </c>
      <c r="BA366" s="690">
        <f t="shared" ca="1" si="84"/>
        <v>0</v>
      </c>
      <c r="BB366" s="690">
        <f t="shared" ca="1" si="84"/>
        <v>0</v>
      </c>
      <c r="BC366" s="690">
        <f t="shared" ca="1" si="84"/>
        <v>0</v>
      </c>
      <c r="BD366" s="681">
        <f t="shared" ref="BD366:BD411" ca="1" si="85">IF(AI366=0,0,(AT366-AI366)/AI366*100)</f>
        <v>-20.273354437144977</v>
      </c>
      <c r="BE366" s="681">
        <f t="shared" ref="BE366:BE411" ca="1" si="86">IF(AT366=0,0,(AU366-AT366)/AT366*100)</f>
        <v>-100</v>
      </c>
      <c r="BF366" s="681">
        <f t="shared" ref="BF366:BF411" ca="1" si="87">IF(AU366=0,0,(AV366-AU366)/AU366*100)</f>
        <v>0</v>
      </c>
      <c r="BG366" s="681">
        <f t="shared" ref="BG366:BG411" ca="1" si="88">IF(AV366=0,0,(AW366-AV366)/AV366*100)</f>
        <v>0</v>
      </c>
      <c r="BH366" s="681">
        <f t="shared" ref="BH366:BH411" ca="1" si="89">IF(AW366=0,0,(AX366-AW366)/AW366*100)</f>
        <v>0</v>
      </c>
      <c r="BI366" s="681">
        <f t="shared" ref="BI366:BI411" ca="1" si="90">IF(AX366=0,0,(AY366-AX366)/AX366*100)</f>
        <v>0</v>
      </c>
      <c r="BJ366" s="681">
        <f t="shared" ref="BJ366:BJ411" ca="1" si="91">IF(AY366=0,0,(AZ366-AY366)/AY366*100)</f>
        <v>0</v>
      </c>
      <c r="BK366" s="681">
        <f t="shared" ref="BK366:BK411" ca="1" si="92">IF(AZ366=0,0,(BA366-AZ366)/AZ366*100)</f>
        <v>0</v>
      </c>
      <c r="BL366" s="681">
        <f t="shared" ref="BL366:BL411" ca="1" si="93">IF(BA366=0,0,(BB366-BA366)/BA366*100)</f>
        <v>0</v>
      </c>
      <c r="BM366" s="681">
        <f t="shared" ref="BM366:BM411" ca="1" si="94">IF(BB366=0,0,(BC366-BB366)/BB366*100)</f>
        <v>0</v>
      </c>
      <c r="BN366" s="1581"/>
      <c r="BO366" s="1581" t="s">
        <v>2222</v>
      </c>
      <c r="BP366" s="1581"/>
      <c r="BQ366" s="79"/>
      <c r="BR366" s="623"/>
      <c r="BS366" s="979" t="s">
        <v>1988</v>
      </c>
      <c r="BT366" s="979"/>
      <c r="BU366" s="979"/>
      <c r="BV366" s="630"/>
      <c r="BW366" s="630"/>
    </row>
    <row r="367" spans="1:75" s="1602" customFormat="1" ht="21.75" customHeight="1" x14ac:dyDescent="0.15">
      <c r="A367" s="623"/>
      <c r="B367" s="357"/>
      <c r="C367" s="623"/>
      <c r="D367" s="623"/>
      <c r="E367" s="630">
        <v>22.5</v>
      </c>
      <c r="F367" s="3" t="str" cm="1">
        <f t="array" aca="1" ref="F367" ca="1">OFFSET(E367,-1,1)</f>
        <v>2</v>
      </c>
      <c r="G367" s="623"/>
      <c r="H367" s="77"/>
      <c r="I367" s="77" t="s">
        <v>512</v>
      </c>
      <c r="J367" s="623"/>
      <c r="K367" s="77" t="s">
        <v>512</v>
      </c>
      <c r="L367" s="894" t="s">
        <v>498</v>
      </c>
      <c r="M367" s="28"/>
      <c r="N367" s="623"/>
      <c r="O367" s="623"/>
      <c r="P367" s="623"/>
      <c r="Q367" s="623"/>
      <c r="R367" s="623"/>
      <c r="S367" s="623"/>
      <c r="T367" s="388" t="b" cm="1">
        <f t="array" aca="1" ref="T367" ca="1">T366</f>
        <v>1</v>
      </c>
      <c r="U367" s="623"/>
      <c r="V367" s="623"/>
      <c r="W367" s="623"/>
      <c r="X367" s="2032"/>
      <c r="Y367" s="623"/>
      <c r="Z367" s="2012"/>
      <c r="AA367" s="623"/>
      <c r="AB367" s="137" t="s">
        <v>566</v>
      </c>
      <c r="AC367" s="277" t="s">
        <v>1989</v>
      </c>
      <c r="AD367" s="130" t="s">
        <v>831</v>
      </c>
      <c r="AE367" s="132">
        <f ca="1">SUM(AE368:AE378)</f>
        <v>826.16</v>
      </c>
      <c r="AF367" s="132">
        <f ca="1">SUM(AF368:AF378)</f>
        <v>629.13</v>
      </c>
      <c r="AG367" s="132">
        <f ca="1">SUM(AG368:AG378)</f>
        <v>538.28</v>
      </c>
      <c r="AH367" s="681">
        <f t="shared" ca="1" si="83"/>
        <v>-90.850000000000023</v>
      </c>
      <c r="AI367" s="132">
        <f t="shared" ref="AI367:BC367" ca="1" si="95">SUM(AI368:AI378)</f>
        <v>866.64184</v>
      </c>
      <c r="AJ367" s="132">
        <f t="shared" ca="1" si="95"/>
        <v>1600.65</v>
      </c>
      <c r="AK367" s="132">
        <f t="shared" ca="1" si="95"/>
        <v>0</v>
      </c>
      <c r="AL367" s="132">
        <f t="shared" ca="1" si="95"/>
        <v>0</v>
      </c>
      <c r="AM367" s="132">
        <f t="shared" ca="1" si="95"/>
        <v>0</v>
      </c>
      <c r="AN367" s="132">
        <f t="shared" ca="1" si="95"/>
        <v>0</v>
      </c>
      <c r="AO367" s="132">
        <f t="shared" ca="1" si="95"/>
        <v>0</v>
      </c>
      <c r="AP367" s="132">
        <f t="shared" ca="1" si="95"/>
        <v>0</v>
      </c>
      <c r="AQ367" s="132">
        <f t="shared" ca="1" si="95"/>
        <v>0</v>
      </c>
      <c r="AR367" s="132">
        <f t="shared" ca="1" si="95"/>
        <v>0</v>
      </c>
      <c r="AS367" s="132">
        <f t="shared" ca="1" si="95"/>
        <v>0</v>
      </c>
      <c r="AT367" s="132">
        <f t="shared" ca="1" si="95"/>
        <v>695.96</v>
      </c>
      <c r="AU367" s="132">
        <f t="shared" ca="1" si="95"/>
        <v>0</v>
      </c>
      <c r="AV367" s="132">
        <f t="shared" ca="1" si="95"/>
        <v>0</v>
      </c>
      <c r="AW367" s="132">
        <f t="shared" ca="1" si="95"/>
        <v>0</v>
      </c>
      <c r="AX367" s="132">
        <f t="shared" ca="1" si="95"/>
        <v>0</v>
      </c>
      <c r="AY367" s="132">
        <f t="shared" ca="1" si="95"/>
        <v>0</v>
      </c>
      <c r="AZ367" s="132">
        <f t="shared" ca="1" si="95"/>
        <v>0</v>
      </c>
      <c r="BA367" s="132">
        <f t="shared" ca="1" si="95"/>
        <v>0</v>
      </c>
      <c r="BB367" s="132">
        <f t="shared" ca="1" si="95"/>
        <v>0</v>
      </c>
      <c r="BC367" s="132">
        <f t="shared" ca="1" si="95"/>
        <v>0</v>
      </c>
      <c r="BD367" s="681">
        <f t="shared" ca="1" si="85"/>
        <v>-19.69462263672845</v>
      </c>
      <c r="BE367" s="681">
        <f t="shared" ca="1" si="86"/>
        <v>-100</v>
      </c>
      <c r="BF367" s="681">
        <f t="shared" ca="1" si="87"/>
        <v>0</v>
      </c>
      <c r="BG367" s="681">
        <f t="shared" ca="1" si="88"/>
        <v>0</v>
      </c>
      <c r="BH367" s="681">
        <f t="shared" ca="1" si="89"/>
        <v>0</v>
      </c>
      <c r="BI367" s="681">
        <f t="shared" ca="1" si="90"/>
        <v>0</v>
      </c>
      <c r="BJ367" s="681">
        <f t="shared" ca="1" si="91"/>
        <v>0</v>
      </c>
      <c r="BK367" s="681">
        <f t="shared" ca="1" si="92"/>
        <v>0</v>
      </c>
      <c r="BL367" s="681">
        <f t="shared" ca="1" si="93"/>
        <v>0</v>
      </c>
      <c r="BM367" s="681">
        <f t="shared" ca="1" si="94"/>
        <v>0</v>
      </c>
      <c r="BN367" s="1524"/>
      <c r="BO367" s="1524"/>
      <c r="BP367" s="1524" t="s">
        <v>2223</v>
      </c>
      <c r="BQ367" s="623"/>
      <c r="BR367" s="623"/>
      <c r="BS367" s="979" t="s">
        <v>1990</v>
      </c>
      <c r="BT367" s="979"/>
      <c r="BU367" s="979"/>
      <c r="BV367" s="630"/>
      <c r="BW367" s="630"/>
    </row>
    <row r="368" spans="1:75" s="1334" customFormat="1" ht="25.35" customHeight="1" x14ac:dyDescent="0.15">
      <c r="A368" s="1184"/>
      <c r="B368" s="887"/>
      <c r="C368" s="1184"/>
      <c r="D368" s="1184"/>
      <c r="E368" s="626">
        <v>15</v>
      </c>
      <c r="F368" s="3" t="str" cm="1">
        <f t="array" aca="1" ref="F368" ca="1">OFFSET(E368,-1,1)</f>
        <v>2</v>
      </c>
      <c r="G368" s="77" t="s">
        <v>1092</v>
      </c>
      <c r="H368" s="1184"/>
      <c r="I368" s="77" t="s">
        <v>1529</v>
      </c>
      <c r="J368" s="1184"/>
      <c r="K368" s="77" t="s">
        <v>1529</v>
      </c>
      <c r="L368" s="889" t="s">
        <v>1304</v>
      </c>
      <c r="M368" s="26"/>
      <c r="N368" s="1184"/>
      <c r="O368" s="1184"/>
      <c r="P368" s="1184"/>
      <c r="Q368" s="1184"/>
      <c r="R368" s="1184"/>
      <c r="S368" s="1184"/>
      <c r="T368" s="388" t="b" cm="1">
        <f t="array" aca="1" ref="T368" ca="1">T367</f>
        <v>1</v>
      </c>
      <c r="U368" s="1184"/>
      <c r="V368" s="1184"/>
      <c r="W368" s="1184"/>
      <c r="X368" s="2032"/>
      <c r="Y368" s="1184"/>
      <c r="Z368" s="2012"/>
      <c r="AA368" s="1184"/>
      <c r="AB368" s="217" t="s">
        <v>520</v>
      </c>
      <c r="AC368" s="685" t="s">
        <v>1991</v>
      </c>
      <c r="AD368" s="218" t="s">
        <v>831</v>
      </c>
      <c r="AE368" s="177">
        <f ca="1">SUMIFS(Покупка!AE$25:AE$117,Покупка!$F$25:$F$117,$F368,Покупка!$AC$25:$AC$117,$G368)</f>
        <v>826.16</v>
      </c>
      <c r="AF368" s="177">
        <f ca="1">SUMIFS(Покупка!AF$25:AF$117,Покупка!$F$25:$F$117,$F368,Покупка!$AC$25:$AC$117,$G368)</f>
        <v>629.13</v>
      </c>
      <c r="AG368" s="177">
        <f ca="1">SUMIFS(Покупка!AG$25:AG$117,Покупка!$F$25:$F$117,$F368,Покупка!$AC$25:$AC$117,$G368)</f>
        <v>538.28</v>
      </c>
      <c r="AH368" s="855">
        <f t="shared" ca="1" si="83"/>
        <v>-90.850000000000023</v>
      </c>
      <c r="AI368" s="855">
        <f ca="1">SUMIFS(Покупка!AH$25:AH$117,Покупка!$F$25:$F$117,$F368,Покупка!$AC$25:$AC$117,$G368)</f>
        <v>866.64184</v>
      </c>
      <c r="AJ368" s="855">
        <f ca="1">SUMIFS(Покупка!AI$25:AI$117,Покупка!$F$25:$F$117,$F368,Покупка!$AC$25:$AC$117,$G368)</f>
        <v>1600.65</v>
      </c>
      <c r="AK368" s="855">
        <f ca="1">SUMIFS(Покупка!AJ$25:AJ$117,Покупка!$F$25:$F$117,$F368,Покупка!$AC$25:$AC$117,$G368)</f>
        <v>0</v>
      </c>
      <c r="AL368" s="855">
        <f ca="1">SUMIFS(Покупка!AK$25:AK$117,Покупка!$F$25:$F$117,$F368,Покупка!$AC$25:$AC$117,$G368)</f>
        <v>0</v>
      </c>
      <c r="AM368" s="855">
        <f ca="1">SUMIFS(Покупка!AL$25:AL$117,Покупка!$F$25:$F$117,$F368,Покупка!$AC$25:$AC$117,$G368)</f>
        <v>0</v>
      </c>
      <c r="AN368" s="855">
        <f ca="1">SUMIFS(Покупка!AM$25:AM$117,Покупка!$F$25:$F$117,$F368,Покупка!$AC$25:$AC$117,$G368)</f>
        <v>0</v>
      </c>
      <c r="AO368" s="855">
        <f ca="1">SUMIFS(Покупка!AN$25:AN$117,Покупка!$F$25:$F$117,$F368,Покупка!$AC$25:$AC$117,$G368)</f>
        <v>0</v>
      </c>
      <c r="AP368" s="855">
        <f ca="1">SUMIFS(Покупка!AO$25:AO$117,Покупка!$F$25:$F$117,$F368,Покупка!$AC$25:$AC$117,$G368)</f>
        <v>0</v>
      </c>
      <c r="AQ368" s="855">
        <f ca="1">SUMIFS(Покупка!AP$25:AP$117,Покупка!$F$25:$F$117,$F368,Покупка!$AC$25:$AC$117,$G368)</f>
        <v>0</v>
      </c>
      <c r="AR368" s="855">
        <f ca="1">SUMIFS(Покупка!AQ$25:AQ$117,Покупка!$F$25:$F$117,$F368,Покупка!$AC$25:$AC$117,$G368)</f>
        <v>0</v>
      </c>
      <c r="AS368" s="855">
        <f ca="1">SUMIFS(Покупка!AR$25:AR$117,Покупка!$F$25:$F$117,$F368,Покупка!$AC$25:$AC$117,$G368)</f>
        <v>0</v>
      </c>
      <c r="AT368" s="855">
        <f ca="1">SUMIFS(Покупка!AS$25:AS$117,Покупка!$F$25:$F$117,$F368,Покупка!$AC$25:$AC$117,$G368)</f>
        <v>695.96</v>
      </c>
      <c r="AU368" s="855">
        <f ca="1">SUMIFS(Покупка!AT$25:AT$117,Покупка!$F$25:$F$117,$F368,Покупка!$AC$25:$AC$117,$G368)</f>
        <v>0</v>
      </c>
      <c r="AV368" s="855">
        <f ca="1">SUMIFS(Покупка!AU$25:AU$117,Покупка!$F$25:$F$117,$F368,Покупка!$AC$25:$AC$117,$G368)</f>
        <v>0</v>
      </c>
      <c r="AW368" s="855">
        <f ca="1">SUMIFS(Покупка!AV$25:AV$117,Покупка!$F$25:$F$117,$F368,Покупка!$AC$25:$AC$117,$G368)</f>
        <v>0</v>
      </c>
      <c r="AX368" s="855">
        <f ca="1">SUMIFS(Покупка!AW$25:AW$117,Покупка!$F$25:$F$117,$F368,Покупка!$AC$25:$AC$117,$G368)</f>
        <v>0</v>
      </c>
      <c r="AY368" s="855">
        <f ca="1">SUMIFS(Покупка!AX$25:AX$117,Покупка!$F$25:$F$117,$F368,Покупка!$AC$25:$AC$117,$G368)</f>
        <v>0</v>
      </c>
      <c r="AZ368" s="855">
        <f ca="1">SUMIFS(Покупка!AY$25:AY$117,Покупка!$F$25:$F$117,$F368,Покупка!$AC$25:$AC$117,$G368)</f>
        <v>0</v>
      </c>
      <c r="BA368" s="855">
        <f ca="1">SUMIFS(Покупка!AZ$25:AZ$117,Покупка!$F$25:$F$117,$F368,Покупка!$AC$25:$AC$117,$G368)</f>
        <v>0</v>
      </c>
      <c r="BB368" s="855">
        <f ca="1">SUMIFS(Покупка!BA$25:BA$117,Покупка!$F$25:$F$117,$F368,Покупка!$AC$25:$AC$117,$G368)</f>
        <v>0</v>
      </c>
      <c r="BC368" s="855">
        <f ca="1">SUMIFS(Покупка!BB$25:BB$117,Покупка!$F$25:$F$117,$F368,Покупка!$AC$25:$AC$117,$G368)</f>
        <v>0</v>
      </c>
      <c r="BD368" s="855">
        <f t="shared" ca="1" si="85"/>
        <v>-19.69462263672845</v>
      </c>
      <c r="BE368" s="855">
        <f t="shared" ca="1" si="86"/>
        <v>-100</v>
      </c>
      <c r="BF368" s="855">
        <f t="shared" ca="1" si="87"/>
        <v>0</v>
      </c>
      <c r="BG368" s="855">
        <f t="shared" ca="1" si="88"/>
        <v>0</v>
      </c>
      <c r="BH368" s="855">
        <f t="shared" ca="1" si="89"/>
        <v>0</v>
      </c>
      <c r="BI368" s="855">
        <f t="shared" ca="1" si="90"/>
        <v>0</v>
      </c>
      <c r="BJ368" s="855">
        <f t="shared" ca="1" si="91"/>
        <v>0</v>
      </c>
      <c r="BK368" s="855">
        <f t="shared" ca="1" si="92"/>
        <v>0</v>
      </c>
      <c r="BL368" s="855">
        <f t="shared" ca="1" si="93"/>
        <v>0</v>
      </c>
      <c r="BM368" s="855">
        <f t="shared" ca="1" si="94"/>
        <v>0</v>
      </c>
      <c r="BN368" s="1581"/>
      <c r="BO368" s="1576"/>
      <c r="BP368" s="1581"/>
      <c r="BQ368" s="1184"/>
      <c r="BR368" s="1184"/>
      <c r="BS368" s="973" t="s">
        <v>1093</v>
      </c>
      <c r="BT368" s="973"/>
      <c r="BU368" s="973"/>
      <c r="BV368" s="888"/>
      <c r="BW368" s="888"/>
    </row>
    <row r="369" spans="1:75" s="1334" customFormat="1" ht="14.25" customHeight="1" x14ac:dyDescent="0.15">
      <c r="A369" s="1184"/>
      <c r="B369" s="15"/>
      <c r="C369" s="26"/>
      <c r="D369" s="26"/>
      <c r="E369" s="545">
        <v>15</v>
      </c>
      <c r="F369" s="3" t="str" cm="1">
        <f t="array" aca="1" ref="F369" ca="1">OFFSET(E369,-1,1)</f>
        <v>2</v>
      </c>
      <c r="G369" s="26" t="s">
        <v>1094</v>
      </c>
      <c r="H369" s="26"/>
      <c r="I369" s="26" t="s">
        <v>1533</v>
      </c>
      <c r="J369" s="26"/>
      <c r="K369" s="26" t="s">
        <v>1533</v>
      </c>
      <c r="L369" s="889" t="s">
        <v>1308</v>
      </c>
      <c r="M369" s="26"/>
      <c r="N369" s="26"/>
      <c r="O369" s="26"/>
      <c r="P369" s="26"/>
      <c r="Q369" s="26"/>
      <c r="R369" s="26"/>
      <c r="S369" s="26"/>
      <c r="T369" s="388" t="b" cm="1">
        <f t="array" aca="1" ref="T369" ca="1">T368</f>
        <v>1</v>
      </c>
      <c r="U369" s="26"/>
      <c r="V369" s="26"/>
      <c r="W369" s="1184"/>
      <c r="X369" s="2032"/>
      <c r="Y369" s="1184"/>
      <c r="Z369" s="2012"/>
      <c r="AA369" s="1184"/>
      <c r="AB369" s="217" t="s">
        <v>1992</v>
      </c>
      <c r="AC369" s="685" t="s">
        <v>1993</v>
      </c>
      <c r="AD369" s="218" t="s">
        <v>831</v>
      </c>
      <c r="AE369" s="177">
        <f ca="1">SUMIFS(Покупка!AE$25:AE$117,Покупка!$F$25:$F$117,$F369,Покупка!$AC$25:$AC$117,$G369)</f>
        <v>0</v>
      </c>
      <c r="AF369" s="177">
        <f ca="1">SUMIFS(Покупка!AF$25:AF$117,Покупка!$F$25:$F$117,$F369,Покупка!$AC$25:$AC$117,$G369)</f>
        <v>0</v>
      </c>
      <c r="AG369" s="177">
        <f ca="1">SUMIFS(Покупка!AG$25:AG$117,Покупка!$F$25:$F$117,$F369,Покупка!$AC$25:$AC$117,$G369)</f>
        <v>0</v>
      </c>
      <c r="AH369" s="855">
        <f t="shared" ca="1" si="83"/>
        <v>0</v>
      </c>
      <c r="AI369" s="855">
        <f ca="1">SUMIFS(Покупка!AH$25:AH$117,Покупка!$F$25:$F$117,$F369,Покупка!$AC$25:$AC$117,$G369)</f>
        <v>0</v>
      </c>
      <c r="AJ369" s="855">
        <f ca="1">SUMIFS(Покупка!AI$25:AI$117,Покупка!$F$25:$F$117,$F369,Покупка!$AC$25:$AC$117,$G369)</f>
        <v>0</v>
      </c>
      <c r="AK369" s="855">
        <f ca="1">SUMIFS(Покупка!AJ$25:AJ$117,Покупка!$F$25:$F$117,$F369,Покупка!$AC$25:$AC$117,$G369)</f>
        <v>0</v>
      </c>
      <c r="AL369" s="855">
        <f ca="1">SUMIFS(Покупка!AK$25:AK$117,Покупка!$F$25:$F$117,$F369,Покупка!$AC$25:$AC$117,$G369)</f>
        <v>0</v>
      </c>
      <c r="AM369" s="855">
        <f ca="1">SUMIFS(Покупка!AL$25:AL$117,Покупка!$F$25:$F$117,$F369,Покупка!$AC$25:$AC$117,$G369)</f>
        <v>0</v>
      </c>
      <c r="AN369" s="855">
        <f ca="1">SUMIFS(Покупка!AM$25:AM$117,Покупка!$F$25:$F$117,$F369,Покупка!$AC$25:$AC$117,$G369)</f>
        <v>0</v>
      </c>
      <c r="AO369" s="855">
        <f ca="1">SUMIFS(Покупка!AN$25:AN$117,Покупка!$F$25:$F$117,$F369,Покупка!$AC$25:$AC$117,$G369)</f>
        <v>0</v>
      </c>
      <c r="AP369" s="855">
        <f ca="1">SUMIFS(Покупка!AO$25:AO$117,Покупка!$F$25:$F$117,$F369,Покупка!$AC$25:$AC$117,$G369)</f>
        <v>0</v>
      </c>
      <c r="AQ369" s="855">
        <f ca="1">SUMIFS(Покупка!AP$25:AP$117,Покупка!$F$25:$F$117,$F369,Покупка!$AC$25:$AC$117,$G369)</f>
        <v>0</v>
      </c>
      <c r="AR369" s="855">
        <f ca="1">SUMIFS(Покупка!AQ$25:AQ$117,Покупка!$F$25:$F$117,$F369,Покупка!$AC$25:$AC$117,$G369)</f>
        <v>0</v>
      </c>
      <c r="AS369" s="855">
        <f ca="1">SUMIFS(Покупка!AR$25:AR$117,Покупка!$F$25:$F$117,$F369,Покупка!$AC$25:$AC$117,$G369)</f>
        <v>0</v>
      </c>
      <c r="AT369" s="855">
        <f ca="1">SUMIFS(Покупка!AS$25:AS$117,Покупка!$F$25:$F$117,$F369,Покупка!$AC$25:$AC$117,$G369)</f>
        <v>0</v>
      </c>
      <c r="AU369" s="855">
        <f ca="1">SUMIFS(Покупка!AT$25:AT$117,Покупка!$F$25:$F$117,$F369,Покупка!$AC$25:$AC$117,$G369)</f>
        <v>0</v>
      </c>
      <c r="AV369" s="855">
        <f ca="1">SUMIFS(Покупка!AU$25:AU$117,Покупка!$F$25:$F$117,$F369,Покупка!$AC$25:$AC$117,$G369)</f>
        <v>0</v>
      </c>
      <c r="AW369" s="855">
        <f ca="1">SUMIFS(Покупка!AV$25:AV$117,Покупка!$F$25:$F$117,$F369,Покупка!$AC$25:$AC$117,$G369)</f>
        <v>0</v>
      </c>
      <c r="AX369" s="855">
        <f ca="1">SUMIFS(Покупка!AW$25:AW$117,Покупка!$F$25:$F$117,$F369,Покупка!$AC$25:$AC$117,$G369)</f>
        <v>0</v>
      </c>
      <c r="AY369" s="855">
        <f ca="1">SUMIFS(Покупка!AX$25:AX$117,Покупка!$F$25:$F$117,$F369,Покупка!$AC$25:$AC$117,$G369)</f>
        <v>0</v>
      </c>
      <c r="AZ369" s="855">
        <f ca="1">SUMIFS(Покупка!AY$25:AY$117,Покупка!$F$25:$F$117,$F369,Покупка!$AC$25:$AC$117,$G369)</f>
        <v>0</v>
      </c>
      <c r="BA369" s="855">
        <f ca="1">SUMIFS(Покупка!AZ$25:AZ$117,Покупка!$F$25:$F$117,$F369,Покупка!$AC$25:$AC$117,$G369)</f>
        <v>0</v>
      </c>
      <c r="BB369" s="855">
        <f ca="1">SUMIFS(Покупка!BA$25:BA$117,Покупка!$F$25:$F$117,$F369,Покупка!$AC$25:$AC$117,$G369)</f>
        <v>0</v>
      </c>
      <c r="BC369" s="855">
        <f ca="1">SUMIFS(Покупка!BB$25:BB$117,Покупка!$F$25:$F$117,$F369,Покупка!$AC$25:$AC$117,$G369)</f>
        <v>0</v>
      </c>
      <c r="BD369" s="855">
        <f t="shared" ca="1" si="85"/>
        <v>0</v>
      </c>
      <c r="BE369" s="855">
        <f t="shared" ca="1" si="86"/>
        <v>0</v>
      </c>
      <c r="BF369" s="855">
        <f t="shared" ca="1" si="87"/>
        <v>0</v>
      </c>
      <c r="BG369" s="855">
        <f t="shared" ca="1" si="88"/>
        <v>0</v>
      </c>
      <c r="BH369" s="855">
        <f t="shared" ca="1" si="89"/>
        <v>0</v>
      </c>
      <c r="BI369" s="855">
        <f t="shared" ca="1" si="90"/>
        <v>0</v>
      </c>
      <c r="BJ369" s="855">
        <f t="shared" ca="1" si="91"/>
        <v>0</v>
      </c>
      <c r="BK369" s="855">
        <f t="shared" ca="1" si="92"/>
        <v>0</v>
      </c>
      <c r="BL369" s="855">
        <f t="shared" ca="1" si="93"/>
        <v>0</v>
      </c>
      <c r="BM369" s="855">
        <f t="shared" ca="1" si="94"/>
        <v>0</v>
      </c>
      <c r="BN369" s="1581"/>
      <c r="BO369" s="1576"/>
      <c r="BP369" s="1581"/>
      <c r="BQ369" s="1184"/>
      <c r="BR369" s="1184"/>
      <c r="BS369" s="973" t="s">
        <v>1095</v>
      </c>
      <c r="BT369" s="973"/>
      <c r="BU369" s="973"/>
      <c r="BV369" s="888"/>
      <c r="BW369" s="888"/>
    </row>
    <row r="370" spans="1:75" s="1334" customFormat="1" ht="14.25" customHeight="1" x14ac:dyDescent="0.15">
      <c r="A370" s="1184"/>
      <c r="B370" s="15"/>
      <c r="C370" s="26"/>
      <c r="D370" s="26"/>
      <c r="E370" s="545">
        <v>15</v>
      </c>
      <c r="F370" s="3" t="str" cm="1">
        <f t="array" aca="1" ref="F370" ca="1">OFFSET(E370,-1,1)</f>
        <v>2</v>
      </c>
      <c r="G370" s="26" t="s">
        <v>1069</v>
      </c>
      <c r="H370" s="26"/>
      <c r="I370" s="26" t="s">
        <v>1625</v>
      </c>
      <c r="J370" s="26"/>
      <c r="K370" s="26" t="s">
        <v>1625</v>
      </c>
      <c r="L370" s="889" t="s">
        <v>1478</v>
      </c>
      <c r="M370" s="26"/>
      <c r="N370" s="26"/>
      <c r="O370" s="26"/>
      <c r="P370" s="26"/>
      <c r="Q370" s="26"/>
      <c r="R370" s="26"/>
      <c r="S370" s="26"/>
      <c r="T370" s="388" t="b" cm="1">
        <f t="array" aca="1" ref="T370" ca="1">T369</f>
        <v>1</v>
      </c>
      <c r="U370" s="26"/>
      <c r="V370" s="26"/>
      <c r="W370" s="1184"/>
      <c r="X370" s="2032"/>
      <c r="Y370" s="1184"/>
      <c r="Z370" s="2012"/>
      <c r="AA370" s="1184"/>
      <c r="AB370" s="217" t="s">
        <v>1994</v>
      </c>
      <c r="AC370" s="685" t="s">
        <v>1995</v>
      </c>
      <c r="AD370" s="218" t="s">
        <v>831</v>
      </c>
      <c r="AE370" s="177">
        <f ca="1">SUMIFS(Покупка!AE$25:AE$117,Покупка!$F$25:$F$117,$F370,Покупка!$AC$25:$AC$117,$G370)</f>
        <v>0</v>
      </c>
      <c r="AF370" s="177">
        <f ca="1">SUMIFS(Покупка!AF$25:AF$117,Покупка!$F$25:$F$117,$F370,Покупка!$AC$25:$AC$117,$G370)</f>
        <v>0</v>
      </c>
      <c r="AG370" s="177">
        <f ca="1">SUMIFS(Покупка!AG$25:AG$117,Покупка!$F$25:$F$117,$F370,Покупка!$AC$25:$AC$117,$G370)</f>
        <v>0</v>
      </c>
      <c r="AH370" s="855">
        <f t="shared" ca="1" si="83"/>
        <v>0</v>
      </c>
      <c r="AI370" s="855">
        <f ca="1">SUMIFS(Покупка!AH$25:AH$117,Покупка!$F$25:$F$117,$F370,Покупка!$AC$25:$AC$117,$G370)</f>
        <v>0</v>
      </c>
      <c r="AJ370" s="855">
        <f ca="1">SUMIFS(Покупка!AI$25:AI$117,Покупка!$F$25:$F$117,$F370,Покупка!$AC$25:$AC$117,$G370)</f>
        <v>0</v>
      </c>
      <c r="AK370" s="855">
        <f ca="1">SUMIFS(Покупка!AJ$25:AJ$117,Покупка!$F$25:$F$117,$F370,Покупка!$AC$25:$AC$117,$G370)</f>
        <v>0</v>
      </c>
      <c r="AL370" s="855">
        <f ca="1">SUMIFS(Покупка!AK$25:AK$117,Покупка!$F$25:$F$117,$F370,Покупка!$AC$25:$AC$117,$G370)</f>
        <v>0</v>
      </c>
      <c r="AM370" s="855">
        <f ca="1">SUMIFS(Покупка!AL$25:AL$117,Покупка!$F$25:$F$117,$F370,Покупка!$AC$25:$AC$117,$G370)</f>
        <v>0</v>
      </c>
      <c r="AN370" s="855">
        <f ca="1">SUMIFS(Покупка!AM$25:AM$117,Покупка!$F$25:$F$117,$F370,Покупка!$AC$25:$AC$117,$G370)</f>
        <v>0</v>
      </c>
      <c r="AO370" s="855">
        <f ca="1">SUMIFS(Покупка!AN$25:AN$117,Покупка!$F$25:$F$117,$F370,Покупка!$AC$25:$AC$117,$G370)</f>
        <v>0</v>
      </c>
      <c r="AP370" s="855">
        <f ca="1">SUMIFS(Покупка!AO$25:AO$117,Покупка!$F$25:$F$117,$F370,Покупка!$AC$25:$AC$117,$G370)</f>
        <v>0</v>
      </c>
      <c r="AQ370" s="855">
        <f ca="1">SUMIFS(Покупка!AP$25:AP$117,Покупка!$F$25:$F$117,$F370,Покупка!$AC$25:$AC$117,$G370)</f>
        <v>0</v>
      </c>
      <c r="AR370" s="855">
        <f ca="1">SUMIFS(Покупка!AQ$25:AQ$117,Покупка!$F$25:$F$117,$F370,Покупка!$AC$25:$AC$117,$G370)</f>
        <v>0</v>
      </c>
      <c r="AS370" s="855">
        <f ca="1">SUMIFS(Покупка!AR$25:AR$117,Покупка!$F$25:$F$117,$F370,Покупка!$AC$25:$AC$117,$G370)</f>
        <v>0</v>
      </c>
      <c r="AT370" s="855">
        <f ca="1">SUMIFS(Покупка!AS$25:AS$117,Покупка!$F$25:$F$117,$F370,Покупка!$AC$25:$AC$117,$G370)</f>
        <v>0</v>
      </c>
      <c r="AU370" s="855">
        <f ca="1">SUMIFS(Покупка!AT$25:AT$117,Покупка!$F$25:$F$117,$F370,Покупка!$AC$25:$AC$117,$G370)</f>
        <v>0</v>
      </c>
      <c r="AV370" s="855">
        <f ca="1">SUMIFS(Покупка!AU$25:AU$117,Покупка!$F$25:$F$117,$F370,Покупка!$AC$25:$AC$117,$G370)</f>
        <v>0</v>
      </c>
      <c r="AW370" s="855">
        <f ca="1">SUMIFS(Покупка!AV$25:AV$117,Покупка!$F$25:$F$117,$F370,Покупка!$AC$25:$AC$117,$G370)</f>
        <v>0</v>
      </c>
      <c r="AX370" s="855">
        <f ca="1">SUMIFS(Покупка!AW$25:AW$117,Покупка!$F$25:$F$117,$F370,Покупка!$AC$25:$AC$117,$G370)</f>
        <v>0</v>
      </c>
      <c r="AY370" s="855">
        <f ca="1">SUMIFS(Покупка!AX$25:AX$117,Покупка!$F$25:$F$117,$F370,Покупка!$AC$25:$AC$117,$G370)</f>
        <v>0</v>
      </c>
      <c r="AZ370" s="855">
        <f ca="1">SUMIFS(Покупка!AY$25:AY$117,Покупка!$F$25:$F$117,$F370,Покупка!$AC$25:$AC$117,$G370)</f>
        <v>0</v>
      </c>
      <c r="BA370" s="855">
        <f ca="1">SUMIFS(Покупка!AZ$25:AZ$117,Покупка!$F$25:$F$117,$F370,Покупка!$AC$25:$AC$117,$G370)</f>
        <v>0</v>
      </c>
      <c r="BB370" s="855">
        <f ca="1">SUMIFS(Покупка!BA$25:BA$117,Покупка!$F$25:$F$117,$F370,Покупка!$AC$25:$AC$117,$G370)</f>
        <v>0</v>
      </c>
      <c r="BC370" s="855">
        <f ca="1">SUMIFS(Покупка!BB$25:BB$117,Покупка!$F$25:$F$117,$F370,Покупка!$AC$25:$AC$117,$G370)</f>
        <v>0</v>
      </c>
      <c r="BD370" s="855">
        <f t="shared" ca="1" si="85"/>
        <v>0</v>
      </c>
      <c r="BE370" s="855">
        <f t="shared" ca="1" si="86"/>
        <v>0</v>
      </c>
      <c r="BF370" s="855">
        <f t="shared" ca="1" si="87"/>
        <v>0</v>
      </c>
      <c r="BG370" s="855">
        <f t="shared" ca="1" si="88"/>
        <v>0</v>
      </c>
      <c r="BH370" s="855">
        <f t="shared" ca="1" si="89"/>
        <v>0</v>
      </c>
      <c r="BI370" s="855">
        <f t="shared" ca="1" si="90"/>
        <v>0</v>
      </c>
      <c r="BJ370" s="855">
        <f t="shared" ca="1" si="91"/>
        <v>0</v>
      </c>
      <c r="BK370" s="855">
        <f t="shared" ca="1" si="92"/>
        <v>0</v>
      </c>
      <c r="BL370" s="855">
        <f t="shared" ca="1" si="93"/>
        <v>0</v>
      </c>
      <c r="BM370" s="855">
        <f t="shared" ca="1" si="94"/>
        <v>0</v>
      </c>
      <c r="BN370" s="1581"/>
      <c r="BO370" s="1576"/>
      <c r="BP370" s="1581"/>
      <c r="BQ370" s="1184"/>
      <c r="BR370" s="1184"/>
      <c r="BS370" s="973" t="s">
        <v>1996</v>
      </c>
      <c r="BT370" s="973"/>
      <c r="BU370" s="973"/>
      <c r="BV370" s="888"/>
      <c r="BW370" s="888"/>
    </row>
    <row r="371" spans="1:75" s="1334" customFormat="1" ht="14.25" customHeight="1" x14ac:dyDescent="0.15">
      <c r="A371" s="1184"/>
      <c r="B371" s="15"/>
      <c r="C371" s="26"/>
      <c r="D371" s="26"/>
      <c r="E371" s="545">
        <v>15</v>
      </c>
      <c r="F371" s="3" t="str" cm="1">
        <f t="array" aca="1" ref="F371" ca="1">OFFSET(E371,-1,1)</f>
        <v>2</v>
      </c>
      <c r="G371" s="26" t="s">
        <v>1060</v>
      </c>
      <c r="H371" s="26"/>
      <c r="I371" s="26" t="s">
        <v>1627</v>
      </c>
      <c r="J371" s="26"/>
      <c r="K371" s="26" t="s">
        <v>1627</v>
      </c>
      <c r="L371" s="889" t="s">
        <v>1473</v>
      </c>
      <c r="M371" s="26"/>
      <c r="N371" s="26"/>
      <c r="O371" s="26"/>
      <c r="P371" s="26"/>
      <c r="Q371" s="26"/>
      <c r="R371" s="26"/>
      <c r="S371" s="26"/>
      <c r="T371" s="388" t="b" cm="1">
        <f t="array" aca="1" ref="T371" ca="1">T370</f>
        <v>1</v>
      </c>
      <c r="U371" s="26"/>
      <c r="V371" s="26"/>
      <c r="W371" s="1184"/>
      <c r="X371" s="2032"/>
      <c r="Y371" s="1184"/>
      <c r="Z371" s="2012"/>
      <c r="AA371" s="1184"/>
      <c r="AB371" s="217" t="s">
        <v>1997</v>
      </c>
      <c r="AC371" s="685" t="s">
        <v>1998</v>
      </c>
      <c r="AD371" s="218" t="s">
        <v>831</v>
      </c>
      <c r="AE371" s="177">
        <f ca="1">SUMIFS(Покупка!AE$25:AE$117,Покупка!$F$25:$F$117,$F371,Покупка!$AC$25:$AC$117,$G371)</f>
        <v>0</v>
      </c>
      <c r="AF371" s="177">
        <f ca="1">SUMIFS(Покупка!AF$25:AF$117,Покупка!$F$25:$F$117,$F371,Покупка!$AC$25:$AC$117,$G371)</f>
        <v>0</v>
      </c>
      <c r="AG371" s="177">
        <f ca="1">SUMIFS(Покупка!AG$25:AG$117,Покупка!$F$25:$F$117,$F371,Покупка!$AC$25:$AC$117,$G371)</f>
        <v>0</v>
      </c>
      <c r="AH371" s="855">
        <f t="shared" ca="1" si="83"/>
        <v>0</v>
      </c>
      <c r="AI371" s="855">
        <f ca="1">SUMIFS(Покупка!AH$25:AH$117,Покупка!$F$25:$F$117,$F371,Покупка!$AC$25:$AC$117,$G371)</f>
        <v>0</v>
      </c>
      <c r="AJ371" s="855">
        <f ca="1">SUMIFS(Покупка!AI$25:AI$117,Покупка!$F$25:$F$117,$F371,Покупка!$AC$25:$AC$117,$G371)</f>
        <v>0</v>
      </c>
      <c r="AK371" s="855">
        <f ca="1">SUMIFS(Покупка!AJ$25:AJ$117,Покупка!$F$25:$F$117,$F371,Покупка!$AC$25:$AC$117,$G371)</f>
        <v>0</v>
      </c>
      <c r="AL371" s="855">
        <f ca="1">SUMIFS(Покупка!AK$25:AK$117,Покупка!$F$25:$F$117,$F371,Покупка!$AC$25:$AC$117,$G371)</f>
        <v>0</v>
      </c>
      <c r="AM371" s="855">
        <f ca="1">SUMIFS(Покупка!AL$25:AL$117,Покупка!$F$25:$F$117,$F371,Покупка!$AC$25:$AC$117,$G371)</f>
        <v>0</v>
      </c>
      <c r="AN371" s="855">
        <f ca="1">SUMIFS(Покупка!AM$25:AM$117,Покупка!$F$25:$F$117,$F371,Покупка!$AC$25:$AC$117,$G371)</f>
        <v>0</v>
      </c>
      <c r="AO371" s="855">
        <f ca="1">SUMIFS(Покупка!AN$25:AN$117,Покупка!$F$25:$F$117,$F371,Покупка!$AC$25:$AC$117,$G371)</f>
        <v>0</v>
      </c>
      <c r="AP371" s="855">
        <f ca="1">SUMIFS(Покупка!AO$25:AO$117,Покупка!$F$25:$F$117,$F371,Покупка!$AC$25:$AC$117,$G371)</f>
        <v>0</v>
      </c>
      <c r="AQ371" s="855">
        <f ca="1">SUMIFS(Покупка!AP$25:AP$117,Покупка!$F$25:$F$117,$F371,Покупка!$AC$25:$AC$117,$G371)</f>
        <v>0</v>
      </c>
      <c r="AR371" s="855">
        <f ca="1">SUMIFS(Покупка!AQ$25:AQ$117,Покупка!$F$25:$F$117,$F371,Покупка!$AC$25:$AC$117,$G371)</f>
        <v>0</v>
      </c>
      <c r="AS371" s="855">
        <f ca="1">SUMIFS(Покупка!AR$25:AR$117,Покупка!$F$25:$F$117,$F371,Покупка!$AC$25:$AC$117,$G371)</f>
        <v>0</v>
      </c>
      <c r="AT371" s="855">
        <f ca="1">SUMIFS(Покупка!AS$25:AS$117,Покупка!$F$25:$F$117,$F371,Покупка!$AC$25:$AC$117,$G371)</f>
        <v>0</v>
      </c>
      <c r="AU371" s="855">
        <f ca="1">SUMIFS(Покупка!AT$25:AT$117,Покупка!$F$25:$F$117,$F371,Покупка!$AC$25:$AC$117,$G371)</f>
        <v>0</v>
      </c>
      <c r="AV371" s="855">
        <f ca="1">SUMIFS(Покупка!AU$25:AU$117,Покупка!$F$25:$F$117,$F371,Покупка!$AC$25:$AC$117,$G371)</f>
        <v>0</v>
      </c>
      <c r="AW371" s="855">
        <f ca="1">SUMIFS(Покупка!AV$25:AV$117,Покупка!$F$25:$F$117,$F371,Покупка!$AC$25:$AC$117,$G371)</f>
        <v>0</v>
      </c>
      <c r="AX371" s="855">
        <f ca="1">SUMIFS(Покупка!AW$25:AW$117,Покупка!$F$25:$F$117,$F371,Покупка!$AC$25:$AC$117,$G371)</f>
        <v>0</v>
      </c>
      <c r="AY371" s="855">
        <f ca="1">SUMIFS(Покупка!AX$25:AX$117,Покупка!$F$25:$F$117,$F371,Покупка!$AC$25:$AC$117,$G371)</f>
        <v>0</v>
      </c>
      <c r="AZ371" s="855">
        <f ca="1">SUMIFS(Покупка!AY$25:AY$117,Покупка!$F$25:$F$117,$F371,Покупка!$AC$25:$AC$117,$G371)</f>
        <v>0</v>
      </c>
      <c r="BA371" s="855">
        <f ca="1">SUMIFS(Покупка!AZ$25:AZ$117,Покупка!$F$25:$F$117,$F371,Покупка!$AC$25:$AC$117,$G371)</f>
        <v>0</v>
      </c>
      <c r="BB371" s="855">
        <f ca="1">SUMIFS(Покупка!BA$25:BA$117,Покупка!$F$25:$F$117,$F371,Покупка!$AC$25:$AC$117,$G371)</f>
        <v>0</v>
      </c>
      <c r="BC371" s="855">
        <f ca="1">SUMIFS(Покупка!BB$25:BB$117,Покупка!$F$25:$F$117,$F371,Покупка!$AC$25:$AC$117,$G371)</f>
        <v>0</v>
      </c>
      <c r="BD371" s="855">
        <f t="shared" ca="1" si="85"/>
        <v>0</v>
      </c>
      <c r="BE371" s="855">
        <f t="shared" ca="1" si="86"/>
        <v>0</v>
      </c>
      <c r="BF371" s="855">
        <f t="shared" ca="1" si="87"/>
        <v>0</v>
      </c>
      <c r="BG371" s="855">
        <f t="shared" ca="1" si="88"/>
        <v>0</v>
      </c>
      <c r="BH371" s="855">
        <f t="shared" ca="1" si="89"/>
        <v>0</v>
      </c>
      <c r="BI371" s="855">
        <f t="shared" ca="1" si="90"/>
        <v>0</v>
      </c>
      <c r="BJ371" s="855">
        <f t="shared" ca="1" si="91"/>
        <v>0</v>
      </c>
      <c r="BK371" s="855">
        <f t="shared" ca="1" si="92"/>
        <v>0</v>
      </c>
      <c r="BL371" s="855">
        <f t="shared" ca="1" si="93"/>
        <v>0</v>
      </c>
      <c r="BM371" s="855">
        <f t="shared" ca="1" si="94"/>
        <v>0</v>
      </c>
      <c r="BN371" s="1581"/>
      <c r="BO371" s="1576"/>
      <c r="BP371" s="1581"/>
      <c r="BQ371" s="1184"/>
      <c r="BR371" s="1184"/>
      <c r="BS371" s="973" t="s">
        <v>1999</v>
      </c>
      <c r="BT371" s="973"/>
      <c r="BU371" s="973"/>
      <c r="BV371" s="888"/>
      <c r="BW371" s="888"/>
    </row>
    <row r="372" spans="1:75" s="1334" customFormat="1" ht="14.25" customHeight="1" x14ac:dyDescent="0.15">
      <c r="A372" s="1184"/>
      <c r="B372" s="15"/>
      <c r="C372" s="26"/>
      <c r="D372" s="26"/>
      <c r="E372" s="545">
        <v>15</v>
      </c>
      <c r="F372" s="3" t="str" cm="1">
        <f t="array" aca="1" ref="F372" ca="1">OFFSET(E372,-1,1)</f>
        <v>2</v>
      </c>
      <c r="G372" s="26" t="s">
        <v>1096</v>
      </c>
      <c r="H372" s="26"/>
      <c r="I372" s="26" t="s">
        <v>1630</v>
      </c>
      <c r="J372" s="26"/>
      <c r="K372" s="26" t="s">
        <v>1630</v>
      </c>
      <c r="L372" s="889"/>
      <c r="M372" s="26"/>
      <c r="N372" s="26"/>
      <c r="O372" s="26"/>
      <c r="P372" s="26"/>
      <c r="Q372" s="26"/>
      <c r="R372" s="26"/>
      <c r="S372" s="26"/>
      <c r="T372" s="388" t="b" cm="1">
        <f t="array" aca="1" ref="T372" ca="1">T371</f>
        <v>1</v>
      </c>
      <c r="U372" s="26"/>
      <c r="V372" s="26"/>
      <c r="W372" s="1184"/>
      <c r="X372" s="2032"/>
      <c r="Y372" s="1184"/>
      <c r="Z372" s="2012"/>
      <c r="AA372" s="1184"/>
      <c r="AB372" s="217" t="s">
        <v>2000</v>
      </c>
      <c r="AC372" s="685" t="s">
        <v>2001</v>
      </c>
      <c r="AD372" s="218" t="s">
        <v>831</v>
      </c>
      <c r="AE372" s="177">
        <f ca="1">SUMIFS(Покупка!AE$25:AE$117,Покупка!$F$25:$F$117,$F372,Покупка!$AC$25:$AC$117,$G372)</f>
        <v>0</v>
      </c>
      <c r="AF372" s="177">
        <f ca="1">SUMIFS(Покупка!AF$25:AF$117,Покупка!$F$25:$F$117,$F372,Покупка!$AC$25:$AC$117,$G372)</f>
        <v>0</v>
      </c>
      <c r="AG372" s="177">
        <f ca="1">SUMIFS(Покупка!AG$25:AG$117,Покупка!$F$25:$F$117,$F372,Покупка!$AC$25:$AC$117,$G372)</f>
        <v>0</v>
      </c>
      <c r="AH372" s="855">
        <f t="shared" ca="1" si="83"/>
        <v>0</v>
      </c>
      <c r="AI372" s="855">
        <f ca="1">SUMIFS(Покупка!AH$25:AH$117,Покупка!$F$25:$F$117,$F372,Покупка!$AC$25:$AC$117,$G372)</f>
        <v>0</v>
      </c>
      <c r="AJ372" s="855">
        <f ca="1">SUMIFS(Покупка!AI$25:AI$117,Покупка!$F$25:$F$117,$F372,Покупка!$AC$25:$AC$117,$G372)</f>
        <v>0</v>
      </c>
      <c r="AK372" s="855">
        <f ca="1">SUMIFS(Покупка!AJ$25:AJ$117,Покупка!$F$25:$F$117,$F372,Покупка!$AC$25:$AC$117,$G372)</f>
        <v>0</v>
      </c>
      <c r="AL372" s="855">
        <f ca="1">SUMIFS(Покупка!AK$25:AK$117,Покупка!$F$25:$F$117,$F372,Покупка!$AC$25:$AC$117,$G372)</f>
        <v>0</v>
      </c>
      <c r="AM372" s="855">
        <f ca="1">SUMIFS(Покупка!AL$25:AL$117,Покупка!$F$25:$F$117,$F372,Покупка!$AC$25:$AC$117,$G372)</f>
        <v>0</v>
      </c>
      <c r="AN372" s="855">
        <f ca="1">SUMIFS(Покупка!AM$25:AM$117,Покупка!$F$25:$F$117,$F372,Покупка!$AC$25:$AC$117,$G372)</f>
        <v>0</v>
      </c>
      <c r="AO372" s="855">
        <f ca="1">SUMIFS(Покупка!AN$25:AN$117,Покупка!$F$25:$F$117,$F372,Покупка!$AC$25:$AC$117,$G372)</f>
        <v>0</v>
      </c>
      <c r="AP372" s="855">
        <f ca="1">SUMIFS(Покупка!AO$25:AO$117,Покупка!$F$25:$F$117,$F372,Покупка!$AC$25:$AC$117,$G372)</f>
        <v>0</v>
      </c>
      <c r="AQ372" s="855">
        <f ca="1">SUMIFS(Покупка!AP$25:AP$117,Покупка!$F$25:$F$117,$F372,Покупка!$AC$25:$AC$117,$G372)</f>
        <v>0</v>
      </c>
      <c r="AR372" s="855">
        <f ca="1">SUMIFS(Покупка!AQ$25:AQ$117,Покупка!$F$25:$F$117,$F372,Покупка!$AC$25:$AC$117,$G372)</f>
        <v>0</v>
      </c>
      <c r="AS372" s="855">
        <f ca="1">SUMIFS(Покупка!AR$25:AR$117,Покупка!$F$25:$F$117,$F372,Покупка!$AC$25:$AC$117,$G372)</f>
        <v>0</v>
      </c>
      <c r="AT372" s="855">
        <f ca="1">SUMIFS(Покупка!AS$25:AS$117,Покупка!$F$25:$F$117,$F372,Покупка!$AC$25:$AC$117,$G372)</f>
        <v>0</v>
      </c>
      <c r="AU372" s="855">
        <f ca="1">SUMIFS(Покупка!AT$25:AT$117,Покупка!$F$25:$F$117,$F372,Покупка!$AC$25:$AC$117,$G372)</f>
        <v>0</v>
      </c>
      <c r="AV372" s="855">
        <f ca="1">SUMIFS(Покупка!AU$25:AU$117,Покупка!$F$25:$F$117,$F372,Покупка!$AC$25:$AC$117,$G372)</f>
        <v>0</v>
      </c>
      <c r="AW372" s="855">
        <f ca="1">SUMIFS(Покупка!AV$25:AV$117,Покупка!$F$25:$F$117,$F372,Покупка!$AC$25:$AC$117,$G372)</f>
        <v>0</v>
      </c>
      <c r="AX372" s="855">
        <f ca="1">SUMIFS(Покупка!AW$25:AW$117,Покупка!$F$25:$F$117,$F372,Покупка!$AC$25:$AC$117,$G372)</f>
        <v>0</v>
      </c>
      <c r="AY372" s="855">
        <f ca="1">SUMIFS(Покупка!AX$25:AX$117,Покупка!$F$25:$F$117,$F372,Покупка!$AC$25:$AC$117,$G372)</f>
        <v>0</v>
      </c>
      <c r="AZ372" s="855">
        <f ca="1">SUMIFS(Покупка!AY$25:AY$117,Покупка!$F$25:$F$117,$F372,Покупка!$AC$25:$AC$117,$G372)</f>
        <v>0</v>
      </c>
      <c r="BA372" s="855">
        <f ca="1">SUMIFS(Покупка!AZ$25:AZ$117,Покупка!$F$25:$F$117,$F372,Покупка!$AC$25:$AC$117,$G372)</f>
        <v>0</v>
      </c>
      <c r="BB372" s="855">
        <f ca="1">SUMIFS(Покупка!BA$25:BA$117,Покупка!$F$25:$F$117,$F372,Покупка!$AC$25:$AC$117,$G372)</f>
        <v>0</v>
      </c>
      <c r="BC372" s="855">
        <f ca="1">SUMIFS(Покупка!BB$25:BB$117,Покупка!$F$25:$F$117,$F372,Покупка!$AC$25:$AC$117,$G372)</f>
        <v>0</v>
      </c>
      <c r="BD372" s="855">
        <f t="shared" ca="1" si="85"/>
        <v>0</v>
      </c>
      <c r="BE372" s="855">
        <f t="shared" ca="1" si="86"/>
        <v>0</v>
      </c>
      <c r="BF372" s="855">
        <f t="shared" ca="1" si="87"/>
        <v>0</v>
      </c>
      <c r="BG372" s="855">
        <f t="shared" ca="1" si="88"/>
        <v>0</v>
      </c>
      <c r="BH372" s="855">
        <f t="shared" ca="1" si="89"/>
        <v>0</v>
      </c>
      <c r="BI372" s="855">
        <f t="shared" ca="1" si="90"/>
        <v>0</v>
      </c>
      <c r="BJ372" s="855">
        <f t="shared" ca="1" si="91"/>
        <v>0</v>
      </c>
      <c r="BK372" s="855">
        <f t="shared" ca="1" si="92"/>
        <v>0</v>
      </c>
      <c r="BL372" s="855">
        <f t="shared" ca="1" si="93"/>
        <v>0</v>
      </c>
      <c r="BM372" s="855">
        <f t="shared" ca="1" si="94"/>
        <v>0</v>
      </c>
      <c r="BN372" s="1581"/>
      <c r="BO372" s="1576" t="str">
        <f ca="1">IF(IFERROR(INDEX(Покупка!$K$26:$L$117,MATCH($F372&amp;"8komm",Покупка!$K$26:$K$117,0),2),"")=0,"",IFERROR(INDEX(Покупка!$K$26:$L$117,MATCH($F372&amp;"8komm",Покупка!$K$26:$K$117,0),2),""))</f>
        <v/>
      </c>
      <c r="BP372" s="1581"/>
      <c r="BQ372" s="1184"/>
      <c r="BR372" s="1184"/>
      <c r="BS372" s="973" t="s">
        <v>1097</v>
      </c>
      <c r="BT372" s="973"/>
      <c r="BU372" s="973"/>
      <c r="BV372" s="888"/>
      <c r="BW372" s="888"/>
    </row>
    <row r="373" spans="1:75" s="1334" customFormat="1" ht="14.25" customHeight="1" x14ac:dyDescent="0.15">
      <c r="A373" s="1184"/>
      <c r="B373" s="15"/>
      <c r="C373" s="26"/>
      <c r="D373" s="26"/>
      <c r="E373" s="545">
        <v>15</v>
      </c>
      <c r="F373" s="3" t="str" cm="1">
        <f t="array" aca="1" ref="F373" ca="1">OFFSET(E373,-1,1)</f>
        <v>2</v>
      </c>
      <c r="G373" s="26"/>
      <c r="H373" s="26"/>
      <c r="I373" s="26" t="s">
        <v>2002</v>
      </c>
      <c r="J373" s="26"/>
      <c r="K373" s="26" t="s">
        <v>2002</v>
      </c>
      <c r="L373" s="889"/>
      <c r="M373" s="26"/>
      <c r="N373" s="26"/>
      <c r="O373" s="26"/>
      <c r="P373" s="26"/>
      <c r="Q373" s="26"/>
      <c r="R373" s="26"/>
      <c r="S373" s="26"/>
      <c r="T373" s="388" t="b" cm="1">
        <f t="array" aca="1" ref="T373" ca="1">T372</f>
        <v>1</v>
      </c>
      <c r="U373" s="26"/>
      <c r="V373" s="26"/>
      <c r="W373" s="1184"/>
      <c r="X373" s="2032"/>
      <c r="Y373" s="1184"/>
      <c r="Z373" s="2012"/>
      <c r="AA373" s="1184"/>
      <c r="AB373" s="217" t="s">
        <v>2003</v>
      </c>
      <c r="AC373" s="685" t="s">
        <v>2004</v>
      </c>
      <c r="AD373" s="218" t="s">
        <v>831</v>
      </c>
      <c r="AE373" s="1567"/>
      <c r="AF373" s="1567"/>
      <c r="AG373" s="1567"/>
      <c r="AH373" s="855">
        <f t="shared" si="83"/>
        <v>0</v>
      </c>
      <c r="AI373" s="1568"/>
      <c r="AJ373" s="1568"/>
      <c r="AK373" s="1160"/>
      <c r="AL373" s="1160"/>
      <c r="AM373" s="1160"/>
      <c r="AN373" s="1160"/>
      <c r="AO373" s="1160"/>
      <c r="AP373" s="1160"/>
      <c r="AQ373" s="1568"/>
      <c r="AR373" s="1568"/>
      <c r="AS373" s="1568"/>
      <c r="AT373" s="1568"/>
      <c r="AU373" s="1160"/>
      <c r="AV373" s="1160"/>
      <c r="AW373" s="1160"/>
      <c r="AX373" s="1160"/>
      <c r="AY373" s="1160"/>
      <c r="AZ373" s="1160"/>
      <c r="BA373" s="1568"/>
      <c r="BB373" s="1568"/>
      <c r="BC373" s="1568"/>
      <c r="BD373" s="855">
        <f t="shared" si="85"/>
        <v>0</v>
      </c>
      <c r="BE373" s="855">
        <f t="shared" si="86"/>
        <v>0</v>
      </c>
      <c r="BF373" s="855">
        <f t="shared" si="87"/>
        <v>0</v>
      </c>
      <c r="BG373" s="855">
        <f t="shared" si="88"/>
        <v>0</v>
      </c>
      <c r="BH373" s="855">
        <f t="shared" si="89"/>
        <v>0</v>
      </c>
      <c r="BI373" s="855">
        <f t="shared" si="90"/>
        <v>0</v>
      </c>
      <c r="BJ373" s="855">
        <f t="shared" si="91"/>
        <v>0</v>
      </c>
      <c r="BK373" s="855">
        <f t="shared" si="92"/>
        <v>0</v>
      </c>
      <c r="BL373" s="855">
        <f t="shared" si="93"/>
        <v>0</v>
      </c>
      <c r="BM373" s="855">
        <f t="shared" si="94"/>
        <v>0</v>
      </c>
      <c r="BN373" s="1581"/>
      <c r="BO373" s="1581"/>
      <c r="BP373" s="1581"/>
      <c r="BQ373" s="1184"/>
      <c r="BR373" s="1184"/>
      <c r="BS373" s="973" t="s">
        <v>2005</v>
      </c>
      <c r="BT373" s="973"/>
      <c r="BU373" s="973"/>
      <c r="BV373" s="888"/>
      <c r="BW373" s="888"/>
    </row>
    <row r="374" spans="1:75" s="1334" customFormat="1" ht="14.25" customHeight="1" x14ac:dyDescent="0.15">
      <c r="A374" s="1184"/>
      <c r="B374" s="15"/>
      <c r="C374" s="26"/>
      <c r="D374" s="26"/>
      <c r="E374" s="545">
        <v>15</v>
      </c>
      <c r="F374" s="3" t="str" cm="1">
        <f t="array" aca="1" ref="F374" ca="1">OFFSET(E374,-1,1)</f>
        <v>2</v>
      </c>
      <c r="G374" s="26"/>
      <c r="H374" s="26"/>
      <c r="I374" s="26" t="s">
        <v>2006</v>
      </c>
      <c r="J374" s="26"/>
      <c r="K374" s="26" t="s">
        <v>2006</v>
      </c>
      <c r="L374" s="889"/>
      <c r="M374" s="26"/>
      <c r="N374" s="26"/>
      <c r="O374" s="26"/>
      <c r="P374" s="26"/>
      <c r="Q374" s="26"/>
      <c r="R374" s="26"/>
      <c r="S374" s="26"/>
      <c r="T374" s="388" t="b" cm="1">
        <f t="array" aca="1" ref="T374" ca="1">T373</f>
        <v>1</v>
      </c>
      <c r="U374" s="26"/>
      <c r="V374" s="26"/>
      <c r="W374" s="1184"/>
      <c r="X374" s="2032"/>
      <c r="Y374" s="1184"/>
      <c r="Z374" s="2012"/>
      <c r="AA374" s="1184"/>
      <c r="AB374" s="217" t="s">
        <v>2007</v>
      </c>
      <c r="AC374" s="685" t="s">
        <v>2008</v>
      </c>
      <c r="AD374" s="218" t="s">
        <v>831</v>
      </c>
      <c r="AE374" s="1567"/>
      <c r="AF374" s="1567"/>
      <c r="AG374" s="1567"/>
      <c r="AH374" s="855">
        <f t="shared" si="83"/>
        <v>0</v>
      </c>
      <c r="AI374" s="1568"/>
      <c r="AJ374" s="1568"/>
      <c r="AK374" s="1160"/>
      <c r="AL374" s="1160"/>
      <c r="AM374" s="1160"/>
      <c r="AN374" s="1160"/>
      <c r="AO374" s="1160"/>
      <c r="AP374" s="1160"/>
      <c r="AQ374" s="1568"/>
      <c r="AR374" s="1568"/>
      <c r="AS374" s="1568"/>
      <c r="AT374" s="1568"/>
      <c r="AU374" s="1160"/>
      <c r="AV374" s="1160"/>
      <c r="AW374" s="1160"/>
      <c r="AX374" s="1160"/>
      <c r="AY374" s="1160"/>
      <c r="AZ374" s="1160"/>
      <c r="BA374" s="1568"/>
      <c r="BB374" s="1568"/>
      <c r="BC374" s="1568"/>
      <c r="BD374" s="855">
        <f t="shared" si="85"/>
        <v>0</v>
      </c>
      <c r="BE374" s="855">
        <f t="shared" si="86"/>
        <v>0</v>
      </c>
      <c r="BF374" s="855">
        <f t="shared" si="87"/>
        <v>0</v>
      </c>
      <c r="BG374" s="855">
        <f t="shared" si="88"/>
        <v>0</v>
      </c>
      <c r="BH374" s="855">
        <f t="shared" si="89"/>
        <v>0</v>
      </c>
      <c r="BI374" s="855">
        <f t="shared" si="90"/>
        <v>0</v>
      </c>
      <c r="BJ374" s="855">
        <f t="shared" si="91"/>
        <v>0</v>
      </c>
      <c r="BK374" s="855">
        <f t="shared" si="92"/>
        <v>0</v>
      </c>
      <c r="BL374" s="855">
        <f t="shared" si="93"/>
        <v>0</v>
      </c>
      <c r="BM374" s="855">
        <f t="shared" si="94"/>
        <v>0</v>
      </c>
      <c r="BN374" s="1581"/>
      <c r="BO374" s="1581"/>
      <c r="BP374" s="1581"/>
      <c r="BQ374" s="1184"/>
      <c r="BR374" s="1184"/>
      <c r="BS374" s="973" t="s">
        <v>2009</v>
      </c>
      <c r="BT374" s="973"/>
      <c r="BU374" s="973"/>
      <c r="BV374" s="888"/>
      <c r="BW374" s="888"/>
    </row>
    <row r="375" spans="1:75" s="1334" customFormat="1" ht="14.25" customHeight="1" x14ac:dyDescent="0.15">
      <c r="A375" s="1184"/>
      <c r="B375" s="15"/>
      <c r="C375" s="26"/>
      <c r="D375" s="26"/>
      <c r="E375" s="545">
        <v>15</v>
      </c>
      <c r="F375" s="3" t="str" cm="1">
        <f t="array" aca="1" ref="F375" ca="1">OFFSET(E375,-1,1)</f>
        <v>2</v>
      </c>
      <c r="G375" s="26" t="s">
        <v>1074</v>
      </c>
      <c r="H375" s="26"/>
      <c r="I375" s="26" t="s">
        <v>2010</v>
      </c>
      <c r="J375" s="26"/>
      <c r="K375" s="26" t="s">
        <v>2010</v>
      </c>
      <c r="L375" s="889" t="s">
        <v>1487</v>
      </c>
      <c r="M375" s="26"/>
      <c r="N375" s="26"/>
      <c r="O375" s="26"/>
      <c r="P375" s="26"/>
      <c r="Q375" s="26"/>
      <c r="R375" s="26"/>
      <c r="S375" s="26"/>
      <c r="T375" s="388" t="b" cm="1">
        <f t="array" aca="1" ref="T375" ca="1">T374</f>
        <v>1</v>
      </c>
      <c r="U375" s="26"/>
      <c r="V375" s="26"/>
      <c r="W375" s="1184"/>
      <c r="X375" s="2032"/>
      <c r="Y375" s="1184"/>
      <c r="Z375" s="2012"/>
      <c r="AA375" s="1184"/>
      <c r="AB375" s="217" t="s">
        <v>2011</v>
      </c>
      <c r="AC375" s="685" t="s">
        <v>2012</v>
      </c>
      <c r="AD375" s="218" t="s">
        <v>831</v>
      </c>
      <c r="AE375" s="177">
        <f ca="1">SUMIFS(Покупка!AE$25:AE$117,Покупка!$F$25:$F$117,$F375,Покупка!$AC$25:$AC$117,$G375)</f>
        <v>0</v>
      </c>
      <c r="AF375" s="177">
        <f ca="1">SUMIFS(Покупка!AF$25:AF$117,Покупка!$F$25:$F$117,$F375,Покупка!$AC$25:$AC$117,$G375)</f>
        <v>0</v>
      </c>
      <c r="AG375" s="177">
        <f ca="1">SUMIFS(Покупка!AG$25:AG$117,Покупка!$F$25:$F$117,$F375,Покупка!$AC$25:$AC$117,$G375)</f>
        <v>0</v>
      </c>
      <c r="AH375" s="855">
        <f t="shared" ca="1" si="83"/>
        <v>0</v>
      </c>
      <c r="AI375" s="855">
        <f ca="1">SUMIFS(Покупка!AH$25:AH$117,Покупка!$F$25:$F$117,$F375,Покупка!$AC$25:$AC$117,$G375)</f>
        <v>0</v>
      </c>
      <c r="AJ375" s="855">
        <f ca="1">SUMIFS(Покупка!AI$25:AI$117,Покупка!$F$25:$F$117,$F375,Покупка!$AC$25:$AC$117,$G375)</f>
        <v>0</v>
      </c>
      <c r="AK375" s="855">
        <f ca="1">SUMIFS(Покупка!AJ$25:AJ$117,Покупка!$F$25:$F$117,$F375,Покупка!$AC$25:$AC$117,$G375)</f>
        <v>0</v>
      </c>
      <c r="AL375" s="855">
        <f ca="1">SUMIFS(Покупка!AK$25:AK$117,Покупка!$F$25:$F$117,$F375,Покупка!$AC$25:$AC$117,$G375)</f>
        <v>0</v>
      </c>
      <c r="AM375" s="855">
        <f ca="1">SUMIFS(Покупка!AL$25:AL$117,Покупка!$F$25:$F$117,$F375,Покупка!$AC$25:$AC$117,$G375)</f>
        <v>0</v>
      </c>
      <c r="AN375" s="855">
        <f ca="1">SUMIFS(Покупка!AM$25:AM$117,Покупка!$F$25:$F$117,$F375,Покупка!$AC$25:$AC$117,$G375)</f>
        <v>0</v>
      </c>
      <c r="AO375" s="855">
        <f ca="1">SUMIFS(Покупка!AN$25:AN$117,Покупка!$F$25:$F$117,$F375,Покупка!$AC$25:$AC$117,$G375)</f>
        <v>0</v>
      </c>
      <c r="AP375" s="855">
        <f ca="1">SUMIFS(Покупка!AO$25:AO$117,Покупка!$F$25:$F$117,$F375,Покупка!$AC$25:$AC$117,$G375)</f>
        <v>0</v>
      </c>
      <c r="AQ375" s="855">
        <f ca="1">SUMIFS(Покупка!AP$25:AP$117,Покупка!$F$25:$F$117,$F375,Покупка!$AC$25:$AC$117,$G375)</f>
        <v>0</v>
      </c>
      <c r="AR375" s="855">
        <f ca="1">SUMIFS(Покупка!AQ$25:AQ$117,Покупка!$F$25:$F$117,$F375,Покупка!$AC$25:$AC$117,$G375)</f>
        <v>0</v>
      </c>
      <c r="AS375" s="855">
        <f ca="1">SUMIFS(Покупка!AR$25:AR$117,Покупка!$F$25:$F$117,$F375,Покупка!$AC$25:$AC$117,$G375)</f>
        <v>0</v>
      </c>
      <c r="AT375" s="855">
        <f ca="1">SUMIFS(Покупка!AS$25:AS$117,Покупка!$F$25:$F$117,$F375,Покупка!$AC$25:$AC$117,$G375)</f>
        <v>0</v>
      </c>
      <c r="AU375" s="855">
        <f ca="1">SUMIFS(Покупка!AT$25:AT$117,Покупка!$F$25:$F$117,$F375,Покупка!$AC$25:$AC$117,$G375)</f>
        <v>0</v>
      </c>
      <c r="AV375" s="855">
        <f ca="1">SUMIFS(Покупка!AU$25:AU$117,Покупка!$F$25:$F$117,$F375,Покупка!$AC$25:$AC$117,$G375)</f>
        <v>0</v>
      </c>
      <c r="AW375" s="855">
        <f ca="1">SUMIFS(Покупка!AV$25:AV$117,Покупка!$F$25:$F$117,$F375,Покупка!$AC$25:$AC$117,$G375)</f>
        <v>0</v>
      </c>
      <c r="AX375" s="855">
        <f ca="1">SUMIFS(Покупка!AW$25:AW$117,Покупка!$F$25:$F$117,$F375,Покупка!$AC$25:$AC$117,$G375)</f>
        <v>0</v>
      </c>
      <c r="AY375" s="855">
        <f ca="1">SUMIFS(Покупка!AX$25:AX$117,Покупка!$F$25:$F$117,$F375,Покупка!$AC$25:$AC$117,$G375)</f>
        <v>0</v>
      </c>
      <c r="AZ375" s="855">
        <f ca="1">SUMIFS(Покупка!AY$25:AY$117,Покупка!$F$25:$F$117,$F375,Покупка!$AC$25:$AC$117,$G375)</f>
        <v>0</v>
      </c>
      <c r="BA375" s="855">
        <f ca="1">SUMIFS(Покупка!AZ$25:AZ$117,Покупка!$F$25:$F$117,$F375,Покупка!$AC$25:$AC$117,$G375)</f>
        <v>0</v>
      </c>
      <c r="BB375" s="855">
        <f ca="1">SUMIFS(Покупка!BA$25:BA$117,Покупка!$F$25:$F$117,$F375,Покупка!$AC$25:$AC$117,$G375)</f>
        <v>0</v>
      </c>
      <c r="BC375" s="855">
        <f ca="1">SUMIFS(Покупка!BB$25:BB$117,Покупка!$F$25:$F$117,$F375,Покупка!$AC$25:$AC$117,$G375)</f>
        <v>0</v>
      </c>
      <c r="BD375" s="855">
        <f t="shared" ca="1" si="85"/>
        <v>0</v>
      </c>
      <c r="BE375" s="855">
        <f t="shared" ca="1" si="86"/>
        <v>0</v>
      </c>
      <c r="BF375" s="855">
        <f t="shared" ca="1" si="87"/>
        <v>0</v>
      </c>
      <c r="BG375" s="855">
        <f t="shared" ca="1" si="88"/>
        <v>0</v>
      </c>
      <c r="BH375" s="855">
        <f t="shared" ca="1" si="89"/>
        <v>0</v>
      </c>
      <c r="BI375" s="855">
        <f t="shared" ca="1" si="90"/>
        <v>0</v>
      </c>
      <c r="BJ375" s="855">
        <f t="shared" ca="1" si="91"/>
        <v>0</v>
      </c>
      <c r="BK375" s="855">
        <f t="shared" ca="1" si="92"/>
        <v>0</v>
      </c>
      <c r="BL375" s="855">
        <f t="shared" ca="1" si="93"/>
        <v>0</v>
      </c>
      <c r="BM375" s="855">
        <f t="shared" ca="1" si="94"/>
        <v>0</v>
      </c>
      <c r="BN375" s="1581"/>
      <c r="BO375" s="1576" t="str">
        <f ca="1">IF(IFERROR(INDEX(Покупка!$K$26:$L$117,MATCH($F375&amp;"3komm",Покупка!$K$26:$K$117,0),2),"")=0,"",IFERROR(INDEX(Покупка!$K$26:$L$117,MATCH($F375&amp;"3komm",Покупка!$K$26:$K$117,0),2),""))</f>
        <v/>
      </c>
      <c r="BP375" s="1581"/>
      <c r="BQ375" s="1184"/>
      <c r="BR375" s="1184"/>
      <c r="BS375" s="973" t="s">
        <v>1705</v>
      </c>
      <c r="BT375" s="973"/>
      <c r="BU375" s="973"/>
      <c r="BV375" s="888"/>
      <c r="BW375" s="888"/>
    </row>
    <row r="376" spans="1:75" s="1334" customFormat="1" ht="14.25" customHeight="1" x14ac:dyDescent="0.15">
      <c r="A376" s="1184"/>
      <c r="B376" s="15"/>
      <c r="C376" s="26"/>
      <c r="D376" s="26"/>
      <c r="E376" s="545">
        <v>15</v>
      </c>
      <c r="F376" s="3" t="str" cm="1">
        <f t="array" aca="1" ref="F376" ca="1">OFFSET(E376,-1,1)</f>
        <v>2</v>
      </c>
      <c r="G376" s="26" t="s">
        <v>1080</v>
      </c>
      <c r="H376" s="26"/>
      <c r="I376" s="26" t="s">
        <v>2013</v>
      </c>
      <c r="J376" s="26"/>
      <c r="K376" s="26" t="s">
        <v>2013</v>
      </c>
      <c r="L376" s="889" t="s">
        <v>1492</v>
      </c>
      <c r="M376" s="26"/>
      <c r="N376" s="26"/>
      <c r="O376" s="26"/>
      <c r="P376" s="26"/>
      <c r="Q376" s="26"/>
      <c r="R376" s="26"/>
      <c r="S376" s="26"/>
      <c r="T376" s="388" t="b" cm="1">
        <f t="array" aca="1" ref="T376" ca="1">T375</f>
        <v>1</v>
      </c>
      <c r="U376" s="26"/>
      <c r="V376" s="26"/>
      <c r="W376" s="1184"/>
      <c r="X376" s="2032"/>
      <c r="Y376" s="1184"/>
      <c r="Z376" s="2012"/>
      <c r="AA376" s="1184"/>
      <c r="AB376" s="217" t="s">
        <v>2014</v>
      </c>
      <c r="AC376" s="685" t="s">
        <v>2015</v>
      </c>
      <c r="AD376" s="218" t="s">
        <v>831</v>
      </c>
      <c r="AE376" s="177">
        <f ca="1">SUMIFS(Покупка!AE$25:AE$117,Покупка!$F$25:$F$117,$F376,Покупка!$AC$25:$AC$117,$G376)</f>
        <v>0</v>
      </c>
      <c r="AF376" s="177">
        <f ca="1">SUMIFS(Покупка!AF$25:AF$117,Покупка!$F$25:$F$117,$F376,Покупка!$AC$25:$AC$117,$G376)</f>
        <v>0</v>
      </c>
      <c r="AG376" s="177">
        <f ca="1">SUMIFS(Покупка!AG$25:AG$117,Покупка!$F$25:$F$117,$F376,Покупка!$AC$25:$AC$117,$G376)</f>
        <v>0</v>
      </c>
      <c r="AH376" s="855">
        <f t="shared" ca="1" si="83"/>
        <v>0</v>
      </c>
      <c r="AI376" s="855">
        <f ca="1">SUMIFS(Покупка!AH$25:AH$117,Покупка!$F$25:$F$117,$F376,Покупка!$AC$25:$AC$117,$G376)</f>
        <v>0</v>
      </c>
      <c r="AJ376" s="855">
        <f ca="1">SUMIFS(Покупка!AI$25:AI$117,Покупка!$F$25:$F$117,$F376,Покупка!$AC$25:$AC$117,$G376)</f>
        <v>0</v>
      </c>
      <c r="AK376" s="855">
        <f ca="1">SUMIFS(Покупка!AJ$25:AJ$117,Покупка!$F$25:$F$117,$F376,Покупка!$AC$25:$AC$117,$G376)</f>
        <v>0</v>
      </c>
      <c r="AL376" s="855">
        <f ca="1">SUMIFS(Покупка!AK$25:AK$117,Покупка!$F$25:$F$117,$F376,Покупка!$AC$25:$AC$117,$G376)</f>
        <v>0</v>
      </c>
      <c r="AM376" s="855">
        <f ca="1">SUMIFS(Покупка!AL$25:AL$117,Покупка!$F$25:$F$117,$F376,Покупка!$AC$25:$AC$117,$G376)</f>
        <v>0</v>
      </c>
      <c r="AN376" s="855">
        <f ca="1">SUMIFS(Покупка!AM$25:AM$117,Покупка!$F$25:$F$117,$F376,Покупка!$AC$25:$AC$117,$G376)</f>
        <v>0</v>
      </c>
      <c r="AO376" s="855">
        <f ca="1">SUMIFS(Покупка!AN$25:AN$117,Покупка!$F$25:$F$117,$F376,Покупка!$AC$25:$AC$117,$G376)</f>
        <v>0</v>
      </c>
      <c r="AP376" s="855">
        <f ca="1">SUMIFS(Покупка!AO$25:AO$117,Покупка!$F$25:$F$117,$F376,Покупка!$AC$25:$AC$117,$G376)</f>
        <v>0</v>
      </c>
      <c r="AQ376" s="855">
        <f ca="1">SUMIFS(Покупка!AP$25:AP$117,Покупка!$F$25:$F$117,$F376,Покупка!$AC$25:$AC$117,$G376)</f>
        <v>0</v>
      </c>
      <c r="AR376" s="855">
        <f ca="1">SUMIFS(Покупка!AQ$25:AQ$117,Покупка!$F$25:$F$117,$F376,Покупка!$AC$25:$AC$117,$G376)</f>
        <v>0</v>
      </c>
      <c r="AS376" s="855">
        <f ca="1">SUMIFS(Покупка!AR$25:AR$117,Покупка!$F$25:$F$117,$F376,Покупка!$AC$25:$AC$117,$G376)</f>
        <v>0</v>
      </c>
      <c r="AT376" s="855">
        <f ca="1">SUMIFS(Покупка!AS$25:AS$117,Покупка!$F$25:$F$117,$F376,Покупка!$AC$25:$AC$117,$G376)</f>
        <v>0</v>
      </c>
      <c r="AU376" s="855">
        <f ca="1">SUMIFS(Покупка!AT$25:AT$117,Покупка!$F$25:$F$117,$F376,Покупка!$AC$25:$AC$117,$G376)</f>
        <v>0</v>
      </c>
      <c r="AV376" s="855">
        <f ca="1">SUMIFS(Покупка!AU$25:AU$117,Покупка!$F$25:$F$117,$F376,Покупка!$AC$25:$AC$117,$G376)</f>
        <v>0</v>
      </c>
      <c r="AW376" s="855">
        <f ca="1">SUMIFS(Покупка!AV$25:AV$117,Покупка!$F$25:$F$117,$F376,Покупка!$AC$25:$AC$117,$G376)</f>
        <v>0</v>
      </c>
      <c r="AX376" s="855">
        <f ca="1">SUMIFS(Покупка!AW$25:AW$117,Покупка!$F$25:$F$117,$F376,Покупка!$AC$25:$AC$117,$G376)</f>
        <v>0</v>
      </c>
      <c r="AY376" s="855">
        <f ca="1">SUMIFS(Покупка!AX$25:AX$117,Покупка!$F$25:$F$117,$F376,Покупка!$AC$25:$AC$117,$G376)</f>
        <v>0</v>
      </c>
      <c r="AZ376" s="855">
        <f ca="1">SUMIFS(Покупка!AY$25:AY$117,Покупка!$F$25:$F$117,$F376,Покупка!$AC$25:$AC$117,$G376)</f>
        <v>0</v>
      </c>
      <c r="BA376" s="855">
        <f ca="1">SUMIFS(Покупка!AZ$25:AZ$117,Покупка!$F$25:$F$117,$F376,Покупка!$AC$25:$AC$117,$G376)</f>
        <v>0</v>
      </c>
      <c r="BB376" s="855">
        <f ca="1">SUMIFS(Покупка!BA$25:BA$117,Покупка!$F$25:$F$117,$F376,Покупка!$AC$25:$AC$117,$G376)</f>
        <v>0</v>
      </c>
      <c r="BC376" s="855">
        <f ca="1">SUMIFS(Покупка!BB$25:BB$117,Покупка!$F$25:$F$117,$F376,Покупка!$AC$25:$AC$117,$G376)</f>
        <v>0</v>
      </c>
      <c r="BD376" s="855">
        <f t="shared" ca="1" si="85"/>
        <v>0</v>
      </c>
      <c r="BE376" s="855">
        <f t="shared" ca="1" si="86"/>
        <v>0</v>
      </c>
      <c r="BF376" s="855">
        <f t="shared" ca="1" si="87"/>
        <v>0</v>
      </c>
      <c r="BG376" s="855">
        <f t="shared" ca="1" si="88"/>
        <v>0</v>
      </c>
      <c r="BH376" s="855">
        <f t="shared" ca="1" si="89"/>
        <v>0</v>
      </c>
      <c r="BI376" s="855">
        <f t="shared" ca="1" si="90"/>
        <v>0</v>
      </c>
      <c r="BJ376" s="855">
        <f t="shared" ca="1" si="91"/>
        <v>0</v>
      </c>
      <c r="BK376" s="855">
        <f t="shared" ca="1" si="92"/>
        <v>0</v>
      </c>
      <c r="BL376" s="855">
        <f t="shared" ca="1" si="93"/>
        <v>0</v>
      </c>
      <c r="BM376" s="855">
        <f t="shared" ca="1" si="94"/>
        <v>0</v>
      </c>
      <c r="BN376" s="1581"/>
      <c r="BO376" s="1576" t="str">
        <f ca="1">IF(IFERROR(INDEX(Покупка!$K$26:$L$117,MATCH($F376&amp;"4komm",Покупка!$K$26:$K$117,0),2),"")=0,"",IFERROR(INDEX(Покупка!$K$26:$L$117,MATCH($F375&amp;"3komm",Покупка!$K$26:$K$117,0),2),""))</f>
        <v/>
      </c>
      <c r="BP376" s="1581"/>
      <c r="BQ376" s="1184"/>
      <c r="BR376" s="1184"/>
      <c r="BS376" s="973" t="s">
        <v>1708</v>
      </c>
      <c r="BT376" s="973"/>
      <c r="BU376" s="973"/>
      <c r="BV376" s="888"/>
      <c r="BW376" s="888"/>
    </row>
    <row r="377" spans="1:75" s="1334" customFormat="1" ht="14.25" customHeight="1" x14ac:dyDescent="0.15">
      <c r="A377" s="1184"/>
      <c r="B377" s="15"/>
      <c r="C377" s="26"/>
      <c r="D377" s="26"/>
      <c r="E377" s="545">
        <v>15</v>
      </c>
      <c r="F377" s="3" t="str" cm="1">
        <f t="array" aca="1" ref="F377" ca="1">OFFSET(E377,-1,1)</f>
        <v>2</v>
      </c>
      <c r="G377" s="26" t="s">
        <v>1086</v>
      </c>
      <c r="H377" s="26"/>
      <c r="I377" s="26" t="s">
        <v>2016</v>
      </c>
      <c r="J377" s="26"/>
      <c r="K377" s="26" t="s">
        <v>2016</v>
      </c>
      <c r="L377" s="889" t="s">
        <v>1502</v>
      </c>
      <c r="M377" s="26"/>
      <c r="N377" s="26"/>
      <c r="O377" s="26"/>
      <c r="P377" s="26"/>
      <c r="Q377" s="26"/>
      <c r="R377" s="26"/>
      <c r="S377" s="26"/>
      <c r="T377" s="388" t="b" cm="1">
        <f t="array" aca="1" ref="T377" ca="1">T376</f>
        <v>1</v>
      </c>
      <c r="U377" s="26"/>
      <c r="V377" s="26"/>
      <c r="W377" s="1184"/>
      <c r="X377" s="2032"/>
      <c r="Y377" s="1184"/>
      <c r="Z377" s="2012"/>
      <c r="AA377" s="1184"/>
      <c r="AB377" s="217" t="s">
        <v>2017</v>
      </c>
      <c r="AC377" s="685" t="s">
        <v>2018</v>
      </c>
      <c r="AD377" s="218" t="s">
        <v>831</v>
      </c>
      <c r="AE377" s="177">
        <f ca="1">SUMIFS(Покупка!AE$25:AE$117,Покупка!$F$25:$F$117,$F377,Покупка!$AC$25:$AC$117,$G377)</f>
        <v>0</v>
      </c>
      <c r="AF377" s="177">
        <f ca="1">SUMIFS(Покупка!AF$25:AF$117,Покупка!$F$25:$F$117,$F377,Покупка!$AC$25:$AC$117,$G377)</f>
        <v>0</v>
      </c>
      <c r="AG377" s="177">
        <f ca="1">SUMIFS(Покупка!AG$25:AG$117,Покупка!$F$25:$F$117,$F377,Покупка!$AC$25:$AC$117,$G377)</f>
        <v>0</v>
      </c>
      <c r="AH377" s="855">
        <f t="shared" ca="1" si="83"/>
        <v>0</v>
      </c>
      <c r="AI377" s="855">
        <f ca="1">SUMIFS(Покупка!AH$25:AH$117,Покупка!$F$25:$F$117,$F377,Покупка!$AC$25:$AC$117,$G377)</f>
        <v>0</v>
      </c>
      <c r="AJ377" s="855">
        <f ca="1">SUMIFS(Покупка!AI$25:AI$117,Покупка!$F$25:$F$117,$F377,Покупка!$AC$25:$AC$117,$G377)</f>
        <v>0</v>
      </c>
      <c r="AK377" s="855">
        <f ca="1">SUMIFS(Покупка!AJ$25:AJ$117,Покупка!$F$25:$F$117,$F377,Покупка!$AC$25:$AC$117,$G377)</f>
        <v>0</v>
      </c>
      <c r="AL377" s="855">
        <f ca="1">SUMIFS(Покупка!AK$25:AK$117,Покупка!$F$25:$F$117,$F377,Покупка!$AC$25:$AC$117,$G377)</f>
        <v>0</v>
      </c>
      <c r="AM377" s="855">
        <f ca="1">SUMIFS(Покупка!AL$25:AL$117,Покупка!$F$25:$F$117,$F377,Покупка!$AC$25:$AC$117,$G377)</f>
        <v>0</v>
      </c>
      <c r="AN377" s="855">
        <f ca="1">SUMIFS(Покупка!AM$25:AM$117,Покупка!$F$25:$F$117,$F377,Покупка!$AC$25:$AC$117,$G377)</f>
        <v>0</v>
      </c>
      <c r="AO377" s="855">
        <f ca="1">SUMIFS(Покупка!AN$25:AN$117,Покупка!$F$25:$F$117,$F377,Покупка!$AC$25:$AC$117,$G377)</f>
        <v>0</v>
      </c>
      <c r="AP377" s="855">
        <f ca="1">SUMIFS(Покупка!AO$25:AO$117,Покупка!$F$25:$F$117,$F377,Покупка!$AC$25:$AC$117,$G377)</f>
        <v>0</v>
      </c>
      <c r="AQ377" s="855">
        <f ca="1">SUMIFS(Покупка!AP$25:AP$117,Покупка!$F$25:$F$117,$F377,Покупка!$AC$25:$AC$117,$G377)</f>
        <v>0</v>
      </c>
      <c r="AR377" s="855">
        <f ca="1">SUMIFS(Покупка!AQ$25:AQ$117,Покупка!$F$25:$F$117,$F377,Покупка!$AC$25:$AC$117,$G377)</f>
        <v>0</v>
      </c>
      <c r="AS377" s="855">
        <f ca="1">SUMIFS(Покупка!AR$25:AR$117,Покупка!$F$25:$F$117,$F377,Покупка!$AC$25:$AC$117,$G377)</f>
        <v>0</v>
      </c>
      <c r="AT377" s="855">
        <f ca="1">SUMIFS(Покупка!AS$25:AS$117,Покупка!$F$25:$F$117,$F377,Покупка!$AC$25:$AC$117,$G377)</f>
        <v>0</v>
      </c>
      <c r="AU377" s="855">
        <f ca="1">SUMIFS(Покупка!AT$25:AT$117,Покупка!$F$25:$F$117,$F377,Покупка!$AC$25:$AC$117,$G377)</f>
        <v>0</v>
      </c>
      <c r="AV377" s="855">
        <f ca="1">SUMIFS(Покупка!AU$25:AU$117,Покупка!$F$25:$F$117,$F377,Покупка!$AC$25:$AC$117,$G377)</f>
        <v>0</v>
      </c>
      <c r="AW377" s="855">
        <f ca="1">SUMIFS(Покупка!AV$25:AV$117,Покупка!$F$25:$F$117,$F377,Покупка!$AC$25:$AC$117,$G377)</f>
        <v>0</v>
      </c>
      <c r="AX377" s="855">
        <f ca="1">SUMIFS(Покупка!AW$25:AW$117,Покупка!$F$25:$F$117,$F377,Покупка!$AC$25:$AC$117,$G377)</f>
        <v>0</v>
      </c>
      <c r="AY377" s="855">
        <f ca="1">SUMIFS(Покупка!AX$25:AX$117,Покупка!$F$25:$F$117,$F377,Покупка!$AC$25:$AC$117,$G377)</f>
        <v>0</v>
      </c>
      <c r="AZ377" s="855">
        <f ca="1">SUMIFS(Покупка!AY$25:AY$117,Покупка!$F$25:$F$117,$F377,Покупка!$AC$25:$AC$117,$G377)</f>
        <v>0</v>
      </c>
      <c r="BA377" s="855">
        <f ca="1">SUMIFS(Покупка!AZ$25:AZ$117,Покупка!$F$25:$F$117,$F377,Покупка!$AC$25:$AC$117,$G377)</f>
        <v>0</v>
      </c>
      <c r="BB377" s="855">
        <f ca="1">SUMIFS(Покупка!BA$25:BA$117,Покупка!$F$25:$F$117,$F377,Покупка!$AC$25:$AC$117,$G377)</f>
        <v>0</v>
      </c>
      <c r="BC377" s="855">
        <f ca="1">SUMIFS(Покупка!BB$25:BB$117,Покупка!$F$25:$F$117,$F377,Покупка!$AC$25:$AC$117,$G377)</f>
        <v>0</v>
      </c>
      <c r="BD377" s="855">
        <f t="shared" ca="1" si="85"/>
        <v>0</v>
      </c>
      <c r="BE377" s="855">
        <f t="shared" ca="1" si="86"/>
        <v>0</v>
      </c>
      <c r="BF377" s="855">
        <f t="shared" ca="1" si="87"/>
        <v>0</v>
      </c>
      <c r="BG377" s="855">
        <f t="shared" ca="1" si="88"/>
        <v>0</v>
      </c>
      <c r="BH377" s="855">
        <f t="shared" ca="1" si="89"/>
        <v>0</v>
      </c>
      <c r="BI377" s="855">
        <f t="shared" ca="1" si="90"/>
        <v>0</v>
      </c>
      <c r="BJ377" s="855">
        <f t="shared" ca="1" si="91"/>
        <v>0</v>
      </c>
      <c r="BK377" s="855">
        <f t="shared" ca="1" si="92"/>
        <v>0</v>
      </c>
      <c r="BL377" s="855">
        <f t="shared" ca="1" si="93"/>
        <v>0</v>
      </c>
      <c r="BM377" s="855">
        <f t="shared" ca="1" si="94"/>
        <v>0</v>
      </c>
      <c r="BN377" s="1581"/>
      <c r="BO377" s="1576"/>
      <c r="BP377" s="1581"/>
      <c r="BQ377" s="1184"/>
      <c r="BR377" s="1184"/>
      <c r="BS377" s="973" t="s">
        <v>1711</v>
      </c>
      <c r="BT377" s="973"/>
      <c r="BU377" s="973"/>
      <c r="BV377" s="888"/>
      <c r="BW377" s="888"/>
    </row>
    <row r="378" spans="1:75" s="1140" customFormat="1" ht="14.25" customHeight="1" x14ac:dyDescent="0.15">
      <c r="B378" s="15"/>
      <c r="C378" s="26"/>
      <c r="D378" s="26"/>
      <c r="E378" s="545">
        <v>15</v>
      </c>
      <c r="F378" s="3" t="str" cm="1">
        <f t="array" aca="1" ref="F378" ca="1">OFFSET(E378,-1,1)</f>
        <v>2</v>
      </c>
      <c r="G378" s="26" t="s">
        <v>1098</v>
      </c>
      <c r="H378" s="26"/>
      <c r="I378" s="26"/>
      <c r="J378" s="26"/>
      <c r="K378" s="26"/>
      <c r="L378" s="889" t="s">
        <v>1469</v>
      </c>
      <c r="M378" s="26"/>
      <c r="N378" s="26"/>
      <c r="O378" s="26"/>
      <c r="P378" s="26"/>
      <c r="Q378" s="26"/>
      <c r="R378" s="26"/>
      <c r="S378" s="26"/>
      <c r="T378" s="388" t="b" cm="1">
        <f t="array" aca="1" ref="T378" ca="1">T377</f>
        <v>1</v>
      </c>
      <c r="U378" s="26"/>
      <c r="V378" s="26"/>
      <c r="X378" s="2032"/>
      <c r="Z378" s="2012"/>
      <c r="AB378" s="217" t="s">
        <v>2019</v>
      </c>
      <c r="AC378" s="685" t="s">
        <v>2020</v>
      </c>
      <c r="AD378" s="218" t="s">
        <v>831</v>
      </c>
      <c r="AE378" s="177">
        <f ca="1">SUMIFS(Покупка!AE$25:AE$117,Покупка!$F$25:$F$117,$F378,Покупка!$AC$25:$AC$117,$G378)</f>
        <v>0</v>
      </c>
      <c r="AF378" s="177">
        <f ca="1">SUMIFS(Покупка!AF$25:AF$117,Покупка!$F$25:$F$117,$F378,Покупка!$AC$25:$AC$117,$G378)</f>
        <v>0</v>
      </c>
      <c r="AG378" s="177">
        <f ca="1">SUMIFS(Покупка!AG$25:AG$117,Покупка!$F$25:$F$117,$F378,Покупка!$AC$25:$AC$117,$G378)</f>
        <v>0</v>
      </c>
      <c r="AH378" s="855">
        <f t="shared" ca="1" si="83"/>
        <v>0</v>
      </c>
      <c r="AI378" s="855">
        <f ca="1">SUMIFS(Покупка!AH$25:AH$117,Покупка!$F$25:$F$117,$F378,Покупка!$AC$25:$AC$117,$G378)</f>
        <v>0</v>
      </c>
      <c r="AJ378" s="1024">
        <f ca="1">SUMIFS(Покупка!AI$25:AI$117,Покупка!$F$25:$F$117,$F378,Покупка!$AC$25:$AC$117,$G378)</f>
        <v>0</v>
      </c>
      <c r="AK378" s="1024">
        <f ca="1">SUMIFS(Покупка!AJ$25:AJ$117,Покупка!$F$25:$F$117,$F378,Покупка!$AC$25:$AC$117,$G378)</f>
        <v>0</v>
      </c>
      <c r="AL378" s="1024">
        <f ca="1">SUMIFS(Покупка!AK$25:AK$117,Покупка!$F$25:$F$117,$F378,Покупка!$AC$25:$AC$117,$G378)</f>
        <v>0</v>
      </c>
      <c r="AM378" s="1024">
        <f ca="1">SUMIFS(Покупка!AL$25:AL$117,Покупка!$F$25:$F$117,$F378,Покупка!$AC$25:$AC$117,$G378)</f>
        <v>0</v>
      </c>
      <c r="AN378" s="1024">
        <f ca="1">SUMIFS(Покупка!AM$25:AM$117,Покупка!$F$25:$F$117,$F378,Покупка!$AC$25:$AC$117,$G378)</f>
        <v>0</v>
      </c>
      <c r="AO378" s="1024">
        <f ca="1">SUMIFS(Покупка!AN$25:AN$117,Покупка!$F$25:$F$117,$F378,Покупка!$AC$25:$AC$117,$G378)</f>
        <v>0</v>
      </c>
      <c r="AP378" s="1024">
        <f ca="1">SUMIFS(Покупка!AO$25:AO$117,Покупка!$F$25:$F$117,$F378,Покупка!$AC$25:$AC$117,$G378)</f>
        <v>0</v>
      </c>
      <c r="AQ378" s="1024">
        <f ca="1">SUMIFS(Покупка!AP$25:AP$117,Покупка!$F$25:$F$117,$F378,Покупка!$AC$25:$AC$117,$G378)</f>
        <v>0</v>
      </c>
      <c r="AR378" s="1024">
        <f ca="1">SUMIFS(Покупка!AQ$25:AQ$117,Покупка!$F$25:$F$117,$F378,Покупка!$AC$25:$AC$117,$G378)</f>
        <v>0</v>
      </c>
      <c r="AS378" s="1024">
        <f ca="1">SUMIFS(Покупка!AR$25:AR$117,Покупка!$F$25:$F$117,$F378,Покупка!$AC$25:$AC$117,$G378)</f>
        <v>0</v>
      </c>
      <c r="AT378" s="1024">
        <f ca="1">SUMIFS(Покупка!AS$25:AS$117,Покупка!$F$25:$F$117,$F378,Покупка!$AC$25:$AC$117,$G378)</f>
        <v>0</v>
      </c>
      <c r="AU378" s="1024">
        <f ca="1">SUMIFS(Покупка!AT$25:AT$117,Покупка!$F$25:$F$117,$F378,Покупка!$AC$25:$AC$117,$G378)</f>
        <v>0</v>
      </c>
      <c r="AV378" s="1024">
        <f ca="1">SUMIFS(Покупка!AU$25:AU$117,Покупка!$F$25:$F$117,$F378,Покупка!$AC$25:$AC$117,$G378)</f>
        <v>0</v>
      </c>
      <c r="AW378" s="1024">
        <f ca="1">SUMIFS(Покупка!AV$25:AV$117,Покупка!$F$25:$F$117,$F378,Покупка!$AC$25:$AC$117,$G378)</f>
        <v>0</v>
      </c>
      <c r="AX378" s="1024">
        <f ca="1">SUMIFS(Покупка!AW$25:AW$117,Покупка!$F$25:$F$117,$F378,Покупка!$AC$25:$AC$117,$G378)</f>
        <v>0</v>
      </c>
      <c r="AY378" s="1024">
        <f ca="1">SUMIFS(Покупка!AX$25:AX$117,Покупка!$F$25:$F$117,$F378,Покупка!$AC$25:$AC$117,$G378)</f>
        <v>0</v>
      </c>
      <c r="AZ378" s="1024">
        <f ca="1">SUMIFS(Покупка!AY$25:AY$117,Покупка!$F$25:$F$117,$F378,Покупка!$AC$25:$AC$117,$G378)</f>
        <v>0</v>
      </c>
      <c r="BA378" s="1024">
        <f ca="1">SUMIFS(Покупка!AZ$25:AZ$117,Покупка!$F$25:$F$117,$F378,Покупка!$AC$25:$AC$117,$G378)</f>
        <v>0</v>
      </c>
      <c r="BB378" s="1024">
        <f ca="1">SUMIFS(Покупка!BA$25:BA$117,Покупка!$F$25:$F$117,$F378,Покупка!$AC$25:$AC$117,$G378)</f>
        <v>0</v>
      </c>
      <c r="BC378" s="1024">
        <f ca="1">SUMIFS(Покупка!BB$25:BB$117,Покупка!$F$25:$F$117,$F378,Покупка!$AC$25:$AC$117,$G378)</f>
        <v>0</v>
      </c>
      <c r="BD378" s="855">
        <f t="shared" ca="1" si="85"/>
        <v>0</v>
      </c>
      <c r="BE378" s="855">
        <f t="shared" ca="1" si="86"/>
        <v>0</v>
      </c>
      <c r="BF378" s="855">
        <f t="shared" ca="1" si="87"/>
        <v>0</v>
      </c>
      <c r="BG378" s="855">
        <f t="shared" ca="1" si="88"/>
        <v>0</v>
      </c>
      <c r="BH378" s="855">
        <f t="shared" ca="1" si="89"/>
        <v>0</v>
      </c>
      <c r="BI378" s="855">
        <f t="shared" ca="1" si="90"/>
        <v>0</v>
      </c>
      <c r="BJ378" s="855">
        <f t="shared" ca="1" si="91"/>
        <v>0</v>
      </c>
      <c r="BK378" s="855">
        <f t="shared" ca="1" si="92"/>
        <v>0</v>
      </c>
      <c r="BL378" s="855">
        <f t="shared" ca="1" si="93"/>
        <v>0</v>
      </c>
      <c r="BM378" s="855">
        <f t="shared" ca="1" si="94"/>
        <v>0</v>
      </c>
      <c r="BN378" s="1581"/>
      <c r="BO378" s="1576"/>
      <c r="BP378" s="1581"/>
      <c r="BS378" s="973" t="s">
        <v>1099</v>
      </c>
      <c r="BT378" s="973"/>
      <c r="BU378" s="973"/>
      <c r="BV378" s="626"/>
      <c r="BW378" s="626"/>
    </row>
    <row r="379" spans="1:75" s="1334" customFormat="1" ht="22.5" customHeight="1" x14ac:dyDescent="0.15">
      <c r="A379" s="1184"/>
      <c r="B379" s="15"/>
      <c r="C379" s="26"/>
      <c r="D379" s="26"/>
      <c r="E379" s="545">
        <v>15</v>
      </c>
      <c r="F379" s="3" t="str" cm="1">
        <f t="array" aca="1" ref="F379" ca="1">OFFSET(E379,-1,1)</f>
        <v>2</v>
      </c>
      <c r="G379" s="26"/>
      <c r="H379" s="26"/>
      <c r="I379" s="26" t="s">
        <v>515</v>
      </c>
      <c r="J379" s="26"/>
      <c r="K379" s="26" t="s">
        <v>515</v>
      </c>
      <c r="L379" s="889"/>
      <c r="M379" s="26"/>
      <c r="N379" s="26"/>
      <c r="O379" s="26"/>
      <c r="P379" s="26"/>
      <c r="Q379" s="26"/>
      <c r="R379" s="26"/>
      <c r="S379" s="26"/>
      <c r="T379" s="388" t="b" cm="1">
        <f t="array" aca="1" ref="T379" ca="1">T378</f>
        <v>1</v>
      </c>
      <c r="U379" s="26"/>
      <c r="V379" s="26"/>
      <c r="W379" s="1184"/>
      <c r="X379" s="2032"/>
      <c r="Y379" s="1184"/>
      <c r="Z379" s="2012"/>
      <c r="AA379" s="1184"/>
      <c r="AB379" s="217" t="s">
        <v>570</v>
      </c>
      <c r="AC379" s="682" t="s">
        <v>2021</v>
      </c>
      <c r="AD379" s="699" t="s">
        <v>831</v>
      </c>
      <c r="AE379" s="177">
        <f ca="1">SUMIFS('Сырье и материалы'!AE$25:AE$46,'Сырье и материалы'!$F$25:$F$46,$F379,'Сырье и материалы'!$AC$25:$AC$46,"Всего по тарифу")</f>
        <v>1205.73</v>
      </c>
      <c r="AF379" s="177">
        <f ca="1">SUMIFS('Сырье и материалы'!AF$25:AF$46,'Сырье и материалы'!$F$25:$F$46,$F379,'Сырье и материалы'!$AC$25:$AC$46,"Всего по тарифу")</f>
        <v>1124.97</v>
      </c>
      <c r="AG379" s="177">
        <f ca="1">SUMIFS('Сырье и материалы'!AG$25:AG$46,'Сырье и материалы'!$F$25:$F$46,$F379,'Сырье и материалы'!$AC$25:$AC$46,"Всего по тарифу")</f>
        <v>1111.6199999999999</v>
      </c>
      <c r="AH379" s="855">
        <f t="shared" ca="1" si="83"/>
        <v>-13.350000000000136</v>
      </c>
      <c r="AI379" s="855">
        <f ca="1">SUMIFS('Сырье и материалы'!AH$25:AH$46,'Сырье и материалы'!$F$25:$F$46,$F379,'Сырье и материалы'!$AC$25:$AC$46,"Всего по тарифу")</f>
        <v>1376.150995297</v>
      </c>
      <c r="AJ379" s="855">
        <f ca="1">SUMIFS('Сырье и материалы'!AI$25:AI$46,'Сырье и материалы'!$F$25:$F$46,$F379,'Сырье и материалы'!$AC$25:$AC$46,"Всего по тарифу")</f>
        <v>1436.24</v>
      </c>
      <c r="AK379" s="855">
        <f ca="1">SUMIFS('Сырье и материалы'!AJ$25:AJ$46,'Сырье и материалы'!$F$25:$F$46,$F379,'Сырье и материалы'!$AC$25:$AC$46,"Всего по тарифу")</f>
        <v>0</v>
      </c>
      <c r="AL379" s="855">
        <f ca="1">SUMIFS('Сырье и материалы'!AK$25:AK$46,'Сырье и материалы'!$F$25:$F$46,$F379,'Сырье и материалы'!$AC$25:$AC$46,"Всего по тарифу")</f>
        <v>0</v>
      </c>
      <c r="AM379" s="855">
        <f ca="1">SUMIFS('Сырье и материалы'!AL$25:AL$46,'Сырье и материалы'!$F$25:$F$46,$F379,'Сырье и материалы'!$AC$25:$AC$46,"Всего по тарифу")</f>
        <v>0</v>
      </c>
      <c r="AN379" s="855">
        <f ca="1">SUMIFS('Сырье и материалы'!AM$25:AM$46,'Сырье и материалы'!$F$25:$F$46,$F379,'Сырье и материалы'!$AC$25:$AC$46,"Всего по тарифу")</f>
        <v>0</v>
      </c>
      <c r="AO379" s="855">
        <f ca="1">SUMIFS('Сырье и материалы'!AN$25:AN$46,'Сырье и материалы'!$F$25:$F$46,$F379,'Сырье и материалы'!$AC$25:$AC$46,"Всего по тарифу")</f>
        <v>0</v>
      </c>
      <c r="AP379" s="855">
        <f ca="1">SUMIFS('Сырье и материалы'!AO$25:AO$46,'Сырье и материалы'!$F$25:$F$46,$F379,'Сырье и материалы'!$AC$25:$AC$46,"Всего по тарифу")</f>
        <v>0</v>
      </c>
      <c r="AQ379" s="855">
        <f ca="1">SUMIFS('Сырье и материалы'!AP$25:AP$46,'Сырье и материалы'!$F$25:$F$46,$F379,'Сырье и материалы'!$AC$25:$AC$46,"Всего по тарифу")</f>
        <v>0</v>
      </c>
      <c r="AR379" s="855">
        <f ca="1">SUMIFS('Сырье и материалы'!AQ$25:AQ$46,'Сырье и материалы'!$F$25:$F$46,$F379,'Сырье и материалы'!$AC$25:$AC$46,"Всего по тарифу")</f>
        <v>0</v>
      </c>
      <c r="AS379" s="855">
        <f ca="1">SUMIFS('Сырье и материалы'!AR$25:AR$46,'Сырье и материалы'!$F$25:$F$46,$F379,'Сырье и материалы'!$AC$25:$AC$46,"Всего по тарифу")</f>
        <v>0</v>
      </c>
      <c r="AT379" s="855">
        <f ca="1">SUMIFS('Сырье и материалы'!AS$25:AS$46,'Сырье и материалы'!$F$25:$F$46,$F379,'Сырье и материалы'!$AC$25:$AC$46,"Всего по тарифу")</f>
        <v>1137.17</v>
      </c>
      <c r="AU379" s="855">
        <f ca="1">SUMIFS('Сырье и материалы'!AT$25:AT$46,'Сырье и материалы'!$F$25:$F$46,$F379,'Сырье и материалы'!$AC$25:$AC$46,"Всего по тарифу")</f>
        <v>0</v>
      </c>
      <c r="AV379" s="855">
        <f ca="1">SUMIFS('Сырье и материалы'!AU$25:AU$46,'Сырье и материалы'!$F$25:$F$46,$F379,'Сырье и материалы'!$AC$25:$AC$46,"Всего по тарифу")</f>
        <v>0</v>
      </c>
      <c r="AW379" s="855">
        <f ca="1">SUMIFS('Сырье и материалы'!AV$25:AV$46,'Сырье и материалы'!$F$25:$F$46,$F379,'Сырье и материалы'!$AC$25:$AC$46,"Всего по тарифу")</f>
        <v>0</v>
      </c>
      <c r="AX379" s="855">
        <f ca="1">SUMIFS('Сырье и материалы'!AW$25:AW$46,'Сырье и материалы'!$F$25:$F$46,$F379,'Сырье и материалы'!$AC$25:$AC$46,"Всего по тарифу")</f>
        <v>0</v>
      </c>
      <c r="AY379" s="855">
        <f ca="1">SUMIFS('Сырье и материалы'!AX$25:AX$46,'Сырье и материалы'!$F$25:$F$46,$F379,'Сырье и материалы'!$AC$25:$AC$46,"Всего по тарифу")</f>
        <v>0</v>
      </c>
      <c r="AZ379" s="855">
        <f ca="1">SUMIFS('Сырье и материалы'!AY$25:AY$46,'Сырье и материалы'!$F$25:$F$46,$F379,'Сырье и материалы'!$AC$25:$AC$46,"Всего по тарифу")</f>
        <v>0</v>
      </c>
      <c r="BA379" s="855">
        <f ca="1">SUMIFS('Сырье и материалы'!AZ$25:AZ$46,'Сырье и материалы'!$F$25:$F$46,$F379,'Сырье и материалы'!$AC$25:$AC$46,"Всего по тарифу")</f>
        <v>0</v>
      </c>
      <c r="BB379" s="855">
        <f ca="1">SUMIFS('Сырье и материалы'!BA$25:BA$46,'Сырье и материалы'!$F$25:$F$46,$F379,'Сырье и материалы'!$AC$25:$AC$46,"Всего по тарифу")</f>
        <v>0</v>
      </c>
      <c r="BC379" s="855">
        <f ca="1">SUMIFS('Сырье и материалы'!BB$25:BB$46,'Сырье и материалы'!$F$25:$F$46,$F379,'Сырье и материалы'!$AC$25:$AC$46,"Всего по тарифу")</f>
        <v>0</v>
      </c>
      <c r="BD379" s="855">
        <f t="shared" ca="1" si="85"/>
        <v>-17.365899244611832</v>
      </c>
      <c r="BE379" s="855">
        <f t="shared" ca="1" si="86"/>
        <v>-100</v>
      </c>
      <c r="BF379" s="855">
        <f t="shared" ca="1" si="87"/>
        <v>0</v>
      </c>
      <c r="BG379" s="855">
        <f t="shared" ca="1" si="88"/>
        <v>0</v>
      </c>
      <c r="BH379" s="855">
        <f t="shared" ca="1" si="89"/>
        <v>0</v>
      </c>
      <c r="BI379" s="855">
        <f t="shared" ca="1" si="90"/>
        <v>0</v>
      </c>
      <c r="BJ379" s="855">
        <f t="shared" ca="1" si="91"/>
        <v>0</v>
      </c>
      <c r="BK379" s="855">
        <f t="shared" ca="1" si="92"/>
        <v>0</v>
      </c>
      <c r="BL379" s="855">
        <f t="shared" ca="1" si="93"/>
        <v>0</v>
      </c>
      <c r="BM379" s="855">
        <f t="shared" ca="1" si="94"/>
        <v>0</v>
      </c>
      <c r="BN379" s="1581"/>
      <c r="BO379" s="1576" t="s">
        <v>2224</v>
      </c>
      <c r="BP379" s="1581" t="s">
        <v>2225</v>
      </c>
      <c r="BQ379" s="1184"/>
      <c r="BR379" s="1184"/>
      <c r="BS379" s="973" t="s">
        <v>1684</v>
      </c>
      <c r="BT379" s="973"/>
      <c r="BU379" s="973"/>
      <c r="BV379" s="888"/>
      <c r="BW379" s="888"/>
    </row>
    <row r="380" spans="1:75" s="1603" customFormat="1" ht="33.75" customHeight="1" x14ac:dyDescent="0.15">
      <c r="A380" s="623"/>
      <c r="B380" s="30"/>
      <c r="C380" s="28"/>
      <c r="D380" s="28"/>
      <c r="E380" s="745">
        <v>21</v>
      </c>
      <c r="F380" s="3" t="str" cm="1">
        <f t="array" aca="1" ref="F380" ca="1">OFFSET(E380,-1,1)</f>
        <v>2</v>
      </c>
      <c r="G380" s="28"/>
      <c r="H380" s="26"/>
      <c r="I380" s="26" t="s">
        <v>930</v>
      </c>
      <c r="J380" s="28"/>
      <c r="K380" s="26" t="s">
        <v>930</v>
      </c>
      <c r="L380" s="894" t="s">
        <v>547</v>
      </c>
      <c r="M380" s="28"/>
      <c r="N380" s="28"/>
      <c r="O380" s="28"/>
      <c r="P380" s="28"/>
      <c r="Q380" s="28"/>
      <c r="R380" s="28"/>
      <c r="S380" s="28"/>
      <c r="T380" s="388" t="b" cm="1">
        <f t="array" aca="1" ref="T380" ca="1">T379</f>
        <v>1</v>
      </c>
      <c r="U380" s="28"/>
      <c r="V380" s="28"/>
      <c r="W380" s="623"/>
      <c r="X380" s="2032"/>
      <c r="Y380" s="623"/>
      <c r="Z380" s="2012"/>
      <c r="AA380" s="623"/>
      <c r="AB380" s="137" t="s">
        <v>574</v>
      </c>
      <c r="AC380" s="277" t="s">
        <v>2022</v>
      </c>
      <c r="AD380" s="130" t="s">
        <v>831</v>
      </c>
      <c r="AE380" s="698">
        <f ca="1">SUM(AE381:AE390)</f>
        <v>465.75152397400001</v>
      </c>
      <c r="AF380" s="698">
        <f ca="1">SUM(AF381:AF390)</f>
        <v>370.29</v>
      </c>
      <c r="AG380" s="698">
        <f ca="1">SUM(AG381:AG390)</f>
        <v>370.29</v>
      </c>
      <c r="AH380" s="681">
        <f t="shared" ca="1" si="83"/>
        <v>0</v>
      </c>
      <c r="AI380" s="681">
        <f t="shared" ref="AI380:BC380" ca="1" si="96">SUM(AI381:AI390)</f>
        <v>478.2137354683</v>
      </c>
      <c r="AJ380" s="690">
        <f t="shared" ca="1" si="96"/>
        <v>1023.22</v>
      </c>
      <c r="AK380" s="681">
        <f t="shared" ca="1" si="96"/>
        <v>0</v>
      </c>
      <c r="AL380" s="681">
        <f t="shared" ca="1" si="96"/>
        <v>0</v>
      </c>
      <c r="AM380" s="681">
        <f t="shared" ca="1" si="96"/>
        <v>0</v>
      </c>
      <c r="AN380" s="681">
        <f t="shared" ca="1" si="96"/>
        <v>0</v>
      </c>
      <c r="AO380" s="681">
        <f t="shared" ca="1" si="96"/>
        <v>0</v>
      </c>
      <c r="AP380" s="681">
        <f t="shared" ca="1" si="96"/>
        <v>0</v>
      </c>
      <c r="AQ380" s="681">
        <f t="shared" ca="1" si="96"/>
        <v>0</v>
      </c>
      <c r="AR380" s="681">
        <f t="shared" ca="1" si="96"/>
        <v>0</v>
      </c>
      <c r="AS380" s="681">
        <f t="shared" ca="1" si="96"/>
        <v>0</v>
      </c>
      <c r="AT380" s="690">
        <f t="shared" ca="1" si="96"/>
        <v>505.21000000000004</v>
      </c>
      <c r="AU380" s="681">
        <f t="shared" ca="1" si="96"/>
        <v>0</v>
      </c>
      <c r="AV380" s="681">
        <f t="shared" ca="1" si="96"/>
        <v>0</v>
      </c>
      <c r="AW380" s="681">
        <f t="shared" ca="1" si="96"/>
        <v>0</v>
      </c>
      <c r="AX380" s="681">
        <f t="shared" ca="1" si="96"/>
        <v>0</v>
      </c>
      <c r="AY380" s="681">
        <f t="shared" ca="1" si="96"/>
        <v>0</v>
      </c>
      <c r="AZ380" s="681">
        <f t="shared" ca="1" si="96"/>
        <v>0</v>
      </c>
      <c r="BA380" s="681">
        <f t="shared" ca="1" si="96"/>
        <v>0</v>
      </c>
      <c r="BB380" s="681">
        <f t="shared" ca="1" si="96"/>
        <v>0</v>
      </c>
      <c r="BC380" s="681">
        <f t="shared" ca="1" si="96"/>
        <v>0</v>
      </c>
      <c r="BD380" s="681">
        <f t="shared" ca="1" si="85"/>
        <v>5.6452298479598086</v>
      </c>
      <c r="BE380" s="681">
        <f t="shared" ca="1" si="86"/>
        <v>-100</v>
      </c>
      <c r="BF380" s="681">
        <f t="shared" ca="1" si="87"/>
        <v>0</v>
      </c>
      <c r="BG380" s="681">
        <f t="shared" ca="1" si="88"/>
        <v>0</v>
      </c>
      <c r="BH380" s="681">
        <f t="shared" ca="1" si="89"/>
        <v>0</v>
      </c>
      <c r="BI380" s="681">
        <f t="shared" ca="1" si="90"/>
        <v>0</v>
      </c>
      <c r="BJ380" s="681">
        <f t="shared" ca="1" si="91"/>
        <v>0</v>
      </c>
      <c r="BK380" s="681">
        <f t="shared" ca="1" si="92"/>
        <v>0</v>
      </c>
      <c r="BL380" s="681">
        <f t="shared" ca="1" si="93"/>
        <v>0</v>
      </c>
      <c r="BM380" s="681">
        <f t="shared" ca="1" si="94"/>
        <v>0</v>
      </c>
      <c r="BN380" s="1524"/>
      <c r="BO380" s="1576"/>
      <c r="BP380" s="1524"/>
      <c r="BQ380" s="623"/>
      <c r="BR380" s="623"/>
      <c r="BS380" s="979" t="s">
        <v>1233</v>
      </c>
      <c r="BT380" s="979"/>
      <c r="BU380" s="979"/>
      <c r="BV380" s="630"/>
      <c r="BW380" s="630"/>
    </row>
    <row r="381" spans="1:75" s="1334" customFormat="1" ht="14.25" customHeight="1" x14ac:dyDescent="0.15">
      <c r="A381" s="1184"/>
      <c r="B381" s="15"/>
      <c r="C381" s="26"/>
      <c r="D381" s="26"/>
      <c r="E381" s="545">
        <v>15</v>
      </c>
      <c r="F381" s="3" t="str" cm="1">
        <f t="array" aca="1" ref="F381" ca="1">OFFSET(E381,-1,1)</f>
        <v>2</v>
      </c>
      <c r="G381" s="834">
        <v>7</v>
      </c>
      <c r="H381" s="26"/>
      <c r="I381" s="26" t="s">
        <v>2023</v>
      </c>
      <c r="J381" s="26"/>
      <c r="K381" s="26" t="s">
        <v>2023</v>
      </c>
      <c r="L381" s="889"/>
      <c r="M381" s="26"/>
      <c r="N381" s="26"/>
      <c r="O381" s="26"/>
      <c r="P381" s="26"/>
      <c r="Q381" s="26"/>
      <c r="R381" s="26"/>
      <c r="S381" s="26"/>
      <c r="T381" s="388" t="b" cm="1">
        <f t="array" aca="1" ref="T381" ca="1">T380</f>
        <v>1</v>
      </c>
      <c r="U381" s="26"/>
      <c r="V381" s="26"/>
      <c r="W381" s="1184"/>
      <c r="X381" s="2032"/>
      <c r="Y381" s="1184"/>
      <c r="Z381" s="2012"/>
      <c r="AA381" s="1184"/>
      <c r="AB381" s="217" t="s">
        <v>531</v>
      </c>
      <c r="AC381" s="685" t="s">
        <v>1247</v>
      </c>
      <c r="AD381" s="218" t="s">
        <v>831</v>
      </c>
      <c r="AE381" s="177">
        <f ca="1">SUMIFS(Налоги!AE$25:AE$69,Налоги!$F$25:$F$69,$F381,Налоги!$AB$25:$AB$69,$G381)</f>
        <v>0</v>
      </c>
      <c r="AF381" s="177">
        <f ca="1">SUMIFS(Налоги!AF$25:AF$69,Налоги!$F$25:$F$69,$F381,Налоги!$AB$25:$AB$69,$G381)</f>
        <v>0</v>
      </c>
      <c r="AG381" s="177">
        <f ca="1">SUMIFS(Налоги!AG$25:AG$69,Налоги!$F$25:$F$69,$F381,Налоги!$AB$25:$AB$69,$G381)</f>
        <v>0</v>
      </c>
      <c r="AH381" s="855">
        <f t="shared" ca="1" si="83"/>
        <v>0</v>
      </c>
      <c r="AI381" s="855">
        <f ca="1">SUMIFS(Налоги!AH$25:AH$69,Налоги!$F$25:$F$69,$F381,Налоги!$AB$25:$AB$69,$G381)</f>
        <v>0</v>
      </c>
      <c r="AJ381" s="855">
        <f ca="1">SUMIFS(Налоги!AI$25:AI$69,Налоги!$F$25:$F$69,$F381,Налоги!$AB$25:$AB$69,$G381)</f>
        <v>0</v>
      </c>
      <c r="AK381" s="855">
        <f ca="1">SUMIFS(Налоги!AJ$25:AJ$69,Налоги!$F$25:$F$69,$F381,Налоги!$AB$25:$AB$69,$G381)</f>
        <v>0</v>
      </c>
      <c r="AL381" s="855">
        <f ca="1">SUMIFS(Налоги!AK$25:AK$69,Налоги!$F$25:$F$69,$F381,Налоги!$AB$25:$AB$69,$G381)</f>
        <v>0</v>
      </c>
      <c r="AM381" s="855">
        <f ca="1">SUMIFS(Налоги!AL$25:AL$69,Налоги!$F$25:$F$69,$F381,Налоги!$AB$25:$AB$69,$G381)</f>
        <v>0</v>
      </c>
      <c r="AN381" s="855">
        <f ca="1">SUMIFS(Налоги!AM$25:AM$69,Налоги!$F$25:$F$69,$F381,Налоги!$AB$25:$AB$69,$G381)</f>
        <v>0</v>
      </c>
      <c r="AO381" s="855">
        <f ca="1">SUMIFS(Налоги!AN$25:AN$69,Налоги!$F$25:$F$69,$F381,Налоги!$AB$25:$AB$69,$G381)</f>
        <v>0</v>
      </c>
      <c r="AP381" s="855">
        <f ca="1">SUMIFS(Налоги!AO$25:AO$69,Налоги!$F$25:$F$69,$F381,Налоги!$AB$25:$AB$69,$G381)</f>
        <v>0</v>
      </c>
      <c r="AQ381" s="855">
        <f ca="1">SUMIFS(Налоги!AP$25:AP$69,Налоги!$F$25:$F$69,$F381,Налоги!$AB$25:$AB$69,$G381)</f>
        <v>0</v>
      </c>
      <c r="AR381" s="855">
        <f ca="1">SUMIFS(Налоги!AQ$25:AQ$69,Налоги!$F$25:$F$69,$F381,Налоги!$AB$25:$AB$69,$G381)</f>
        <v>0</v>
      </c>
      <c r="AS381" s="855">
        <f ca="1">SUMIFS(Налоги!AR$25:AR$69,Налоги!$F$25:$F$69,$F381,Налоги!$AB$25:$AB$69,$G381)</f>
        <v>0</v>
      </c>
      <c r="AT381" s="855">
        <f ca="1">SUMIFS(Налоги!AS$25:AS$69,Налоги!$F$25:$F$69,$F381,Налоги!$AB$25:$AB$69,$G381)</f>
        <v>0</v>
      </c>
      <c r="AU381" s="855">
        <f ca="1">SUMIFS(Налоги!AT$25:AT$69,Налоги!$F$25:$F$69,$F381,Налоги!$AB$25:$AB$69,$G381)</f>
        <v>0</v>
      </c>
      <c r="AV381" s="855">
        <f ca="1">SUMIFS(Налоги!AU$25:AU$69,Налоги!$F$25:$F$69,$F381,Налоги!$AB$25:$AB$69,$G381)</f>
        <v>0</v>
      </c>
      <c r="AW381" s="855">
        <f ca="1">SUMIFS(Налоги!AV$25:AV$69,Налоги!$F$25:$F$69,$F381,Налоги!$AB$25:$AB$69,$G381)</f>
        <v>0</v>
      </c>
      <c r="AX381" s="855">
        <f ca="1">SUMIFS(Налоги!AW$25:AW$69,Налоги!$F$25:$F$69,$F381,Налоги!$AB$25:$AB$69,$G381)</f>
        <v>0</v>
      </c>
      <c r="AY381" s="855">
        <f ca="1">SUMIFS(Налоги!AX$25:AX$69,Налоги!$F$25:$F$69,$F381,Налоги!$AB$25:$AB$69,$G381)</f>
        <v>0</v>
      </c>
      <c r="AZ381" s="855">
        <f ca="1">SUMIFS(Налоги!AY$25:AY$69,Налоги!$F$25:$F$69,$F381,Налоги!$AB$25:$AB$69,$G381)</f>
        <v>0</v>
      </c>
      <c r="BA381" s="855">
        <f ca="1">SUMIFS(Налоги!AZ$25:AZ$69,Налоги!$F$25:$F$69,$F381,Налоги!$AB$25:$AB$69,$G381)</f>
        <v>0</v>
      </c>
      <c r="BB381" s="855">
        <f ca="1">SUMIFS(Налоги!BA$25:BA$69,Налоги!$F$25:$F$69,$F381,Налоги!$AB$25:$AB$69,$G381)</f>
        <v>0</v>
      </c>
      <c r="BC381" s="855">
        <f ca="1">SUMIFS(Налоги!BB$25:BB$69,Налоги!$F$25:$F$69,$F381,Налоги!$AB$25:$AB$69,$G381)</f>
        <v>0</v>
      </c>
      <c r="BD381" s="855">
        <f t="shared" ca="1" si="85"/>
        <v>0</v>
      </c>
      <c r="BE381" s="855">
        <f t="shared" ca="1" si="86"/>
        <v>0</v>
      </c>
      <c r="BF381" s="855">
        <f t="shared" ca="1" si="87"/>
        <v>0</v>
      </c>
      <c r="BG381" s="855">
        <f t="shared" ca="1" si="88"/>
        <v>0</v>
      </c>
      <c r="BH381" s="855">
        <f t="shared" ca="1" si="89"/>
        <v>0</v>
      </c>
      <c r="BI381" s="855">
        <f t="shared" ca="1" si="90"/>
        <v>0</v>
      </c>
      <c r="BJ381" s="855">
        <f t="shared" ca="1" si="91"/>
        <v>0</v>
      </c>
      <c r="BK381" s="855">
        <f t="shared" ca="1" si="92"/>
        <v>0</v>
      </c>
      <c r="BL381" s="855">
        <f t="shared" ca="1" si="93"/>
        <v>0</v>
      </c>
      <c r="BM381" s="855">
        <f t="shared" ca="1" si="94"/>
        <v>0</v>
      </c>
      <c r="BN381" s="1581"/>
      <c r="BO381" s="1576"/>
      <c r="BP381" s="1581"/>
      <c r="BQ381" s="1184"/>
      <c r="BR381" s="1184"/>
      <c r="BS381" s="973" t="s">
        <v>2024</v>
      </c>
      <c r="BT381" s="973"/>
      <c r="BU381" s="973"/>
      <c r="BV381" s="888"/>
      <c r="BW381" s="888"/>
    </row>
    <row r="382" spans="1:75" s="1334" customFormat="1" ht="54.75" customHeight="1" x14ac:dyDescent="0.15">
      <c r="A382" s="1184"/>
      <c r="B382" s="15"/>
      <c r="C382" s="26"/>
      <c r="D382" s="26"/>
      <c r="E382" s="545">
        <v>15</v>
      </c>
      <c r="F382" s="3" t="str" cm="1">
        <f t="array" aca="1" ref="F382" ca="1">OFFSET(E382,-1,1)</f>
        <v>2</v>
      </c>
      <c r="G382" s="834">
        <v>6</v>
      </c>
      <c r="H382" s="26"/>
      <c r="I382" s="26" t="s">
        <v>2025</v>
      </c>
      <c r="J382" s="26"/>
      <c r="K382" s="26" t="s">
        <v>2025</v>
      </c>
      <c r="L382" s="889"/>
      <c r="M382" s="26"/>
      <c r="N382" s="26"/>
      <c r="O382" s="26"/>
      <c r="P382" s="26"/>
      <c r="Q382" s="26"/>
      <c r="R382" s="26"/>
      <c r="S382" s="26"/>
      <c r="T382" s="388" t="b" cm="1">
        <f t="array" aca="1" ref="T382" ca="1">T381</f>
        <v>1</v>
      </c>
      <c r="U382" s="26"/>
      <c r="V382" s="26"/>
      <c r="W382" s="1184"/>
      <c r="X382" s="2032"/>
      <c r="Y382" s="1184"/>
      <c r="Z382" s="2012"/>
      <c r="AA382" s="1184"/>
      <c r="AB382" s="217" t="s">
        <v>1459</v>
      </c>
      <c r="AC382" s="685" t="s">
        <v>2026</v>
      </c>
      <c r="AD382" s="218" t="s">
        <v>831</v>
      </c>
      <c r="AE382" s="177">
        <f ca="1">SUMIFS(Налоги!AE$25:AE$69,Налоги!$F$25:$F$69,$F382,Налоги!$AB$25:$AB$69,$G382)</f>
        <v>465.75152397400001</v>
      </c>
      <c r="AF382" s="177">
        <f ca="1">SUMIFS(Налоги!AF$25:AF$69,Налоги!$F$25:$F$69,$F382,Налоги!$AB$25:$AB$69,$G382)</f>
        <v>333.97</v>
      </c>
      <c r="AG382" s="177">
        <f ca="1">SUMIFS(Налоги!AG$25:AG$69,Налоги!$F$25:$F$69,$F382,Налоги!$AB$25:$AB$69,$G382)</f>
        <v>333.97</v>
      </c>
      <c r="AH382" s="855">
        <f t="shared" ca="1" si="83"/>
        <v>0</v>
      </c>
      <c r="AI382" s="855">
        <f ca="1">SUMIFS(Налоги!AH$25:AH$69,Налоги!$F$25:$F$69,$F382,Налоги!$AB$25:$AB$69,$G382)</f>
        <v>478.2137354683</v>
      </c>
      <c r="AJ382" s="855">
        <f ca="1">SUMIFS(Налоги!AI$25:AI$69,Налоги!$F$25:$F$69,$F382,Налоги!$AB$25:$AB$69,$G382)</f>
        <v>983.6</v>
      </c>
      <c r="AK382" s="855">
        <f ca="1">SUMIFS(Налоги!AJ$25:AJ$69,Налоги!$F$25:$F$69,$F382,Налоги!$AB$25:$AB$69,$G382)</f>
        <v>0</v>
      </c>
      <c r="AL382" s="855">
        <f ca="1">SUMIFS(Налоги!AK$25:AK$69,Налоги!$F$25:$F$69,$F382,Налоги!$AB$25:$AB$69,$G382)</f>
        <v>0</v>
      </c>
      <c r="AM382" s="855">
        <f ca="1">SUMIFS(Налоги!AL$25:AL$69,Налоги!$F$25:$F$69,$F382,Налоги!$AB$25:$AB$69,$G382)</f>
        <v>0</v>
      </c>
      <c r="AN382" s="855">
        <f ca="1">SUMIFS(Налоги!AM$25:AM$69,Налоги!$F$25:$F$69,$F382,Налоги!$AB$25:$AB$69,$G382)</f>
        <v>0</v>
      </c>
      <c r="AO382" s="855">
        <f ca="1">SUMIFS(Налоги!AN$25:AN$69,Налоги!$F$25:$F$69,$F382,Налоги!$AB$25:$AB$69,$G382)</f>
        <v>0</v>
      </c>
      <c r="AP382" s="855">
        <f ca="1">SUMIFS(Налоги!AO$25:AO$69,Налоги!$F$25:$F$69,$F382,Налоги!$AB$25:$AB$69,$G382)</f>
        <v>0</v>
      </c>
      <c r="AQ382" s="855">
        <f ca="1">SUMIFS(Налоги!AP$25:AP$69,Налоги!$F$25:$F$69,$F382,Налоги!$AB$25:$AB$69,$G382)</f>
        <v>0</v>
      </c>
      <c r="AR382" s="855">
        <f ca="1">SUMIFS(Налоги!AQ$25:AQ$69,Налоги!$F$25:$F$69,$F382,Налоги!$AB$25:$AB$69,$G382)</f>
        <v>0</v>
      </c>
      <c r="AS382" s="855">
        <f ca="1">SUMIFS(Налоги!AR$25:AR$69,Налоги!$F$25:$F$69,$F382,Налоги!$AB$25:$AB$69,$G382)</f>
        <v>0</v>
      </c>
      <c r="AT382" s="855">
        <f ca="1">SUMIFS(Налоги!AS$25:AS$69,Налоги!$F$25:$F$69,$F382,Налоги!$AB$25:$AB$69,$G382)</f>
        <v>468.89000000000004</v>
      </c>
      <c r="AU382" s="855">
        <f ca="1">SUMIFS(Налоги!AT$25:AT$69,Налоги!$F$25:$F$69,$F382,Налоги!$AB$25:$AB$69,$G382)</f>
        <v>0</v>
      </c>
      <c r="AV382" s="855">
        <f ca="1">SUMIFS(Налоги!AU$25:AU$69,Налоги!$F$25:$F$69,$F382,Налоги!$AB$25:$AB$69,$G382)</f>
        <v>0</v>
      </c>
      <c r="AW382" s="855">
        <f ca="1">SUMIFS(Налоги!AV$25:AV$69,Налоги!$F$25:$F$69,$F382,Налоги!$AB$25:$AB$69,$G382)</f>
        <v>0</v>
      </c>
      <c r="AX382" s="855">
        <f ca="1">SUMIFS(Налоги!AW$25:AW$69,Налоги!$F$25:$F$69,$F382,Налоги!$AB$25:$AB$69,$G382)</f>
        <v>0</v>
      </c>
      <c r="AY382" s="855">
        <f ca="1">SUMIFS(Налоги!AX$25:AX$69,Налоги!$F$25:$F$69,$F382,Налоги!$AB$25:$AB$69,$G382)</f>
        <v>0</v>
      </c>
      <c r="AZ382" s="855">
        <f ca="1">SUMIFS(Налоги!AY$25:AY$69,Налоги!$F$25:$F$69,$F382,Налоги!$AB$25:$AB$69,$G382)</f>
        <v>0</v>
      </c>
      <c r="BA382" s="855">
        <f ca="1">SUMIFS(Налоги!AZ$25:AZ$69,Налоги!$F$25:$F$69,$F382,Налоги!$AB$25:$AB$69,$G382)</f>
        <v>0</v>
      </c>
      <c r="BB382" s="855">
        <f ca="1">SUMIFS(Налоги!BA$25:BA$69,Налоги!$F$25:$F$69,$F382,Налоги!$AB$25:$AB$69,$G382)</f>
        <v>0</v>
      </c>
      <c r="BC382" s="855">
        <f ca="1">SUMIFS(Налоги!BB$25:BB$69,Налоги!$F$25:$F$69,$F382,Налоги!$AB$25:$AB$69,$G382)</f>
        <v>0</v>
      </c>
      <c r="BD382" s="855">
        <f t="shared" ca="1" si="85"/>
        <v>-1.9497004742386814</v>
      </c>
      <c r="BE382" s="855">
        <f t="shared" ca="1" si="86"/>
        <v>-100</v>
      </c>
      <c r="BF382" s="855">
        <f t="shared" ca="1" si="87"/>
        <v>0</v>
      </c>
      <c r="BG382" s="855">
        <f t="shared" ca="1" si="88"/>
        <v>0</v>
      </c>
      <c r="BH382" s="855">
        <f t="shared" ca="1" si="89"/>
        <v>0</v>
      </c>
      <c r="BI382" s="855">
        <f t="shared" ca="1" si="90"/>
        <v>0</v>
      </c>
      <c r="BJ382" s="855">
        <f t="shared" ca="1" si="91"/>
        <v>0</v>
      </c>
      <c r="BK382" s="855">
        <f t="shared" ca="1" si="92"/>
        <v>0</v>
      </c>
      <c r="BL382" s="855">
        <f t="shared" ca="1" si="93"/>
        <v>0</v>
      </c>
      <c r="BM382" s="855">
        <f t="shared" ca="1" si="94"/>
        <v>0</v>
      </c>
      <c r="BN382" s="1584"/>
      <c r="BO382" s="1576" t="s">
        <v>2226</v>
      </c>
      <c r="BP382" s="1581" t="s">
        <v>2227</v>
      </c>
      <c r="BQ382" s="1184"/>
      <c r="BR382" s="1184"/>
      <c r="BS382" s="973" t="s">
        <v>2027</v>
      </c>
      <c r="BT382" s="973"/>
      <c r="BU382" s="973"/>
      <c r="BV382" s="888"/>
      <c r="BW382" s="888"/>
    </row>
    <row r="383" spans="1:75" s="1334" customFormat="1" ht="14.25" customHeight="1" x14ac:dyDescent="0.15">
      <c r="A383" s="1184"/>
      <c r="B383" s="15"/>
      <c r="C383" s="26"/>
      <c r="D383" s="26"/>
      <c r="E383" s="545">
        <v>15</v>
      </c>
      <c r="F383" s="3" t="str" cm="1">
        <f t="array" aca="1" ref="F383" ca="1">OFFSET(E383,-1,1)</f>
        <v>2</v>
      </c>
      <c r="G383" s="834">
        <v>2</v>
      </c>
      <c r="H383" s="26"/>
      <c r="I383" s="26" t="s">
        <v>2028</v>
      </c>
      <c r="J383" s="26"/>
      <c r="K383" s="26" t="s">
        <v>2028</v>
      </c>
      <c r="L383" s="889"/>
      <c r="M383" s="26"/>
      <c r="N383" s="26"/>
      <c r="O383" s="26"/>
      <c r="P383" s="26"/>
      <c r="Q383" s="26"/>
      <c r="R383" s="26"/>
      <c r="S383" s="26"/>
      <c r="T383" s="388" t="b" cm="1">
        <f t="array" aca="1" ref="T383" ca="1">T382</f>
        <v>1</v>
      </c>
      <c r="U383" s="26"/>
      <c r="V383" s="26"/>
      <c r="W383" s="1184"/>
      <c r="X383" s="2032"/>
      <c r="Y383" s="1184"/>
      <c r="Z383" s="2012"/>
      <c r="AA383" s="1184"/>
      <c r="AB383" s="217" t="s">
        <v>1464</v>
      </c>
      <c r="AC383" s="685" t="s">
        <v>2029</v>
      </c>
      <c r="AD383" s="218" t="s">
        <v>831</v>
      </c>
      <c r="AE383" s="177">
        <f ca="1">SUMIFS(Налоги!AE$25:AE$69,Налоги!$F$25:$F$69,$F383,Налоги!$AB$25:$AB$69,$G383)</f>
        <v>0</v>
      </c>
      <c r="AF383" s="177">
        <f ca="1">SUMIFS(Налоги!AF$25:AF$69,Налоги!$F$25:$F$69,$F383,Налоги!$AB$25:$AB$69,$G383)</f>
        <v>0</v>
      </c>
      <c r="AG383" s="177">
        <f ca="1">SUMIFS(Налоги!AG$25:AG$69,Налоги!$F$25:$F$69,$F383,Налоги!$AB$25:$AB$69,$G383)</f>
        <v>0</v>
      </c>
      <c r="AH383" s="855">
        <f t="shared" ca="1" si="83"/>
        <v>0</v>
      </c>
      <c r="AI383" s="855">
        <f ca="1">SUMIFS(Налоги!AH$25:AH$69,Налоги!$F$25:$F$69,$F383,Налоги!$AB$25:$AB$69,$G383)</f>
        <v>0</v>
      </c>
      <c r="AJ383" s="855">
        <f ca="1">SUMIFS(Налоги!AI$25:AI$69,Налоги!$F$25:$F$69,$F383,Налоги!$AB$25:$AB$69,$G383)</f>
        <v>0</v>
      </c>
      <c r="AK383" s="855">
        <f ca="1">SUMIFS(Налоги!AJ$25:AJ$69,Налоги!$F$25:$F$69,$F383,Налоги!$AB$25:$AB$69,$G383)</f>
        <v>0</v>
      </c>
      <c r="AL383" s="855">
        <f ca="1">SUMIFS(Налоги!AK$25:AK$69,Налоги!$F$25:$F$69,$F383,Налоги!$AB$25:$AB$69,$G383)</f>
        <v>0</v>
      </c>
      <c r="AM383" s="855">
        <f ca="1">SUMIFS(Налоги!AL$25:AL$69,Налоги!$F$25:$F$69,$F383,Налоги!$AB$25:$AB$69,$G383)</f>
        <v>0</v>
      </c>
      <c r="AN383" s="855">
        <f ca="1">SUMIFS(Налоги!AM$25:AM$69,Налоги!$F$25:$F$69,$F383,Налоги!$AB$25:$AB$69,$G383)</f>
        <v>0</v>
      </c>
      <c r="AO383" s="855">
        <f ca="1">SUMIFS(Налоги!AN$25:AN$69,Налоги!$F$25:$F$69,$F383,Налоги!$AB$25:$AB$69,$G383)</f>
        <v>0</v>
      </c>
      <c r="AP383" s="855">
        <f ca="1">SUMIFS(Налоги!AO$25:AO$69,Налоги!$F$25:$F$69,$F383,Налоги!$AB$25:$AB$69,$G383)</f>
        <v>0</v>
      </c>
      <c r="AQ383" s="855">
        <f ca="1">SUMIFS(Налоги!AP$25:AP$69,Налоги!$F$25:$F$69,$F383,Налоги!$AB$25:$AB$69,$G383)</f>
        <v>0</v>
      </c>
      <c r="AR383" s="855">
        <f ca="1">SUMIFS(Налоги!AQ$25:AQ$69,Налоги!$F$25:$F$69,$F383,Налоги!$AB$25:$AB$69,$G383)</f>
        <v>0</v>
      </c>
      <c r="AS383" s="855">
        <f ca="1">SUMIFS(Налоги!AR$25:AR$69,Налоги!$F$25:$F$69,$F383,Налоги!$AB$25:$AB$69,$G383)</f>
        <v>0</v>
      </c>
      <c r="AT383" s="855">
        <f ca="1">SUMIFS(Налоги!AS$25:AS$69,Налоги!$F$25:$F$69,$F383,Налоги!$AB$25:$AB$69,$G383)</f>
        <v>0</v>
      </c>
      <c r="AU383" s="855">
        <f ca="1">SUMIFS(Налоги!AT$25:AT$69,Налоги!$F$25:$F$69,$F383,Налоги!$AB$25:$AB$69,$G383)</f>
        <v>0</v>
      </c>
      <c r="AV383" s="855">
        <f ca="1">SUMIFS(Налоги!AU$25:AU$69,Налоги!$F$25:$F$69,$F383,Налоги!$AB$25:$AB$69,$G383)</f>
        <v>0</v>
      </c>
      <c r="AW383" s="855">
        <f ca="1">SUMIFS(Налоги!AV$25:AV$69,Налоги!$F$25:$F$69,$F383,Налоги!$AB$25:$AB$69,$G383)</f>
        <v>0</v>
      </c>
      <c r="AX383" s="855">
        <f ca="1">SUMIFS(Налоги!AW$25:AW$69,Налоги!$F$25:$F$69,$F383,Налоги!$AB$25:$AB$69,$G383)</f>
        <v>0</v>
      </c>
      <c r="AY383" s="855">
        <f ca="1">SUMIFS(Налоги!AX$25:AX$69,Налоги!$F$25:$F$69,$F383,Налоги!$AB$25:$AB$69,$G383)</f>
        <v>0</v>
      </c>
      <c r="AZ383" s="855">
        <f ca="1">SUMIFS(Налоги!AY$25:AY$69,Налоги!$F$25:$F$69,$F383,Налоги!$AB$25:$AB$69,$G383)</f>
        <v>0</v>
      </c>
      <c r="BA383" s="855">
        <f ca="1">SUMIFS(Налоги!AZ$25:AZ$69,Налоги!$F$25:$F$69,$F383,Налоги!$AB$25:$AB$69,$G383)</f>
        <v>0</v>
      </c>
      <c r="BB383" s="855">
        <f ca="1">SUMIFS(Налоги!BA$25:BA$69,Налоги!$F$25:$F$69,$F383,Налоги!$AB$25:$AB$69,$G383)</f>
        <v>0</v>
      </c>
      <c r="BC383" s="855">
        <f ca="1">SUMIFS(Налоги!BB$25:BB$69,Налоги!$F$25:$F$69,$F383,Налоги!$AB$25:$AB$69,$G383)</f>
        <v>0</v>
      </c>
      <c r="BD383" s="855">
        <f t="shared" ca="1" si="85"/>
        <v>0</v>
      </c>
      <c r="BE383" s="855">
        <f t="shared" ca="1" si="86"/>
        <v>0</v>
      </c>
      <c r="BF383" s="855">
        <f t="shared" ca="1" si="87"/>
        <v>0</v>
      </c>
      <c r="BG383" s="855">
        <f t="shared" ca="1" si="88"/>
        <v>0</v>
      </c>
      <c r="BH383" s="855">
        <f t="shared" ca="1" si="89"/>
        <v>0</v>
      </c>
      <c r="BI383" s="855">
        <f t="shared" ca="1" si="90"/>
        <v>0</v>
      </c>
      <c r="BJ383" s="855">
        <f t="shared" ca="1" si="91"/>
        <v>0</v>
      </c>
      <c r="BK383" s="855">
        <f t="shared" ca="1" si="92"/>
        <v>0</v>
      </c>
      <c r="BL383" s="855">
        <f t="shared" ca="1" si="93"/>
        <v>0</v>
      </c>
      <c r="BM383" s="855">
        <f t="shared" ca="1" si="94"/>
        <v>0</v>
      </c>
      <c r="BN383" s="1581"/>
      <c r="BO383" s="1576" t="str">
        <f ca="1">IF(IFERROR(INDEX(Налоги!$K$26:$L$69,MATCH($F383&amp;"2komm",Налоги!$K$26:$K$69,0),2),"")=0,"",IFERROR(INDEX(Налоги!$K$26:$L$69,MATCH($F383&amp;"2komm",Налоги!$K$26:$K$69,0),2),""))</f>
        <v/>
      </c>
      <c r="BP383" s="1581"/>
      <c r="BQ383" s="1184"/>
      <c r="BR383" s="1184"/>
      <c r="BS383" s="973" t="s">
        <v>2030</v>
      </c>
      <c r="BT383" s="973"/>
      <c r="BU383" s="973"/>
      <c r="BV383" s="888"/>
      <c r="BW383" s="888"/>
    </row>
    <row r="384" spans="1:75" s="1334" customFormat="1" ht="14.25" customHeight="1" x14ac:dyDescent="0.15">
      <c r="A384" s="1184"/>
      <c r="B384" s="15"/>
      <c r="C384" s="26"/>
      <c r="D384" s="26"/>
      <c r="E384" s="545">
        <v>15</v>
      </c>
      <c r="F384" s="3" t="str" cm="1">
        <f t="array" aca="1" ref="F384" ca="1">OFFSET(E384,-1,1)</f>
        <v>2</v>
      </c>
      <c r="G384" s="834">
        <v>4</v>
      </c>
      <c r="H384" s="26"/>
      <c r="I384" s="26" t="s">
        <v>2031</v>
      </c>
      <c r="J384" s="26"/>
      <c r="K384" s="26" t="s">
        <v>2031</v>
      </c>
      <c r="L384" s="889"/>
      <c r="M384" s="26"/>
      <c r="N384" s="26"/>
      <c r="O384" s="26"/>
      <c r="P384" s="26"/>
      <c r="Q384" s="26"/>
      <c r="R384" s="26"/>
      <c r="S384" s="26"/>
      <c r="T384" s="388" t="b" cm="1">
        <f t="array" aca="1" ref="T384" ca="1">T383</f>
        <v>1</v>
      </c>
      <c r="U384" s="26"/>
      <c r="V384" s="26"/>
      <c r="W384" s="1184"/>
      <c r="X384" s="2032"/>
      <c r="Y384" s="1184"/>
      <c r="Z384" s="2012"/>
      <c r="AA384" s="1184"/>
      <c r="AB384" s="217" t="s">
        <v>2032</v>
      </c>
      <c r="AC384" s="685" t="s">
        <v>2033</v>
      </c>
      <c r="AD384" s="218" t="s">
        <v>831</v>
      </c>
      <c r="AE384" s="177">
        <f ca="1">SUMIFS(Налоги!AE$25:AE$69,Налоги!$F$25:$F$69,$F384,Налоги!$AB$25:$AB$69,$G384)</f>
        <v>0</v>
      </c>
      <c r="AF384" s="177">
        <f ca="1">SUMIFS(Налоги!AF$25:AF$69,Налоги!$F$25:$F$69,$F384,Налоги!$AB$25:$AB$69,$G384)</f>
        <v>0</v>
      </c>
      <c r="AG384" s="177">
        <f ca="1">SUMIFS(Налоги!AG$25:AG$69,Налоги!$F$25:$F$69,$F384,Налоги!$AB$25:$AB$69,$G384)</f>
        <v>0</v>
      </c>
      <c r="AH384" s="855">
        <f t="shared" ca="1" si="83"/>
        <v>0</v>
      </c>
      <c r="AI384" s="855">
        <f ca="1">SUMIFS(Налоги!AH$25:AH$69,Налоги!$F$25:$F$69,$F384,Налоги!$AB$25:$AB$69,$G384)</f>
        <v>0</v>
      </c>
      <c r="AJ384" s="855">
        <f ca="1">SUMIFS(Налоги!AI$25:AI$69,Налоги!$F$25:$F$69,$F384,Налоги!$AB$25:$AB$69,$G384)</f>
        <v>0</v>
      </c>
      <c r="AK384" s="855">
        <f ca="1">SUMIFS(Налоги!AJ$25:AJ$69,Налоги!$F$25:$F$69,$F384,Налоги!$AB$25:$AB$69,$G384)</f>
        <v>0</v>
      </c>
      <c r="AL384" s="855">
        <f ca="1">SUMIFS(Налоги!AK$25:AK$69,Налоги!$F$25:$F$69,$F384,Налоги!$AB$25:$AB$69,$G384)</f>
        <v>0</v>
      </c>
      <c r="AM384" s="855">
        <f ca="1">SUMIFS(Налоги!AL$25:AL$69,Налоги!$F$25:$F$69,$F384,Налоги!$AB$25:$AB$69,$G384)</f>
        <v>0</v>
      </c>
      <c r="AN384" s="855">
        <f ca="1">SUMIFS(Налоги!AM$25:AM$69,Налоги!$F$25:$F$69,$F384,Налоги!$AB$25:$AB$69,$G384)</f>
        <v>0</v>
      </c>
      <c r="AO384" s="855">
        <f ca="1">SUMIFS(Налоги!AN$25:AN$69,Налоги!$F$25:$F$69,$F384,Налоги!$AB$25:$AB$69,$G384)</f>
        <v>0</v>
      </c>
      <c r="AP384" s="855">
        <f ca="1">SUMIFS(Налоги!AO$25:AO$69,Налоги!$F$25:$F$69,$F384,Налоги!$AB$25:$AB$69,$G384)</f>
        <v>0</v>
      </c>
      <c r="AQ384" s="855">
        <f ca="1">SUMIFS(Налоги!AP$25:AP$69,Налоги!$F$25:$F$69,$F384,Налоги!$AB$25:$AB$69,$G384)</f>
        <v>0</v>
      </c>
      <c r="AR384" s="855">
        <f ca="1">SUMIFS(Налоги!AQ$25:AQ$69,Налоги!$F$25:$F$69,$F384,Налоги!$AB$25:$AB$69,$G384)</f>
        <v>0</v>
      </c>
      <c r="AS384" s="855">
        <f ca="1">SUMIFS(Налоги!AR$25:AR$69,Налоги!$F$25:$F$69,$F384,Налоги!$AB$25:$AB$69,$G384)</f>
        <v>0</v>
      </c>
      <c r="AT384" s="855">
        <f ca="1">SUMIFS(Налоги!AS$25:AS$69,Налоги!$F$25:$F$69,$F384,Налоги!$AB$25:$AB$69,$G384)</f>
        <v>0</v>
      </c>
      <c r="AU384" s="855">
        <f ca="1">SUMIFS(Налоги!AT$25:AT$69,Налоги!$F$25:$F$69,$F384,Налоги!$AB$25:$AB$69,$G384)</f>
        <v>0</v>
      </c>
      <c r="AV384" s="855">
        <f ca="1">SUMIFS(Налоги!AU$25:AU$69,Налоги!$F$25:$F$69,$F384,Налоги!$AB$25:$AB$69,$G384)</f>
        <v>0</v>
      </c>
      <c r="AW384" s="855">
        <f ca="1">SUMIFS(Налоги!AV$25:AV$69,Налоги!$F$25:$F$69,$F384,Налоги!$AB$25:$AB$69,$G384)</f>
        <v>0</v>
      </c>
      <c r="AX384" s="855">
        <f ca="1">SUMIFS(Налоги!AW$25:AW$69,Налоги!$F$25:$F$69,$F384,Налоги!$AB$25:$AB$69,$G384)</f>
        <v>0</v>
      </c>
      <c r="AY384" s="855">
        <f ca="1">SUMIFS(Налоги!AX$25:AX$69,Налоги!$F$25:$F$69,$F384,Налоги!$AB$25:$AB$69,$G384)</f>
        <v>0</v>
      </c>
      <c r="AZ384" s="855">
        <f ca="1">SUMIFS(Налоги!AY$25:AY$69,Налоги!$F$25:$F$69,$F384,Налоги!$AB$25:$AB$69,$G384)</f>
        <v>0</v>
      </c>
      <c r="BA384" s="855">
        <f ca="1">SUMIFS(Налоги!AZ$25:AZ$69,Налоги!$F$25:$F$69,$F384,Налоги!$AB$25:$AB$69,$G384)</f>
        <v>0</v>
      </c>
      <c r="BB384" s="855">
        <f ca="1">SUMIFS(Налоги!BA$25:BA$69,Налоги!$F$25:$F$69,$F384,Налоги!$AB$25:$AB$69,$G384)</f>
        <v>0</v>
      </c>
      <c r="BC384" s="855">
        <f ca="1">SUMIFS(Налоги!BB$25:BB$69,Налоги!$F$25:$F$69,$F384,Налоги!$AB$25:$AB$69,$G384)</f>
        <v>0</v>
      </c>
      <c r="BD384" s="855">
        <f t="shared" ca="1" si="85"/>
        <v>0</v>
      </c>
      <c r="BE384" s="855">
        <f t="shared" ca="1" si="86"/>
        <v>0</v>
      </c>
      <c r="BF384" s="855">
        <f t="shared" ca="1" si="87"/>
        <v>0</v>
      </c>
      <c r="BG384" s="855">
        <f t="shared" ca="1" si="88"/>
        <v>0</v>
      </c>
      <c r="BH384" s="855">
        <f t="shared" ca="1" si="89"/>
        <v>0</v>
      </c>
      <c r="BI384" s="855">
        <f t="shared" ca="1" si="90"/>
        <v>0</v>
      </c>
      <c r="BJ384" s="855">
        <f t="shared" ca="1" si="91"/>
        <v>0</v>
      </c>
      <c r="BK384" s="855">
        <f t="shared" ca="1" si="92"/>
        <v>0</v>
      </c>
      <c r="BL384" s="855">
        <f t="shared" ca="1" si="93"/>
        <v>0</v>
      </c>
      <c r="BM384" s="855">
        <f t="shared" ca="1" si="94"/>
        <v>0</v>
      </c>
      <c r="BN384" s="1581"/>
      <c r="BO384" s="1576" t="str">
        <f ca="1">IF(IFERROR(INDEX(Налоги!$K$26:$L$69,MATCH($F384&amp;"4komm",Налоги!$K$26:$K$69,0),2),"")=0,"",IFERROR(INDEX(Налоги!$K$26:$L$69,MATCH($F384&amp;"4komm",Налоги!$K$26:$K$69,0),2),""))</f>
        <v/>
      </c>
      <c r="BP384" s="1581"/>
      <c r="BQ384" s="1184"/>
      <c r="BR384" s="1184"/>
      <c r="BS384" s="973" t="s">
        <v>2034</v>
      </c>
      <c r="BT384" s="973"/>
      <c r="BU384" s="973"/>
      <c r="BV384" s="888"/>
      <c r="BW384" s="888"/>
    </row>
    <row r="385" spans="1:75" s="1334" customFormat="1" ht="14.25" customHeight="1" x14ac:dyDescent="0.15">
      <c r="A385" s="1184"/>
      <c r="B385" s="15"/>
      <c r="C385" s="26"/>
      <c r="D385" s="26"/>
      <c r="E385" s="545">
        <v>15</v>
      </c>
      <c r="F385" s="3" t="str" cm="1">
        <f t="array" aca="1" ref="F385" ca="1">OFFSET(E385,-1,1)</f>
        <v>2</v>
      </c>
      <c r="G385" s="834">
        <v>5</v>
      </c>
      <c r="H385" s="26"/>
      <c r="I385" s="26" t="s">
        <v>2035</v>
      </c>
      <c r="J385" s="26"/>
      <c r="K385" s="26" t="s">
        <v>2035</v>
      </c>
      <c r="L385" s="889"/>
      <c r="M385" s="26"/>
      <c r="N385" s="26"/>
      <c r="O385" s="26"/>
      <c r="P385" s="26"/>
      <c r="Q385" s="26"/>
      <c r="R385" s="26"/>
      <c r="S385" s="26"/>
      <c r="T385" s="388" t="b" cm="1">
        <f t="array" aca="1" ref="T385" ca="1">T384</f>
        <v>1</v>
      </c>
      <c r="U385" s="26"/>
      <c r="V385" s="26"/>
      <c r="W385" s="1184"/>
      <c r="X385" s="2032"/>
      <c r="Y385" s="1184"/>
      <c r="Z385" s="2012"/>
      <c r="AA385" s="1184"/>
      <c r="AB385" s="217" t="s">
        <v>2036</v>
      </c>
      <c r="AC385" s="685" t="s">
        <v>2037</v>
      </c>
      <c r="AD385" s="218" t="s">
        <v>831</v>
      </c>
      <c r="AE385" s="177">
        <f ca="1">SUMIFS(Налоги!AE$25:AE$69,Налоги!$F$25:$F$69,$F385,Налоги!$AB$25:$AB$69,$G385)</f>
        <v>0</v>
      </c>
      <c r="AF385" s="177">
        <f ca="1">SUMIFS(Налоги!AF$25:AF$69,Налоги!$F$25:$F$69,$F385,Налоги!$AB$25:$AB$69,$G385)</f>
        <v>0</v>
      </c>
      <c r="AG385" s="177">
        <f ca="1">SUMIFS(Налоги!AG$25:AG$69,Налоги!$F$25:$F$69,$F385,Налоги!$AB$25:$AB$69,$G385)</f>
        <v>0</v>
      </c>
      <c r="AH385" s="855">
        <f t="shared" ca="1" si="83"/>
        <v>0</v>
      </c>
      <c r="AI385" s="855">
        <f ca="1">SUMIFS(Налоги!AH$25:AH$69,Налоги!$F$25:$F$69,$F385,Налоги!$AB$25:$AB$69,$G385)</f>
        <v>0</v>
      </c>
      <c r="AJ385" s="855">
        <f ca="1">SUMIFS(Налоги!AI$25:AI$69,Налоги!$F$25:$F$69,$F385,Налоги!$AB$25:$AB$69,$G385)</f>
        <v>0</v>
      </c>
      <c r="AK385" s="855">
        <f ca="1">SUMIFS(Налоги!AJ$25:AJ$69,Налоги!$F$25:$F$69,$F385,Налоги!$AB$25:$AB$69,$G385)</f>
        <v>0</v>
      </c>
      <c r="AL385" s="855">
        <f ca="1">SUMIFS(Налоги!AK$25:AK$69,Налоги!$F$25:$F$69,$F385,Налоги!$AB$25:$AB$69,$G385)</f>
        <v>0</v>
      </c>
      <c r="AM385" s="855">
        <f ca="1">SUMIFS(Налоги!AL$25:AL$69,Налоги!$F$25:$F$69,$F385,Налоги!$AB$25:$AB$69,$G385)</f>
        <v>0</v>
      </c>
      <c r="AN385" s="855">
        <f ca="1">SUMIFS(Налоги!AM$25:AM$69,Налоги!$F$25:$F$69,$F385,Налоги!$AB$25:$AB$69,$G385)</f>
        <v>0</v>
      </c>
      <c r="AO385" s="855">
        <f ca="1">SUMIFS(Налоги!AN$25:AN$69,Налоги!$F$25:$F$69,$F385,Налоги!$AB$25:$AB$69,$G385)</f>
        <v>0</v>
      </c>
      <c r="AP385" s="855">
        <f ca="1">SUMIFS(Налоги!AO$25:AO$69,Налоги!$F$25:$F$69,$F385,Налоги!$AB$25:$AB$69,$G385)</f>
        <v>0</v>
      </c>
      <c r="AQ385" s="855">
        <f ca="1">SUMIFS(Налоги!AP$25:AP$69,Налоги!$F$25:$F$69,$F385,Налоги!$AB$25:$AB$69,$G385)</f>
        <v>0</v>
      </c>
      <c r="AR385" s="855">
        <f ca="1">SUMIFS(Налоги!AQ$25:AQ$69,Налоги!$F$25:$F$69,$F385,Налоги!$AB$25:$AB$69,$G385)</f>
        <v>0</v>
      </c>
      <c r="AS385" s="855">
        <f ca="1">SUMIFS(Налоги!AR$25:AR$69,Налоги!$F$25:$F$69,$F385,Налоги!$AB$25:$AB$69,$G385)</f>
        <v>0</v>
      </c>
      <c r="AT385" s="855">
        <f ca="1">SUMIFS(Налоги!AS$25:AS$69,Налоги!$F$25:$F$69,$F385,Налоги!$AB$25:$AB$69,$G385)</f>
        <v>0</v>
      </c>
      <c r="AU385" s="855">
        <f ca="1">SUMIFS(Налоги!AT$25:AT$69,Налоги!$F$25:$F$69,$F385,Налоги!$AB$25:$AB$69,$G385)</f>
        <v>0</v>
      </c>
      <c r="AV385" s="855">
        <f ca="1">SUMIFS(Налоги!AU$25:AU$69,Налоги!$F$25:$F$69,$F385,Налоги!$AB$25:$AB$69,$G385)</f>
        <v>0</v>
      </c>
      <c r="AW385" s="855">
        <f ca="1">SUMIFS(Налоги!AV$25:AV$69,Налоги!$F$25:$F$69,$F385,Налоги!$AB$25:$AB$69,$G385)</f>
        <v>0</v>
      </c>
      <c r="AX385" s="855">
        <f ca="1">SUMIFS(Налоги!AW$25:AW$69,Налоги!$F$25:$F$69,$F385,Налоги!$AB$25:$AB$69,$G385)</f>
        <v>0</v>
      </c>
      <c r="AY385" s="855">
        <f ca="1">SUMIFS(Налоги!AX$25:AX$69,Налоги!$F$25:$F$69,$F385,Налоги!$AB$25:$AB$69,$G385)</f>
        <v>0</v>
      </c>
      <c r="AZ385" s="855">
        <f ca="1">SUMIFS(Налоги!AY$25:AY$69,Налоги!$F$25:$F$69,$F385,Налоги!$AB$25:$AB$69,$G385)</f>
        <v>0</v>
      </c>
      <c r="BA385" s="855">
        <f ca="1">SUMIFS(Налоги!AZ$25:AZ$69,Налоги!$F$25:$F$69,$F385,Налоги!$AB$25:$AB$69,$G385)</f>
        <v>0</v>
      </c>
      <c r="BB385" s="855">
        <f ca="1">SUMIFS(Налоги!BA$25:BA$69,Налоги!$F$25:$F$69,$F385,Налоги!$AB$25:$AB$69,$G385)</f>
        <v>0</v>
      </c>
      <c r="BC385" s="855">
        <f ca="1">SUMIFS(Налоги!BB$25:BB$69,Налоги!$F$25:$F$69,$F385,Налоги!$AB$25:$AB$69,$G385)</f>
        <v>0</v>
      </c>
      <c r="BD385" s="855">
        <f t="shared" ca="1" si="85"/>
        <v>0</v>
      </c>
      <c r="BE385" s="855">
        <f t="shared" ca="1" si="86"/>
        <v>0</v>
      </c>
      <c r="BF385" s="855">
        <f t="shared" ca="1" si="87"/>
        <v>0</v>
      </c>
      <c r="BG385" s="855">
        <f t="shared" ca="1" si="88"/>
        <v>0</v>
      </c>
      <c r="BH385" s="855">
        <f t="shared" ca="1" si="89"/>
        <v>0</v>
      </c>
      <c r="BI385" s="855">
        <f t="shared" ca="1" si="90"/>
        <v>0</v>
      </c>
      <c r="BJ385" s="855">
        <f t="shared" ca="1" si="91"/>
        <v>0</v>
      </c>
      <c r="BK385" s="855">
        <f t="shared" ca="1" si="92"/>
        <v>0</v>
      </c>
      <c r="BL385" s="855">
        <f t="shared" ca="1" si="93"/>
        <v>0</v>
      </c>
      <c r="BM385" s="855">
        <f t="shared" ca="1" si="94"/>
        <v>0</v>
      </c>
      <c r="BN385" s="1581"/>
      <c r="BO385" s="1576" t="str">
        <f ca="1">IF(IFERROR(INDEX(Налоги!$K$26:$L$69,MATCH($F385&amp;"5komm",Налоги!$K$26:$K$69,0),2),"")=0,"",IFERROR(INDEX(Налоги!$K$26:$L$69,MATCH($F385&amp;"5komm",Налоги!$K$26:$K$69,0),2),""))</f>
        <v/>
      </c>
      <c r="BP385" s="1581"/>
      <c r="BQ385" s="1184"/>
      <c r="BR385" s="1184"/>
      <c r="BS385" s="973" t="s">
        <v>2038</v>
      </c>
      <c r="BT385" s="973"/>
      <c r="BU385" s="973"/>
      <c r="BV385" s="888"/>
      <c r="BW385" s="888"/>
    </row>
    <row r="386" spans="1:75" s="1334" customFormat="1" ht="14.25" customHeight="1" x14ac:dyDescent="0.15">
      <c r="A386" s="1184"/>
      <c r="B386" s="15"/>
      <c r="C386" s="26"/>
      <c r="D386" s="26"/>
      <c r="E386" s="545">
        <v>15</v>
      </c>
      <c r="F386" s="3" t="str" cm="1">
        <f t="array" aca="1" ref="F386" ca="1">OFFSET(E386,-1,1)</f>
        <v>2</v>
      </c>
      <c r="G386" s="834">
        <v>1</v>
      </c>
      <c r="H386" s="26"/>
      <c r="I386" s="26" t="s">
        <v>2039</v>
      </c>
      <c r="J386" s="26"/>
      <c r="K386" s="26" t="s">
        <v>2039</v>
      </c>
      <c r="L386" s="889"/>
      <c r="M386" s="26"/>
      <c r="N386" s="26"/>
      <c r="O386" s="26"/>
      <c r="P386" s="26"/>
      <c r="Q386" s="26"/>
      <c r="R386" s="26"/>
      <c r="S386" s="26"/>
      <c r="T386" s="388" t="b" cm="1">
        <f t="array" aca="1" ref="T386" ca="1">T385</f>
        <v>1</v>
      </c>
      <c r="U386" s="26"/>
      <c r="V386" s="26"/>
      <c r="W386" s="1184"/>
      <c r="X386" s="2032"/>
      <c r="Y386" s="1184"/>
      <c r="Z386" s="2012"/>
      <c r="AA386" s="1184"/>
      <c r="AB386" s="217" t="s">
        <v>2040</v>
      </c>
      <c r="AC386" s="685" t="s">
        <v>2041</v>
      </c>
      <c r="AD386" s="218" t="s">
        <v>831</v>
      </c>
      <c r="AE386" s="177">
        <f ca="1">SUMIFS(Налоги!AE$25:AE$69,Налоги!$F$25:$F$69,$F386,Налоги!$AB$25:$AB$69,$G386)</f>
        <v>0</v>
      </c>
      <c r="AF386" s="177">
        <f ca="1">SUMIFS(Налоги!AF$25:AF$69,Налоги!$F$25:$F$69,$F386,Налоги!$AB$25:$AB$69,$G386)</f>
        <v>0</v>
      </c>
      <c r="AG386" s="177">
        <f ca="1">SUMIFS(Налоги!AG$25:AG$69,Налоги!$F$25:$F$69,$F386,Налоги!$AB$25:$AB$69,$G386)</f>
        <v>0</v>
      </c>
      <c r="AH386" s="855">
        <f t="shared" ca="1" si="83"/>
        <v>0</v>
      </c>
      <c r="AI386" s="855">
        <f ca="1">SUMIFS(Налоги!AH$25:AH$69,Налоги!$F$25:$F$69,$F386,Налоги!$AB$25:$AB$69,$G386)</f>
        <v>0</v>
      </c>
      <c r="AJ386" s="855">
        <f ca="1">SUMIFS(Налоги!AI$25:AI$69,Налоги!$F$25:$F$69,$F386,Налоги!$AB$25:$AB$69,$G386)</f>
        <v>0</v>
      </c>
      <c r="AK386" s="855">
        <f ca="1">SUMIFS(Налоги!AJ$25:AJ$69,Налоги!$F$25:$F$69,$F386,Налоги!$AB$25:$AB$69,$G386)</f>
        <v>0</v>
      </c>
      <c r="AL386" s="855">
        <f ca="1">SUMIFS(Налоги!AK$25:AK$69,Налоги!$F$25:$F$69,$F386,Налоги!$AB$25:$AB$69,$G386)</f>
        <v>0</v>
      </c>
      <c r="AM386" s="855">
        <f ca="1">SUMIFS(Налоги!AL$25:AL$69,Налоги!$F$25:$F$69,$F386,Налоги!$AB$25:$AB$69,$G386)</f>
        <v>0</v>
      </c>
      <c r="AN386" s="855">
        <f ca="1">SUMIFS(Налоги!AM$25:AM$69,Налоги!$F$25:$F$69,$F386,Налоги!$AB$25:$AB$69,$G386)</f>
        <v>0</v>
      </c>
      <c r="AO386" s="855">
        <f ca="1">SUMIFS(Налоги!AN$25:AN$69,Налоги!$F$25:$F$69,$F386,Налоги!$AB$25:$AB$69,$G386)</f>
        <v>0</v>
      </c>
      <c r="AP386" s="855">
        <f ca="1">SUMIFS(Налоги!AO$25:AO$69,Налоги!$F$25:$F$69,$F386,Налоги!$AB$25:$AB$69,$G386)</f>
        <v>0</v>
      </c>
      <c r="AQ386" s="855">
        <f ca="1">SUMIFS(Налоги!AP$25:AP$69,Налоги!$F$25:$F$69,$F386,Налоги!$AB$25:$AB$69,$G386)</f>
        <v>0</v>
      </c>
      <c r="AR386" s="855">
        <f ca="1">SUMIFS(Налоги!AQ$25:AQ$69,Налоги!$F$25:$F$69,$F386,Налоги!$AB$25:$AB$69,$G386)</f>
        <v>0</v>
      </c>
      <c r="AS386" s="855">
        <f ca="1">SUMIFS(Налоги!AR$25:AR$69,Налоги!$F$25:$F$69,$F386,Налоги!$AB$25:$AB$69,$G386)</f>
        <v>0</v>
      </c>
      <c r="AT386" s="855">
        <f ca="1">SUMIFS(Налоги!AS$25:AS$69,Налоги!$F$25:$F$69,$F386,Налоги!$AB$25:$AB$69,$G386)</f>
        <v>0</v>
      </c>
      <c r="AU386" s="855">
        <f ca="1">SUMIFS(Налоги!AT$25:AT$69,Налоги!$F$25:$F$69,$F386,Налоги!$AB$25:$AB$69,$G386)</f>
        <v>0</v>
      </c>
      <c r="AV386" s="855">
        <f ca="1">SUMIFS(Налоги!AU$25:AU$69,Налоги!$F$25:$F$69,$F386,Налоги!$AB$25:$AB$69,$G386)</f>
        <v>0</v>
      </c>
      <c r="AW386" s="855">
        <f ca="1">SUMIFS(Налоги!AV$25:AV$69,Налоги!$F$25:$F$69,$F386,Налоги!$AB$25:$AB$69,$G386)</f>
        <v>0</v>
      </c>
      <c r="AX386" s="855">
        <f ca="1">SUMIFS(Налоги!AW$25:AW$69,Налоги!$F$25:$F$69,$F386,Налоги!$AB$25:$AB$69,$G386)</f>
        <v>0</v>
      </c>
      <c r="AY386" s="855">
        <f ca="1">SUMIFS(Налоги!AX$25:AX$69,Налоги!$F$25:$F$69,$F386,Налоги!$AB$25:$AB$69,$G386)</f>
        <v>0</v>
      </c>
      <c r="AZ386" s="855">
        <f ca="1">SUMIFS(Налоги!AY$25:AY$69,Налоги!$F$25:$F$69,$F386,Налоги!$AB$25:$AB$69,$G386)</f>
        <v>0</v>
      </c>
      <c r="BA386" s="855">
        <f ca="1">SUMIFS(Налоги!AZ$25:AZ$69,Налоги!$F$25:$F$69,$F386,Налоги!$AB$25:$AB$69,$G386)</f>
        <v>0</v>
      </c>
      <c r="BB386" s="855">
        <f ca="1">SUMIFS(Налоги!BA$25:BA$69,Налоги!$F$25:$F$69,$F386,Налоги!$AB$25:$AB$69,$G386)</f>
        <v>0</v>
      </c>
      <c r="BC386" s="855">
        <f ca="1">SUMIFS(Налоги!BB$25:BB$69,Налоги!$F$25:$F$69,$F386,Налоги!$AB$25:$AB$69,$G386)</f>
        <v>0</v>
      </c>
      <c r="BD386" s="855">
        <f t="shared" ca="1" si="85"/>
        <v>0</v>
      </c>
      <c r="BE386" s="855">
        <f t="shared" ca="1" si="86"/>
        <v>0</v>
      </c>
      <c r="BF386" s="855">
        <f t="shared" ca="1" si="87"/>
        <v>0</v>
      </c>
      <c r="BG386" s="855">
        <f t="shared" ca="1" si="88"/>
        <v>0</v>
      </c>
      <c r="BH386" s="855">
        <f t="shared" ca="1" si="89"/>
        <v>0</v>
      </c>
      <c r="BI386" s="855">
        <f t="shared" ca="1" si="90"/>
        <v>0</v>
      </c>
      <c r="BJ386" s="855">
        <f t="shared" ca="1" si="91"/>
        <v>0</v>
      </c>
      <c r="BK386" s="855">
        <f t="shared" ca="1" si="92"/>
        <v>0</v>
      </c>
      <c r="BL386" s="855">
        <f t="shared" ca="1" si="93"/>
        <v>0</v>
      </c>
      <c r="BM386" s="855">
        <f t="shared" ca="1" si="94"/>
        <v>0</v>
      </c>
      <c r="BN386" s="1581"/>
      <c r="BO386" s="1576" t="str">
        <f ca="1">IF(IFERROR(INDEX(Налоги!$K$26:$L$69,MATCH($F386&amp;"1komm",Налоги!$K$26:$K$69,0),2),"")=0,"",IFERROR(INDEX(Налоги!$K$26:$L$69,MATCH($F386&amp;"1komm",Налоги!$K$26:$K$69,0),2),""))</f>
        <v/>
      </c>
      <c r="BP386" s="1581"/>
      <c r="BQ386" s="1184"/>
      <c r="BR386" s="1184"/>
      <c r="BS386" s="973" t="s">
        <v>2042</v>
      </c>
      <c r="BT386" s="973"/>
      <c r="BU386" s="973"/>
      <c r="BV386" s="888"/>
      <c r="BW386" s="888"/>
    </row>
    <row r="387" spans="1:75" s="1334" customFormat="1" ht="14.25" customHeight="1" x14ac:dyDescent="0.15">
      <c r="A387" s="1184"/>
      <c r="B387" s="15"/>
      <c r="C387" s="26"/>
      <c r="D387" s="26"/>
      <c r="E387" s="545">
        <v>15</v>
      </c>
      <c r="F387" s="3" t="str" cm="1">
        <f t="array" aca="1" ref="F387" ca="1">OFFSET(E387,-1,1)</f>
        <v>2</v>
      </c>
      <c r="G387" s="834">
        <v>3</v>
      </c>
      <c r="H387" s="26"/>
      <c r="I387" s="26" t="s">
        <v>2043</v>
      </c>
      <c r="J387" s="26"/>
      <c r="K387" s="26" t="s">
        <v>2043</v>
      </c>
      <c r="L387" s="889"/>
      <c r="M387" s="26"/>
      <c r="N387" s="26"/>
      <c r="O387" s="26"/>
      <c r="P387" s="26"/>
      <c r="Q387" s="26"/>
      <c r="R387" s="26"/>
      <c r="S387" s="26"/>
      <c r="T387" s="388" t="b" cm="1">
        <f t="array" aca="1" ref="T387" ca="1">T386</f>
        <v>1</v>
      </c>
      <c r="U387" s="26"/>
      <c r="V387" s="26"/>
      <c r="W387" s="1184"/>
      <c r="X387" s="2032"/>
      <c r="Y387" s="1184"/>
      <c r="Z387" s="2012"/>
      <c r="AA387" s="1184"/>
      <c r="AB387" s="217" t="s">
        <v>2044</v>
      </c>
      <c r="AC387" s="685" t="s">
        <v>2045</v>
      </c>
      <c r="AD387" s="218" t="s">
        <v>831</v>
      </c>
      <c r="AE387" s="1567">
        <f ca="1">SUMIFS(Налоги!AE$25:AE$69,Налоги!$F$25:$F$69,$F387,Налоги!$AB$25:$AB$69,$G387)</f>
        <v>0</v>
      </c>
      <c r="AF387" s="1567">
        <f ca="1">SUMIFS(Налоги!AF$25:AF$69,Налоги!$F$25:$F$69,$F387,Налоги!$AB$25:$AB$69,$G387)</f>
        <v>36.32</v>
      </c>
      <c r="AG387" s="1567">
        <f ca="1">SUMIFS(Налоги!AG$25:AG$69,Налоги!$F$25:$F$69,$F387,Налоги!$AB$25:$AB$69,$G387)</f>
        <v>36.32</v>
      </c>
      <c r="AH387" s="855">
        <f t="shared" ca="1" si="83"/>
        <v>0</v>
      </c>
      <c r="AI387" s="1568">
        <f ca="1">SUMIFS(Налоги!AH$25:AH$69,Налоги!$F$25:$F$69,$F387,Налоги!$AB$25:$AB$69,$G387)</f>
        <v>0</v>
      </c>
      <c r="AJ387" s="1568">
        <f ca="1">SUMIFS(Налоги!AI$25:AI$69,Налоги!$F$25:$F$69,$F387,Налоги!$AB$25:$AB$69,$G387)</f>
        <v>39.619999999999997</v>
      </c>
      <c r="AK387" s="1160">
        <f ca="1">SUMIFS(Налоги!AJ$25:AJ$69,Налоги!$F$25:$F$69,$F387,Налоги!$AB$25:$AB$69,$G387)</f>
        <v>0</v>
      </c>
      <c r="AL387" s="1160">
        <f ca="1">SUMIFS(Налоги!AK$25:AK$69,Налоги!$F$25:$F$69,$F387,Налоги!$AB$25:$AB$69,$G387)</f>
        <v>0</v>
      </c>
      <c r="AM387" s="1160">
        <f ca="1">SUMIFS(Налоги!AL$25:AL$69,Налоги!$F$25:$F$69,$F387,Налоги!$AB$25:$AB$69,$G387)</f>
        <v>0</v>
      </c>
      <c r="AN387" s="1160">
        <f ca="1">SUMIFS(Налоги!AM$25:AM$69,Налоги!$F$25:$F$69,$F387,Налоги!$AB$25:$AB$69,$G387)</f>
        <v>0</v>
      </c>
      <c r="AO387" s="1160">
        <f ca="1">SUMIFS(Налоги!AN$25:AN$69,Налоги!$F$25:$F$69,$F387,Налоги!$AB$25:$AB$69,$G387)</f>
        <v>0</v>
      </c>
      <c r="AP387" s="1160">
        <f ca="1">SUMIFS(Налоги!AO$25:AO$69,Налоги!$F$25:$F$69,$F387,Налоги!$AB$25:$AB$69,$G387)</f>
        <v>0</v>
      </c>
      <c r="AQ387" s="1568">
        <f ca="1">SUMIFS(Налоги!AP$25:AP$69,Налоги!$F$25:$F$69,$F387,Налоги!$AB$25:$AB$69,$G387)</f>
        <v>0</v>
      </c>
      <c r="AR387" s="1568">
        <f ca="1">SUMIFS(Налоги!AQ$25:AQ$69,Налоги!$F$25:$F$69,$F387,Налоги!$AB$25:$AB$69,$G387)</f>
        <v>0</v>
      </c>
      <c r="AS387" s="1568">
        <f ca="1">SUMIFS(Налоги!AR$25:AR$69,Налоги!$F$25:$F$69,$F387,Налоги!$AB$25:$AB$69,$G387)</f>
        <v>0</v>
      </c>
      <c r="AT387" s="1568">
        <f ca="1">SUMIFS(Налоги!AS$25:AS$69,Налоги!$F$25:$F$69,$F387,Налоги!$AB$25:$AB$69,$G387)</f>
        <v>36.32</v>
      </c>
      <c r="AU387" s="1160">
        <f ca="1">SUMIFS(Налоги!AT$25:AT$69,Налоги!$F$25:$F$69,$F387,Налоги!$AB$25:$AB$69,$G387)</f>
        <v>0</v>
      </c>
      <c r="AV387" s="1160">
        <f ca="1">SUMIFS(Налоги!AU$25:AU$69,Налоги!$F$25:$F$69,$F387,Налоги!$AB$25:$AB$69,$G387)</f>
        <v>0</v>
      </c>
      <c r="AW387" s="1160">
        <f ca="1">SUMIFS(Налоги!AV$25:AV$69,Налоги!$F$25:$F$69,$F387,Налоги!$AB$25:$AB$69,$G387)</f>
        <v>0</v>
      </c>
      <c r="AX387" s="1160">
        <f ca="1">SUMIFS(Налоги!AW$25:AW$69,Налоги!$F$25:$F$69,$F387,Налоги!$AB$25:$AB$69,$G387)</f>
        <v>0</v>
      </c>
      <c r="AY387" s="1160">
        <f ca="1">SUMIFS(Налоги!AX$25:AX$69,Налоги!$F$25:$F$69,$F387,Налоги!$AB$25:$AB$69,$G387)</f>
        <v>0</v>
      </c>
      <c r="AZ387" s="1160">
        <f ca="1">SUMIFS(Налоги!AY$25:AY$69,Налоги!$F$25:$F$69,$F387,Налоги!$AB$25:$AB$69,$G387)</f>
        <v>0</v>
      </c>
      <c r="BA387" s="1568">
        <f ca="1">SUMIFS(Налоги!AZ$25:AZ$69,Налоги!$F$25:$F$69,$F387,Налоги!$AB$25:$AB$69,$G387)</f>
        <v>0</v>
      </c>
      <c r="BB387" s="1568">
        <f ca="1">SUMIFS(Налоги!BA$25:BA$69,Налоги!$F$25:$F$69,$F387,Налоги!$AB$25:$AB$69,$G387)</f>
        <v>0</v>
      </c>
      <c r="BC387" s="1568">
        <f ca="1">SUMIFS(Налоги!BB$25:BB$69,Налоги!$F$25:$F$69,$F387,Налоги!$AB$25:$AB$69,$G387)</f>
        <v>0</v>
      </c>
      <c r="BD387" s="855">
        <f t="shared" ca="1" si="85"/>
        <v>0</v>
      </c>
      <c r="BE387" s="855">
        <f t="shared" ca="1" si="86"/>
        <v>-100</v>
      </c>
      <c r="BF387" s="855">
        <f t="shared" ca="1" si="87"/>
        <v>0</v>
      </c>
      <c r="BG387" s="855">
        <f t="shared" ca="1" si="88"/>
        <v>0</v>
      </c>
      <c r="BH387" s="855">
        <f t="shared" ca="1" si="89"/>
        <v>0</v>
      </c>
      <c r="BI387" s="855">
        <f t="shared" ca="1" si="90"/>
        <v>0</v>
      </c>
      <c r="BJ387" s="855">
        <f t="shared" ca="1" si="91"/>
        <v>0</v>
      </c>
      <c r="BK387" s="855">
        <f t="shared" ca="1" si="92"/>
        <v>0</v>
      </c>
      <c r="BL387" s="855">
        <f t="shared" ca="1" si="93"/>
        <v>0</v>
      </c>
      <c r="BM387" s="855">
        <f t="shared" ca="1" si="94"/>
        <v>0</v>
      </c>
      <c r="BN387" s="1581"/>
      <c r="BO387" s="1576" t="str">
        <f ca="1">IF(IFERROR(INDEX(Налоги!$K$26:$L$69,MATCH($F387&amp;"5komm",Налоги!$K$26:$K$69,0),2),"")=0,"",IFERROR(INDEX(Налоги!$K$26:$L$69,MATCH($F387&amp;"5komm",Налоги!$K$26:$K$69,0),2),""))</f>
        <v/>
      </c>
      <c r="BP387" s="1581"/>
      <c r="BQ387" s="1184"/>
      <c r="BR387" s="1184"/>
      <c r="BS387" s="973" t="s">
        <v>2046</v>
      </c>
      <c r="BT387" s="973"/>
      <c r="BU387" s="973"/>
      <c r="BV387" s="888"/>
      <c r="BW387" s="888"/>
    </row>
    <row r="388" spans="1:75" s="1334" customFormat="1" ht="14.25" customHeight="1" x14ac:dyDescent="0.15">
      <c r="A388" s="1184"/>
      <c r="B388" s="15"/>
      <c r="C388" s="26"/>
      <c r="D388" s="26"/>
      <c r="E388" s="545">
        <v>15</v>
      </c>
      <c r="F388" s="3" t="str" cm="1">
        <f t="array" aca="1" ref="F388" ca="1">OFFSET(E388,-1,1)</f>
        <v>2</v>
      </c>
      <c r="G388" s="834">
        <v>8</v>
      </c>
      <c r="H388" s="26"/>
      <c r="I388" s="26" t="s">
        <v>2047</v>
      </c>
      <c r="J388" s="26"/>
      <c r="K388" s="26" t="s">
        <v>2047</v>
      </c>
      <c r="L388" s="889"/>
      <c r="M388" s="26"/>
      <c r="N388" s="26"/>
      <c r="O388" s="26"/>
      <c r="P388" s="26"/>
      <c r="Q388" s="26"/>
      <c r="R388" s="26"/>
      <c r="S388" s="26"/>
      <c r="T388" s="388" t="b" cm="1">
        <f t="array" aca="1" ref="T388" ca="1">T387</f>
        <v>1</v>
      </c>
      <c r="U388" s="26"/>
      <c r="V388" s="26"/>
      <c r="W388" s="1184"/>
      <c r="X388" s="2032"/>
      <c r="Y388" s="1184"/>
      <c r="Z388" s="2012"/>
      <c r="AA388" s="1184"/>
      <c r="AB388" s="217" t="s">
        <v>2048</v>
      </c>
      <c r="AC388" s="685" t="s">
        <v>2049</v>
      </c>
      <c r="AD388" s="218" t="s">
        <v>831</v>
      </c>
      <c r="AE388" s="177">
        <f ca="1">SUMIFS(Налоги!AE$25:AE$69,Налоги!$F$25:$F$69,$F388,Налоги!$AB$25:$AB$69,$G388)</f>
        <v>0</v>
      </c>
      <c r="AF388" s="177">
        <f ca="1">SUMIFS(Налоги!AF$25:AF$69,Налоги!$F$25:$F$69,$F388,Налоги!$AB$25:$AB$69,$G388)</f>
        <v>0</v>
      </c>
      <c r="AG388" s="177">
        <f ca="1">SUMIFS(Налоги!AG$25:AG$69,Налоги!$F$25:$F$69,$F388,Налоги!$AB$25:$AB$69,$G388)</f>
        <v>0</v>
      </c>
      <c r="AH388" s="855">
        <f t="shared" ca="1" si="83"/>
        <v>0</v>
      </c>
      <c r="AI388" s="855">
        <f ca="1">SUMIFS(Налоги!AH$25:AH$69,Налоги!$F$25:$F$69,$F388,Налоги!$AB$25:$AB$69,$G388)</f>
        <v>0</v>
      </c>
      <c r="AJ388" s="855">
        <f ca="1">SUMIFS(Налоги!AI$25:AI$69,Налоги!$F$25:$F$69,$F388,Налоги!$AB$25:$AB$69,$G388)</f>
        <v>0</v>
      </c>
      <c r="AK388" s="855">
        <f ca="1">SUMIFS(Налоги!AJ$25:AJ$69,Налоги!$F$25:$F$69,$F388,Налоги!$AB$25:$AB$69,$G388)</f>
        <v>0</v>
      </c>
      <c r="AL388" s="855">
        <f ca="1">SUMIFS(Налоги!AK$25:AK$69,Налоги!$F$25:$F$69,$F388,Налоги!$AB$25:$AB$69,$G388)</f>
        <v>0</v>
      </c>
      <c r="AM388" s="855">
        <f ca="1">SUMIFS(Налоги!AL$25:AL$69,Налоги!$F$25:$F$69,$F388,Налоги!$AB$25:$AB$69,$G388)</f>
        <v>0</v>
      </c>
      <c r="AN388" s="855">
        <f ca="1">SUMIFS(Налоги!AM$25:AM$69,Налоги!$F$25:$F$69,$F388,Налоги!$AB$25:$AB$69,$G388)</f>
        <v>0</v>
      </c>
      <c r="AO388" s="855">
        <f ca="1">SUMIFS(Налоги!AN$25:AN$69,Налоги!$F$25:$F$69,$F388,Налоги!$AB$25:$AB$69,$G388)</f>
        <v>0</v>
      </c>
      <c r="AP388" s="855">
        <f ca="1">SUMIFS(Налоги!AO$25:AO$69,Налоги!$F$25:$F$69,$F388,Налоги!$AB$25:$AB$69,$G388)</f>
        <v>0</v>
      </c>
      <c r="AQ388" s="855">
        <f ca="1">SUMIFS(Налоги!AP$25:AP$69,Налоги!$F$25:$F$69,$F388,Налоги!$AB$25:$AB$69,$G388)</f>
        <v>0</v>
      </c>
      <c r="AR388" s="855">
        <f ca="1">SUMIFS(Налоги!AQ$25:AQ$69,Налоги!$F$25:$F$69,$F388,Налоги!$AB$25:$AB$69,$G388)</f>
        <v>0</v>
      </c>
      <c r="AS388" s="855">
        <f ca="1">SUMIFS(Налоги!AR$25:AR$69,Налоги!$F$25:$F$69,$F388,Налоги!$AB$25:$AB$69,$G388)</f>
        <v>0</v>
      </c>
      <c r="AT388" s="855">
        <f ca="1">SUMIFS(Налоги!AS$25:AS$69,Налоги!$F$25:$F$69,$F388,Налоги!$AB$25:$AB$69,$G388)</f>
        <v>0</v>
      </c>
      <c r="AU388" s="855">
        <f ca="1">SUMIFS(Налоги!AT$25:AT$69,Налоги!$F$25:$F$69,$F388,Налоги!$AB$25:$AB$69,$G388)</f>
        <v>0</v>
      </c>
      <c r="AV388" s="855">
        <f ca="1">SUMIFS(Налоги!AU$25:AU$69,Налоги!$F$25:$F$69,$F388,Налоги!$AB$25:$AB$69,$G388)</f>
        <v>0</v>
      </c>
      <c r="AW388" s="855">
        <f ca="1">SUMIFS(Налоги!AV$25:AV$69,Налоги!$F$25:$F$69,$F388,Налоги!$AB$25:$AB$69,$G388)</f>
        <v>0</v>
      </c>
      <c r="AX388" s="855">
        <f ca="1">SUMIFS(Налоги!AW$25:AW$69,Налоги!$F$25:$F$69,$F388,Налоги!$AB$25:$AB$69,$G388)</f>
        <v>0</v>
      </c>
      <c r="AY388" s="855">
        <f ca="1">SUMIFS(Налоги!AX$25:AX$69,Налоги!$F$25:$F$69,$F388,Налоги!$AB$25:$AB$69,$G388)</f>
        <v>0</v>
      </c>
      <c r="AZ388" s="855">
        <f ca="1">SUMIFS(Налоги!AY$25:AY$69,Налоги!$F$25:$F$69,$F388,Налоги!$AB$25:$AB$69,$G388)</f>
        <v>0</v>
      </c>
      <c r="BA388" s="855">
        <f ca="1">SUMIFS(Налоги!AZ$25:AZ$69,Налоги!$F$25:$F$69,$F388,Налоги!$AB$25:$AB$69,$G388)</f>
        <v>0</v>
      </c>
      <c r="BB388" s="855">
        <f ca="1">SUMIFS(Налоги!BA$25:BA$69,Налоги!$F$25:$F$69,$F388,Налоги!$AB$25:$AB$69,$G388)</f>
        <v>0</v>
      </c>
      <c r="BC388" s="855">
        <f ca="1">SUMIFS(Налоги!BB$25:BB$69,Налоги!$F$25:$F$69,$F388,Налоги!$AB$25:$AB$69,$G388)</f>
        <v>0</v>
      </c>
      <c r="BD388" s="855">
        <f t="shared" ca="1" si="85"/>
        <v>0</v>
      </c>
      <c r="BE388" s="855">
        <f t="shared" ca="1" si="86"/>
        <v>0</v>
      </c>
      <c r="BF388" s="855">
        <f t="shared" ca="1" si="87"/>
        <v>0</v>
      </c>
      <c r="BG388" s="855">
        <f t="shared" ca="1" si="88"/>
        <v>0</v>
      </c>
      <c r="BH388" s="855">
        <f t="shared" ca="1" si="89"/>
        <v>0</v>
      </c>
      <c r="BI388" s="855">
        <f t="shared" ca="1" si="90"/>
        <v>0</v>
      </c>
      <c r="BJ388" s="855">
        <f t="shared" ca="1" si="91"/>
        <v>0</v>
      </c>
      <c r="BK388" s="855">
        <f t="shared" ca="1" si="92"/>
        <v>0</v>
      </c>
      <c r="BL388" s="855">
        <f t="shared" ca="1" si="93"/>
        <v>0</v>
      </c>
      <c r="BM388" s="855">
        <f t="shared" ca="1" si="94"/>
        <v>0</v>
      </c>
      <c r="BN388" s="1581"/>
      <c r="BO388" s="1576" t="str">
        <f ca="1">IF(IFERROR(INDEX(Налоги!$K$26:$L$69,MATCH($F388&amp;"8komm",Налоги!$K$26:$K$69,0),2),"")=0,"",IFERROR(INDEX(Налоги!$K$26:$L$69,MATCH($F388&amp;"8komm",Налоги!$K$26:$K$69,0),2),""))</f>
        <v/>
      </c>
      <c r="BP388" s="1581"/>
      <c r="BQ388" s="1184"/>
      <c r="BR388" s="1184"/>
      <c r="BS388" s="973" t="s">
        <v>1251</v>
      </c>
      <c r="BT388" s="973"/>
      <c r="BU388" s="973"/>
      <c r="BV388" s="888"/>
      <c r="BW388" s="888"/>
    </row>
    <row r="389" spans="1:75" s="1140" customFormat="1" ht="14.25" customHeight="1" x14ac:dyDescent="0.15">
      <c r="B389" s="15"/>
      <c r="C389" s="26"/>
      <c r="D389" s="26"/>
      <c r="E389" s="545">
        <v>15</v>
      </c>
      <c r="F389" s="3" t="str" cm="1">
        <f t="array" aca="1" ref="F389" ca="1">OFFSET(E389,-1,1)</f>
        <v>2</v>
      </c>
      <c r="G389" s="834">
        <v>9</v>
      </c>
      <c r="H389" s="26"/>
      <c r="I389" s="26"/>
      <c r="J389" s="26"/>
      <c r="K389" s="26"/>
      <c r="L389" s="889"/>
      <c r="M389" s="26"/>
      <c r="N389" s="26"/>
      <c r="O389" s="26"/>
      <c r="P389" s="26"/>
      <c r="Q389" s="26"/>
      <c r="R389" s="26"/>
      <c r="S389" s="26"/>
      <c r="T389" s="388" t="b" cm="1">
        <f t="array" aca="1" ref="T389" ca="1">T388</f>
        <v>1</v>
      </c>
      <c r="U389" s="26"/>
      <c r="V389" s="26"/>
      <c r="X389" s="2032"/>
      <c r="Z389" s="2012"/>
      <c r="AB389" s="217" t="s">
        <v>2050</v>
      </c>
      <c r="AC389" s="700" t="s">
        <v>2051</v>
      </c>
      <c r="AD389" s="218" t="s">
        <v>831</v>
      </c>
      <c r="AE389" s="177">
        <f ca="1">SUMIFS(Налоги!AE$25:AE$69,Налоги!$F$25:$F$69,$F389,Налоги!$AB$25:$AB$69,$G389)</f>
        <v>0</v>
      </c>
      <c r="AF389" s="177">
        <f ca="1">SUMIFS(Налоги!AF$25:AF$69,Налоги!$F$25:$F$69,$F389,Налоги!$AB$25:$AB$69,$G389)</f>
        <v>0</v>
      </c>
      <c r="AG389" s="177">
        <f ca="1">SUMIFS(Налоги!AG$25:AG$69,Налоги!$F$25:$F$69,$F389,Налоги!$AB$25:$AB$69,$G389)</f>
        <v>0</v>
      </c>
      <c r="AH389" s="855">
        <f t="shared" ca="1" si="83"/>
        <v>0</v>
      </c>
      <c r="AI389" s="855">
        <f ca="1">SUMIFS(Налоги!AH$25:AH$69,Налоги!$F$25:$F$69,$F389,Налоги!$AB$25:$AB$69,$G389)</f>
        <v>0</v>
      </c>
      <c r="AJ389" s="855">
        <f ca="1">SUMIFS(Налоги!AI$25:AI$69,Налоги!$F$25:$F$69,$F389,Налоги!$AB$25:$AB$69,$G389)</f>
        <v>0</v>
      </c>
      <c r="AK389" s="855">
        <f ca="1">SUMIFS(Налоги!AJ$25:AJ$69,Налоги!$F$25:$F$69,$F389,Налоги!$AB$25:$AB$69,$G389)</f>
        <v>0</v>
      </c>
      <c r="AL389" s="855">
        <f ca="1">SUMIFS(Налоги!AK$25:AK$69,Налоги!$F$25:$F$69,$F389,Налоги!$AB$25:$AB$69,$G389)</f>
        <v>0</v>
      </c>
      <c r="AM389" s="855">
        <f ca="1">SUMIFS(Налоги!AL$25:AL$69,Налоги!$F$25:$F$69,$F389,Налоги!$AB$25:$AB$69,$G389)</f>
        <v>0</v>
      </c>
      <c r="AN389" s="855">
        <f ca="1">SUMIFS(Налоги!AM$25:AM$69,Налоги!$F$25:$F$69,$F389,Налоги!$AB$25:$AB$69,$G389)</f>
        <v>0</v>
      </c>
      <c r="AO389" s="855">
        <f ca="1">SUMIFS(Налоги!AN$25:AN$69,Налоги!$F$25:$F$69,$F389,Налоги!$AB$25:$AB$69,$G389)</f>
        <v>0</v>
      </c>
      <c r="AP389" s="855">
        <f ca="1">SUMIFS(Налоги!AO$25:AO$69,Налоги!$F$25:$F$69,$F389,Налоги!$AB$25:$AB$69,$G389)</f>
        <v>0</v>
      </c>
      <c r="AQ389" s="855">
        <f ca="1">SUMIFS(Налоги!AP$25:AP$69,Налоги!$F$25:$F$69,$F389,Налоги!$AB$25:$AB$69,$G389)</f>
        <v>0</v>
      </c>
      <c r="AR389" s="855">
        <f ca="1">SUMIFS(Налоги!AQ$25:AQ$69,Налоги!$F$25:$F$69,$F389,Налоги!$AB$25:$AB$69,$G389)</f>
        <v>0</v>
      </c>
      <c r="AS389" s="855">
        <f ca="1">SUMIFS(Налоги!AR$25:AR$69,Налоги!$F$25:$F$69,$F389,Налоги!$AB$25:$AB$69,$G389)</f>
        <v>0</v>
      </c>
      <c r="AT389" s="855">
        <f ca="1">SUMIFS(Налоги!AS$25:AS$69,Налоги!$F$25:$F$69,$F389,Налоги!$AB$25:$AB$69,$G389)</f>
        <v>0</v>
      </c>
      <c r="AU389" s="855">
        <f ca="1">SUMIFS(Налоги!AT$25:AT$69,Налоги!$F$25:$F$69,$F389,Налоги!$AB$25:$AB$69,$G389)</f>
        <v>0</v>
      </c>
      <c r="AV389" s="855">
        <f ca="1">SUMIFS(Налоги!AU$25:AU$69,Налоги!$F$25:$F$69,$F389,Налоги!$AB$25:$AB$69,$G389)</f>
        <v>0</v>
      </c>
      <c r="AW389" s="855">
        <f ca="1">SUMIFS(Налоги!AV$25:AV$69,Налоги!$F$25:$F$69,$F389,Налоги!$AB$25:$AB$69,$G389)</f>
        <v>0</v>
      </c>
      <c r="AX389" s="855">
        <f ca="1">SUMIFS(Налоги!AW$25:AW$69,Налоги!$F$25:$F$69,$F389,Налоги!$AB$25:$AB$69,$G389)</f>
        <v>0</v>
      </c>
      <c r="AY389" s="855">
        <f ca="1">SUMIFS(Налоги!AX$25:AX$69,Налоги!$F$25:$F$69,$F389,Налоги!$AB$25:$AB$69,$G389)</f>
        <v>0</v>
      </c>
      <c r="AZ389" s="855">
        <f ca="1">SUMIFS(Налоги!AY$25:AY$69,Налоги!$F$25:$F$69,$F389,Налоги!$AB$25:$AB$69,$G389)</f>
        <v>0</v>
      </c>
      <c r="BA389" s="855">
        <f ca="1">SUMIFS(Налоги!AZ$25:AZ$69,Налоги!$F$25:$F$69,$F389,Налоги!$AB$25:$AB$69,$G389)</f>
        <v>0</v>
      </c>
      <c r="BB389" s="855">
        <f ca="1">SUMIFS(Налоги!BA$25:BA$69,Налоги!$F$25:$F$69,$F389,Налоги!$AB$25:$AB$69,$G389)</f>
        <v>0</v>
      </c>
      <c r="BC389" s="855">
        <f ca="1">SUMIFS(Налоги!BB$25:BB$69,Налоги!$F$25:$F$69,$F389,Налоги!$AB$25:$AB$69,$G389)</f>
        <v>0</v>
      </c>
      <c r="BD389" s="855">
        <f t="shared" ca="1" si="85"/>
        <v>0</v>
      </c>
      <c r="BE389" s="855">
        <f t="shared" ca="1" si="86"/>
        <v>0</v>
      </c>
      <c r="BF389" s="855">
        <f t="shared" ca="1" si="87"/>
        <v>0</v>
      </c>
      <c r="BG389" s="855">
        <f t="shared" ca="1" si="88"/>
        <v>0</v>
      </c>
      <c r="BH389" s="855">
        <f t="shared" ca="1" si="89"/>
        <v>0</v>
      </c>
      <c r="BI389" s="855">
        <f t="shared" ca="1" si="90"/>
        <v>0</v>
      </c>
      <c r="BJ389" s="855">
        <f t="shared" ca="1" si="91"/>
        <v>0</v>
      </c>
      <c r="BK389" s="855">
        <f t="shared" ca="1" si="92"/>
        <v>0</v>
      </c>
      <c r="BL389" s="855">
        <f t="shared" ca="1" si="93"/>
        <v>0</v>
      </c>
      <c r="BM389" s="855">
        <f t="shared" ca="1" si="94"/>
        <v>0</v>
      </c>
      <c r="BN389" s="1581"/>
      <c r="BO389" s="1576" t="str">
        <f ca="1">IF(IFERROR(INDEX(Налоги!$K$26:$L$69,MATCH($F389&amp;"9komm",Налоги!$K$26:$K$69,0),2),"")=0,"",IFERROR(INDEX(Налоги!$K$26:$L$69,MATCH($F389&amp;"9komm",Налоги!$K$26:$K$69,0),2),""))</f>
        <v/>
      </c>
      <c r="BP389" s="1581"/>
      <c r="BS389" s="980" t="s">
        <v>2052</v>
      </c>
      <c r="BT389" s="980"/>
      <c r="BU389" s="980"/>
      <c r="BV389" s="981"/>
      <c r="BW389" s="981"/>
    </row>
    <row r="390" spans="1:75" s="1334" customFormat="1" ht="14.25" customHeight="1" x14ac:dyDescent="0.15">
      <c r="A390" s="1184"/>
      <c r="B390" s="15"/>
      <c r="C390" s="26"/>
      <c r="D390" s="26"/>
      <c r="E390" s="545">
        <v>15</v>
      </c>
      <c r="F390" s="3" t="str" cm="1">
        <f t="array" aca="1" ref="F390" ca="1">OFFSET(E390,-1,1)</f>
        <v>2</v>
      </c>
      <c r="G390" s="834">
        <v>10</v>
      </c>
      <c r="H390" s="26"/>
      <c r="I390" s="26" t="s">
        <v>2053</v>
      </c>
      <c r="J390" s="26"/>
      <c r="K390" s="26" t="s">
        <v>2053</v>
      </c>
      <c r="L390" s="889"/>
      <c r="M390" s="26"/>
      <c r="N390" s="26"/>
      <c r="O390" s="26"/>
      <c r="P390" s="26"/>
      <c r="Q390" s="26"/>
      <c r="R390" s="26"/>
      <c r="S390" s="26"/>
      <c r="T390" s="388" t="b" cm="1">
        <f t="array" aca="1" ref="T390" ca="1">T389</f>
        <v>1</v>
      </c>
      <c r="U390" s="26"/>
      <c r="V390" s="26"/>
      <c r="W390" s="1184"/>
      <c r="X390" s="2032"/>
      <c r="Y390" s="1184"/>
      <c r="Z390" s="2012"/>
      <c r="AA390" s="1184"/>
      <c r="AB390" s="217" t="s">
        <v>2054</v>
      </c>
      <c r="AC390" s="701" t="s">
        <v>2055</v>
      </c>
      <c r="AD390" s="218" t="s">
        <v>831</v>
      </c>
      <c r="AE390" s="177">
        <f ca="1">SUMIFS(Налоги!AE$25:AE$69,Налоги!$F$25:$F$69,$F390,Налоги!$AB$25:$AB$69,$G390)</f>
        <v>0</v>
      </c>
      <c r="AF390" s="177">
        <f ca="1">SUMIFS(Налоги!AF$25:AF$69,Налоги!$F$25:$F$69,$F390,Налоги!$AB$25:$AB$69,$G390)</f>
        <v>0</v>
      </c>
      <c r="AG390" s="177">
        <f ca="1">SUMIFS(Налоги!AG$25:AG$69,Налоги!$F$25:$F$69,$F390,Налоги!$AB$25:$AB$69,$G390)</f>
        <v>0</v>
      </c>
      <c r="AH390" s="855">
        <f t="shared" ca="1" si="83"/>
        <v>0</v>
      </c>
      <c r="AI390" s="855">
        <f ca="1">SUMIFS(Налоги!AH$25:AH$69,Налоги!$F$25:$F$69,$F390,Налоги!$AB$25:$AB$69,$G390)</f>
        <v>0</v>
      </c>
      <c r="AJ390" s="855">
        <f ca="1">SUMIFS(Налоги!AI$25:AI$69,Налоги!$F$25:$F$69,$F390,Налоги!$AB$25:$AB$69,$G390)</f>
        <v>0</v>
      </c>
      <c r="AK390" s="855">
        <f ca="1">SUMIFS(Налоги!AJ$25:AJ$69,Налоги!$F$25:$F$69,$F390,Налоги!$AB$25:$AB$69,$G390)</f>
        <v>0</v>
      </c>
      <c r="AL390" s="855">
        <f ca="1">SUMIFS(Налоги!AK$25:AK$69,Налоги!$F$25:$F$69,$F390,Налоги!$AB$25:$AB$69,$G390)</f>
        <v>0</v>
      </c>
      <c r="AM390" s="855">
        <f ca="1">SUMIFS(Налоги!AL$25:AL$69,Налоги!$F$25:$F$69,$F390,Налоги!$AB$25:$AB$69,$G390)</f>
        <v>0</v>
      </c>
      <c r="AN390" s="855">
        <f ca="1">SUMIFS(Налоги!AM$25:AM$69,Налоги!$F$25:$F$69,$F390,Налоги!$AB$25:$AB$69,$G390)</f>
        <v>0</v>
      </c>
      <c r="AO390" s="855">
        <f ca="1">SUMIFS(Налоги!AN$25:AN$69,Налоги!$F$25:$F$69,$F390,Налоги!$AB$25:$AB$69,$G390)</f>
        <v>0</v>
      </c>
      <c r="AP390" s="855">
        <f ca="1">SUMIFS(Налоги!AO$25:AO$69,Налоги!$F$25:$F$69,$F390,Налоги!$AB$25:$AB$69,$G390)</f>
        <v>0</v>
      </c>
      <c r="AQ390" s="855">
        <f ca="1">SUMIFS(Налоги!AP$25:AP$69,Налоги!$F$25:$F$69,$F390,Налоги!$AB$25:$AB$69,$G390)</f>
        <v>0</v>
      </c>
      <c r="AR390" s="855">
        <f ca="1">SUMIFS(Налоги!AQ$25:AQ$69,Налоги!$F$25:$F$69,$F390,Налоги!$AB$25:$AB$69,$G390)</f>
        <v>0</v>
      </c>
      <c r="AS390" s="855">
        <f ca="1">SUMIFS(Налоги!AR$25:AR$69,Налоги!$F$25:$F$69,$F390,Налоги!$AB$25:$AB$69,$G390)</f>
        <v>0</v>
      </c>
      <c r="AT390" s="855">
        <f ca="1">SUMIFS(Налоги!AS$25:AS$69,Налоги!$F$25:$F$69,$F390,Налоги!$AB$25:$AB$69,$G390)</f>
        <v>0</v>
      </c>
      <c r="AU390" s="855">
        <f ca="1">SUMIFS(Налоги!AT$25:AT$69,Налоги!$F$25:$F$69,$F390,Налоги!$AB$25:$AB$69,$G390)</f>
        <v>0</v>
      </c>
      <c r="AV390" s="855">
        <f ca="1">SUMIFS(Налоги!AU$25:AU$69,Налоги!$F$25:$F$69,$F390,Налоги!$AB$25:$AB$69,$G390)</f>
        <v>0</v>
      </c>
      <c r="AW390" s="855">
        <f ca="1">SUMIFS(Налоги!AV$25:AV$69,Налоги!$F$25:$F$69,$F390,Налоги!$AB$25:$AB$69,$G390)</f>
        <v>0</v>
      </c>
      <c r="AX390" s="855">
        <f ca="1">SUMIFS(Налоги!AW$25:AW$69,Налоги!$F$25:$F$69,$F390,Налоги!$AB$25:$AB$69,$G390)</f>
        <v>0</v>
      </c>
      <c r="AY390" s="855">
        <f ca="1">SUMIFS(Налоги!AX$25:AX$69,Налоги!$F$25:$F$69,$F390,Налоги!$AB$25:$AB$69,$G390)</f>
        <v>0</v>
      </c>
      <c r="AZ390" s="855">
        <f ca="1">SUMIFS(Налоги!AY$25:AY$69,Налоги!$F$25:$F$69,$F390,Налоги!$AB$25:$AB$69,$G390)</f>
        <v>0</v>
      </c>
      <c r="BA390" s="855">
        <f ca="1">SUMIFS(Налоги!AZ$25:AZ$69,Налоги!$F$25:$F$69,$F390,Налоги!$AB$25:$AB$69,$G390)</f>
        <v>0</v>
      </c>
      <c r="BB390" s="855">
        <f ca="1">SUMIFS(Налоги!BA$25:BA$69,Налоги!$F$25:$F$69,$F390,Налоги!$AB$25:$AB$69,$G390)</f>
        <v>0</v>
      </c>
      <c r="BC390" s="855">
        <f ca="1">SUMIFS(Налоги!BB$25:BB$69,Налоги!$F$25:$F$69,$F390,Налоги!$AB$25:$AB$69,$G390)</f>
        <v>0</v>
      </c>
      <c r="BD390" s="855">
        <f t="shared" ca="1" si="85"/>
        <v>0</v>
      </c>
      <c r="BE390" s="855">
        <f t="shared" ca="1" si="86"/>
        <v>0</v>
      </c>
      <c r="BF390" s="855">
        <f t="shared" ca="1" si="87"/>
        <v>0</v>
      </c>
      <c r="BG390" s="855">
        <f t="shared" ca="1" si="88"/>
        <v>0</v>
      </c>
      <c r="BH390" s="855">
        <f t="shared" ca="1" si="89"/>
        <v>0</v>
      </c>
      <c r="BI390" s="855">
        <f t="shared" ca="1" si="90"/>
        <v>0</v>
      </c>
      <c r="BJ390" s="855">
        <f t="shared" ca="1" si="91"/>
        <v>0</v>
      </c>
      <c r="BK390" s="855">
        <f t="shared" ca="1" si="92"/>
        <v>0</v>
      </c>
      <c r="BL390" s="855">
        <f t="shared" ca="1" si="93"/>
        <v>0</v>
      </c>
      <c r="BM390" s="855">
        <f t="shared" ca="1" si="94"/>
        <v>0</v>
      </c>
      <c r="BN390" s="1581"/>
      <c r="BO390" s="1576" t="str">
        <f ca="1">IF(IFERROR(INDEX(Налоги!$K$26:$L$69,MATCH($F390&amp;"10komm",Налоги!$K$26:$K$69,0),2),"")=0,"",IFERROR(INDEX(Налоги!$K$26:$L$69,MATCH($F390&amp;"10komm",Налоги!$K$26:$K$69,0),2),""))</f>
        <v/>
      </c>
      <c r="BP390" s="1581"/>
      <c r="BQ390" s="1184"/>
      <c r="BR390" s="1184"/>
      <c r="BS390" s="973" t="s">
        <v>2056</v>
      </c>
      <c r="BT390" s="973"/>
      <c r="BU390" s="973"/>
      <c r="BV390" s="888"/>
      <c r="BW390" s="888"/>
    </row>
    <row r="391" spans="1:75" s="1334" customFormat="1" ht="65.25" customHeight="1" x14ac:dyDescent="0.15">
      <c r="A391" s="1184"/>
      <c r="B391" s="887"/>
      <c r="C391" s="1184"/>
      <c r="D391" s="1184"/>
      <c r="E391" s="626">
        <v>67.5</v>
      </c>
      <c r="F391" s="3" t="str" cm="1">
        <f t="array" aca="1" ref="F391" ca="1">OFFSET(E391,-1,1)</f>
        <v>2</v>
      </c>
      <c r="G391" s="77" t="s">
        <v>1412</v>
      </c>
      <c r="H391" s="1184"/>
      <c r="I391" s="77" t="s">
        <v>932</v>
      </c>
      <c r="J391" s="1184"/>
      <c r="K391" s="77" t="s">
        <v>932</v>
      </c>
      <c r="L391" s="889"/>
      <c r="M391" s="26"/>
      <c r="N391" s="1184"/>
      <c r="O391" s="1184"/>
      <c r="P391" s="1184"/>
      <c r="Q391" s="1184"/>
      <c r="R391" s="1184"/>
      <c r="S391" s="1184"/>
      <c r="T391" s="388" t="b" cm="1">
        <f t="array" aca="1" ref="T391" ca="1">T390</f>
        <v>1</v>
      </c>
      <c r="U391" s="1184"/>
      <c r="V391" s="1184"/>
      <c r="W391" s="1184"/>
      <c r="X391" s="2032"/>
      <c r="Y391" s="1184"/>
      <c r="Z391" s="2012"/>
      <c r="AA391" s="1184"/>
      <c r="AB391" s="217" t="s">
        <v>933</v>
      </c>
      <c r="AC391" s="702" t="s">
        <v>1415</v>
      </c>
      <c r="AD391" s="218" t="s">
        <v>831</v>
      </c>
      <c r="AE391" s="1585"/>
      <c r="AF391" s="1585"/>
      <c r="AG391" s="1585"/>
      <c r="AH391" s="855">
        <f t="shared" si="83"/>
        <v>0</v>
      </c>
      <c r="AI391" s="1569"/>
      <c r="AJ391" s="1569"/>
      <c r="AK391" s="1165"/>
      <c r="AL391" s="1165"/>
      <c r="AM391" s="1165"/>
      <c r="AN391" s="1165"/>
      <c r="AO391" s="1165"/>
      <c r="AP391" s="1165"/>
      <c r="AQ391" s="1569"/>
      <c r="AR391" s="1569"/>
      <c r="AS391" s="1569"/>
      <c r="AT391" s="1569"/>
      <c r="AU391" s="1165"/>
      <c r="AV391" s="1165"/>
      <c r="AW391" s="1165"/>
      <c r="AX391" s="1165"/>
      <c r="AY391" s="1165"/>
      <c r="AZ391" s="1165"/>
      <c r="BA391" s="1569"/>
      <c r="BB391" s="1569"/>
      <c r="BC391" s="1569"/>
      <c r="BD391" s="855">
        <f t="shared" si="85"/>
        <v>0</v>
      </c>
      <c r="BE391" s="855">
        <f t="shared" si="86"/>
        <v>0</v>
      </c>
      <c r="BF391" s="855">
        <f t="shared" si="87"/>
        <v>0</v>
      </c>
      <c r="BG391" s="855">
        <f t="shared" si="88"/>
        <v>0</v>
      </c>
      <c r="BH391" s="855">
        <f t="shared" si="89"/>
        <v>0</v>
      </c>
      <c r="BI391" s="855">
        <f t="shared" si="90"/>
        <v>0</v>
      </c>
      <c r="BJ391" s="855">
        <f t="shared" si="91"/>
        <v>0</v>
      </c>
      <c r="BK391" s="855">
        <f t="shared" si="92"/>
        <v>0</v>
      </c>
      <c r="BL391" s="855">
        <f t="shared" si="93"/>
        <v>0</v>
      </c>
      <c r="BM391" s="855">
        <f t="shared" si="94"/>
        <v>0</v>
      </c>
      <c r="BN391" s="1581"/>
      <c r="BO391" s="1581"/>
      <c r="BP391" s="1581"/>
      <c r="BQ391" s="1184"/>
      <c r="BR391" s="1184"/>
      <c r="BS391" s="973" t="s">
        <v>2057</v>
      </c>
      <c r="BT391" s="973"/>
      <c r="BU391" s="973"/>
      <c r="BV391" s="888"/>
      <c r="BW391" s="888"/>
    </row>
    <row r="392" spans="1:75" s="1334" customFormat="1" ht="21.2" customHeight="1" x14ac:dyDescent="0.15">
      <c r="A392" s="1184"/>
      <c r="B392" s="887"/>
      <c r="C392" s="1184"/>
      <c r="D392" s="1184"/>
      <c r="E392" s="626">
        <v>15</v>
      </c>
      <c r="F392" s="3" t="str" cm="1">
        <f t="array" aca="1" ref="F392" ca="1">OFFSET(E392,-1,1)</f>
        <v>2</v>
      </c>
      <c r="G392" s="77" t="s">
        <v>1011</v>
      </c>
      <c r="H392" s="1184"/>
      <c r="I392" s="77" t="s">
        <v>935</v>
      </c>
      <c r="J392" s="1184"/>
      <c r="K392" s="77" t="s">
        <v>935</v>
      </c>
      <c r="L392" s="889" t="s">
        <v>544</v>
      </c>
      <c r="M392" s="26"/>
      <c r="N392" s="1184"/>
      <c r="O392" s="1184"/>
      <c r="P392" s="1184"/>
      <c r="Q392" s="1184"/>
      <c r="R392" s="1184"/>
      <c r="S392" s="1184"/>
      <c r="T392" s="388" t="b" cm="1">
        <f t="array" aca="1" ref="T392" ca="1">T391</f>
        <v>1</v>
      </c>
      <c r="U392" s="1184"/>
      <c r="V392" s="1184"/>
      <c r="W392" s="1184"/>
      <c r="X392" s="2032"/>
      <c r="Y392" s="1184"/>
      <c r="Z392" s="2012"/>
      <c r="AA392" s="1184"/>
      <c r="AB392" s="217" t="s">
        <v>936</v>
      </c>
      <c r="AC392" s="682" t="s">
        <v>1011</v>
      </c>
      <c r="AD392" s="218" t="s">
        <v>831</v>
      </c>
      <c r="AE392" s="177">
        <f ca="1">SUMIFS(Аренда!AE$25:AE$57,Аренда!$F$25:$F$57,$F392,Аренда!$G$25:$G$57,"Арендная и концессионная плата, лизинговые платежи")</f>
        <v>349.46</v>
      </c>
      <c r="AF392" s="177">
        <f ca="1">SUMIFS(Аренда!AF$25:AF$57,Аренда!$F$25:$F$57,$F392,Аренда!$G$25:$G$57,"Арендная и концессионная плата, лизинговые платежи")</f>
        <v>186.42</v>
      </c>
      <c r="AG392" s="177">
        <f ca="1">SUMIFS(Аренда!AG$25:AG$57,Аренда!$F$25:$F$57,$F392,Аренда!$G$25:$G$57,"Арендная и концессионная плата, лизинговые платежи")</f>
        <v>110.07</v>
      </c>
      <c r="AH392" s="855">
        <f t="shared" ca="1" si="83"/>
        <v>-76.349999999999994</v>
      </c>
      <c r="AI392" s="177">
        <f ca="1">SUMIFS(Аренда!AH$25:AH$57,Аренда!$F$25:$F$57,$F392,Аренда!$G$25:$G$57,"Арендная и концессионная плата, лизинговые платежи")</f>
        <v>349.46</v>
      </c>
      <c r="AJ392" s="177">
        <f ca="1">SUMIFS(Аренда!AI$25:AI$57,Аренда!$F$25:$F$57,$F392,Аренда!$G$25:$G$57,"Арендная и концессионная плата, лизинговые платежи")</f>
        <v>1047.17</v>
      </c>
      <c r="AK392" s="177">
        <f ca="1">SUMIFS(Аренда!AJ$25:AJ$57,Аренда!$F$25:$F$57,$F392,Аренда!$G$25:$G$57,"Арендная и концессионная плата, лизинговые платежи")</f>
        <v>0</v>
      </c>
      <c r="AL392" s="177">
        <f ca="1">SUMIFS(Аренда!AK$25:AK$57,Аренда!$F$25:$F$57,$F392,Аренда!$G$25:$G$57,"Арендная и концессионная плата, лизинговые платежи")</f>
        <v>0</v>
      </c>
      <c r="AM392" s="177">
        <f ca="1">SUMIFS(Аренда!AL$25:AL$57,Аренда!$F$25:$F$57,$F392,Аренда!$G$25:$G$57,"Арендная и концессионная плата, лизинговые платежи")</f>
        <v>0</v>
      </c>
      <c r="AN392" s="177">
        <f ca="1">SUMIFS(Аренда!AM$25:AM$57,Аренда!$F$25:$F$57,$F392,Аренда!$G$25:$G$57,"Арендная и концессионная плата, лизинговые платежи")</f>
        <v>0</v>
      </c>
      <c r="AO392" s="177">
        <f ca="1">SUMIFS(Аренда!AN$25:AN$57,Аренда!$F$25:$F$57,$F392,Аренда!$G$25:$G$57,"Арендная и концессионная плата, лизинговые платежи")</f>
        <v>0</v>
      </c>
      <c r="AP392" s="177">
        <f ca="1">SUMIFS(Аренда!AO$25:AO$57,Аренда!$F$25:$F$57,$F392,Аренда!$G$25:$G$57,"Арендная и концессионная плата, лизинговые платежи")</f>
        <v>0</v>
      </c>
      <c r="AQ392" s="177">
        <f ca="1">SUMIFS(Аренда!AP$25:AP$57,Аренда!$F$25:$F$57,$F392,Аренда!$G$25:$G$57,"Арендная и концессионная плата, лизинговые платежи")</f>
        <v>0</v>
      </c>
      <c r="AR392" s="177">
        <f ca="1">SUMIFS(Аренда!AQ$25:AQ$57,Аренда!$F$25:$F$57,$F392,Аренда!$G$25:$G$57,"Арендная и концессионная плата, лизинговые платежи")</f>
        <v>0</v>
      </c>
      <c r="AS392" s="177">
        <f ca="1">SUMIFS(Аренда!AR$25:AR$57,Аренда!$F$25:$F$57,$F392,Аренда!$G$25:$G$57,"Арендная и концессионная плата, лизинговые платежи")</f>
        <v>0</v>
      </c>
      <c r="AT392" s="177">
        <f ca="1">SUMIFS(Аренда!AS$25:AS$57,Аренда!$F$25:$F$57,$F392,Аренда!$G$25:$G$57,"Арендная и концессионная плата, лизинговые платежи")</f>
        <v>109.64</v>
      </c>
      <c r="AU392" s="177">
        <f ca="1">SUMIFS(Аренда!AT$25:AT$57,Аренда!$F$25:$F$57,$F392,Аренда!$G$25:$G$57,"Арендная и концессионная плата, лизинговые платежи")</f>
        <v>0</v>
      </c>
      <c r="AV392" s="177">
        <f ca="1">SUMIFS(Аренда!AU$25:AU$57,Аренда!$F$25:$F$57,$F392,Аренда!$G$25:$G$57,"Арендная и концессионная плата, лизинговые платежи")</f>
        <v>0</v>
      </c>
      <c r="AW392" s="177">
        <f ca="1">SUMIFS(Аренда!AV$25:AV$57,Аренда!$F$25:$F$57,$F392,Аренда!$G$25:$G$57,"Арендная и концессионная плата, лизинговые платежи")</f>
        <v>0</v>
      </c>
      <c r="AX392" s="177">
        <f ca="1">SUMIFS(Аренда!AW$25:AW$57,Аренда!$F$25:$F$57,$F392,Аренда!$G$25:$G$57,"Арендная и концессионная плата, лизинговые платежи")</f>
        <v>0</v>
      </c>
      <c r="AY392" s="177">
        <f ca="1">SUMIFS(Аренда!AX$25:AX$57,Аренда!$F$25:$F$57,$F392,Аренда!$G$25:$G$57,"Арендная и концессионная плата, лизинговые платежи")</f>
        <v>0</v>
      </c>
      <c r="AZ392" s="177">
        <f ca="1">SUMIFS(Аренда!AY$25:AY$57,Аренда!$F$25:$F$57,$F392,Аренда!$G$25:$G$57,"Арендная и концессионная плата, лизинговые платежи")</f>
        <v>0</v>
      </c>
      <c r="BA392" s="177">
        <f ca="1">SUMIFS(Аренда!AZ$25:AZ$57,Аренда!$F$25:$F$57,$F392,Аренда!$G$25:$G$57,"Арендная и концессионная плата, лизинговые платежи")</f>
        <v>0</v>
      </c>
      <c r="BB392" s="177">
        <f ca="1">SUMIFS(Аренда!BA$25:BA$57,Аренда!$F$25:$F$57,$F392,Аренда!$G$25:$G$57,"Арендная и концессионная плата, лизинговые платежи")</f>
        <v>0</v>
      </c>
      <c r="BC392" s="177">
        <f ca="1">SUMIFS(Аренда!BB$25:BB$57,Аренда!$F$25:$F$57,$F392,Аренда!$G$25:$G$57,"Арендная и концессионная плата, лизинговые платежи")</f>
        <v>0</v>
      </c>
      <c r="BD392" s="855">
        <f t="shared" ca="1" si="85"/>
        <v>-68.625879929033374</v>
      </c>
      <c r="BE392" s="855">
        <f t="shared" ca="1" si="86"/>
        <v>-100</v>
      </c>
      <c r="BF392" s="855">
        <f t="shared" ca="1" si="87"/>
        <v>0</v>
      </c>
      <c r="BG392" s="855">
        <f t="shared" ca="1" si="88"/>
        <v>0</v>
      </c>
      <c r="BH392" s="855">
        <f t="shared" ca="1" si="89"/>
        <v>0</v>
      </c>
      <c r="BI392" s="855">
        <f t="shared" ca="1" si="90"/>
        <v>0</v>
      </c>
      <c r="BJ392" s="855">
        <f t="shared" ca="1" si="91"/>
        <v>0</v>
      </c>
      <c r="BK392" s="855">
        <f t="shared" ca="1" si="92"/>
        <v>0</v>
      </c>
      <c r="BL392" s="855">
        <f t="shared" ca="1" si="93"/>
        <v>0</v>
      </c>
      <c r="BM392" s="855">
        <f t="shared" ca="1" si="94"/>
        <v>0</v>
      </c>
      <c r="BN392" s="1581"/>
      <c r="BO392" s="1586" t="s">
        <v>2207</v>
      </c>
      <c r="BP392" s="1581" t="s">
        <v>2208</v>
      </c>
      <c r="BQ392" s="1184"/>
      <c r="BR392" s="1184"/>
      <c r="BS392" s="973" t="s">
        <v>2058</v>
      </c>
      <c r="BT392" s="973"/>
      <c r="BU392" s="973"/>
      <c r="BV392" s="888"/>
      <c r="BW392" s="888"/>
    </row>
    <row r="393" spans="1:75" s="1334" customFormat="1" ht="14.25" customHeight="1" x14ac:dyDescent="0.15">
      <c r="A393" s="1184"/>
      <c r="B393" s="354" t="b">
        <f>STATUS_GO="да"</f>
        <v>1</v>
      </c>
      <c r="C393" s="1184"/>
      <c r="D393" s="1184"/>
      <c r="E393" s="626">
        <v>15</v>
      </c>
      <c r="F393" s="3" t="str" cm="1">
        <f t="array" aca="1" ref="F393" ca="1">OFFSET(E393,-1,1)</f>
        <v>2</v>
      </c>
      <c r="G393" s="1184"/>
      <c r="H393" s="1184"/>
      <c r="I393" s="77" t="s">
        <v>2059</v>
      </c>
      <c r="J393" s="1184"/>
      <c r="K393" s="77" t="s">
        <v>2059</v>
      </c>
      <c r="L393" s="889"/>
      <c r="M393" s="26"/>
      <c r="N393" s="1184"/>
      <c r="O393" s="1184"/>
      <c r="P393" s="1184"/>
      <c r="Q393" s="1184"/>
      <c r="R393" s="1184"/>
      <c r="S393" s="1184"/>
      <c r="T393" s="388" t="b" cm="1">
        <f t="array" aca="1" ref="T393" ca="1">T392</f>
        <v>1</v>
      </c>
      <c r="U393" s="1184"/>
      <c r="V393" s="1184"/>
      <c r="W393" s="1184"/>
      <c r="X393" s="2032"/>
      <c r="Y393" s="1184"/>
      <c r="Z393" s="2012"/>
      <c r="AA393" s="1184"/>
      <c r="AB393" s="217" t="s">
        <v>1479</v>
      </c>
      <c r="AC393" s="682" t="s">
        <v>2060</v>
      </c>
      <c r="AD393" s="218" t="s">
        <v>831</v>
      </c>
      <c r="AE393" s="1567"/>
      <c r="AF393" s="1567"/>
      <c r="AG393" s="1567"/>
      <c r="AH393" s="855">
        <f t="shared" si="83"/>
        <v>0</v>
      </c>
      <c r="AI393" s="1568"/>
      <c r="AJ393" s="1568"/>
      <c r="AK393" s="1160"/>
      <c r="AL393" s="1160"/>
      <c r="AM393" s="1160"/>
      <c r="AN393" s="1160"/>
      <c r="AO393" s="1160"/>
      <c r="AP393" s="1160"/>
      <c r="AQ393" s="1568"/>
      <c r="AR393" s="1568"/>
      <c r="AS393" s="1568"/>
      <c r="AT393" s="1568"/>
      <c r="AU393" s="1160"/>
      <c r="AV393" s="1160"/>
      <c r="AW393" s="1160"/>
      <c r="AX393" s="1160"/>
      <c r="AY393" s="1160"/>
      <c r="AZ393" s="1160"/>
      <c r="BA393" s="1568"/>
      <c r="BB393" s="1568"/>
      <c r="BC393" s="1568"/>
      <c r="BD393" s="855">
        <f t="shared" si="85"/>
        <v>0</v>
      </c>
      <c r="BE393" s="855">
        <f t="shared" si="86"/>
        <v>0</v>
      </c>
      <c r="BF393" s="855">
        <f t="shared" si="87"/>
        <v>0</v>
      </c>
      <c r="BG393" s="855">
        <f t="shared" si="88"/>
        <v>0</v>
      </c>
      <c r="BH393" s="855">
        <f t="shared" si="89"/>
        <v>0</v>
      </c>
      <c r="BI393" s="855">
        <f t="shared" si="90"/>
        <v>0</v>
      </c>
      <c r="BJ393" s="855">
        <f t="shared" si="91"/>
        <v>0</v>
      </c>
      <c r="BK393" s="855">
        <f t="shared" si="92"/>
        <v>0</v>
      </c>
      <c r="BL393" s="855">
        <f t="shared" si="93"/>
        <v>0</v>
      </c>
      <c r="BM393" s="855">
        <f t="shared" si="94"/>
        <v>0</v>
      </c>
      <c r="BN393" s="1581"/>
      <c r="BO393" s="1581"/>
      <c r="BP393" s="1581"/>
      <c r="BQ393" s="1184"/>
      <c r="BR393" s="1184"/>
      <c r="BS393" s="973" t="s">
        <v>2061</v>
      </c>
      <c r="BT393" s="973"/>
      <c r="BU393" s="973"/>
      <c r="BV393" s="888"/>
      <c r="BW393" s="888"/>
    </row>
    <row r="394" spans="1:75" s="1334" customFormat="1" ht="14.25" customHeight="1" x14ac:dyDescent="0.15">
      <c r="A394" s="1184"/>
      <c r="B394" s="354" t="b">
        <f>STATUS_GO="да"</f>
        <v>1</v>
      </c>
      <c r="C394" s="1184"/>
      <c r="D394" s="1184"/>
      <c r="E394" s="626">
        <v>15</v>
      </c>
      <c r="F394" s="3" t="str" cm="1">
        <f t="array" aca="1" ref="F394" ca="1">OFFSET(E394,-1,1)</f>
        <v>2</v>
      </c>
      <c r="G394" s="77" t="s">
        <v>1421</v>
      </c>
      <c r="H394" s="1184"/>
      <c r="I394" s="77" t="s">
        <v>2062</v>
      </c>
      <c r="J394" s="1184"/>
      <c r="K394" s="77" t="s">
        <v>2062</v>
      </c>
      <c r="L394" s="889"/>
      <c r="M394" s="26"/>
      <c r="N394" s="1184"/>
      <c r="O394" s="1184"/>
      <c r="P394" s="1184"/>
      <c r="Q394" s="1184"/>
      <c r="R394" s="1184"/>
      <c r="S394" s="1184"/>
      <c r="T394" s="388" t="b" cm="1">
        <f t="array" aca="1" ref="T394" ca="1">T393</f>
        <v>1</v>
      </c>
      <c r="U394" s="1184"/>
      <c r="V394" s="1184"/>
      <c r="W394" s="1184"/>
      <c r="X394" s="2032"/>
      <c r="Y394" s="1184"/>
      <c r="Z394" s="2012"/>
      <c r="AA394" s="1184"/>
      <c r="AB394" s="217" t="s">
        <v>2063</v>
      </c>
      <c r="AC394" s="685" t="s">
        <v>1421</v>
      </c>
      <c r="AD394" s="218" t="s">
        <v>831</v>
      </c>
      <c r="AE394" s="1567"/>
      <c r="AF394" s="1567"/>
      <c r="AG394" s="1567"/>
      <c r="AH394" s="855">
        <f t="shared" si="83"/>
        <v>0</v>
      </c>
      <c r="AI394" s="1568"/>
      <c r="AJ394" s="1568"/>
      <c r="AK394" s="1160"/>
      <c r="AL394" s="1160"/>
      <c r="AM394" s="1160"/>
      <c r="AN394" s="1160"/>
      <c r="AO394" s="1160"/>
      <c r="AP394" s="1160"/>
      <c r="AQ394" s="1568"/>
      <c r="AR394" s="1568"/>
      <c r="AS394" s="1568"/>
      <c r="AT394" s="1568"/>
      <c r="AU394" s="1160"/>
      <c r="AV394" s="1160"/>
      <c r="AW394" s="1160"/>
      <c r="AX394" s="1160"/>
      <c r="AY394" s="1160"/>
      <c r="AZ394" s="1160"/>
      <c r="BA394" s="1568"/>
      <c r="BB394" s="1568"/>
      <c r="BC394" s="1568"/>
      <c r="BD394" s="855">
        <f t="shared" si="85"/>
        <v>0</v>
      </c>
      <c r="BE394" s="855">
        <f t="shared" si="86"/>
        <v>0</v>
      </c>
      <c r="BF394" s="855">
        <f t="shared" si="87"/>
        <v>0</v>
      </c>
      <c r="BG394" s="855">
        <f t="shared" si="88"/>
        <v>0</v>
      </c>
      <c r="BH394" s="855">
        <f t="shared" si="89"/>
        <v>0</v>
      </c>
      <c r="BI394" s="855">
        <f t="shared" si="90"/>
        <v>0</v>
      </c>
      <c r="BJ394" s="855">
        <f t="shared" si="91"/>
        <v>0</v>
      </c>
      <c r="BK394" s="855">
        <f t="shared" si="92"/>
        <v>0</v>
      </c>
      <c r="BL394" s="855">
        <f t="shared" si="93"/>
        <v>0</v>
      </c>
      <c r="BM394" s="855">
        <f t="shared" si="94"/>
        <v>0</v>
      </c>
      <c r="BN394" s="1581"/>
      <c r="BO394" s="1586"/>
      <c r="BP394" s="1581"/>
      <c r="BQ394" s="1184"/>
      <c r="BR394" s="1184"/>
      <c r="BS394" s="973" t="s">
        <v>2064</v>
      </c>
      <c r="BT394" s="973"/>
      <c r="BU394" s="973"/>
      <c r="BV394" s="888"/>
      <c r="BW394" s="888"/>
    </row>
    <row r="395" spans="1:75" s="1334" customFormat="1" ht="14.65" customHeight="1" x14ac:dyDescent="0.15">
      <c r="A395" s="1184"/>
      <c r="B395" s="887"/>
      <c r="C395" s="1184"/>
      <c r="D395" s="1184"/>
      <c r="E395" s="626">
        <v>15</v>
      </c>
      <c r="F395" s="3" t="str" cm="1">
        <f t="array" aca="1" ref="F395" ca="1">OFFSET(E395,-1,1)</f>
        <v>2</v>
      </c>
      <c r="G395" s="77" t="s">
        <v>1426</v>
      </c>
      <c r="H395" s="1184"/>
      <c r="I395" s="77" t="s">
        <v>2065</v>
      </c>
      <c r="J395" s="1184"/>
      <c r="K395" s="77" t="s">
        <v>2065</v>
      </c>
      <c r="L395" s="889"/>
      <c r="M395" s="26"/>
      <c r="N395" s="1184"/>
      <c r="O395" s="1184"/>
      <c r="P395" s="1184"/>
      <c r="Q395" s="1184"/>
      <c r="R395" s="1184"/>
      <c r="S395" s="1184"/>
      <c r="T395" s="388" t="b" cm="1">
        <f t="array" aca="1" ref="T395" ca="1">T394</f>
        <v>1</v>
      </c>
      <c r="U395" s="1184"/>
      <c r="V395" s="1184"/>
      <c r="W395" s="1184"/>
      <c r="X395" s="2032"/>
      <c r="Y395" s="1184"/>
      <c r="Z395" s="2012"/>
      <c r="AA395" s="1184"/>
      <c r="AB395" s="217" t="s">
        <v>1484</v>
      </c>
      <c r="AC395" s="682" t="s">
        <v>1426</v>
      </c>
      <c r="AD395" s="218" t="s">
        <v>831</v>
      </c>
      <c r="AE395" s="1567">
        <v>0</v>
      </c>
      <c r="AF395" s="1567"/>
      <c r="AG395" s="1567"/>
      <c r="AH395" s="855">
        <f t="shared" si="83"/>
        <v>0</v>
      </c>
      <c r="AI395" s="1568">
        <v>0</v>
      </c>
      <c r="AJ395" s="1568">
        <f ca="1">SUMIFS(Экономия_корр!AE$25:AE$51,Экономия_корр!$F$25:$F$51,$F395,Экономия_корр!$AC$25:$AC$51,"Экономия расходов с учетом ИПЦ")</f>
        <v>0</v>
      </c>
      <c r="AK395" s="1160">
        <f ca="1">SUMIFS(Экономия_корр!AF$25:AF$51,Экономия_корр!$F$25:$F$51,$F395,Экономия_корр!$AC$25:$AC$51,"Экономия расходов с учетом ИПЦ")</f>
        <v>0</v>
      </c>
      <c r="AL395" s="1160">
        <f ca="1">SUMIFS(Экономия_корр!AG$25:AG$51,Экономия_корр!$F$25:$F$51,$F395,Экономия_корр!$AC$25:$AC$51,"Экономия расходов с учетом ИПЦ")</f>
        <v>0</v>
      </c>
      <c r="AM395" s="1160">
        <f ca="1">SUMIFS(Экономия_корр!AH$25:AH$51,Экономия_корр!$F$25:$F$51,$F395,Экономия_корр!$AC$25:$AC$51,"Экономия расходов с учетом ИПЦ")</f>
        <v>0</v>
      </c>
      <c r="AN395" s="1160">
        <f ca="1">SUMIFS(Экономия_корр!AI$25:AI$51,Экономия_корр!$F$25:$F$51,$F395,Экономия_корр!$AC$25:$AC$51,"Экономия расходов с учетом ИПЦ")</f>
        <v>0</v>
      </c>
      <c r="AO395" s="1160">
        <f ca="1">SUMIFS(Экономия_корр!AJ$25:AJ$51,Экономия_корр!$F$25:$F$51,$F395,Экономия_корр!$AC$25:$AC$51,"Экономия расходов с учетом ИПЦ")</f>
        <v>0</v>
      </c>
      <c r="AP395" s="1160">
        <f ca="1">SUMIFS(Экономия_корр!AK$25:AK$51,Экономия_корр!$F$25:$F$51,$F395,Экономия_корр!$AC$25:$AC$51,"Экономия расходов с учетом ИПЦ")</f>
        <v>0</v>
      </c>
      <c r="AQ395" s="1568">
        <f ca="1">SUMIFS(Экономия_корр!AL$25:AL$51,Экономия_корр!$F$25:$F$51,$F395,Экономия_корр!$AC$25:$AC$51,"Экономия расходов с учетом ИПЦ")</f>
        <v>0</v>
      </c>
      <c r="AR395" s="1568">
        <f ca="1">SUMIFS(Экономия_корр!AM$25:AM$51,Экономия_корр!$F$25:$F$51,$F395,Экономия_корр!$AC$25:$AC$51,"Экономия расходов с учетом ИПЦ")</f>
        <v>0</v>
      </c>
      <c r="AS395" s="1568">
        <f ca="1">SUMIFS(Экономия_корр!AN$25:AN$51,Экономия_корр!$F$25:$F$51,$F395,Экономия_корр!$AC$25:$AC$51,"Экономия расходов с учетом ИПЦ")</f>
        <v>0</v>
      </c>
      <c r="AT395" s="1568">
        <f ca="1">SUMIFS(Экономия_корр!AO$25:AO$51,Экономия_корр!$F$25:$F$51,$F395,Экономия_корр!$AC$25:$AC$51,"Экономия расходов с учетом ИПЦ")</f>
        <v>0</v>
      </c>
      <c r="AU395" s="1160">
        <f ca="1">SUMIFS(Экономия_корр!AP$25:AP$51,Экономия_корр!$F$25:$F$51,$F395,Экономия_корр!$AC$25:$AC$51,"Экономия расходов с учетом ИПЦ")</f>
        <v>0</v>
      </c>
      <c r="AV395" s="1160">
        <f ca="1">SUMIFS(Экономия_корр!AQ$25:AQ$51,Экономия_корр!$F$25:$F$51,$F395,Экономия_корр!$AC$25:$AC$51,"Экономия расходов с учетом ИПЦ")</f>
        <v>0</v>
      </c>
      <c r="AW395" s="1160">
        <f ca="1">SUMIFS(Экономия_корр!AR$25:AR$51,Экономия_корр!$F$25:$F$51,$F395,Экономия_корр!$AC$25:$AC$51,"Экономия расходов с учетом ИПЦ")</f>
        <v>0</v>
      </c>
      <c r="AX395" s="1160">
        <f ca="1">SUMIFS(Экономия_корр!AS$25:AS$51,Экономия_корр!$F$25:$F$51,$F395,Экономия_корр!$AC$25:$AC$51,"Экономия расходов с учетом ИПЦ")</f>
        <v>0</v>
      </c>
      <c r="AY395" s="1160">
        <f ca="1">SUMIFS(Экономия_корр!AT$25:AT$51,Экономия_корр!$F$25:$F$51,$F395,Экономия_корр!$AC$25:$AC$51,"Экономия расходов с учетом ИПЦ")</f>
        <v>0</v>
      </c>
      <c r="AZ395" s="1160">
        <f ca="1">SUMIFS(Экономия_корр!AU$25:AU$51,Экономия_корр!$F$25:$F$51,$F395,Экономия_корр!$AC$25:$AC$51,"Экономия расходов с учетом ИПЦ")</f>
        <v>0</v>
      </c>
      <c r="BA395" s="1568">
        <f ca="1">SUMIFS(Экономия_корр!AV$25:AV$51,Экономия_корр!$F$25:$F$51,$F395,Экономия_корр!$AC$25:$AC$51,"Экономия расходов с учетом ИПЦ")</f>
        <v>0</v>
      </c>
      <c r="BB395" s="1568">
        <f ca="1">SUMIFS(Экономия_корр!AW$25:AW$51,Экономия_корр!$F$25:$F$51,$F395,Экономия_корр!$AC$25:$AC$51,"Экономия расходов с учетом ИПЦ")</f>
        <v>0</v>
      </c>
      <c r="BC395" s="1568">
        <f ca="1">SUMIFS(Экономия_корр!AX$25:AX$51,Экономия_корр!$F$25:$F$51,$F395,Экономия_корр!$AC$25:$AC$51,"Экономия расходов с учетом ИПЦ")</f>
        <v>0</v>
      </c>
      <c r="BD395" s="855">
        <f t="shared" si="85"/>
        <v>0</v>
      </c>
      <c r="BE395" s="855">
        <f t="shared" ca="1" si="86"/>
        <v>0</v>
      </c>
      <c r="BF395" s="855">
        <f t="shared" ca="1" si="87"/>
        <v>0</v>
      </c>
      <c r="BG395" s="855">
        <f t="shared" ca="1" si="88"/>
        <v>0</v>
      </c>
      <c r="BH395" s="855">
        <f t="shared" ca="1" si="89"/>
        <v>0</v>
      </c>
      <c r="BI395" s="855">
        <f t="shared" ca="1" si="90"/>
        <v>0</v>
      </c>
      <c r="BJ395" s="855">
        <f t="shared" ca="1" si="91"/>
        <v>0</v>
      </c>
      <c r="BK395" s="855">
        <f t="shared" ca="1" si="92"/>
        <v>0</v>
      </c>
      <c r="BL395" s="855">
        <f t="shared" ca="1" si="93"/>
        <v>0</v>
      </c>
      <c r="BM395" s="855">
        <f t="shared" ca="1" si="94"/>
        <v>0</v>
      </c>
      <c r="BN395" s="1581"/>
      <c r="BO395" s="1581"/>
      <c r="BP395" s="1581"/>
      <c r="BQ395" s="1184"/>
      <c r="BR395" s="1184"/>
      <c r="BS395" s="973" t="s">
        <v>2066</v>
      </c>
      <c r="BT395" s="973"/>
      <c r="BU395" s="973"/>
      <c r="BV395" s="888"/>
      <c r="BW395" s="888"/>
    </row>
    <row r="396" spans="1:75" s="1334" customFormat="1" ht="14.25" customHeight="1" x14ac:dyDescent="0.15">
      <c r="A396" s="1184"/>
      <c r="B396" s="887"/>
      <c r="C396" s="1184"/>
      <c r="D396" s="1184"/>
      <c r="E396" s="626">
        <v>15</v>
      </c>
      <c r="F396" s="3" t="str" cm="1">
        <f t="array" aca="1" ref="F396" ca="1">OFFSET(E396,-1,1)</f>
        <v>2</v>
      </c>
      <c r="G396" s="77" t="s">
        <v>1431</v>
      </c>
      <c r="H396" s="1184"/>
      <c r="I396" s="77" t="s">
        <v>2067</v>
      </c>
      <c r="J396" s="1184"/>
      <c r="K396" s="77" t="s">
        <v>2067</v>
      </c>
      <c r="L396" s="889"/>
      <c r="M396" s="26"/>
      <c r="N396" s="1184"/>
      <c r="O396" s="1184"/>
      <c r="P396" s="1184"/>
      <c r="Q396" s="1184"/>
      <c r="R396" s="1184"/>
      <c r="S396" s="1184"/>
      <c r="T396" s="388" t="b" cm="1">
        <f t="array" aca="1" ref="T396" ca="1">T395</f>
        <v>1</v>
      </c>
      <c r="U396" s="1184"/>
      <c r="V396" s="1184"/>
      <c r="W396" s="1184"/>
      <c r="X396" s="2032"/>
      <c r="Y396" s="1184"/>
      <c r="Z396" s="2012"/>
      <c r="AA396" s="1184"/>
      <c r="AB396" s="217" t="s">
        <v>2068</v>
      </c>
      <c r="AC396" s="682" t="s">
        <v>1431</v>
      </c>
      <c r="AD396" s="218" t="s">
        <v>831</v>
      </c>
      <c r="AE396" s="1567"/>
      <c r="AF396" s="1567"/>
      <c r="AG396" s="1567"/>
      <c r="AH396" s="855">
        <f t="shared" si="83"/>
        <v>0</v>
      </c>
      <c r="AI396" s="1568"/>
      <c r="AJ396" s="1568"/>
      <c r="AK396" s="1160"/>
      <c r="AL396" s="1160"/>
      <c r="AM396" s="1160"/>
      <c r="AN396" s="1160"/>
      <c r="AO396" s="1160"/>
      <c r="AP396" s="1160"/>
      <c r="AQ396" s="1568"/>
      <c r="AR396" s="1568"/>
      <c r="AS396" s="1568"/>
      <c r="AT396" s="1568"/>
      <c r="AU396" s="1160"/>
      <c r="AV396" s="1160"/>
      <c r="AW396" s="1160"/>
      <c r="AX396" s="1160"/>
      <c r="AY396" s="1160"/>
      <c r="AZ396" s="1160"/>
      <c r="BA396" s="1568"/>
      <c r="BB396" s="1568"/>
      <c r="BC396" s="1568"/>
      <c r="BD396" s="855">
        <f t="shared" si="85"/>
        <v>0</v>
      </c>
      <c r="BE396" s="855">
        <f t="shared" si="86"/>
        <v>0</v>
      </c>
      <c r="BF396" s="855">
        <f t="shared" si="87"/>
        <v>0</v>
      </c>
      <c r="BG396" s="855">
        <f t="shared" si="88"/>
        <v>0</v>
      </c>
      <c r="BH396" s="855">
        <f t="shared" si="89"/>
        <v>0</v>
      </c>
      <c r="BI396" s="855">
        <f t="shared" si="90"/>
        <v>0</v>
      </c>
      <c r="BJ396" s="855">
        <f t="shared" si="91"/>
        <v>0</v>
      </c>
      <c r="BK396" s="855">
        <f t="shared" si="92"/>
        <v>0</v>
      </c>
      <c r="BL396" s="855">
        <f t="shared" si="93"/>
        <v>0</v>
      </c>
      <c r="BM396" s="855">
        <f t="shared" si="94"/>
        <v>0</v>
      </c>
      <c r="BN396" s="1581"/>
      <c r="BO396" s="1581"/>
      <c r="BP396" s="1581"/>
      <c r="BQ396" s="1184"/>
      <c r="BR396" s="1184"/>
      <c r="BS396" s="973" t="s">
        <v>1798</v>
      </c>
      <c r="BT396" s="973"/>
      <c r="BU396" s="973"/>
      <c r="BV396" s="888"/>
      <c r="BW396" s="888"/>
    </row>
    <row r="397" spans="1:75" s="1334" customFormat="1" ht="14.25" customHeight="1" x14ac:dyDescent="0.15">
      <c r="A397" s="1184"/>
      <c r="B397" s="887"/>
      <c r="C397" s="1184"/>
      <c r="D397" s="1184"/>
      <c r="E397" s="626">
        <v>15</v>
      </c>
      <c r="F397" s="3" t="str" cm="1">
        <f t="array" aca="1" ref="F397" ca="1">OFFSET(E397,-1,1)</f>
        <v>2</v>
      </c>
      <c r="G397" s="77" t="s">
        <v>1436</v>
      </c>
      <c r="H397" s="1184"/>
      <c r="I397" s="77" t="s">
        <v>2069</v>
      </c>
      <c r="J397" s="1184"/>
      <c r="K397" s="77" t="s">
        <v>2069</v>
      </c>
      <c r="L397" s="889"/>
      <c r="M397" s="26"/>
      <c r="N397" s="1184"/>
      <c r="O397" s="1184"/>
      <c r="P397" s="1184"/>
      <c r="Q397" s="1184"/>
      <c r="R397" s="1184"/>
      <c r="S397" s="1184"/>
      <c r="T397" s="388" t="b" cm="1">
        <f t="array" aca="1" ref="T397" ca="1">T396</f>
        <v>1</v>
      </c>
      <c r="U397" s="1184"/>
      <c r="V397" s="1184"/>
      <c r="W397" s="1184"/>
      <c r="X397" s="2032"/>
      <c r="Y397" s="1184"/>
      <c r="Z397" s="2012"/>
      <c r="AA397" s="1184"/>
      <c r="AB397" s="217" t="s">
        <v>1503</v>
      </c>
      <c r="AC397" s="682" t="s">
        <v>1436</v>
      </c>
      <c r="AD397" s="218" t="s">
        <v>831</v>
      </c>
      <c r="AE397" s="1567"/>
      <c r="AF397" s="1567"/>
      <c r="AG397" s="1567"/>
      <c r="AH397" s="855">
        <f t="shared" si="83"/>
        <v>0</v>
      </c>
      <c r="AI397" s="1568"/>
      <c r="AJ397" s="1568"/>
      <c r="AK397" s="1160"/>
      <c r="AL397" s="1160"/>
      <c r="AM397" s="1160"/>
      <c r="AN397" s="1160"/>
      <c r="AO397" s="1160"/>
      <c r="AP397" s="1160"/>
      <c r="AQ397" s="1568"/>
      <c r="AR397" s="1568"/>
      <c r="AS397" s="1568"/>
      <c r="AT397" s="1568"/>
      <c r="AU397" s="1160"/>
      <c r="AV397" s="1160"/>
      <c r="AW397" s="1160"/>
      <c r="AX397" s="1160"/>
      <c r="AY397" s="1160"/>
      <c r="AZ397" s="1160"/>
      <c r="BA397" s="1568"/>
      <c r="BB397" s="1568"/>
      <c r="BC397" s="1568"/>
      <c r="BD397" s="855">
        <f t="shared" si="85"/>
        <v>0</v>
      </c>
      <c r="BE397" s="855">
        <f t="shared" si="86"/>
        <v>0</v>
      </c>
      <c r="BF397" s="855">
        <f t="shared" si="87"/>
        <v>0</v>
      </c>
      <c r="BG397" s="855">
        <f t="shared" si="88"/>
        <v>0</v>
      </c>
      <c r="BH397" s="855">
        <f t="shared" si="89"/>
        <v>0</v>
      </c>
      <c r="BI397" s="855">
        <f t="shared" si="90"/>
        <v>0</v>
      </c>
      <c r="BJ397" s="855">
        <f t="shared" si="91"/>
        <v>0</v>
      </c>
      <c r="BK397" s="855">
        <f t="shared" si="92"/>
        <v>0</v>
      </c>
      <c r="BL397" s="855">
        <f t="shared" si="93"/>
        <v>0</v>
      </c>
      <c r="BM397" s="855">
        <f t="shared" si="94"/>
        <v>0</v>
      </c>
      <c r="BN397" s="1581"/>
      <c r="BO397" s="1581"/>
      <c r="BP397" s="1581"/>
      <c r="BQ397" s="1184"/>
      <c r="BR397" s="1184"/>
      <c r="BS397" s="973" t="s">
        <v>2070</v>
      </c>
      <c r="BT397" s="973"/>
      <c r="BU397" s="973"/>
      <c r="BV397" s="888"/>
      <c r="BW397" s="888"/>
    </row>
    <row r="398" spans="1:75" s="1334" customFormat="1" ht="14.25" customHeight="1" x14ac:dyDescent="0.15">
      <c r="A398" s="1184"/>
      <c r="B398" s="887"/>
      <c r="C398" s="1184"/>
      <c r="D398" s="1184"/>
      <c r="E398" s="626">
        <v>15</v>
      </c>
      <c r="F398" s="3" t="str" cm="1">
        <f t="array" aca="1" ref="F398" ca="1">OFFSET(E398,-1,1)</f>
        <v>2</v>
      </c>
      <c r="G398" s="77" t="s">
        <v>1441</v>
      </c>
      <c r="H398" s="1184"/>
      <c r="I398" s="77" t="s">
        <v>2071</v>
      </c>
      <c r="J398" s="1184"/>
      <c r="K398" s="77" t="s">
        <v>2071</v>
      </c>
      <c r="L398" s="889"/>
      <c r="M398" s="26"/>
      <c r="N398" s="1184"/>
      <c r="O398" s="1184"/>
      <c r="P398" s="1184"/>
      <c r="Q398" s="1184"/>
      <c r="R398" s="1184"/>
      <c r="S398" s="1184"/>
      <c r="T398" s="388" t="b" cm="1">
        <f t="array" aca="1" ref="T398" ca="1">T397</f>
        <v>1</v>
      </c>
      <c r="U398" s="1184"/>
      <c r="V398" s="1184"/>
      <c r="W398" s="1184"/>
      <c r="X398" s="2032"/>
      <c r="Y398" s="1184"/>
      <c r="Z398" s="2012"/>
      <c r="AA398" s="1184"/>
      <c r="AB398" s="217" t="s">
        <v>1507</v>
      </c>
      <c r="AC398" s="682" t="s">
        <v>1441</v>
      </c>
      <c r="AD398" s="218" t="s">
        <v>831</v>
      </c>
      <c r="AE398" s="269">
        <f>SUM(AE399,AE400)</f>
        <v>0</v>
      </c>
      <c r="AF398" s="177">
        <f>SUM(AF399,AF400)</f>
        <v>0</v>
      </c>
      <c r="AG398" s="177">
        <f>SUM(AG399,AG400)</f>
        <v>0</v>
      </c>
      <c r="AH398" s="855">
        <f t="shared" si="83"/>
        <v>0</v>
      </c>
      <c r="AI398" s="855">
        <f t="shared" ref="AI398:BC398" si="97">SUM(AI399,AI400)</f>
        <v>0</v>
      </c>
      <c r="AJ398" s="856">
        <f t="shared" si="97"/>
        <v>0</v>
      </c>
      <c r="AK398" s="855">
        <f t="shared" si="97"/>
        <v>0</v>
      </c>
      <c r="AL398" s="855">
        <f t="shared" si="97"/>
        <v>0</v>
      </c>
      <c r="AM398" s="855">
        <f t="shared" si="97"/>
        <v>0</v>
      </c>
      <c r="AN398" s="855">
        <f t="shared" si="97"/>
        <v>0</v>
      </c>
      <c r="AO398" s="855">
        <f t="shared" si="97"/>
        <v>0</v>
      </c>
      <c r="AP398" s="855">
        <f t="shared" si="97"/>
        <v>0</v>
      </c>
      <c r="AQ398" s="855">
        <f t="shared" si="97"/>
        <v>0</v>
      </c>
      <c r="AR398" s="855">
        <f t="shared" si="97"/>
        <v>0</v>
      </c>
      <c r="AS398" s="855">
        <f t="shared" si="97"/>
        <v>0</v>
      </c>
      <c r="AT398" s="856">
        <f t="shared" si="97"/>
        <v>0</v>
      </c>
      <c r="AU398" s="855">
        <f t="shared" si="97"/>
        <v>0</v>
      </c>
      <c r="AV398" s="855">
        <f t="shared" si="97"/>
        <v>0</v>
      </c>
      <c r="AW398" s="855">
        <f t="shared" si="97"/>
        <v>0</v>
      </c>
      <c r="AX398" s="855">
        <f t="shared" si="97"/>
        <v>0</v>
      </c>
      <c r="AY398" s="855">
        <f t="shared" si="97"/>
        <v>0</v>
      </c>
      <c r="AZ398" s="855">
        <f t="shared" si="97"/>
        <v>0</v>
      </c>
      <c r="BA398" s="855">
        <f t="shared" si="97"/>
        <v>0</v>
      </c>
      <c r="BB398" s="855">
        <f t="shared" si="97"/>
        <v>0</v>
      </c>
      <c r="BC398" s="855">
        <f t="shared" si="97"/>
        <v>0</v>
      </c>
      <c r="BD398" s="855">
        <f t="shared" si="85"/>
        <v>0</v>
      </c>
      <c r="BE398" s="855">
        <f t="shared" si="86"/>
        <v>0</v>
      </c>
      <c r="BF398" s="855">
        <f t="shared" si="87"/>
        <v>0</v>
      </c>
      <c r="BG398" s="855">
        <f t="shared" si="88"/>
        <v>0</v>
      </c>
      <c r="BH398" s="855">
        <f t="shared" si="89"/>
        <v>0</v>
      </c>
      <c r="BI398" s="855">
        <f t="shared" si="90"/>
        <v>0</v>
      </c>
      <c r="BJ398" s="855">
        <f t="shared" si="91"/>
        <v>0</v>
      </c>
      <c r="BK398" s="855">
        <f t="shared" si="92"/>
        <v>0</v>
      </c>
      <c r="BL398" s="855">
        <f t="shared" si="93"/>
        <v>0</v>
      </c>
      <c r="BM398" s="855">
        <f t="shared" si="94"/>
        <v>0</v>
      </c>
      <c r="BN398" s="1581"/>
      <c r="BO398" s="1581"/>
      <c r="BP398" s="1581"/>
      <c r="BQ398" s="1184"/>
      <c r="BR398" s="1184"/>
      <c r="BS398" s="973" t="s">
        <v>2072</v>
      </c>
      <c r="BT398" s="973"/>
      <c r="BU398" s="973"/>
      <c r="BV398" s="888"/>
      <c r="BW398" s="888"/>
    </row>
    <row r="399" spans="1:75" s="1334" customFormat="1" ht="14.25" customHeight="1" x14ac:dyDescent="0.15">
      <c r="A399" s="1184"/>
      <c r="B399" s="887"/>
      <c r="C399" s="1184"/>
      <c r="D399" s="1184"/>
      <c r="E399" s="626">
        <v>15</v>
      </c>
      <c r="F399" s="3" t="str" cm="1">
        <f t="array" aca="1" ref="F399" ca="1">OFFSET(E399,-1,1)</f>
        <v>2</v>
      </c>
      <c r="G399" s="1184"/>
      <c r="H399" s="1184"/>
      <c r="I399" s="77" t="s">
        <v>2073</v>
      </c>
      <c r="J399" s="1184"/>
      <c r="K399" s="77" t="s">
        <v>2073</v>
      </c>
      <c r="L399" s="889"/>
      <c r="M399" s="26"/>
      <c r="N399" s="1184"/>
      <c r="O399" s="1184"/>
      <c r="P399" s="1184"/>
      <c r="Q399" s="1184"/>
      <c r="R399" s="1184"/>
      <c r="S399" s="1184"/>
      <c r="T399" s="388" t="b" cm="1">
        <f t="array" aca="1" ref="T399" ca="1">T398</f>
        <v>1</v>
      </c>
      <c r="U399" s="1184"/>
      <c r="V399" s="1184"/>
      <c r="W399" s="1184"/>
      <c r="X399" s="2032"/>
      <c r="Y399" s="1184"/>
      <c r="Z399" s="2012"/>
      <c r="AA399" s="1184"/>
      <c r="AB399" s="217" t="s">
        <v>2074</v>
      </c>
      <c r="AC399" s="685" t="s">
        <v>2075</v>
      </c>
      <c r="AD399" s="218" t="s">
        <v>831</v>
      </c>
      <c r="AE399" s="1567"/>
      <c r="AF399" s="1567"/>
      <c r="AG399" s="1567"/>
      <c r="AH399" s="855">
        <f t="shared" si="83"/>
        <v>0</v>
      </c>
      <c r="AI399" s="1568"/>
      <c r="AJ399" s="1568"/>
      <c r="AK399" s="1160"/>
      <c r="AL399" s="1160"/>
      <c r="AM399" s="1160"/>
      <c r="AN399" s="1160"/>
      <c r="AO399" s="1160"/>
      <c r="AP399" s="1160"/>
      <c r="AQ399" s="1568"/>
      <c r="AR399" s="1568"/>
      <c r="AS399" s="1568"/>
      <c r="AT399" s="1568"/>
      <c r="AU399" s="1160"/>
      <c r="AV399" s="1160"/>
      <c r="AW399" s="1160"/>
      <c r="AX399" s="1160"/>
      <c r="AY399" s="1160"/>
      <c r="AZ399" s="1160"/>
      <c r="BA399" s="1568"/>
      <c r="BB399" s="1568"/>
      <c r="BC399" s="1568"/>
      <c r="BD399" s="855">
        <f t="shared" si="85"/>
        <v>0</v>
      </c>
      <c r="BE399" s="855">
        <f t="shared" si="86"/>
        <v>0</v>
      </c>
      <c r="BF399" s="855">
        <f t="shared" si="87"/>
        <v>0</v>
      </c>
      <c r="BG399" s="855">
        <f t="shared" si="88"/>
        <v>0</v>
      </c>
      <c r="BH399" s="855">
        <f t="shared" si="89"/>
        <v>0</v>
      </c>
      <c r="BI399" s="855">
        <f t="shared" si="90"/>
        <v>0</v>
      </c>
      <c r="BJ399" s="855">
        <f t="shared" si="91"/>
        <v>0</v>
      </c>
      <c r="BK399" s="855">
        <f t="shared" si="92"/>
        <v>0</v>
      </c>
      <c r="BL399" s="855">
        <f t="shared" si="93"/>
        <v>0</v>
      </c>
      <c r="BM399" s="855">
        <f t="shared" si="94"/>
        <v>0</v>
      </c>
      <c r="BN399" s="1581"/>
      <c r="BO399" s="1581"/>
      <c r="BP399" s="1581"/>
      <c r="BQ399" s="1184"/>
      <c r="BR399" s="1184"/>
      <c r="BS399" s="973" t="s">
        <v>1222</v>
      </c>
      <c r="BT399" s="973"/>
      <c r="BU399" s="973"/>
      <c r="BV399" s="888"/>
      <c r="BW399" s="888"/>
    </row>
    <row r="400" spans="1:75" s="1334" customFormat="1" ht="14.25" customHeight="1" x14ac:dyDescent="0.15">
      <c r="A400" s="1184"/>
      <c r="B400" s="887"/>
      <c r="C400" s="1184"/>
      <c r="D400" s="1184"/>
      <c r="E400" s="626">
        <v>15</v>
      </c>
      <c r="F400" s="3" t="str" cm="1">
        <f t="array" aca="1" ref="F400" ca="1">OFFSET(E400,-1,1)</f>
        <v>2</v>
      </c>
      <c r="G400" s="1184"/>
      <c r="H400" s="1184"/>
      <c r="I400" s="77" t="s">
        <v>2076</v>
      </c>
      <c r="J400" s="1184"/>
      <c r="K400" s="77" t="s">
        <v>2076</v>
      </c>
      <c r="L400" s="889" t="s">
        <v>922</v>
      </c>
      <c r="M400" s="26"/>
      <c r="N400" s="1184"/>
      <c r="O400" s="1184"/>
      <c r="P400" s="1184"/>
      <c r="Q400" s="1184"/>
      <c r="R400" s="1184"/>
      <c r="S400" s="1184"/>
      <c r="T400" s="388" t="b" cm="1">
        <f t="array" aca="1" ref="T400" ca="1">T399</f>
        <v>1</v>
      </c>
      <c r="U400" s="1184"/>
      <c r="V400" s="1184"/>
      <c r="W400" s="1184"/>
      <c r="X400" s="2032"/>
      <c r="Y400" s="1184"/>
      <c r="Z400" s="2012"/>
      <c r="AA400" s="1184"/>
      <c r="AB400" s="217" t="s">
        <v>2077</v>
      </c>
      <c r="AC400" s="685" t="s">
        <v>2078</v>
      </c>
      <c r="AD400" s="218" t="s">
        <v>831</v>
      </c>
      <c r="AE400" s="1567"/>
      <c r="AF400" s="1567"/>
      <c r="AG400" s="1567"/>
      <c r="AH400" s="855">
        <f t="shared" si="83"/>
        <v>0</v>
      </c>
      <c r="AI400" s="1568"/>
      <c r="AJ400" s="1568"/>
      <c r="AK400" s="1160"/>
      <c r="AL400" s="1160"/>
      <c r="AM400" s="1160"/>
      <c r="AN400" s="1160"/>
      <c r="AO400" s="1160"/>
      <c r="AP400" s="1160"/>
      <c r="AQ400" s="1568"/>
      <c r="AR400" s="1568"/>
      <c r="AS400" s="1568"/>
      <c r="AT400" s="1568"/>
      <c r="AU400" s="1160"/>
      <c r="AV400" s="1160"/>
      <c r="AW400" s="1160"/>
      <c r="AX400" s="1160"/>
      <c r="AY400" s="1160"/>
      <c r="AZ400" s="1160"/>
      <c r="BA400" s="1568"/>
      <c r="BB400" s="1568"/>
      <c r="BC400" s="1568"/>
      <c r="BD400" s="855">
        <f t="shared" si="85"/>
        <v>0</v>
      </c>
      <c r="BE400" s="855">
        <f t="shared" si="86"/>
        <v>0</v>
      </c>
      <c r="BF400" s="855">
        <f t="shared" si="87"/>
        <v>0</v>
      </c>
      <c r="BG400" s="855">
        <f t="shared" si="88"/>
        <v>0</v>
      </c>
      <c r="BH400" s="855">
        <f t="shared" si="89"/>
        <v>0</v>
      </c>
      <c r="BI400" s="855">
        <f t="shared" si="90"/>
        <v>0</v>
      </c>
      <c r="BJ400" s="855">
        <f t="shared" si="91"/>
        <v>0</v>
      </c>
      <c r="BK400" s="855">
        <f t="shared" si="92"/>
        <v>0</v>
      </c>
      <c r="BL400" s="855">
        <f t="shared" si="93"/>
        <v>0</v>
      </c>
      <c r="BM400" s="855">
        <f t="shared" si="94"/>
        <v>0</v>
      </c>
      <c r="BN400" s="1581"/>
      <c r="BO400" s="1581"/>
      <c r="BP400" s="1581"/>
      <c r="BQ400" s="1184"/>
      <c r="BR400" s="1184"/>
      <c r="BS400" s="973" t="s">
        <v>2079</v>
      </c>
      <c r="BT400" s="973"/>
      <c r="BU400" s="973"/>
      <c r="BV400" s="888"/>
      <c r="BW400" s="888"/>
    </row>
    <row r="401" spans="1:75" s="1334" customFormat="1" ht="21.75" customHeight="1" x14ac:dyDescent="0.15">
      <c r="A401" s="1184"/>
      <c r="B401" s="887"/>
      <c r="C401" s="1184"/>
      <c r="D401" s="1184"/>
      <c r="E401" s="626">
        <v>22.5</v>
      </c>
      <c r="F401" s="3" t="str" cm="1">
        <f t="array" aca="1" ref="F401" ca="1">OFFSET(E401,-1,1)</f>
        <v>2</v>
      </c>
      <c r="G401" s="77" t="s">
        <v>1446</v>
      </c>
      <c r="H401" s="1184"/>
      <c r="I401" s="77" t="s">
        <v>2080</v>
      </c>
      <c r="J401" s="1184"/>
      <c r="K401" s="77" t="s">
        <v>2080</v>
      </c>
      <c r="L401" s="889"/>
      <c r="M401" s="26"/>
      <c r="N401" s="1184"/>
      <c r="O401" s="1184"/>
      <c r="P401" s="1184"/>
      <c r="Q401" s="1184"/>
      <c r="R401" s="1184"/>
      <c r="S401" s="1184"/>
      <c r="T401" s="388" t="b" cm="1">
        <f t="array" aca="1" ref="T401" ca="1">T400</f>
        <v>1</v>
      </c>
      <c r="U401" s="1184"/>
      <c r="V401" s="1184"/>
      <c r="W401" s="1184"/>
      <c r="X401" s="2032"/>
      <c r="Y401" s="1184"/>
      <c r="Z401" s="2012"/>
      <c r="AA401" s="1184"/>
      <c r="AB401" s="217" t="s">
        <v>1510</v>
      </c>
      <c r="AC401" s="682" t="s">
        <v>2081</v>
      </c>
      <c r="AD401" s="218" t="s">
        <v>831</v>
      </c>
      <c r="AE401" s="1567"/>
      <c r="AF401" s="1567"/>
      <c r="AG401" s="1567"/>
      <c r="AH401" s="855">
        <f t="shared" si="83"/>
        <v>0</v>
      </c>
      <c r="AI401" s="1568"/>
      <c r="AJ401" s="1568"/>
      <c r="AK401" s="1160"/>
      <c r="AL401" s="1160"/>
      <c r="AM401" s="1160"/>
      <c r="AN401" s="1160"/>
      <c r="AO401" s="1160"/>
      <c r="AP401" s="1160"/>
      <c r="AQ401" s="1568"/>
      <c r="AR401" s="1568"/>
      <c r="AS401" s="1568"/>
      <c r="AT401" s="1568"/>
      <c r="AU401" s="1160"/>
      <c r="AV401" s="1160"/>
      <c r="AW401" s="1160"/>
      <c r="AX401" s="1160"/>
      <c r="AY401" s="1160"/>
      <c r="AZ401" s="1160"/>
      <c r="BA401" s="1568"/>
      <c r="BB401" s="1568"/>
      <c r="BC401" s="1568"/>
      <c r="BD401" s="855">
        <f t="shared" si="85"/>
        <v>0</v>
      </c>
      <c r="BE401" s="855">
        <f t="shared" si="86"/>
        <v>0</v>
      </c>
      <c r="BF401" s="855">
        <f t="shared" si="87"/>
        <v>0</v>
      </c>
      <c r="BG401" s="855">
        <f t="shared" si="88"/>
        <v>0</v>
      </c>
      <c r="BH401" s="855">
        <f t="shared" si="89"/>
        <v>0</v>
      </c>
      <c r="BI401" s="855">
        <f t="shared" si="90"/>
        <v>0</v>
      </c>
      <c r="BJ401" s="855">
        <f t="shared" si="91"/>
        <v>0</v>
      </c>
      <c r="BK401" s="855">
        <f t="shared" si="92"/>
        <v>0</v>
      </c>
      <c r="BL401" s="855">
        <f t="shared" si="93"/>
        <v>0</v>
      </c>
      <c r="BM401" s="855">
        <f t="shared" si="94"/>
        <v>0</v>
      </c>
      <c r="BN401" s="1581"/>
      <c r="BO401" s="1581"/>
      <c r="BP401" s="1581"/>
      <c r="BQ401" s="1184"/>
      <c r="BR401" s="1184"/>
      <c r="BS401" s="973" t="s">
        <v>2082</v>
      </c>
      <c r="BT401" s="973"/>
      <c r="BU401" s="973"/>
      <c r="BV401" s="888"/>
      <c r="BW401" s="888"/>
    </row>
    <row r="402" spans="1:75" s="1604" customFormat="1" ht="22.5" customHeight="1" x14ac:dyDescent="0.15">
      <c r="A402" s="623"/>
      <c r="B402" s="357"/>
      <c r="C402" s="623"/>
      <c r="D402" s="623"/>
      <c r="E402" s="630">
        <v>21</v>
      </c>
      <c r="F402" s="3" t="str" cm="1">
        <f t="array" aca="1" ref="F402" ca="1">OFFSET(E402,-1,1)</f>
        <v>2</v>
      </c>
      <c r="G402" s="77" t="s">
        <v>2083</v>
      </c>
      <c r="H402" s="77"/>
      <c r="I402" s="77" t="s">
        <v>333</v>
      </c>
      <c r="J402" s="623"/>
      <c r="K402" s="77" t="s">
        <v>333</v>
      </c>
      <c r="L402" s="894" t="s">
        <v>1301</v>
      </c>
      <c r="M402" s="28"/>
      <c r="N402" s="623"/>
      <c r="O402" s="623"/>
      <c r="P402" s="623"/>
      <c r="Q402" s="623"/>
      <c r="R402" s="623"/>
      <c r="S402" s="623"/>
      <c r="T402" s="388" t="b" cm="1">
        <f t="array" aca="1" ref="T402" ca="1">T401</f>
        <v>1</v>
      </c>
      <c r="U402" s="623"/>
      <c r="V402" s="623"/>
      <c r="W402" s="623"/>
      <c r="X402" s="2032"/>
      <c r="Y402" s="623"/>
      <c r="Z402" s="2012"/>
      <c r="AA402" s="623"/>
      <c r="AB402" s="137" t="s">
        <v>329</v>
      </c>
      <c r="AC402" s="131" t="s">
        <v>2084</v>
      </c>
      <c r="AD402" s="130" t="s">
        <v>831</v>
      </c>
      <c r="AE402" s="698">
        <f ca="1">SUMIFS(ЭЭ!AE$25:AE$117,ЭЭ!$F$25:$F$117,$F402,ЭЭ!$AC$25:$AC$117,"Всего по тарифу")</f>
        <v>24354.220940921998</v>
      </c>
      <c r="AF402" s="698">
        <f ca="1">SUMIFS(ЭЭ!AF$25:AF$117,ЭЭ!$F$25:$F$117,$F402,ЭЭ!$AC$25:$AC$117,"Всего по тарифу")</f>
        <v>25759.190000000002</v>
      </c>
      <c r="AG402" s="698">
        <f ca="1">SUMIFS(ЭЭ!AG$25:AG$117,ЭЭ!$F$25:$F$117,$F402,ЭЭ!$AC$25:$AC$117,"Всего по тарифу")</f>
        <v>24612.294613923892</v>
      </c>
      <c r="AH402" s="681">
        <f t="shared" ca="1" si="83"/>
        <v>-1146.8953860761103</v>
      </c>
      <c r="AI402" s="681">
        <f ca="1">SUMIFS(ЭЭ!AH$25:AH$117,ЭЭ!$F$25:$F$117,$F402,ЭЭ!$AC$25:$AC$117,"Всего по тарифу")</f>
        <v>25547.577767027004</v>
      </c>
      <c r="AJ402" s="681">
        <f ca="1">SUMIFS(ЭЭ!AI$25:AI$117,ЭЭ!$F$25:$F$117,$F402,ЭЭ!$AC$25:$AC$117,"Всего по тарифу")</f>
        <v>28102.23</v>
      </c>
      <c r="AK402" s="681">
        <f ca="1">SUMIFS(ЭЭ!AJ$25:AJ$117,ЭЭ!$F$25:$F$117,$F402,ЭЭ!$AC$25:$AC$117,"Всего по тарифу")</f>
        <v>27716.99</v>
      </c>
      <c r="AL402" s="681">
        <f ca="1">SUMIFS(ЭЭ!AK$25:AK$117,ЭЭ!$F$25:$F$117,$F402,ЭЭ!$AC$25:$AC$117,"Всего по тарифу")</f>
        <v>28825.659999999996</v>
      </c>
      <c r="AM402" s="681">
        <f ca="1">SUMIFS(ЭЭ!AL$25:AL$117,ЭЭ!$F$25:$F$117,$F402,ЭЭ!$AC$25:$AC$117,"Всего по тарифу")</f>
        <v>29978.7</v>
      </c>
      <c r="AN402" s="681">
        <f ca="1">SUMIFS(ЭЭ!AM$25:AM$117,ЭЭ!$F$25:$F$117,$F402,ЭЭ!$AC$25:$AC$117,"Всего по тарифу")</f>
        <v>31177.840000000004</v>
      </c>
      <c r="AO402" s="681">
        <f ca="1">SUMIFS(ЭЭ!AN$25:AN$117,ЭЭ!$F$25:$F$117,$F402,ЭЭ!$AC$25:$AC$117,"Всего по тарифу")</f>
        <v>32424.959999999999</v>
      </c>
      <c r="AP402" s="681">
        <f ca="1">SUMIFS(ЭЭ!AO$25:AO$117,ЭЭ!$F$25:$F$117,$F402,ЭЭ!$AC$25:$AC$117,"Всего по тарифу")</f>
        <v>33721.96</v>
      </c>
      <c r="AQ402" s="681">
        <f ca="1">SUMIFS(ЭЭ!AP$25:AP$117,ЭЭ!$F$25:$F$117,$F402,ЭЭ!$AC$25:$AC$117,"Всего по тарифу")</f>
        <v>0</v>
      </c>
      <c r="AR402" s="681">
        <f ca="1">SUMIFS(ЭЭ!AQ$25:AQ$117,ЭЭ!$F$25:$F$117,$F402,ЭЭ!$AC$25:$AC$117,"Всего по тарифу")</f>
        <v>0</v>
      </c>
      <c r="AS402" s="681">
        <f ca="1">SUMIFS(ЭЭ!AR$25:AR$117,ЭЭ!$F$25:$F$117,$F402,ЭЭ!$AC$25:$AC$117,"Всего по тарифу")</f>
        <v>0</v>
      </c>
      <c r="AT402" s="681">
        <f ca="1">SUMIFS(ЭЭ!AS$25:AS$117,ЭЭ!$F$25:$F$117,$F402,ЭЭ!$AC$25:$AC$117,"Всего по тарифу")</f>
        <v>31057.649999999998</v>
      </c>
      <c r="AU402" s="681">
        <f ca="1">SUMIFS(ЭЭ!AT$25:AT$117,ЭЭ!$F$25:$F$117,$F402,ЭЭ!$AC$25:$AC$117,"Всего по тарифу")</f>
        <v>27103.42</v>
      </c>
      <c r="AV402" s="681">
        <f ca="1">SUMIFS(ЭЭ!AU$25:AU$117,ЭЭ!$F$25:$F$117,$F402,ЭЭ!$AC$25:$AC$117,"Всего по тарифу")</f>
        <v>27916.53</v>
      </c>
      <c r="AW402" s="681">
        <f ca="1">SUMIFS(ЭЭ!AV$25:AV$117,ЭЭ!$F$25:$F$117,$F402,ЭЭ!$AC$25:$AC$117,"Всего по тарифу")</f>
        <v>28754.020000000004</v>
      </c>
      <c r="AX402" s="681">
        <f ca="1">SUMIFS(ЭЭ!AW$25:AW$117,ЭЭ!$F$25:$F$117,$F402,ЭЭ!$AC$25:$AC$117,"Всего по тарифу")</f>
        <v>29616.649999999998</v>
      </c>
      <c r="AY402" s="681">
        <f ca="1">SUMIFS(ЭЭ!AX$25:AX$117,ЭЭ!$F$25:$F$117,$F402,ЭЭ!$AC$25:$AC$117,"Всего по тарифу")</f>
        <v>30505.149999999998</v>
      </c>
      <c r="AZ402" s="681">
        <f ca="1">SUMIFS(ЭЭ!AY$25:AY$117,ЭЭ!$F$25:$F$117,$F402,ЭЭ!$AC$25:$AC$117,"Всего по тарифу")</f>
        <v>31420.309999999998</v>
      </c>
      <c r="BA402" s="681">
        <f ca="1">SUMIFS(ЭЭ!AZ$25:AZ$117,ЭЭ!$F$25:$F$117,$F402,ЭЭ!$AC$25:$AC$117,"Всего по тарифу")</f>
        <v>0</v>
      </c>
      <c r="BB402" s="681">
        <f ca="1">SUMIFS(ЭЭ!BA$25:BA$117,ЭЭ!$F$25:$F$117,$F402,ЭЭ!$AC$25:$AC$117,"Всего по тарифу")</f>
        <v>0</v>
      </c>
      <c r="BC402" s="681">
        <f ca="1">SUMIFS(ЭЭ!BB$25:BB$117,ЭЭ!$F$25:$F$117,$F402,ЭЭ!$AC$25:$AC$117,"Всего по тарифу")</f>
        <v>0</v>
      </c>
      <c r="BD402" s="681">
        <f t="shared" ca="1" si="85"/>
        <v>21.567885156159782</v>
      </c>
      <c r="BE402" s="681">
        <f t="shared" ca="1" si="86"/>
        <v>-12.731903411880808</v>
      </c>
      <c r="BF402" s="681">
        <f t="shared" ca="1" si="87"/>
        <v>3.0000273028274687</v>
      </c>
      <c r="BG402" s="681">
        <f t="shared" ca="1" si="88"/>
        <v>2.9999788655681967</v>
      </c>
      <c r="BH402" s="681">
        <f t="shared" ca="1" si="89"/>
        <v>3.0000326910810857</v>
      </c>
      <c r="BI402" s="681">
        <f t="shared" ca="1" si="90"/>
        <v>3.0000016882395548</v>
      </c>
      <c r="BJ402" s="681">
        <f t="shared" ca="1" si="91"/>
        <v>3.0000180297425185</v>
      </c>
      <c r="BK402" s="681">
        <f t="shared" ca="1" si="92"/>
        <v>-100</v>
      </c>
      <c r="BL402" s="681">
        <f t="shared" ca="1" si="93"/>
        <v>0</v>
      </c>
      <c r="BM402" s="681">
        <f t="shared" ca="1" si="94"/>
        <v>0</v>
      </c>
      <c r="BN402" s="1581"/>
      <c r="BO402" s="1586" t="s">
        <v>2190</v>
      </c>
      <c r="BP402" s="1581" t="s">
        <v>2209</v>
      </c>
      <c r="BQ402" s="623"/>
      <c r="BR402" s="623"/>
      <c r="BS402" s="979" t="s">
        <v>1692</v>
      </c>
      <c r="BT402" s="979"/>
      <c r="BU402" s="979"/>
      <c r="BV402" s="630"/>
      <c r="BW402" s="630"/>
    </row>
    <row r="403" spans="1:75" s="1605" customFormat="1" ht="30.75" customHeight="1" x14ac:dyDescent="0.15">
      <c r="A403" s="623"/>
      <c r="B403" s="81" t="b">
        <f>method_reg="Метод индексации"</f>
        <v>1</v>
      </c>
      <c r="C403" s="623"/>
      <c r="D403" s="623"/>
      <c r="E403" s="630">
        <v>22.5</v>
      </c>
      <c r="F403" s="3" t="str" cm="1">
        <f t="array" aca="1" ref="F403" ca="1">OFFSET(E403,-1,1)</f>
        <v>2</v>
      </c>
      <c r="G403" s="77" t="s">
        <v>1468</v>
      </c>
      <c r="H403" s="77"/>
      <c r="I403" s="77" t="s">
        <v>335</v>
      </c>
      <c r="J403" s="623"/>
      <c r="K403" s="77" t="s">
        <v>335</v>
      </c>
      <c r="L403" s="894" t="s">
        <v>334</v>
      </c>
      <c r="M403" s="28"/>
      <c r="N403" s="623"/>
      <c r="O403" s="623"/>
      <c r="P403" s="623"/>
      <c r="Q403" s="623"/>
      <c r="R403" s="623"/>
      <c r="S403" s="623"/>
      <c r="T403" s="388" t="b" cm="1">
        <f t="array" aca="1" ref="T403" ca="1">T402</f>
        <v>1</v>
      </c>
      <c r="U403" s="623"/>
      <c r="V403" s="623"/>
      <c r="W403" s="623"/>
      <c r="X403" s="2032"/>
      <c r="Y403" s="623"/>
      <c r="Z403" s="2012"/>
      <c r="AA403" s="623"/>
      <c r="AB403" s="137" t="s">
        <v>441</v>
      </c>
      <c r="AC403" s="131" t="s">
        <v>2085</v>
      </c>
      <c r="AD403" s="130" t="s">
        <v>831</v>
      </c>
      <c r="AE403" s="698">
        <f ca="1">SUMIFS(Амортизация!AE$25:AE$174,Амортизация!$F$25:$F$174,$F403,Амортизация!$AC$25:$AC$174,"Сумма амортизационных отчислений")</f>
        <v>0</v>
      </c>
      <c r="AF403" s="698">
        <f ca="1">SUMIFS(Амортизация!AF$25:AF$174,Амортизация!$F$25:$F$174,$F403,Амортизация!$AC$25:$AC$174,"Сумма амортизационных отчислений")</f>
        <v>3343.79</v>
      </c>
      <c r="AG403" s="698">
        <f ca="1">SUMIFS(Амортизация!AG$25:AG$174,Амортизация!$F$25:$F$174,$F403,Амортизация!$AC$25:$AC$174,"Сумма амортизационных отчислений")</f>
        <v>0</v>
      </c>
      <c r="AH403" s="681">
        <f t="shared" ca="1" si="83"/>
        <v>-3343.79</v>
      </c>
      <c r="AI403" s="681">
        <f ca="1">SUMIFS(Амортизация!AH$25:AH$174,Амортизация!$F$25:$F$174,$F403,Амортизация!$AC$25:$AC$174,"Сумма амортизационных отчислений")</f>
        <v>440.67124999999999</v>
      </c>
      <c r="AJ403" s="681">
        <f ca="1">SUMIFS(Амортизация!AI$25:AI$174,Амортизация!$F$25:$F$174,$F403,Амортизация!$AC$25:$AC$174,"Сумма амортизационных отчислений")</f>
        <v>3356.58</v>
      </c>
      <c r="AK403" s="681">
        <f ca="1">SUMIFS(Амортизация!AJ$25:AJ$174,Амортизация!$F$25:$F$174,$F403,Амортизация!$AC$25:$AC$174,"Сумма амортизационных отчислений")</f>
        <v>0</v>
      </c>
      <c r="AL403" s="681">
        <f ca="1">SUMIFS(Амортизация!AK$25:AK$174,Амортизация!$F$25:$F$174,$F403,Амортизация!$AC$25:$AC$174,"Сумма амортизационных отчислений")</f>
        <v>0</v>
      </c>
      <c r="AM403" s="681">
        <f ca="1">SUMIFS(Амортизация!AL$25:AL$174,Амортизация!$F$25:$F$174,$F403,Амортизация!$AC$25:$AC$174,"Сумма амортизационных отчислений")</f>
        <v>0</v>
      </c>
      <c r="AN403" s="681">
        <f ca="1">SUMIFS(Амортизация!AM$25:AM$174,Амортизация!$F$25:$F$174,$F403,Амортизация!$AC$25:$AC$174,"Сумма амортизационных отчислений")</f>
        <v>0</v>
      </c>
      <c r="AO403" s="681">
        <f ca="1">SUMIFS(Амортизация!AN$25:AN$174,Амортизация!$F$25:$F$174,$F403,Амортизация!$AC$25:$AC$174,"Сумма амортизационных отчислений")</f>
        <v>0</v>
      </c>
      <c r="AP403" s="681">
        <f ca="1">SUMIFS(Амортизация!AO$25:AO$174,Амортизация!$F$25:$F$174,$F403,Амортизация!$AC$25:$AC$174,"Сумма амортизационных отчислений")</f>
        <v>0</v>
      </c>
      <c r="AQ403" s="681">
        <f ca="1">SUMIFS(Амортизация!AP$25:AP$174,Амортизация!$F$25:$F$174,$F403,Амортизация!$AC$25:$AC$174,"Сумма амортизационных отчислений")</f>
        <v>0</v>
      </c>
      <c r="AR403" s="681">
        <f ca="1">SUMIFS(Амортизация!AQ$25:AQ$174,Амортизация!$F$25:$F$174,$F403,Амортизация!$AC$25:$AC$174,"Сумма амортизационных отчислений")</f>
        <v>0</v>
      </c>
      <c r="AS403" s="681">
        <f ca="1">SUMIFS(Амортизация!AR$25:AR$174,Амортизация!$F$25:$F$174,$F403,Амортизация!$AC$25:$AC$174,"Сумма амортизационных отчислений")</f>
        <v>0</v>
      </c>
      <c r="AT403" s="681">
        <f ca="1">SUMIFS(Амортизация!AS$25:AS$174,Амортизация!$F$25:$F$174,$F403,Амортизация!$AC$25:$AC$174,"Сумма амортизационных отчислений")</f>
        <v>708.72</v>
      </c>
      <c r="AU403" s="681">
        <f ca="1">SUMIFS(Амортизация!AT$25:AT$174,Амортизация!$F$25:$F$174,$F403,Амортизация!$AC$25:$AC$174,"Сумма амортизационных отчислений")</f>
        <v>0</v>
      </c>
      <c r="AV403" s="681">
        <f ca="1">SUMIFS(Амортизация!AU$25:AU$174,Амортизация!$F$25:$F$174,$F403,Амортизация!$AC$25:$AC$174,"Сумма амортизационных отчислений")</f>
        <v>0</v>
      </c>
      <c r="AW403" s="681">
        <f ca="1">SUMIFS(Амортизация!AV$25:AV$174,Амортизация!$F$25:$F$174,$F403,Амортизация!$AC$25:$AC$174,"Сумма амортизационных отчислений")</f>
        <v>0</v>
      </c>
      <c r="AX403" s="681">
        <f ca="1">SUMIFS(Амортизация!AW$25:AW$174,Амортизация!$F$25:$F$174,$F403,Амортизация!$AC$25:$AC$174,"Сумма амортизационных отчислений")</f>
        <v>0</v>
      </c>
      <c r="AY403" s="681">
        <f ca="1">SUMIFS(Амортизация!AX$25:AX$174,Амортизация!$F$25:$F$174,$F403,Амортизация!$AC$25:$AC$174,"Сумма амортизационных отчислений")</f>
        <v>0</v>
      </c>
      <c r="AZ403" s="681">
        <f ca="1">SUMIFS(Амортизация!AY$25:AY$174,Амортизация!$F$25:$F$174,$F403,Амортизация!$AC$25:$AC$174,"Сумма амортизационных отчислений")</f>
        <v>0</v>
      </c>
      <c r="BA403" s="681">
        <f ca="1">SUMIFS(Амортизация!AZ$25:AZ$174,Амортизация!$F$25:$F$174,$F403,Амортизация!$AC$25:$AC$174,"Сумма амортизационных отчислений")</f>
        <v>0</v>
      </c>
      <c r="BB403" s="681">
        <f ca="1">SUMIFS(Амортизация!BA$25:BA$174,Амортизация!$F$25:$F$174,$F403,Амортизация!$AC$25:$AC$174,"Сумма амортизационных отчислений")</f>
        <v>0</v>
      </c>
      <c r="BC403" s="681">
        <f ca="1">SUMIFS(Амортизация!BB$25:BB$174,Амортизация!$F$25:$F$174,$F403,Амортизация!$AC$25:$AC$174,"Сумма амортизационных отчислений")</f>
        <v>0</v>
      </c>
      <c r="BD403" s="681">
        <f t="shared" ca="1" si="85"/>
        <v>60.827374147961791</v>
      </c>
      <c r="BE403" s="681">
        <f t="shared" ca="1" si="86"/>
        <v>-100</v>
      </c>
      <c r="BF403" s="681">
        <f t="shared" ca="1" si="87"/>
        <v>0</v>
      </c>
      <c r="BG403" s="681">
        <f t="shared" ca="1" si="88"/>
        <v>0</v>
      </c>
      <c r="BH403" s="681">
        <f t="shared" ca="1" si="89"/>
        <v>0</v>
      </c>
      <c r="BI403" s="681">
        <f t="shared" ca="1" si="90"/>
        <v>0</v>
      </c>
      <c r="BJ403" s="681">
        <f t="shared" ca="1" si="91"/>
        <v>0</v>
      </c>
      <c r="BK403" s="681">
        <f t="shared" ca="1" si="92"/>
        <v>0</v>
      </c>
      <c r="BL403" s="681">
        <f t="shared" ca="1" si="93"/>
        <v>0</v>
      </c>
      <c r="BM403" s="681">
        <f t="shared" ca="1" si="94"/>
        <v>0</v>
      </c>
      <c r="BN403" s="1581"/>
      <c r="BO403" s="1576" t="s">
        <v>2210</v>
      </c>
      <c r="BP403" s="1581" t="s">
        <v>2211</v>
      </c>
      <c r="BQ403" s="623"/>
      <c r="BR403" s="623"/>
      <c r="BS403" s="979" t="s">
        <v>1199</v>
      </c>
      <c r="BT403" s="979"/>
      <c r="BU403" s="979"/>
      <c r="BV403" s="630"/>
      <c r="BW403" s="630"/>
    </row>
    <row r="404" spans="1:75" s="1334" customFormat="1" ht="18.399999999999999" customHeight="1" x14ac:dyDescent="0.15">
      <c r="A404" s="1184"/>
      <c r="B404" s="354" t="b" cm="1">
        <f t="array" ref="B404">B403</f>
        <v>1</v>
      </c>
      <c r="C404" s="1184"/>
      <c r="D404" s="1184"/>
      <c r="E404" s="626">
        <v>15</v>
      </c>
      <c r="F404" s="3" t="str" cm="1">
        <f t="array" aca="1" ref="F404" ca="1">OFFSET(E404,-1,1)</f>
        <v>2</v>
      </c>
      <c r="G404" s="1184"/>
      <c r="H404" s="1184"/>
      <c r="I404" s="77" t="s">
        <v>565</v>
      </c>
      <c r="J404" s="1184"/>
      <c r="K404" s="77" t="s">
        <v>565</v>
      </c>
      <c r="L404" s="889" t="s">
        <v>579</v>
      </c>
      <c r="M404" s="26"/>
      <c r="N404" s="1184"/>
      <c r="O404" s="1184"/>
      <c r="P404" s="1184"/>
      <c r="Q404" s="1184"/>
      <c r="R404" s="1184"/>
      <c r="S404" s="1184"/>
      <c r="T404" s="388" t="b" cm="1">
        <f t="array" aca="1" ref="T404" ca="1">T403</f>
        <v>1</v>
      </c>
      <c r="U404" s="1184"/>
      <c r="V404" s="1184"/>
      <c r="W404" s="1184"/>
      <c r="X404" s="2032"/>
      <c r="Y404" s="1184"/>
      <c r="Z404" s="2012"/>
      <c r="AA404" s="1184"/>
      <c r="AB404" s="217" t="s">
        <v>700</v>
      </c>
      <c r="AC404" s="682" t="s">
        <v>1785</v>
      </c>
      <c r="AD404" s="218" t="s">
        <v>831</v>
      </c>
      <c r="AE404" s="1567">
        <f ca="1">SUMIFS('ИП + источники'!AF$27:AF$116,'ИП + источники'!$F$27:$F$116,$F404,'ИП + источники'!$AC$27:$AC$116,"Амортизационные отчисления")+SUMIFS('ИП + источники'!AF$27:AF$116,'ИП + источники'!$F$27:$F$116,$F404,'ИП + источники'!$AC$27:$AC$116,"погашение займов и кредитов из амортизации")</f>
        <v>0</v>
      </c>
      <c r="AF404" s="1567">
        <f ca="1">SUMIFS('ИП + источники'!AG$27:AG$116,'ИП + источники'!$F$27:$F$116,$F404,'ИП + источники'!$AC$27:$AC$116,"Амортизационные отчисления")+SUMIFS('ИП + источники'!AG$27:AG$116,'ИП + источники'!$F$27:$F$116,$F404,'ИП + источники'!$AC$27:$AC$116,"погашение займов и кредитов из амортизации")</f>
        <v>0</v>
      </c>
      <c r="AG404" s="1567">
        <f ca="1">SUMIFS('ИП + источники'!AH$27:AH$116,'ИП + источники'!$F$27:$F$116,$F404,'ИП + источники'!$AC$27:$AC$116,"Амортизационные отчисления")+SUMIFS('ИП + источники'!AH$27:AH$116,'ИП + источники'!$F$27:$F$116,$F404,'ИП + источники'!$AC$27:$AC$116,"погашение займов и кредитов из амортизации")</f>
        <v>0</v>
      </c>
      <c r="AH404" s="855">
        <f t="shared" ca="1" si="83"/>
        <v>0</v>
      </c>
      <c r="AI404" s="1568">
        <v>440.67124999999999</v>
      </c>
      <c r="AJ404" s="1568">
        <f ca="1">SUMIFS('ИП + источники'!AK$27:AK$116,'ИП + источники'!$F$27:$F$116,$F404,'ИП + источники'!$AC$27:$AC$116,"Амортизационные отчисления")+SUMIFS('ИП + источники'!AK$27:AK$116,'ИП + источники'!$F$27:$F$116,$F404,'ИП + источники'!$AC$27:$AC$116,"погашение займов и кредитов из амортизации")</f>
        <v>3356.58</v>
      </c>
      <c r="AK404" s="1160">
        <f ca="1">SUMIFS('ИП + источники'!AL$27:AL$116,'ИП + источники'!$F$27:$F$116,$F404,'ИП + источники'!$AC$27:$AC$116,"Амортизационные отчисления")+SUMIFS('ИП + источники'!AL$27:AL$116,'ИП + источники'!$F$27:$F$116,$F404,'ИП + источники'!$AC$27:$AC$116,"погашение займов и кредитов из амортизации")</f>
        <v>0</v>
      </c>
      <c r="AL404" s="1160">
        <f ca="1">SUMIFS('ИП + источники'!AM$27:AM$116,'ИП + источники'!$F$27:$F$116,$F404,'ИП + источники'!$AC$27:$AC$116,"Амортизационные отчисления")+SUMIFS('ИП + источники'!AM$27:AM$116,'ИП + источники'!$F$27:$F$116,$F404,'ИП + источники'!$AC$27:$AC$116,"погашение займов и кредитов из амортизации")</f>
        <v>0</v>
      </c>
      <c r="AM404" s="1160">
        <f ca="1">SUMIFS('ИП + источники'!AN$27:AN$116,'ИП + источники'!$F$27:$F$116,$F404,'ИП + источники'!$AC$27:$AC$116,"Амортизационные отчисления")+SUMIFS('ИП + источники'!AN$27:AN$116,'ИП + источники'!$F$27:$F$116,$F404,'ИП + источники'!$AC$27:$AC$116,"погашение займов и кредитов из амортизации")</f>
        <v>0</v>
      </c>
      <c r="AN404" s="1160">
        <f ca="1">SUMIFS('ИП + источники'!AO$27:AO$116,'ИП + источники'!$F$27:$F$116,$F404,'ИП + источники'!$AC$27:$AC$116,"Амортизационные отчисления")+SUMIFS('ИП + источники'!AO$27:AO$116,'ИП + источники'!$F$27:$F$116,$F404,'ИП + источники'!$AC$27:$AC$116,"погашение займов и кредитов из амортизации")</f>
        <v>0</v>
      </c>
      <c r="AO404" s="1160">
        <f ca="1">SUMIFS('ИП + источники'!AP$27:AP$116,'ИП + источники'!$F$27:$F$116,$F404,'ИП + источники'!$AC$27:$AC$116,"Амортизационные отчисления")+SUMIFS('ИП + источники'!AP$27:AP$116,'ИП + источники'!$F$27:$F$116,$F404,'ИП + источники'!$AC$27:$AC$116,"погашение займов и кредитов из амортизации")</f>
        <v>0</v>
      </c>
      <c r="AP404" s="1160">
        <f ca="1">SUMIFS('ИП + источники'!AQ$27:AQ$116,'ИП + источники'!$F$27:$F$116,$F404,'ИП + источники'!$AC$27:$AC$116,"Амортизационные отчисления")+SUMIFS('ИП + источники'!AQ$27:AQ$116,'ИП + источники'!$F$27:$F$116,$F404,'ИП + источники'!$AC$27:$AC$116,"погашение займов и кредитов из амортизации")</f>
        <v>0</v>
      </c>
      <c r="AQ404" s="1568">
        <f ca="1">SUMIFS('ИП + источники'!AR$27:AR$116,'ИП + источники'!$F$27:$F$116,$F404,'ИП + источники'!$AC$27:$AC$116,"Амортизационные отчисления")+SUMIFS('ИП + источники'!AR$27:AR$116,'ИП + источники'!$F$27:$F$116,$F404,'ИП + источники'!$AC$27:$AC$116,"погашение займов и кредитов из амортизации")</f>
        <v>0</v>
      </c>
      <c r="AR404" s="1568">
        <f ca="1">SUMIFS('ИП + источники'!AS$27:AS$116,'ИП + источники'!$F$27:$F$116,$F404,'ИП + источники'!$AC$27:$AC$116,"Амортизационные отчисления")+SUMIFS('ИП + источники'!AS$27:AS$116,'ИП + источники'!$F$27:$F$116,$F404,'ИП + источники'!$AC$27:$AC$116,"погашение займов и кредитов из амортизации")</f>
        <v>0</v>
      </c>
      <c r="AS404" s="1568">
        <f ca="1">SUMIFS('ИП + источники'!AT$27:AT$116,'ИП + источники'!$F$27:$F$116,$F404,'ИП + источники'!$AC$27:$AC$116,"Амортизационные отчисления")+SUMIFS('ИП + источники'!AT$27:AT$116,'ИП + источники'!$F$27:$F$116,$F404,'ИП + источники'!$AC$27:$AC$116,"погашение займов и кредитов из амортизации")</f>
        <v>0</v>
      </c>
      <c r="AT404" s="1568">
        <f ca="1">SUMIFS('ИП + источники'!AU$27:AU$116,'ИП + источники'!$F$27:$F$116,$F404,'ИП + источники'!$AC$27:$AC$116,"Амортизационные отчисления")+SUMIFS('ИП + источники'!AU$27:AU$116,'ИП + источники'!$F$27:$F$116,$F404,'ИП + источники'!$AC$27:$AC$116,"погашение займов и кредитов из амортизации")</f>
        <v>708.72</v>
      </c>
      <c r="AU404" s="1160">
        <f ca="1">SUMIFS('ИП + источники'!AV$27:AV$116,'ИП + источники'!$F$27:$F$116,$F404,'ИП + источники'!$AC$27:$AC$116,"Амортизационные отчисления")+SUMIFS('ИП + источники'!AV$27:AV$116,'ИП + источники'!$F$27:$F$116,$F404,'ИП + источники'!$AC$27:$AC$116,"погашение займов и кредитов из амортизации")</f>
        <v>0</v>
      </c>
      <c r="AV404" s="1160">
        <f ca="1">SUMIFS('ИП + источники'!AW$27:AW$116,'ИП + источники'!$F$27:$F$116,$F404,'ИП + источники'!$AC$27:$AC$116,"Амортизационные отчисления")+SUMIFS('ИП + источники'!AW$27:AW$116,'ИП + источники'!$F$27:$F$116,$F404,'ИП + источники'!$AC$27:$AC$116,"погашение займов и кредитов из амортизации")</f>
        <v>0</v>
      </c>
      <c r="AW404" s="1160">
        <f ca="1">SUMIFS('ИП + источники'!AX$27:AX$116,'ИП + источники'!$F$27:$F$116,$F404,'ИП + источники'!$AC$27:$AC$116,"Амортизационные отчисления")+SUMIFS('ИП + источники'!AX$27:AX$116,'ИП + источники'!$F$27:$F$116,$F404,'ИП + источники'!$AC$27:$AC$116,"погашение займов и кредитов из амортизации")</f>
        <v>0</v>
      </c>
      <c r="AX404" s="1160">
        <f ca="1">SUMIFS('ИП + источники'!AY$27:AY$116,'ИП + источники'!$F$27:$F$116,$F404,'ИП + источники'!$AC$27:$AC$116,"Амортизационные отчисления")+SUMIFS('ИП + источники'!AY$27:AY$116,'ИП + источники'!$F$27:$F$116,$F404,'ИП + источники'!$AC$27:$AC$116,"погашение займов и кредитов из амортизации")</f>
        <v>0</v>
      </c>
      <c r="AY404" s="1160">
        <f ca="1">SUMIFS('ИП + источники'!AZ$27:AZ$116,'ИП + источники'!$F$27:$F$116,$F404,'ИП + источники'!$AC$27:$AC$116,"Амортизационные отчисления")+SUMIFS('ИП + источники'!AZ$27:AZ$116,'ИП + источники'!$F$27:$F$116,$F404,'ИП + источники'!$AC$27:$AC$116,"погашение займов и кредитов из амортизации")</f>
        <v>0</v>
      </c>
      <c r="AZ404" s="1160">
        <f ca="1">SUMIFS('ИП + источники'!BA$27:BA$116,'ИП + источники'!$F$27:$F$116,$F404,'ИП + источники'!$AC$27:$AC$116,"Амортизационные отчисления")+SUMIFS('ИП + источники'!BA$27:BA$116,'ИП + источники'!$F$27:$F$116,$F404,'ИП + источники'!$AC$27:$AC$116,"погашение займов и кредитов из амортизации")</f>
        <v>0</v>
      </c>
      <c r="BA404" s="1568">
        <f ca="1">SUMIFS('ИП + источники'!BB$27:BB$116,'ИП + источники'!$F$27:$F$116,$F404,'ИП + источники'!$AC$27:$AC$116,"Амортизационные отчисления")+SUMIFS('ИП + источники'!BB$27:BB$116,'ИП + источники'!$F$27:$F$116,$F404,'ИП + источники'!$AC$27:$AC$116,"погашение займов и кредитов из амортизации")</f>
        <v>0</v>
      </c>
      <c r="BB404" s="1568">
        <f ca="1">SUMIFS('ИП + источники'!BC$27:BC$116,'ИП + источники'!$F$27:$F$116,$F404,'ИП + источники'!$AC$27:$AC$116,"Амортизационные отчисления")+SUMIFS('ИП + источники'!BC$27:BC$116,'ИП + источники'!$F$27:$F$116,$F404,'ИП + источники'!$AC$27:$AC$116,"погашение займов и кредитов из амортизации")</f>
        <v>0</v>
      </c>
      <c r="BC404" s="1568">
        <f ca="1">SUMIFS('ИП + источники'!BD$27:BD$116,'ИП + источники'!$F$27:$F$116,$F404,'ИП + источники'!$AC$27:$AC$116,"Амортизационные отчисления")+SUMIFS('ИП + источники'!BD$27:BD$116,'ИП + источники'!$F$27:$F$116,$F404,'ИП + источники'!$AC$27:$AC$116,"погашение займов и кредитов из амортизации")</f>
        <v>0</v>
      </c>
      <c r="BD404" s="855">
        <f t="shared" ca="1" si="85"/>
        <v>60.827374147961791</v>
      </c>
      <c r="BE404" s="855">
        <f t="shared" ca="1" si="86"/>
        <v>-100</v>
      </c>
      <c r="BF404" s="855">
        <f t="shared" ca="1" si="87"/>
        <v>0</v>
      </c>
      <c r="BG404" s="855">
        <f t="shared" ca="1" si="88"/>
        <v>0</v>
      </c>
      <c r="BH404" s="855">
        <f t="shared" ca="1" si="89"/>
        <v>0</v>
      </c>
      <c r="BI404" s="855">
        <f t="shared" ca="1" si="90"/>
        <v>0</v>
      </c>
      <c r="BJ404" s="855">
        <f t="shared" ca="1" si="91"/>
        <v>0</v>
      </c>
      <c r="BK404" s="855">
        <f t="shared" ca="1" si="92"/>
        <v>0</v>
      </c>
      <c r="BL404" s="855">
        <f t="shared" ca="1" si="93"/>
        <v>0</v>
      </c>
      <c r="BM404" s="855">
        <f t="shared" ca="1" si="94"/>
        <v>0</v>
      </c>
      <c r="BN404" s="1584"/>
      <c r="BO404" s="1581"/>
      <c r="BP404" s="1581"/>
      <c r="BQ404" s="1184"/>
      <c r="BR404" s="1184"/>
      <c r="BS404" s="973" t="s">
        <v>1786</v>
      </c>
      <c r="BT404" s="973"/>
      <c r="BU404" s="973"/>
      <c r="BV404" s="888"/>
      <c r="BW404" s="888"/>
    </row>
    <row r="405" spans="1:75" s="1606" customFormat="1" ht="20.25" customHeight="1" x14ac:dyDescent="0.25">
      <c r="A405" s="623"/>
      <c r="B405" s="354" t="b" cm="1">
        <f t="array" ref="B405">B404</f>
        <v>1</v>
      </c>
      <c r="C405" s="623"/>
      <c r="D405" s="623"/>
      <c r="E405" s="630">
        <v>21</v>
      </c>
      <c r="F405" s="3" t="str" cm="1">
        <f t="array" aca="1" ref="F405" ca="1">OFFSET(E405,-1,1)</f>
        <v>2</v>
      </c>
      <c r="G405" s="77" t="s">
        <v>1472</v>
      </c>
      <c r="H405" s="77"/>
      <c r="I405" s="77" t="s">
        <v>334</v>
      </c>
      <c r="J405" s="623"/>
      <c r="K405" s="77" t="s">
        <v>334</v>
      </c>
      <c r="L405" s="894" t="s">
        <v>591</v>
      </c>
      <c r="M405" s="28"/>
      <c r="N405" s="623"/>
      <c r="O405" s="623"/>
      <c r="P405" s="623"/>
      <c r="Q405" s="623"/>
      <c r="R405" s="623"/>
      <c r="S405" s="623"/>
      <c r="T405" s="388" t="b" cm="1">
        <f t="array" aca="1" ref="T405" ca="1">T404</f>
        <v>1</v>
      </c>
      <c r="U405" s="623"/>
      <c r="V405" s="623"/>
      <c r="W405" s="623"/>
      <c r="X405" s="2032"/>
      <c r="Y405" s="623"/>
      <c r="Z405" s="2012"/>
      <c r="AA405" s="623"/>
      <c r="AB405" s="137" t="s">
        <v>444</v>
      </c>
      <c r="AC405" s="131" t="s">
        <v>1472</v>
      </c>
      <c r="AD405" s="153" t="s">
        <v>831</v>
      </c>
      <c r="AE405" s="132">
        <f ca="1">AE406+AE407+AE408+AE409</f>
        <v>0</v>
      </c>
      <c r="AF405" s="132">
        <f ca="1">AF406+AF407+AF408+AF409</f>
        <v>0</v>
      </c>
      <c r="AG405" s="132">
        <f ca="1">AG406+AG407+AG408+AG409</f>
        <v>0</v>
      </c>
      <c r="AH405" s="690">
        <f t="shared" ca="1" si="83"/>
        <v>0</v>
      </c>
      <c r="AI405" s="690">
        <f t="shared" ref="AI405:BC405" ca="1" si="98">AI406+AI407+AI408+AI409</f>
        <v>0</v>
      </c>
      <c r="AJ405" s="690">
        <f t="shared" ca="1" si="98"/>
        <v>0</v>
      </c>
      <c r="AK405" s="690">
        <f t="shared" ca="1" si="98"/>
        <v>0</v>
      </c>
      <c r="AL405" s="690">
        <f t="shared" ca="1" si="98"/>
        <v>0</v>
      </c>
      <c r="AM405" s="690">
        <f t="shared" ca="1" si="98"/>
        <v>0</v>
      </c>
      <c r="AN405" s="690">
        <f t="shared" ca="1" si="98"/>
        <v>0</v>
      </c>
      <c r="AO405" s="690">
        <f t="shared" ca="1" si="98"/>
        <v>0</v>
      </c>
      <c r="AP405" s="690">
        <f t="shared" ca="1" si="98"/>
        <v>0</v>
      </c>
      <c r="AQ405" s="690">
        <f t="shared" ca="1" si="98"/>
        <v>0</v>
      </c>
      <c r="AR405" s="690">
        <f t="shared" ca="1" si="98"/>
        <v>0</v>
      </c>
      <c r="AS405" s="690">
        <f t="shared" ca="1" si="98"/>
        <v>0</v>
      </c>
      <c r="AT405" s="690">
        <f t="shared" ca="1" si="98"/>
        <v>0</v>
      </c>
      <c r="AU405" s="690">
        <f t="shared" ca="1" si="98"/>
        <v>0</v>
      </c>
      <c r="AV405" s="690">
        <f t="shared" ca="1" si="98"/>
        <v>0</v>
      </c>
      <c r="AW405" s="690">
        <f t="shared" ca="1" si="98"/>
        <v>0</v>
      </c>
      <c r="AX405" s="690">
        <f t="shared" ca="1" si="98"/>
        <v>0</v>
      </c>
      <c r="AY405" s="690">
        <f t="shared" ca="1" si="98"/>
        <v>0</v>
      </c>
      <c r="AZ405" s="690">
        <f t="shared" ca="1" si="98"/>
        <v>0</v>
      </c>
      <c r="BA405" s="690">
        <f t="shared" ca="1" si="98"/>
        <v>0</v>
      </c>
      <c r="BB405" s="690">
        <f t="shared" ca="1" si="98"/>
        <v>0</v>
      </c>
      <c r="BC405" s="690">
        <f t="shared" ca="1" si="98"/>
        <v>0</v>
      </c>
      <c r="BD405" s="681">
        <f t="shared" ca="1" si="85"/>
        <v>0</v>
      </c>
      <c r="BE405" s="681">
        <f t="shared" ca="1" si="86"/>
        <v>0</v>
      </c>
      <c r="BF405" s="681">
        <f t="shared" ca="1" si="87"/>
        <v>0</v>
      </c>
      <c r="BG405" s="681">
        <f t="shared" ca="1" si="88"/>
        <v>0</v>
      </c>
      <c r="BH405" s="681">
        <f t="shared" ca="1" si="89"/>
        <v>0</v>
      </c>
      <c r="BI405" s="681">
        <f t="shared" ca="1" si="90"/>
        <v>0</v>
      </c>
      <c r="BJ405" s="681">
        <f t="shared" ca="1" si="91"/>
        <v>0</v>
      </c>
      <c r="BK405" s="681">
        <f t="shared" ca="1" si="92"/>
        <v>0</v>
      </c>
      <c r="BL405" s="681">
        <f t="shared" ca="1" si="93"/>
        <v>0</v>
      </c>
      <c r="BM405" s="681">
        <f t="shared" ca="1" si="94"/>
        <v>0</v>
      </c>
      <c r="BN405" s="1581"/>
      <c r="BO405" s="1581"/>
      <c r="BP405" s="1581"/>
      <c r="BQ405" s="623"/>
      <c r="BR405" s="623"/>
      <c r="BS405" s="972" t="s">
        <v>1476</v>
      </c>
      <c r="BT405" s="979"/>
      <c r="BU405" s="979"/>
      <c r="BV405" s="630"/>
      <c r="BW405" s="630"/>
    </row>
    <row r="406" spans="1:75" s="1334" customFormat="1" ht="14.25" customHeight="1" x14ac:dyDescent="0.15">
      <c r="A406" s="1184"/>
      <c r="B406" s="354" t="b" cm="1">
        <f t="array" ref="B406">B405</f>
        <v>1</v>
      </c>
      <c r="C406" s="1184"/>
      <c r="D406" s="1184"/>
      <c r="E406" s="626">
        <v>15</v>
      </c>
      <c r="F406" s="3" t="str" cm="1">
        <f t="array" aca="1" ref="F406" ca="1">OFFSET(E406,-1,1)</f>
        <v>2</v>
      </c>
      <c r="G406" s="1184"/>
      <c r="H406" s="1184"/>
      <c r="I406" s="77" t="s">
        <v>579</v>
      </c>
      <c r="J406" s="1184"/>
      <c r="K406" s="77" t="s">
        <v>579</v>
      </c>
      <c r="L406" s="889"/>
      <c r="M406" s="26"/>
      <c r="N406" s="1184"/>
      <c r="O406" s="1184"/>
      <c r="P406" s="1184"/>
      <c r="Q406" s="1184"/>
      <c r="R406" s="1184"/>
      <c r="S406" s="1184"/>
      <c r="T406" s="388" t="b" cm="1">
        <f t="array" aca="1" ref="T406" ca="1">T405</f>
        <v>1</v>
      </c>
      <c r="U406" s="1184"/>
      <c r="V406" s="1184"/>
      <c r="W406" s="1184"/>
      <c r="X406" s="2032"/>
      <c r="Y406" s="1184"/>
      <c r="Z406" s="2012"/>
      <c r="AA406" s="1184"/>
      <c r="AB406" s="217" t="s">
        <v>707</v>
      </c>
      <c r="AC406" s="682" t="s">
        <v>2086</v>
      </c>
      <c r="AD406" s="218" t="s">
        <v>831</v>
      </c>
      <c r="AE406" s="1567">
        <f ca="1">SUMIFS('ИП + источники'!AF$27:AF$116,'ИП + источники'!$F$27:$F$116,$F406,'ИП + источники'!$AC$27:$AC$116,"погашение займов и кредитов из нормативной прибыли")</f>
        <v>0</v>
      </c>
      <c r="AF406" s="1567">
        <f ca="1">SUMIFS('ИП + источники'!AG$27:AG$116,'ИП + источники'!$F$27:$F$116,$F406,'ИП + источники'!$AC$27:$AC$116,"погашение займов и кредитов из нормативной прибыли")</f>
        <v>0</v>
      </c>
      <c r="AG406" s="1567">
        <f ca="1">SUMIFS('ИП + источники'!AH$27:AH$116,'ИП + источники'!$F$27:$F$116,$F406,'ИП + источники'!$AC$27:$AC$116,"погашение займов и кредитов из нормативной прибыли")</f>
        <v>0</v>
      </c>
      <c r="AH406" s="855">
        <f t="shared" ca="1" si="83"/>
        <v>0</v>
      </c>
      <c r="AI406" s="1568">
        <f ca="1">SUMIFS('ИП + источники'!AJ$27:AJ$116,'ИП + источники'!$F$27:$F$116,$F406,'ИП + источники'!$AC$27:$AC$116,"погашение займов и кредитов из нормативной прибыли")</f>
        <v>0</v>
      </c>
      <c r="AJ406" s="1568">
        <f ca="1">SUMIFS('ИП + источники'!AK$27:AK$116,'ИП + источники'!$F$27:$F$116,$F406,'ИП + источники'!$AC$27:$AC$116,"погашение займов и кредитов из нормативной прибыли")</f>
        <v>0</v>
      </c>
      <c r="AK406" s="1160">
        <f ca="1">SUMIFS('ИП + источники'!AL$27:AL$116,'ИП + источники'!$F$27:$F$116,$F406,'ИП + источники'!$AC$27:$AC$116,"погашение займов и кредитов из нормативной прибыли")</f>
        <v>0</v>
      </c>
      <c r="AL406" s="1160">
        <f ca="1">SUMIFS('ИП + источники'!AM$27:AM$116,'ИП + источники'!$F$27:$F$116,$F406,'ИП + источники'!$AC$27:$AC$116,"погашение займов и кредитов из нормативной прибыли")</f>
        <v>0</v>
      </c>
      <c r="AM406" s="1160">
        <f ca="1">SUMIFS('ИП + источники'!AN$27:AN$116,'ИП + источники'!$F$27:$F$116,$F406,'ИП + источники'!$AC$27:$AC$116,"погашение займов и кредитов из нормативной прибыли")</f>
        <v>0</v>
      </c>
      <c r="AN406" s="1160">
        <f ca="1">SUMIFS('ИП + источники'!AO$27:AO$116,'ИП + источники'!$F$27:$F$116,$F406,'ИП + источники'!$AC$27:$AC$116,"погашение займов и кредитов из нормативной прибыли")</f>
        <v>0</v>
      </c>
      <c r="AO406" s="1160">
        <f ca="1">SUMIFS('ИП + источники'!AP$27:AP$116,'ИП + источники'!$F$27:$F$116,$F406,'ИП + источники'!$AC$27:$AC$116,"погашение займов и кредитов из нормативной прибыли")</f>
        <v>0</v>
      </c>
      <c r="AP406" s="1160">
        <f ca="1">SUMIFS('ИП + источники'!AQ$27:AQ$116,'ИП + источники'!$F$27:$F$116,$F406,'ИП + источники'!$AC$27:$AC$116,"погашение займов и кредитов из нормативной прибыли")</f>
        <v>0</v>
      </c>
      <c r="AQ406" s="1568">
        <f ca="1">SUMIFS('ИП + источники'!AR$27:AR$116,'ИП + источники'!$F$27:$F$116,$F406,'ИП + источники'!$AC$27:$AC$116,"погашение займов и кредитов из нормативной прибыли")</f>
        <v>0</v>
      </c>
      <c r="AR406" s="1568">
        <f ca="1">SUMIFS('ИП + источники'!AS$27:AS$116,'ИП + источники'!$F$27:$F$116,$F406,'ИП + источники'!$AC$27:$AC$116,"погашение займов и кредитов из нормативной прибыли")</f>
        <v>0</v>
      </c>
      <c r="AS406" s="1568">
        <f ca="1">SUMIFS('ИП + источники'!AT$27:AT$116,'ИП + источники'!$F$27:$F$116,$F406,'ИП + источники'!$AC$27:$AC$116,"погашение займов и кредитов из нормативной прибыли")</f>
        <v>0</v>
      </c>
      <c r="AT406" s="1568">
        <f ca="1">SUMIFS('ИП + источники'!AU$27:AU$116,'ИП + источники'!$F$27:$F$116,$F406,'ИП + источники'!$AC$27:$AC$116,"погашение займов и кредитов из нормативной прибыли")</f>
        <v>0</v>
      </c>
      <c r="AU406" s="1160">
        <f ca="1">SUMIFS('ИП + источники'!AV$27:AV$116,'ИП + источники'!$F$27:$F$116,$F406,'ИП + источники'!$AC$27:$AC$116,"погашение займов и кредитов из нормативной прибыли")</f>
        <v>0</v>
      </c>
      <c r="AV406" s="1160">
        <f ca="1">SUMIFS('ИП + источники'!AW$27:AW$116,'ИП + источники'!$F$27:$F$116,$F406,'ИП + источники'!$AC$27:$AC$116,"погашение займов и кредитов из нормативной прибыли")</f>
        <v>0</v>
      </c>
      <c r="AW406" s="1160">
        <f ca="1">SUMIFS('ИП + источники'!AX$27:AX$116,'ИП + источники'!$F$27:$F$116,$F406,'ИП + источники'!$AC$27:$AC$116,"погашение займов и кредитов из нормативной прибыли")</f>
        <v>0</v>
      </c>
      <c r="AX406" s="1160">
        <f ca="1">SUMIFS('ИП + источники'!AY$27:AY$116,'ИП + источники'!$F$27:$F$116,$F406,'ИП + источники'!$AC$27:$AC$116,"погашение займов и кредитов из нормативной прибыли")</f>
        <v>0</v>
      </c>
      <c r="AY406" s="1160">
        <f ca="1">SUMIFS('ИП + источники'!AZ$27:AZ$116,'ИП + источники'!$F$27:$F$116,$F406,'ИП + источники'!$AC$27:$AC$116,"погашение займов и кредитов из нормативной прибыли")</f>
        <v>0</v>
      </c>
      <c r="AZ406" s="1160">
        <f ca="1">SUMIFS('ИП + источники'!BA$27:BA$116,'ИП + источники'!$F$27:$F$116,$F406,'ИП + источники'!$AC$27:$AC$116,"погашение займов и кредитов из нормативной прибыли")</f>
        <v>0</v>
      </c>
      <c r="BA406" s="1568">
        <f ca="1">SUMIFS('ИП + источники'!BB$27:BB$116,'ИП + источники'!$F$27:$F$116,$F406,'ИП + источники'!$AC$27:$AC$116,"погашение займов и кредитов из нормативной прибыли")</f>
        <v>0</v>
      </c>
      <c r="BB406" s="1568">
        <f ca="1">SUMIFS('ИП + источники'!BC$27:BC$116,'ИП + источники'!$F$27:$F$116,$F406,'ИП + источники'!$AC$27:$AC$116,"погашение займов и кредитов из нормативной прибыли")</f>
        <v>0</v>
      </c>
      <c r="BC406" s="1568">
        <f ca="1">SUMIFS('ИП + источники'!BD$27:BD$116,'ИП + источники'!$F$27:$F$116,$F406,'ИП + источники'!$AC$27:$AC$116,"погашение займов и кредитов из нормативной прибыли")</f>
        <v>0</v>
      </c>
      <c r="BD406" s="855">
        <f t="shared" ca="1" si="85"/>
        <v>0</v>
      </c>
      <c r="BE406" s="855">
        <f t="shared" ca="1" si="86"/>
        <v>0</v>
      </c>
      <c r="BF406" s="855">
        <f t="shared" ca="1" si="87"/>
        <v>0</v>
      </c>
      <c r="BG406" s="855">
        <f t="shared" ca="1" si="88"/>
        <v>0</v>
      </c>
      <c r="BH406" s="855">
        <f t="shared" ca="1" si="89"/>
        <v>0</v>
      </c>
      <c r="BI406" s="855">
        <f t="shared" ca="1" si="90"/>
        <v>0</v>
      </c>
      <c r="BJ406" s="855">
        <f t="shared" ca="1" si="91"/>
        <v>0</v>
      </c>
      <c r="BK406" s="855">
        <f t="shared" ca="1" si="92"/>
        <v>0</v>
      </c>
      <c r="BL406" s="855">
        <f t="shared" ca="1" si="93"/>
        <v>0</v>
      </c>
      <c r="BM406" s="855">
        <f t="shared" ca="1" si="94"/>
        <v>0</v>
      </c>
      <c r="BN406" s="1581"/>
      <c r="BO406" s="1576"/>
      <c r="BP406" s="1581"/>
      <c r="BQ406" s="1184"/>
      <c r="BR406" s="1184"/>
      <c r="BS406" s="973" t="s">
        <v>2087</v>
      </c>
      <c r="BT406" s="973"/>
      <c r="BU406" s="973"/>
      <c r="BV406" s="888"/>
      <c r="BW406" s="888"/>
    </row>
    <row r="407" spans="1:75" s="1334" customFormat="1" ht="14.25" customHeight="1" x14ac:dyDescent="0.15">
      <c r="A407" s="1184"/>
      <c r="B407" s="354" t="b" cm="1">
        <f t="array" ref="B407">B406</f>
        <v>1</v>
      </c>
      <c r="C407" s="1184"/>
      <c r="D407" s="1184"/>
      <c r="E407" s="626">
        <v>15</v>
      </c>
      <c r="F407" s="3" t="str" cm="1">
        <f t="array" aca="1" ref="F407" ca="1">OFFSET(E407,-1,1)</f>
        <v>2</v>
      </c>
      <c r="G407" s="1184"/>
      <c r="H407" s="1184"/>
      <c r="I407" s="77" t="s">
        <v>583</v>
      </c>
      <c r="J407" s="1184"/>
      <c r="K407" s="77" t="s">
        <v>583</v>
      </c>
      <c r="L407" s="889"/>
      <c r="M407" s="26"/>
      <c r="N407" s="1184"/>
      <c r="O407" s="1184"/>
      <c r="P407" s="1184"/>
      <c r="Q407" s="1184"/>
      <c r="R407" s="1184"/>
      <c r="S407" s="1184"/>
      <c r="T407" s="388" t="b" cm="1">
        <f t="array" aca="1" ref="T407" ca="1">T406</f>
        <v>1</v>
      </c>
      <c r="U407" s="1184"/>
      <c r="V407" s="1184"/>
      <c r="W407" s="1184"/>
      <c r="X407" s="2032"/>
      <c r="Y407" s="1184"/>
      <c r="Z407" s="2012"/>
      <c r="AA407" s="1184"/>
      <c r="AB407" s="217" t="s">
        <v>710</v>
      </c>
      <c r="AC407" s="682" t="s">
        <v>2088</v>
      </c>
      <c r="AD407" s="218" t="s">
        <v>831</v>
      </c>
      <c r="AE407" s="1567">
        <f ca="1">SUMIFS('ИП + источники'!AF$27:AF$116,'ИП + источники'!$F$27:$F$116,$F407,'ИП + источники'!$AC$27:$AC$116,"уплата процентов по кредитам из нормативной прибыли")</f>
        <v>0</v>
      </c>
      <c r="AF407" s="1567">
        <f ca="1">SUMIFS('ИП + источники'!AG$27:AG$116,'ИП + источники'!$F$27:$F$116,$F407,'ИП + источники'!$AC$27:$AC$116,"уплата процентов по кредитам из нормативной прибыли")</f>
        <v>0</v>
      </c>
      <c r="AG407" s="1567">
        <f ca="1">SUMIFS('ИП + источники'!AH$27:AH$116,'ИП + источники'!$F$27:$F$116,$F407,'ИП + источники'!$AC$27:$AC$116,"уплата процентов по кредитам из нормативной прибыли")</f>
        <v>0</v>
      </c>
      <c r="AH407" s="855">
        <f t="shared" ca="1" si="83"/>
        <v>0</v>
      </c>
      <c r="AI407" s="1568">
        <f ca="1">SUMIFS('ИП + источники'!AJ$27:AJ$116,'ИП + источники'!$F$27:$F$116,$F407,'ИП + источники'!$AC$27:$AC$116,"уплата процентов по кредитам из нормативной прибыли")</f>
        <v>0</v>
      </c>
      <c r="AJ407" s="1568">
        <f ca="1">SUMIFS('ИП + источники'!AK$27:AK$116,'ИП + источники'!$F$27:$F$116,$F407,'ИП + источники'!$AC$27:$AC$116,"уплата процентов по кредитам из нормативной прибыли")</f>
        <v>0</v>
      </c>
      <c r="AK407" s="1160">
        <f ca="1">SUMIFS('ИП + источники'!AL$27:AL$116,'ИП + источники'!$F$27:$F$116,$F407,'ИП + источники'!$AC$27:$AC$116,"уплата процентов по кредитам из нормативной прибыли")</f>
        <v>0</v>
      </c>
      <c r="AL407" s="1160">
        <f ca="1">SUMIFS('ИП + источники'!AM$27:AM$116,'ИП + источники'!$F$27:$F$116,$F407,'ИП + источники'!$AC$27:$AC$116,"уплата процентов по кредитам из нормативной прибыли")</f>
        <v>0</v>
      </c>
      <c r="AM407" s="1160">
        <f ca="1">SUMIFS('ИП + источники'!AN$27:AN$116,'ИП + источники'!$F$27:$F$116,$F407,'ИП + источники'!$AC$27:$AC$116,"уплата процентов по кредитам из нормативной прибыли")</f>
        <v>0</v>
      </c>
      <c r="AN407" s="1160">
        <f ca="1">SUMIFS('ИП + источники'!AO$27:AO$116,'ИП + источники'!$F$27:$F$116,$F407,'ИП + источники'!$AC$27:$AC$116,"уплата процентов по кредитам из нормативной прибыли")</f>
        <v>0</v>
      </c>
      <c r="AO407" s="1160">
        <f ca="1">SUMIFS('ИП + источники'!AP$27:AP$116,'ИП + источники'!$F$27:$F$116,$F407,'ИП + источники'!$AC$27:$AC$116,"уплата процентов по кредитам из нормативной прибыли")</f>
        <v>0</v>
      </c>
      <c r="AP407" s="1160">
        <f ca="1">SUMIFS('ИП + источники'!AQ$27:AQ$116,'ИП + источники'!$F$27:$F$116,$F407,'ИП + источники'!$AC$27:$AC$116,"уплата процентов по кредитам из нормативной прибыли")</f>
        <v>0</v>
      </c>
      <c r="AQ407" s="1568">
        <f ca="1">SUMIFS('ИП + источники'!AR$27:AR$116,'ИП + источники'!$F$27:$F$116,$F407,'ИП + источники'!$AC$27:$AC$116,"уплата процентов по кредитам из нормативной прибыли")</f>
        <v>0</v>
      </c>
      <c r="AR407" s="1568">
        <f ca="1">SUMIFS('ИП + источники'!AS$27:AS$116,'ИП + источники'!$F$27:$F$116,$F407,'ИП + источники'!$AC$27:$AC$116,"уплата процентов по кредитам из нормативной прибыли")</f>
        <v>0</v>
      </c>
      <c r="AS407" s="1568">
        <f ca="1">SUMIFS('ИП + источники'!AT$27:AT$116,'ИП + источники'!$F$27:$F$116,$F407,'ИП + источники'!$AC$27:$AC$116,"уплата процентов по кредитам из нормативной прибыли")</f>
        <v>0</v>
      </c>
      <c r="AT407" s="1568">
        <f ca="1">SUMIFS('ИП + источники'!AU$27:AU$116,'ИП + источники'!$F$27:$F$116,$F407,'ИП + источники'!$AC$27:$AC$116,"уплата процентов по кредитам из нормативной прибыли")</f>
        <v>0</v>
      </c>
      <c r="AU407" s="1160">
        <f ca="1">SUMIFS('ИП + источники'!AV$27:AV$116,'ИП + источники'!$F$27:$F$116,$F407,'ИП + источники'!$AC$27:$AC$116,"уплата процентов по кредитам из нормативной прибыли")</f>
        <v>0</v>
      </c>
      <c r="AV407" s="1160">
        <f ca="1">SUMIFS('ИП + источники'!AW$27:AW$116,'ИП + источники'!$F$27:$F$116,$F407,'ИП + источники'!$AC$27:$AC$116,"уплата процентов по кредитам из нормативной прибыли")</f>
        <v>0</v>
      </c>
      <c r="AW407" s="1160">
        <f ca="1">SUMIFS('ИП + источники'!AX$27:AX$116,'ИП + источники'!$F$27:$F$116,$F407,'ИП + источники'!$AC$27:$AC$116,"уплата процентов по кредитам из нормативной прибыли")</f>
        <v>0</v>
      </c>
      <c r="AX407" s="1160">
        <f ca="1">SUMIFS('ИП + источники'!AY$27:AY$116,'ИП + источники'!$F$27:$F$116,$F407,'ИП + источники'!$AC$27:$AC$116,"уплата процентов по кредитам из нормативной прибыли")</f>
        <v>0</v>
      </c>
      <c r="AY407" s="1160">
        <f ca="1">SUMIFS('ИП + источники'!AZ$27:AZ$116,'ИП + источники'!$F$27:$F$116,$F407,'ИП + источники'!$AC$27:$AC$116,"уплата процентов по кредитам из нормативной прибыли")</f>
        <v>0</v>
      </c>
      <c r="AZ407" s="1160">
        <f ca="1">SUMIFS('ИП + источники'!BA$27:BA$116,'ИП + источники'!$F$27:$F$116,$F407,'ИП + источники'!$AC$27:$AC$116,"уплата процентов по кредитам из нормативной прибыли")</f>
        <v>0</v>
      </c>
      <c r="BA407" s="1568">
        <f ca="1">SUMIFS('ИП + источники'!BB$27:BB$116,'ИП + источники'!$F$27:$F$116,$F407,'ИП + источники'!$AC$27:$AC$116,"уплата процентов по кредитам из нормативной прибыли")</f>
        <v>0</v>
      </c>
      <c r="BB407" s="1568">
        <f ca="1">SUMIFS('ИП + источники'!BC$27:BC$116,'ИП + источники'!$F$27:$F$116,$F407,'ИП + источники'!$AC$27:$AC$116,"уплата процентов по кредитам из нормативной прибыли")</f>
        <v>0</v>
      </c>
      <c r="BC407" s="1568">
        <f ca="1">SUMIFS('ИП + источники'!BD$27:BD$116,'ИП + источники'!$F$27:$F$116,$F407,'ИП + источники'!$AC$27:$AC$116,"уплата процентов по кредитам из нормативной прибыли")</f>
        <v>0</v>
      </c>
      <c r="BD407" s="855">
        <f t="shared" ca="1" si="85"/>
        <v>0</v>
      </c>
      <c r="BE407" s="855">
        <f t="shared" ca="1" si="86"/>
        <v>0</v>
      </c>
      <c r="BF407" s="855">
        <f t="shared" ca="1" si="87"/>
        <v>0</v>
      </c>
      <c r="BG407" s="855">
        <f t="shared" ca="1" si="88"/>
        <v>0</v>
      </c>
      <c r="BH407" s="855">
        <f t="shared" ca="1" si="89"/>
        <v>0</v>
      </c>
      <c r="BI407" s="855">
        <f t="shared" ca="1" si="90"/>
        <v>0</v>
      </c>
      <c r="BJ407" s="855">
        <f t="shared" ca="1" si="91"/>
        <v>0</v>
      </c>
      <c r="BK407" s="855">
        <f t="shared" ca="1" si="92"/>
        <v>0</v>
      </c>
      <c r="BL407" s="855">
        <f t="shared" ca="1" si="93"/>
        <v>0</v>
      </c>
      <c r="BM407" s="855">
        <f t="shared" ca="1" si="94"/>
        <v>0</v>
      </c>
      <c r="BN407" s="1581"/>
      <c r="BO407" s="1576" t="str">
        <f ca="1">IF(IFERROR(INDEX('ИП + источники'!$K$28:$L$116,MATCH($F407&amp;"3komm",'ИП + источники'!$K$28:$K$116,0),2),"")=0,"",IFERROR(INDEX('ИП + источники'!$K$28:$L$116,MATCH($F407&amp;"3komm",'ИП + источники'!$K$28:$K$116,0),2),""))</f>
        <v/>
      </c>
      <c r="BP407" s="1581"/>
      <c r="BQ407" s="1184"/>
      <c r="BR407" s="1184"/>
      <c r="BS407" s="973" t="s">
        <v>2089</v>
      </c>
      <c r="BT407" s="973"/>
      <c r="BU407" s="973"/>
      <c r="BV407" s="888"/>
      <c r="BW407" s="888"/>
    </row>
    <row r="408" spans="1:75" s="1334" customFormat="1" ht="14.25" customHeight="1" x14ac:dyDescent="0.15">
      <c r="A408" s="1184"/>
      <c r="B408" s="354" t="b" cm="1">
        <f t="array" ref="B408">B407</f>
        <v>1</v>
      </c>
      <c r="C408" s="1184"/>
      <c r="D408" s="1184"/>
      <c r="E408" s="626">
        <v>15</v>
      </c>
      <c r="F408" s="3" t="str" cm="1">
        <f t="array" aca="1" ref="F408" ca="1">OFFSET(E408,-1,1)</f>
        <v>2</v>
      </c>
      <c r="G408" s="1184"/>
      <c r="H408" s="1184"/>
      <c r="I408" s="77" t="s">
        <v>795</v>
      </c>
      <c r="J408" s="1184"/>
      <c r="K408" s="77" t="s">
        <v>795</v>
      </c>
      <c r="L408" s="889" t="s">
        <v>598</v>
      </c>
      <c r="M408" s="26"/>
      <c r="N408" s="1184"/>
      <c r="O408" s="1184"/>
      <c r="P408" s="1184"/>
      <c r="Q408" s="1184"/>
      <c r="R408" s="1184"/>
      <c r="S408" s="1184"/>
      <c r="T408" s="388" t="b" cm="1">
        <f t="array" aca="1" ref="T408" ca="1">T407</f>
        <v>1</v>
      </c>
      <c r="U408" s="1184"/>
      <c r="V408" s="1184"/>
      <c r="W408" s="1184"/>
      <c r="X408" s="2032"/>
      <c r="Y408" s="1184"/>
      <c r="Z408" s="2012"/>
      <c r="AA408" s="1184"/>
      <c r="AB408" s="217" t="s">
        <v>965</v>
      </c>
      <c r="AC408" s="682" t="s">
        <v>2090</v>
      </c>
      <c r="AD408" s="218" t="s">
        <v>831</v>
      </c>
      <c r="AE408" s="1567">
        <f ca="1">SUMIFS('ИП + источники'!AF$27:AF$116,'ИП + источники'!$F$27:$F$116,$F408,'ИП + источники'!$AC$27:$AC$116,"Прибыль на капвложения")</f>
        <v>0</v>
      </c>
      <c r="AF408" s="1567">
        <f ca="1">SUMIFS('ИП + источники'!AG$27:AG$116,'ИП + источники'!$F$27:$F$116,$F408,'ИП + источники'!$AC$27:$AC$116,"Прибыль на капвложения")</f>
        <v>0</v>
      </c>
      <c r="AG408" s="1567">
        <f ca="1">SUMIFS('ИП + источники'!AH$27:AH$116,'ИП + источники'!$F$27:$F$116,$F408,'ИП + источники'!$AC$27:$AC$116,"Прибыль на капвложения")</f>
        <v>0</v>
      </c>
      <c r="AH408" s="855">
        <f t="shared" ca="1" si="83"/>
        <v>0</v>
      </c>
      <c r="AI408" s="1568">
        <f ca="1">SUMIFS('ИП + источники'!AJ$27:AJ$116,'ИП + источники'!$F$27:$F$116,$F408,'ИП + источники'!$AC$27:$AC$116,"Прибыль на капвложения")</f>
        <v>0</v>
      </c>
      <c r="AJ408" s="1568">
        <f ca="1">SUMIFS('ИП + источники'!AK$27:AK$116,'ИП + источники'!$F$27:$F$116,$F408,'ИП + источники'!$AC$27:$AC$116,"Прибыль на капвложения")</f>
        <v>0</v>
      </c>
      <c r="AK408" s="1160">
        <f ca="1">SUMIFS('ИП + источники'!AL$27:AL$116,'ИП + источники'!$F$27:$F$116,$F408,'ИП + источники'!$AC$27:$AC$116,"Прибыль на капвложения")</f>
        <v>0</v>
      </c>
      <c r="AL408" s="1160">
        <f ca="1">SUMIFS('ИП + источники'!AM$27:AM$116,'ИП + источники'!$F$27:$F$116,$F408,'ИП + источники'!$AC$27:$AC$116,"Прибыль на капвложения")</f>
        <v>0</v>
      </c>
      <c r="AM408" s="1160">
        <f ca="1">SUMIFS('ИП + источники'!AN$27:AN$116,'ИП + источники'!$F$27:$F$116,$F408,'ИП + источники'!$AC$27:$AC$116,"Прибыль на капвложения")</f>
        <v>0</v>
      </c>
      <c r="AN408" s="1160">
        <f ca="1">SUMIFS('ИП + источники'!AO$27:AO$116,'ИП + источники'!$F$27:$F$116,$F408,'ИП + источники'!$AC$27:$AC$116,"Прибыль на капвложения")</f>
        <v>0</v>
      </c>
      <c r="AO408" s="1160">
        <f ca="1">SUMIFS('ИП + источники'!AP$27:AP$116,'ИП + источники'!$F$27:$F$116,$F408,'ИП + источники'!$AC$27:$AC$116,"Прибыль на капвложения")</f>
        <v>0</v>
      </c>
      <c r="AP408" s="1160">
        <f ca="1">SUMIFS('ИП + источники'!AQ$27:AQ$116,'ИП + источники'!$F$27:$F$116,$F408,'ИП + источники'!$AC$27:$AC$116,"Прибыль на капвложения")</f>
        <v>0</v>
      </c>
      <c r="AQ408" s="1568">
        <f ca="1">SUMIFS('ИП + источники'!AR$27:AR$116,'ИП + источники'!$F$27:$F$116,$F408,'ИП + источники'!$AC$27:$AC$116,"Прибыль на капвложения")</f>
        <v>0</v>
      </c>
      <c r="AR408" s="1568">
        <f ca="1">SUMIFS('ИП + источники'!AS$27:AS$116,'ИП + источники'!$F$27:$F$116,$F408,'ИП + источники'!$AC$27:$AC$116,"Прибыль на капвложения")</f>
        <v>0</v>
      </c>
      <c r="AS408" s="1568">
        <f ca="1">SUMIFS('ИП + источники'!AT$27:AT$116,'ИП + источники'!$F$27:$F$116,$F408,'ИП + источники'!$AC$27:$AC$116,"Прибыль на капвложения")</f>
        <v>0</v>
      </c>
      <c r="AT408" s="1568">
        <f ca="1">SUMIFS('ИП + источники'!AU$27:AU$116,'ИП + источники'!$F$27:$F$116,$F408,'ИП + источники'!$AC$27:$AC$116,"Прибыль на капвложения")</f>
        <v>0</v>
      </c>
      <c r="AU408" s="1160">
        <f ca="1">SUMIFS('ИП + источники'!AV$27:AV$116,'ИП + источники'!$F$27:$F$116,$F408,'ИП + источники'!$AC$27:$AC$116,"Прибыль на капвложения")</f>
        <v>0</v>
      </c>
      <c r="AV408" s="1160">
        <f ca="1">SUMIFS('ИП + источники'!AW$27:AW$116,'ИП + источники'!$F$27:$F$116,$F408,'ИП + источники'!$AC$27:$AC$116,"Прибыль на капвложения")</f>
        <v>0</v>
      </c>
      <c r="AW408" s="1160">
        <f ca="1">SUMIFS('ИП + источники'!AX$27:AX$116,'ИП + источники'!$F$27:$F$116,$F408,'ИП + источники'!$AC$27:$AC$116,"Прибыль на капвложения")</f>
        <v>0</v>
      </c>
      <c r="AX408" s="1160">
        <f ca="1">SUMIFS('ИП + источники'!AY$27:AY$116,'ИП + источники'!$F$27:$F$116,$F408,'ИП + источники'!$AC$27:$AC$116,"Прибыль на капвложения")</f>
        <v>0</v>
      </c>
      <c r="AY408" s="1160">
        <f ca="1">SUMIFS('ИП + источники'!AZ$27:AZ$116,'ИП + источники'!$F$27:$F$116,$F408,'ИП + источники'!$AC$27:$AC$116,"Прибыль на капвложения")</f>
        <v>0</v>
      </c>
      <c r="AZ408" s="1160">
        <f ca="1">SUMIFS('ИП + источники'!BA$27:BA$116,'ИП + источники'!$F$27:$F$116,$F408,'ИП + источники'!$AC$27:$AC$116,"Прибыль на капвложения")</f>
        <v>0</v>
      </c>
      <c r="BA408" s="1568">
        <f ca="1">SUMIFS('ИП + источники'!BB$27:BB$116,'ИП + источники'!$F$27:$F$116,$F408,'ИП + источники'!$AC$27:$AC$116,"Прибыль на капвложения")</f>
        <v>0</v>
      </c>
      <c r="BB408" s="1568">
        <f ca="1">SUMIFS('ИП + источники'!BC$27:BC$116,'ИП + источники'!$F$27:$F$116,$F408,'ИП + источники'!$AC$27:$AC$116,"Прибыль на капвложения")</f>
        <v>0</v>
      </c>
      <c r="BC408" s="1568">
        <f ca="1">SUMIFS('ИП + источники'!BD$27:BD$116,'ИП + источники'!$F$27:$F$116,$F408,'ИП + источники'!$AC$27:$AC$116,"Прибыль на капвложения")</f>
        <v>0</v>
      </c>
      <c r="BD408" s="855">
        <f t="shared" ca="1" si="85"/>
        <v>0</v>
      </c>
      <c r="BE408" s="855">
        <f t="shared" ca="1" si="86"/>
        <v>0</v>
      </c>
      <c r="BF408" s="855">
        <f t="shared" ca="1" si="87"/>
        <v>0</v>
      </c>
      <c r="BG408" s="855">
        <f t="shared" ca="1" si="88"/>
        <v>0</v>
      </c>
      <c r="BH408" s="855">
        <f t="shared" ca="1" si="89"/>
        <v>0</v>
      </c>
      <c r="BI408" s="855">
        <f t="shared" ca="1" si="90"/>
        <v>0</v>
      </c>
      <c r="BJ408" s="855">
        <f t="shared" ca="1" si="91"/>
        <v>0</v>
      </c>
      <c r="BK408" s="855">
        <f t="shared" ca="1" si="92"/>
        <v>0</v>
      </c>
      <c r="BL408" s="855">
        <f t="shared" ca="1" si="93"/>
        <v>0</v>
      </c>
      <c r="BM408" s="855">
        <f t="shared" ca="1" si="94"/>
        <v>0</v>
      </c>
      <c r="BN408" s="1581"/>
      <c r="BO408" s="1576" t="str">
        <f ca="1">IF(IFERROR(INDEX('ИП + источники'!$K$28:$L$116,MATCH($F408&amp;"1komm",'ИП + источники'!$K$28:$K$116,0),2),"")=0,"",IFERROR(INDEX('ИП + источники'!$K$28:$L$116,MATCH($F408&amp;"1komm",'ИП + источники'!$K$28:$K$116,0),2),""))</f>
        <v/>
      </c>
      <c r="BP408" s="1581"/>
      <c r="BQ408" s="1184"/>
      <c r="BR408" s="1184"/>
      <c r="BS408" s="973" t="s">
        <v>1793</v>
      </c>
      <c r="BT408" s="973"/>
      <c r="BU408" s="973"/>
      <c r="BV408" s="888"/>
      <c r="BW408" s="888"/>
    </row>
    <row r="409" spans="1:75" s="1334" customFormat="1" ht="21.75" customHeight="1" x14ac:dyDescent="0.15">
      <c r="A409" s="1184"/>
      <c r="B409" s="354" t="b" cm="1">
        <f t="array" ref="B409">B408</f>
        <v>1</v>
      </c>
      <c r="C409" s="1184"/>
      <c r="D409" s="1184"/>
      <c r="E409" s="626">
        <v>22.5</v>
      </c>
      <c r="F409" s="3" t="str" cm="1">
        <f t="array" aca="1" ref="F409" ca="1">OFFSET(E409,-1,1)</f>
        <v>2</v>
      </c>
      <c r="G409" s="77" t="s">
        <v>2091</v>
      </c>
      <c r="H409" s="1184"/>
      <c r="I409" s="77" t="s">
        <v>967</v>
      </c>
      <c r="J409" s="1184"/>
      <c r="K409" s="77" t="s">
        <v>967</v>
      </c>
      <c r="L409" s="889" t="s">
        <v>602</v>
      </c>
      <c r="M409" s="26"/>
      <c r="N409" s="1184"/>
      <c r="O409" s="1184"/>
      <c r="P409" s="1184"/>
      <c r="Q409" s="1184"/>
      <c r="R409" s="1184"/>
      <c r="S409" s="1184"/>
      <c r="T409" s="388" t="b" cm="1">
        <f t="array" aca="1" ref="T409" ca="1">T408</f>
        <v>1</v>
      </c>
      <c r="U409" s="1184"/>
      <c r="V409" s="1184"/>
      <c r="W409" s="1184"/>
      <c r="X409" s="2032"/>
      <c r="Y409" s="1184"/>
      <c r="Z409" s="2012"/>
      <c r="AA409" s="1184"/>
      <c r="AB409" s="217" t="s">
        <v>968</v>
      </c>
      <c r="AC409" s="682" t="s">
        <v>2092</v>
      </c>
      <c r="AD409" s="218" t="s">
        <v>831</v>
      </c>
      <c r="AE409" s="1567"/>
      <c r="AF409" s="1567"/>
      <c r="AG409" s="1567"/>
      <c r="AH409" s="855">
        <f t="shared" si="83"/>
        <v>0</v>
      </c>
      <c r="AI409" s="1568"/>
      <c r="AJ409" s="1568"/>
      <c r="AK409" s="1160"/>
      <c r="AL409" s="1160"/>
      <c r="AM409" s="1160"/>
      <c r="AN409" s="1160"/>
      <c r="AO409" s="1160"/>
      <c r="AP409" s="1160"/>
      <c r="AQ409" s="1568"/>
      <c r="AR409" s="1568"/>
      <c r="AS409" s="1568"/>
      <c r="AT409" s="1568"/>
      <c r="AU409" s="1160"/>
      <c r="AV409" s="1160"/>
      <c r="AW409" s="1160"/>
      <c r="AX409" s="1160"/>
      <c r="AY409" s="1160"/>
      <c r="AZ409" s="1160"/>
      <c r="BA409" s="1568"/>
      <c r="BB409" s="1568"/>
      <c r="BC409" s="1568"/>
      <c r="BD409" s="855">
        <f t="shared" si="85"/>
        <v>0</v>
      </c>
      <c r="BE409" s="855">
        <f t="shared" si="86"/>
        <v>0</v>
      </c>
      <c r="BF409" s="855">
        <f t="shared" si="87"/>
        <v>0</v>
      </c>
      <c r="BG409" s="855">
        <f t="shared" si="88"/>
        <v>0</v>
      </c>
      <c r="BH409" s="855">
        <f t="shared" si="89"/>
        <v>0</v>
      </c>
      <c r="BI409" s="855">
        <f t="shared" si="90"/>
        <v>0</v>
      </c>
      <c r="BJ409" s="855">
        <f t="shared" si="91"/>
        <v>0</v>
      </c>
      <c r="BK409" s="855">
        <f t="shared" si="92"/>
        <v>0</v>
      </c>
      <c r="BL409" s="855">
        <f t="shared" si="93"/>
        <v>0</v>
      </c>
      <c r="BM409" s="855">
        <f t="shared" si="94"/>
        <v>0</v>
      </c>
      <c r="BN409" s="1581"/>
      <c r="BO409" s="1581"/>
      <c r="BP409" s="1581"/>
      <c r="BQ409" s="1184"/>
      <c r="BR409" s="1184"/>
      <c r="BS409" s="973" t="s">
        <v>2093</v>
      </c>
      <c r="BT409" s="973"/>
      <c r="BU409" s="973"/>
      <c r="BV409" s="888"/>
      <c r="BW409" s="888"/>
    </row>
    <row r="410" spans="1:75" s="1334" customFormat="1" ht="14.25" customHeight="1" x14ac:dyDescent="0.15">
      <c r="A410" s="1184"/>
      <c r="B410" s="354" t="b">
        <f>AND(method_reg="Метод индексации",STATUS_GO="да")</f>
        <v>1</v>
      </c>
      <c r="C410" s="1184"/>
      <c r="D410" s="1184"/>
      <c r="E410" s="626">
        <v>15</v>
      </c>
      <c r="F410" s="3" t="str" cm="1">
        <f t="array" aca="1" ref="F410" ca="1">OFFSET(E410,-1,1)</f>
        <v>2</v>
      </c>
      <c r="G410" s="77" t="s">
        <v>1796</v>
      </c>
      <c r="H410" s="1184"/>
      <c r="I410" s="77" t="s">
        <v>544</v>
      </c>
      <c r="J410" s="1184"/>
      <c r="K410" s="77" t="s">
        <v>544</v>
      </c>
      <c r="L410" s="889" t="s">
        <v>606</v>
      </c>
      <c r="M410" s="26"/>
      <c r="N410" s="1184"/>
      <c r="O410" s="1184"/>
      <c r="P410" s="1184"/>
      <c r="Q410" s="1184"/>
      <c r="R410" s="1184"/>
      <c r="S410" s="1184"/>
      <c r="T410" s="388" t="b" cm="1">
        <f t="array" aca="1" ref="T410" ca="1">T409</f>
        <v>1</v>
      </c>
      <c r="U410" s="1184"/>
      <c r="V410" s="1184"/>
      <c r="W410" s="1184"/>
      <c r="X410" s="2032"/>
      <c r="Y410" s="1184"/>
      <c r="Z410" s="2012"/>
      <c r="AA410" s="1184"/>
      <c r="AB410" s="217" t="s">
        <v>446</v>
      </c>
      <c r="AC410" s="374" t="s">
        <v>1796</v>
      </c>
      <c r="AD410" s="218" t="s">
        <v>831</v>
      </c>
      <c r="AE410" s="1567">
        <v>822.86</v>
      </c>
      <c r="AF410" s="1567"/>
      <c r="AG410" s="1567">
        <v>388.95</v>
      </c>
      <c r="AH410" s="855">
        <f t="shared" si="83"/>
        <v>388.95</v>
      </c>
      <c r="AI410" s="1568">
        <v>869.94</v>
      </c>
      <c r="AJ410" s="1568"/>
      <c r="AK410" s="1160"/>
      <c r="AL410" s="1160"/>
      <c r="AM410" s="1160"/>
      <c r="AN410" s="1160"/>
      <c r="AO410" s="1160"/>
      <c r="AP410" s="1160"/>
      <c r="AQ410" s="1568"/>
      <c r="AR410" s="1568"/>
      <c r="AS410" s="1568"/>
      <c r="AT410" s="1568">
        <v>907.27</v>
      </c>
      <c r="AU410" s="1160"/>
      <c r="AV410" s="1160"/>
      <c r="AW410" s="1160"/>
      <c r="AX410" s="1160"/>
      <c r="AY410" s="1160"/>
      <c r="AZ410" s="1160"/>
      <c r="BA410" s="1568"/>
      <c r="BB410" s="1568"/>
      <c r="BC410" s="1568"/>
      <c r="BD410" s="855">
        <f t="shared" si="85"/>
        <v>4.2911005356691181</v>
      </c>
      <c r="BE410" s="855">
        <f t="shared" si="86"/>
        <v>-100</v>
      </c>
      <c r="BF410" s="855">
        <f t="shared" si="87"/>
        <v>0</v>
      </c>
      <c r="BG410" s="855">
        <f t="shared" si="88"/>
        <v>0</v>
      </c>
      <c r="BH410" s="855">
        <f t="shared" si="89"/>
        <v>0</v>
      </c>
      <c r="BI410" s="855">
        <f t="shared" si="90"/>
        <v>0</v>
      </c>
      <c r="BJ410" s="855">
        <f t="shared" si="91"/>
        <v>0</v>
      </c>
      <c r="BK410" s="855">
        <f t="shared" si="92"/>
        <v>0</v>
      </c>
      <c r="BL410" s="855">
        <f t="shared" si="93"/>
        <v>0</v>
      </c>
      <c r="BM410" s="855">
        <f t="shared" si="94"/>
        <v>0</v>
      </c>
      <c r="BN410" s="1581"/>
      <c r="BO410" s="1581" t="s">
        <v>2212</v>
      </c>
      <c r="BP410" s="1581" t="s">
        <v>2213</v>
      </c>
      <c r="BQ410" s="1184"/>
      <c r="BR410" s="1184"/>
      <c r="BS410" s="973" t="s">
        <v>1797</v>
      </c>
      <c r="BT410" s="973"/>
      <c r="BU410" s="973"/>
      <c r="BV410" s="888"/>
      <c r="BW410" s="888"/>
    </row>
    <row r="411" spans="1:75" s="1334" customFormat="1" ht="14.25" hidden="1" customHeight="1" x14ac:dyDescent="0.15">
      <c r="A411" s="1184"/>
      <c r="B411" s="884" t="b">
        <f>method_reg="Метод обеспечения доходности инвестированного капитала"</f>
        <v>0</v>
      </c>
      <c r="C411" s="1184"/>
      <c r="D411" s="1184"/>
      <c r="E411" s="626">
        <v>15</v>
      </c>
      <c r="F411" s="3" t="str" cm="1">
        <f t="array" aca="1" ref="F411" ca="1">OFFSET(E411,-1,1)</f>
        <v>2</v>
      </c>
      <c r="G411" s="1184"/>
      <c r="H411" s="1184"/>
      <c r="I411" s="1184"/>
      <c r="J411" s="1184"/>
      <c r="K411" s="26" t="s">
        <v>335</v>
      </c>
      <c r="L411" s="889"/>
      <c r="M411" s="26"/>
      <c r="N411" s="1184"/>
      <c r="O411" s="1184"/>
      <c r="P411" s="1184"/>
      <c r="Q411" s="1184"/>
      <c r="R411" s="1184"/>
      <c r="S411" s="1184"/>
      <c r="T411" s="388" t="b" cm="1">
        <f t="array" aca="1" ref="T411" ca="1">T410</f>
        <v>1</v>
      </c>
      <c r="U411" s="1184"/>
      <c r="V411" s="1184"/>
      <c r="W411" s="1184"/>
      <c r="X411" s="2032"/>
      <c r="Y411" s="1184"/>
      <c r="Z411" s="2012"/>
      <c r="AA411" s="1184"/>
      <c r="AB411" s="712" t="s">
        <v>441</v>
      </c>
      <c r="AC411" s="713" t="s">
        <v>2094</v>
      </c>
      <c r="AD411" s="714" t="s">
        <v>831</v>
      </c>
      <c r="AE411" s="1153"/>
      <c r="AF411" s="1153"/>
      <c r="AG411" s="1153"/>
      <c r="AH411" s="681">
        <f t="shared" si="83"/>
        <v>0</v>
      </c>
      <c r="AI411" s="1153"/>
      <c r="AJ411" s="1516"/>
      <c r="AK411" s="1153"/>
      <c r="AL411" s="1153"/>
      <c r="AM411" s="1153"/>
      <c r="AN411" s="1153"/>
      <c r="AO411" s="1153"/>
      <c r="AP411" s="1153"/>
      <c r="AQ411" s="1153"/>
      <c r="AR411" s="1153"/>
      <c r="AS411" s="1153"/>
      <c r="AT411" s="1516"/>
      <c r="AU411" s="1153"/>
      <c r="AV411" s="1153"/>
      <c r="AW411" s="1153"/>
      <c r="AX411" s="1153"/>
      <c r="AY411" s="1153"/>
      <c r="AZ411" s="1153"/>
      <c r="BA411" s="1153"/>
      <c r="BB411" s="1153"/>
      <c r="BC411" s="1153"/>
      <c r="BD411" s="681">
        <f t="shared" si="85"/>
        <v>0</v>
      </c>
      <c r="BE411" s="681">
        <f t="shared" si="86"/>
        <v>0</v>
      </c>
      <c r="BF411" s="681">
        <f t="shared" si="87"/>
        <v>0</v>
      </c>
      <c r="BG411" s="681">
        <f t="shared" si="88"/>
        <v>0</v>
      </c>
      <c r="BH411" s="681">
        <f t="shared" si="89"/>
        <v>0</v>
      </c>
      <c r="BI411" s="681">
        <f t="shared" si="90"/>
        <v>0</v>
      </c>
      <c r="BJ411" s="681">
        <f t="shared" si="91"/>
        <v>0</v>
      </c>
      <c r="BK411" s="681">
        <f t="shared" si="92"/>
        <v>0</v>
      </c>
      <c r="BL411" s="681">
        <f t="shared" si="93"/>
        <v>0</v>
      </c>
      <c r="BM411" s="681">
        <f t="shared" si="94"/>
        <v>0</v>
      </c>
      <c r="BN411" s="1154"/>
      <c r="BO411" s="1154"/>
      <c r="BP411" s="1154"/>
      <c r="BQ411" s="1184"/>
      <c r="BR411" s="1184"/>
      <c r="BS411" s="973" t="s">
        <v>2095</v>
      </c>
      <c r="BT411" s="973"/>
      <c r="BU411" s="973"/>
      <c r="BV411" s="888"/>
      <c r="BW411" s="888"/>
    </row>
    <row r="412" spans="1:75" s="1334" customFormat="1" ht="14.25" hidden="1" customHeight="1" x14ac:dyDescent="0.15">
      <c r="A412" s="1184"/>
      <c r="B412" s="884" t="b" cm="1">
        <f t="array" ref="B412">B411</f>
        <v>0</v>
      </c>
      <c r="C412" s="1184"/>
      <c r="D412" s="1184"/>
      <c r="E412" s="626">
        <v>15</v>
      </c>
      <c r="F412" s="3" t="str" cm="1">
        <f t="array" aca="1" ref="F412" ca="1">OFFSET(E412,-1,1)</f>
        <v>2</v>
      </c>
      <c r="G412" s="1184"/>
      <c r="H412" s="1184"/>
      <c r="I412" s="1184"/>
      <c r="J412" s="1184"/>
      <c r="K412" s="26" t="s">
        <v>565</v>
      </c>
      <c r="L412" s="889"/>
      <c r="M412" s="26"/>
      <c r="N412" s="1184"/>
      <c r="O412" s="1184"/>
      <c r="P412" s="1184"/>
      <c r="Q412" s="1184"/>
      <c r="R412" s="1184"/>
      <c r="S412" s="1184"/>
      <c r="T412" s="388" t="b" cm="1">
        <f t="array" aca="1" ref="T412" ca="1">T411</f>
        <v>1</v>
      </c>
      <c r="U412" s="1184"/>
      <c r="V412" s="1184"/>
      <c r="W412" s="1184"/>
      <c r="X412" s="2032"/>
      <c r="Y412" s="1184"/>
      <c r="Z412" s="2012"/>
      <c r="AA412" s="1184"/>
      <c r="AB412" s="715" t="s">
        <v>700</v>
      </c>
      <c r="AC412" s="716" t="s">
        <v>2096</v>
      </c>
      <c r="AD412" s="717" t="s">
        <v>831</v>
      </c>
      <c r="AE412" s="1160"/>
      <c r="AF412" s="1160"/>
      <c r="AG412" s="1160"/>
      <c r="AH412" s="854"/>
      <c r="AI412" s="1160"/>
      <c r="AJ412" s="1568"/>
      <c r="AK412" s="1160"/>
      <c r="AL412" s="1160"/>
      <c r="AM412" s="1160"/>
      <c r="AN412" s="1160"/>
      <c r="AO412" s="1160"/>
      <c r="AP412" s="1160"/>
      <c r="AQ412" s="1160"/>
      <c r="AR412" s="1160"/>
      <c r="AS412" s="1160"/>
      <c r="AT412" s="1568"/>
      <c r="AU412" s="1160"/>
      <c r="AV412" s="1160"/>
      <c r="AW412" s="1160"/>
      <c r="AX412" s="1160"/>
      <c r="AY412" s="1160"/>
      <c r="AZ412" s="1160"/>
      <c r="BA412" s="1160"/>
      <c r="BB412" s="1160"/>
      <c r="BC412" s="1160"/>
      <c r="BD412" s="854"/>
      <c r="BE412" s="854"/>
      <c r="BF412" s="854"/>
      <c r="BG412" s="854"/>
      <c r="BH412" s="854"/>
      <c r="BI412" s="854"/>
      <c r="BJ412" s="854"/>
      <c r="BK412" s="854"/>
      <c r="BL412" s="854"/>
      <c r="BM412" s="854"/>
      <c r="BN412" s="1158"/>
      <c r="BO412" s="1158"/>
      <c r="BP412" s="1158"/>
      <c r="BQ412" s="1184"/>
      <c r="BR412" s="1184"/>
      <c r="BS412" s="973" t="s">
        <v>2097</v>
      </c>
      <c r="BT412" s="973"/>
      <c r="BU412" s="973"/>
      <c r="BV412" s="888"/>
      <c r="BW412" s="888"/>
    </row>
    <row r="413" spans="1:75" s="1334" customFormat="1" ht="14.25" hidden="1" customHeight="1" x14ac:dyDescent="0.15">
      <c r="A413" s="1184"/>
      <c r="B413" s="884" t="b" cm="1">
        <f t="array" ref="B413">B412</f>
        <v>0</v>
      </c>
      <c r="C413" s="1184"/>
      <c r="D413" s="1184"/>
      <c r="E413" s="626">
        <v>15</v>
      </c>
      <c r="F413" s="3" t="str" cm="1">
        <f t="array" aca="1" ref="F413" ca="1">OFFSET(E413,-1,1)</f>
        <v>2</v>
      </c>
      <c r="G413" s="1184"/>
      <c r="H413" s="1184"/>
      <c r="I413" s="1184"/>
      <c r="J413" s="1184"/>
      <c r="K413" s="26" t="s">
        <v>569</v>
      </c>
      <c r="L413" s="889"/>
      <c r="M413" s="26"/>
      <c r="N413" s="1184"/>
      <c r="O413" s="1184"/>
      <c r="P413" s="1184"/>
      <c r="Q413" s="1184"/>
      <c r="R413" s="1184"/>
      <c r="S413" s="1184"/>
      <c r="T413" s="388" t="b" cm="1">
        <f t="array" aca="1" ref="T413" ca="1">T412</f>
        <v>1</v>
      </c>
      <c r="U413" s="1184"/>
      <c r="V413" s="1184"/>
      <c r="W413" s="1184"/>
      <c r="X413" s="2032"/>
      <c r="Y413" s="1184"/>
      <c r="Z413" s="2012"/>
      <c r="AA413" s="1184"/>
      <c r="AB413" s="715" t="s">
        <v>703</v>
      </c>
      <c r="AC413" s="716" t="s">
        <v>2098</v>
      </c>
      <c r="AD413" s="717" t="s">
        <v>2099</v>
      </c>
      <c r="AE413" s="1160"/>
      <c r="AF413" s="1160"/>
      <c r="AG413" s="1160"/>
      <c r="AH413" s="854"/>
      <c r="AI413" s="1160"/>
      <c r="AJ413" s="1568"/>
      <c r="AK413" s="1160"/>
      <c r="AL413" s="1160"/>
      <c r="AM413" s="1160"/>
      <c r="AN413" s="1160"/>
      <c r="AO413" s="1160"/>
      <c r="AP413" s="1160"/>
      <c r="AQ413" s="1160"/>
      <c r="AR413" s="1160"/>
      <c r="AS413" s="1160"/>
      <c r="AT413" s="1568"/>
      <c r="AU413" s="1160"/>
      <c r="AV413" s="1160"/>
      <c r="AW413" s="1160"/>
      <c r="AX413" s="1160"/>
      <c r="AY413" s="1160"/>
      <c r="AZ413" s="1160"/>
      <c r="BA413" s="1160"/>
      <c r="BB413" s="1160"/>
      <c r="BC413" s="1160"/>
      <c r="BD413" s="854"/>
      <c r="BE413" s="854"/>
      <c r="BF413" s="854"/>
      <c r="BG413" s="854"/>
      <c r="BH413" s="854"/>
      <c r="BI413" s="854"/>
      <c r="BJ413" s="854"/>
      <c r="BK413" s="854"/>
      <c r="BL413" s="854"/>
      <c r="BM413" s="854"/>
      <c r="BN413" s="1158"/>
      <c r="BO413" s="1158"/>
      <c r="BP413" s="1158"/>
      <c r="BQ413" s="1184"/>
      <c r="BR413" s="1184"/>
      <c r="BS413" s="973" t="s">
        <v>2100</v>
      </c>
      <c r="BT413" s="973"/>
      <c r="BU413" s="973"/>
      <c r="BV413" s="888"/>
      <c r="BW413" s="888"/>
    </row>
    <row r="414" spans="1:75" s="1334" customFormat="1" ht="14.25" hidden="1" customHeight="1" x14ac:dyDescent="0.15">
      <c r="A414" s="1184"/>
      <c r="B414" s="884" t="b" cm="1">
        <f t="array" ref="B414">B413</f>
        <v>0</v>
      </c>
      <c r="C414" s="1184"/>
      <c r="D414" s="1184"/>
      <c r="E414" s="626">
        <v>15</v>
      </c>
      <c r="F414" s="3" t="str" cm="1">
        <f t="array" aca="1" ref="F414" ca="1">OFFSET(E414,-1,1)</f>
        <v>2</v>
      </c>
      <c r="G414" s="1184"/>
      <c r="H414" s="1184"/>
      <c r="I414" s="1184"/>
      <c r="J414" s="1184"/>
      <c r="K414" s="26" t="s">
        <v>334</v>
      </c>
      <c r="L414" s="889"/>
      <c r="M414" s="26"/>
      <c r="N414" s="1184"/>
      <c r="O414" s="1184"/>
      <c r="P414" s="1184"/>
      <c r="Q414" s="1184"/>
      <c r="R414" s="1184"/>
      <c r="S414" s="1184"/>
      <c r="T414" s="388" t="b" cm="1">
        <f t="array" aca="1" ref="T414" ca="1">T413</f>
        <v>1</v>
      </c>
      <c r="U414" s="1184"/>
      <c r="V414" s="1184"/>
      <c r="W414" s="1184"/>
      <c r="X414" s="2032"/>
      <c r="Y414" s="1184"/>
      <c r="Z414" s="2012"/>
      <c r="AA414" s="1184"/>
      <c r="AB414" s="712" t="s">
        <v>444</v>
      </c>
      <c r="AC414" s="713" t="s">
        <v>2101</v>
      </c>
      <c r="AD414" s="714" t="s">
        <v>831</v>
      </c>
      <c r="AE414" s="1153"/>
      <c r="AF414" s="1153"/>
      <c r="AG414" s="1153"/>
      <c r="AH414" s="681">
        <f>AG414-AF414</f>
        <v>0</v>
      </c>
      <c r="AI414" s="1153"/>
      <c r="AJ414" s="1516"/>
      <c r="AK414" s="1153"/>
      <c r="AL414" s="1153"/>
      <c r="AM414" s="1153"/>
      <c r="AN414" s="1153"/>
      <c r="AO414" s="1153"/>
      <c r="AP414" s="1153"/>
      <c r="AQ414" s="1153"/>
      <c r="AR414" s="1153"/>
      <c r="AS414" s="1153"/>
      <c r="AT414" s="1516"/>
      <c r="AU414" s="1153"/>
      <c r="AV414" s="1153"/>
      <c r="AW414" s="1153"/>
      <c r="AX414" s="1153"/>
      <c r="AY414" s="1153"/>
      <c r="AZ414" s="1153"/>
      <c r="BA414" s="1153"/>
      <c r="BB414" s="1153"/>
      <c r="BC414" s="1153"/>
      <c r="BD414" s="681">
        <f>IF(AI414=0,0,(AT414-AI414)/AI414*100)</f>
        <v>0</v>
      </c>
      <c r="BE414" s="681">
        <f t="shared" ref="BE414:BM414" si="99">IF(AT414=0,0,(AU414-AT414)/AT414*100)</f>
        <v>0</v>
      </c>
      <c r="BF414" s="681">
        <f t="shared" si="99"/>
        <v>0</v>
      </c>
      <c r="BG414" s="681">
        <f t="shared" si="99"/>
        <v>0</v>
      </c>
      <c r="BH414" s="681">
        <f t="shared" si="99"/>
        <v>0</v>
      </c>
      <c r="BI414" s="681">
        <f t="shared" si="99"/>
        <v>0</v>
      </c>
      <c r="BJ414" s="681">
        <f t="shared" si="99"/>
        <v>0</v>
      </c>
      <c r="BK414" s="681">
        <f t="shared" si="99"/>
        <v>0</v>
      </c>
      <c r="BL414" s="681">
        <f t="shared" si="99"/>
        <v>0</v>
      </c>
      <c r="BM414" s="681">
        <f t="shared" si="99"/>
        <v>0</v>
      </c>
      <c r="BN414" s="1154"/>
      <c r="BO414" s="1154"/>
      <c r="BP414" s="1154"/>
      <c r="BQ414" s="1184"/>
      <c r="BR414" s="1184"/>
      <c r="BS414" s="973" t="s">
        <v>2102</v>
      </c>
      <c r="BT414" s="973"/>
      <c r="BU414" s="973"/>
      <c r="BV414" s="888"/>
      <c r="BW414" s="888"/>
    </row>
    <row r="415" spans="1:75" s="1334" customFormat="1" ht="14.25" hidden="1" customHeight="1" x14ac:dyDescent="0.15">
      <c r="A415" s="1184"/>
      <c r="B415" s="884" t="b" cm="1">
        <f t="array" ref="B415">B414</f>
        <v>0</v>
      </c>
      <c r="C415" s="1184"/>
      <c r="D415" s="1184"/>
      <c r="E415" s="626">
        <v>15</v>
      </c>
      <c r="F415" s="3" t="str" cm="1">
        <f t="array" aca="1" ref="F415" ca="1">OFFSET(E415,-1,1)</f>
        <v>2</v>
      </c>
      <c r="G415" s="1184"/>
      <c r="H415" s="1184"/>
      <c r="I415" s="1184"/>
      <c r="J415" s="1184"/>
      <c r="K415" s="26" t="s">
        <v>579</v>
      </c>
      <c r="L415" s="889"/>
      <c r="M415" s="26"/>
      <c r="N415" s="1184"/>
      <c r="O415" s="1184"/>
      <c r="P415" s="1184"/>
      <c r="Q415" s="1184"/>
      <c r="R415" s="1184"/>
      <c r="S415" s="1184"/>
      <c r="T415" s="388" t="b" cm="1">
        <f t="array" aca="1" ref="T415" ca="1">T414</f>
        <v>1</v>
      </c>
      <c r="U415" s="1184"/>
      <c r="V415" s="1184"/>
      <c r="W415" s="1184"/>
      <c r="X415" s="2032"/>
      <c r="Y415" s="1184"/>
      <c r="Z415" s="2012"/>
      <c r="AA415" s="1184"/>
      <c r="AB415" s="715" t="s">
        <v>707</v>
      </c>
      <c r="AC415" s="716" t="s">
        <v>2103</v>
      </c>
      <c r="AD415" s="717" t="s">
        <v>831</v>
      </c>
      <c r="AE415" s="1160"/>
      <c r="AF415" s="1160"/>
      <c r="AG415" s="1160"/>
      <c r="AH415" s="854"/>
      <c r="AI415" s="1160"/>
      <c r="AJ415" s="1568"/>
      <c r="AK415" s="1160"/>
      <c r="AL415" s="1160"/>
      <c r="AM415" s="1160"/>
      <c r="AN415" s="1160"/>
      <c r="AO415" s="1160"/>
      <c r="AP415" s="1160"/>
      <c r="AQ415" s="1160"/>
      <c r="AR415" s="1160"/>
      <c r="AS415" s="1160"/>
      <c r="AT415" s="1568"/>
      <c r="AU415" s="1160"/>
      <c r="AV415" s="1160"/>
      <c r="AW415" s="1160"/>
      <c r="AX415" s="1160"/>
      <c r="AY415" s="1160"/>
      <c r="AZ415" s="1160"/>
      <c r="BA415" s="1160"/>
      <c r="BB415" s="1160"/>
      <c r="BC415" s="1160"/>
      <c r="BD415" s="854"/>
      <c r="BE415" s="854"/>
      <c r="BF415" s="854"/>
      <c r="BG415" s="854"/>
      <c r="BH415" s="854"/>
      <c r="BI415" s="854"/>
      <c r="BJ415" s="854"/>
      <c r="BK415" s="854"/>
      <c r="BL415" s="854"/>
      <c r="BM415" s="854"/>
      <c r="BN415" s="1158"/>
      <c r="BO415" s="1158"/>
      <c r="BP415" s="1158"/>
      <c r="BQ415" s="1184"/>
      <c r="BR415" s="1184"/>
      <c r="BS415" s="973" t="s">
        <v>2104</v>
      </c>
      <c r="BT415" s="973"/>
      <c r="BU415" s="973"/>
      <c r="BV415" s="888"/>
      <c r="BW415" s="888"/>
    </row>
    <row r="416" spans="1:75" s="1334" customFormat="1" ht="14.25" hidden="1" customHeight="1" x14ac:dyDescent="0.15">
      <c r="A416" s="1184"/>
      <c r="B416" s="884" t="b" cm="1">
        <f t="array" ref="B416">B415</f>
        <v>0</v>
      </c>
      <c r="C416" s="1184"/>
      <c r="D416" s="1184"/>
      <c r="E416" s="626">
        <v>15</v>
      </c>
      <c r="F416" s="3" t="str" cm="1">
        <f t="array" aca="1" ref="F416" ca="1">OFFSET(E416,-1,1)</f>
        <v>2</v>
      </c>
      <c r="G416" s="1184"/>
      <c r="H416" s="1184"/>
      <c r="I416" s="1184"/>
      <c r="J416" s="1184"/>
      <c r="K416" s="26" t="s">
        <v>583</v>
      </c>
      <c r="L416" s="889"/>
      <c r="M416" s="26"/>
      <c r="N416" s="1184"/>
      <c r="O416" s="1184"/>
      <c r="P416" s="1184"/>
      <c r="Q416" s="1184"/>
      <c r="R416" s="1184"/>
      <c r="S416" s="1184"/>
      <c r="T416" s="388" t="b" cm="1">
        <f t="array" aca="1" ref="T416" ca="1">T415</f>
        <v>1</v>
      </c>
      <c r="U416" s="1184"/>
      <c r="V416" s="1184"/>
      <c r="W416" s="1184"/>
      <c r="X416" s="2032"/>
      <c r="Y416" s="1184"/>
      <c r="Z416" s="2012"/>
      <c r="AA416" s="1184"/>
      <c r="AB416" s="715" t="s">
        <v>710</v>
      </c>
      <c r="AC416" s="716" t="s">
        <v>2105</v>
      </c>
      <c r="AD416" s="717" t="s">
        <v>490</v>
      </c>
      <c r="AE416" s="1160"/>
      <c r="AF416" s="1160"/>
      <c r="AG416" s="1160"/>
      <c r="AH416" s="854"/>
      <c r="AI416" s="1160"/>
      <c r="AJ416" s="1568"/>
      <c r="AK416" s="1160"/>
      <c r="AL416" s="1160"/>
      <c r="AM416" s="1160"/>
      <c r="AN416" s="1160"/>
      <c r="AO416" s="1160"/>
      <c r="AP416" s="1160"/>
      <c r="AQ416" s="1160"/>
      <c r="AR416" s="1160"/>
      <c r="AS416" s="1160"/>
      <c r="AT416" s="1568"/>
      <c r="AU416" s="1160"/>
      <c r="AV416" s="1160"/>
      <c r="AW416" s="1160"/>
      <c r="AX416" s="1160"/>
      <c r="AY416" s="1160"/>
      <c r="AZ416" s="1160"/>
      <c r="BA416" s="1160"/>
      <c r="BB416" s="1160"/>
      <c r="BC416" s="1160"/>
      <c r="BD416" s="854"/>
      <c r="BE416" s="854"/>
      <c r="BF416" s="854"/>
      <c r="BG416" s="854"/>
      <c r="BH416" s="854"/>
      <c r="BI416" s="854"/>
      <c r="BJ416" s="854"/>
      <c r="BK416" s="854"/>
      <c r="BL416" s="854"/>
      <c r="BM416" s="854"/>
      <c r="BN416" s="1158"/>
      <c r="BO416" s="1158"/>
      <c r="BP416" s="1158"/>
      <c r="BQ416" s="1184"/>
      <c r="BR416" s="1184"/>
      <c r="BS416" s="973" t="s">
        <v>2106</v>
      </c>
      <c r="BT416" s="973"/>
      <c r="BU416" s="973"/>
      <c r="BV416" s="888"/>
      <c r="BW416" s="888"/>
    </row>
    <row r="417" spans="1:75" s="1334" customFormat="1" ht="14.25" hidden="1" customHeight="1" x14ac:dyDescent="0.15">
      <c r="A417" s="1184"/>
      <c r="B417" s="884" t="b" cm="1">
        <f t="array" ref="B417">B416</f>
        <v>0</v>
      </c>
      <c r="C417" s="1184"/>
      <c r="D417" s="1184"/>
      <c r="E417" s="626">
        <v>15</v>
      </c>
      <c r="F417" s="3" t="str" cm="1">
        <f t="array" aca="1" ref="F417" ca="1">OFFSET(E417,-1,1)</f>
        <v>2</v>
      </c>
      <c r="G417" s="1184"/>
      <c r="H417" s="1184"/>
      <c r="I417" s="1184"/>
      <c r="J417" s="1184"/>
      <c r="K417" s="26" t="s">
        <v>795</v>
      </c>
      <c r="L417" s="889"/>
      <c r="M417" s="26"/>
      <c r="N417" s="1184"/>
      <c r="O417" s="1184"/>
      <c r="P417" s="1184"/>
      <c r="Q417" s="1184"/>
      <c r="R417" s="1184"/>
      <c r="S417" s="1184"/>
      <c r="T417" s="388" t="b" cm="1">
        <f t="array" aca="1" ref="T417" ca="1">T416</f>
        <v>1</v>
      </c>
      <c r="U417" s="1184"/>
      <c r="V417" s="1184"/>
      <c r="W417" s="1184"/>
      <c r="X417" s="2032"/>
      <c r="Y417" s="1184"/>
      <c r="Z417" s="2012"/>
      <c r="AA417" s="1184"/>
      <c r="AB417" s="715" t="s">
        <v>965</v>
      </c>
      <c r="AC417" s="716" t="s">
        <v>2107</v>
      </c>
      <c r="AD417" s="717" t="s">
        <v>831</v>
      </c>
      <c r="AE417" s="1160"/>
      <c r="AF417" s="1160"/>
      <c r="AG417" s="1160"/>
      <c r="AH417" s="854"/>
      <c r="AI417" s="1160"/>
      <c r="AJ417" s="1568"/>
      <c r="AK417" s="1160"/>
      <c r="AL417" s="1160"/>
      <c r="AM417" s="1160"/>
      <c r="AN417" s="1160"/>
      <c r="AO417" s="1160"/>
      <c r="AP417" s="1160"/>
      <c r="AQ417" s="1160"/>
      <c r="AR417" s="1160"/>
      <c r="AS417" s="1160"/>
      <c r="AT417" s="1568"/>
      <c r="AU417" s="1160"/>
      <c r="AV417" s="1160"/>
      <c r="AW417" s="1160"/>
      <c r="AX417" s="1160"/>
      <c r="AY417" s="1160"/>
      <c r="AZ417" s="1160"/>
      <c r="BA417" s="1160"/>
      <c r="BB417" s="1160"/>
      <c r="BC417" s="1160"/>
      <c r="BD417" s="854"/>
      <c r="BE417" s="854"/>
      <c r="BF417" s="854"/>
      <c r="BG417" s="854"/>
      <c r="BH417" s="854"/>
      <c r="BI417" s="854"/>
      <c r="BJ417" s="854"/>
      <c r="BK417" s="854"/>
      <c r="BL417" s="854"/>
      <c r="BM417" s="854"/>
      <c r="BN417" s="1158"/>
      <c r="BO417" s="1158"/>
      <c r="BP417" s="1158"/>
      <c r="BQ417" s="1184"/>
      <c r="BR417" s="1184"/>
      <c r="BS417" s="973" t="s">
        <v>2108</v>
      </c>
      <c r="BT417" s="973"/>
      <c r="BU417" s="973"/>
      <c r="BV417" s="888"/>
      <c r="BW417" s="888"/>
    </row>
    <row r="418" spans="1:75" s="1334" customFormat="1" ht="14.25" hidden="1" customHeight="1" x14ac:dyDescent="0.15">
      <c r="A418" s="1184"/>
      <c r="B418" s="884" t="b" cm="1">
        <f t="array" ref="B418">B417</f>
        <v>0</v>
      </c>
      <c r="C418" s="1184"/>
      <c r="D418" s="1184"/>
      <c r="E418" s="626">
        <v>15</v>
      </c>
      <c r="F418" s="3" t="str" cm="1">
        <f t="array" aca="1" ref="F418" ca="1">OFFSET(E418,-1,1)</f>
        <v>2</v>
      </c>
      <c r="G418" s="1184"/>
      <c r="H418" s="1184"/>
      <c r="I418" s="1184"/>
      <c r="J418" s="1184"/>
      <c r="K418" s="26" t="s">
        <v>967</v>
      </c>
      <c r="L418" s="889"/>
      <c r="M418" s="26"/>
      <c r="N418" s="1184"/>
      <c r="O418" s="1184"/>
      <c r="P418" s="1184"/>
      <c r="Q418" s="1184"/>
      <c r="R418" s="1184"/>
      <c r="S418" s="1184"/>
      <c r="T418" s="388" t="b" cm="1">
        <f t="array" aca="1" ref="T418" ca="1">T417</f>
        <v>1</v>
      </c>
      <c r="U418" s="1184"/>
      <c r="V418" s="1184"/>
      <c r="W418" s="1184"/>
      <c r="X418" s="2032"/>
      <c r="Y418" s="1184"/>
      <c r="Z418" s="2012"/>
      <c r="AA418" s="1184"/>
      <c r="AB418" s="715" t="s">
        <v>968</v>
      </c>
      <c r="AC418" s="716" t="s">
        <v>2109</v>
      </c>
      <c r="AD418" s="717" t="s">
        <v>831</v>
      </c>
      <c r="AE418" s="1160"/>
      <c r="AF418" s="1160"/>
      <c r="AG418" s="1160"/>
      <c r="AH418" s="854"/>
      <c r="AI418" s="1160"/>
      <c r="AJ418" s="1568"/>
      <c r="AK418" s="1160"/>
      <c r="AL418" s="1160"/>
      <c r="AM418" s="1160"/>
      <c r="AN418" s="1160"/>
      <c r="AO418" s="1160"/>
      <c r="AP418" s="1160"/>
      <c r="AQ418" s="1160"/>
      <c r="AR418" s="1160"/>
      <c r="AS418" s="1160"/>
      <c r="AT418" s="1568"/>
      <c r="AU418" s="1160"/>
      <c r="AV418" s="1160"/>
      <c r="AW418" s="1160"/>
      <c r="AX418" s="1160"/>
      <c r="AY418" s="1160"/>
      <c r="AZ418" s="1160"/>
      <c r="BA418" s="1160"/>
      <c r="BB418" s="1160"/>
      <c r="BC418" s="1160"/>
      <c r="BD418" s="854"/>
      <c r="BE418" s="854"/>
      <c r="BF418" s="854"/>
      <c r="BG418" s="854"/>
      <c r="BH418" s="854"/>
      <c r="BI418" s="854"/>
      <c r="BJ418" s="854"/>
      <c r="BK418" s="854"/>
      <c r="BL418" s="854"/>
      <c r="BM418" s="854"/>
      <c r="BN418" s="1158"/>
      <c r="BO418" s="1158"/>
      <c r="BP418" s="1158"/>
      <c r="BQ418" s="1184"/>
      <c r="BR418" s="1184"/>
      <c r="BS418" s="973" t="s">
        <v>2110</v>
      </c>
      <c r="BT418" s="973"/>
      <c r="BU418" s="973"/>
      <c r="BV418" s="888"/>
      <c r="BW418" s="888"/>
    </row>
    <row r="419" spans="1:75" s="1334" customFormat="1" ht="14.25" hidden="1" customHeight="1" x14ac:dyDescent="0.15">
      <c r="A419" s="1184"/>
      <c r="B419" s="884" t="b" cm="1">
        <f t="array" ref="B419">B418</f>
        <v>0</v>
      </c>
      <c r="C419" s="1184"/>
      <c r="D419" s="1184"/>
      <c r="E419" s="626">
        <v>15</v>
      </c>
      <c r="F419" s="3" t="str" cm="1">
        <f t="array" aca="1" ref="F419" ca="1">OFFSET(E419,-1,1)</f>
        <v>2</v>
      </c>
      <c r="G419" s="1184"/>
      <c r="H419" s="1184"/>
      <c r="I419" s="1184"/>
      <c r="J419" s="1184"/>
      <c r="K419" s="26" t="s">
        <v>2111</v>
      </c>
      <c r="L419" s="889"/>
      <c r="M419" s="26"/>
      <c r="N419" s="1184"/>
      <c r="O419" s="1184"/>
      <c r="P419" s="1184"/>
      <c r="Q419" s="1184"/>
      <c r="R419" s="1184"/>
      <c r="S419" s="1184"/>
      <c r="T419" s="388" t="b" cm="1">
        <f t="array" aca="1" ref="T419" ca="1">T418</f>
        <v>1</v>
      </c>
      <c r="U419" s="1184"/>
      <c r="V419" s="1184"/>
      <c r="W419" s="1184"/>
      <c r="X419" s="2032"/>
      <c r="Y419" s="1184"/>
      <c r="Z419" s="2012"/>
      <c r="AA419" s="1184"/>
      <c r="AB419" s="715" t="s">
        <v>2112</v>
      </c>
      <c r="AC419" s="718" t="s">
        <v>2113</v>
      </c>
      <c r="AD419" s="717" t="s">
        <v>490</v>
      </c>
      <c r="AE419" s="1160"/>
      <c r="AF419" s="1160"/>
      <c r="AG419" s="1160"/>
      <c r="AH419" s="854"/>
      <c r="AI419" s="1160"/>
      <c r="AJ419" s="1568"/>
      <c r="AK419" s="1160"/>
      <c r="AL419" s="1160"/>
      <c r="AM419" s="1160"/>
      <c r="AN419" s="1160"/>
      <c r="AO419" s="1160"/>
      <c r="AP419" s="1160"/>
      <c r="AQ419" s="1160"/>
      <c r="AR419" s="1160"/>
      <c r="AS419" s="1160"/>
      <c r="AT419" s="1568"/>
      <c r="AU419" s="1160"/>
      <c r="AV419" s="1160"/>
      <c r="AW419" s="1160"/>
      <c r="AX419" s="1160"/>
      <c r="AY419" s="1160"/>
      <c r="AZ419" s="1160"/>
      <c r="BA419" s="1160"/>
      <c r="BB419" s="1160"/>
      <c r="BC419" s="1160"/>
      <c r="BD419" s="854"/>
      <c r="BE419" s="854"/>
      <c r="BF419" s="854"/>
      <c r="BG419" s="854"/>
      <c r="BH419" s="854"/>
      <c r="BI419" s="854"/>
      <c r="BJ419" s="854"/>
      <c r="BK419" s="854"/>
      <c r="BL419" s="854"/>
      <c r="BM419" s="854"/>
      <c r="BN419" s="1158"/>
      <c r="BO419" s="1158"/>
      <c r="BP419" s="1158"/>
      <c r="BQ419" s="1184"/>
      <c r="BR419" s="1184"/>
      <c r="BS419" s="973" t="s">
        <v>2114</v>
      </c>
      <c r="BT419" s="973"/>
      <c r="BU419" s="973"/>
      <c r="BV419" s="888"/>
      <c r="BW419" s="888"/>
    </row>
    <row r="420" spans="1:75" s="1334" customFormat="1" ht="14.25" hidden="1" customHeight="1" x14ac:dyDescent="0.15">
      <c r="A420" s="1184"/>
      <c r="B420" s="884" t="b" cm="1">
        <f t="array" ref="B420">B419</f>
        <v>0</v>
      </c>
      <c r="C420" s="1184"/>
      <c r="D420" s="1184"/>
      <c r="E420" s="626">
        <v>15</v>
      </c>
      <c r="F420" s="3" t="str" cm="1">
        <f t="array" aca="1" ref="F420" ca="1">OFFSET(E420,-1,1)</f>
        <v>2</v>
      </c>
      <c r="G420" s="1184"/>
      <c r="H420" s="1184"/>
      <c r="I420" s="1184"/>
      <c r="J420" s="1184"/>
      <c r="K420" s="26" t="s">
        <v>970</v>
      </c>
      <c r="L420" s="889"/>
      <c r="M420" s="26"/>
      <c r="N420" s="1184"/>
      <c r="O420" s="1184"/>
      <c r="P420" s="1184"/>
      <c r="Q420" s="1184"/>
      <c r="R420" s="1184"/>
      <c r="S420" s="1184"/>
      <c r="T420" s="388" t="b" cm="1">
        <f t="array" aca="1" ref="T420" ca="1">T419</f>
        <v>1</v>
      </c>
      <c r="U420" s="1184"/>
      <c r="V420" s="1184"/>
      <c r="W420" s="1184"/>
      <c r="X420" s="2032"/>
      <c r="Y420" s="1184"/>
      <c r="Z420" s="2012"/>
      <c r="AA420" s="1184"/>
      <c r="AB420" s="715" t="s">
        <v>971</v>
      </c>
      <c r="AC420" s="716" t="s">
        <v>2115</v>
      </c>
      <c r="AD420" s="717" t="s">
        <v>490</v>
      </c>
      <c r="AE420" s="1160"/>
      <c r="AF420" s="1160"/>
      <c r="AG420" s="1160"/>
      <c r="AH420" s="854"/>
      <c r="AI420" s="1160"/>
      <c r="AJ420" s="1568"/>
      <c r="AK420" s="1160"/>
      <c r="AL420" s="1160"/>
      <c r="AM420" s="1160"/>
      <c r="AN420" s="1160"/>
      <c r="AO420" s="1160"/>
      <c r="AP420" s="1160"/>
      <c r="AQ420" s="1160"/>
      <c r="AR420" s="1160"/>
      <c r="AS420" s="1160"/>
      <c r="AT420" s="1568"/>
      <c r="AU420" s="1160"/>
      <c r="AV420" s="1160"/>
      <c r="AW420" s="1160"/>
      <c r="AX420" s="1160"/>
      <c r="AY420" s="1160"/>
      <c r="AZ420" s="1160"/>
      <c r="BA420" s="1160"/>
      <c r="BB420" s="1160"/>
      <c r="BC420" s="1160"/>
      <c r="BD420" s="854"/>
      <c r="BE420" s="854"/>
      <c r="BF420" s="854"/>
      <c r="BG420" s="854"/>
      <c r="BH420" s="854"/>
      <c r="BI420" s="854"/>
      <c r="BJ420" s="854"/>
      <c r="BK420" s="854"/>
      <c r="BL420" s="854"/>
      <c r="BM420" s="854"/>
      <c r="BN420" s="1158"/>
      <c r="BO420" s="1158"/>
      <c r="BP420" s="1158"/>
      <c r="BQ420" s="1184"/>
      <c r="BR420" s="1184"/>
      <c r="BS420" s="973" t="s">
        <v>2116</v>
      </c>
      <c r="BT420" s="973"/>
      <c r="BU420" s="973"/>
      <c r="BV420" s="888"/>
      <c r="BW420" s="888"/>
    </row>
    <row r="421" spans="1:75" s="1334" customFormat="1" ht="14.25" hidden="1" customHeight="1" x14ac:dyDescent="0.15">
      <c r="A421" s="1184"/>
      <c r="B421" s="884" t="b" cm="1">
        <f t="array" ref="B421">B420</f>
        <v>0</v>
      </c>
      <c r="C421" s="1184"/>
      <c r="D421" s="1184"/>
      <c r="E421" s="626">
        <v>15</v>
      </c>
      <c r="F421" s="3" t="str" cm="1">
        <f t="array" aca="1" ref="F421" ca="1">OFFSET(E421,-1,1)</f>
        <v>2</v>
      </c>
      <c r="G421" s="1184"/>
      <c r="H421" s="1184"/>
      <c r="I421" s="1184"/>
      <c r="J421" s="1184"/>
      <c r="K421" s="26" t="s">
        <v>2117</v>
      </c>
      <c r="L421" s="889"/>
      <c r="M421" s="26"/>
      <c r="N421" s="1184"/>
      <c r="O421" s="1184"/>
      <c r="P421" s="1184"/>
      <c r="Q421" s="1184"/>
      <c r="R421" s="1184"/>
      <c r="S421" s="1184"/>
      <c r="T421" s="388" t="b" cm="1">
        <f t="array" aca="1" ref="T421" ca="1">T420</f>
        <v>1</v>
      </c>
      <c r="U421" s="1184"/>
      <c r="V421" s="1184"/>
      <c r="W421" s="1184"/>
      <c r="X421" s="2032"/>
      <c r="Y421" s="1184"/>
      <c r="Z421" s="2012"/>
      <c r="AA421" s="1184"/>
      <c r="AB421" s="715" t="s">
        <v>2118</v>
      </c>
      <c r="AC421" s="718" t="s">
        <v>2119</v>
      </c>
      <c r="AD421" s="717" t="s">
        <v>490</v>
      </c>
      <c r="AE421" s="1160"/>
      <c r="AF421" s="1160"/>
      <c r="AG421" s="1160"/>
      <c r="AH421" s="854"/>
      <c r="AI421" s="1160"/>
      <c r="AJ421" s="1568"/>
      <c r="AK421" s="1160"/>
      <c r="AL421" s="1160"/>
      <c r="AM421" s="1160"/>
      <c r="AN421" s="1160"/>
      <c r="AO421" s="1160"/>
      <c r="AP421" s="1160"/>
      <c r="AQ421" s="1160"/>
      <c r="AR421" s="1160"/>
      <c r="AS421" s="1160"/>
      <c r="AT421" s="1568"/>
      <c r="AU421" s="1160"/>
      <c r="AV421" s="1160"/>
      <c r="AW421" s="1160"/>
      <c r="AX421" s="1160"/>
      <c r="AY421" s="1160"/>
      <c r="AZ421" s="1160"/>
      <c r="BA421" s="1160"/>
      <c r="BB421" s="1160"/>
      <c r="BC421" s="1160"/>
      <c r="BD421" s="854"/>
      <c r="BE421" s="854"/>
      <c r="BF421" s="854"/>
      <c r="BG421" s="854"/>
      <c r="BH421" s="854"/>
      <c r="BI421" s="854"/>
      <c r="BJ421" s="854"/>
      <c r="BK421" s="854"/>
      <c r="BL421" s="854"/>
      <c r="BM421" s="854"/>
      <c r="BN421" s="1158"/>
      <c r="BO421" s="1158"/>
      <c r="BP421" s="1158"/>
      <c r="BQ421" s="1184"/>
      <c r="BR421" s="1184"/>
      <c r="BS421" s="973" t="s">
        <v>2120</v>
      </c>
      <c r="BT421" s="973"/>
      <c r="BU421" s="973"/>
      <c r="BV421" s="888"/>
      <c r="BW421" s="888"/>
    </row>
    <row r="422" spans="1:75" s="1334" customFormat="1" ht="14.25" hidden="1" customHeight="1" x14ac:dyDescent="0.15">
      <c r="A422" s="1184"/>
      <c r="B422" s="884" t="b" cm="1">
        <f t="array" ref="B422">B421</f>
        <v>0</v>
      </c>
      <c r="C422" s="1184"/>
      <c r="D422" s="1184"/>
      <c r="E422" s="626">
        <v>15</v>
      </c>
      <c r="F422" s="3" t="str" cm="1">
        <f t="array" aca="1" ref="F422" ca="1">OFFSET(E422,-1,1)</f>
        <v>2</v>
      </c>
      <c r="G422" s="1184"/>
      <c r="H422" s="1184"/>
      <c r="I422" s="1184"/>
      <c r="J422" s="1184"/>
      <c r="K422" s="26" t="s">
        <v>2121</v>
      </c>
      <c r="L422" s="889"/>
      <c r="M422" s="26"/>
      <c r="N422" s="1184"/>
      <c r="O422" s="1184"/>
      <c r="P422" s="1184"/>
      <c r="Q422" s="1184"/>
      <c r="R422" s="1184"/>
      <c r="S422" s="1184"/>
      <c r="T422" s="388" t="b" cm="1">
        <f t="array" aca="1" ref="T422" ca="1">T421</f>
        <v>1</v>
      </c>
      <c r="U422" s="1184"/>
      <c r="V422" s="1184"/>
      <c r="W422" s="1184"/>
      <c r="X422" s="2032"/>
      <c r="Y422" s="1184"/>
      <c r="Z422" s="2012"/>
      <c r="AA422" s="1184"/>
      <c r="AB422" s="715" t="s">
        <v>2122</v>
      </c>
      <c r="AC422" s="718" t="s">
        <v>2123</v>
      </c>
      <c r="AD422" s="717" t="s">
        <v>490</v>
      </c>
      <c r="AE422" s="1160"/>
      <c r="AF422" s="1160"/>
      <c r="AG422" s="1160"/>
      <c r="AH422" s="854"/>
      <c r="AI422" s="1160"/>
      <c r="AJ422" s="1568"/>
      <c r="AK422" s="1160"/>
      <c r="AL422" s="1160"/>
      <c r="AM422" s="1160"/>
      <c r="AN422" s="1160"/>
      <c r="AO422" s="1160"/>
      <c r="AP422" s="1160"/>
      <c r="AQ422" s="1160"/>
      <c r="AR422" s="1160"/>
      <c r="AS422" s="1160"/>
      <c r="AT422" s="1568"/>
      <c r="AU422" s="1160"/>
      <c r="AV422" s="1160"/>
      <c r="AW422" s="1160"/>
      <c r="AX422" s="1160"/>
      <c r="AY422" s="1160"/>
      <c r="AZ422" s="1160"/>
      <c r="BA422" s="1160"/>
      <c r="BB422" s="1160"/>
      <c r="BC422" s="1160"/>
      <c r="BD422" s="854"/>
      <c r="BE422" s="854"/>
      <c r="BF422" s="854"/>
      <c r="BG422" s="854"/>
      <c r="BH422" s="854"/>
      <c r="BI422" s="854"/>
      <c r="BJ422" s="854"/>
      <c r="BK422" s="854"/>
      <c r="BL422" s="854"/>
      <c r="BM422" s="854"/>
      <c r="BN422" s="1158"/>
      <c r="BO422" s="1158"/>
      <c r="BP422" s="1158"/>
      <c r="BQ422" s="1184"/>
      <c r="BR422" s="1184"/>
      <c r="BS422" s="973" t="s">
        <v>2124</v>
      </c>
      <c r="BT422" s="973"/>
      <c r="BU422" s="973"/>
      <c r="BV422" s="888"/>
      <c r="BW422" s="888"/>
    </row>
    <row r="423" spans="1:75" s="1607" customFormat="1" ht="20.45" customHeight="1" x14ac:dyDescent="0.15">
      <c r="A423" s="623"/>
      <c r="B423" s="357"/>
      <c r="C423" s="623"/>
      <c r="D423" s="28" t="str">
        <f>IF(B422,"6","7")</f>
        <v>7</v>
      </c>
      <c r="E423" s="630">
        <v>21</v>
      </c>
      <c r="F423" s="3" t="str" cm="1">
        <f t="array" aca="1" ref="F423" ca="1">OFFSET(E423,-1,1)</f>
        <v>2</v>
      </c>
      <c r="G423" s="77" t="s">
        <v>2125</v>
      </c>
      <c r="H423" s="77"/>
      <c r="I423" s="296" t="s">
        <v>2126</v>
      </c>
      <c r="J423" s="623"/>
      <c r="K423" s="296" t="s">
        <v>2126</v>
      </c>
      <c r="L423" s="894"/>
      <c r="M423" s="28"/>
      <c r="N423" s="623"/>
      <c r="O423" s="623"/>
      <c r="P423" s="623"/>
      <c r="Q423" s="623"/>
      <c r="R423" s="623"/>
      <c r="S423" s="623"/>
      <c r="T423" s="388" t="b" cm="1">
        <f t="array" aca="1" ref="T423" ca="1">T422</f>
        <v>1</v>
      </c>
      <c r="U423" s="623"/>
      <c r="V423" s="623"/>
      <c r="W423" s="623"/>
      <c r="X423" s="2032"/>
      <c r="Y423" s="623"/>
      <c r="Z423" s="2012"/>
      <c r="AA423" s="623"/>
      <c r="AB423" s="130" t="str" cm="1">
        <f t="array" ref="AB423">D423</f>
        <v>7</v>
      </c>
      <c r="AC423" s="138" t="s">
        <v>1557</v>
      </c>
      <c r="AD423" s="130" t="s">
        <v>831</v>
      </c>
      <c r="AE423" s="1518">
        <v>0</v>
      </c>
      <c r="AF423" s="1518"/>
      <c r="AG423" s="1518">
        <f>-8809.84-351.30321290515</f>
        <v>-9161.14321290515</v>
      </c>
      <c r="AH423" s="681">
        <f>AG423-AF423</f>
        <v>-9161.14321290515</v>
      </c>
      <c r="AI423" s="1516"/>
      <c r="AJ423" s="1568"/>
      <c r="AK423" s="1153"/>
      <c r="AL423" s="1153"/>
      <c r="AM423" s="1153"/>
      <c r="AN423" s="1153"/>
      <c r="AO423" s="1153"/>
      <c r="AP423" s="1153"/>
      <c r="AQ423" s="1516"/>
      <c r="AR423" s="1516"/>
      <c r="AS423" s="1516"/>
      <c r="AT423" s="1568">
        <f ca="1">AT425+AT426+AT427+AT428+AT429+AT430+AT431+AT434+AT435</f>
        <v>-30668.129999999997</v>
      </c>
      <c r="AU423" s="1153"/>
      <c r="AV423" s="1153"/>
      <c r="AW423" s="1153"/>
      <c r="AX423" s="1153"/>
      <c r="AY423" s="1153"/>
      <c r="AZ423" s="1153"/>
      <c r="BA423" s="1516"/>
      <c r="BB423" s="1516"/>
      <c r="BC423" s="1516"/>
      <c r="BD423" s="681">
        <f>IF(AI423=0,0,(AT423-AI423)/AI423*100)</f>
        <v>0</v>
      </c>
      <c r="BE423" s="681">
        <f t="shared" ref="BE423:BM423" ca="1" si="100">IF(AT423=0,0,(AU423-AT423)/AT423*100)</f>
        <v>-100</v>
      </c>
      <c r="BF423" s="681">
        <f t="shared" si="100"/>
        <v>0</v>
      </c>
      <c r="BG423" s="681">
        <f t="shared" si="100"/>
        <v>0</v>
      </c>
      <c r="BH423" s="681">
        <f t="shared" si="100"/>
        <v>0</v>
      </c>
      <c r="BI423" s="681">
        <f t="shared" si="100"/>
        <v>0</v>
      </c>
      <c r="BJ423" s="681">
        <f t="shared" si="100"/>
        <v>0</v>
      </c>
      <c r="BK423" s="681">
        <f t="shared" si="100"/>
        <v>0</v>
      </c>
      <c r="BL423" s="681">
        <f t="shared" si="100"/>
        <v>0</v>
      </c>
      <c r="BM423" s="681">
        <f t="shared" si="100"/>
        <v>0</v>
      </c>
      <c r="BN423" s="1524"/>
      <c r="BO423" s="1576" t="str">
        <f ca="1">IF(IFERROR(INDEX('Корректировка НВВ'!$K$26:$L$180,MATCH($F423&amp;"11komm",'Корректировка НВВ'!$K$26:$K$180,0),2),"")=0,"",IFERROR(INDEX('Корректировка НВВ'!$K$26:$L$180,MATCH($F423&amp;"11komm",'Корректировка НВВ'!$K$26:$K$180,0),2),""))</f>
        <v/>
      </c>
      <c r="BP423" s="1524"/>
      <c r="BQ423" s="623"/>
      <c r="BR423" s="623"/>
      <c r="BS423" s="979" t="s">
        <v>2127</v>
      </c>
      <c r="BT423" s="979"/>
      <c r="BU423" s="979"/>
      <c r="BV423" s="630"/>
      <c r="BW423" s="630"/>
    </row>
    <row r="424" spans="1:75" s="1334" customFormat="1" ht="14.25" customHeight="1" x14ac:dyDescent="0.15">
      <c r="A424" s="1184"/>
      <c r="B424" s="887"/>
      <c r="C424" s="1184"/>
      <c r="D424" s="26" t="str" cm="1">
        <f t="array" ref="D424">D423</f>
        <v>7</v>
      </c>
      <c r="E424" s="626">
        <v>15</v>
      </c>
      <c r="F424" s="3" t="str" cm="1">
        <f t="array" aca="1" ref="F424" ca="1">OFFSET(E424,-1,1)</f>
        <v>2</v>
      </c>
      <c r="G424" s="1184"/>
      <c r="H424" s="1184"/>
      <c r="I424" s="1184"/>
      <c r="J424" s="1184"/>
      <c r="K424" s="1184"/>
      <c r="L424" s="889"/>
      <c r="M424" s="26"/>
      <c r="N424" s="1184"/>
      <c r="O424" s="1184"/>
      <c r="P424" s="1184"/>
      <c r="Q424" s="1184"/>
      <c r="R424" s="1184"/>
      <c r="S424" s="1184"/>
      <c r="T424" s="388" t="b" cm="1">
        <f t="array" aca="1" ref="T424" ca="1">T423</f>
        <v>1</v>
      </c>
      <c r="U424" s="1184"/>
      <c r="V424" s="1184"/>
      <c r="W424" s="1184"/>
      <c r="X424" s="2032"/>
      <c r="Y424" s="1184"/>
      <c r="Z424" s="2012"/>
      <c r="AA424" s="1184"/>
      <c r="AB424" s="218"/>
      <c r="AC424" s="374" t="s">
        <v>2128</v>
      </c>
      <c r="AD424" s="218"/>
      <c r="AE424" s="857"/>
      <c r="AF424" s="857"/>
      <c r="AG424" s="857"/>
      <c r="AH424" s="854"/>
      <c r="AI424" s="854"/>
      <c r="AJ424" s="854"/>
      <c r="AK424" s="854"/>
      <c r="AL424" s="854"/>
      <c r="AM424" s="854"/>
      <c r="AN424" s="854"/>
      <c r="AO424" s="854"/>
      <c r="AP424" s="854"/>
      <c r="AQ424" s="854"/>
      <c r="AR424" s="854"/>
      <c r="AS424" s="854"/>
      <c r="AT424" s="854"/>
      <c r="AU424" s="854"/>
      <c r="AV424" s="854"/>
      <c r="AW424" s="854"/>
      <c r="AX424" s="854"/>
      <c r="AY424" s="854"/>
      <c r="AZ424" s="854"/>
      <c r="BA424" s="854"/>
      <c r="BB424" s="854"/>
      <c r="BC424" s="854"/>
      <c r="BD424" s="854"/>
      <c r="BE424" s="854"/>
      <c r="BF424" s="854"/>
      <c r="BG424" s="854"/>
      <c r="BH424" s="854"/>
      <c r="BI424" s="854"/>
      <c r="BJ424" s="854"/>
      <c r="BK424" s="854"/>
      <c r="BL424" s="854"/>
      <c r="BM424" s="854"/>
      <c r="BN424" s="449"/>
      <c r="BO424" s="449"/>
      <c r="BP424" s="449"/>
      <c r="BQ424" s="1184"/>
      <c r="BR424" s="1184"/>
      <c r="BS424" s="973"/>
      <c r="BT424" s="973"/>
      <c r="BU424" s="973"/>
      <c r="BV424" s="888"/>
      <c r="BW424" s="888"/>
    </row>
    <row r="425" spans="1:75" s="1334" customFormat="1" ht="23.25" customHeight="1" x14ac:dyDescent="0.15">
      <c r="A425" s="1184"/>
      <c r="B425" s="887"/>
      <c r="C425" s="1184"/>
      <c r="D425" s="26" t="str" cm="1">
        <f t="array" ref="D425">D424</f>
        <v>7</v>
      </c>
      <c r="E425" s="626">
        <v>22.5</v>
      </c>
      <c r="F425" s="3" t="str" cm="1">
        <f t="array" aca="1" ref="F425" ca="1">OFFSET(E425,-1,1)</f>
        <v>2</v>
      </c>
      <c r="G425" s="77" t="s">
        <v>372</v>
      </c>
      <c r="H425" s="1184"/>
      <c r="I425" s="77" t="s">
        <v>547</v>
      </c>
      <c r="J425" s="1184"/>
      <c r="K425" s="77" t="s">
        <v>547</v>
      </c>
      <c r="L425" s="889"/>
      <c r="M425" s="26"/>
      <c r="N425" s="1184"/>
      <c r="O425" s="1184"/>
      <c r="P425" s="1184"/>
      <c r="Q425" s="1184"/>
      <c r="R425" s="1184"/>
      <c r="S425" s="1184"/>
      <c r="T425" s="388" t="b" cm="1">
        <f t="array" aca="1" ref="T425" ca="1">T424</f>
        <v>1</v>
      </c>
      <c r="U425" s="1184"/>
      <c r="V425" s="1184"/>
      <c r="W425" s="1184"/>
      <c r="X425" s="2032"/>
      <c r="Y425" s="1184"/>
      <c r="Z425" s="2012"/>
      <c r="AA425" s="1184"/>
      <c r="AB425" s="218" t="str">
        <f>D425&amp;".1"</f>
        <v>7.1</v>
      </c>
      <c r="AC425" s="682" t="s">
        <v>2129</v>
      </c>
      <c r="AD425" s="218" t="s">
        <v>831</v>
      </c>
      <c r="AE425" s="1567">
        <v>0</v>
      </c>
      <c r="AF425" s="1567"/>
      <c r="AG425" s="1567"/>
      <c r="AH425" s="855">
        <f t="shared" ref="AH425:AH438" si="101">AG425-AF425</f>
        <v>0</v>
      </c>
      <c r="AI425" s="1568"/>
      <c r="AJ425" s="1568">
        <f ca="1">SUMIFS('Корректировка НВВ'!$AF$25:$AF$180,'Корректировка НВВ'!$F$25:$F$180,$F425,'Корректировка НВВ'!$I$25:$I$180,$G425)</f>
        <v>0</v>
      </c>
      <c r="AK425" s="1160"/>
      <c r="AL425" s="1160"/>
      <c r="AM425" s="1160"/>
      <c r="AN425" s="1160"/>
      <c r="AO425" s="1160"/>
      <c r="AP425" s="1160"/>
      <c r="AQ425" s="1568"/>
      <c r="AR425" s="1568"/>
      <c r="AS425" s="1568"/>
      <c r="AT425" s="1568">
        <f ca="1">SUMIFS('Корректировка НВВ'!$AG$25:$AG$180,'Корректировка НВВ'!$F$25:$F$180,$F425,'Корректировка НВВ'!$I$25:$I$180,$G425)</f>
        <v>0</v>
      </c>
      <c r="AU425" s="1160"/>
      <c r="AV425" s="1160"/>
      <c r="AW425" s="1160"/>
      <c r="AX425" s="1160"/>
      <c r="AY425" s="1160"/>
      <c r="AZ425" s="1160"/>
      <c r="BA425" s="1568"/>
      <c r="BB425" s="1568"/>
      <c r="BC425" s="1568"/>
      <c r="BD425" s="854"/>
      <c r="BE425" s="854"/>
      <c r="BF425" s="854"/>
      <c r="BG425" s="854"/>
      <c r="BH425" s="854"/>
      <c r="BI425" s="854"/>
      <c r="BJ425" s="854"/>
      <c r="BK425" s="854"/>
      <c r="BL425" s="854"/>
      <c r="BM425" s="854"/>
      <c r="BN425" s="1581"/>
      <c r="BO425" s="1576" t="str">
        <f ca="1">IF(IFERROR(INDEX('Корректировка НВВ'!$K$26:$L$180,MATCH($F425&amp;"1komm",'Корректировка НВВ'!$K$26:$K$180,0),2),"")=0,"",IFERROR(INDEX('Корректировка НВВ'!$K$26:$L$180,MATCH($F425&amp;"1komm",'Корректировка НВВ'!$K$26:$K$180,0),2),""))</f>
        <v/>
      </c>
      <c r="BP425" s="1581"/>
      <c r="BQ425" s="1184"/>
      <c r="BR425" s="1184"/>
      <c r="BS425" s="973" t="s">
        <v>2130</v>
      </c>
      <c r="BT425" s="973"/>
      <c r="BU425" s="973"/>
      <c r="BV425" s="888"/>
      <c r="BW425" s="888"/>
    </row>
    <row r="426" spans="1:75" s="1334" customFormat="1" ht="98.65" customHeight="1" x14ac:dyDescent="0.15">
      <c r="A426" s="1184"/>
      <c r="B426" s="887"/>
      <c r="C426" s="1184"/>
      <c r="D426" s="26" t="str" cm="1">
        <f t="array" ref="D426">D425</f>
        <v>7</v>
      </c>
      <c r="E426" s="626">
        <v>101.25</v>
      </c>
      <c r="F426" s="3" t="str" cm="1">
        <f t="array" aca="1" ref="F426" ca="1">OFFSET(E426,-1,1)</f>
        <v>2</v>
      </c>
      <c r="G426" s="77" t="s">
        <v>2131</v>
      </c>
      <c r="H426" s="1184"/>
      <c r="I426" s="77" t="s">
        <v>591</v>
      </c>
      <c r="J426" s="1184"/>
      <c r="K426" s="77" t="s">
        <v>591</v>
      </c>
      <c r="L426" s="889"/>
      <c r="M426" s="26"/>
      <c r="N426" s="1184"/>
      <c r="O426" s="1184"/>
      <c r="P426" s="1184"/>
      <c r="Q426" s="1184"/>
      <c r="R426" s="1184"/>
      <c r="S426" s="1184"/>
      <c r="T426" s="388" t="b" cm="1">
        <f t="array" aca="1" ref="T426" ca="1">T425</f>
        <v>1</v>
      </c>
      <c r="U426" s="1184"/>
      <c r="V426" s="1184"/>
      <c r="W426" s="1184"/>
      <c r="X426" s="2032"/>
      <c r="Y426" s="1184"/>
      <c r="Z426" s="2012"/>
      <c r="AA426" s="1184"/>
      <c r="AB426" s="218" t="str">
        <f>D426&amp;".2"</f>
        <v>7.2</v>
      </c>
      <c r="AC426" s="682" t="s">
        <v>2132</v>
      </c>
      <c r="AD426" s="218" t="s">
        <v>831</v>
      </c>
      <c r="AE426" s="1567">
        <v>0</v>
      </c>
      <c r="AF426" s="1567"/>
      <c r="AG426" s="1567"/>
      <c r="AH426" s="855">
        <f t="shared" si="101"/>
        <v>0</v>
      </c>
      <c r="AI426" s="1568"/>
      <c r="AJ426" s="1568">
        <f ca="1">SUMIFS('Корректировка НВВ'!$AF$25:$AF$180,'Корректировка НВВ'!$F$25:$F$180,$F426,'Корректировка НВВ'!$I$25:$I$180,$G426)</f>
        <v>0</v>
      </c>
      <c r="AK426" s="1160"/>
      <c r="AL426" s="1160"/>
      <c r="AM426" s="1160"/>
      <c r="AN426" s="1160"/>
      <c r="AO426" s="1160"/>
      <c r="AP426" s="1160"/>
      <c r="AQ426" s="1568"/>
      <c r="AR426" s="1568"/>
      <c r="AS426" s="1568"/>
      <c r="AT426" s="1568">
        <v>-3498.7</v>
      </c>
      <c r="AU426" s="1160"/>
      <c r="AV426" s="1160"/>
      <c r="AW426" s="1160"/>
      <c r="AX426" s="1160"/>
      <c r="AY426" s="1160"/>
      <c r="AZ426" s="1160"/>
      <c r="BA426" s="1568"/>
      <c r="BB426" s="1568"/>
      <c r="BC426" s="1568"/>
      <c r="BD426" s="854"/>
      <c r="BE426" s="854"/>
      <c r="BF426" s="854"/>
      <c r="BG426" s="854"/>
      <c r="BH426" s="854"/>
      <c r="BI426" s="854"/>
      <c r="BJ426" s="854"/>
      <c r="BK426" s="854"/>
      <c r="BL426" s="854"/>
      <c r="BM426" s="854"/>
      <c r="BN426" s="1581"/>
      <c r="BO426" s="1576" t="s">
        <v>2214</v>
      </c>
      <c r="BP426" s="1581"/>
      <c r="BQ426" s="1184"/>
      <c r="BR426" s="1184"/>
      <c r="BS426" s="973" t="s">
        <v>2133</v>
      </c>
      <c r="BT426" s="973"/>
      <c r="BU426" s="973"/>
      <c r="BV426" s="888"/>
      <c r="BW426" s="888"/>
    </row>
    <row r="427" spans="1:75" s="1334" customFormat="1" ht="43.9" customHeight="1" x14ac:dyDescent="0.15">
      <c r="A427" s="1184"/>
      <c r="B427" s="887"/>
      <c r="C427" s="1184"/>
      <c r="D427" s="26" t="str" cm="1">
        <f t="array" ref="D427">D426</f>
        <v>7</v>
      </c>
      <c r="E427" s="626">
        <v>45</v>
      </c>
      <c r="F427" s="3" t="str" cm="1">
        <f t="array" aca="1" ref="F427" ca="1">OFFSET(E427,-1,1)</f>
        <v>2</v>
      </c>
      <c r="G427" s="1184"/>
      <c r="H427" s="1184"/>
      <c r="I427" s="77" t="s">
        <v>606</v>
      </c>
      <c r="J427" s="1184"/>
      <c r="K427" s="77" t="s">
        <v>606</v>
      </c>
      <c r="L427" s="889"/>
      <c r="M427" s="26"/>
      <c r="N427" s="1184"/>
      <c r="O427" s="1184"/>
      <c r="P427" s="1184"/>
      <c r="Q427" s="1184"/>
      <c r="R427" s="1184"/>
      <c r="S427" s="1184"/>
      <c r="T427" s="388" t="b" cm="1">
        <f t="array" aca="1" ref="T427" ca="1">T426</f>
        <v>1</v>
      </c>
      <c r="U427" s="1184"/>
      <c r="V427" s="1184"/>
      <c r="W427" s="1184"/>
      <c r="X427" s="2032"/>
      <c r="Y427" s="1184"/>
      <c r="Z427" s="2012"/>
      <c r="AA427" s="1184"/>
      <c r="AB427" s="218" t="str">
        <f>D427&amp;".3"</f>
        <v>7.3</v>
      </c>
      <c r="AC427" s="682" t="s">
        <v>2134</v>
      </c>
      <c r="AD427" s="218" t="s">
        <v>831</v>
      </c>
      <c r="AE427" s="1567">
        <v>0</v>
      </c>
      <c r="AF427" s="1567"/>
      <c r="AG427" s="1567">
        <f>-8389.99+-419.85+-351.30321290515</f>
        <v>-9161.14321290515</v>
      </c>
      <c r="AH427" s="855">
        <f t="shared" si="101"/>
        <v>-9161.14321290515</v>
      </c>
      <c r="AI427" s="1568"/>
      <c r="AJ427" s="1568"/>
      <c r="AK427" s="1160"/>
      <c r="AL427" s="1160"/>
      <c r="AM427" s="1160"/>
      <c r="AN427" s="1160"/>
      <c r="AO427" s="1160"/>
      <c r="AP427" s="1160"/>
      <c r="AQ427" s="1568"/>
      <c r="AR427" s="1568"/>
      <c r="AS427" s="1568"/>
      <c r="AT427" s="1568">
        <v>-1272.06</v>
      </c>
      <c r="AU427" s="1160"/>
      <c r="AV427" s="1160"/>
      <c r="AW427" s="1160"/>
      <c r="AX427" s="1160"/>
      <c r="AY427" s="1160"/>
      <c r="AZ427" s="1160"/>
      <c r="BA427" s="1568"/>
      <c r="BB427" s="1568"/>
      <c r="BC427" s="1568"/>
      <c r="BD427" s="854"/>
      <c r="BE427" s="854"/>
      <c r="BF427" s="854"/>
      <c r="BG427" s="854"/>
      <c r="BH427" s="854"/>
      <c r="BI427" s="854"/>
      <c r="BJ427" s="854"/>
      <c r="BK427" s="854"/>
      <c r="BL427" s="854"/>
      <c r="BM427" s="854"/>
      <c r="BN427" s="1581"/>
      <c r="BO427" s="1576" t="s">
        <v>2215</v>
      </c>
      <c r="BP427" s="1581"/>
      <c r="BQ427" s="1184"/>
      <c r="BR427" s="1184"/>
      <c r="BS427" s="973" t="s">
        <v>2135</v>
      </c>
      <c r="BT427" s="973"/>
      <c r="BU427" s="973"/>
      <c r="BV427" s="888"/>
      <c r="BW427" s="888"/>
    </row>
    <row r="428" spans="1:75" s="1334" customFormat="1" ht="87.75" customHeight="1" x14ac:dyDescent="0.25">
      <c r="A428" s="1184"/>
      <c r="B428" s="367" t="b">
        <f>S315="Водоотведение"</f>
        <v>1</v>
      </c>
      <c r="C428" s="1184"/>
      <c r="D428" s="26" t="str" cm="1">
        <f t="array" ref="D428">D427</f>
        <v>7</v>
      </c>
      <c r="E428" s="626">
        <v>90</v>
      </c>
      <c r="F428" s="3" t="str" cm="1">
        <f t="array" aca="1" ref="F428" ca="1">OFFSET(E428,-1,1)</f>
        <v>2</v>
      </c>
      <c r="G428" s="77" t="s">
        <v>2136</v>
      </c>
      <c r="H428" s="2"/>
      <c r="I428" s="77" t="s">
        <v>772</v>
      </c>
      <c r="J428" s="1184"/>
      <c r="K428" s="77" t="s">
        <v>772</v>
      </c>
      <c r="L428" s="889" t="s">
        <v>770</v>
      </c>
      <c r="M428" s="26"/>
      <c r="N428" s="1184"/>
      <c r="O428" s="1184"/>
      <c r="P428" s="1184"/>
      <c r="Q428" s="1184"/>
      <c r="R428" s="1184"/>
      <c r="S428" s="1184"/>
      <c r="T428" s="388" t="b" cm="1">
        <f t="array" aca="1" ref="T428" ca="1">T427</f>
        <v>1</v>
      </c>
      <c r="U428" s="1184"/>
      <c r="V428" s="1184"/>
      <c r="W428" s="1184"/>
      <c r="X428" s="2032"/>
      <c r="Y428" s="1184"/>
      <c r="Z428" s="2012"/>
      <c r="AA428" s="1184"/>
      <c r="AB428" s="218" t="str">
        <f>D428&amp;".4"</f>
        <v>7.4</v>
      </c>
      <c r="AC428" s="682" t="s">
        <v>1799</v>
      </c>
      <c r="AD428" s="686" t="s">
        <v>831</v>
      </c>
      <c r="AE428" s="1567">
        <v>0</v>
      </c>
      <c r="AF428" s="1567"/>
      <c r="AG428" s="1567"/>
      <c r="AH428" s="855">
        <f t="shared" si="101"/>
        <v>0</v>
      </c>
      <c r="AI428" s="1568"/>
      <c r="AJ428" s="1568">
        <f ca="1">SUMIFS('Корректировка НВВ'!$AF$25:$AF$180,'Корректировка НВВ'!$F$25:$F$180,$F428,'Корректировка НВВ'!$I$25:$I$180,$G428)</f>
        <v>0</v>
      </c>
      <c r="AK428" s="1160"/>
      <c r="AL428" s="1160"/>
      <c r="AM428" s="1160"/>
      <c r="AN428" s="1160"/>
      <c r="AO428" s="1160"/>
      <c r="AP428" s="1160"/>
      <c r="AQ428" s="1568"/>
      <c r="AR428" s="1568"/>
      <c r="AS428" s="1568"/>
      <c r="AT428" s="1568"/>
      <c r="AU428" s="1160"/>
      <c r="AV428" s="1160"/>
      <c r="AW428" s="1160"/>
      <c r="AX428" s="1160"/>
      <c r="AY428" s="1160"/>
      <c r="AZ428" s="1160"/>
      <c r="BA428" s="1568"/>
      <c r="BB428" s="1568"/>
      <c r="BC428" s="1568"/>
      <c r="BD428" s="854"/>
      <c r="BE428" s="854"/>
      <c r="BF428" s="854"/>
      <c r="BG428" s="854"/>
      <c r="BH428" s="854"/>
      <c r="BI428" s="854"/>
      <c r="BJ428" s="854"/>
      <c r="BK428" s="854"/>
      <c r="BL428" s="854"/>
      <c r="BM428" s="854"/>
      <c r="BN428" s="1581"/>
      <c r="BO428" s="1576" t="str">
        <f ca="1">IF(IFERROR(INDEX('Корректировка НВВ'!$K$26:$L$180,MATCH($F428&amp;"3komm",'Корректировка НВВ'!$K$26:$K$180,0),2),"")=0,"",IFERROR(INDEX('Корректировка НВВ'!$K$26:$L$180,MATCH($F428&amp;"3komm",'Корректировка НВВ'!$K$26:$K$180,0),2),""))</f>
        <v/>
      </c>
      <c r="BP428" s="1581"/>
      <c r="BQ428" s="1184"/>
      <c r="BR428" s="1184"/>
      <c r="BS428" s="973" t="s">
        <v>1331</v>
      </c>
      <c r="BT428" s="973"/>
      <c r="BU428" s="973"/>
      <c r="BV428" s="888"/>
      <c r="BW428" s="888"/>
    </row>
    <row r="429" spans="1:75" s="1334" customFormat="1" ht="54.75" customHeight="1" x14ac:dyDescent="0.25">
      <c r="A429" s="1184"/>
      <c r="B429" s="367" t="b" cm="1">
        <f t="array" ref="B429">B428</f>
        <v>1</v>
      </c>
      <c r="C429" s="1184"/>
      <c r="D429" s="26" t="str" cm="1">
        <f t="array" ref="D429">D428</f>
        <v>7</v>
      </c>
      <c r="E429" s="626">
        <v>56.25</v>
      </c>
      <c r="F429" s="3" t="str" cm="1">
        <f t="array" aca="1" ref="F429" ca="1">OFFSET(E429,-1,1)</f>
        <v>2</v>
      </c>
      <c r="G429" s="77" t="s">
        <v>2137</v>
      </c>
      <c r="H429" s="2"/>
      <c r="I429" s="77" t="s">
        <v>809</v>
      </c>
      <c r="J429" s="1184"/>
      <c r="K429" s="77" t="s">
        <v>809</v>
      </c>
      <c r="L429" s="889" t="s">
        <v>772</v>
      </c>
      <c r="M429" s="26"/>
      <c r="N429" s="1184"/>
      <c r="O429" s="1184"/>
      <c r="P429" s="1184"/>
      <c r="Q429" s="1184"/>
      <c r="R429" s="1184"/>
      <c r="S429" s="1184"/>
      <c r="T429" s="388" t="b" cm="1">
        <f t="array" aca="1" ref="T429" ca="1">T428</f>
        <v>1</v>
      </c>
      <c r="U429" s="1184"/>
      <c r="V429" s="1184"/>
      <c r="W429" s="1184"/>
      <c r="X429" s="2032"/>
      <c r="Y429" s="1184"/>
      <c r="Z429" s="2012"/>
      <c r="AA429" s="1184"/>
      <c r="AB429" s="218" t="str">
        <f>D429&amp;".5"</f>
        <v>7.5</v>
      </c>
      <c r="AC429" s="682" t="s">
        <v>1800</v>
      </c>
      <c r="AD429" s="686" t="s">
        <v>831</v>
      </c>
      <c r="AE429" s="1567">
        <v>0</v>
      </c>
      <c r="AF429" s="1567"/>
      <c r="AG429" s="1567"/>
      <c r="AH429" s="855">
        <f t="shared" si="101"/>
        <v>0</v>
      </c>
      <c r="AI429" s="1568"/>
      <c r="AJ429" s="1568">
        <f ca="1">SUMIFS('Корректировка НВВ'!$AF$25:$AF$180,'Корректировка НВВ'!$F$25:$F$180,$F429,'Корректировка НВВ'!$I$25:$I$180,$G429)</f>
        <v>0</v>
      </c>
      <c r="AK429" s="1160"/>
      <c r="AL429" s="1160"/>
      <c r="AM429" s="1160"/>
      <c r="AN429" s="1160"/>
      <c r="AO429" s="1160"/>
      <c r="AP429" s="1160"/>
      <c r="AQ429" s="1568"/>
      <c r="AR429" s="1568"/>
      <c r="AS429" s="1568"/>
      <c r="AT429" s="1568"/>
      <c r="AU429" s="1160"/>
      <c r="AV429" s="1160"/>
      <c r="AW429" s="1160"/>
      <c r="AX429" s="1160"/>
      <c r="AY429" s="1160"/>
      <c r="AZ429" s="1160"/>
      <c r="BA429" s="1568"/>
      <c r="BB429" s="1568"/>
      <c r="BC429" s="1568"/>
      <c r="BD429" s="854"/>
      <c r="BE429" s="854"/>
      <c r="BF429" s="854"/>
      <c r="BG429" s="854"/>
      <c r="BH429" s="854"/>
      <c r="BI429" s="854"/>
      <c r="BJ429" s="854"/>
      <c r="BK429" s="854"/>
      <c r="BL429" s="854"/>
      <c r="BM429" s="854"/>
      <c r="BN429" s="1581"/>
      <c r="BO429" s="1576" t="str">
        <f ca="1">IF(IFERROR(INDEX('Корректировка НВВ'!$K$26:$L$180,MATCH($F429&amp;"4komm",'Корректировка НВВ'!$K$26:$K$180,0),2),"")=0,"",IFERROR(INDEX('Корректировка НВВ'!$K$26:$L$180,MATCH($F429&amp;"4komm",'Корректировка НВВ'!$K$26:$K$180,0),2),""))</f>
        <v/>
      </c>
      <c r="BP429" s="1581"/>
      <c r="BQ429" s="1184"/>
      <c r="BR429" s="1184"/>
      <c r="BS429" s="973" t="s">
        <v>1335</v>
      </c>
      <c r="BT429" s="973"/>
      <c r="BU429" s="973"/>
      <c r="BV429" s="888"/>
      <c r="BW429" s="888"/>
    </row>
    <row r="430" spans="1:75" s="1334" customFormat="1" ht="14.65" customHeight="1" x14ac:dyDescent="0.15">
      <c r="A430" s="1184"/>
      <c r="B430" s="887"/>
      <c r="C430" s="1184"/>
      <c r="D430" s="26" t="str" cm="1">
        <f t="array" ref="D430">D429</f>
        <v>7</v>
      </c>
      <c r="E430" s="626">
        <v>15</v>
      </c>
      <c r="F430" s="3" t="str" cm="1">
        <f t="array" aca="1" ref="F430" ca="1">OFFSET(E430,-1,1)</f>
        <v>2</v>
      </c>
      <c r="G430" s="77" t="s">
        <v>2138</v>
      </c>
      <c r="H430" s="1184"/>
      <c r="I430" s="77" t="s">
        <v>810</v>
      </c>
      <c r="J430" s="1184"/>
      <c r="K430" s="77" t="s">
        <v>810</v>
      </c>
      <c r="L430" s="889" t="s">
        <v>809</v>
      </c>
      <c r="M430" s="26"/>
      <c r="N430" s="1184"/>
      <c r="O430" s="1184"/>
      <c r="P430" s="1184"/>
      <c r="Q430" s="1184"/>
      <c r="R430" s="1184"/>
      <c r="S430" s="1184"/>
      <c r="T430" s="388" t="b" cm="1">
        <f t="array" aca="1" ref="T430" ca="1">T429</f>
        <v>1</v>
      </c>
      <c r="U430" s="1184"/>
      <c r="V430" s="1184"/>
      <c r="W430" s="1184"/>
      <c r="X430" s="2032"/>
      <c r="Y430" s="1184"/>
      <c r="Z430" s="2012"/>
      <c r="AA430" s="1184"/>
      <c r="AB430" s="218" t="str">
        <f>IF(B429,D430&amp;".6",D430&amp;".4")</f>
        <v>7.6</v>
      </c>
      <c r="AC430" s="682" t="s">
        <v>1550</v>
      </c>
      <c r="AD430" s="218" t="s">
        <v>831</v>
      </c>
      <c r="AE430" s="1567">
        <v>0</v>
      </c>
      <c r="AF430" s="1567"/>
      <c r="AG430" s="1567"/>
      <c r="AH430" s="855">
        <f t="shared" si="101"/>
        <v>0</v>
      </c>
      <c r="AI430" s="1568"/>
      <c r="AJ430" s="1568">
        <f ca="1">SUMIFS('Корректировка НВВ'!$AF$25:$AF$180,'Корректировка НВВ'!$F$25:$F$180,$F430,'Корректировка НВВ'!$I$25:$I$180,$G430)</f>
        <v>0</v>
      </c>
      <c r="AK430" s="1160"/>
      <c r="AL430" s="1160"/>
      <c r="AM430" s="1160"/>
      <c r="AN430" s="1160"/>
      <c r="AO430" s="1160"/>
      <c r="AP430" s="1160"/>
      <c r="AQ430" s="1568"/>
      <c r="AR430" s="1568"/>
      <c r="AS430" s="1568"/>
      <c r="AT430" s="1568">
        <f ca="1">SUMIFS('Корректировка НВВ'!$AG$25:$AG$180,'Корректировка НВВ'!$F$25:$F$180,$F430,'Корректировка НВВ'!$I$25:$I$180,$G430)</f>
        <v>0</v>
      </c>
      <c r="AU430" s="1160"/>
      <c r="AV430" s="1160"/>
      <c r="AW430" s="1160"/>
      <c r="AX430" s="1160"/>
      <c r="AY430" s="1160"/>
      <c r="AZ430" s="1160"/>
      <c r="BA430" s="1568"/>
      <c r="BB430" s="1568"/>
      <c r="BC430" s="1568"/>
      <c r="BD430" s="854"/>
      <c r="BE430" s="854"/>
      <c r="BF430" s="854"/>
      <c r="BG430" s="854"/>
      <c r="BH430" s="854"/>
      <c r="BI430" s="854"/>
      <c r="BJ430" s="854"/>
      <c r="BK430" s="854"/>
      <c r="BL430" s="854"/>
      <c r="BM430" s="854"/>
      <c r="BN430" s="1581"/>
      <c r="BO430" s="1576" t="str">
        <f ca="1">IF(IFERROR(INDEX('Корректировка НВВ'!$K$26:$L$180,MATCH($F430&amp;"5komm",'Корректировка НВВ'!$K$26:$K$180,0),2),"")=0,"",IFERROR(INDEX('Корректировка НВВ'!$K$26:$L$180,MATCH($F430&amp;"5komm",'Корректировка НВВ'!$K$26:$K$180,0),2),""))</f>
        <v/>
      </c>
      <c r="BP430" s="1581"/>
      <c r="BQ430" s="1184"/>
      <c r="BR430" s="1184"/>
      <c r="BS430" s="973" t="s">
        <v>2139</v>
      </c>
      <c r="BT430" s="973"/>
      <c r="BU430" s="973"/>
      <c r="BV430" s="888"/>
      <c r="BW430" s="888"/>
    </row>
    <row r="431" spans="1:75" s="1334" customFormat="1" ht="14.25" customHeight="1" x14ac:dyDescent="0.15">
      <c r="A431" s="1184"/>
      <c r="B431" s="887"/>
      <c r="C431" s="1184"/>
      <c r="D431" s="26" t="str" cm="1">
        <f t="array" ref="D431">D430</f>
        <v>7</v>
      </c>
      <c r="E431" s="626">
        <v>15</v>
      </c>
      <c r="F431" s="3" t="str" cm="1">
        <f t="array" aca="1" ref="F431" ca="1">OFFSET(E431,-1,1)</f>
        <v>2</v>
      </c>
      <c r="G431" s="77" t="s">
        <v>2140</v>
      </c>
      <c r="H431" s="1184"/>
      <c r="I431" s="77" t="s">
        <v>1809</v>
      </c>
      <c r="J431" s="1184"/>
      <c r="K431" s="77" t="s">
        <v>1809</v>
      </c>
      <c r="L431" s="889" t="s">
        <v>810</v>
      </c>
      <c r="M431" s="26"/>
      <c r="N431" s="1184"/>
      <c r="O431" s="1184"/>
      <c r="P431" s="1184"/>
      <c r="Q431" s="1184"/>
      <c r="R431" s="1184"/>
      <c r="S431" s="1184"/>
      <c r="T431" s="388" t="b" cm="1">
        <f t="array" aca="1" ref="T431" ca="1">T430</f>
        <v>1</v>
      </c>
      <c r="U431" s="1184"/>
      <c r="V431" s="1184"/>
      <c r="W431" s="1184"/>
      <c r="X431" s="2032"/>
      <c r="Y431" s="1184"/>
      <c r="Z431" s="2012"/>
      <c r="AA431" s="1184"/>
      <c r="AB431" s="218" t="str">
        <f>IF(B429,D430&amp;".7",D430&amp;".5")</f>
        <v>7.7</v>
      </c>
      <c r="AC431" s="682" t="s">
        <v>1512</v>
      </c>
      <c r="AD431" s="218" t="s">
        <v>831</v>
      </c>
      <c r="AE431" s="1567">
        <f>AE432+AE433</f>
        <v>0</v>
      </c>
      <c r="AF431" s="1567">
        <f>AF432+AF433</f>
        <v>0</v>
      </c>
      <c r="AG431" s="1567">
        <f>AG432+AG433</f>
        <v>0</v>
      </c>
      <c r="AH431" s="855">
        <f t="shared" si="101"/>
        <v>0</v>
      </c>
      <c r="AI431" s="1568">
        <f>AI432+AI433</f>
        <v>0</v>
      </c>
      <c r="AJ431" s="1568">
        <f ca="1">SUMIFS('Корректировка НВВ'!$AF$25:$AF$180,'Корректировка НВВ'!$F$25:$F$180,$F431,'Корректировка НВВ'!$I$25:$I$180,$G431)</f>
        <v>0</v>
      </c>
      <c r="AK431" s="1160">
        <f t="shared" ref="AK431:BC431" si="102">AK432+AK433</f>
        <v>0</v>
      </c>
      <c r="AL431" s="1160">
        <f t="shared" si="102"/>
        <v>0</v>
      </c>
      <c r="AM431" s="1160">
        <f t="shared" si="102"/>
        <v>0</v>
      </c>
      <c r="AN431" s="1160">
        <f t="shared" si="102"/>
        <v>0</v>
      </c>
      <c r="AO431" s="1160">
        <f t="shared" si="102"/>
        <v>0</v>
      </c>
      <c r="AP431" s="1160">
        <f t="shared" si="102"/>
        <v>0</v>
      </c>
      <c r="AQ431" s="1568">
        <f t="shared" si="102"/>
        <v>0</v>
      </c>
      <c r="AR431" s="1568">
        <f t="shared" si="102"/>
        <v>0</v>
      </c>
      <c r="AS431" s="1568">
        <f t="shared" si="102"/>
        <v>0</v>
      </c>
      <c r="AT431" s="1568">
        <f t="shared" ca="1" si="102"/>
        <v>-25897.37</v>
      </c>
      <c r="AU431" s="1160">
        <f t="shared" si="102"/>
        <v>0</v>
      </c>
      <c r="AV431" s="1160">
        <f t="shared" si="102"/>
        <v>0</v>
      </c>
      <c r="AW431" s="1160">
        <f t="shared" si="102"/>
        <v>0</v>
      </c>
      <c r="AX431" s="1160">
        <f t="shared" si="102"/>
        <v>0</v>
      </c>
      <c r="AY431" s="1160">
        <f t="shared" si="102"/>
        <v>0</v>
      </c>
      <c r="AZ431" s="1160">
        <f t="shared" si="102"/>
        <v>0</v>
      </c>
      <c r="BA431" s="1568">
        <f t="shared" si="102"/>
        <v>0</v>
      </c>
      <c r="BB431" s="1568">
        <f t="shared" si="102"/>
        <v>0</v>
      </c>
      <c r="BC431" s="1568">
        <f t="shared" si="102"/>
        <v>0</v>
      </c>
      <c r="BD431" s="855">
        <f>IF(AI431=0,0,(AT431-AI431)/AI431*100)</f>
        <v>0</v>
      </c>
      <c r="BE431" s="855">
        <f t="shared" ref="BE431:BM431" ca="1" si="103">IF(AT431=0,0,(AU431-AT431)/AT431*100)</f>
        <v>-100</v>
      </c>
      <c r="BF431" s="855">
        <f t="shared" si="103"/>
        <v>0</v>
      </c>
      <c r="BG431" s="855">
        <f t="shared" si="103"/>
        <v>0</v>
      </c>
      <c r="BH431" s="855">
        <f t="shared" si="103"/>
        <v>0</v>
      </c>
      <c r="BI431" s="855">
        <f t="shared" si="103"/>
        <v>0</v>
      </c>
      <c r="BJ431" s="855">
        <f t="shared" si="103"/>
        <v>0</v>
      </c>
      <c r="BK431" s="855">
        <f t="shared" si="103"/>
        <v>0</v>
      </c>
      <c r="BL431" s="855">
        <f t="shared" si="103"/>
        <v>0</v>
      </c>
      <c r="BM431" s="855">
        <f t="shared" si="103"/>
        <v>0</v>
      </c>
      <c r="BN431" s="1581"/>
      <c r="BO431" s="1576" t="str">
        <f ca="1">IF(IFERROR(INDEX('Корректировка НВВ'!$K$26:$L$180,MATCH($F431&amp;"6komm",'Корректировка НВВ'!$K$26:$K$180,0),2),"")=0,"",IFERROR(INDEX('Корректировка НВВ'!$K$26:$L$180,MATCH($F431&amp;"6komm",'Корректировка НВВ'!$K$26:$K$180,0),2),""))</f>
        <v/>
      </c>
      <c r="BP431" s="1581"/>
      <c r="BQ431" s="1184"/>
      <c r="BR431" s="1184"/>
      <c r="BS431" s="973" t="s">
        <v>1514</v>
      </c>
      <c r="BT431" s="973"/>
      <c r="BU431" s="973"/>
      <c r="BV431" s="888"/>
      <c r="BW431" s="888"/>
    </row>
    <row r="432" spans="1:75" s="1334" customFormat="1" ht="21.95" customHeight="1" x14ac:dyDescent="0.15">
      <c r="A432" s="1184"/>
      <c r="B432" s="887"/>
      <c r="C432" s="1184"/>
      <c r="D432" s="26" t="str" cm="1">
        <f t="array" ref="D432">D431</f>
        <v>7</v>
      </c>
      <c r="E432" s="626">
        <v>22.5</v>
      </c>
      <c r="F432" s="3" t="str" cm="1">
        <f t="array" aca="1" ref="F432" ca="1">OFFSET(E432,-1,1)</f>
        <v>2</v>
      </c>
      <c r="G432" s="77" t="s">
        <v>2141</v>
      </c>
      <c r="H432" s="1184"/>
      <c r="I432" s="77" t="s">
        <v>2142</v>
      </c>
      <c r="J432" s="1184"/>
      <c r="K432" s="77" t="s">
        <v>2142</v>
      </c>
      <c r="L432" s="889" t="s">
        <v>1804</v>
      </c>
      <c r="M432" s="26"/>
      <c r="N432" s="1184"/>
      <c r="O432" s="1184"/>
      <c r="P432" s="1184"/>
      <c r="Q432" s="1184"/>
      <c r="R432" s="1184"/>
      <c r="S432" s="1184"/>
      <c r="T432" s="388" t="b" cm="1">
        <f t="array" aca="1" ref="T432" ca="1">T431</f>
        <v>1</v>
      </c>
      <c r="U432" s="1184"/>
      <c r="V432" s="1184"/>
      <c r="W432" s="1184"/>
      <c r="X432" s="2032"/>
      <c r="Y432" s="1184"/>
      <c r="Z432" s="2012"/>
      <c r="AA432" s="1184"/>
      <c r="AB432" s="218" t="str">
        <f>AB431&amp;".1"</f>
        <v>7.7.1</v>
      </c>
      <c r="AC432" s="701" t="s">
        <v>1515</v>
      </c>
      <c r="AD432" s="218" t="s">
        <v>831</v>
      </c>
      <c r="AE432" s="1567">
        <v>0</v>
      </c>
      <c r="AF432" s="1567"/>
      <c r="AG432" s="1567"/>
      <c r="AH432" s="855">
        <f t="shared" si="101"/>
        <v>0</v>
      </c>
      <c r="AI432" s="1568"/>
      <c r="AJ432" s="1568">
        <f ca="1">SUMIFS('Корректировка НВВ'!$AF$25:$AF$180,'Корректировка НВВ'!$F$25:$F$180,$F432,'Корректировка НВВ'!$I$25:$I$180,$G432)</f>
        <v>0</v>
      </c>
      <c r="AK432" s="1160"/>
      <c r="AL432" s="1160"/>
      <c r="AM432" s="1160"/>
      <c r="AN432" s="1160"/>
      <c r="AO432" s="1160"/>
      <c r="AP432" s="1160"/>
      <c r="AQ432" s="1568"/>
      <c r="AR432" s="1568"/>
      <c r="AS432" s="1568"/>
      <c r="AT432" s="1568">
        <v>-25897.37</v>
      </c>
      <c r="AU432" s="1160"/>
      <c r="AV432" s="1160"/>
      <c r="AW432" s="1160"/>
      <c r="AX432" s="1160"/>
      <c r="AY432" s="1160"/>
      <c r="AZ432" s="1160"/>
      <c r="BA432" s="1568"/>
      <c r="BB432" s="1568"/>
      <c r="BC432" s="1568"/>
      <c r="BD432" s="854"/>
      <c r="BE432" s="854"/>
      <c r="BF432" s="854"/>
      <c r="BG432" s="854"/>
      <c r="BH432" s="854"/>
      <c r="BI432" s="854"/>
      <c r="BJ432" s="854"/>
      <c r="BK432" s="854"/>
      <c r="BL432" s="854"/>
      <c r="BM432" s="854"/>
      <c r="BN432" s="1581"/>
      <c r="BO432" s="1576" t="str">
        <f ca="1">IF(IFERROR(INDEX('Корректировка НВВ'!$K$26:$L$180,MATCH($F432&amp;"7komm",'Корректировка НВВ'!$K$26:$K$180,0),2),"")=0,"",IFERROR(INDEX('Корректировка НВВ'!$K$26:$L$180,MATCH($F432&amp;"7komm",'Корректировка НВВ'!$K$26:$K$180,0),2),""))</f>
        <v/>
      </c>
      <c r="BP432" s="1581" t="s">
        <v>2228</v>
      </c>
      <c r="BQ432" s="1184"/>
      <c r="BR432" s="1184"/>
      <c r="BS432" s="973" t="s">
        <v>1516</v>
      </c>
      <c r="BT432" s="973"/>
      <c r="BU432" s="973"/>
      <c r="BV432" s="888"/>
      <c r="BW432" s="888"/>
    </row>
    <row r="433" spans="1:75" s="1334" customFormat="1" ht="21.95" customHeight="1" x14ac:dyDescent="0.15">
      <c r="A433" s="1184"/>
      <c r="B433" s="887"/>
      <c r="C433" s="1184"/>
      <c r="D433" s="26" t="str" cm="1">
        <f t="array" ref="D433">D432</f>
        <v>7</v>
      </c>
      <c r="E433" s="626">
        <v>22.5</v>
      </c>
      <c r="F433" s="3" t="str" cm="1">
        <f t="array" aca="1" ref="F433" ca="1">OFFSET(E433,-1,1)</f>
        <v>2</v>
      </c>
      <c r="G433" s="77" t="s">
        <v>2143</v>
      </c>
      <c r="H433" s="1184"/>
      <c r="I433" s="77" t="s">
        <v>2144</v>
      </c>
      <c r="J433" s="1184"/>
      <c r="K433" s="77" t="s">
        <v>2144</v>
      </c>
      <c r="L433" s="889" t="s">
        <v>1806</v>
      </c>
      <c r="M433" s="26"/>
      <c r="N433" s="1184"/>
      <c r="O433" s="1184"/>
      <c r="P433" s="1184"/>
      <c r="Q433" s="1184"/>
      <c r="R433" s="1184"/>
      <c r="S433" s="1184"/>
      <c r="T433" s="388" t="b" cm="1">
        <f t="array" aca="1" ref="T433" ca="1">T432</f>
        <v>1</v>
      </c>
      <c r="U433" s="1184"/>
      <c r="V433" s="1184"/>
      <c r="W433" s="1184"/>
      <c r="X433" s="2032"/>
      <c r="Y433" s="1184"/>
      <c r="Z433" s="2012"/>
      <c r="AA433" s="1184"/>
      <c r="AB433" s="218" t="str">
        <f>AB431&amp;".2"</f>
        <v>7.7.2</v>
      </c>
      <c r="AC433" s="701" t="s">
        <v>1517</v>
      </c>
      <c r="AD433" s="218" t="s">
        <v>831</v>
      </c>
      <c r="AE433" s="1567">
        <v>0</v>
      </c>
      <c r="AF433" s="1567"/>
      <c r="AG433" s="1567"/>
      <c r="AH433" s="855">
        <f t="shared" si="101"/>
        <v>0</v>
      </c>
      <c r="AI433" s="1568"/>
      <c r="AJ433" s="1568">
        <f ca="1">SUMIFS('Корректировка НВВ'!$AF$25:$AF$180,'Корректировка НВВ'!$F$25:$F$180,$F433,'Корректировка НВВ'!$I$25:$I$180,$G433)</f>
        <v>0</v>
      </c>
      <c r="AK433" s="1160"/>
      <c r="AL433" s="1160"/>
      <c r="AM433" s="1160"/>
      <c r="AN433" s="1160"/>
      <c r="AO433" s="1160"/>
      <c r="AP433" s="1160"/>
      <c r="AQ433" s="1568"/>
      <c r="AR433" s="1568"/>
      <c r="AS433" s="1568"/>
      <c r="AT433" s="1568">
        <f ca="1">SUMIFS('Корректировка НВВ'!$AG$25:$AG$180,'Корректировка НВВ'!$F$25:$F$180,$F433,'Корректировка НВВ'!$I$25:$I$180,$G433)</f>
        <v>0</v>
      </c>
      <c r="AU433" s="1160"/>
      <c r="AV433" s="1160"/>
      <c r="AW433" s="1160"/>
      <c r="AX433" s="1160"/>
      <c r="AY433" s="1160"/>
      <c r="AZ433" s="1160"/>
      <c r="BA433" s="1568"/>
      <c r="BB433" s="1568"/>
      <c r="BC433" s="1568"/>
      <c r="BD433" s="854"/>
      <c r="BE433" s="854"/>
      <c r="BF433" s="854"/>
      <c r="BG433" s="854"/>
      <c r="BH433" s="854"/>
      <c r="BI433" s="854"/>
      <c r="BJ433" s="854"/>
      <c r="BK433" s="854"/>
      <c r="BL433" s="854"/>
      <c r="BM433" s="854"/>
      <c r="BN433" s="1581"/>
      <c r="BO433" s="1576" t="str">
        <f ca="1">IF(IFERROR(INDEX('Корректировка НВВ'!$K$26:$L$180,MATCH($F433&amp;"8komm",'Корректировка НВВ'!$K$26:$K$180,0),2),"")=0,"",IFERROR(INDEX('Корректировка НВВ'!$K$26:$L$180,MATCH($F433&amp;"8komm",'Корректировка НВВ'!$K$26:$K$180,0),2),""))</f>
        <v/>
      </c>
      <c r="BP433" s="1581"/>
      <c r="BQ433" s="1184"/>
      <c r="BR433" s="1184"/>
      <c r="BS433" s="973" t="s">
        <v>1518</v>
      </c>
      <c r="BT433" s="973"/>
      <c r="BU433" s="973"/>
      <c r="BV433" s="888"/>
      <c r="BW433" s="888"/>
    </row>
    <row r="434" spans="1:75" s="1334" customFormat="1" ht="14.65" customHeight="1" x14ac:dyDescent="0.15">
      <c r="A434" s="1184"/>
      <c r="B434" s="887"/>
      <c r="C434" s="1184"/>
      <c r="D434" s="26" t="str" cm="1">
        <f t="array" ref="D434">D433</f>
        <v>7</v>
      </c>
      <c r="E434" s="626">
        <v>15</v>
      </c>
      <c r="F434" s="3" t="str" cm="1">
        <f t="array" aca="1" ref="F434" ca="1">OFFSET(E434,-1,1)</f>
        <v>2</v>
      </c>
      <c r="G434" s="77" t="s">
        <v>318</v>
      </c>
      <c r="H434" s="1184"/>
      <c r="I434" s="77" t="s">
        <v>1810</v>
      </c>
      <c r="J434" s="1184"/>
      <c r="K434" s="77" t="s">
        <v>1810</v>
      </c>
      <c r="L434" s="889" t="s">
        <v>1809</v>
      </c>
      <c r="M434" s="26"/>
      <c r="N434" s="1184"/>
      <c r="O434" s="1184"/>
      <c r="P434" s="1184"/>
      <c r="Q434" s="1184"/>
      <c r="R434" s="1184"/>
      <c r="S434" s="1184"/>
      <c r="T434" s="388" t="b" cm="1">
        <f t="array" aca="1" ref="T434" ca="1">T433</f>
        <v>1</v>
      </c>
      <c r="U434" s="1184"/>
      <c r="V434" s="1184"/>
      <c r="W434" s="1184"/>
      <c r="X434" s="2032"/>
      <c r="Y434" s="1184"/>
      <c r="Z434" s="2012"/>
      <c r="AA434" s="1184"/>
      <c r="AB434" s="218" t="str">
        <f>IF(B429,D430&amp;".8",D430&amp;".6")</f>
        <v>7.8</v>
      </c>
      <c r="AC434" s="702" t="s">
        <v>1519</v>
      </c>
      <c r="AD434" s="218" t="s">
        <v>831</v>
      </c>
      <c r="AE434" s="1567">
        <v>0</v>
      </c>
      <c r="AF434" s="1567"/>
      <c r="AG434" s="1567"/>
      <c r="AH434" s="855">
        <f t="shared" si="101"/>
        <v>0</v>
      </c>
      <c r="AI434" s="1568"/>
      <c r="AJ434" s="1568">
        <f ca="1">SUMIFS('Корректировка НВВ'!$AF$25:$AF$180,'Корректировка НВВ'!$F$25:$F$180,$F434,'Корректировка НВВ'!$I$25:$I$180,$G434)</f>
        <v>0</v>
      </c>
      <c r="AK434" s="1160"/>
      <c r="AL434" s="1160"/>
      <c r="AM434" s="1160"/>
      <c r="AN434" s="1160"/>
      <c r="AO434" s="1160"/>
      <c r="AP434" s="1160"/>
      <c r="AQ434" s="1568"/>
      <c r="AR434" s="1568"/>
      <c r="AS434" s="1568"/>
      <c r="AT434" s="1568">
        <f ca="1">SUMIFS('Корректировка НВВ'!$AG$25:$AG$180,'Корректировка НВВ'!$F$25:$F$180,$F434,'Корректировка НВВ'!$I$25:$I$180,$G434)</f>
        <v>0</v>
      </c>
      <c r="AU434" s="1160"/>
      <c r="AV434" s="1160"/>
      <c r="AW434" s="1160"/>
      <c r="AX434" s="1160"/>
      <c r="AY434" s="1160"/>
      <c r="AZ434" s="1160"/>
      <c r="BA434" s="1568"/>
      <c r="BB434" s="1568"/>
      <c r="BC434" s="1568"/>
      <c r="BD434" s="854"/>
      <c r="BE434" s="854"/>
      <c r="BF434" s="854"/>
      <c r="BG434" s="854"/>
      <c r="BH434" s="854"/>
      <c r="BI434" s="854"/>
      <c r="BJ434" s="854"/>
      <c r="BK434" s="854"/>
      <c r="BL434" s="854"/>
      <c r="BM434" s="854"/>
      <c r="BN434" s="1581"/>
      <c r="BO434" s="1576" t="str">
        <f ca="1">IF(IFERROR(INDEX('Корректировка НВВ'!$K$26:$L$180,MATCH($F434&amp;"9komm",'Корректировка НВВ'!$K$26:$K$180,0),2),"")=0,"",IFERROR(INDEX('Корректировка НВВ'!$K$26:$L$180,MATCH($F434&amp;"9komm",'Корректировка НВВ'!$K$26:$K$180,0),2),""))</f>
        <v/>
      </c>
      <c r="BP434" s="1581"/>
      <c r="BQ434" s="1184"/>
      <c r="BR434" s="1184"/>
      <c r="BS434" s="973" t="s">
        <v>2145</v>
      </c>
      <c r="BT434" s="973"/>
      <c r="BU434" s="973"/>
      <c r="BV434" s="888"/>
      <c r="BW434" s="888"/>
    </row>
    <row r="435" spans="1:75" s="1334" customFormat="1" ht="14.65" customHeight="1" x14ac:dyDescent="0.15">
      <c r="A435" s="1184"/>
      <c r="B435" s="887"/>
      <c r="C435" s="1184"/>
      <c r="D435" s="26" t="str" cm="1">
        <f t="array" ref="D435">D434</f>
        <v>7</v>
      </c>
      <c r="E435" s="626">
        <v>15</v>
      </c>
      <c r="F435" s="3" t="str" cm="1">
        <f t="array" aca="1" ref="F435" ca="1">OFFSET(E435,-1,1)</f>
        <v>2</v>
      </c>
      <c r="G435" s="77" t="s">
        <v>2146</v>
      </c>
      <c r="H435" s="1184"/>
      <c r="I435" s="77" t="s">
        <v>1812</v>
      </c>
      <c r="J435" s="1184"/>
      <c r="K435" s="77" t="s">
        <v>1812</v>
      </c>
      <c r="L435" s="889" t="s">
        <v>1810</v>
      </c>
      <c r="M435" s="26"/>
      <c r="N435" s="1184"/>
      <c r="O435" s="1184"/>
      <c r="P435" s="1184"/>
      <c r="Q435" s="1184"/>
      <c r="R435" s="1184"/>
      <c r="S435" s="1184"/>
      <c r="T435" s="388" t="b" cm="1">
        <f t="array" aca="1" ref="T435" ca="1">T434</f>
        <v>1</v>
      </c>
      <c r="U435" s="1184"/>
      <c r="V435" s="1184"/>
      <c r="W435" s="1184"/>
      <c r="X435" s="2032"/>
      <c r="Y435" s="1184"/>
      <c r="Z435" s="2012"/>
      <c r="AA435" s="1184"/>
      <c r="AB435" s="218" t="str">
        <f>IF(B429,D430&amp;".9",D430&amp;".7")</f>
        <v>7.9</v>
      </c>
      <c r="AC435" s="702" t="s">
        <v>1521</v>
      </c>
      <c r="AD435" s="218" t="s">
        <v>831</v>
      </c>
      <c r="AE435" s="1567">
        <v>0</v>
      </c>
      <c r="AF435" s="1567"/>
      <c r="AG435" s="1567"/>
      <c r="AH435" s="855">
        <f t="shared" si="101"/>
        <v>0</v>
      </c>
      <c r="AI435" s="1568"/>
      <c r="AJ435" s="1568">
        <f ca="1">SUMIFS('Корректировка НВВ'!$AF$25:$AF$180,'Корректировка НВВ'!$F$25:$F$180,$F435,'Корректировка НВВ'!$I$25:$I$180,$G435)</f>
        <v>0</v>
      </c>
      <c r="AK435" s="1160"/>
      <c r="AL435" s="1160"/>
      <c r="AM435" s="1160"/>
      <c r="AN435" s="1160"/>
      <c r="AO435" s="1160"/>
      <c r="AP435" s="1160"/>
      <c r="AQ435" s="1568"/>
      <c r="AR435" s="1568"/>
      <c r="AS435" s="1568"/>
      <c r="AT435" s="1568">
        <f ca="1">SUMIFS('Корректировка НВВ'!$AG$25:$AG$180,'Корректировка НВВ'!$F$25:$F$180,$F435,'Корректировка НВВ'!$I$25:$I$180,$G435)</f>
        <v>0</v>
      </c>
      <c r="AU435" s="1160"/>
      <c r="AV435" s="1160"/>
      <c r="AW435" s="1160"/>
      <c r="AX435" s="1160"/>
      <c r="AY435" s="1160"/>
      <c r="AZ435" s="1160"/>
      <c r="BA435" s="1568"/>
      <c r="BB435" s="1568"/>
      <c r="BC435" s="1568"/>
      <c r="BD435" s="854"/>
      <c r="BE435" s="854"/>
      <c r="BF435" s="854"/>
      <c r="BG435" s="854"/>
      <c r="BH435" s="854"/>
      <c r="BI435" s="854"/>
      <c r="BJ435" s="854"/>
      <c r="BK435" s="854"/>
      <c r="BL435" s="854"/>
      <c r="BM435" s="854"/>
      <c r="BN435" s="1581"/>
      <c r="BO435" s="1576" t="str">
        <f ca="1">IF(IFERROR(INDEX('Корректировка НВВ'!$K$26:$L$180,MATCH($F435&amp;"10komm",'Корректировка НВВ'!$K$26:$K$180,0),2),"")=0,"",IFERROR(INDEX('Корректировка НВВ'!$K$26:$L$180,MATCH($F435&amp;"10komm",'Корректировка НВВ'!$K$26:$K$180,0),2),""))</f>
        <v/>
      </c>
      <c r="BP435" s="1581"/>
      <c r="BQ435" s="1184"/>
      <c r="BR435" s="1184"/>
      <c r="BS435" s="973" t="s">
        <v>1522</v>
      </c>
      <c r="BT435" s="973"/>
      <c r="BU435" s="973"/>
      <c r="BV435" s="888"/>
      <c r="BW435" s="888"/>
    </row>
    <row r="436" spans="1:75" s="1608" customFormat="1" ht="30.75" customHeight="1" x14ac:dyDescent="0.15">
      <c r="A436" s="623"/>
      <c r="B436" s="357"/>
      <c r="C436" s="623"/>
      <c r="D436" s="28">
        <f>D435+1</f>
        <v>8</v>
      </c>
      <c r="E436" s="630">
        <v>21</v>
      </c>
      <c r="F436" s="3" t="str" cm="1">
        <f t="array" aca="1" ref="F436" ca="1">OFFSET(E436,-1,1)</f>
        <v>2</v>
      </c>
      <c r="G436" s="623"/>
      <c r="H436" s="623"/>
      <c r="I436" s="81" t="s">
        <v>613</v>
      </c>
      <c r="J436" s="623"/>
      <c r="K436" s="81" t="s">
        <v>613</v>
      </c>
      <c r="L436" s="894"/>
      <c r="M436" s="28"/>
      <c r="N436" s="623"/>
      <c r="O436" s="623"/>
      <c r="P436" s="623"/>
      <c r="Q436" s="623"/>
      <c r="R436" s="623"/>
      <c r="S436" s="623"/>
      <c r="T436" s="388" t="b" cm="1">
        <f t="array" aca="1" ref="T436" ca="1">T435</f>
        <v>1</v>
      </c>
      <c r="U436" s="623"/>
      <c r="V436" s="623"/>
      <c r="W436" s="623"/>
      <c r="X436" s="2032"/>
      <c r="Y436" s="623"/>
      <c r="Z436" s="2012"/>
      <c r="AA436" s="623"/>
      <c r="AB436" s="130" cm="1">
        <f t="array" ref="AB436">D436</f>
        <v>8</v>
      </c>
      <c r="AC436" s="131" t="s">
        <v>2147</v>
      </c>
      <c r="AD436" s="130" t="s">
        <v>831</v>
      </c>
      <c r="AE436" s="1518"/>
      <c r="AF436" s="1518"/>
      <c r="AG436" s="1518"/>
      <c r="AH436" s="681">
        <f t="shared" si="101"/>
        <v>0</v>
      </c>
      <c r="AI436" s="1516">
        <v>-2000</v>
      </c>
      <c r="AJ436" s="1516"/>
      <c r="AK436" s="1153"/>
      <c r="AL436" s="1153"/>
      <c r="AM436" s="1153"/>
      <c r="AN436" s="1153"/>
      <c r="AO436" s="1153"/>
      <c r="AP436" s="1153"/>
      <c r="AQ436" s="1516"/>
      <c r="AR436" s="1516"/>
      <c r="AS436" s="1516"/>
      <c r="AT436" s="1516"/>
      <c r="AU436" s="1153"/>
      <c r="AV436" s="1153"/>
      <c r="AW436" s="1153"/>
      <c r="AX436" s="1153"/>
      <c r="AY436" s="1153"/>
      <c r="AZ436" s="1153"/>
      <c r="BA436" s="1516"/>
      <c r="BB436" s="1516"/>
      <c r="BC436" s="1516"/>
      <c r="BD436" s="684"/>
      <c r="BE436" s="684"/>
      <c r="BF436" s="684"/>
      <c r="BG436" s="684"/>
      <c r="BH436" s="684"/>
      <c r="BI436" s="684"/>
      <c r="BJ436" s="684"/>
      <c r="BK436" s="684"/>
      <c r="BL436" s="684"/>
      <c r="BM436" s="684"/>
      <c r="BN436" s="1524"/>
      <c r="BO436" s="1524"/>
      <c r="BP436" s="1524"/>
      <c r="BQ436" s="623"/>
      <c r="BR436" s="623"/>
      <c r="BS436" s="979" t="s">
        <v>2148</v>
      </c>
      <c r="BT436" s="979"/>
      <c r="BU436" s="979"/>
      <c r="BV436" s="630"/>
      <c r="BW436" s="630"/>
    </row>
    <row r="437" spans="1:75" s="1334" customFormat="1" ht="14.25" customHeight="1" x14ac:dyDescent="0.15">
      <c r="A437" s="1184"/>
      <c r="B437" s="887"/>
      <c r="C437" s="1184"/>
      <c r="D437" s="28" cm="1">
        <f t="array" ref="D437">D436</f>
        <v>8</v>
      </c>
      <c r="E437" s="626">
        <v>15</v>
      </c>
      <c r="F437" s="3" t="str" cm="1">
        <f t="array" aca="1" ref="F437" ca="1">OFFSET(E437,-1,1)</f>
        <v>2</v>
      </c>
      <c r="G437" s="1184"/>
      <c r="H437" s="1184"/>
      <c r="I437" s="77" t="s">
        <v>616</v>
      </c>
      <c r="J437" s="1184"/>
      <c r="K437" s="77" t="s">
        <v>616</v>
      </c>
      <c r="L437" s="889"/>
      <c r="M437" s="26"/>
      <c r="N437" s="1184"/>
      <c r="O437" s="1184"/>
      <c r="P437" s="1184"/>
      <c r="Q437" s="1184"/>
      <c r="R437" s="1184"/>
      <c r="S437" s="1184"/>
      <c r="T437" s="388" t="b" cm="1">
        <f t="array" aca="1" ref="T437" ca="1">T436</f>
        <v>1</v>
      </c>
      <c r="U437" s="1184"/>
      <c r="V437" s="1184"/>
      <c r="W437" s="1184"/>
      <c r="X437" s="2032"/>
      <c r="Y437" s="1184"/>
      <c r="Z437" s="2012"/>
      <c r="AA437" s="1184"/>
      <c r="AB437" s="218" t="str">
        <f>D437&amp;".1"</f>
        <v>8.1</v>
      </c>
      <c r="AC437" s="682" t="s">
        <v>2149</v>
      </c>
      <c r="AD437" s="218" t="s">
        <v>490</v>
      </c>
      <c r="AE437" s="177">
        <f ca="1">IF(AE438=0,0,AE436/(AE438+AE423)*100)</f>
        <v>0</v>
      </c>
      <c r="AF437" s="177">
        <f ca="1">IF(AF438=0,0,AF436/(AF438+AF423)*100)</f>
        <v>0</v>
      </c>
      <c r="AG437" s="177">
        <f ca="1">IF(AG438=0,0,AG436/(AG438+AG423)*100)</f>
        <v>0</v>
      </c>
      <c r="AH437" s="855">
        <f t="shared" ca="1" si="101"/>
        <v>0</v>
      </c>
      <c r="AI437" s="855">
        <f t="shared" ref="AI437:BC437" ca="1" si="104">IF(AI438=0,0,AI436/(AI438+AI423)*100)</f>
        <v>-1.675488686290296</v>
      </c>
      <c r="AJ437" s="855">
        <f t="shared" ca="1" si="104"/>
        <v>0</v>
      </c>
      <c r="AK437" s="855">
        <f t="shared" ca="1" si="104"/>
        <v>0</v>
      </c>
      <c r="AL437" s="855">
        <f t="shared" ca="1" si="104"/>
        <v>0</v>
      </c>
      <c r="AM437" s="855">
        <f t="shared" ca="1" si="104"/>
        <v>0</v>
      </c>
      <c r="AN437" s="855">
        <f t="shared" ca="1" si="104"/>
        <v>0</v>
      </c>
      <c r="AO437" s="855">
        <f t="shared" ca="1" si="104"/>
        <v>0</v>
      </c>
      <c r="AP437" s="855">
        <f t="shared" ca="1" si="104"/>
        <v>0</v>
      </c>
      <c r="AQ437" s="855">
        <f t="shared" ca="1" si="104"/>
        <v>0</v>
      </c>
      <c r="AR437" s="855">
        <f t="shared" ca="1" si="104"/>
        <v>0</v>
      </c>
      <c r="AS437" s="855">
        <f t="shared" ca="1" si="104"/>
        <v>0</v>
      </c>
      <c r="AT437" s="855">
        <f t="shared" ca="1" si="104"/>
        <v>0</v>
      </c>
      <c r="AU437" s="855">
        <f t="shared" ca="1" si="104"/>
        <v>0</v>
      </c>
      <c r="AV437" s="855">
        <f t="shared" ca="1" si="104"/>
        <v>0</v>
      </c>
      <c r="AW437" s="855">
        <f t="shared" ca="1" si="104"/>
        <v>0</v>
      </c>
      <c r="AX437" s="855">
        <f t="shared" ca="1" si="104"/>
        <v>0</v>
      </c>
      <c r="AY437" s="855">
        <f t="shared" ca="1" si="104"/>
        <v>0</v>
      </c>
      <c r="AZ437" s="855">
        <f t="shared" ca="1" si="104"/>
        <v>0</v>
      </c>
      <c r="BA437" s="855">
        <f t="shared" ca="1" si="104"/>
        <v>0</v>
      </c>
      <c r="BB437" s="855">
        <f t="shared" ca="1" si="104"/>
        <v>0</v>
      </c>
      <c r="BC437" s="855">
        <f t="shared" ca="1" si="104"/>
        <v>0</v>
      </c>
      <c r="BD437" s="854"/>
      <c r="BE437" s="854"/>
      <c r="BF437" s="854"/>
      <c r="BG437" s="854"/>
      <c r="BH437" s="854"/>
      <c r="BI437" s="854"/>
      <c r="BJ437" s="854"/>
      <c r="BK437" s="854"/>
      <c r="BL437" s="854"/>
      <c r="BM437" s="854"/>
      <c r="BN437" s="1581"/>
      <c r="BO437" s="1581"/>
      <c r="BP437" s="1581"/>
      <c r="BQ437" s="1184"/>
      <c r="BR437" s="1184"/>
      <c r="BS437" s="973" t="s">
        <v>2150</v>
      </c>
      <c r="BT437" s="973"/>
      <c r="BU437" s="973"/>
      <c r="BV437" s="888"/>
      <c r="BW437" s="888"/>
    </row>
    <row r="438" spans="1:75" s="1609" customFormat="1" ht="20.25" customHeight="1" x14ac:dyDescent="0.15">
      <c r="A438" s="623"/>
      <c r="B438" s="357"/>
      <c r="C438" s="623"/>
      <c r="D438" s="28">
        <f>D437+1</f>
        <v>9</v>
      </c>
      <c r="E438" s="630">
        <v>21</v>
      </c>
      <c r="F438" s="3" t="str" cm="1">
        <f t="array" aca="1" ref="F438" ca="1">OFFSET(E438,-1,1)</f>
        <v>2</v>
      </c>
      <c r="G438" s="623"/>
      <c r="H438" s="77"/>
      <c r="I438" s="77" t="s">
        <v>770</v>
      </c>
      <c r="J438" s="623"/>
      <c r="K438" s="77" t="s">
        <v>770</v>
      </c>
      <c r="L438" s="894" t="s">
        <v>1812</v>
      </c>
      <c r="M438" s="28"/>
      <c r="N438" s="623"/>
      <c r="O438" s="623"/>
      <c r="P438" s="623"/>
      <c r="Q438" s="623"/>
      <c r="R438" s="623"/>
      <c r="S438" s="623"/>
      <c r="T438" s="388" t="b" cm="1">
        <f t="array" aca="1" ref="T438" ca="1">T437</f>
        <v>1</v>
      </c>
      <c r="U438" s="623"/>
      <c r="V438" s="623"/>
      <c r="W438" s="623"/>
      <c r="X438" s="2032"/>
      <c r="Y438" s="623"/>
      <c r="Z438" s="2012"/>
      <c r="AA438" s="623"/>
      <c r="AB438" s="130" cm="1">
        <f t="array" ref="AB438">D438</f>
        <v>9</v>
      </c>
      <c r="AC438" s="131" t="s">
        <v>1814</v>
      </c>
      <c r="AD438" s="153" t="s">
        <v>831</v>
      </c>
      <c r="AE438" s="132">
        <f ca="1">AE316+AE366+AE402+AE403+AE405+AE410+AE411+AE414</f>
        <v>114725.65211810019</v>
      </c>
      <c r="AF438" s="132">
        <f ca="1">AF316+AF366+AF402+AF403+AF405+AF410+AF411+AF414</f>
        <v>109446.40999999999</v>
      </c>
      <c r="AG438" s="132">
        <f ca="1">AG316+AG366+AG402+AG403+AG405+AG410+AG411+AG414</f>
        <v>109690.98436950304</v>
      </c>
      <c r="AH438" s="681">
        <f t="shared" ca="1" si="101"/>
        <v>244.57436950305419</v>
      </c>
      <c r="AI438" s="132">
        <f t="shared" ref="AI438:BC438" ca="1" si="105">AI316+AI366+AI402+AI403+AI405+AI410+AI411+AI414</f>
        <v>119368.15905502801</v>
      </c>
      <c r="AJ438" s="132">
        <f t="shared" ca="1" si="105"/>
        <v>153090.46</v>
      </c>
      <c r="AK438" s="132">
        <f t="shared" ca="1" si="105"/>
        <v>144241.35999999999</v>
      </c>
      <c r="AL438" s="132">
        <f t="shared" ca="1" si="105"/>
        <v>145350.03</v>
      </c>
      <c r="AM438" s="132">
        <f t="shared" ca="1" si="105"/>
        <v>146503.07</v>
      </c>
      <c r="AN438" s="132">
        <f t="shared" ca="1" si="105"/>
        <v>147702.21</v>
      </c>
      <c r="AO438" s="132">
        <f t="shared" ca="1" si="105"/>
        <v>148949.32999999999</v>
      </c>
      <c r="AP438" s="132">
        <f t="shared" ca="1" si="105"/>
        <v>150246.32999999999</v>
      </c>
      <c r="AQ438" s="132">
        <f t="shared" ca="1" si="105"/>
        <v>116524.37</v>
      </c>
      <c r="AR438" s="132">
        <f t="shared" ca="1" si="105"/>
        <v>116524.37</v>
      </c>
      <c r="AS438" s="132">
        <f t="shared" ca="1" si="105"/>
        <v>116524.37</v>
      </c>
      <c r="AT438" s="132">
        <f t="shared" ca="1" si="105"/>
        <v>133092.34</v>
      </c>
      <c r="AU438" s="132">
        <f t="shared" ca="1" si="105"/>
        <v>125074.14</v>
      </c>
      <c r="AV438" s="132">
        <f t="shared" ca="1" si="105"/>
        <v>125887.25</v>
      </c>
      <c r="AW438" s="132">
        <f t="shared" ca="1" si="105"/>
        <v>126724.74</v>
      </c>
      <c r="AX438" s="132">
        <f t="shared" ca="1" si="105"/>
        <v>127587.37</v>
      </c>
      <c r="AY438" s="132">
        <f t="shared" ca="1" si="105"/>
        <v>128475.87</v>
      </c>
      <c r="AZ438" s="132">
        <f t="shared" ca="1" si="105"/>
        <v>129391.03</v>
      </c>
      <c r="BA438" s="132">
        <f t="shared" ca="1" si="105"/>
        <v>97970.72</v>
      </c>
      <c r="BB438" s="132">
        <f t="shared" ca="1" si="105"/>
        <v>97970.72</v>
      </c>
      <c r="BC438" s="132">
        <f t="shared" ca="1" si="105"/>
        <v>97970.72</v>
      </c>
      <c r="BD438" s="681">
        <f ca="1">IF(AI438=0,0,(AT438-AI438)/AI438*100)</f>
        <v>11.497354950950715</v>
      </c>
      <c r="BE438" s="681">
        <f t="shared" ref="BE438:BM439" ca="1" si="106">IF(AT438=0,0,(AU438-AT438)/AT438*100)</f>
        <v>-6.0245390531115444</v>
      </c>
      <c r="BF438" s="681">
        <f t="shared" ca="1" si="106"/>
        <v>0.65010241125783519</v>
      </c>
      <c r="BG438" s="681">
        <f t="shared" ca="1" si="106"/>
        <v>0.66526991414937198</v>
      </c>
      <c r="BH438" s="681">
        <f t="shared" ca="1" si="106"/>
        <v>0.68071159585728092</v>
      </c>
      <c r="BI438" s="681">
        <f t="shared" ca="1" si="106"/>
        <v>0.69638554349070758</v>
      </c>
      <c r="BJ438" s="681">
        <f t="shared" ca="1" si="106"/>
        <v>0.71232053147412311</v>
      </c>
      <c r="BK438" s="681">
        <f t="shared" ca="1" si="106"/>
        <v>-24.283221178469635</v>
      </c>
      <c r="BL438" s="681">
        <f t="shared" ca="1" si="106"/>
        <v>0</v>
      </c>
      <c r="BM438" s="681">
        <f t="shared" ca="1" si="106"/>
        <v>0</v>
      </c>
      <c r="BN438" s="1581"/>
      <c r="BO438" s="1581"/>
      <c r="BP438" s="1581"/>
      <c r="BQ438" s="623"/>
      <c r="BR438" s="623"/>
      <c r="BS438" s="979" t="s">
        <v>1815</v>
      </c>
      <c r="BT438" s="979"/>
      <c r="BU438" s="979"/>
      <c r="BV438" s="630"/>
      <c r="BW438" s="630"/>
    </row>
    <row r="439" spans="1:75" s="1610" customFormat="1" ht="20.25" customHeight="1" x14ac:dyDescent="0.15">
      <c r="A439" s="623"/>
      <c r="B439" s="357"/>
      <c r="C439" s="623"/>
      <c r="D439" s="28">
        <f>D438+1</f>
        <v>10</v>
      </c>
      <c r="E439" s="630">
        <v>21</v>
      </c>
      <c r="F439" s="3" t="str" cm="1">
        <f t="array" aca="1" ref="F439" ca="1">OFFSET(E439,-1,1)</f>
        <v>2</v>
      </c>
      <c r="G439" s="623"/>
      <c r="H439" s="77"/>
      <c r="I439" s="77" t="s">
        <v>1824</v>
      </c>
      <c r="J439" s="623"/>
      <c r="K439" s="77" t="s">
        <v>1824</v>
      </c>
      <c r="L439" s="894"/>
      <c r="M439" s="28"/>
      <c r="N439" s="623"/>
      <c r="O439" s="623"/>
      <c r="P439" s="623"/>
      <c r="Q439" s="623"/>
      <c r="R439" s="623"/>
      <c r="S439" s="623"/>
      <c r="T439" s="388" t="b" cm="1">
        <f t="array" aca="1" ref="T439" ca="1">T438</f>
        <v>1</v>
      </c>
      <c r="U439" s="623"/>
      <c r="V439" s="623"/>
      <c r="W439" s="623"/>
      <c r="X439" s="2032"/>
      <c r="Y439" s="623"/>
      <c r="Z439" s="2012"/>
      <c r="AA439" s="623"/>
      <c r="AB439" s="130" cm="1">
        <f t="array" ref="AB439">D439</f>
        <v>10</v>
      </c>
      <c r="AC439" s="131" t="s">
        <v>2151</v>
      </c>
      <c r="AD439" s="130" t="s">
        <v>831</v>
      </c>
      <c r="AE439" s="132">
        <f t="shared" ref="AE439:BC439" ca="1" si="107">AE438+AE423+AE436</f>
        <v>114725.65211810019</v>
      </c>
      <c r="AF439" s="132">
        <f t="shared" ca="1" si="107"/>
        <v>109446.40999999999</v>
      </c>
      <c r="AG439" s="132">
        <f t="shared" ca="1" si="107"/>
        <v>100529.84115659789</v>
      </c>
      <c r="AH439" s="690">
        <f t="shared" ca="1" si="107"/>
        <v>-8916.5688434020958</v>
      </c>
      <c r="AI439" s="690">
        <f t="shared" ca="1" si="107"/>
        <v>117368.15905502801</v>
      </c>
      <c r="AJ439" s="690">
        <f t="shared" ca="1" si="107"/>
        <v>153090.46</v>
      </c>
      <c r="AK439" s="690">
        <f t="shared" ca="1" si="107"/>
        <v>144241.35999999999</v>
      </c>
      <c r="AL439" s="690">
        <f t="shared" ca="1" si="107"/>
        <v>145350.03</v>
      </c>
      <c r="AM439" s="690">
        <f t="shared" ca="1" si="107"/>
        <v>146503.07</v>
      </c>
      <c r="AN439" s="690">
        <f t="shared" ca="1" si="107"/>
        <v>147702.21</v>
      </c>
      <c r="AO439" s="690">
        <f t="shared" ca="1" si="107"/>
        <v>148949.32999999999</v>
      </c>
      <c r="AP439" s="690">
        <f t="shared" ca="1" si="107"/>
        <v>150246.32999999999</v>
      </c>
      <c r="AQ439" s="690">
        <f t="shared" ca="1" si="107"/>
        <v>116524.37</v>
      </c>
      <c r="AR439" s="690">
        <f t="shared" ca="1" si="107"/>
        <v>116524.37</v>
      </c>
      <c r="AS439" s="690">
        <f t="shared" ca="1" si="107"/>
        <v>116524.37</v>
      </c>
      <c r="AT439" s="690">
        <f t="shared" ca="1" si="107"/>
        <v>102424.20999999999</v>
      </c>
      <c r="AU439" s="690">
        <f t="shared" ca="1" si="107"/>
        <v>125074.14</v>
      </c>
      <c r="AV439" s="690">
        <f t="shared" ca="1" si="107"/>
        <v>125887.25</v>
      </c>
      <c r="AW439" s="690">
        <f t="shared" ca="1" si="107"/>
        <v>126724.74</v>
      </c>
      <c r="AX439" s="690">
        <f t="shared" ca="1" si="107"/>
        <v>127587.37</v>
      </c>
      <c r="AY439" s="690">
        <f t="shared" ca="1" si="107"/>
        <v>128475.87</v>
      </c>
      <c r="AZ439" s="690">
        <f t="shared" ca="1" si="107"/>
        <v>129391.03</v>
      </c>
      <c r="BA439" s="690">
        <f t="shared" ca="1" si="107"/>
        <v>97970.72</v>
      </c>
      <c r="BB439" s="690">
        <f t="shared" ca="1" si="107"/>
        <v>97970.72</v>
      </c>
      <c r="BC439" s="690">
        <f t="shared" ca="1" si="107"/>
        <v>97970.72</v>
      </c>
      <c r="BD439" s="681">
        <f ca="1">IF(AI439=0,0,(AT439-AI439)/AI439*100)</f>
        <v>-12.732541070207596</v>
      </c>
      <c r="BE439" s="681">
        <f t="shared" ca="1" si="106"/>
        <v>22.113843982784939</v>
      </c>
      <c r="BF439" s="681">
        <f t="shared" ca="1" si="106"/>
        <v>0.65010241125783519</v>
      </c>
      <c r="BG439" s="681">
        <f t="shared" ca="1" si="106"/>
        <v>0.66526991414937198</v>
      </c>
      <c r="BH439" s="681">
        <f t="shared" ca="1" si="106"/>
        <v>0.68071159585728092</v>
      </c>
      <c r="BI439" s="681">
        <f t="shared" ca="1" si="106"/>
        <v>0.69638554349070758</v>
      </c>
      <c r="BJ439" s="681">
        <f t="shared" ca="1" si="106"/>
        <v>0.71232053147412311</v>
      </c>
      <c r="BK439" s="681">
        <f t="shared" ca="1" si="106"/>
        <v>-24.283221178469635</v>
      </c>
      <c r="BL439" s="681">
        <f t="shared" ca="1" si="106"/>
        <v>0</v>
      </c>
      <c r="BM439" s="681">
        <f t="shared" ca="1" si="106"/>
        <v>0</v>
      </c>
      <c r="BN439" s="1581"/>
      <c r="BO439" s="1581"/>
      <c r="BP439" s="1581"/>
      <c r="BQ439" s="623"/>
      <c r="BR439" s="623"/>
      <c r="BS439" s="979" t="s">
        <v>2152</v>
      </c>
      <c r="BT439" s="979"/>
      <c r="BU439" s="979"/>
      <c r="BV439" s="630"/>
      <c r="BW439" s="630"/>
    </row>
    <row r="440" spans="1:75" s="1334" customFormat="1" ht="14.25" hidden="1" customHeight="1" x14ac:dyDescent="0.25">
      <c r="A440" s="1184"/>
      <c r="B440" s="367" t="b">
        <f>A315="двухставочный"</f>
        <v>0</v>
      </c>
      <c r="C440" s="1184"/>
      <c r="D440" s="26" cm="1">
        <f t="array" ref="D440">D439</f>
        <v>10</v>
      </c>
      <c r="E440" s="626">
        <v>15</v>
      </c>
      <c r="F440" s="3" t="str" cm="1">
        <f t="array" aca="1" ref="F440" ca="1">OFFSET(E440,-1,1)</f>
        <v>2</v>
      </c>
      <c r="G440" s="1184"/>
      <c r="H440" s="2"/>
      <c r="I440" s="295" t="s">
        <v>1828</v>
      </c>
      <c r="J440" s="1184"/>
      <c r="K440" s="295" t="s">
        <v>1828</v>
      </c>
      <c r="L440" s="889" t="s">
        <v>1816</v>
      </c>
      <c r="M440" s="26"/>
      <c r="N440" s="1184"/>
      <c r="O440" s="1184"/>
      <c r="P440" s="1184"/>
      <c r="Q440" s="1184"/>
      <c r="R440" s="1184"/>
      <c r="S440" s="1184"/>
      <c r="T440" s="388" t="b" cm="1">
        <f t="array" aca="1" ref="T440" ca="1">T439</f>
        <v>1</v>
      </c>
      <c r="U440" s="1184"/>
      <c r="V440" s="1184"/>
      <c r="W440" s="1184"/>
      <c r="X440" s="2032"/>
      <c r="Y440" s="1184"/>
      <c r="Z440" s="2012"/>
      <c r="AA440" s="1184"/>
      <c r="AB440" s="218" t="str">
        <f>D440&amp;".1"</f>
        <v>10.1</v>
      </c>
      <c r="AC440" s="702" t="s">
        <v>1818</v>
      </c>
      <c r="AD440" s="218" t="s">
        <v>831</v>
      </c>
      <c r="AE440" s="1162"/>
      <c r="AF440" s="1162"/>
      <c r="AG440" s="1162"/>
      <c r="AH440" s="855">
        <f t="shared" ref="AH440:AH446" si="108">AG440-AF440</f>
        <v>0</v>
      </c>
      <c r="AI440" s="1160"/>
      <c r="AJ440" s="1568"/>
      <c r="AK440" s="1160"/>
      <c r="AL440" s="1160"/>
      <c r="AM440" s="1160"/>
      <c r="AN440" s="1160"/>
      <c r="AO440" s="1160"/>
      <c r="AP440" s="1160"/>
      <c r="AQ440" s="1160"/>
      <c r="AR440" s="1160"/>
      <c r="AS440" s="1160"/>
      <c r="AT440" s="1568"/>
      <c r="AU440" s="1160"/>
      <c r="AV440" s="1160"/>
      <c r="AW440" s="1160"/>
      <c r="AX440" s="1160"/>
      <c r="AY440" s="1160"/>
      <c r="AZ440" s="1160"/>
      <c r="BA440" s="1160"/>
      <c r="BB440" s="1160"/>
      <c r="BC440" s="1160"/>
      <c r="BD440" s="854"/>
      <c r="BE440" s="854"/>
      <c r="BF440" s="854"/>
      <c r="BG440" s="854"/>
      <c r="BH440" s="854"/>
      <c r="BI440" s="854"/>
      <c r="BJ440" s="854"/>
      <c r="BK440" s="854"/>
      <c r="BL440" s="854"/>
      <c r="BM440" s="854"/>
      <c r="BN440" s="1163"/>
      <c r="BO440" s="1163"/>
      <c r="BP440" s="1163"/>
      <c r="BQ440" s="1184"/>
      <c r="BR440" s="1184"/>
      <c r="BS440" s="971" t="s">
        <v>1819</v>
      </c>
      <c r="BT440" s="973"/>
      <c r="BU440" s="973"/>
      <c r="BV440" s="888"/>
      <c r="BW440" s="888"/>
    </row>
    <row r="441" spans="1:75" s="1334" customFormat="1" ht="14.25" hidden="1" customHeight="1" x14ac:dyDescent="0.25">
      <c r="A441" s="1184"/>
      <c r="B441" s="367" t="b">
        <f>A315="двухставочный"</f>
        <v>0</v>
      </c>
      <c r="C441" s="1184"/>
      <c r="D441" s="26" cm="1">
        <f t="array" ref="D441">D440</f>
        <v>10</v>
      </c>
      <c r="E441" s="626">
        <v>15</v>
      </c>
      <c r="F441" s="3" t="str" cm="1">
        <f t="array" aca="1" ref="F441" ca="1">OFFSET(E441,-1,1)</f>
        <v>2</v>
      </c>
      <c r="G441" s="1184"/>
      <c r="H441" s="2"/>
      <c r="I441" s="295" t="s">
        <v>1832</v>
      </c>
      <c r="J441" s="1184"/>
      <c r="K441" s="295" t="s">
        <v>1832</v>
      </c>
      <c r="L441" s="889" t="s">
        <v>1820</v>
      </c>
      <c r="M441" s="26"/>
      <c r="N441" s="1184"/>
      <c r="O441" s="1184"/>
      <c r="P441" s="1184"/>
      <c r="Q441" s="1184"/>
      <c r="R441" s="1184"/>
      <c r="S441" s="1184"/>
      <c r="T441" s="388" t="b" cm="1">
        <f t="array" aca="1" ref="T441" ca="1">T440</f>
        <v>1</v>
      </c>
      <c r="U441" s="1184"/>
      <c r="V441" s="1184"/>
      <c r="W441" s="1184"/>
      <c r="X441" s="2032"/>
      <c r="Y441" s="1184"/>
      <c r="Z441" s="2012"/>
      <c r="AA441" s="1184"/>
      <c r="AB441" s="218" t="str">
        <f>D441&amp;".2"</f>
        <v>10.2</v>
      </c>
      <c r="AC441" s="702" t="s">
        <v>1822</v>
      </c>
      <c r="AD441" s="218" t="s">
        <v>831</v>
      </c>
      <c r="AE441" s="1162"/>
      <c r="AF441" s="1162"/>
      <c r="AG441" s="1162"/>
      <c r="AH441" s="855">
        <f t="shared" si="108"/>
        <v>0</v>
      </c>
      <c r="AI441" s="1160"/>
      <c r="AJ441" s="1568"/>
      <c r="AK441" s="1160"/>
      <c r="AL441" s="1160"/>
      <c r="AM441" s="1160"/>
      <c r="AN441" s="1160"/>
      <c r="AO441" s="1160"/>
      <c r="AP441" s="1160"/>
      <c r="AQ441" s="1160"/>
      <c r="AR441" s="1160"/>
      <c r="AS441" s="1160"/>
      <c r="AT441" s="1568"/>
      <c r="AU441" s="1160"/>
      <c r="AV441" s="1160"/>
      <c r="AW441" s="1160"/>
      <c r="AX441" s="1160"/>
      <c r="AY441" s="1160"/>
      <c r="AZ441" s="1160"/>
      <c r="BA441" s="1160"/>
      <c r="BB441" s="1160"/>
      <c r="BC441" s="1160"/>
      <c r="BD441" s="854"/>
      <c r="BE441" s="854"/>
      <c r="BF441" s="854"/>
      <c r="BG441" s="854"/>
      <c r="BH441" s="854"/>
      <c r="BI441" s="854"/>
      <c r="BJ441" s="854"/>
      <c r="BK441" s="854"/>
      <c r="BL441" s="854"/>
      <c r="BM441" s="854"/>
      <c r="BN441" s="1163"/>
      <c r="BO441" s="1163"/>
      <c r="BP441" s="1163"/>
      <c r="BQ441" s="1184"/>
      <c r="BR441" s="1184"/>
      <c r="BS441" s="971" t="s">
        <v>1823</v>
      </c>
      <c r="BT441" s="973"/>
      <c r="BU441" s="973"/>
      <c r="BV441" s="888"/>
      <c r="BW441" s="888"/>
    </row>
    <row r="442" spans="1:75" s="1611" customFormat="1" ht="20.25" customHeight="1" x14ac:dyDescent="0.25">
      <c r="A442" s="623"/>
      <c r="B442" s="357"/>
      <c r="C442" s="623"/>
      <c r="D442" s="28">
        <f>D441+1</f>
        <v>11</v>
      </c>
      <c r="E442" s="630">
        <v>21</v>
      </c>
      <c r="F442" s="3" t="str" cm="1">
        <f t="array" aca="1" ref="F442" ca="1">OFFSET(E442,-1,1)</f>
        <v>2</v>
      </c>
      <c r="G442" s="77" t="s">
        <v>1597</v>
      </c>
      <c r="H442" s="77"/>
      <c r="I442" s="77" t="s">
        <v>1852</v>
      </c>
      <c r="J442" s="623"/>
      <c r="K442" s="77" t="s">
        <v>1852</v>
      </c>
      <c r="L442" s="894" t="s">
        <v>1824</v>
      </c>
      <c r="M442" s="28"/>
      <c r="N442" s="623"/>
      <c r="O442" s="623"/>
      <c r="P442" s="623"/>
      <c r="Q442" s="623"/>
      <c r="R442" s="623"/>
      <c r="S442" s="623"/>
      <c r="T442" s="388" t="b" cm="1">
        <f t="array" aca="1" ref="T442" ca="1">T441</f>
        <v>1</v>
      </c>
      <c r="U442" s="623"/>
      <c r="V442" s="623"/>
      <c r="W442" s="623"/>
      <c r="X442" s="2032"/>
      <c r="Y442" s="623"/>
      <c r="Z442" s="2012"/>
      <c r="AA442" s="623"/>
      <c r="AB442" s="130" cm="1">
        <f t="array" ref="AB442">D442</f>
        <v>11</v>
      </c>
      <c r="AC442" s="131" t="s">
        <v>1826</v>
      </c>
      <c r="AD442" s="130" t="s">
        <v>563</v>
      </c>
      <c r="AE442" s="705">
        <f ca="1">SUMIFS(Баланс!AE$26:AE$300,Баланс!$F$26:$F$300,$F442,Баланс!$G$26:$G$300,"ПО")</f>
        <v>2881.4542799999999</v>
      </c>
      <c r="AF442" s="705">
        <f ca="1">SUMIFS(Баланс!AF$26:AF$300,Баланс!$F$26:$F$300,$F442,Баланс!$G$26:$G$300,"ПО")</f>
        <v>2636.9479999999999</v>
      </c>
      <c r="AG442" s="705">
        <f ca="1">SUMIFS(Баланс!AG$26:AG$300,Баланс!$F$26:$F$300,$F442,Баланс!$G$26:$G$300,"ПО")</f>
        <v>2636.9479999999999</v>
      </c>
      <c r="AH442" s="706">
        <f t="shared" ca="1" si="108"/>
        <v>0</v>
      </c>
      <c r="AI442" s="706">
        <f ca="1">SUMIFS(Баланс!AH$26:AH$300,Баланс!$F$26:$F$300,$F442,Баланс!$G$26:$G$300,"ПО")</f>
        <v>2881.4542799999999</v>
      </c>
      <c r="AJ442" s="706">
        <f ca="1">SUMIFS(Баланс!AI$26:AI$300,Баланс!$F$26:$F$300,$F442,Баланс!$G$26:$G$300,"ПО")</f>
        <v>2636.9479999999999</v>
      </c>
      <c r="AK442" s="706">
        <f ca="1">SUMIFS(Баланс!AJ$26:AJ$300,Баланс!$F$26:$F$300,$F442,Баланс!$G$26:$G$300,"ПО")</f>
        <v>0</v>
      </c>
      <c r="AL442" s="706">
        <f ca="1">SUMIFS(Баланс!AK$26:AK$300,Баланс!$F$26:$F$300,$F442,Баланс!$G$26:$G$300,"ПО")</f>
        <v>0</v>
      </c>
      <c r="AM442" s="706">
        <f ca="1">SUMIFS(Баланс!AL$26:AL$300,Баланс!$F$26:$F$300,$F442,Баланс!$G$26:$G$300,"ПО")</f>
        <v>0</v>
      </c>
      <c r="AN442" s="706">
        <f ca="1">SUMIFS(Баланс!AM$26:AM$300,Баланс!$F$26:$F$300,$F442,Баланс!$G$26:$G$300,"ПО")</f>
        <v>0</v>
      </c>
      <c r="AO442" s="706">
        <f ca="1">SUMIFS(Баланс!AN$26:AN$300,Баланс!$F$26:$F$300,$F442,Баланс!$G$26:$G$300,"ПО")</f>
        <v>0</v>
      </c>
      <c r="AP442" s="706">
        <f ca="1">SUMIFS(Баланс!AO$26:AO$300,Баланс!$F$26:$F$300,$F442,Баланс!$G$26:$G$300,"ПО")</f>
        <v>0</v>
      </c>
      <c r="AQ442" s="706">
        <f ca="1">SUMIFS(Баланс!AP$26:AP$300,Баланс!$F$26:$F$300,$F442,Баланс!$G$26:$G$300,"ПО")</f>
        <v>0</v>
      </c>
      <c r="AR442" s="706">
        <f ca="1">SUMIFS(Баланс!AQ$26:AQ$300,Баланс!$F$26:$F$300,$F442,Баланс!$G$26:$G$300,"ПО")</f>
        <v>0</v>
      </c>
      <c r="AS442" s="706">
        <f ca="1">SUMIFS(Баланс!AR$26:AR$300,Баланс!$F$26:$F$300,$F442,Баланс!$G$26:$G$300,"ПО")</f>
        <v>0</v>
      </c>
      <c r="AT442" s="706">
        <f ca="1">SUMIFS(Баланс!AS$26:AS$300,Баланс!$F$26:$F$300,$F442,Баланс!$G$26:$G$300,"ПО")</f>
        <v>2451.4411899999996</v>
      </c>
      <c r="AU442" s="706">
        <f ca="1">SUMIFS(Баланс!AT$26:AT$300,Баланс!$F$26:$F$300,$F442,Баланс!$G$26:$G$300,"ПО")</f>
        <v>0</v>
      </c>
      <c r="AV442" s="706">
        <f ca="1">SUMIFS(Баланс!AU$26:AU$300,Баланс!$F$26:$F$300,$F442,Баланс!$G$26:$G$300,"ПО")</f>
        <v>0</v>
      </c>
      <c r="AW442" s="706">
        <f ca="1">SUMIFS(Баланс!AV$26:AV$300,Баланс!$F$26:$F$300,$F442,Баланс!$G$26:$G$300,"ПО")</f>
        <v>0</v>
      </c>
      <c r="AX442" s="706">
        <f ca="1">SUMIFS(Баланс!AW$26:AW$300,Баланс!$F$26:$F$300,$F442,Баланс!$G$26:$G$300,"ПО")</f>
        <v>0</v>
      </c>
      <c r="AY442" s="706">
        <f ca="1">SUMIFS(Баланс!AX$26:AX$300,Баланс!$F$26:$F$300,$F442,Баланс!$G$26:$G$300,"ПО")</f>
        <v>0</v>
      </c>
      <c r="AZ442" s="706">
        <f ca="1">SUMIFS(Баланс!AY$26:AY$300,Баланс!$F$26:$F$300,$F442,Баланс!$G$26:$G$300,"ПО")</f>
        <v>0</v>
      </c>
      <c r="BA442" s="706">
        <f ca="1">SUMIFS(Баланс!AZ$26:AZ$300,Баланс!$F$26:$F$300,$F442,Баланс!$G$26:$G$300,"ПО")</f>
        <v>0</v>
      </c>
      <c r="BB442" s="706">
        <f ca="1">SUMIFS(Баланс!BA$26:BA$300,Баланс!$F$26:$F$300,$F442,Баланс!$G$26:$G$300,"ПО")</f>
        <v>0</v>
      </c>
      <c r="BC442" s="706">
        <f ca="1">SUMIFS(Баланс!BB$26:BB$300,Баланс!$F$26:$F$300,$F442,Баланс!$G$26:$G$300,"ПО")</f>
        <v>0</v>
      </c>
      <c r="BD442" s="684"/>
      <c r="BE442" s="684"/>
      <c r="BF442" s="684"/>
      <c r="BG442" s="684"/>
      <c r="BH442" s="684"/>
      <c r="BI442" s="684"/>
      <c r="BJ442" s="684"/>
      <c r="BK442" s="684"/>
      <c r="BL442" s="684"/>
      <c r="BM442" s="684"/>
      <c r="BN442" s="1581"/>
      <c r="BO442" s="1581" t="s">
        <v>2219</v>
      </c>
      <c r="BP442" s="1581"/>
      <c r="BQ442" s="623"/>
      <c r="BR442" s="623"/>
      <c r="BS442" s="972" t="s">
        <v>1827</v>
      </c>
      <c r="BT442" s="979"/>
      <c r="BU442" s="979"/>
      <c r="BV442" s="630"/>
      <c r="BW442" s="630"/>
    </row>
    <row r="443" spans="1:75" s="1334" customFormat="1" ht="14.65" customHeight="1" x14ac:dyDescent="0.25">
      <c r="A443" s="1184"/>
      <c r="B443" s="887"/>
      <c r="C443" s="1184"/>
      <c r="D443" s="26" cm="1">
        <f t="array" ref="D443">D442</f>
        <v>11</v>
      </c>
      <c r="E443" s="626">
        <v>15</v>
      </c>
      <c r="F443" s="3" t="str" cm="1">
        <f t="array" aca="1" ref="F443" ca="1">OFFSET(E443,-1,1)</f>
        <v>2</v>
      </c>
      <c r="G443" s="77" t="s">
        <v>1624</v>
      </c>
      <c r="H443" s="1184"/>
      <c r="I443" s="77" t="s">
        <v>2153</v>
      </c>
      <c r="J443" s="1184"/>
      <c r="K443" s="77" t="s">
        <v>2153</v>
      </c>
      <c r="L443" s="889" t="s">
        <v>1828</v>
      </c>
      <c r="M443" s="26"/>
      <c r="N443" s="1184"/>
      <c r="O443" s="1184"/>
      <c r="P443" s="1184"/>
      <c r="Q443" s="1184"/>
      <c r="R443" s="1184"/>
      <c r="S443" s="1184"/>
      <c r="T443" s="388" t="b" cm="1">
        <f t="array" aca="1" ref="T443" ca="1">T442</f>
        <v>1</v>
      </c>
      <c r="U443" s="1184"/>
      <c r="V443" s="1184"/>
      <c r="W443" s="1184"/>
      <c r="X443" s="2032"/>
      <c r="Y443" s="1184"/>
      <c r="Z443" s="2012"/>
      <c r="AA443" s="1184"/>
      <c r="AB443" s="218" t="str">
        <f>D443&amp;".1"</f>
        <v>11.1</v>
      </c>
      <c r="AC443" s="1019" t="s">
        <v>1830</v>
      </c>
      <c r="AD443" s="218" t="s">
        <v>563</v>
      </c>
      <c r="AE443" s="1570">
        <v>1440.72714</v>
      </c>
      <c r="AF443" s="1570">
        <f ca="1">AF442/2</f>
        <v>1318.4739999999999</v>
      </c>
      <c r="AG443" s="1570">
        <f ca="1">AG442/2</f>
        <v>1318.4739999999999</v>
      </c>
      <c r="AH443" s="853">
        <f t="shared" ca="1" si="108"/>
        <v>0</v>
      </c>
      <c r="AI443" s="1519">
        <v>1440.72714</v>
      </c>
      <c r="AJ443" s="1570">
        <f ca="1">IF(god=2026,AJ442/12*9,AJ442/2)</f>
        <v>1977.711</v>
      </c>
      <c r="AK443" s="1167">
        <f ca="1">IF(god=2025,AK442/12*9,AK442/2)</f>
        <v>0</v>
      </c>
      <c r="AL443" s="1168">
        <f t="shared" ref="AL443:AS443" ca="1" si="109">AL442/2</f>
        <v>0</v>
      </c>
      <c r="AM443" s="1168">
        <f t="shared" ca="1" si="109"/>
        <v>0</v>
      </c>
      <c r="AN443" s="1168">
        <f t="shared" ca="1" si="109"/>
        <v>0</v>
      </c>
      <c r="AO443" s="1168">
        <f t="shared" ca="1" si="109"/>
        <v>0</v>
      </c>
      <c r="AP443" s="1168">
        <f t="shared" ca="1" si="109"/>
        <v>0</v>
      </c>
      <c r="AQ443" s="1519">
        <f t="shared" ca="1" si="109"/>
        <v>0</v>
      </c>
      <c r="AR443" s="1519">
        <f t="shared" ca="1" si="109"/>
        <v>0</v>
      </c>
      <c r="AS443" s="1519">
        <f t="shared" ca="1" si="109"/>
        <v>0</v>
      </c>
      <c r="AT443" s="1519">
        <f ca="1">IF(god=2026,AT442/12*9,AT442/2)</f>
        <v>1838.5808924999997</v>
      </c>
      <c r="AU443" s="1168">
        <f ca="1">IF(god=2025,AU442/12*9,AU442/2)</f>
        <v>0</v>
      </c>
      <c r="AV443" s="1168">
        <f t="shared" ref="AV443:BC443" ca="1" si="110">AV442/2</f>
        <v>0</v>
      </c>
      <c r="AW443" s="1168">
        <f t="shared" ca="1" si="110"/>
        <v>0</v>
      </c>
      <c r="AX443" s="1168">
        <f t="shared" ca="1" si="110"/>
        <v>0</v>
      </c>
      <c r="AY443" s="1168">
        <f t="shared" ca="1" si="110"/>
        <v>0</v>
      </c>
      <c r="AZ443" s="1168">
        <f t="shared" ca="1" si="110"/>
        <v>0</v>
      </c>
      <c r="BA443" s="1519">
        <f t="shared" ca="1" si="110"/>
        <v>0</v>
      </c>
      <c r="BB443" s="1519">
        <f t="shared" ca="1" si="110"/>
        <v>0</v>
      </c>
      <c r="BC443" s="1519">
        <f t="shared" ca="1" si="110"/>
        <v>0</v>
      </c>
      <c r="BD443" s="854"/>
      <c r="BE443" s="854"/>
      <c r="BF443" s="854"/>
      <c r="BG443" s="854"/>
      <c r="BH443" s="854"/>
      <c r="BI443" s="854"/>
      <c r="BJ443" s="854"/>
      <c r="BK443" s="854"/>
      <c r="BL443" s="854"/>
      <c r="BM443" s="854"/>
      <c r="BN443" s="1581"/>
      <c r="BO443" s="1581"/>
      <c r="BP443" s="1581"/>
      <c r="BQ443" s="1184"/>
      <c r="BR443" s="1184"/>
      <c r="BS443" s="971" t="s">
        <v>1831</v>
      </c>
      <c r="BT443" s="973"/>
      <c r="BU443" s="973"/>
      <c r="BV443" s="888"/>
      <c r="BW443" s="888"/>
    </row>
    <row r="444" spans="1:75" s="1334" customFormat="1" ht="14.65" customHeight="1" x14ac:dyDescent="0.25">
      <c r="A444" s="1184"/>
      <c r="B444" s="887"/>
      <c r="C444" s="1184"/>
      <c r="D444" s="26" cm="1">
        <f t="array" ref="D444">D443</f>
        <v>11</v>
      </c>
      <c r="E444" s="626">
        <v>15</v>
      </c>
      <c r="F444" s="3" t="str" cm="1">
        <f t="array" aca="1" ref="F444" ca="1">OFFSET(E444,-1,1)</f>
        <v>2</v>
      </c>
      <c r="G444" s="77" t="s">
        <v>1585</v>
      </c>
      <c r="H444" s="1184"/>
      <c r="I444" s="77" t="s">
        <v>2154</v>
      </c>
      <c r="J444" s="1184"/>
      <c r="K444" s="77" t="s">
        <v>2154</v>
      </c>
      <c r="L444" s="889" t="s">
        <v>1832</v>
      </c>
      <c r="M444" s="26"/>
      <c r="N444" s="1184"/>
      <c r="O444" s="1184"/>
      <c r="P444" s="1184"/>
      <c r="Q444" s="1184"/>
      <c r="R444" s="1184"/>
      <c r="S444" s="1184"/>
      <c r="T444" s="388" t="b" cm="1">
        <f t="array" aca="1" ref="T444" ca="1">T443</f>
        <v>1</v>
      </c>
      <c r="U444" s="1184"/>
      <c r="V444" s="1184"/>
      <c r="W444" s="1184"/>
      <c r="X444" s="2032"/>
      <c r="Y444" s="1184"/>
      <c r="Z444" s="2012"/>
      <c r="AA444" s="1184"/>
      <c r="AB444" s="218" t="str">
        <f>D444&amp;".2"</f>
        <v>11.2</v>
      </c>
      <c r="AC444" s="1019" t="s">
        <v>1834</v>
      </c>
      <c r="AD444" s="218" t="s">
        <v>1588</v>
      </c>
      <c r="AE444" s="1567">
        <v>39.815189084300002</v>
      </c>
      <c r="AF444" s="1567">
        <v>41.504955729123203</v>
      </c>
      <c r="AG444" s="1567">
        <v>38.123560208653302</v>
      </c>
      <c r="AH444" s="855">
        <f t="shared" si="108"/>
        <v>-3.3813955204699013</v>
      </c>
      <c r="AI444" s="1521">
        <v>39.815189084300002</v>
      </c>
      <c r="AJ444" s="1521">
        <v>58.055926775954603</v>
      </c>
      <c r="AK444" s="1169"/>
      <c r="AL444" s="1169"/>
      <c r="AM444" s="1169"/>
      <c r="AN444" s="1169"/>
      <c r="AO444" s="1169"/>
      <c r="AP444" s="1169"/>
      <c r="AQ444" s="1521"/>
      <c r="AR444" s="1521"/>
      <c r="AS444" s="1521"/>
      <c r="AT444" s="1521">
        <v>41.6493438603</v>
      </c>
      <c r="AU444" s="1169" cm="1">
        <f t="array" ref="AU444">AT446</f>
        <v>42.17</v>
      </c>
      <c r="AV444" s="1169" cm="1">
        <f t="array" aca="1" ref="AV444" ca="1">AU446</f>
        <v>0</v>
      </c>
      <c r="AW444" s="1169" cm="1">
        <f t="array" aca="1" ref="AW444" ca="1">AV446</f>
        <v>0</v>
      </c>
      <c r="AX444" s="1169" cm="1">
        <f t="array" aca="1" ref="AX444" ca="1">AW446</f>
        <v>0</v>
      </c>
      <c r="AY444" s="1169" cm="1">
        <f t="array" aca="1" ref="AY444" ca="1">AX446</f>
        <v>0</v>
      </c>
      <c r="AZ444" s="1169" cm="1">
        <f t="array" aca="1" ref="AZ444" ca="1">AY446</f>
        <v>0</v>
      </c>
      <c r="BA444" s="1521" cm="1">
        <f t="array" aca="1" ref="BA444" ca="1">AZ446</f>
        <v>0</v>
      </c>
      <c r="BB444" s="1521" cm="1">
        <f t="array" aca="1" ref="BB444" ca="1">BA446</f>
        <v>0</v>
      </c>
      <c r="BC444" s="1521" cm="1">
        <f t="array" aca="1" ref="BC444" ca="1">BB446</f>
        <v>0</v>
      </c>
      <c r="BD444" s="854"/>
      <c r="BE444" s="854"/>
      <c r="BF444" s="854"/>
      <c r="BG444" s="854"/>
      <c r="BH444" s="854"/>
      <c r="BI444" s="854"/>
      <c r="BJ444" s="854"/>
      <c r="BK444" s="854"/>
      <c r="BL444" s="854"/>
      <c r="BM444" s="854"/>
      <c r="BN444" s="1581"/>
      <c r="BO444" s="1581" t="s">
        <v>2220</v>
      </c>
      <c r="BP444" s="1581"/>
      <c r="BQ444" s="1184"/>
      <c r="BR444" s="1184"/>
      <c r="BS444" s="971" t="s">
        <v>1835</v>
      </c>
      <c r="BT444" s="973"/>
      <c r="BU444" s="973"/>
      <c r="BV444" s="888"/>
      <c r="BW444" s="888"/>
    </row>
    <row r="445" spans="1:75" s="1334" customFormat="1" ht="14.25" customHeight="1" x14ac:dyDescent="0.25">
      <c r="A445" s="1184"/>
      <c r="B445" s="887"/>
      <c r="C445" s="1184"/>
      <c r="D445" s="26" cm="1">
        <f t="array" ref="D445">D444</f>
        <v>11</v>
      </c>
      <c r="E445" s="626">
        <v>15</v>
      </c>
      <c r="F445" s="3" t="str" cm="1">
        <f t="array" aca="1" ref="F445" ca="1">OFFSET(E445,-1,1)</f>
        <v>2</v>
      </c>
      <c r="G445" s="77" t="s">
        <v>1637</v>
      </c>
      <c r="H445" s="1184"/>
      <c r="I445" s="77" t="s">
        <v>2155</v>
      </c>
      <c r="J445" s="1184"/>
      <c r="K445" s="77" t="s">
        <v>2155</v>
      </c>
      <c r="L445" s="889" t="s">
        <v>1836</v>
      </c>
      <c r="M445" s="26"/>
      <c r="N445" s="1184"/>
      <c r="O445" s="1184"/>
      <c r="P445" s="1184"/>
      <c r="Q445" s="1184"/>
      <c r="R445" s="1184"/>
      <c r="S445" s="1184"/>
      <c r="T445" s="388" t="b" cm="1">
        <f t="array" aca="1" ref="T445" ca="1">T444</f>
        <v>1</v>
      </c>
      <c r="U445" s="1184"/>
      <c r="V445" s="1184"/>
      <c r="W445" s="1184"/>
      <c r="X445" s="2032"/>
      <c r="Y445" s="1184"/>
      <c r="Z445" s="2012"/>
      <c r="AA445" s="1184"/>
      <c r="AB445" s="218" t="str">
        <f>D445&amp;".3"</f>
        <v>11.3</v>
      </c>
      <c r="AC445" s="1019" t="s">
        <v>2156</v>
      </c>
      <c r="AD445" s="218" t="s">
        <v>563</v>
      </c>
      <c r="AE445" s="858">
        <f ca="1">AE442-AE443</f>
        <v>1440.72714</v>
      </c>
      <c r="AF445" s="858">
        <f ca="1">AF442-AF443</f>
        <v>1318.4739999999999</v>
      </c>
      <c r="AG445" s="858">
        <f ca="1">AG442-AG443</f>
        <v>1318.4739999999999</v>
      </c>
      <c r="AH445" s="853">
        <f t="shared" ca="1" si="108"/>
        <v>0</v>
      </c>
      <c r="AI445" s="744">
        <f t="shared" ref="AI445:BC445" ca="1" si="111">AI442-AI443</f>
        <v>1440.72714</v>
      </c>
      <c r="AJ445" s="744">
        <f t="shared" ca="1" si="111"/>
        <v>659.23699999999985</v>
      </c>
      <c r="AK445" s="744">
        <f t="shared" ca="1" si="111"/>
        <v>0</v>
      </c>
      <c r="AL445" s="744">
        <f t="shared" ca="1" si="111"/>
        <v>0</v>
      </c>
      <c r="AM445" s="744">
        <f t="shared" ca="1" si="111"/>
        <v>0</v>
      </c>
      <c r="AN445" s="744">
        <f t="shared" ca="1" si="111"/>
        <v>0</v>
      </c>
      <c r="AO445" s="744">
        <f t="shared" ca="1" si="111"/>
        <v>0</v>
      </c>
      <c r="AP445" s="744">
        <f t="shared" ca="1" si="111"/>
        <v>0</v>
      </c>
      <c r="AQ445" s="744">
        <f t="shared" ca="1" si="111"/>
        <v>0</v>
      </c>
      <c r="AR445" s="744">
        <f t="shared" ca="1" si="111"/>
        <v>0</v>
      </c>
      <c r="AS445" s="744">
        <f t="shared" ca="1" si="111"/>
        <v>0</v>
      </c>
      <c r="AT445" s="744">
        <f t="shared" ca="1" si="111"/>
        <v>612.86029749999989</v>
      </c>
      <c r="AU445" s="744">
        <f t="shared" ca="1" si="111"/>
        <v>0</v>
      </c>
      <c r="AV445" s="744">
        <f t="shared" ca="1" si="111"/>
        <v>0</v>
      </c>
      <c r="AW445" s="744">
        <f t="shared" ca="1" si="111"/>
        <v>0</v>
      </c>
      <c r="AX445" s="744">
        <f t="shared" ca="1" si="111"/>
        <v>0</v>
      </c>
      <c r="AY445" s="744">
        <f t="shared" ca="1" si="111"/>
        <v>0</v>
      </c>
      <c r="AZ445" s="744">
        <f t="shared" ca="1" si="111"/>
        <v>0</v>
      </c>
      <c r="BA445" s="744">
        <f t="shared" ca="1" si="111"/>
        <v>0</v>
      </c>
      <c r="BB445" s="744">
        <f t="shared" ca="1" si="111"/>
        <v>0</v>
      </c>
      <c r="BC445" s="744">
        <f t="shared" ca="1" si="111"/>
        <v>0</v>
      </c>
      <c r="BD445" s="854"/>
      <c r="BE445" s="854"/>
      <c r="BF445" s="854"/>
      <c r="BG445" s="854"/>
      <c r="BH445" s="854"/>
      <c r="BI445" s="854"/>
      <c r="BJ445" s="854"/>
      <c r="BK445" s="854"/>
      <c r="BL445" s="854"/>
      <c r="BM445" s="854"/>
      <c r="BN445" s="1581"/>
      <c r="BO445" s="1581"/>
      <c r="BP445" s="1581"/>
      <c r="BQ445" s="1184"/>
      <c r="BR445" s="1184"/>
      <c r="BS445" s="971" t="s">
        <v>1839</v>
      </c>
      <c r="BT445" s="973"/>
      <c r="BU445" s="973"/>
      <c r="BV445" s="888"/>
      <c r="BW445" s="888"/>
    </row>
    <row r="446" spans="1:75" s="1334" customFormat="1" ht="14.65" customHeight="1" x14ac:dyDescent="0.25">
      <c r="A446" s="1184"/>
      <c r="B446" s="887"/>
      <c r="C446" s="1184"/>
      <c r="D446" s="26" cm="1">
        <f t="array" ref="D446">D445</f>
        <v>11</v>
      </c>
      <c r="E446" s="626">
        <v>15</v>
      </c>
      <c r="F446" s="3" t="str" cm="1">
        <f t="array" aca="1" ref="F446" ca="1">OFFSET(E446,-1,1)</f>
        <v>2</v>
      </c>
      <c r="G446" s="77" t="s">
        <v>1590</v>
      </c>
      <c r="H446" s="1184"/>
      <c r="I446" s="77" t="s">
        <v>2157</v>
      </c>
      <c r="J446" s="1184"/>
      <c r="K446" s="77" t="s">
        <v>2157</v>
      </c>
      <c r="L446" s="889" t="s">
        <v>1840</v>
      </c>
      <c r="M446" s="26"/>
      <c r="N446" s="1184"/>
      <c r="O446" s="1184"/>
      <c r="P446" s="1184"/>
      <c r="Q446" s="1184"/>
      <c r="R446" s="1184"/>
      <c r="S446" s="1184"/>
      <c r="T446" s="388" t="b" cm="1">
        <f t="array" aca="1" ref="T446" ca="1">T445</f>
        <v>1</v>
      </c>
      <c r="U446" s="1184"/>
      <c r="V446" s="1184"/>
      <c r="W446" s="1184"/>
      <c r="X446" s="2032"/>
      <c r="Y446" s="1184"/>
      <c r="Z446" s="2012"/>
      <c r="AA446" s="1184"/>
      <c r="AB446" s="218" t="str">
        <f>D446&amp;".4"</f>
        <v>11.4</v>
      </c>
      <c r="AC446" s="1019" t="s">
        <v>1842</v>
      </c>
      <c r="AD446" s="218" t="s">
        <v>1588</v>
      </c>
      <c r="AE446" s="1567">
        <v>39.8151932966</v>
      </c>
      <c r="AF446" s="1567">
        <f ca="1">IF(AF445=0,0,(AF439-AF443*AF444)/AF445)</f>
        <v>41.504955729123218</v>
      </c>
      <c r="AG446" s="1567">
        <f ca="1">IF(AG445=0,0,(AG439-AG443*AG444)/AG445)</f>
        <v>38.123556652655985</v>
      </c>
      <c r="AH446" s="855">
        <f t="shared" ca="1" si="108"/>
        <v>-3.3813990764672326</v>
      </c>
      <c r="AI446" s="1521">
        <v>41.6493438603</v>
      </c>
      <c r="AJ446" s="1521">
        <f t="shared" ref="AJ446:AS446" ca="1" si="112">IF(AJ445=0,0,(AJ439-AJ443*AJ444)/AJ445)</f>
        <v>58.055926775954688</v>
      </c>
      <c r="AK446" s="1169">
        <f t="shared" ca="1" si="112"/>
        <v>0</v>
      </c>
      <c r="AL446" s="1169">
        <f t="shared" ca="1" si="112"/>
        <v>0</v>
      </c>
      <c r="AM446" s="1169">
        <f t="shared" ca="1" si="112"/>
        <v>0</v>
      </c>
      <c r="AN446" s="1169">
        <f t="shared" ca="1" si="112"/>
        <v>0</v>
      </c>
      <c r="AO446" s="1169">
        <f t="shared" ca="1" si="112"/>
        <v>0</v>
      </c>
      <c r="AP446" s="1169">
        <f t="shared" ca="1" si="112"/>
        <v>0</v>
      </c>
      <c r="AQ446" s="1521">
        <f t="shared" ca="1" si="112"/>
        <v>0</v>
      </c>
      <c r="AR446" s="1521">
        <f t="shared" ca="1" si="112"/>
        <v>0</v>
      </c>
      <c r="AS446" s="1521">
        <f t="shared" ca="1" si="112"/>
        <v>0</v>
      </c>
      <c r="AT446" s="1521">
        <v>42.17</v>
      </c>
      <c r="AU446" s="1169">
        <f t="shared" ref="AU446:BC446" ca="1" si="113">IF(AU445=0,0,(AU439-AU443*AU444)/AU445)</f>
        <v>0</v>
      </c>
      <c r="AV446" s="1169">
        <f t="shared" ca="1" si="113"/>
        <v>0</v>
      </c>
      <c r="AW446" s="1169">
        <f t="shared" ca="1" si="113"/>
        <v>0</v>
      </c>
      <c r="AX446" s="1169">
        <f t="shared" ca="1" si="113"/>
        <v>0</v>
      </c>
      <c r="AY446" s="1169">
        <f t="shared" ca="1" si="113"/>
        <v>0</v>
      </c>
      <c r="AZ446" s="1169">
        <f t="shared" ca="1" si="113"/>
        <v>0</v>
      </c>
      <c r="BA446" s="1521">
        <f t="shared" ca="1" si="113"/>
        <v>0</v>
      </c>
      <c r="BB446" s="1521">
        <f t="shared" ca="1" si="113"/>
        <v>0</v>
      </c>
      <c r="BC446" s="1521">
        <f t="shared" ca="1" si="113"/>
        <v>0</v>
      </c>
      <c r="BD446" s="854"/>
      <c r="BE446" s="854"/>
      <c r="BF446" s="854"/>
      <c r="BG446" s="854"/>
      <c r="BH446" s="854"/>
      <c r="BI446" s="854"/>
      <c r="BJ446" s="854"/>
      <c r="BK446" s="854"/>
      <c r="BL446" s="854"/>
      <c r="BM446" s="854"/>
      <c r="BN446" s="1581"/>
      <c r="BO446" s="1581"/>
      <c r="BP446" s="1581"/>
      <c r="BQ446" s="1184"/>
      <c r="BR446" s="1184"/>
      <c r="BS446" s="971" t="s">
        <v>1843</v>
      </c>
      <c r="BT446" s="973"/>
      <c r="BU446" s="973"/>
      <c r="BV446" s="888"/>
      <c r="BW446" s="888"/>
    </row>
    <row r="447" spans="1:75" s="1334" customFormat="1" ht="14.25" customHeight="1" x14ac:dyDescent="0.25">
      <c r="A447" s="1184"/>
      <c r="B447" s="887"/>
      <c r="C447" s="1184"/>
      <c r="D447" s="26" cm="1">
        <f t="array" ref="D447">D446</f>
        <v>11</v>
      </c>
      <c r="E447" s="626">
        <v>15</v>
      </c>
      <c r="F447" s="3" t="str" cm="1">
        <f t="array" aca="1" ref="F447" ca="1">OFFSET(E447,-1,1)</f>
        <v>2</v>
      </c>
      <c r="G447" s="1184"/>
      <c r="H447" s="1184"/>
      <c r="I447" s="77" t="s">
        <v>2158</v>
      </c>
      <c r="J447" s="1184"/>
      <c r="K447" s="77" t="s">
        <v>2158</v>
      </c>
      <c r="L447" s="889" t="s">
        <v>1844</v>
      </c>
      <c r="M447" s="26"/>
      <c r="N447" s="1184"/>
      <c r="O447" s="1184"/>
      <c r="P447" s="1184"/>
      <c r="Q447" s="1184"/>
      <c r="R447" s="1184"/>
      <c r="S447" s="1184"/>
      <c r="T447" s="388" t="b" cm="1">
        <f t="array" aca="1" ref="T447" ca="1">T446</f>
        <v>1</v>
      </c>
      <c r="U447" s="1184"/>
      <c r="V447" s="1184"/>
      <c r="W447" s="1184"/>
      <c r="X447" s="2032"/>
      <c r="Y447" s="1184"/>
      <c r="Z447" s="2012"/>
      <c r="AA447" s="1184"/>
      <c r="AB447" s="218" t="str">
        <f>D447&amp;".5"</f>
        <v>11.5</v>
      </c>
      <c r="AC447" s="1019" t="s">
        <v>1846</v>
      </c>
      <c r="AD447" s="218" t="s">
        <v>490</v>
      </c>
      <c r="AE447" s="177">
        <f>IF(AE444=0,0,AE446/AE444*100)</f>
        <v>100.00001057963077</v>
      </c>
      <c r="AF447" s="177">
        <f ca="1">IF(AF444=0,0,AF446/AF444*100)</f>
        <v>100.00000000000004</v>
      </c>
      <c r="AG447" s="177">
        <f ca="1">IF(AG444=0,0,AG446/AG444*100)</f>
        <v>99.999990672441669</v>
      </c>
      <c r="AH447" s="854"/>
      <c r="AI447" s="722">
        <f t="shared" ref="AI447:BC447" si="114">IF(AI444=0,0,AI446/AI444*100)</f>
        <v>104.60667101722554</v>
      </c>
      <c r="AJ447" s="722">
        <f t="shared" ca="1" si="114"/>
        <v>100.00000000000016</v>
      </c>
      <c r="AK447" s="722">
        <f t="shared" si="114"/>
        <v>0</v>
      </c>
      <c r="AL447" s="722">
        <f t="shared" si="114"/>
        <v>0</v>
      </c>
      <c r="AM447" s="722">
        <f t="shared" si="114"/>
        <v>0</v>
      </c>
      <c r="AN447" s="722">
        <f t="shared" si="114"/>
        <v>0</v>
      </c>
      <c r="AO447" s="722">
        <f t="shared" si="114"/>
        <v>0</v>
      </c>
      <c r="AP447" s="722">
        <f t="shared" si="114"/>
        <v>0</v>
      </c>
      <c r="AQ447" s="722">
        <f t="shared" si="114"/>
        <v>0</v>
      </c>
      <c r="AR447" s="722">
        <f t="shared" si="114"/>
        <v>0</v>
      </c>
      <c r="AS447" s="722">
        <f t="shared" si="114"/>
        <v>0</v>
      </c>
      <c r="AT447" s="722">
        <f t="shared" si="114"/>
        <v>101.25009445874198</v>
      </c>
      <c r="AU447" s="722">
        <f t="shared" ca="1" si="114"/>
        <v>0</v>
      </c>
      <c r="AV447" s="722">
        <f t="shared" ca="1" si="114"/>
        <v>0</v>
      </c>
      <c r="AW447" s="722">
        <f t="shared" ca="1" si="114"/>
        <v>0</v>
      </c>
      <c r="AX447" s="722">
        <f t="shared" ca="1" si="114"/>
        <v>0</v>
      </c>
      <c r="AY447" s="722">
        <f t="shared" ca="1" si="114"/>
        <v>0</v>
      </c>
      <c r="AZ447" s="722">
        <f t="shared" ca="1" si="114"/>
        <v>0</v>
      </c>
      <c r="BA447" s="722">
        <f t="shared" ca="1" si="114"/>
        <v>0</v>
      </c>
      <c r="BB447" s="722">
        <f t="shared" ca="1" si="114"/>
        <v>0</v>
      </c>
      <c r="BC447" s="722">
        <f t="shared" ca="1" si="114"/>
        <v>0</v>
      </c>
      <c r="BD447" s="854"/>
      <c r="BE447" s="854"/>
      <c r="BF447" s="854"/>
      <c r="BG447" s="854"/>
      <c r="BH447" s="854"/>
      <c r="BI447" s="854"/>
      <c r="BJ447" s="854"/>
      <c r="BK447" s="854"/>
      <c r="BL447" s="854"/>
      <c r="BM447" s="854"/>
      <c r="BN447" s="1581"/>
      <c r="BO447" s="1581"/>
      <c r="BP447" s="1581"/>
      <c r="BQ447" s="1184"/>
      <c r="BR447" s="1184"/>
      <c r="BS447" s="971" t="s">
        <v>1847</v>
      </c>
      <c r="BT447" s="973"/>
      <c r="BU447" s="973"/>
      <c r="BV447" s="888"/>
      <c r="BW447" s="888"/>
    </row>
    <row r="448" spans="1:75" s="1334" customFormat="1" ht="14.65" customHeight="1" x14ac:dyDescent="0.25">
      <c r="A448" s="1184"/>
      <c r="B448" s="887"/>
      <c r="C448" s="1184"/>
      <c r="D448" s="26" cm="1">
        <f t="array" ref="D448">D447</f>
        <v>11</v>
      </c>
      <c r="E448" s="626">
        <v>15</v>
      </c>
      <c r="F448" s="3" t="str" cm="1">
        <f t="array" aca="1" ref="F448" ca="1">OFFSET(E448,-1,1)</f>
        <v>2</v>
      </c>
      <c r="G448" s="1184"/>
      <c r="H448" s="1184"/>
      <c r="I448" s="77" t="s">
        <v>2159</v>
      </c>
      <c r="J448" s="1184"/>
      <c r="K448" s="77" t="s">
        <v>2159</v>
      </c>
      <c r="L448" s="889" t="s">
        <v>1848</v>
      </c>
      <c r="M448" s="26"/>
      <c r="N448" s="1184"/>
      <c r="O448" s="1184"/>
      <c r="P448" s="1184"/>
      <c r="Q448" s="1184"/>
      <c r="R448" s="1184"/>
      <c r="S448" s="1184"/>
      <c r="T448" s="388" t="b" cm="1">
        <f t="array" aca="1" ref="T448" ca="1">T447</f>
        <v>1</v>
      </c>
      <c r="U448" s="1184"/>
      <c r="V448" s="1184"/>
      <c r="W448" s="1184"/>
      <c r="X448" s="2032"/>
      <c r="Y448" s="1184"/>
      <c r="Z448" s="2012"/>
      <c r="AA448" s="1184"/>
      <c r="AB448" s="218" t="str">
        <f>D448&amp;".6"</f>
        <v>11.6</v>
      </c>
      <c r="AC448" s="1019" t="s">
        <v>1850</v>
      </c>
      <c r="AD448" s="218" t="s">
        <v>1588</v>
      </c>
      <c r="AE448" s="1567">
        <v>39.815191190500002</v>
      </c>
      <c r="AF448" s="1567">
        <f ca="1">IF(AF442=0,0,AF439/AF442)</f>
        <v>41.504955729123211</v>
      </c>
      <c r="AG448" s="1567">
        <f ca="1">IF(AG442=0,0,AG439/AG442)</f>
        <v>38.12355843065464</v>
      </c>
      <c r="AH448" s="855">
        <f ca="1">AG448-AF448</f>
        <v>-3.3813972984685705</v>
      </c>
      <c r="AI448" s="1521">
        <v>40.732266472299997</v>
      </c>
      <c r="AJ448" s="1521">
        <f t="shared" ref="AJ448:AS448" ca="1" si="115">IF(AJ442=0,0,AJ439/AJ442)</f>
        <v>58.055926775954624</v>
      </c>
      <c r="AK448" s="1169">
        <f t="shared" ca="1" si="115"/>
        <v>0</v>
      </c>
      <c r="AL448" s="1169">
        <f t="shared" ca="1" si="115"/>
        <v>0</v>
      </c>
      <c r="AM448" s="1169">
        <f t="shared" ca="1" si="115"/>
        <v>0</v>
      </c>
      <c r="AN448" s="1169">
        <f t="shared" ca="1" si="115"/>
        <v>0</v>
      </c>
      <c r="AO448" s="1169">
        <f t="shared" ca="1" si="115"/>
        <v>0</v>
      </c>
      <c r="AP448" s="1169">
        <f t="shared" ca="1" si="115"/>
        <v>0</v>
      </c>
      <c r="AQ448" s="1521">
        <f t="shared" ca="1" si="115"/>
        <v>0</v>
      </c>
      <c r="AR448" s="1521">
        <f t="shared" ca="1" si="115"/>
        <v>0</v>
      </c>
      <c r="AS448" s="1521">
        <f t="shared" ca="1" si="115"/>
        <v>0</v>
      </c>
      <c r="AT448" s="1521">
        <v>41.78</v>
      </c>
      <c r="AU448" s="1169">
        <f t="shared" ref="AU448:BC448" ca="1" si="116">IF(AU442=0,0,AU439/AU442)</f>
        <v>0</v>
      </c>
      <c r="AV448" s="1169">
        <f t="shared" ca="1" si="116"/>
        <v>0</v>
      </c>
      <c r="AW448" s="1169">
        <f t="shared" ca="1" si="116"/>
        <v>0</v>
      </c>
      <c r="AX448" s="1169">
        <f t="shared" ca="1" si="116"/>
        <v>0</v>
      </c>
      <c r="AY448" s="1169">
        <f t="shared" ca="1" si="116"/>
        <v>0</v>
      </c>
      <c r="AZ448" s="1169">
        <f t="shared" ca="1" si="116"/>
        <v>0</v>
      </c>
      <c r="BA448" s="1521">
        <f t="shared" ca="1" si="116"/>
        <v>0</v>
      </c>
      <c r="BB448" s="1521">
        <f t="shared" ca="1" si="116"/>
        <v>0</v>
      </c>
      <c r="BC448" s="1521">
        <f t="shared" ca="1" si="116"/>
        <v>0</v>
      </c>
      <c r="BD448" s="854"/>
      <c r="BE448" s="854"/>
      <c r="BF448" s="854"/>
      <c r="BG448" s="854"/>
      <c r="BH448" s="854"/>
      <c r="BI448" s="854"/>
      <c r="BJ448" s="854"/>
      <c r="BK448" s="854"/>
      <c r="BL448" s="854"/>
      <c r="BM448" s="854"/>
      <c r="BN448" s="1581"/>
      <c r="BO448" s="1581"/>
      <c r="BP448" s="1581"/>
      <c r="BQ448" s="1184"/>
      <c r="BR448" s="1184"/>
      <c r="BS448" s="971" t="s">
        <v>1851</v>
      </c>
      <c r="BT448" s="973"/>
      <c r="BU448" s="973"/>
      <c r="BV448" s="888"/>
      <c r="BW448" s="888"/>
    </row>
    <row r="449" spans="1:75" s="1612" customFormat="1" ht="20.45" customHeight="1" x14ac:dyDescent="0.25">
      <c r="A449" s="623"/>
      <c r="B449" s="357"/>
      <c r="C449" s="623"/>
      <c r="D449" s="28">
        <f>D448+1</f>
        <v>12</v>
      </c>
      <c r="E449" s="630">
        <v>21</v>
      </c>
      <c r="F449" s="3" t="str" cm="1">
        <f t="array" aca="1" ref="F449" ca="1">OFFSET(E449,-1,1)</f>
        <v>2</v>
      </c>
      <c r="G449" s="623"/>
      <c r="H449" s="77"/>
      <c r="I449" s="77" t="s">
        <v>1856</v>
      </c>
      <c r="J449" s="623"/>
      <c r="K449" s="77" t="s">
        <v>1856</v>
      </c>
      <c r="L449" s="894" t="s">
        <v>1852</v>
      </c>
      <c r="M449" s="28"/>
      <c r="N449" s="623"/>
      <c r="O449" s="623"/>
      <c r="P449" s="623"/>
      <c r="Q449" s="623"/>
      <c r="R449" s="623"/>
      <c r="S449" s="623"/>
      <c r="T449" s="388" t="b" cm="1">
        <f t="array" aca="1" ref="T449" ca="1">T448</f>
        <v>1</v>
      </c>
      <c r="U449" s="623"/>
      <c r="V449" s="623"/>
      <c r="W449" s="623"/>
      <c r="X449" s="2032"/>
      <c r="Y449" s="623"/>
      <c r="Z449" s="2012"/>
      <c r="AA449" s="623"/>
      <c r="AB449" s="130" cm="1">
        <f t="array" ref="AB449">D449</f>
        <v>12</v>
      </c>
      <c r="AC449" s="131" t="s">
        <v>1854</v>
      </c>
      <c r="AD449" s="130" t="s">
        <v>831</v>
      </c>
      <c r="AE449" s="1520">
        <v>81667.743630979196</v>
      </c>
      <c r="AF449" s="1520">
        <f ca="1">IF(AF442=0,0,AF439/AF442*AF450)</f>
        <v>62293.542905169146</v>
      </c>
      <c r="AG449" s="1520">
        <f ca="1">IF(AG442=0,0,AG439/AG442*AG450)</f>
        <v>57218.505141816626</v>
      </c>
      <c r="AH449" s="690">
        <f ca="1">AH451*AH452+AH453*AH454</f>
        <v>0</v>
      </c>
      <c r="AI449" s="1571">
        <v>83548.821349463193</v>
      </c>
      <c r="AJ449" s="1571">
        <f t="shared" ref="AJ449:BC449" ca="1" si="117">IF(AJ442=0,0,AJ439/AJ442*AJ450)</f>
        <v>87134.398820227012</v>
      </c>
      <c r="AK449" s="1170">
        <f t="shared" ca="1" si="117"/>
        <v>0</v>
      </c>
      <c r="AL449" s="1170">
        <f t="shared" ca="1" si="117"/>
        <v>0</v>
      </c>
      <c r="AM449" s="1170">
        <f t="shared" ca="1" si="117"/>
        <v>0</v>
      </c>
      <c r="AN449" s="1170">
        <f t="shared" ca="1" si="117"/>
        <v>0</v>
      </c>
      <c r="AO449" s="1170">
        <f t="shared" ca="1" si="117"/>
        <v>0</v>
      </c>
      <c r="AP449" s="1170">
        <f t="shared" ca="1" si="117"/>
        <v>0</v>
      </c>
      <c r="AQ449" s="1571">
        <f t="shared" ca="1" si="117"/>
        <v>0</v>
      </c>
      <c r="AR449" s="1571">
        <f t="shared" ca="1" si="117"/>
        <v>0</v>
      </c>
      <c r="AS449" s="1571">
        <f t="shared" ca="1" si="117"/>
        <v>0</v>
      </c>
      <c r="AT449" s="1571">
        <f t="shared" ca="1" si="117"/>
        <v>59626.106833467908</v>
      </c>
      <c r="AU449" s="1170">
        <f t="shared" ca="1" si="117"/>
        <v>0</v>
      </c>
      <c r="AV449" s="1170">
        <f t="shared" ca="1" si="117"/>
        <v>0</v>
      </c>
      <c r="AW449" s="1170">
        <f t="shared" ca="1" si="117"/>
        <v>0</v>
      </c>
      <c r="AX449" s="1170">
        <f t="shared" ca="1" si="117"/>
        <v>0</v>
      </c>
      <c r="AY449" s="1170">
        <f t="shared" ca="1" si="117"/>
        <v>0</v>
      </c>
      <c r="AZ449" s="1170">
        <f t="shared" ca="1" si="117"/>
        <v>0</v>
      </c>
      <c r="BA449" s="1571">
        <f t="shared" ca="1" si="117"/>
        <v>0</v>
      </c>
      <c r="BB449" s="1571">
        <f t="shared" ca="1" si="117"/>
        <v>0</v>
      </c>
      <c r="BC449" s="1571">
        <f t="shared" ca="1" si="117"/>
        <v>0</v>
      </c>
      <c r="BD449" s="681">
        <f ca="1">IF(AI449=0,0,(AT449-AI449)/AI449*100)</f>
        <v>-28.633216040155414</v>
      </c>
      <c r="BE449" s="681">
        <f t="shared" ref="BE449:BM449" ca="1" si="118">IF(AT449=0,0,(AU449-AT449)/AT449*100)</f>
        <v>-100</v>
      </c>
      <c r="BF449" s="681">
        <f t="shared" ca="1" si="118"/>
        <v>0</v>
      </c>
      <c r="BG449" s="681">
        <f t="shared" ca="1" si="118"/>
        <v>0</v>
      </c>
      <c r="BH449" s="681">
        <f t="shared" ca="1" si="118"/>
        <v>0</v>
      </c>
      <c r="BI449" s="681">
        <f t="shared" ca="1" si="118"/>
        <v>0</v>
      </c>
      <c r="BJ449" s="681">
        <f t="shared" ca="1" si="118"/>
        <v>0</v>
      </c>
      <c r="BK449" s="681">
        <f t="shared" ca="1" si="118"/>
        <v>0</v>
      </c>
      <c r="BL449" s="681">
        <f t="shared" ca="1" si="118"/>
        <v>0</v>
      </c>
      <c r="BM449" s="681">
        <f t="shared" ca="1" si="118"/>
        <v>0</v>
      </c>
      <c r="BN449" s="1581"/>
      <c r="BO449" s="1581"/>
      <c r="BP449" s="1581"/>
      <c r="BQ449" s="623"/>
      <c r="BR449" s="623"/>
      <c r="BS449" s="972" t="s">
        <v>1855</v>
      </c>
      <c r="BT449" s="979"/>
      <c r="BU449" s="979"/>
      <c r="BV449" s="630"/>
      <c r="BW449" s="630"/>
    </row>
    <row r="450" spans="1:75" s="1613" customFormat="1" ht="20.25" customHeight="1" x14ac:dyDescent="0.25">
      <c r="A450" s="623"/>
      <c r="B450" s="357"/>
      <c r="C450" s="623"/>
      <c r="D450" s="28">
        <f>D449+1</f>
        <v>13</v>
      </c>
      <c r="E450" s="630">
        <v>21</v>
      </c>
      <c r="F450" s="3" t="str" cm="1">
        <f t="array" aca="1" ref="F450" ca="1">OFFSET(E450,-1,1)</f>
        <v>2</v>
      </c>
      <c r="G450" s="77" t="s">
        <v>1610</v>
      </c>
      <c r="H450" s="77"/>
      <c r="I450" s="77" t="s">
        <v>2160</v>
      </c>
      <c r="J450" s="623"/>
      <c r="K450" s="77" t="s">
        <v>2160</v>
      </c>
      <c r="L450" s="894" t="s">
        <v>1856</v>
      </c>
      <c r="M450" s="28"/>
      <c r="N450" s="623"/>
      <c r="O450" s="623"/>
      <c r="P450" s="623"/>
      <c r="Q450" s="623"/>
      <c r="R450" s="623"/>
      <c r="S450" s="623"/>
      <c r="T450" s="388" t="b" cm="1">
        <f t="array" aca="1" ref="T450" ca="1">T449</f>
        <v>1</v>
      </c>
      <c r="U450" s="623"/>
      <c r="V450" s="623"/>
      <c r="W450" s="623"/>
      <c r="X450" s="2032"/>
      <c r="Y450" s="623"/>
      <c r="Z450" s="2012"/>
      <c r="AA450" s="623"/>
      <c r="AB450" s="130" cm="1">
        <f t="array" ref="AB450">D450</f>
        <v>13</v>
      </c>
      <c r="AC450" s="131" t="s">
        <v>1858</v>
      </c>
      <c r="AD450" s="130" t="s">
        <v>563</v>
      </c>
      <c r="AE450" s="705">
        <f ca="1">SUMIFS(Баланс!AE$26:AE$300,Баланс!$F$26:$F$300,$F450,Баланс!$G$26:$G$300,"население")</f>
        <v>2051.1704500000001</v>
      </c>
      <c r="AF450" s="705">
        <f ca="1">SUMIFS(Баланс!AF$26:AF$300,Баланс!$F$26:$F$300,$F450,Баланс!$G$26:$G$300,"население")</f>
        <v>1500.87</v>
      </c>
      <c r="AG450" s="705">
        <f ca="1">SUMIFS(Баланс!AG$26:AG$300,Баланс!$F$26:$F$300,$F450,Баланс!$G$26:$G$300,"население")</f>
        <v>1500.87</v>
      </c>
      <c r="AH450" s="706">
        <f ca="1">AG450-AF450</f>
        <v>0</v>
      </c>
      <c r="AI450" s="706">
        <f ca="1">SUMIFS(Баланс!AH$26:AH$300,Баланс!$F$26:$F$300,$F450,Баланс!$G$26:$G$300,"население")</f>
        <v>2051.1704500000001</v>
      </c>
      <c r="AJ450" s="706">
        <f ca="1">SUMIFS(Баланс!AI$26:AI$300,Баланс!$F$26:$F$300,$F450,Баланс!$G$26:$G$300,"население")</f>
        <v>1500.87</v>
      </c>
      <c r="AK450" s="706">
        <f ca="1">SUMIFS(Баланс!AJ$26:AJ$300,Баланс!$F$26:$F$300,$F450,Баланс!$G$26:$G$300,"население")</f>
        <v>0</v>
      </c>
      <c r="AL450" s="706">
        <f ca="1">SUMIFS(Баланс!AK$26:AK$300,Баланс!$F$26:$F$300,$F450,Баланс!$G$26:$G$300,"население")</f>
        <v>0</v>
      </c>
      <c r="AM450" s="706">
        <f ca="1">SUMIFS(Баланс!AL$26:AL$300,Баланс!$F$26:$F$300,$F450,Баланс!$G$26:$G$300,"население")</f>
        <v>0</v>
      </c>
      <c r="AN450" s="706">
        <f ca="1">SUMIFS(Баланс!AM$26:AM$300,Баланс!$F$26:$F$300,$F450,Баланс!$G$26:$G$300,"население")</f>
        <v>0</v>
      </c>
      <c r="AO450" s="706">
        <f ca="1">SUMIFS(Баланс!AN$26:AN$300,Баланс!$F$26:$F$300,$F450,Баланс!$G$26:$G$300,"население")</f>
        <v>0</v>
      </c>
      <c r="AP450" s="706">
        <f ca="1">SUMIFS(Баланс!AO$26:AO$300,Баланс!$F$26:$F$300,$F450,Баланс!$G$26:$G$300,"население")</f>
        <v>0</v>
      </c>
      <c r="AQ450" s="706">
        <f ca="1">SUMIFS(Баланс!AP$26:AP$300,Баланс!$F$26:$F$300,$F450,Баланс!$G$26:$G$300,"население")</f>
        <v>0</v>
      </c>
      <c r="AR450" s="706">
        <f ca="1">SUMIFS(Баланс!AQ$26:AQ$300,Баланс!$F$26:$F$300,$F450,Баланс!$G$26:$G$300,"население")</f>
        <v>0</v>
      </c>
      <c r="AS450" s="706">
        <f ca="1">SUMIFS(Баланс!AR$26:AR$300,Баланс!$F$26:$F$300,$F450,Баланс!$G$26:$G$300,"население")</f>
        <v>0</v>
      </c>
      <c r="AT450" s="706">
        <f ca="1">SUMIFS(Баланс!AS$26:AS$300,Баланс!$F$26:$F$300,$F450,Баланс!$G$26:$G$300,"население")</f>
        <v>1427.1029699999999</v>
      </c>
      <c r="AU450" s="706">
        <f ca="1">SUMIFS(Баланс!AT$26:AT$300,Баланс!$F$26:$F$300,$F450,Баланс!$G$26:$G$300,"население")</f>
        <v>0</v>
      </c>
      <c r="AV450" s="706">
        <f ca="1">SUMIFS(Баланс!AU$26:AU$300,Баланс!$F$26:$F$300,$F450,Баланс!$G$26:$G$300,"население")</f>
        <v>0</v>
      </c>
      <c r="AW450" s="706">
        <f ca="1">SUMIFS(Баланс!AV$26:AV$300,Баланс!$F$26:$F$300,$F450,Баланс!$G$26:$G$300,"население")</f>
        <v>0</v>
      </c>
      <c r="AX450" s="706">
        <f ca="1">SUMIFS(Баланс!AW$26:AW$300,Баланс!$F$26:$F$300,$F450,Баланс!$G$26:$G$300,"население")</f>
        <v>0</v>
      </c>
      <c r="AY450" s="706">
        <f ca="1">SUMIFS(Баланс!AX$26:AX$300,Баланс!$F$26:$F$300,$F450,Баланс!$G$26:$G$300,"население")</f>
        <v>0</v>
      </c>
      <c r="AZ450" s="706">
        <f ca="1">SUMIFS(Баланс!AY$26:AY$300,Баланс!$F$26:$F$300,$F450,Баланс!$G$26:$G$300,"население")</f>
        <v>0</v>
      </c>
      <c r="BA450" s="706">
        <f ca="1">SUMIFS(Баланс!AZ$26:AZ$300,Баланс!$F$26:$F$300,$F450,Баланс!$G$26:$G$300,"население")</f>
        <v>0</v>
      </c>
      <c r="BB450" s="706">
        <f ca="1">SUMIFS(Баланс!BA$26:BA$300,Баланс!$F$26:$F$300,$F450,Баланс!$G$26:$G$300,"население")</f>
        <v>0</v>
      </c>
      <c r="BC450" s="706">
        <f ca="1">SUMIFS(Баланс!BB$26:BB$300,Баланс!$F$26:$F$300,$F450,Баланс!$G$26:$G$300,"население")</f>
        <v>0</v>
      </c>
      <c r="BD450" s="684"/>
      <c r="BE450" s="684"/>
      <c r="BF450" s="684"/>
      <c r="BG450" s="684"/>
      <c r="BH450" s="684"/>
      <c r="BI450" s="684"/>
      <c r="BJ450" s="684"/>
      <c r="BK450" s="684"/>
      <c r="BL450" s="684"/>
      <c r="BM450" s="684"/>
      <c r="BN450" s="1581"/>
      <c r="BO450" s="1581"/>
      <c r="BP450" s="1581"/>
      <c r="BQ450" s="623"/>
      <c r="BR450" s="623"/>
      <c r="BS450" s="972" t="s">
        <v>1859</v>
      </c>
      <c r="BT450" s="979"/>
      <c r="BU450" s="979"/>
      <c r="BV450" s="630"/>
      <c r="BW450" s="630"/>
    </row>
    <row r="451" spans="1:75" s="1334" customFormat="1" ht="14.65" customHeight="1" x14ac:dyDescent="0.25">
      <c r="A451" s="1184"/>
      <c r="B451" s="887"/>
      <c r="C451" s="1184"/>
      <c r="D451" s="26" cm="1">
        <f t="array" ref="D451">D450</f>
        <v>13</v>
      </c>
      <c r="E451" s="626">
        <v>15</v>
      </c>
      <c r="F451" s="3" t="str" cm="1">
        <f t="array" aca="1" ref="F451" ca="1">OFFSET(E451,-1,1)</f>
        <v>2</v>
      </c>
      <c r="G451" s="77" t="s">
        <v>1644</v>
      </c>
      <c r="H451" s="1184"/>
      <c r="I451" s="77" t="s">
        <v>2161</v>
      </c>
      <c r="J451" s="1184"/>
      <c r="K451" s="77" t="s">
        <v>2161</v>
      </c>
      <c r="L451" s="889" t="s">
        <v>1860</v>
      </c>
      <c r="M451" s="26"/>
      <c r="N451" s="1184"/>
      <c r="O451" s="1184"/>
      <c r="P451" s="1184"/>
      <c r="Q451" s="1184"/>
      <c r="R451" s="1184"/>
      <c r="S451" s="1184"/>
      <c r="T451" s="388" t="b" cm="1">
        <f t="array" aca="1" ref="T451" ca="1">T450</f>
        <v>1</v>
      </c>
      <c r="U451" s="1184"/>
      <c r="V451" s="1184"/>
      <c r="W451" s="1184"/>
      <c r="X451" s="2032"/>
      <c r="Y451" s="1184"/>
      <c r="Z451" s="2012"/>
      <c r="AA451" s="1184"/>
      <c r="AB451" s="218" t="str">
        <f>D451&amp;".1"</f>
        <v>13.1</v>
      </c>
      <c r="AC451" s="1019" t="s">
        <v>1862</v>
      </c>
      <c r="AD451" s="218" t="s">
        <v>563</v>
      </c>
      <c r="AE451" s="1570">
        <v>1025.585225</v>
      </c>
      <c r="AF451" s="1570">
        <f ca="1">AF450/2</f>
        <v>750.43499999999995</v>
      </c>
      <c r="AG451" s="1570">
        <f ca="1">AG450/2</f>
        <v>750.43499999999995</v>
      </c>
      <c r="AH451" s="853">
        <f ca="1">AG451-AF451</f>
        <v>0</v>
      </c>
      <c r="AI451" s="1519">
        <v>1025.585225</v>
      </c>
      <c r="AJ451" s="1570">
        <f ca="1">IF(god=2026,AJ450/12*9,AJ450/2)</f>
        <v>1125.6524999999999</v>
      </c>
      <c r="AK451" s="1167">
        <f ca="1">IF(god=2025,AK450/12*9,AK450/2)</f>
        <v>0</v>
      </c>
      <c r="AL451" s="1168">
        <f t="shared" ref="AL451:AS451" ca="1" si="119">AL450/2</f>
        <v>0</v>
      </c>
      <c r="AM451" s="1168">
        <f t="shared" ca="1" si="119"/>
        <v>0</v>
      </c>
      <c r="AN451" s="1168">
        <f t="shared" ca="1" si="119"/>
        <v>0</v>
      </c>
      <c r="AO451" s="1168">
        <f t="shared" ca="1" si="119"/>
        <v>0</v>
      </c>
      <c r="AP451" s="1168">
        <f t="shared" ca="1" si="119"/>
        <v>0</v>
      </c>
      <c r="AQ451" s="1519">
        <f t="shared" ca="1" si="119"/>
        <v>0</v>
      </c>
      <c r="AR451" s="1519">
        <f t="shared" ca="1" si="119"/>
        <v>0</v>
      </c>
      <c r="AS451" s="1519">
        <f t="shared" ca="1" si="119"/>
        <v>0</v>
      </c>
      <c r="AT451" s="1519">
        <f ca="1">IF(god=2026,AT450/12*9,AT450/2)</f>
        <v>1070.3272274999999</v>
      </c>
      <c r="AU451" s="1168">
        <f ca="1">IF(god=2025,AU450/12*9,AU450/2)</f>
        <v>0</v>
      </c>
      <c r="AV451" s="1168">
        <f t="shared" ref="AV451:BC451" ca="1" si="120">AV450/2</f>
        <v>0</v>
      </c>
      <c r="AW451" s="1168">
        <f t="shared" ca="1" si="120"/>
        <v>0</v>
      </c>
      <c r="AX451" s="1168">
        <f t="shared" ca="1" si="120"/>
        <v>0</v>
      </c>
      <c r="AY451" s="1168">
        <f t="shared" ca="1" si="120"/>
        <v>0</v>
      </c>
      <c r="AZ451" s="1168">
        <f t="shared" ca="1" si="120"/>
        <v>0</v>
      </c>
      <c r="BA451" s="1519">
        <f t="shared" ca="1" si="120"/>
        <v>0</v>
      </c>
      <c r="BB451" s="1519">
        <f t="shared" ca="1" si="120"/>
        <v>0</v>
      </c>
      <c r="BC451" s="1519">
        <f t="shared" ca="1" si="120"/>
        <v>0</v>
      </c>
      <c r="BD451" s="854"/>
      <c r="BE451" s="854"/>
      <c r="BF451" s="854"/>
      <c r="BG451" s="854"/>
      <c r="BH451" s="854"/>
      <c r="BI451" s="854"/>
      <c r="BJ451" s="854"/>
      <c r="BK451" s="854"/>
      <c r="BL451" s="854"/>
      <c r="BM451" s="854"/>
      <c r="BN451" s="1581"/>
      <c r="BO451" s="1581"/>
      <c r="BP451" s="1581"/>
      <c r="BQ451" s="1184"/>
      <c r="BR451" s="1184"/>
      <c r="BS451" s="971" t="s">
        <v>1863</v>
      </c>
      <c r="BT451" s="973"/>
      <c r="BU451" s="973"/>
      <c r="BV451" s="888"/>
      <c r="BW451" s="888"/>
    </row>
    <row r="452" spans="1:75" s="1334" customFormat="1" ht="14.65" customHeight="1" x14ac:dyDescent="0.25">
      <c r="A452" s="1184"/>
      <c r="B452" s="887"/>
      <c r="C452" s="1184"/>
      <c r="D452" s="26" cm="1">
        <f t="array" ref="D452">D451</f>
        <v>13</v>
      </c>
      <c r="E452" s="626">
        <v>15</v>
      </c>
      <c r="F452" s="3" t="str" cm="1">
        <f t="array" aca="1" ref="F452" ca="1">OFFSET(E452,-1,1)</f>
        <v>2</v>
      </c>
      <c r="G452" s="77" t="s">
        <v>1600</v>
      </c>
      <c r="H452" s="1184"/>
      <c r="I452" s="77" t="s">
        <v>2162</v>
      </c>
      <c r="J452" s="1184"/>
      <c r="K452" s="77" t="s">
        <v>2162</v>
      </c>
      <c r="L452" s="889" t="s">
        <v>1864</v>
      </c>
      <c r="M452" s="26"/>
      <c r="N452" s="1184"/>
      <c r="O452" s="1184"/>
      <c r="P452" s="1184"/>
      <c r="Q452" s="1184"/>
      <c r="R452" s="1184"/>
      <c r="S452" s="1184"/>
      <c r="T452" s="388" t="b" cm="1">
        <f t="array" aca="1" ref="T452" ca="1">T451</f>
        <v>1</v>
      </c>
      <c r="U452" s="1184"/>
      <c r="V452" s="1184"/>
      <c r="W452" s="1184"/>
      <c r="X452" s="2032"/>
      <c r="Y452" s="1184"/>
      <c r="Z452" s="2012"/>
      <c r="AA452" s="1184"/>
      <c r="AB452" s="218" t="str">
        <f>D452&amp;".2"</f>
        <v>13.2</v>
      </c>
      <c r="AC452" s="1019" t="s">
        <v>1866</v>
      </c>
      <c r="AD452" s="218" t="s">
        <v>1588</v>
      </c>
      <c r="AE452" s="1521">
        <v>39.815189084300002</v>
      </c>
      <c r="AF452" s="1521">
        <f ca="1">IF(AF450=0,0,AF444*(1+Сценарии!AF$26))</f>
        <v>41.504955729123203</v>
      </c>
      <c r="AG452" s="1521">
        <f ca="1">IF(AG450=0,0,AG444*(1+Сценарии!AG$26))</f>
        <v>38.123560208653302</v>
      </c>
      <c r="AH452" s="855">
        <f ca="1">AG452-AF452</f>
        <v>-3.3813955204699013</v>
      </c>
      <c r="AI452" s="1521">
        <v>39.815189084300002</v>
      </c>
      <c r="AJ452" s="1521">
        <f ca="1">IF(AJ450=0,0,AJ444*(1+Сценарии!AJ$26))</f>
        <v>58.055926775954603</v>
      </c>
      <c r="AK452" s="1169">
        <f ca="1">IF(AK450=0,0,AK444*(1+Сценарии!AO$26))</f>
        <v>0</v>
      </c>
      <c r="AL452" s="1169">
        <f ca="1">IF(AL450=0,0,AL444*(1+Сценарии!AP$26))</f>
        <v>0</v>
      </c>
      <c r="AM452" s="1169">
        <f ca="1">IF(AM450=0,0,AM444*(1+Сценарии!AQ$26))</f>
        <v>0</v>
      </c>
      <c r="AN452" s="1169">
        <f ca="1">IF(AN450=0,0,AN444*(1+Сценарии!AR$26))</f>
        <v>0</v>
      </c>
      <c r="AO452" s="1169">
        <f ca="1">IF(AO450=0,0,AO444*(1+Сценарии!AS$26))</f>
        <v>0</v>
      </c>
      <c r="AP452" s="1169">
        <f ca="1">IF(AP450=0,0,AP444*(1+Сценарии!AT$26))</f>
        <v>0</v>
      </c>
      <c r="AQ452" s="1521">
        <f ca="1">IF(AQ450=0,0,AQ444*(1+Сценарии!AU$26))</f>
        <v>0</v>
      </c>
      <c r="AR452" s="1521">
        <f ca="1">IF(AR450=0,0,AR444*(1+Сценарии!AV$26))</f>
        <v>0</v>
      </c>
      <c r="AS452" s="1521">
        <f ca="1">IF(AS450=0,0,AS444*(1+Сценарии!AW$26))</f>
        <v>0</v>
      </c>
      <c r="AT452" s="1521">
        <f ca="1">IF(AT450=0,0,AT444*(1+Сценарии!AK$26))</f>
        <v>41.6493438603</v>
      </c>
      <c r="AU452" s="1169">
        <f ca="1">IF(AU450=0,0,AU444*(1+Сценарии!AX$26))</f>
        <v>0</v>
      </c>
      <c r="AV452" s="1169">
        <f ca="1">IF(AV450=0,0,AV444*(1+Сценарии!AY$26))</f>
        <v>0</v>
      </c>
      <c r="AW452" s="1169">
        <f ca="1">IF(AW450=0,0,AW444*(1+Сценарии!AZ$26))</f>
        <v>0</v>
      </c>
      <c r="AX452" s="1169">
        <f ca="1">IF(AX450=0,0,AX444*(1+Сценарии!BA$26))</f>
        <v>0</v>
      </c>
      <c r="AY452" s="1169">
        <f ca="1">IF(AY450=0,0,AY444*(1+Сценарии!BB$26))</f>
        <v>0</v>
      </c>
      <c r="AZ452" s="1169">
        <f ca="1">IF(AZ450=0,0,AZ444*(1+Сценарии!BC$26))</f>
        <v>0</v>
      </c>
      <c r="BA452" s="1521">
        <f ca="1">IF(BA450=0,0,BA444*(1+Сценарии!BD$26))</f>
        <v>0</v>
      </c>
      <c r="BB452" s="1521">
        <f ca="1">IF(BB450=0,0,BB444*(1+Сценарии!BE$26))</f>
        <v>0</v>
      </c>
      <c r="BC452" s="1521">
        <f ca="1">IF(BC450=0,0,BC444*(1+Сценарии!BF$26))</f>
        <v>0</v>
      </c>
      <c r="BD452" s="854"/>
      <c r="BE452" s="854"/>
      <c r="BF452" s="854"/>
      <c r="BG452" s="854"/>
      <c r="BH452" s="854"/>
      <c r="BI452" s="854"/>
      <c r="BJ452" s="854"/>
      <c r="BK452" s="854"/>
      <c r="BL452" s="854"/>
      <c r="BM452" s="854"/>
      <c r="BN452" s="1581"/>
      <c r="BO452" s="1581"/>
      <c r="BP452" s="1581"/>
      <c r="BQ452" s="1184"/>
      <c r="BR452" s="1184"/>
      <c r="BS452" s="971" t="s">
        <v>1867</v>
      </c>
      <c r="BT452" s="973"/>
      <c r="BU452" s="973"/>
      <c r="BV452" s="888"/>
      <c r="BW452" s="888"/>
    </row>
    <row r="453" spans="1:75" s="1334" customFormat="1" ht="14.25" customHeight="1" x14ac:dyDescent="0.25">
      <c r="A453" s="1184"/>
      <c r="B453" s="15"/>
      <c r="C453" s="26"/>
      <c r="D453" s="26" cm="1">
        <f t="array" ref="D453">D452</f>
        <v>13</v>
      </c>
      <c r="E453" s="545">
        <v>15</v>
      </c>
      <c r="F453" s="3" t="str" cm="1">
        <f t="array" aca="1" ref="F453" ca="1">OFFSET(E453,-1,1)</f>
        <v>2</v>
      </c>
      <c r="G453" s="26" t="s">
        <v>1651</v>
      </c>
      <c r="H453" s="26"/>
      <c r="I453" s="26" t="s">
        <v>2163</v>
      </c>
      <c r="J453" s="26"/>
      <c r="K453" s="26" t="s">
        <v>2163</v>
      </c>
      <c r="L453" s="889" t="s">
        <v>1868</v>
      </c>
      <c r="M453" s="26"/>
      <c r="N453" s="26"/>
      <c r="O453" s="26"/>
      <c r="P453" s="26"/>
      <c r="Q453" s="26"/>
      <c r="R453" s="26"/>
      <c r="S453" s="26"/>
      <c r="T453" s="388" t="b" cm="1">
        <f t="array" aca="1" ref="T453" ca="1">T452</f>
        <v>1</v>
      </c>
      <c r="U453" s="26"/>
      <c r="V453" s="26"/>
      <c r="W453" s="26"/>
      <c r="X453" s="2032"/>
      <c r="Y453" s="1184"/>
      <c r="Z453" s="2012"/>
      <c r="AA453" s="1184"/>
      <c r="AB453" s="218" t="str">
        <f>D453&amp;".3"</f>
        <v>13.3</v>
      </c>
      <c r="AC453" s="1019" t="s">
        <v>1838</v>
      </c>
      <c r="AD453" s="218" t="s">
        <v>563</v>
      </c>
      <c r="AE453" s="858">
        <f ca="1">AE450-AE451</f>
        <v>1025.585225</v>
      </c>
      <c r="AF453" s="858">
        <f ca="1">AF450-AF451</f>
        <v>750.43499999999995</v>
      </c>
      <c r="AG453" s="858">
        <f ca="1">AG450-AG451</f>
        <v>750.43499999999995</v>
      </c>
      <c r="AH453" s="853">
        <f ca="1">AG453-AF453</f>
        <v>0</v>
      </c>
      <c r="AI453" s="744">
        <f t="shared" ref="AI453:BC453" ca="1" si="121">AI450-AI451</f>
        <v>1025.585225</v>
      </c>
      <c r="AJ453" s="744">
        <f t="shared" ca="1" si="121"/>
        <v>375.21749999999997</v>
      </c>
      <c r="AK453" s="744">
        <f t="shared" ca="1" si="121"/>
        <v>0</v>
      </c>
      <c r="AL453" s="744">
        <f t="shared" ca="1" si="121"/>
        <v>0</v>
      </c>
      <c r="AM453" s="744">
        <f t="shared" ca="1" si="121"/>
        <v>0</v>
      </c>
      <c r="AN453" s="744">
        <f t="shared" ca="1" si="121"/>
        <v>0</v>
      </c>
      <c r="AO453" s="744">
        <f t="shared" ca="1" si="121"/>
        <v>0</v>
      </c>
      <c r="AP453" s="744">
        <f t="shared" ca="1" si="121"/>
        <v>0</v>
      </c>
      <c r="AQ453" s="744">
        <f t="shared" ca="1" si="121"/>
        <v>0</v>
      </c>
      <c r="AR453" s="744">
        <f t="shared" ca="1" si="121"/>
        <v>0</v>
      </c>
      <c r="AS453" s="744">
        <f t="shared" ca="1" si="121"/>
        <v>0</v>
      </c>
      <c r="AT453" s="744">
        <f t="shared" ca="1" si="121"/>
        <v>356.77574249999998</v>
      </c>
      <c r="AU453" s="744">
        <f t="shared" ca="1" si="121"/>
        <v>0</v>
      </c>
      <c r="AV453" s="744">
        <f t="shared" ca="1" si="121"/>
        <v>0</v>
      </c>
      <c r="AW453" s="744">
        <f t="shared" ca="1" si="121"/>
        <v>0</v>
      </c>
      <c r="AX453" s="744">
        <f t="shared" ca="1" si="121"/>
        <v>0</v>
      </c>
      <c r="AY453" s="744">
        <f t="shared" ca="1" si="121"/>
        <v>0</v>
      </c>
      <c r="AZ453" s="744">
        <f t="shared" ca="1" si="121"/>
        <v>0</v>
      </c>
      <c r="BA453" s="744">
        <f t="shared" ca="1" si="121"/>
        <v>0</v>
      </c>
      <c r="BB453" s="744">
        <f t="shared" ca="1" si="121"/>
        <v>0</v>
      </c>
      <c r="BC453" s="744">
        <f t="shared" ca="1" si="121"/>
        <v>0</v>
      </c>
      <c r="BD453" s="854"/>
      <c r="BE453" s="854"/>
      <c r="BF453" s="854"/>
      <c r="BG453" s="854"/>
      <c r="BH453" s="854"/>
      <c r="BI453" s="854"/>
      <c r="BJ453" s="854"/>
      <c r="BK453" s="854"/>
      <c r="BL453" s="854"/>
      <c r="BM453" s="854"/>
      <c r="BN453" s="1581"/>
      <c r="BO453" s="1581"/>
      <c r="BP453" s="1581"/>
      <c r="BQ453" s="1184"/>
      <c r="BR453" s="1184"/>
      <c r="BS453" s="971" t="s">
        <v>1870</v>
      </c>
      <c r="BT453" s="973"/>
      <c r="BU453" s="973"/>
      <c r="BV453" s="888"/>
      <c r="BW453" s="888"/>
    </row>
    <row r="454" spans="1:75" s="1334" customFormat="1" ht="14.65" customHeight="1" x14ac:dyDescent="0.25">
      <c r="A454" s="1184"/>
      <c r="B454" s="15"/>
      <c r="C454" s="26"/>
      <c r="D454" s="26" cm="1">
        <f t="array" ref="D454">D453</f>
        <v>13</v>
      </c>
      <c r="E454" s="545">
        <v>15</v>
      </c>
      <c r="F454" s="3" t="str" cm="1">
        <f t="array" aca="1" ref="F454" ca="1">OFFSET(E454,-1,1)</f>
        <v>2</v>
      </c>
      <c r="G454" s="26" t="s">
        <v>1604</v>
      </c>
      <c r="H454" s="26"/>
      <c r="I454" s="26" t="s">
        <v>2164</v>
      </c>
      <c r="J454" s="26"/>
      <c r="K454" s="26" t="s">
        <v>2164</v>
      </c>
      <c r="L454" s="889" t="s">
        <v>1871</v>
      </c>
      <c r="M454" s="26"/>
      <c r="N454" s="26"/>
      <c r="O454" s="26"/>
      <c r="P454" s="26"/>
      <c r="Q454" s="26"/>
      <c r="R454" s="26"/>
      <c r="S454" s="26"/>
      <c r="T454" s="388" t="b" cm="1">
        <f t="array" aca="1" ref="T454" ca="1">T453</f>
        <v>1</v>
      </c>
      <c r="U454" s="26"/>
      <c r="V454" s="26"/>
      <c r="W454" s="26"/>
      <c r="X454" s="2032"/>
      <c r="Y454" s="1184"/>
      <c r="Z454" s="2012"/>
      <c r="AA454" s="1184"/>
      <c r="AB454" s="218" t="str">
        <f>D454&amp;".4"</f>
        <v>13.4</v>
      </c>
      <c r="AC454" s="1019" t="s">
        <v>1842</v>
      </c>
      <c r="AD454" s="218" t="s">
        <v>1588</v>
      </c>
      <c r="AE454" s="1521">
        <v>39.8151932966</v>
      </c>
      <c r="AF454" s="1521">
        <f ca="1">IF(AF450=0,0,AF446*(1+Сценарии!AF$26))</f>
        <v>41.504955729123218</v>
      </c>
      <c r="AG454" s="1521">
        <f ca="1">IF(AG450=0,0,AG446*(1+Сценарии!AG$26))</f>
        <v>38.123556652655985</v>
      </c>
      <c r="AH454" s="855">
        <f ca="1">AG454-AF454</f>
        <v>-3.3813990764672326</v>
      </c>
      <c r="AI454" s="1521">
        <v>41.6493438603</v>
      </c>
      <c r="AJ454" s="1521">
        <f ca="1">IF(AJ450=0,0,AJ446*(1+Сценарии!AJ$26))</f>
        <v>58.055926775954688</v>
      </c>
      <c r="AK454" s="1169">
        <f ca="1">IF(AK450=0,0,AK446*(1+Сценарии!AO$26))</f>
        <v>0</v>
      </c>
      <c r="AL454" s="1169">
        <f ca="1">IF(AL450=0,0,AL446*(1+Сценарии!AP$26))</f>
        <v>0</v>
      </c>
      <c r="AM454" s="1169">
        <f ca="1">IF(AM450=0,0,AM446*(1+Сценарии!AQ$26))</f>
        <v>0</v>
      </c>
      <c r="AN454" s="1169">
        <f ca="1">IF(AN450=0,0,AN446*(1+Сценарии!AR$26))</f>
        <v>0</v>
      </c>
      <c r="AO454" s="1169">
        <f ca="1">IF(AO450=0,0,AO446*(1+Сценарии!AS$26))</f>
        <v>0</v>
      </c>
      <c r="AP454" s="1169">
        <f ca="1">IF(AP450=0,0,AP446*(1+Сценарии!AT$26))</f>
        <v>0</v>
      </c>
      <c r="AQ454" s="1521">
        <f ca="1">IF(AQ450=0,0,AQ446*(1+Сценарии!AU$26))</f>
        <v>0</v>
      </c>
      <c r="AR454" s="1521">
        <f ca="1">IF(AR450=0,0,AR446*(1+Сценарии!AV$26))</f>
        <v>0</v>
      </c>
      <c r="AS454" s="1521">
        <f ca="1">IF(AS450=0,0,AS446*(1+Сценарии!AW$26))</f>
        <v>0</v>
      </c>
      <c r="AT454" s="1521">
        <f ca="1">IF(AT450=0,0,AT446*(1+Сценарии!AK$26))</f>
        <v>42.17</v>
      </c>
      <c r="AU454" s="1169">
        <f ca="1">IF(AU450=0,0,AU446*(1+Сценарии!AX$26))</f>
        <v>0</v>
      </c>
      <c r="AV454" s="1169">
        <f ca="1">IF(AV450=0,0,AV446*(1+Сценарии!AY$26))</f>
        <v>0</v>
      </c>
      <c r="AW454" s="1169">
        <f ca="1">IF(AW450=0,0,AW446*(1+Сценарии!AZ$26))</f>
        <v>0</v>
      </c>
      <c r="AX454" s="1169">
        <f ca="1">IF(AX450=0,0,AX446*(1+Сценарии!BA$26))</f>
        <v>0</v>
      </c>
      <c r="AY454" s="1169">
        <f ca="1">IF(AY450=0,0,AY446*(1+Сценарии!BB$26))</f>
        <v>0</v>
      </c>
      <c r="AZ454" s="1169">
        <f ca="1">IF(AZ450=0,0,AZ446*(1+Сценарии!BC$26))</f>
        <v>0</v>
      </c>
      <c r="BA454" s="1521">
        <f ca="1">IF(BA450=0,0,BA446*(1+Сценарии!BD$26))</f>
        <v>0</v>
      </c>
      <c r="BB454" s="1521">
        <f ca="1">IF(BB450=0,0,BB446*(1+Сценарии!BE$26))</f>
        <v>0</v>
      </c>
      <c r="BC454" s="1521">
        <f ca="1">IF(BC450=0,0,BC446*(1+Сценарии!BF$26))</f>
        <v>0</v>
      </c>
      <c r="BD454" s="854"/>
      <c r="BE454" s="854"/>
      <c r="BF454" s="854"/>
      <c r="BG454" s="854"/>
      <c r="BH454" s="854"/>
      <c r="BI454" s="854"/>
      <c r="BJ454" s="854"/>
      <c r="BK454" s="854"/>
      <c r="BL454" s="854"/>
      <c r="BM454" s="854"/>
      <c r="BN454" s="1581"/>
      <c r="BO454" s="1581"/>
      <c r="BP454" s="1581"/>
      <c r="BQ454" s="1184"/>
      <c r="BR454" s="1184"/>
      <c r="BS454" s="971" t="s">
        <v>1874</v>
      </c>
      <c r="BT454" s="973"/>
      <c r="BU454" s="973"/>
      <c r="BV454" s="888"/>
      <c r="BW454" s="888"/>
    </row>
    <row r="455" spans="1:75" s="1334" customFormat="1" ht="14.25" customHeight="1" x14ac:dyDescent="0.25">
      <c r="A455" s="1184"/>
      <c r="B455" s="15"/>
      <c r="C455" s="26"/>
      <c r="D455" s="26">
        <f>D454+1</f>
        <v>14</v>
      </c>
      <c r="E455" s="545">
        <v>15</v>
      </c>
      <c r="F455" s="3" t="str" cm="1">
        <f t="array" aca="1" ref="F455" ca="1">OFFSET(E455,-1,1)</f>
        <v>2</v>
      </c>
      <c r="G455" s="26"/>
      <c r="H455" s="26"/>
      <c r="I455" s="26"/>
      <c r="J455" s="26"/>
      <c r="K455" s="26"/>
      <c r="L455" s="889"/>
      <c r="M455" s="26"/>
      <c r="N455" s="26"/>
      <c r="O455" s="26"/>
      <c r="P455" s="26"/>
      <c r="Q455" s="26"/>
      <c r="R455" s="26"/>
      <c r="S455" s="26"/>
      <c r="T455" s="388" t="b" cm="1">
        <f t="array" aca="1" ref="T455" ca="1">T454</f>
        <v>1</v>
      </c>
      <c r="U455" s="26"/>
      <c r="V455" s="26"/>
      <c r="W455" s="26"/>
      <c r="X455" s="2032"/>
      <c r="Y455" s="1184"/>
      <c r="Z455" s="2012"/>
      <c r="AA455" s="1184"/>
      <c r="AB455" s="130" cm="1">
        <f t="array" ref="AB455">D455</f>
        <v>14</v>
      </c>
      <c r="AC455" s="131" t="s">
        <v>1876</v>
      </c>
      <c r="AD455" s="130" t="s">
        <v>831</v>
      </c>
      <c r="AE455" s="1567"/>
      <c r="AF455" s="1567"/>
      <c r="AG455" s="1567"/>
      <c r="AH455" s="855"/>
      <c r="AI455" s="1521"/>
      <c r="AJ455" s="1521"/>
      <c r="AK455" s="1169"/>
      <c r="AL455" s="1169"/>
      <c r="AM455" s="1169"/>
      <c r="AN455" s="1169"/>
      <c r="AO455" s="1169"/>
      <c r="AP455" s="1169"/>
      <c r="AQ455" s="1521"/>
      <c r="AR455" s="1521"/>
      <c r="AS455" s="1521"/>
      <c r="AT455" s="1521"/>
      <c r="AU455" s="1169"/>
      <c r="AV455" s="1169"/>
      <c r="AW455" s="1169"/>
      <c r="AX455" s="1169"/>
      <c r="AY455" s="1169"/>
      <c r="AZ455" s="1169"/>
      <c r="BA455" s="1521"/>
      <c r="BB455" s="1521"/>
      <c r="BC455" s="1521"/>
      <c r="BD455" s="854"/>
      <c r="BE455" s="854"/>
      <c r="BF455" s="854"/>
      <c r="BG455" s="854"/>
      <c r="BH455" s="854"/>
      <c r="BI455" s="854"/>
      <c r="BJ455" s="854"/>
      <c r="BK455" s="854"/>
      <c r="BL455" s="854"/>
      <c r="BM455" s="854"/>
      <c r="BN455" s="1581"/>
      <c r="BO455" s="1581"/>
      <c r="BP455" s="1581"/>
      <c r="BQ455" s="1184"/>
      <c r="BR455" s="1184"/>
      <c r="BS455" s="971" t="s">
        <v>1877</v>
      </c>
      <c r="BT455" s="973"/>
      <c r="BU455" s="973"/>
      <c r="BV455" s="888"/>
      <c r="BW455" s="888"/>
    </row>
    <row r="456" spans="1:75" s="1334" customFormat="1" ht="20.25" customHeight="1" x14ac:dyDescent="0.25">
      <c r="A456" s="1184"/>
      <c r="B456" s="15"/>
      <c r="C456" s="26"/>
      <c r="D456" s="26" cm="1">
        <f t="array" ref="D456">D455</f>
        <v>14</v>
      </c>
      <c r="E456" s="545">
        <v>21</v>
      </c>
      <c r="F456" s="3" t="str" cm="1">
        <f t="array" aca="1" ref="F456" ca="1">OFFSET(E456,-1,1)</f>
        <v>2</v>
      </c>
      <c r="G456" s="26"/>
      <c r="H456" s="26"/>
      <c r="I456" s="26"/>
      <c r="J456" s="26"/>
      <c r="K456" s="26"/>
      <c r="L456" s="889"/>
      <c r="M456" s="26"/>
      <c r="N456" s="26"/>
      <c r="O456" s="26"/>
      <c r="P456" s="26"/>
      <c r="Q456" s="26"/>
      <c r="R456" s="26"/>
      <c r="S456" s="26"/>
      <c r="T456" s="388" t="b" cm="1">
        <f t="array" aca="1" ref="T456" ca="1">T455</f>
        <v>1</v>
      </c>
      <c r="U456" s="26"/>
      <c r="V456" s="26"/>
      <c r="W456" s="26"/>
      <c r="X456" s="2032"/>
      <c r="Y456" s="1184"/>
      <c r="Z456" s="2012"/>
      <c r="AA456" s="1184"/>
      <c r="AB456" s="218" t="str">
        <f>D456&amp;".1"</f>
        <v>14.1</v>
      </c>
      <c r="AC456" s="682" t="s">
        <v>1879</v>
      </c>
      <c r="AD456" s="218" t="s">
        <v>831</v>
      </c>
      <c r="AE456" s="1567"/>
      <c r="AF456" s="1567"/>
      <c r="AG456" s="1567"/>
      <c r="AH456" s="855">
        <f>AG456-AF456</f>
        <v>0</v>
      </c>
      <c r="AI456" s="1521"/>
      <c r="AJ456" s="1521"/>
      <c r="AK456" s="1169"/>
      <c r="AL456" s="1169"/>
      <c r="AM456" s="1169"/>
      <c r="AN456" s="1169"/>
      <c r="AO456" s="1169"/>
      <c r="AP456" s="1169"/>
      <c r="AQ456" s="1521"/>
      <c r="AR456" s="1521"/>
      <c r="AS456" s="1521"/>
      <c r="AT456" s="1521"/>
      <c r="AU456" s="1169"/>
      <c r="AV456" s="1169"/>
      <c r="AW456" s="1169"/>
      <c r="AX456" s="1169"/>
      <c r="AY456" s="1169"/>
      <c r="AZ456" s="1169"/>
      <c r="BA456" s="1521"/>
      <c r="BB456" s="1521"/>
      <c r="BC456" s="1521"/>
      <c r="BD456" s="854"/>
      <c r="BE456" s="854"/>
      <c r="BF456" s="854"/>
      <c r="BG456" s="854"/>
      <c r="BH456" s="854"/>
      <c r="BI456" s="854"/>
      <c r="BJ456" s="854"/>
      <c r="BK456" s="854"/>
      <c r="BL456" s="854"/>
      <c r="BM456" s="854"/>
      <c r="BN456" s="1581"/>
      <c r="BO456" s="1581"/>
      <c r="BP456" s="1581"/>
      <c r="BQ456" s="1184"/>
      <c r="BR456" s="1184"/>
      <c r="BS456" s="971" t="s">
        <v>1880</v>
      </c>
      <c r="BT456" s="980"/>
      <c r="BU456" s="980"/>
      <c r="BV456" s="981"/>
      <c r="BW456" s="981"/>
    </row>
    <row r="457" spans="1:75" s="1334" customFormat="1" ht="64.5" customHeight="1" x14ac:dyDescent="0.25">
      <c r="A457" s="1184"/>
      <c r="B457" s="15"/>
      <c r="C457" s="26"/>
      <c r="D457" s="26" cm="1">
        <f t="array" ref="D457">D456</f>
        <v>14</v>
      </c>
      <c r="E457" s="545">
        <v>66.599999999999994</v>
      </c>
      <c r="F457" s="3" t="str" cm="1">
        <f t="array" aca="1" ref="F457" ca="1">OFFSET(E457,-1,1)</f>
        <v>2</v>
      </c>
      <c r="G457" s="26"/>
      <c r="H457" s="26"/>
      <c r="I457" s="26"/>
      <c r="J457" s="26"/>
      <c r="K457" s="26"/>
      <c r="L457" s="889"/>
      <c r="M457" s="26"/>
      <c r="N457" s="26"/>
      <c r="O457" s="26"/>
      <c r="P457" s="26"/>
      <c r="Q457" s="26"/>
      <c r="R457" s="26"/>
      <c r="S457" s="26"/>
      <c r="T457" s="388" t="b" cm="1">
        <f t="array" aca="1" ref="T457" ca="1">T456</f>
        <v>1</v>
      </c>
      <c r="U457" s="26"/>
      <c r="V457" s="26"/>
      <c r="W457" s="26"/>
      <c r="X457" s="2032"/>
      <c r="Y457" s="1184"/>
      <c r="Z457" s="2012"/>
      <c r="AA457" s="1184"/>
      <c r="AB457" s="218" t="str">
        <f>D457&amp;".2"</f>
        <v>14.2</v>
      </c>
      <c r="AC457" s="682" t="s">
        <v>1882</v>
      </c>
      <c r="AD457" s="218" t="s">
        <v>831</v>
      </c>
      <c r="AE457" s="1567"/>
      <c r="AF457" s="1567"/>
      <c r="AG457" s="1567"/>
      <c r="AH457" s="855">
        <f>AG457-AF457</f>
        <v>0</v>
      </c>
      <c r="AI457" s="1521"/>
      <c r="AJ457" s="1521"/>
      <c r="AK457" s="1169"/>
      <c r="AL457" s="1169"/>
      <c r="AM457" s="1169"/>
      <c r="AN457" s="1169"/>
      <c r="AO457" s="1169"/>
      <c r="AP457" s="1169"/>
      <c r="AQ457" s="1521"/>
      <c r="AR457" s="1521"/>
      <c r="AS457" s="1521"/>
      <c r="AT457" s="1521"/>
      <c r="AU457" s="1169"/>
      <c r="AV457" s="1169"/>
      <c r="AW457" s="1169"/>
      <c r="AX457" s="1169"/>
      <c r="AY457" s="1169"/>
      <c r="AZ457" s="1169"/>
      <c r="BA457" s="1521"/>
      <c r="BB457" s="1521"/>
      <c r="BC457" s="1521"/>
      <c r="BD457" s="854"/>
      <c r="BE457" s="854"/>
      <c r="BF457" s="854"/>
      <c r="BG457" s="854"/>
      <c r="BH457" s="854"/>
      <c r="BI457" s="854"/>
      <c r="BJ457" s="854"/>
      <c r="BK457" s="854"/>
      <c r="BL457" s="854"/>
      <c r="BM457" s="854"/>
      <c r="BN457" s="1581"/>
      <c r="BO457" s="1581"/>
      <c r="BP457" s="1581"/>
      <c r="BQ457" s="1184"/>
      <c r="BR457" s="1184"/>
      <c r="BS457" s="971" t="s">
        <v>1883</v>
      </c>
      <c r="BT457" s="980"/>
      <c r="BU457" s="980"/>
      <c r="BV457" s="981"/>
      <c r="BW457" s="981"/>
    </row>
    <row r="458" spans="1:75" s="1334" customFormat="1" ht="44.25" customHeight="1" x14ac:dyDescent="0.15">
      <c r="A458" s="421"/>
      <c r="B458" s="673"/>
      <c r="C458" s="26"/>
      <c r="D458" s="26" cm="1">
        <f t="array" ref="D458">D457</f>
        <v>14</v>
      </c>
      <c r="E458" s="545">
        <v>45.6</v>
      </c>
      <c r="F458" s="3" t="str" cm="1">
        <f t="array" aca="1" ref="F458" ca="1">OFFSET(E458,-1,1)</f>
        <v>2</v>
      </c>
      <c r="G458" s="26"/>
      <c r="H458" s="26"/>
      <c r="I458" s="26"/>
      <c r="J458" s="26"/>
      <c r="K458" s="26"/>
      <c r="L458" s="889"/>
      <c r="M458" s="26"/>
      <c r="N458" s="26"/>
      <c r="O458" s="26"/>
      <c r="P458" s="26"/>
      <c r="Q458" s="26"/>
      <c r="R458" s="26"/>
      <c r="S458" s="26"/>
      <c r="T458" s="388" t="b" cm="1">
        <f t="array" aca="1" ref="T458" ca="1">T457</f>
        <v>1</v>
      </c>
      <c r="U458" s="26"/>
      <c r="V458" s="26"/>
      <c r="W458" s="26"/>
      <c r="X458" s="2032"/>
      <c r="Y458" s="421"/>
      <c r="Z458" s="2012"/>
      <c r="AA458" s="421"/>
      <c r="AB458" s="218" t="str">
        <f>D458&amp;".3"</f>
        <v>14.3</v>
      </c>
      <c r="AC458" s="682" t="s">
        <v>2165</v>
      </c>
      <c r="AD458" s="218" t="s">
        <v>831</v>
      </c>
      <c r="AE458" s="857"/>
      <c r="AF458" s="1567"/>
      <c r="AG458" s="1567"/>
      <c r="AH458" s="177">
        <f>AG458-AF458</f>
        <v>0</v>
      </c>
      <c r="AI458" s="857"/>
      <c r="AJ458" s="857"/>
      <c r="AK458" s="857"/>
      <c r="AL458" s="857"/>
      <c r="AM458" s="857"/>
      <c r="AN458" s="857"/>
      <c r="AO458" s="857"/>
      <c r="AP458" s="857"/>
      <c r="AQ458" s="857"/>
      <c r="AR458" s="857"/>
      <c r="AS458" s="857"/>
      <c r="AT458" s="857"/>
      <c r="AU458" s="857"/>
      <c r="AV458" s="857"/>
      <c r="AW458" s="857"/>
      <c r="AX458" s="857"/>
      <c r="AY458" s="857"/>
      <c r="AZ458" s="857"/>
      <c r="BA458" s="857"/>
      <c r="BB458" s="857"/>
      <c r="BC458" s="857"/>
      <c r="BD458" s="857"/>
      <c r="BE458" s="857"/>
      <c r="BF458" s="857"/>
      <c r="BG458" s="857"/>
      <c r="BH458" s="857"/>
      <c r="BI458" s="857"/>
      <c r="BJ458" s="857"/>
      <c r="BK458" s="857"/>
      <c r="BL458" s="857"/>
      <c r="BM458" s="857"/>
      <c r="BN458" s="1581"/>
      <c r="BO458" s="1581"/>
      <c r="BP458" s="1581"/>
      <c r="BQ458" s="1184"/>
      <c r="BR458" s="1184"/>
      <c r="BS458" s="980" t="s">
        <v>2166</v>
      </c>
      <c r="BT458" s="980"/>
      <c r="BU458" s="980"/>
      <c r="BV458" s="981"/>
      <c r="BW458" s="981"/>
    </row>
    <row r="459" spans="1:75" s="1334" customFormat="1" ht="10.9" customHeight="1" x14ac:dyDescent="0.15">
      <c r="B459" s="746"/>
      <c r="C459"/>
      <c r="D459"/>
      <c r="E459" s="595">
        <v>11.25</v>
      </c>
      <c r="F459" s="4"/>
      <c r="G459"/>
      <c r="H459"/>
      <c r="I459"/>
      <c r="J459"/>
      <c r="K459"/>
      <c r="L459"/>
      <c r="M459"/>
      <c r="N459"/>
      <c r="O459"/>
      <c r="P459"/>
      <c r="Q459"/>
      <c r="R459"/>
      <c r="S459"/>
      <c r="T459"/>
      <c r="U459" t="s">
        <v>176</v>
      </c>
      <c r="V459" s="747" t="s">
        <v>2229</v>
      </c>
      <c r="W459"/>
      <c r="AB459"/>
      <c r="AC459" s="405"/>
      <c r="AD459" s="405"/>
      <c r="AE459" s="405"/>
      <c r="AF459" s="405"/>
      <c r="AG459"/>
      <c r="AH459"/>
      <c r="AI459"/>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c r="BO459"/>
      <c r="BP459"/>
      <c r="BS459" s="913"/>
      <c r="BT459" s="913"/>
      <c r="BU459" s="913"/>
      <c r="BV459" s="548"/>
      <c r="BW459" s="548"/>
    </row>
    <row r="460" spans="1:75" ht="14.65" customHeight="1" x14ac:dyDescent="0.15">
      <c r="B460" s="15"/>
      <c r="C460" s="26"/>
      <c r="D460" s="26"/>
      <c r="E460" s="545">
        <v>15</v>
      </c>
      <c r="F460" s="26"/>
      <c r="G460" s="26"/>
      <c r="H460" s="26"/>
      <c r="I460" s="26"/>
      <c r="J460" s="26"/>
      <c r="K460" s="26"/>
      <c r="L460" s="889"/>
      <c r="M460" s="26"/>
      <c r="N460" s="26"/>
      <c r="O460" s="26"/>
      <c r="P460" s="26"/>
      <c r="Q460" s="26"/>
      <c r="R460" s="26"/>
      <c r="S460" s="26"/>
      <c r="T460" s="26"/>
      <c r="U460" s="26"/>
      <c r="V460" s="26"/>
      <c r="W460" s="26"/>
      <c r="AB460" s="2035" t="s">
        <v>402</v>
      </c>
      <c r="AC460" s="2035"/>
      <c r="AD460" s="2035"/>
      <c r="AE460" s="2035"/>
      <c r="AF460" s="2035"/>
      <c r="AG460" s="2035"/>
      <c r="AH460" s="2035"/>
      <c r="AI460" s="2035"/>
      <c r="AJ460" s="2035"/>
      <c r="AK460" s="2035"/>
      <c r="AL460" s="2035"/>
      <c r="AM460" s="2035"/>
      <c r="AN460" s="2035"/>
      <c r="AO460" s="2035"/>
      <c r="AP460" s="2035"/>
      <c r="AQ460" s="2035"/>
      <c r="AR460" s="2035"/>
      <c r="AS460" s="2035"/>
      <c r="AT460" s="2035"/>
      <c r="AU460" s="2035"/>
      <c r="AV460" s="2035"/>
      <c r="AW460" s="2035"/>
      <c r="AX460" s="2035"/>
      <c r="AY460" s="2035"/>
      <c r="AZ460" s="2035"/>
      <c r="BA460" s="2035"/>
      <c r="BB460" s="2035"/>
      <c r="BC460" s="2035"/>
      <c r="BD460" s="2035"/>
      <c r="BE460" s="2035"/>
      <c r="BF460" s="2035"/>
      <c r="BG460" s="2035"/>
      <c r="BH460" s="2035"/>
      <c r="BI460" s="2035"/>
      <c r="BJ460" s="2035"/>
      <c r="BK460" s="2035"/>
      <c r="BL460" s="2035"/>
      <c r="BM460" s="2035"/>
      <c r="BN460" s="2035"/>
      <c r="BO460" s="2035"/>
      <c r="BP460" s="2035"/>
    </row>
    <row r="461" spans="1:75" ht="14.65" customHeight="1" x14ac:dyDescent="0.15">
      <c r="B461" s="15"/>
      <c r="C461" s="26"/>
      <c r="D461" s="26"/>
      <c r="E461" s="545">
        <v>15</v>
      </c>
      <c r="F461" s="26"/>
      <c r="G461" s="26"/>
      <c r="H461" s="26"/>
      <c r="I461" s="26"/>
      <c r="J461" s="26"/>
      <c r="K461" s="26"/>
      <c r="N461" s="26"/>
      <c r="O461" s="26"/>
      <c r="P461" s="26"/>
      <c r="Q461" s="26"/>
      <c r="R461" s="26"/>
      <c r="S461" s="26"/>
      <c r="T461" s="26"/>
      <c r="U461" s="26"/>
      <c r="V461" s="26"/>
      <c r="W461" s="26"/>
      <c r="AA461" s="92"/>
      <c r="AB461" s="2104" t="s">
        <v>905</v>
      </c>
      <c r="AC461" s="2107"/>
      <c r="AD461" s="2107"/>
      <c r="AE461" s="2107"/>
      <c r="AF461" s="2107"/>
      <c r="AG461" s="2107"/>
      <c r="AH461" s="2107"/>
      <c r="AI461" s="2107"/>
      <c r="AJ461" s="2107"/>
      <c r="AK461" s="2107"/>
      <c r="AL461" s="2107"/>
      <c r="AM461" s="2107"/>
      <c r="AN461" s="2107"/>
      <c r="AO461" s="2107"/>
      <c r="AP461" s="2107"/>
      <c r="AQ461" s="2107"/>
      <c r="AR461" s="2107"/>
      <c r="AS461" s="2107"/>
      <c r="AT461" s="2107"/>
      <c r="AU461" s="2107"/>
      <c r="AV461" s="2107"/>
      <c r="AW461" s="2107"/>
      <c r="AX461" s="2107"/>
      <c r="AY461" s="2107"/>
      <c r="AZ461" s="2107"/>
      <c r="BA461" s="2107"/>
      <c r="BB461" s="2107"/>
      <c r="BC461" s="2107"/>
      <c r="BD461" s="2107"/>
      <c r="BE461" s="2107"/>
      <c r="BF461" s="2107"/>
      <c r="BG461" s="2107"/>
      <c r="BH461" s="2107"/>
      <c r="BI461" s="2107"/>
      <c r="BJ461" s="2107"/>
      <c r="BK461" s="2107"/>
      <c r="BL461" s="2107"/>
      <c r="BM461" s="2107"/>
      <c r="BN461" s="2107"/>
      <c r="BO461" s="2107"/>
      <c r="BP461" s="2107"/>
    </row>
    <row r="462" spans="1:75" ht="14.65" hidden="1" customHeight="1" x14ac:dyDescent="0.15">
      <c r="B462" s="15"/>
      <c r="C462" s="26"/>
      <c r="D462" s="26"/>
      <c r="E462" s="545">
        <v>15</v>
      </c>
      <c r="F462" s="26"/>
      <c r="G462" s="26"/>
      <c r="H462" s="26"/>
      <c r="I462" s="26"/>
      <c r="J462" s="26"/>
      <c r="K462" s="26"/>
      <c r="N462" s="26"/>
      <c r="O462" s="26"/>
      <c r="P462" s="26"/>
      <c r="Q462" s="26"/>
      <c r="R462" s="26"/>
      <c r="S462" s="26"/>
      <c r="T462" s="388" t="b">
        <f>ROW(W462)&gt;ROW(W$462)</f>
        <v>0</v>
      </c>
      <c r="U462" s="26"/>
      <c r="V462" s="26"/>
      <c r="W462" s="26" t="s">
        <v>172</v>
      </c>
      <c r="AA462" s="342" t="s">
        <v>173</v>
      </c>
      <c r="AB462" s="2105" t="s">
        <v>147</v>
      </c>
      <c r="AC462" s="2107"/>
      <c r="AD462" s="2107"/>
      <c r="AE462" s="2107"/>
      <c r="AF462" s="2107"/>
      <c r="AG462" s="2107"/>
      <c r="AH462" s="2107"/>
      <c r="AI462" s="2107"/>
      <c r="AJ462" s="2107"/>
      <c r="AK462" s="2107"/>
      <c r="AL462" s="2107"/>
      <c r="AM462" s="2107"/>
      <c r="AN462" s="2107"/>
      <c r="AO462" s="2107"/>
      <c r="AP462" s="2107"/>
      <c r="AQ462" s="2107"/>
      <c r="AR462" s="2107"/>
      <c r="AS462" s="2107"/>
      <c r="AT462" s="2107"/>
      <c r="AU462" s="2107"/>
      <c r="AV462" s="2107"/>
      <c r="AW462" s="2107"/>
      <c r="AX462" s="2107"/>
      <c r="AY462" s="2107"/>
      <c r="AZ462" s="2107"/>
      <c r="BA462" s="2107"/>
      <c r="BB462" s="2107"/>
      <c r="BC462" s="2107"/>
      <c r="BD462" s="2107"/>
      <c r="BE462" s="2107"/>
      <c r="BF462" s="2107"/>
      <c r="BG462" s="2107"/>
      <c r="BH462" s="2107"/>
      <c r="BI462" s="2107"/>
      <c r="BJ462" s="2107"/>
      <c r="BK462" s="2107"/>
      <c r="BL462" s="2107"/>
      <c r="BM462" s="2107"/>
      <c r="BN462" s="2107"/>
      <c r="BO462" s="2107"/>
      <c r="BP462" s="2107"/>
    </row>
    <row r="463" spans="1:75" ht="14.65" customHeight="1" x14ac:dyDescent="0.15">
      <c r="B463" s="15"/>
      <c r="C463" s="26"/>
      <c r="D463" s="26"/>
      <c r="E463" s="545">
        <v>15</v>
      </c>
      <c r="F463" s="26"/>
      <c r="G463" s="26"/>
      <c r="H463" s="26"/>
      <c r="I463" s="26"/>
      <c r="J463" s="26"/>
      <c r="K463" s="26"/>
      <c r="N463" s="26"/>
      <c r="O463" s="26"/>
      <c r="P463" s="26"/>
      <c r="Q463" s="26"/>
      <c r="R463" s="26"/>
      <c r="S463" s="26"/>
      <c r="T463" s="26"/>
      <c r="U463" s="26"/>
      <c r="V463" s="26"/>
      <c r="W463" s="748" t="s">
        <v>403</v>
      </c>
      <c r="AB463" s="709"/>
      <c r="AC463" s="437" t="s">
        <v>404</v>
      </c>
      <c r="AD463" s="710"/>
      <c r="AE463" s="710"/>
      <c r="AF463" s="710"/>
      <c r="AG463" s="710"/>
      <c r="AH463" s="710"/>
      <c r="AI463" s="710"/>
      <c r="AJ463" s="710"/>
      <c r="AK463" s="710"/>
      <c r="AL463" s="710"/>
      <c r="AM463" s="710"/>
      <c r="AN463" s="710"/>
      <c r="AO463" s="710"/>
      <c r="AP463" s="710"/>
      <c r="AQ463" s="710"/>
      <c r="AR463" s="710"/>
      <c r="AS463" s="710"/>
      <c r="AT463" s="710"/>
      <c r="AU463" s="710"/>
      <c r="AV463" s="710"/>
      <c r="AW463" s="710"/>
      <c r="AX463" s="710"/>
      <c r="AY463" s="710"/>
      <c r="AZ463" s="710"/>
      <c r="BA463" s="710"/>
      <c r="BB463" s="710"/>
      <c r="BC463" s="710"/>
      <c r="BD463" s="710"/>
      <c r="BE463" s="710"/>
      <c r="BF463" s="710"/>
      <c r="BG463" s="710"/>
      <c r="BH463" s="710"/>
      <c r="BI463" s="710"/>
      <c r="BJ463" s="710"/>
      <c r="BK463" s="710"/>
      <c r="BL463" s="710"/>
      <c r="BM463" s="710"/>
      <c r="BN463" s="710"/>
      <c r="BO463" s="710"/>
      <c r="BP463" s="711"/>
    </row>
    <row r="464" spans="1:75" ht="10.9" customHeight="1" x14ac:dyDescent="0.15">
      <c r="E464" s="626">
        <v>11.25</v>
      </c>
      <c r="BQ464" s="348"/>
    </row>
  </sheetData>
  <sheetProtection formatColumns="0" formatRows="0" insertRows="0" deleteColumns="0" deleteRows="0" sort="0" autoFilter="0"/>
  <mergeCells count="16">
    <mergeCell ref="BP24:BP25"/>
    <mergeCell ref="BD25:BM25"/>
    <mergeCell ref="AB24:AB25"/>
    <mergeCell ref="AC24:AC25"/>
    <mergeCell ref="AD24:AD25"/>
    <mergeCell ref="BN24:BN25"/>
    <mergeCell ref="BO24:BO25"/>
    <mergeCell ref="AB460:BP460"/>
    <mergeCell ref="AB461:BP461"/>
    <mergeCell ref="AB462:BP462"/>
    <mergeCell ref="X27:X170"/>
    <mergeCell ref="Z27:Z170"/>
    <mergeCell ref="X171:X314"/>
    <mergeCell ref="Z171:Z314"/>
    <mergeCell ref="X315:X458"/>
    <mergeCell ref="Z315:Z458"/>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05EC8-55C8-37E8-783B-DB6016BBFD88}">
  <sheetPr>
    <tabColor rgb="FF002060"/>
    <outlinePr summaryBelow="0" summaryRight="0"/>
  </sheetPr>
  <dimension ref="A1:AQ190"/>
  <sheetViews>
    <sheetView showGridLines="0" workbookViewId="0">
      <pane xSplit="29" ySplit="28" topLeftCell="AD87" activePane="bottomRight" state="frozen"/>
      <selection pane="topRight" activeCell="AD1" sqref="AD1"/>
      <selection pane="bottomLeft" activeCell="A29" sqref="A29"/>
      <selection pane="bottomRight" activeCell="AB187" sqref="AB187:AK187"/>
    </sheetView>
  </sheetViews>
  <sheetFormatPr defaultColWidth="9.140625" defaultRowHeight="11.25" customHeight="1" x14ac:dyDescent="0.15"/>
  <cols>
    <col min="1" max="1" width="3.5703125" style="1214" hidden="1" customWidth="1"/>
    <col min="2" max="2" width="8.5703125" style="1083" hidden="1" customWidth="1"/>
    <col min="3" max="4" width="3.5703125" style="1214" hidden="1" customWidth="1"/>
    <col min="5" max="5" width="3.5703125" style="1215" hidden="1" customWidth="1"/>
    <col min="6" max="10" width="3.5703125" style="1214" hidden="1" customWidth="1"/>
    <col min="11" max="11" width="10.28515625" style="1214" hidden="1" customWidth="1"/>
    <col min="12" max="19" width="3.5703125" style="1214" hidden="1" customWidth="1"/>
    <col min="20" max="20" width="8.28515625" style="1214" hidden="1" customWidth="1"/>
    <col min="21" max="21" width="5.85546875" style="1214" hidden="1" customWidth="1"/>
    <col min="22" max="23" width="6.140625" style="1214" hidden="1" customWidth="1"/>
    <col min="24" max="25" width="5.5703125" style="1214" hidden="1" customWidth="1"/>
    <col min="26" max="26" width="5.28515625" style="1214" hidden="1" customWidth="1"/>
    <col min="27" max="27" width="3" style="1214" customWidth="1"/>
    <col min="28" max="28" width="14.7109375" style="126" customWidth="1"/>
    <col min="29" max="33" width="17" style="1214" customWidth="1"/>
    <col min="34" max="36" width="23" style="1214" hidden="1" customWidth="1"/>
    <col min="37" max="37" width="25" style="1214" hidden="1" customWidth="1"/>
    <col min="38" max="38" width="3" style="1214" customWidth="1"/>
    <col min="39" max="40" width="9.140625" style="1214" hidden="1"/>
    <col min="41" max="41" width="9.140625" style="1216" hidden="1"/>
    <col min="42" max="43" width="9.140625" style="1214" hidden="1"/>
  </cols>
  <sheetData>
    <row r="1" spans="1:41" ht="11.25" hidden="1" customHeight="1" x14ac:dyDescent="0.15">
      <c r="E1" s="17"/>
      <c r="F1" s="17" t="s">
        <v>319</v>
      </c>
      <c r="K1" s="17" t="s">
        <v>357</v>
      </c>
      <c r="T1" s="388" t="s">
        <v>92</v>
      </c>
      <c r="U1" s="388" t="s">
        <v>97</v>
      </c>
      <c r="V1" s="388" t="s">
        <v>93</v>
      </c>
      <c r="W1" s="388" t="s">
        <v>94</v>
      </c>
      <c r="X1" s="388" t="s">
        <v>95</v>
      </c>
      <c r="Y1" s="390" t="s">
        <v>321</v>
      </c>
      <c r="Z1" s="388" t="s">
        <v>99</v>
      </c>
      <c r="AA1" s="389" t="s">
        <v>96</v>
      </c>
      <c r="AB1" s="4"/>
      <c r="AC1" s="389" t="s">
        <v>98</v>
      </c>
      <c r="AM1" s="17" t="s">
        <v>2230</v>
      </c>
      <c r="AO1" s="924" t="s">
        <v>362</v>
      </c>
    </row>
    <row r="2" spans="1:41" s="1083" customFormat="1" ht="11.25" hidden="1" customHeight="1" x14ac:dyDescent="0.15">
      <c r="B2" s="367" t="s">
        <v>18</v>
      </c>
      <c r="AB2" s="351"/>
      <c r="AG2" s="367" t="b">
        <f>$AF$24="нет"</f>
        <v>1</v>
      </c>
      <c r="AH2" s="367" t="b">
        <f>$AF$24="да"</f>
        <v>0</v>
      </c>
      <c r="AI2" s="367" t="b">
        <f>$AF$24="да"</f>
        <v>0</v>
      </c>
      <c r="AJ2" s="367" t="b">
        <f>$AF$24="да"</f>
        <v>0</v>
      </c>
      <c r="AK2" s="367" t="b">
        <f>$AF$24="да"</f>
        <v>0</v>
      </c>
      <c r="AO2" s="925"/>
    </row>
    <row r="3" spans="1:41" ht="11.25" hidden="1" customHeight="1" x14ac:dyDescent="0.15">
      <c r="E3" s="17"/>
    </row>
    <row r="4" spans="1:41" ht="11.25" hidden="1" customHeight="1" x14ac:dyDescent="0.15">
      <c r="E4" s="17"/>
    </row>
    <row r="5" spans="1:41" s="1215" customFormat="1" ht="11.25" hidden="1" customHeight="1" x14ac:dyDescent="0.15">
      <c r="A5" s="17"/>
      <c r="B5" s="349"/>
      <c r="C5" s="17"/>
      <c r="D5" s="17"/>
      <c r="E5" s="556" t="s">
        <v>19</v>
      </c>
      <c r="AA5" s="556">
        <v>3</v>
      </c>
      <c r="AB5" s="616">
        <v>14.71</v>
      </c>
      <c r="AC5" s="556">
        <v>17</v>
      </c>
      <c r="AD5" s="556">
        <v>17</v>
      </c>
      <c r="AE5" s="556">
        <v>17</v>
      </c>
      <c r="AF5" s="556">
        <v>17</v>
      </c>
      <c r="AG5" s="556">
        <v>17</v>
      </c>
      <c r="AH5" s="556">
        <v>23</v>
      </c>
      <c r="AI5" s="556">
        <v>23</v>
      </c>
      <c r="AJ5" s="556">
        <v>23</v>
      </c>
      <c r="AK5" s="556">
        <v>25</v>
      </c>
      <c r="AL5" s="556">
        <v>3</v>
      </c>
      <c r="AO5" s="924"/>
    </row>
    <row r="6" spans="1:41" ht="11.25" hidden="1" customHeight="1" x14ac:dyDescent="0.15">
      <c r="A6" s="17" t="s">
        <v>330</v>
      </c>
      <c r="AC6" s="17" t="s">
        <v>331</v>
      </c>
      <c r="AD6" s="17" t="s">
        <v>332</v>
      </c>
      <c r="AE6" s="17" t="s">
        <v>333</v>
      </c>
      <c r="AF6" s="17" t="s">
        <v>565</v>
      </c>
      <c r="AG6" s="17" t="s">
        <v>569</v>
      </c>
      <c r="AH6" s="17" t="s">
        <v>2231</v>
      </c>
      <c r="AI6" s="17" t="s">
        <v>2232</v>
      </c>
      <c r="AJ6" s="17" t="s">
        <v>2233</v>
      </c>
      <c r="AK6" s="17" t="s">
        <v>2234</v>
      </c>
    </row>
    <row r="7" spans="1:41" ht="11.25" hidden="1" customHeight="1" x14ac:dyDescent="0.15"/>
    <row r="8" spans="1:41" ht="11.25" hidden="1" customHeight="1" x14ac:dyDescent="0.15"/>
    <row r="9" spans="1:41" s="1216" customFormat="1" ht="11.25" hidden="1" customHeight="1" x14ac:dyDescent="0.15">
      <c r="A9" s="924" t="s">
        <v>322</v>
      </c>
      <c r="B9" s="925"/>
      <c r="AB9" s="963"/>
      <c r="AC9" s="982" t="s">
        <v>2235</v>
      </c>
      <c r="AD9" s="982" t="s">
        <v>2236</v>
      </c>
      <c r="AE9" s="982" t="s">
        <v>2237</v>
      </c>
      <c r="AF9" s="982" t="s">
        <v>2238</v>
      </c>
      <c r="AG9" s="982" t="s">
        <v>2239</v>
      </c>
      <c r="AH9" s="982" t="s">
        <v>2240</v>
      </c>
      <c r="AI9" s="982" t="s">
        <v>2241</v>
      </c>
      <c r="AJ9" s="982" t="s">
        <v>2242</v>
      </c>
      <c r="AK9" s="924" t="s">
        <v>2243</v>
      </c>
    </row>
    <row r="10" spans="1:41" ht="11.25" hidden="1" customHeight="1" x14ac:dyDescent="0.15"/>
    <row r="11" spans="1:41" ht="11.25" hidden="1" customHeight="1" x14ac:dyDescent="0.15"/>
    <row r="12" spans="1:41" ht="11.25" hidden="1" customHeight="1" x14ac:dyDescent="0.15"/>
    <row r="13" spans="1:41" ht="11.25" hidden="1" customHeight="1" x14ac:dyDescent="0.15"/>
    <row r="14" spans="1:41" ht="11.25" hidden="1" customHeight="1" x14ac:dyDescent="0.15"/>
    <row r="15" spans="1:41" ht="11.25" hidden="1" customHeight="1" x14ac:dyDescent="0.15"/>
    <row r="16" spans="1:41" ht="11.25" hidden="1" customHeight="1" x14ac:dyDescent="0.15"/>
    <row r="17" spans="2:43" ht="11.25" hidden="1" customHeight="1" x14ac:dyDescent="0.15"/>
    <row r="18" spans="2:43" ht="11.25" hidden="1" customHeight="1" x14ac:dyDescent="0.15"/>
    <row r="19" spans="2:43" ht="11.25" hidden="1" customHeight="1" x14ac:dyDescent="0.15"/>
    <row r="20" spans="2:43" ht="11.25" hidden="1" customHeight="1" x14ac:dyDescent="0.15"/>
    <row r="21" spans="2:43" ht="14.65" customHeight="1" x14ac:dyDescent="0.15">
      <c r="E21" s="556">
        <v>15</v>
      </c>
      <c r="AA21" s="347"/>
      <c r="AB21" s="283" t="str" cm="1">
        <f t="array" ref="AB21">tpl_title</f>
        <v>Кемеровская область / 2026 / ООО "Чистая вода" (ИНН:4246023100, КПП:424601001) / ДПР: 2024-2032</v>
      </c>
    </row>
    <row r="22" spans="2:43" s="1249" customFormat="1" ht="23.45" customHeight="1" x14ac:dyDescent="0.15">
      <c r="B22" s="349"/>
      <c r="E22" s="557">
        <v>24</v>
      </c>
      <c r="AB22" s="236" t="s">
        <v>84</v>
      </c>
      <c r="AC22" s="125"/>
      <c r="AD22" s="125"/>
      <c r="AE22" s="125"/>
      <c r="AF22" s="125"/>
      <c r="AG22" s="125"/>
      <c r="AH22" s="125"/>
      <c r="AI22" s="125"/>
      <c r="AJ22" s="125"/>
      <c r="AK22" s="125"/>
      <c r="AO22" s="927"/>
    </row>
    <row r="23" spans="2:43" ht="10.9" customHeight="1" x14ac:dyDescent="0.15">
      <c r="E23" s="556">
        <v>11.25</v>
      </c>
      <c r="AB23" s="63"/>
      <c r="AC23" s="63"/>
    </row>
    <row r="24" spans="2:43" ht="19.7" customHeight="1" x14ac:dyDescent="0.15">
      <c r="E24" s="556">
        <v>20.25</v>
      </c>
      <c r="AB24" s="2102" t="s">
        <v>2244</v>
      </c>
      <c r="AC24" s="2102"/>
      <c r="AD24" s="2102"/>
      <c r="AE24" s="2102"/>
      <c r="AF24" s="264" t="s">
        <v>191</v>
      </c>
    </row>
    <row r="25" spans="2:43" ht="10.9" customHeight="1" x14ac:dyDescent="0.15">
      <c r="E25" s="556">
        <v>11.25</v>
      </c>
      <c r="AB25" s="63"/>
      <c r="AC25" s="63"/>
    </row>
    <row r="26" spans="2:43" s="1086" customFormat="1" ht="38.1" customHeight="1" x14ac:dyDescent="0.15">
      <c r="B26" s="351"/>
      <c r="E26" s="554">
        <v>39</v>
      </c>
      <c r="AB26" s="2124" t="s">
        <v>2245</v>
      </c>
      <c r="AC26" s="2039" t="s">
        <v>2246</v>
      </c>
      <c r="AD26" s="2039" t="s">
        <v>495</v>
      </c>
      <c r="AE26" s="2016" t="s">
        <v>2247</v>
      </c>
      <c r="AF26" s="2035" t="s">
        <v>2248</v>
      </c>
      <c r="AG26" s="2035"/>
      <c r="AH26" s="2035"/>
      <c r="AI26" s="2035"/>
      <c r="AJ26" s="2035"/>
      <c r="AK26" s="2035"/>
      <c r="AO26" s="922"/>
    </row>
    <row r="27" spans="2:43" s="1086" customFormat="1" ht="35.1" customHeight="1" x14ac:dyDescent="0.15">
      <c r="B27" s="351"/>
      <c r="E27" s="554">
        <v>36</v>
      </c>
      <c r="AB27" s="2125"/>
      <c r="AC27" s="2039"/>
      <c r="AD27" s="2039"/>
      <c r="AE27" s="2039"/>
      <c r="AF27" s="749" t="s">
        <v>611</v>
      </c>
      <c r="AG27" s="749" t="s">
        <v>2249</v>
      </c>
      <c r="AH27" s="749" t="s">
        <v>2250</v>
      </c>
      <c r="AI27" s="749" t="s">
        <v>2251</v>
      </c>
      <c r="AJ27" s="749" t="s">
        <v>2252</v>
      </c>
      <c r="AK27" s="749" t="s">
        <v>2253</v>
      </c>
      <c r="AO27" s="922"/>
    </row>
    <row r="28" spans="2:43" s="1332" customFormat="1" ht="11.25" customHeight="1" x14ac:dyDescent="0.15">
      <c r="B28" s="351"/>
      <c r="E28" s="185">
        <v>11.5</v>
      </c>
      <c r="AB28" s="2126"/>
      <c r="AC28" s="750" t="s">
        <v>831</v>
      </c>
      <c r="AD28" s="750" t="s">
        <v>490</v>
      </c>
      <c r="AE28" s="686" t="s">
        <v>490</v>
      </c>
      <c r="AF28" s="750" t="s">
        <v>490</v>
      </c>
      <c r="AG28" s="750" t="s">
        <v>2254</v>
      </c>
      <c r="AH28" s="750" t="s">
        <v>2254</v>
      </c>
      <c r="AI28" s="750" t="s">
        <v>2254</v>
      </c>
      <c r="AJ28" s="750" t="s">
        <v>2254</v>
      </c>
      <c r="AK28" s="750" t="s">
        <v>2254</v>
      </c>
      <c r="AO28" s="939"/>
    </row>
    <row r="29" spans="2:43" s="1334" customFormat="1" ht="11.25" customHeight="1" x14ac:dyDescent="0.15">
      <c r="B29" s="352"/>
      <c r="E29" s="595" t="s">
        <v>370</v>
      </c>
      <c r="F29" s="4"/>
      <c r="AB29"/>
      <c r="AC29" s="405"/>
      <c r="AD29" s="405"/>
      <c r="AE29" s="405"/>
      <c r="AF29" s="405"/>
      <c r="AG29"/>
      <c r="AH29"/>
      <c r="AI29"/>
      <c r="AJ29"/>
      <c r="AK29"/>
      <c r="AO29" s="913"/>
      <c r="AQ29" s="20"/>
    </row>
    <row r="30" spans="2:43" s="1217" customFormat="1" ht="14.65" hidden="1" customHeight="1" x14ac:dyDescent="0.15">
      <c r="B30" s="350"/>
      <c r="E30" s="542">
        <v>15</v>
      </c>
      <c r="F30" s="17" cm="1">
        <f t="array" ref="F30">X30</f>
        <v>0</v>
      </c>
      <c r="T30" s="388" t="b">
        <f>X30&gt;0</f>
        <v>0</v>
      </c>
      <c r="V30" s="41" t="s">
        <v>271</v>
      </c>
      <c r="X30" s="2032">
        <v>0</v>
      </c>
      <c r="Z30" s="2012"/>
      <c r="AB30" s="297" t="str" cm="1">
        <f t="array" ref="AB30">INDEX('Общие сведения'!$AG$185:$AG$228,MATCH($X30,'Общие сведения'!$Z$185:$Z$228,0))</f>
        <v xml:space="preserve">Тариф 0 () - </v>
      </c>
      <c r="AC30" s="751"/>
      <c r="AD30" s="751"/>
      <c r="AE30" s="751"/>
      <c r="AF30" s="751"/>
      <c r="AG30" s="751"/>
      <c r="AH30" s="751"/>
      <c r="AI30" s="751"/>
      <c r="AJ30" s="751"/>
      <c r="AK30" s="751"/>
      <c r="AL30" s="323"/>
      <c r="AO30" s="906"/>
    </row>
    <row r="31" spans="2:43" s="1184" customFormat="1" ht="14.65" hidden="1" customHeight="1" x14ac:dyDescent="0.15">
      <c r="B31" s="367" t="b">
        <f t="shared" ref="B31:B62" si="0">K31&lt;first_year+PERIOD_LENGTH</f>
        <v>1</v>
      </c>
      <c r="E31" s="626">
        <v>15</v>
      </c>
      <c r="F31" s="3" cm="1">
        <f t="array" aca="1" ref="F31" ca="1">OFFSET(E31,-1,1)</f>
        <v>0</v>
      </c>
      <c r="K31" s="77" cm="1">
        <f t="array" ref="K31">first_year</f>
        <v>2024</v>
      </c>
      <c r="T31" s="388" t="b" cm="1">
        <f t="array" ref="T31">T30</f>
        <v>0</v>
      </c>
      <c r="X31" s="2032"/>
      <c r="Z31" s="2012"/>
      <c r="AB31" s="752" t="str">
        <f t="shared" ref="AB31:AB62" si="1">K31&amp;" год"</f>
        <v>2024 год</v>
      </c>
      <c r="AC31" s="1614">
        <f ca="1">IF(god=first_year,SUMIFS('Калькуляция (МИ)'!AT$26:AT$459,'Калькуляция (МИ)'!F$26:F$459,F31,'Калькуляция (МИ)'!AC$26:AC$459,"операционные расходы"),IF(god&lt;first_year+3,IFERROR(SUMIFS(INDEX('Калькуляция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0</v>
      </c>
      <c r="AD31" s="1615">
        <f ca="1">IFERROR(SUMIFS(INDEX(Сценарии!$AE$25:$BF$109,,MATCH($K31&amp;"Принято органом регулирования",Сценарии!$AE$8:$BF$8,0)),Сценарии!$F$25:$F$109,$F31,Сценарии!$AC$25:$AC$109,"Индекс эффективности операционных расходов"),0)</f>
        <v>0</v>
      </c>
      <c r="AE31" s="1616"/>
      <c r="AF31" s="1616">
        <f ca="1">IFERROR(SUMIFS(INDEX(Баланс!$AE$25:$BB$300,,MATCH($K31&amp;"Принято органом регулирования",Баланс!$AE$8:$BB$8,0)),Баланс!$F$25:$F$300,$F31,Баланс!$AC$24:$AC$300,"Уровень потерь воды"),0)</f>
        <v>0</v>
      </c>
      <c r="AG31" s="1617">
        <f ca="1">IFERROR(SUMIFS(INDEX(Electricity_LOAD_1,,MATCH($K31&amp;"Принято органом регулирования",ЭЭ!$AE$8:$BB$8,0)),ЭЭ!$F$25:$F$117,$F31,ЭЭ!$AC$25:$AC$117,"Удельный расход электроэнергии"),0)</f>
        <v>0</v>
      </c>
      <c r="AH31" s="1615">
        <f ca="1">IFERROR(SUMIFS(INDEX(Electricity_LOAD_1,,MATCH($K31&amp;"Принято органом регулирования",ЭЭ!$AE$8:$BB$8,0)),ЭЭ!$F$25:$F$117,$F31,ЭЭ!$AC$25:$AC$117,"Удельный расход электроэнергии"),0)</f>
        <v>0</v>
      </c>
      <c r="AI31" s="1615">
        <f ca="1">IFERROR(SUMIFS(INDEX(Electricity_LOAD_1,,MATCH($K31&amp;"Принято органом регулирования",ЭЭ!$AE$8:$BB$8,0)),ЭЭ!$F$25:$F$117,$F31,ЭЭ!$AC$25:$AC$117,"Удельный расход электроэнергии"),0)</f>
        <v>0</v>
      </c>
      <c r="AJ31" s="1615">
        <f ca="1">IFERROR(SUMIFS(INDEX(Electricity_LOAD_1,,MATCH($K31&amp;"Принято органом регулирования",ЭЭ!$AE$8:$BB$8,0)),ЭЭ!$F$25:$F$117,$F31,ЭЭ!$AC$25:$AC$117,"Удельный расход электроэнергии"),0)</f>
        <v>0</v>
      </c>
      <c r="AK31" s="1615">
        <f ca="1">IFERROR(SUMIFS(INDEX(Electricity_LOAD_1,,MATCH($K31&amp;"Принято органом регулирования",ЭЭ!$AE$8:$BB$8,0)),ЭЭ!$F$25:$F$117,$F31,ЭЭ!$AC$25:$AC$117,"Удельный расход электроэнергии"),0)</f>
        <v>0</v>
      </c>
      <c r="AL31" s="324"/>
      <c r="AM31" s="77" t="s">
        <v>2255</v>
      </c>
      <c r="AO31" s="973" cm="1">
        <f t="array" ref="AO31">K31</f>
        <v>2024</v>
      </c>
    </row>
    <row r="32" spans="2:43" s="1184" customFormat="1" ht="14.65" hidden="1" customHeight="1" x14ac:dyDescent="0.15">
      <c r="B32" s="367" t="b">
        <f t="shared" si="0"/>
        <v>1</v>
      </c>
      <c r="E32" s="626">
        <v>15</v>
      </c>
      <c r="F32" s="3" cm="1">
        <f t="array" aca="1" ref="F32" ca="1">OFFSET(E32,-1,1)</f>
        <v>0</v>
      </c>
      <c r="K32" s="77">
        <f>first_year+1</f>
        <v>2025</v>
      </c>
      <c r="T32" s="388" t="b" cm="1">
        <f t="array" ref="T32">T31</f>
        <v>0</v>
      </c>
      <c r="X32" s="2032"/>
      <c r="Z32" s="2012"/>
      <c r="AB32" s="752" t="str">
        <f t="shared" si="1"/>
        <v>2025 год</v>
      </c>
      <c r="AC32" s="1616"/>
      <c r="AD32" s="1615">
        <f ca="1">IFERROR(SUMIFS(INDEX(Сценарии!$AE$25:$BF$109,,MATCH($K32&amp;"Принято органом регулирования",Сценарии!$AE$8:$BF$8,0)),Сценарии!$F$25:$F$109,$F32,Сценарии!$AC$25:$AC$109,"Индекс эффективности операционных расходов"),0)</f>
        <v>0</v>
      </c>
      <c r="AE32" s="1616"/>
      <c r="AF32" s="1616">
        <f ca="1">IFERROR(SUMIFS(INDEX(Баланс!$AE$25:$BB$300,,MATCH($K32&amp;"Принято органом регулирования",Баланс!$AE$8:$BB$8,0)),Баланс!$F$25:$F$300,$F32,Баланс!$AC$24:$AC$300,"Уровень потерь воды"),0)</f>
        <v>0</v>
      </c>
      <c r="AG32" s="1617">
        <f ca="1">IFERROR(SUMIFS(INDEX(Electricity_LOAD_1,,MATCH($K32&amp;"Принято органом регулирования",ЭЭ!$AE$8:$BB$8,0)),ЭЭ!$F$25:$F$117,$F32,ЭЭ!$AC$25:$AC$117,"Удельный расход электроэнергии"),0)</f>
        <v>0</v>
      </c>
      <c r="AH32" s="1615">
        <f ca="1">IFERROR(SUMIFS(INDEX(Electricity_LOAD_1,,MATCH($K32&amp;"Принято органом регулирования",ЭЭ!$AE$8:$BB$8,0)),ЭЭ!$F$25:$F$117,$F32,ЭЭ!$AC$25:$AC$117,"Удельный расход электроэнергии"),0)</f>
        <v>0</v>
      </c>
      <c r="AI32" s="1615">
        <f ca="1">IFERROR(SUMIFS(INDEX(Electricity_LOAD_1,,MATCH($K32&amp;"Принято органом регулирования",ЭЭ!$AE$8:$BB$8,0)),ЭЭ!$F$25:$F$117,$F32,ЭЭ!$AC$25:$AC$117,"Удельный расход электроэнергии"),0)</f>
        <v>0</v>
      </c>
      <c r="AJ32" s="1615">
        <f ca="1">IFERROR(SUMIFS(INDEX(Electricity_LOAD_1,,MATCH($K32&amp;"Принято органом регулирования",ЭЭ!$AE$8:$BB$8,0)),ЭЭ!$F$25:$F$117,$F32,ЭЭ!$AC$25:$AC$117,"Удельный расход электроэнергии"),0)</f>
        <v>0</v>
      </c>
      <c r="AK32" s="1615">
        <f ca="1">IFERROR(SUMIFS(INDEX(Electricity_LOAD_1,,MATCH($K32&amp;"Принято органом регулирования",ЭЭ!$AE$8:$BB$8,0)),ЭЭ!$F$25:$F$117,$F32,ЭЭ!$AC$25:$AC$117,"Удельный расход электроэнергии"),0)</f>
        <v>0</v>
      </c>
      <c r="AL32" s="324"/>
      <c r="AM32" s="1184" t="s">
        <v>2255</v>
      </c>
      <c r="AO32" s="973" cm="1">
        <f t="array" ref="AO32">K32</f>
        <v>2025</v>
      </c>
    </row>
    <row r="33" spans="2:41" s="1184" customFormat="1" ht="14.65" hidden="1" customHeight="1" x14ac:dyDescent="0.15">
      <c r="B33" s="367" t="b">
        <f t="shared" si="0"/>
        <v>1</v>
      </c>
      <c r="E33" s="626">
        <v>15</v>
      </c>
      <c r="F33" s="3" cm="1">
        <f t="array" aca="1" ref="F33" ca="1">OFFSET(E33,-1,1)</f>
        <v>0</v>
      </c>
      <c r="K33" s="77">
        <f>first_year+2</f>
        <v>2026</v>
      </c>
      <c r="T33" s="388" t="b" cm="1">
        <f t="array" ref="T33">T32</f>
        <v>0</v>
      </c>
      <c r="X33" s="2032"/>
      <c r="Z33" s="2012"/>
      <c r="AB33" s="752" t="str">
        <f t="shared" si="1"/>
        <v>2026 год</v>
      </c>
      <c r="AC33" s="1616"/>
      <c r="AD33" s="1615">
        <f ca="1">IFERROR(SUMIFS(INDEX(Сценарии!$AE$25:$BF$109,,MATCH($K33&amp;"Принято органом регулирования",Сценарии!$AE$8:$BF$8,0)),Сценарии!$F$25:$F$109,$F33,Сценарии!$AC$25:$AC$109,"Индекс эффективности операционных расходов"),0)</f>
        <v>0</v>
      </c>
      <c r="AE33" s="1616"/>
      <c r="AF33" s="1616">
        <f ca="1">IFERROR(SUMIFS(INDEX(Баланс!$AE$25:$BB$300,,MATCH($K33&amp;"Принято органом регулирования",Баланс!$AE$8:$BB$8,0)),Баланс!$F$25:$F$300,$F33,Баланс!$AC$24:$AC$300,"Уровень потерь воды"),0)</f>
        <v>0</v>
      </c>
      <c r="AG33" s="1617">
        <f ca="1">IFERROR(SUMIFS(INDEX(Electricity_LOAD_1,,MATCH($K33&amp;"Принято органом регулирования",ЭЭ!$AE$8:$BB$8,0)),ЭЭ!$F$25:$F$117,$F33,ЭЭ!$AC$25:$AC$117,"Удельный расход электроэнергии"),0)</f>
        <v>0</v>
      </c>
      <c r="AH33" s="1615">
        <f ca="1">IFERROR(SUMIFS(INDEX(Electricity_LOAD_1,,MATCH($K33&amp;"Принято органом регулирования",ЭЭ!$AE$8:$BB$8,0)),ЭЭ!$F$25:$F$117,$F33,ЭЭ!$AC$25:$AC$117,"Удельный расход электроэнергии"),0)</f>
        <v>0</v>
      </c>
      <c r="AI33" s="1615">
        <f ca="1">IFERROR(SUMIFS(INDEX(Electricity_LOAD_1,,MATCH($K33&amp;"Принято органом регулирования",ЭЭ!$AE$8:$BB$8,0)),ЭЭ!$F$25:$F$117,$F33,ЭЭ!$AC$25:$AC$117,"Удельный расход электроэнергии"),0)</f>
        <v>0</v>
      </c>
      <c r="AJ33" s="1615">
        <f ca="1">IFERROR(SUMIFS(INDEX(Electricity_LOAD_1,,MATCH($K33&amp;"Принято органом регулирования",ЭЭ!$AE$8:$BB$8,0)),ЭЭ!$F$25:$F$117,$F33,ЭЭ!$AC$25:$AC$117,"Удельный расход электроэнергии"),0)</f>
        <v>0</v>
      </c>
      <c r="AK33" s="1615">
        <f ca="1">IFERROR(SUMIFS(INDEX(Electricity_LOAD_1,,MATCH($K33&amp;"Принято органом регулирования",ЭЭ!$AE$8:$BB$8,0)),ЭЭ!$F$25:$F$117,$F33,ЭЭ!$AC$25:$AC$117,"Удельный расход электроэнергии"),0)</f>
        <v>0</v>
      </c>
      <c r="AL33" s="324"/>
      <c r="AM33" s="1184" t="s">
        <v>2255</v>
      </c>
      <c r="AO33" s="973" cm="1">
        <f t="array" ref="AO33">K33</f>
        <v>2026</v>
      </c>
    </row>
    <row r="34" spans="2:41" s="1184" customFormat="1" ht="14.65" hidden="1" customHeight="1" x14ac:dyDescent="0.15">
      <c r="B34" s="367" t="b">
        <f t="shared" si="0"/>
        <v>1</v>
      </c>
      <c r="E34" s="626">
        <v>15</v>
      </c>
      <c r="F34" s="3" cm="1">
        <f t="array" aca="1" ref="F34" ca="1">OFFSET(E34,-1,1)</f>
        <v>0</v>
      </c>
      <c r="K34" s="77">
        <f>first_year+3</f>
        <v>2027</v>
      </c>
      <c r="T34" s="388" t="b" cm="1">
        <f t="array" ref="T34">T33</f>
        <v>0</v>
      </c>
      <c r="X34" s="2032"/>
      <c r="Z34" s="2012"/>
      <c r="AB34" s="752" t="str">
        <f t="shared" si="1"/>
        <v>2027 год</v>
      </c>
      <c r="AC34" s="1616"/>
      <c r="AD34" s="1615">
        <f ca="1">IFERROR(SUMIFS(INDEX(Сценарии!$AE$25:$BF$109,,MATCH($K34&amp;"Принято органом регулирования",Сценарии!$AE$8:$BF$8,0)),Сценарии!$F$25:$F$109,$F34,Сценарии!$AC$25:$AC$109,"Индекс эффективности операционных расходов"),0)</f>
        <v>0</v>
      </c>
      <c r="AE34" s="1616"/>
      <c r="AF34" s="1616">
        <f ca="1">IFERROR(SUMIFS(INDEX(Баланс!$AE$25:$BB$300,,MATCH($K34&amp;"Принято органом регулирования",Баланс!$AE$8:$BB$8,0)),Баланс!$F$25:$F$300,$F34,Баланс!$AC$24:$AC$300,"Уровень потерь воды"),0)</f>
        <v>0</v>
      </c>
      <c r="AG34" s="1617">
        <f ca="1">IFERROR(SUMIFS(INDEX(Electricity_LOAD_1,,MATCH($K34&amp;"Принято органом регулирования",ЭЭ!$AE$8:$BB$8,0)),ЭЭ!$F$25:$F$117,$F34,ЭЭ!$AC$25:$AC$117,"Удельный расход электроэнергии"),0)</f>
        <v>0</v>
      </c>
      <c r="AH34" s="1615">
        <f ca="1">IFERROR(SUMIFS(INDEX(Electricity_LOAD_1,,MATCH($K34&amp;"Принято органом регулирования",ЭЭ!$AE$8:$BB$8,0)),ЭЭ!$F$25:$F$117,$F34,ЭЭ!$AC$25:$AC$117,"Удельный расход электроэнергии"),0)</f>
        <v>0</v>
      </c>
      <c r="AI34" s="1615">
        <f ca="1">IFERROR(SUMIFS(INDEX(Electricity_LOAD_1,,MATCH($K34&amp;"Принято органом регулирования",ЭЭ!$AE$8:$BB$8,0)),ЭЭ!$F$25:$F$117,$F34,ЭЭ!$AC$25:$AC$117,"Удельный расход электроэнергии"),0)</f>
        <v>0</v>
      </c>
      <c r="AJ34" s="1615">
        <f ca="1">IFERROR(SUMIFS(INDEX(Electricity_LOAD_1,,MATCH($K34&amp;"Принято органом регулирования",ЭЭ!$AE$8:$BB$8,0)),ЭЭ!$F$25:$F$117,$F34,ЭЭ!$AC$25:$AC$117,"Удельный расход электроэнергии"),0)</f>
        <v>0</v>
      </c>
      <c r="AK34" s="1615">
        <f ca="1">IFERROR(SUMIFS(INDEX(Electricity_LOAD_1,,MATCH($K34&amp;"Принято органом регулирования",ЭЭ!$AE$8:$BB$8,0)),ЭЭ!$F$25:$F$117,$F34,ЭЭ!$AC$25:$AC$117,"Удельный расход электроэнергии"),0)</f>
        <v>0</v>
      </c>
      <c r="AL34" s="324"/>
      <c r="AM34" s="1184" t="s">
        <v>2255</v>
      </c>
      <c r="AO34" s="973" cm="1">
        <f t="array" ref="AO34">K34</f>
        <v>2027</v>
      </c>
    </row>
    <row r="35" spans="2:41" s="1184" customFormat="1" ht="14.65" hidden="1" customHeight="1" x14ac:dyDescent="0.15">
      <c r="B35" s="367" t="b">
        <f t="shared" si="0"/>
        <v>1</v>
      </c>
      <c r="E35" s="626">
        <v>15</v>
      </c>
      <c r="F35" s="3" cm="1">
        <f t="array" aca="1" ref="F35" ca="1">OFFSET(E35,-1,1)</f>
        <v>0</v>
      </c>
      <c r="K35" s="77">
        <f>first_year+4</f>
        <v>2028</v>
      </c>
      <c r="T35" s="388" t="b" cm="1">
        <f t="array" ref="T35">T34</f>
        <v>0</v>
      </c>
      <c r="X35" s="2032"/>
      <c r="Z35" s="2012"/>
      <c r="AB35" s="752" t="str">
        <f t="shared" si="1"/>
        <v>2028 год</v>
      </c>
      <c r="AC35" s="1616"/>
      <c r="AD35" s="1615">
        <f ca="1">IFERROR(SUMIFS(INDEX(Сценарии!$AE$25:$BF$109,,MATCH($K35&amp;"Принято органом регулирования",Сценарии!$AE$8:$BF$8,0)),Сценарии!$F$25:$F$109,$F35,Сценарии!$AC$25:$AC$109,"Индекс эффективности операционных расходов"),0)</f>
        <v>0</v>
      </c>
      <c r="AE35" s="1616"/>
      <c r="AF35" s="1616">
        <f ca="1">IFERROR(SUMIFS(INDEX(Баланс!$AE$25:$BB$300,,MATCH($K35&amp;"Принято органом регулирования",Баланс!$AE$8:$BB$8,0)),Баланс!$F$25:$F$300,$F35,Баланс!$AC$24:$AC$300,"Уровень потерь воды"),0)</f>
        <v>0</v>
      </c>
      <c r="AG35" s="1617">
        <f ca="1">IFERROR(SUMIFS(INDEX(Electricity_LOAD_1,,MATCH($K35&amp;"Принято органом регулирования",ЭЭ!$AE$8:$BB$8,0)),ЭЭ!$F$25:$F$117,$F35,ЭЭ!$AC$25:$AC$117,"Удельный расход электроэнергии"),0)</f>
        <v>0</v>
      </c>
      <c r="AH35" s="1615">
        <f ca="1">IFERROR(SUMIFS(INDEX(Electricity_LOAD_1,,MATCH($K35&amp;"Принято органом регулирования",ЭЭ!$AE$8:$BB$8,0)),ЭЭ!$F$25:$F$117,$F35,ЭЭ!$AC$25:$AC$117,"Удельный расход электроэнергии"),0)</f>
        <v>0</v>
      </c>
      <c r="AI35" s="1615">
        <f ca="1">IFERROR(SUMIFS(INDEX(Electricity_LOAD_1,,MATCH($K35&amp;"Принято органом регулирования",ЭЭ!$AE$8:$BB$8,0)),ЭЭ!$F$25:$F$117,$F35,ЭЭ!$AC$25:$AC$117,"Удельный расход электроэнергии"),0)</f>
        <v>0</v>
      </c>
      <c r="AJ35" s="1615">
        <f ca="1">IFERROR(SUMIFS(INDEX(Electricity_LOAD_1,,MATCH($K35&amp;"Принято органом регулирования",ЭЭ!$AE$8:$BB$8,0)),ЭЭ!$F$25:$F$117,$F35,ЭЭ!$AC$25:$AC$117,"Удельный расход электроэнергии"),0)</f>
        <v>0</v>
      </c>
      <c r="AK35" s="1615">
        <f ca="1">IFERROR(SUMIFS(INDEX(Electricity_LOAD_1,,MATCH($K35&amp;"Принято органом регулирования",ЭЭ!$AE$8:$BB$8,0)),ЭЭ!$F$25:$F$117,$F35,ЭЭ!$AC$25:$AC$117,"Удельный расход электроэнергии"),0)</f>
        <v>0</v>
      </c>
      <c r="AL35" s="324"/>
      <c r="AM35" s="1184" t="s">
        <v>2255</v>
      </c>
      <c r="AO35" s="973" cm="1">
        <f t="array" ref="AO35">K35</f>
        <v>2028</v>
      </c>
    </row>
    <row r="36" spans="2:41" s="1184" customFormat="1" ht="14.65" hidden="1" customHeight="1" x14ac:dyDescent="0.15">
      <c r="B36" s="367" t="b">
        <f t="shared" si="0"/>
        <v>1</v>
      </c>
      <c r="E36" s="626">
        <v>15</v>
      </c>
      <c r="F36" s="3" cm="1">
        <f t="array" aca="1" ref="F36" ca="1">OFFSET(E36,-1,1)</f>
        <v>0</v>
      </c>
      <c r="K36" s="77">
        <f>first_year+5</f>
        <v>2029</v>
      </c>
      <c r="T36" s="388" t="b" cm="1">
        <f t="array" ref="T36">T35</f>
        <v>0</v>
      </c>
      <c r="X36" s="2032"/>
      <c r="Z36" s="2012"/>
      <c r="AB36" s="752" t="str">
        <f t="shared" si="1"/>
        <v>2029 год</v>
      </c>
      <c r="AC36" s="1616"/>
      <c r="AD36" s="1615">
        <f ca="1">IFERROR(SUMIFS(INDEX(Сценарии!$AE$25:$BF$109,,MATCH($K36&amp;"Принято органом регулирования",Сценарии!$AE$8:$BF$8,0)),Сценарии!$F$25:$F$109,$F36,Сценарии!$AC$25:$AC$109,"Индекс эффективности операционных расходов"),0)</f>
        <v>0</v>
      </c>
      <c r="AE36" s="1616"/>
      <c r="AF36" s="1616">
        <f ca="1">IFERROR(SUMIFS(INDEX(Баланс!$AE$25:$BB$300,,MATCH($K36&amp;"Принято органом регулирования",Баланс!$AE$8:$BB$8,0)),Баланс!$F$25:$F$300,$F36,Баланс!$AC$24:$AC$300,"Уровень потерь воды"),0)</f>
        <v>0</v>
      </c>
      <c r="AG36" s="1617">
        <f ca="1">IFERROR(SUMIFS(INDEX(Electricity_LOAD_1,,MATCH($K36&amp;"Принято органом регулирования",ЭЭ!$AE$8:$BB$8,0)),ЭЭ!$F$25:$F$117,$F36,ЭЭ!$AC$25:$AC$117,"Удельный расход электроэнергии"),0)</f>
        <v>0</v>
      </c>
      <c r="AH36" s="1615">
        <f ca="1">IFERROR(SUMIFS(INDEX(Electricity_LOAD_1,,MATCH($K36&amp;"Принято органом регулирования",ЭЭ!$AE$8:$BB$8,0)),ЭЭ!$F$25:$F$117,$F36,ЭЭ!$AC$25:$AC$117,"Удельный расход электроэнергии"),0)</f>
        <v>0</v>
      </c>
      <c r="AI36" s="1615">
        <f ca="1">IFERROR(SUMIFS(INDEX(Electricity_LOAD_1,,MATCH($K36&amp;"Принято органом регулирования",ЭЭ!$AE$8:$BB$8,0)),ЭЭ!$F$25:$F$117,$F36,ЭЭ!$AC$25:$AC$117,"Удельный расход электроэнергии"),0)</f>
        <v>0</v>
      </c>
      <c r="AJ36" s="1615">
        <f ca="1">IFERROR(SUMIFS(INDEX(Electricity_LOAD_1,,MATCH($K36&amp;"Принято органом регулирования",ЭЭ!$AE$8:$BB$8,0)),ЭЭ!$F$25:$F$117,$F36,ЭЭ!$AC$25:$AC$117,"Удельный расход электроэнергии"),0)</f>
        <v>0</v>
      </c>
      <c r="AK36" s="1615">
        <f ca="1">IFERROR(SUMIFS(INDEX(Electricity_LOAD_1,,MATCH($K36&amp;"Принято органом регулирования",ЭЭ!$AE$8:$BB$8,0)),ЭЭ!$F$25:$F$117,$F36,ЭЭ!$AC$25:$AC$117,"Удельный расход электроэнергии"),0)</f>
        <v>0</v>
      </c>
      <c r="AL36" s="324"/>
      <c r="AM36" s="1184" t="s">
        <v>2255</v>
      </c>
      <c r="AO36" s="973" cm="1">
        <f t="array" ref="AO36">K36</f>
        <v>2029</v>
      </c>
    </row>
    <row r="37" spans="2:41" s="1184" customFormat="1" ht="14.65" hidden="1" customHeight="1" x14ac:dyDescent="0.15">
      <c r="B37" s="367" t="b">
        <f t="shared" si="0"/>
        <v>1</v>
      </c>
      <c r="E37" s="626">
        <v>15</v>
      </c>
      <c r="F37" s="3" cm="1">
        <f t="array" aca="1" ref="F37" ca="1">OFFSET(E37,-1,1)</f>
        <v>0</v>
      </c>
      <c r="K37" s="77">
        <f>first_year+6</f>
        <v>2030</v>
      </c>
      <c r="T37" s="388" t="b" cm="1">
        <f t="array" ref="T37">T36</f>
        <v>0</v>
      </c>
      <c r="X37" s="2032"/>
      <c r="Z37" s="2012"/>
      <c r="AB37" s="752" t="str">
        <f t="shared" si="1"/>
        <v>2030 год</v>
      </c>
      <c r="AC37" s="1616"/>
      <c r="AD37" s="1615">
        <f ca="1">IFERROR(SUMIFS(INDEX(Сценарии!$AE$25:$BF$109,,MATCH($K37&amp;"Принято органом регулирования",Сценарии!$AE$8:$BF$8,0)),Сценарии!$F$25:$F$109,$F37,Сценарии!$AC$25:$AC$109,"Индекс эффективности операционных расходов"),0)</f>
        <v>0</v>
      </c>
      <c r="AE37" s="1616"/>
      <c r="AF37" s="1616">
        <f ca="1">IFERROR(SUMIFS(INDEX(Баланс!$AE$25:$BB$300,,MATCH($K37&amp;"Принято органом регулирования",Баланс!$AE$8:$BB$8,0)),Баланс!$F$25:$F$300,$F37,Баланс!$AC$24:$AC$300,"Уровень потерь воды"),0)</f>
        <v>0</v>
      </c>
      <c r="AG37" s="1617">
        <f ca="1">IFERROR(SUMIFS(INDEX(Electricity_LOAD_1,,MATCH($K37&amp;"Принято органом регулирования",ЭЭ!$AE$8:$BB$8,0)),ЭЭ!$F$25:$F$117,$F37,ЭЭ!$AC$25:$AC$117,"Удельный расход электроэнергии"),0)</f>
        <v>0</v>
      </c>
      <c r="AH37" s="1615">
        <f ca="1">IFERROR(SUMIFS(INDEX(Electricity_LOAD_1,,MATCH($K37&amp;"Принято органом регулирования",ЭЭ!$AE$8:$BB$8,0)),ЭЭ!$F$25:$F$117,$F37,ЭЭ!$AC$25:$AC$117,"Удельный расход электроэнергии"),0)</f>
        <v>0</v>
      </c>
      <c r="AI37" s="1615">
        <f ca="1">IFERROR(SUMIFS(INDEX(Electricity_LOAD_1,,MATCH($K37&amp;"Принято органом регулирования",ЭЭ!$AE$8:$BB$8,0)),ЭЭ!$F$25:$F$117,$F37,ЭЭ!$AC$25:$AC$117,"Удельный расход электроэнергии"),0)</f>
        <v>0</v>
      </c>
      <c r="AJ37" s="1615">
        <f ca="1">IFERROR(SUMIFS(INDEX(Electricity_LOAD_1,,MATCH($K37&amp;"Принято органом регулирования",ЭЭ!$AE$8:$BB$8,0)),ЭЭ!$F$25:$F$117,$F37,ЭЭ!$AC$25:$AC$117,"Удельный расход электроэнергии"),0)</f>
        <v>0</v>
      </c>
      <c r="AK37" s="1615">
        <f ca="1">IFERROR(SUMIFS(INDEX(Electricity_LOAD_1,,MATCH($K37&amp;"Принято органом регулирования",ЭЭ!$AE$8:$BB$8,0)),ЭЭ!$F$25:$F$117,$F37,ЭЭ!$AC$25:$AC$117,"Удельный расход электроэнергии"),0)</f>
        <v>0</v>
      </c>
      <c r="AL37" s="324"/>
      <c r="AM37" s="1184" t="s">
        <v>2255</v>
      </c>
      <c r="AO37" s="973" cm="1">
        <f t="array" ref="AO37">K37</f>
        <v>2030</v>
      </c>
    </row>
    <row r="38" spans="2:41" s="1184" customFormat="1" ht="14.65" hidden="1" customHeight="1" x14ac:dyDescent="0.15">
      <c r="B38" s="367" t="b">
        <f t="shared" si="0"/>
        <v>1</v>
      </c>
      <c r="E38" s="626">
        <v>15</v>
      </c>
      <c r="F38" s="3" cm="1">
        <f t="array" aca="1" ref="F38" ca="1">OFFSET(E38,-1,1)</f>
        <v>0</v>
      </c>
      <c r="K38" s="77">
        <f>first_year+7</f>
        <v>2031</v>
      </c>
      <c r="T38" s="388" t="b" cm="1">
        <f t="array" ref="T38">T37</f>
        <v>0</v>
      </c>
      <c r="X38" s="2032"/>
      <c r="Z38" s="2012"/>
      <c r="AB38" s="752" t="str">
        <f t="shared" si="1"/>
        <v>2031 год</v>
      </c>
      <c r="AC38" s="1616"/>
      <c r="AD38" s="1615">
        <f ca="1">IFERROR(SUMIFS(INDEX(Сценарии!$AE$25:$BF$109,,MATCH($K38&amp;"Принято органом регулирования",Сценарии!$AE$8:$BF$8,0)),Сценарии!$F$25:$F$109,$F38,Сценарии!$AC$25:$AC$109,"Индекс эффективности операционных расходов"),0)</f>
        <v>0</v>
      </c>
      <c r="AE38" s="1616"/>
      <c r="AF38" s="1616">
        <f ca="1">IFERROR(SUMIFS(INDEX(Баланс!$AE$25:$BB$300,,MATCH($K38&amp;"Принято органом регулирования",Баланс!$AE$8:$BB$8,0)),Баланс!$F$25:$F$300,$F38,Баланс!$AC$24:$AC$300,"Уровень потерь воды"),0)</f>
        <v>0</v>
      </c>
      <c r="AG38" s="1617">
        <f ca="1">IFERROR(SUMIFS(INDEX(Electricity_LOAD_1,,MATCH($K38&amp;"Принято органом регулирования",ЭЭ!$AE$8:$BB$8,0)),ЭЭ!$F$25:$F$117,$F38,ЭЭ!$AC$25:$AC$117,"Удельный расход электроэнергии"),0)</f>
        <v>0</v>
      </c>
      <c r="AH38" s="1615">
        <f ca="1">IFERROR(SUMIFS(INDEX(Electricity_LOAD_1,,MATCH($K38&amp;"Принято органом регулирования",ЭЭ!$AE$8:$BB$8,0)),ЭЭ!$F$25:$F$117,$F38,ЭЭ!$AC$25:$AC$117,"Удельный расход электроэнергии"),0)</f>
        <v>0</v>
      </c>
      <c r="AI38" s="1615">
        <f ca="1">IFERROR(SUMIFS(INDEX(Electricity_LOAD_1,,MATCH($K38&amp;"Принято органом регулирования",ЭЭ!$AE$8:$BB$8,0)),ЭЭ!$F$25:$F$117,$F38,ЭЭ!$AC$25:$AC$117,"Удельный расход электроэнергии"),0)</f>
        <v>0</v>
      </c>
      <c r="AJ38" s="1615">
        <f ca="1">IFERROR(SUMIFS(INDEX(Electricity_LOAD_1,,MATCH($K38&amp;"Принято органом регулирования",ЭЭ!$AE$8:$BB$8,0)),ЭЭ!$F$25:$F$117,$F38,ЭЭ!$AC$25:$AC$117,"Удельный расход электроэнергии"),0)</f>
        <v>0</v>
      </c>
      <c r="AK38" s="1615">
        <f ca="1">IFERROR(SUMIFS(INDEX(Electricity_LOAD_1,,MATCH($K38&amp;"Принято органом регулирования",ЭЭ!$AE$8:$BB$8,0)),ЭЭ!$F$25:$F$117,$F38,ЭЭ!$AC$25:$AC$117,"Удельный расход электроэнергии"),0)</f>
        <v>0</v>
      </c>
      <c r="AL38" s="324"/>
      <c r="AM38" s="1184" t="s">
        <v>2255</v>
      </c>
      <c r="AO38" s="973" cm="1">
        <f t="array" ref="AO38">K38</f>
        <v>2031</v>
      </c>
    </row>
    <row r="39" spans="2:41" s="1184" customFormat="1" ht="14.65" hidden="1" customHeight="1" x14ac:dyDescent="0.15">
      <c r="B39" s="367" t="b">
        <f t="shared" si="0"/>
        <v>1</v>
      </c>
      <c r="E39" s="626">
        <v>15</v>
      </c>
      <c r="F39" s="3" cm="1">
        <f t="array" aca="1" ref="F39" ca="1">OFFSET(E39,-1,1)</f>
        <v>0</v>
      </c>
      <c r="K39" s="77">
        <f>first_year+8</f>
        <v>2032</v>
      </c>
      <c r="T39" s="388" t="b" cm="1">
        <f t="array" ref="T39">T38</f>
        <v>0</v>
      </c>
      <c r="X39" s="2032"/>
      <c r="Z39" s="2012"/>
      <c r="AB39" s="752" t="str">
        <f t="shared" si="1"/>
        <v>2032 год</v>
      </c>
      <c r="AC39" s="1616"/>
      <c r="AD39" s="1615">
        <f ca="1">IFERROR(SUMIFS(INDEX(Сценарии!$AE$25:$BF$109,,MATCH($K39&amp;"Принято органом регулирования",Сценарии!$AE$8:$BF$8,0)),Сценарии!$F$25:$F$109,$F39,Сценарии!$AC$25:$AC$109,"Индекс эффективности операционных расходов"),0)</f>
        <v>0</v>
      </c>
      <c r="AE39" s="1616"/>
      <c r="AF39" s="1616">
        <f ca="1">IFERROR(SUMIFS(INDEX(Баланс!$AE$25:$BB$300,,MATCH($K39&amp;"Принято органом регулирования",Баланс!$AE$8:$BB$8,0)),Баланс!$F$25:$F$300,$F39,Баланс!$AC$24:$AC$300,"Уровень потерь воды"),0)</f>
        <v>0</v>
      </c>
      <c r="AG39" s="1617">
        <f ca="1">IFERROR(SUMIFS(INDEX(Electricity_LOAD_1,,MATCH($K39&amp;"Принято органом регулирования",ЭЭ!$AE$8:$BB$8,0)),ЭЭ!$F$25:$F$117,$F39,ЭЭ!$AC$25:$AC$117,"Удельный расход электроэнергии"),0)</f>
        <v>0</v>
      </c>
      <c r="AH39" s="1615">
        <f ca="1">IFERROR(SUMIFS(INDEX(Electricity_LOAD_1,,MATCH($K39&amp;"Принято органом регулирования",ЭЭ!$AE$8:$BB$8,0)),ЭЭ!$F$25:$F$117,$F39,ЭЭ!$AC$25:$AC$117,"Удельный расход электроэнергии"),0)</f>
        <v>0</v>
      </c>
      <c r="AI39" s="1615">
        <f ca="1">IFERROR(SUMIFS(INDEX(Electricity_LOAD_1,,MATCH($K39&amp;"Принято органом регулирования",ЭЭ!$AE$8:$BB$8,0)),ЭЭ!$F$25:$F$117,$F39,ЭЭ!$AC$25:$AC$117,"Удельный расход электроэнергии"),0)</f>
        <v>0</v>
      </c>
      <c r="AJ39" s="1615">
        <f ca="1">IFERROR(SUMIFS(INDEX(Electricity_LOAD_1,,MATCH($K39&amp;"Принято органом регулирования",ЭЭ!$AE$8:$BB$8,0)),ЭЭ!$F$25:$F$117,$F39,ЭЭ!$AC$25:$AC$117,"Удельный расход электроэнергии"),0)</f>
        <v>0</v>
      </c>
      <c r="AK39" s="1615">
        <f ca="1">IFERROR(SUMIFS(INDEX(Electricity_LOAD_1,,MATCH($K39&amp;"Принято органом регулирования",ЭЭ!$AE$8:$BB$8,0)),ЭЭ!$F$25:$F$117,$F39,ЭЭ!$AC$25:$AC$117,"Удельный расход электроэнергии"),0)</f>
        <v>0</v>
      </c>
      <c r="AL39" s="324"/>
      <c r="AM39" s="1184" t="s">
        <v>2255</v>
      </c>
      <c r="AO39" s="973" cm="1">
        <f t="array" ref="AO39">K39</f>
        <v>2032</v>
      </c>
    </row>
    <row r="40" spans="2:41" s="1184" customFormat="1" ht="14.65" hidden="1" customHeight="1" x14ac:dyDescent="0.15">
      <c r="B40" s="367" t="b">
        <f t="shared" si="0"/>
        <v>0</v>
      </c>
      <c r="E40" s="626">
        <v>15</v>
      </c>
      <c r="F40" s="3" cm="1">
        <f t="array" aca="1" ref="F40" ca="1">OFFSET(E40,-1,1)</f>
        <v>0</v>
      </c>
      <c r="K40" s="77">
        <f>first_year+9</f>
        <v>2033</v>
      </c>
      <c r="T40" s="388" t="b" cm="1">
        <f t="array" ref="T40">T39</f>
        <v>0</v>
      </c>
      <c r="X40" s="2032"/>
      <c r="Z40" s="2012"/>
      <c r="AB40" s="752" t="str">
        <f t="shared" si="1"/>
        <v>2033 год</v>
      </c>
      <c r="AC40" s="1616"/>
      <c r="AD40" s="1615">
        <f ca="1">IFERROR(SUMIFS(INDEX(Сценарии!$AE$25:$BF$109,,MATCH($K40&amp;"Принято органом регулирования",Сценарии!$AE$8:$BF$8,0)),Сценарии!$F$25:$F$109,$F40,Сценарии!$AC$25:$AC$109,"Индекс эффективности операционных расходов"),0)</f>
        <v>0</v>
      </c>
      <c r="AE40" s="1616"/>
      <c r="AF40" s="1616">
        <f ca="1">IFERROR(SUMIFS(INDEX(Баланс!$AE$25:$BB$300,,MATCH($K40&amp;"Принято органом регулирования",Баланс!$AE$8:$BB$8,0)),Баланс!$F$25:$F$300,$F40,Баланс!$AC$24:$AC$300,"Уровень потерь воды"),0)</f>
        <v>0</v>
      </c>
      <c r="AG40" s="1617">
        <f ca="1">IFERROR(SUMIFS(INDEX(Electricity_LOAD_1,,MATCH($K40&amp;"Принято органом регулирования",ЭЭ!$AE$8:$BB$8,0)),ЭЭ!$F$25:$F$117,$F40,ЭЭ!$AC$25:$AC$117,"Удельный расход электроэнергии"),0)</f>
        <v>0</v>
      </c>
      <c r="AH40" s="1615">
        <f ca="1">IFERROR(SUMIFS(INDEX(Electricity_LOAD_1,,MATCH($K40&amp;"Принято органом регулирования",ЭЭ!$AE$8:$BB$8,0)),ЭЭ!$F$25:$F$117,$F40,ЭЭ!$AC$25:$AC$117,"Удельный расход электроэнергии"),0)</f>
        <v>0</v>
      </c>
      <c r="AI40" s="1615">
        <f ca="1">IFERROR(SUMIFS(INDEX(Electricity_LOAD_1,,MATCH($K40&amp;"Принято органом регулирования",ЭЭ!$AE$8:$BB$8,0)),ЭЭ!$F$25:$F$117,$F40,ЭЭ!$AC$25:$AC$117,"Удельный расход электроэнергии"),0)</f>
        <v>0</v>
      </c>
      <c r="AJ40" s="1615">
        <f ca="1">IFERROR(SUMIFS(INDEX(Electricity_LOAD_1,,MATCH($K40&amp;"Принято органом регулирования",ЭЭ!$AE$8:$BB$8,0)),ЭЭ!$F$25:$F$117,$F40,ЭЭ!$AC$25:$AC$117,"Удельный расход электроэнергии"),0)</f>
        <v>0</v>
      </c>
      <c r="AK40" s="1615">
        <f ca="1">IFERROR(SUMIFS(INDEX(Electricity_LOAD_1,,MATCH($K40&amp;"Принято органом регулирования",ЭЭ!$AE$8:$BB$8,0)),ЭЭ!$F$25:$F$117,$F40,ЭЭ!$AC$25:$AC$117,"Удельный расход электроэнергии"),0)</f>
        <v>0</v>
      </c>
      <c r="AL40" s="324"/>
      <c r="AM40" s="1184" t="s">
        <v>2255</v>
      </c>
      <c r="AO40" s="973" cm="1">
        <f t="array" ref="AO40">K40</f>
        <v>2033</v>
      </c>
    </row>
    <row r="41" spans="2:41" s="1184" customFormat="1" ht="14.65" hidden="1" customHeight="1" x14ac:dyDescent="0.15">
      <c r="B41" s="367" t="b">
        <f t="shared" si="0"/>
        <v>0</v>
      </c>
      <c r="E41" s="626">
        <v>15</v>
      </c>
      <c r="F41" s="3" cm="1">
        <f t="array" aca="1" ref="F41" ca="1">OFFSET(E41,-1,1)</f>
        <v>0</v>
      </c>
      <c r="K41" s="77">
        <f>first_year+10</f>
        <v>2034</v>
      </c>
      <c r="T41" s="388" t="b" cm="1">
        <f t="array" ref="T41">T40</f>
        <v>0</v>
      </c>
      <c r="X41" s="2032"/>
      <c r="Z41" s="2012"/>
      <c r="AB41" s="752" t="str">
        <f t="shared" si="1"/>
        <v>2034 год</v>
      </c>
      <c r="AC41" s="1616"/>
      <c r="AD41" s="1615"/>
      <c r="AE41" s="1616"/>
      <c r="AF41" s="1616"/>
      <c r="AG41" s="1615"/>
      <c r="AH41" s="1615"/>
      <c r="AI41" s="1615"/>
      <c r="AJ41" s="1615"/>
      <c r="AK41" s="1618"/>
      <c r="AL41" s="324"/>
      <c r="AO41" s="973" cm="1">
        <f t="array" ref="AO41">K41</f>
        <v>2034</v>
      </c>
    </row>
    <row r="42" spans="2:41" s="1184" customFormat="1" ht="14.65" hidden="1" customHeight="1" x14ac:dyDescent="0.15">
      <c r="B42" s="367" t="b">
        <f t="shared" si="0"/>
        <v>0</v>
      </c>
      <c r="E42" s="626">
        <v>15</v>
      </c>
      <c r="F42" s="3" cm="1">
        <f t="array" aca="1" ref="F42" ca="1">OFFSET(E42,-1,1)</f>
        <v>0</v>
      </c>
      <c r="K42" s="77">
        <f>first_year+11</f>
        <v>2035</v>
      </c>
      <c r="T42" s="388" t="b" cm="1">
        <f t="array" ref="T42">T41</f>
        <v>0</v>
      </c>
      <c r="X42" s="2032"/>
      <c r="Z42" s="2012"/>
      <c r="AB42" s="174" t="str">
        <f t="shared" si="1"/>
        <v>2035 год</v>
      </c>
      <c r="AC42" s="1616"/>
      <c r="AD42" s="1619"/>
      <c r="AE42" s="1620"/>
      <c r="AF42" s="1620"/>
      <c r="AG42" s="1619"/>
      <c r="AH42" s="1619"/>
      <c r="AI42" s="1619"/>
      <c r="AJ42" s="1619"/>
      <c r="AK42" s="1621"/>
      <c r="AL42" s="324"/>
      <c r="AO42" s="973" cm="1">
        <f t="array" ref="AO42">K42</f>
        <v>2035</v>
      </c>
    </row>
    <row r="43" spans="2:41" s="1184" customFormat="1" ht="14.65" hidden="1" customHeight="1" x14ac:dyDescent="0.15">
      <c r="B43" s="367" t="b">
        <f t="shared" si="0"/>
        <v>0</v>
      </c>
      <c r="E43" s="626">
        <v>15</v>
      </c>
      <c r="F43" s="3" cm="1">
        <f t="array" aca="1" ref="F43" ca="1">OFFSET(E43,-1,1)</f>
        <v>0</v>
      </c>
      <c r="K43" s="77">
        <f>first_year+12</f>
        <v>2036</v>
      </c>
      <c r="T43" s="388" t="b" cm="1">
        <f t="array" ref="T43">T42</f>
        <v>0</v>
      </c>
      <c r="X43" s="2032"/>
      <c r="Z43" s="2012"/>
      <c r="AB43" s="174" t="str">
        <f t="shared" si="1"/>
        <v>2036 год</v>
      </c>
      <c r="AC43" s="1616"/>
      <c r="AD43" s="1619"/>
      <c r="AE43" s="1620"/>
      <c r="AF43" s="1620"/>
      <c r="AG43" s="1619"/>
      <c r="AH43" s="1619"/>
      <c r="AI43" s="1619"/>
      <c r="AJ43" s="1619"/>
      <c r="AK43" s="1621"/>
      <c r="AL43" s="324"/>
      <c r="AO43" s="973" cm="1">
        <f t="array" ref="AO43">K43</f>
        <v>2036</v>
      </c>
    </row>
    <row r="44" spans="2:41" s="1184" customFormat="1" ht="14.65" hidden="1" customHeight="1" x14ac:dyDescent="0.15">
      <c r="B44" s="367" t="b">
        <f t="shared" si="0"/>
        <v>0</v>
      </c>
      <c r="E44" s="626">
        <v>15</v>
      </c>
      <c r="F44" s="3" cm="1">
        <f t="array" aca="1" ref="F44" ca="1">OFFSET(E44,-1,1)</f>
        <v>0</v>
      </c>
      <c r="K44" s="77">
        <f>first_year+13</f>
        <v>2037</v>
      </c>
      <c r="T44" s="388" t="b" cm="1">
        <f t="array" ref="T44">T43</f>
        <v>0</v>
      </c>
      <c r="X44" s="2032"/>
      <c r="Z44" s="2012"/>
      <c r="AB44" s="174" t="str">
        <f t="shared" si="1"/>
        <v>2037 год</v>
      </c>
      <c r="AC44" s="1616"/>
      <c r="AD44" s="1619"/>
      <c r="AE44" s="1620"/>
      <c r="AF44" s="1620"/>
      <c r="AG44" s="1619"/>
      <c r="AH44" s="1619"/>
      <c r="AI44" s="1619"/>
      <c r="AJ44" s="1619"/>
      <c r="AK44" s="1621"/>
      <c r="AL44" s="324"/>
      <c r="AO44" s="973" cm="1">
        <f t="array" ref="AO44">K44</f>
        <v>2037</v>
      </c>
    </row>
    <row r="45" spans="2:41" s="1184" customFormat="1" ht="14.65" hidden="1" customHeight="1" x14ac:dyDescent="0.15">
      <c r="B45" s="367" t="b">
        <f t="shared" si="0"/>
        <v>0</v>
      </c>
      <c r="E45" s="626">
        <v>15</v>
      </c>
      <c r="F45" s="3" cm="1">
        <f t="array" aca="1" ref="F45" ca="1">OFFSET(E45,-1,1)</f>
        <v>0</v>
      </c>
      <c r="K45" s="77">
        <f>first_year+14</f>
        <v>2038</v>
      </c>
      <c r="T45" s="388" t="b" cm="1">
        <f t="array" ref="T45">T44</f>
        <v>0</v>
      </c>
      <c r="X45" s="2032"/>
      <c r="Z45" s="2012"/>
      <c r="AB45" s="174" t="str">
        <f t="shared" si="1"/>
        <v>2038 год</v>
      </c>
      <c r="AC45" s="1616"/>
      <c r="AD45" s="1619"/>
      <c r="AE45" s="1620"/>
      <c r="AF45" s="1620"/>
      <c r="AG45" s="1619"/>
      <c r="AH45" s="1619"/>
      <c r="AI45" s="1619"/>
      <c r="AJ45" s="1619"/>
      <c r="AK45" s="1621"/>
      <c r="AL45" s="324"/>
      <c r="AO45" s="973" cm="1">
        <f t="array" ref="AO45">K45</f>
        <v>2038</v>
      </c>
    </row>
    <row r="46" spans="2:41" s="1184" customFormat="1" ht="14.65" hidden="1" customHeight="1" x14ac:dyDescent="0.15">
      <c r="B46" s="367" t="b">
        <f t="shared" si="0"/>
        <v>0</v>
      </c>
      <c r="E46" s="626">
        <v>15</v>
      </c>
      <c r="F46" s="3" cm="1">
        <f t="array" aca="1" ref="F46" ca="1">OFFSET(E46,-1,1)</f>
        <v>0</v>
      </c>
      <c r="K46" s="77">
        <f>first_year+15</f>
        <v>2039</v>
      </c>
      <c r="T46" s="388" t="b" cm="1">
        <f t="array" ref="T46">T45</f>
        <v>0</v>
      </c>
      <c r="X46" s="2032"/>
      <c r="Z46" s="2012"/>
      <c r="AB46" s="174" t="str">
        <f t="shared" si="1"/>
        <v>2039 год</v>
      </c>
      <c r="AC46" s="1616"/>
      <c r="AD46" s="1619"/>
      <c r="AE46" s="1620"/>
      <c r="AF46" s="1620"/>
      <c r="AG46" s="1619"/>
      <c r="AH46" s="1619"/>
      <c r="AI46" s="1619"/>
      <c r="AJ46" s="1619"/>
      <c r="AK46" s="1621"/>
      <c r="AL46" s="324"/>
      <c r="AO46" s="973" cm="1">
        <f t="array" ref="AO46">K46</f>
        <v>2039</v>
      </c>
    </row>
    <row r="47" spans="2:41" s="1184" customFormat="1" ht="14.65" hidden="1" customHeight="1" x14ac:dyDescent="0.15">
      <c r="B47" s="367" t="b">
        <f t="shared" si="0"/>
        <v>0</v>
      </c>
      <c r="E47" s="626">
        <v>15</v>
      </c>
      <c r="F47" s="3" cm="1">
        <f t="array" aca="1" ref="F47" ca="1">OFFSET(E47,-1,1)</f>
        <v>0</v>
      </c>
      <c r="K47" s="77">
        <f>first_year+16</f>
        <v>2040</v>
      </c>
      <c r="T47" s="388" t="b" cm="1">
        <f t="array" ref="T47">T46</f>
        <v>0</v>
      </c>
      <c r="X47" s="2032"/>
      <c r="Z47" s="2012"/>
      <c r="AB47" s="174" t="str">
        <f t="shared" si="1"/>
        <v>2040 год</v>
      </c>
      <c r="AC47" s="1616"/>
      <c r="AD47" s="1619"/>
      <c r="AE47" s="1620"/>
      <c r="AF47" s="1620"/>
      <c r="AG47" s="1619"/>
      <c r="AH47" s="1619"/>
      <c r="AI47" s="1619"/>
      <c r="AJ47" s="1619"/>
      <c r="AK47" s="1621"/>
      <c r="AL47" s="324"/>
      <c r="AO47" s="973" cm="1">
        <f t="array" ref="AO47">K47</f>
        <v>2040</v>
      </c>
    </row>
    <row r="48" spans="2:41" s="1184" customFormat="1" ht="14.65" hidden="1" customHeight="1" x14ac:dyDescent="0.15">
      <c r="B48" s="367" t="b">
        <f t="shared" si="0"/>
        <v>0</v>
      </c>
      <c r="E48" s="626">
        <v>15</v>
      </c>
      <c r="F48" s="3" cm="1">
        <f t="array" aca="1" ref="F48" ca="1">OFFSET(E48,-1,1)</f>
        <v>0</v>
      </c>
      <c r="K48" s="77">
        <f>first_year+17</f>
        <v>2041</v>
      </c>
      <c r="T48" s="388" t="b" cm="1">
        <f t="array" ref="T48">T47</f>
        <v>0</v>
      </c>
      <c r="X48" s="2032"/>
      <c r="Z48" s="2012"/>
      <c r="AB48" s="174" t="str">
        <f t="shared" si="1"/>
        <v>2041 год</v>
      </c>
      <c r="AC48" s="1616"/>
      <c r="AD48" s="1619"/>
      <c r="AE48" s="1620"/>
      <c r="AF48" s="1620"/>
      <c r="AG48" s="1619"/>
      <c r="AH48" s="1619"/>
      <c r="AI48" s="1619"/>
      <c r="AJ48" s="1619"/>
      <c r="AK48" s="1621"/>
      <c r="AL48" s="324"/>
      <c r="AO48" s="973" cm="1">
        <f t="array" ref="AO48">K48</f>
        <v>2041</v>
      </c>
    </row>
    <row r="49" spans="2:41" s="1184" customFormat="1" ht="14.65" hidden="1" customHeight="1" x14ac:dyDescent="0.15">
      <c r="B49" s="367" t="b">
        <f t="shared" si="0"/>
        <v>0</v>
      </c>
      <c r="E49" s="626">
        <v>15</v>
      </c>
      <c r="F49" s="3" cm="1">
        <f t="array" aca="1" ref="F49" ca="1">OFFSET(E49,-1,1)</f>
        <v>0</v>
      </c>
      <c r="K49" s="77">
        <f>first_year+18</f>
        <v>2042</v>
      </c>
      <c r="T49" s="388" t="b" cm="1">
        <f t="array" ref="T49">T48</f>
        <v>0</v>
      </c>
      <c r="X49" s="2032"/>
      <c r="Z49" s="2012"/>
      <c r="AB49" s="174" t="str">
        <f t="shared" si="1"/>
        <v>2042 год</v>
      </c>
      <c r="AC49" s="1616"/>
      <c r="AD49" s="1619"/>
      <c r="AE49" s="1620"/>
      <c r="AF49" s="1620"/>
      <c r="AG49" s="1619"/>
      <c r="AH49" s="1619"/>
      <c r="AI49" s="1619"/>
      <c r="AJ49" s="1619"/>
      <c r="AK49" s="1621"/>
      <c r="AL49" s="324"/>
      <c r="AO49" s="973" cm="1">
        <f t="array" ref="AO49">K49</f>
        <v>2042</v>
      </c>
    </row>
    <row r="50" spans="2:41" s="1184" customFormat="1" ht="14.65" hidden="1" customHeight="1" x14ac:dyDescent="0.15">
      <c r="B50" s="367" t="b">
        <f t="shared" si="0"/>
        <v>0</v>
      </c>
      <c r="E50" s="626">
        <v>15</v>
      </c>
      <c r="F50" s="3" cm="1">
        <f t="array" aca="1" ref="F50" ca="1">OFFSET(E50,-1,1)</f>
        <v>0</v>
      </c>
      <c r="K50" s="77">
        <f>first_year+19</f>
        <v>2043</v>
      </c>
      <c r="T50" s="388" t="b" cm="1">
        <f t="array" ref="T50">T49</f>
        <v>0</v>
      </c>
      <c r="X50" s="2032"/>
      <c r="Z50" s="2012"/>
      <c r="AB50" s="174" t="str">
        <f t="shared" si="1"/>
        <v>2043 год</v>
      </c>
      <c r="AC50" s="1616"/>
      <c r="AD50" s="1619"/>
      <c r="AE50" s="1620"/>
      <c r="AF50" s="1620"/>
      <c r="AG50" s="1619"/>
      <c r="AH50" s="1619"/>
      <c r="AI50" s="1619"/>
      <c r="AJ50" s="1619"/>
      <c r="AK50" s="1621"/>
      <c r="AL50" s="324"/>
      <c r="AO50" s="973" cm="1">
        <f t="array" ref="AO50">K50</f>
        <v>2043</v>
      </c>
    </row>
    <row r="51" spans="2:41" s="1184" customFormat="1" ht="14.65" hidden="1" customHeight="1" x14ac:dyDescent="0.15">
      <c r="B51" s="367" t="b">
        <f t="shared" si="0"/>
        <v>0</v>
      </c>
      <c r="E51" s="626">
        <v>15</v>
      </c>
      <c r="F51" s="3" cm="1">
        <f t="array" aca="1" ref="F51" ca="1">OFFSET(E51,-1,1)</f>
        <v>0</v>
      </c>
      <c r="K51" s="77">
        <f>first_year+20</f>
        <v>2044</v>
      </c>
      <c r="T51" s="388" t="b" cm="1">
        <f t="array" ref="T51">T50</f>
        <v>0</v>
      </c>
      <c r="X51" s="2032"/>
      <c r="Z51" s="2012"/>
      <c r="AB51" s="174" t="str">
        <f t="shared" si="1"/>
        <v>2044 год</v>
      </c>
      <c r="AC51" s="1616"/>
      <c r="AD51" s="1619"/>
      <c r="AE51" s="1620"/>
      <c r="AF51" s="1620"/>
      <c r="AG51" s="1619"/>
      <c r="AH51" s="1619"/>
      <c r="AI51" s="1619"/>
      <c r="AJ51" s="1619"/>
      <c r="AK51" s="1621"/>
      <c r="AL51" s="324"/>
      <c r="AO51" s="973" cm="1">
        <f t="array" ref="AO51">K51</f>
        <v>2044</v>
      </c>
    </row>
    <row r="52" spans="2:41" s="1184" customFormat="1" ht="14.65" hidden="1" customHeight="1" x14ac:dyDescent="0.15">
      <c r="B52" s="367" t="b">
        <f t="shared" si="0"/>
        <v>0</v>
      </c>
      <c r="E52" s="626">
        <v>15</v>
      </c>
      <c r="F52" s="3" cm="1">
        <f t="array" aca="1" ref="F52" ca="1">OFFSET(E52,-1,1)</f>
        <v>0</v>
      </c>
      <c r="K52" s="77">
        <f>first_year+21</f>
        <v>2045</v>
      </c>
      <c r="T52" s="388" t="b" cm="1">
        <f t="array" ref="T52">T51</f>
        <v>0</v>
      </c>
      <c r="X52" s="2032"/>
      <c r="Z52" s="2012"/>
      <c r="AB52" s="174" t="str">
        <f t="shared" si="1"/>
        <v>2045 год</v>
      </c>
      <c r="AC52" s="1616"/>
      <c r="AD52" s="1619"/>
      <c r="AE52" s="1620"/>
      <c r="AF52" s="1620"/>
      <c r="AG52" s="1619"/>
      <c r="AH52" s="1619"/>
      <c r="AI52" s="1619"/>
      <c r="AJ52" s="1619"/>
      <c r="AK52" s="1621"/>
      <c r="AL52" s="324"/>
      <c r="AO52" s="973" cm="1">
        <f t="array" ref="AO52">K52</f>
        <v>2045</v>
      </c>
    </row>
    <row r="53" spans="2:41" s="1184" customFormat="1" ht="14.65" hidden="1" customHeight="1" x14ac:dyDescent="0.15">
      <c r="B53" s="367" t="b">
        <f t="shared" si="0"/>
        <v>0</v>
      </c>
      <c r="E53" s="626">
        <v>15</v>
      </c>
      <c r="F53" s="3" cm="1">
        <f t="array" aca="1" ref="F53" ca="1">OFFSET(E53,-1,1)</f>
        <v>0</v>
      </c>
      <c r="K53" s="77">
        <f>first_year+22</f>
        <v>2046</v>
      </c>
      <c r="T53" s="388" t="b" cm="1">
        <f t="array" ref="T53">T52</f>
        <v>0</v>
      </c>
      <c r="X53" s="2032"/>
      <c r="Z53" s="2012"/>
      <c r="AB53" s="174" t="str">
        <f t="shared" si="1"/>
        <v>2046 год</v>
      </c>
      <c r="AC53" s="1616"/>
      <c r="AD53" s="1619"/>
      <c r="AE53" s="1620"/>
      <c r="AF53" s="1620"/>
      <c r="AG53" s="1619"/>
      <c r="AH53" s="1619"/>
      <c r="AI53" s="1619"/>
      <c r="AJ53" s="1619"/>
      <c r="AK53" s="1621"/>
      <c r="AL53" s="324"/>
      <c r="AO53" s="973" cm="1">
        <f t="array" ref="AO53">K53</f>
        <v>2046</v>
      </c>
    </row>
    <row r="54" spans="2:41" s="1184" customFormat="1" ht="14.65" hidden="1" customHeight="1" x14ac:dyDescent="0.15">
      <c r="B54" s="367" t="b">
        <f t="shared" si="0"/>
        <v>0</v>
      </c>
      <c r="E54" s="626">
        <v>15</v>
      </c>
      <c r="F54" s="3" cm="1">
        <f t="array" aca="1" ref="F54" ca="1">OFFSET(E54,-1,1)</f>
        <v>0</v>
      </c>
      <c r="K54" s="77">
        <f>first_year+23</f>
        <v>2047</v>
      </c>
      <c r="T54" s="388" t="b" cm="1">
        <f t="array" ref="T54">T53</f>
        <v>0</v>
      </c>
      <c r="X54" s="2032"/>
      <c r="Z54" s="2012"/>
      <c r="AB54" s="174" t="str">
        <f t="shared" si="1"/>
        <v>2047 год</v>
      </c>
      <c r="AC54" s="1616"/>
      <c r="AD54" s="1619"/>
      <c r="AE54" s="1620"/>
      <c r="AF54" s="1620"/>
      <c r="AG54" s="1619"/>
      <c r="AH54" s="1619"/>
      <c r="AI54" s="1619"/>
      <c r="AJ54" s="1619"/>
      <c r="AK54" s="1621"/>
      <c r="AL54" s="324"/>
      <c r="AO54" s="973" cm="1">
        <f t="array" ref="AO54">K54</f>
        <v>2047</v>
      </c>
    </row>
    <row r="55" spans="2:41" s="1184" customFormat="1" ht="14.65" hidden="1" customHeight="1" x14ac:dyDescent="0.15">
      <c r="B55" s="367" t="b">
        <f t="shared" si="0"/>
        <v>0</v>
      </c>
      <c r="E55" s="626">
        <v>15</v>
      </c>
      <c r="F55" s="3" cm="1">
        <f t="array" aca="1" ref="F55" ca="1">OFFSET(E55,-1,1)</f>
        <v>0</v>
      </c>
      <c r="K55" s="77">
        <f>first_year+24</f>
        <v>2048</v>
      </c>
      <c r="T55" s="388" t="b" cm="1">
        <f t="array" ref="T55">T54</f>
        <v>0</v>
      </c>
      <c r="X55" s="2032"/>
      <c r="Z55" s="2012"/>
      <c r="AB55" s="174" t="str">
        <f t="shared" si="1"/>
        <v>2048 год</v>
      </c>
      <c r="AC55" s="1616"/>
      <c r="AD55" s="1619"/>
      <c r="AE55" s="1620"/>
      <c r="AF55" s="1620"/>
      <c r="AG55" s="1619"/>
      <c r="AH55" s="1619"/>
      <c r="AI55" s="1619"/>
      <c r="AJ55" s="1619"/>
      <c r="AK55" s="1621"/>
      <c r="AL55" s="324"/>
      <c r="AO55" s="973" cm="1">
        <f t="array" ref="AO55">K55</f>
        <v>2048</v>
      </c>
    </row>
    <row r="56" spans="2:41" s="1184" customFormat="1" ht="14.65" hidden="1" customHeight="1" x14ac:dyDescent="0.15">
      <c r="B56" s="367" t="b">
        <f t="shared" si="0"/>
        <v>0</v>
      </c>
      <c r="E56" s="626">
        <v>15</v>
      </c>
      <c r="F56" s="3" cm="1">
        <f t="array" aca="1" ref="F56" ca="1">OFFSET(E56,-1,1)</f>
        <v>0</v>
      </c>
      <c r="K56" s="77">
        <f>first_year+25</f>
        <v>2049</v>
      </c>
      <c r="T56" s="388" t="b" cm="1">
        <f t="array" ref="T56">T55</f>
        <v>0</v>
      </c>
      <c r="X56" s="2032"/>
      <c r="Z56" s="2012"/>
      <c r="AB56" s="174" t="str">
        <f t="shared" si="1"/>
        <v>2049 год</v>
      </c>
      <c r="AC56" s="1616"/>
      <c r="AD56" s="1619"/>
      <c r="AE56" s="1620"/>
      <c r="AF56" s="1620"/>
      <c r="AG56" s="1619"/>
      <c r="AH56" s="1619"/>
      <c r="AI56" s="1619"/>
      <c r="AJ56" s="1619"/>
      <c r="AK56" s="1621"/>
      <c r="AL56" s="324"/>
      <c r="AO56" s="973" cm="1">
        <f t="array" ref="AO56">K56</f>
        <v>2049</v>
      </c>
    </row>
    <row r="57" spans="2:41" s="1184" customFormat="1" ht="14.65" hidden="1" customHeight="1" x14ac:dyDescent="0.15">
      <c r="B57" s="367" t="b">
        <f t="shared" si="0"/>
        <v>0</v>
      </c>
      <c r="E57" s="626">
        <v>15</v>
      </c>
      <c r="F57" s="3" cm="1">
        <f t="array" aca="1" ref="F57" ca="1">OFFSET(E57,-1,1)</f>
        <v>0</v>
      </c>
      <c r="K57" s="77">
        <f>first_year+26</f>
        <v>2050</v>
      </c>
      <c r="T57" s="388" t="b" cm="1">
        <f t="array" ref="T57">T56</f>
        <v>0</v>
      </c>
      <c r="X57" s="2032"/>
      <c r="Z57" s="2012"/>
      <c r="AB57" s="174" t="str">
        <f t="shared" si="1"/>
        <v>2050 год</v>
      </c>
      <c r="AC57" s="1616"/>
      <c r="AD57" s="1619"/>
      <c r="AE57" s="1620"/>
      <c r="AF57" s="1620"/>
      <c r="AG57" s="1619"/>
      <c r="AH57" s="1619"/>
      <c r="AI57" s="1619"/>
      <c r="AJ57" s="1619"/>
      <c r="AK57" s="1621"/>
      <c r="AL57" s="324"/>
      <c r="AO57" s="973" cm="1">
        <f t="array" ref="AO57">K57</f>
        <v>2050</v>
      </c>
    </row>
    <row r="58" spans="2:41" s="1184" customFormat="1" ht="14.65" hidden="1" customHeight="1" x14ac:dyDescent="0.15">
      <c r="B58" s="367" t="b">
        <f t="shared" si="0"/>
        <v>0</v>
      </c>
      <c r="E58" s="626">
        <v>15</v>
      </c>
      <c r="F58" s="3" cm="1">
        <f t="array" aca="1" ref="F58" ca="1">OFFSET(E58,-1,1)</f>
        <v>0</v>
      </c>
      <c r="K58" s="77">
        <f>first_year+27</f>
        <v>2051</v>
      </c>
      <c r="T58" s="388" t="b" cm="1">
        <f t="array" ref="T58">T57</f>
        <v>0</v>
      </c>
      <c r="X58" s="2032"/>
      <c r="Z58" s="2012"/>
      <c r="AB58" s="174" t="str">
        <f t="shared" si="1"/>
        <v>2051 год</v>
      </c>
      <c r="AC58" s="1616"/>
      <c r="AD58" s="1619"/>
      <c r="AE58" s="1620"/>
      <c r="AF58" s="1620"/>
      <c r="AG58" s="1619"/>
      <c r="AH58" s="1619"/>
      <c r="AI58" s="1619"/>
      <c r="AJ58" s="1619"/>
      <c r="AK58" s="1621"/>
      <c r="AL58" s="324"/>
      <c r="AO58" s="973" cm="1">
        <f t="array" ref="AO58">K58</f>
        <v>2051</v>
      </c>
    </row>
    <row r="59" spans="2:41" s="1184" customFormat="1" ht="14.65" hidden="1" customHeight="1" x14ac:dyDescent="0.15">
      <c r="B59" s="367" t="b">
        <f t="shared" si="0"/>
        <v>0</v>
      </c>
      <c r="E59" s="626">
        <v>15</v>
      </c>
      <c r="F59" s="3" cm="1">
        <f t="array" aca="1" ref="F59" ca="1">OFFSET(E59,-1,1)</f>
        <v>0</v>
      </c>
      <c r="K59" s="77">
        <f>first_year+28</f>
        <v>2052</v>
      </c>
      <c r="T59" s="388" t="b" cm="1">
        <f t="array" ref="T59">T58</f>
        <v>0</v>
      </c>
      <c r="X59" s="2032"/>
      <c r="Z59" s="2012"/>
      <c r="AB59" s="174" t="str">
        <f t="shared" si="1"/>
        <v>2052 год</v>
      </c>
      <c r="AC59" s="1616"/>
      <c r="AD59" s="1619"/>
      <c r="AE59" s="1620"/>
      <c r="AF59" s="1620"/>
      <c r="AG59" s="1619"/>
      <c r="AH59" s="1619"/>
      <c r="AI59" s="1619"/>
      <c r="AJ59" s="1619"/>
      <c r="AK59" s="1621"/>
      <c r="AL59" s="324"/>
      <c r="AO59" s="973" cm="1">
        <f t="array" ref="AO59">K59</f>
        <v>2052</v>
      </c>
    </row>
    <row r="60" spans="2:41" s="1184" customFormat="1" ht="14.65" hidden="1" customHeight="1" x14ac:dyDescent="0.15">
      <c r="B60" s="367" t="b">
        <f t="shared" si="0"/>
        <v>0</v>
      </c>
      <c r="E60" s="626">
        <v>15</v>
      </c>
      <c r="F60" s="3" cm="1">
        <f t="array" aca="1" ref="F60" ca="1">OFFSET(E60,-1,1)</f>
        <v>0</v>
      </c>
      <c r="K60" s="77">
        <f>first_year+29</f>
        <v>2053</v>
      </c>
      <c r="T60" s="388" t="b" cm="1">
        <f t="array" ref="T60">T59</f>
        <v>0</v>
      </c>
      <c r="X60" s="2032"/>
      <c r="Z60" s="2012"/>
      <c r="AB60" s="174" t="str">
        <f t="shared" si="1"/>
        <v>2053 год</v>
      </c>
      <c r="AC60" s="1616"/>
      <c r="AD60" s="1619"/>
      <c r="AE60" s="1620"/>
      <c r="AF60" s="1620"/>
      <c r="AG60" s="1619"/>
      <c r="AH60" s="1619"/>
      <c r="AI60" s="1619"/>
      <c r="AJ60" s="1619"/>
      <c r="AK60" s="1621"/>
      <c r="AL60" s="324"/>
      <c r="AO60" s="973" cm="1">
        <f t="array" ref="AO60">K60</f>
        <v>2053</v>
      </c>
    </row>
    <row r="61" spans="2:41" s="1184" customFormat="1" ht="14.65" hidden="1" customHeight="1" x14ac:dyDescent="0.15">
      <c r="B61" s="367" t="b">
        <f t="shared" si="0"/>
        <v>0</v>
      </c>
      <c r="E61" s="626">
        <v>15</v>
      </c>
      <c r="F61" s="3" cm="1">
        <f t="array" aca="1" ref="F61" ca="1">OFFSET(E61,-1,1)</f>
        <v>0</v>
      </c>
      <c r="K61" s="77">
        <f>first_year+30</f>
        <v>2054</v>
      </c>
      <c r="T61" s="388" t="b" cm="1">
        <f t="array" ref="T61">T60</f>
        <v>0</v>
      </c>
      <c r="X61" s="2032"/>
      <c r="Z61" s="2012"/>
      <c r="AB61" s="174" t="str">
        <f t="shared" si="1"/>
        <v>2054 год</v>
      </c>
      <c r="AC61" s="1616"/>
      <c r="AD61" s="1619"/>
      <c r="AE61" s="1620"/>
      <c r="AF61" s="1620"/>
      <c r="AG61" s="1619"/>
      <c r="AH61" s="1619"/>
      <c r="AI61" s="1619"/>
      <c r="AJ61" s="1619"/>
      <c r="AK61" s="1621"/>
      <c r="AL61" s="324"/>
      <c r="AO61" s="973" cm="1">
        <f t="array" ref="AO61">K61</f>
        <v>2054</v>
      </c>
    </row>
    <row r="62" spans="2:41" s="1184" customFormat="1" ht="14.65" hidden="1" customHeight="1" x14ac:dyDescent="0.15">
      <c r="B62" s="367" t="b">
        <f t="shared" si="0"/>
        <v>0</v>
      </c>
      <c r="E62" s="626">
        <v>15</v>
      </c>
      <c r="F62" s="3" cm="1">
        <f t="array" aca="1" ref="F62" ca="1">OFFSET(E62,-1,1)</f>
        <v>0</v>
      </c>
      <c r="K62" s="77">
        <f>first_year+31</f>
        <v>2055</v>
      </c>
      <c r="T62" s="388" t="b" cm="1">
        <f t="array" ref="T62">T61</f>
        <v>0</v>
      </c>
      <c r="X62" s="2032"/>
      <c r="Z62" s="2012"/>
      <c r="AB62" s="174" t="str">
        <f t="shared" si="1"/>
        <v>2055 год</v>
      </c>
      <c r="AC62" s="1616"/>
      <c r="AD62" s="1619"/>
      <c r="AE62" s="1620"/>
      <c r="AF62" s="1620"/>
      <c r="AG62" s="1619"/>
      <c r="AH62" s="1619"/>
      <c r="AI62" s="1619"/>
      <c r="AJ62" s="1619"/>
      <c r="AK62" s="1621"/>
      <c r="AL62" s="324"/>
      <c r="AO62" s="973" cm="1">
        <f t="array" ref="AO62">K62</f>
        <v>2055</v>
      </c>
    </row>
    <row r="63" spans="2:41" s="1184" customFormat="1" ht="14.65" hidden="1" customHeight="1" x14ac:dyDescent="0.15">
      <c r="B63" s="367" t="b">
        <f t="shared" ref="B63:B80" si="2">K63&lt;first_year+PERIOD_LENGTH</f>
        <v>0</v>
      </c>
      <c r="E63" s="626">
        <v>15</v>
      </c>
      <c r="F63" s="3" cm="1">
        <f t="array" aca="1" ref="F63" ca="1">OFFSET(E63,-1,1)</f>
        <v>0</v>
      </c>
      <c r="K63" s="77">
        <f>first_year+32</f>
        <v>2056</v>
      </c>
      <c r="T63" s="388" t="b" cm="1">
        <f t="array" ref="T63">T62</f>
        <v>0</v>
      </c>
      <c r="X63" s="2032"/>
      <c r="Z63" s="2012"/>
      <c r="AB63" s="174" t="str">
        <f t="shared" ref="AB63:AB80" si="3">K63&amp;" год"</f>
        <v>2056 год</v>
      </c>
      <c r="AC63" s="1616"/>
      <c r="AD63" s="1619"/>
      <c r="AE63" s="1620"/>
      <c r="AF63" s="1620"/>
      <c r="AG63" s="1619"/>
      <c r="AH63" s="1619"/>
      <c r="AI63" s="1619"/>
      <c r="AJ63" s="1619"/>
      <c r="AK63" s="1621"/>
      <c r="AL63" s="324"/>
      <c r="AO63" s="973" cm="1">
        <f t="array" ref="AO63">K63</f>
        <v>2056</v>
      </c>
    </row>
    <row r="64" spans="2:41" s="1184" customFormat="1" ht="14.65" hidden="1" customHeight="1" x14ac:dyDescent="0.15">
      <c r="B64" s="367" t="b">
        <f t="shared" si="2"/>
        <v>0</v>
      </c>
      <c r="E64" s="626">
        <v>15</v>
      </c>
      <c r="F64" s="3" cm="1">
        <f t="array" aca="1" ref="F64" ca="1">OFFSET(E64,-1,1)</f>
        <v>0</v>
      </c>
      <c r="K64" s="77">
        <f>first_year+33</f>
        <v>2057</v>
      </c>
      <c r="T64" s="388" t="b" cm="1">
        <f t="array" ref="T64">T63</f>
        <v>0</v>
      </c>
      <c r="X64" s="2032"/>
      <c r="Z64" s="2012"/>
      <c r="AB64" s="174" t="str">
        <f t="shared" si="3"/>
        <v>2057 год</v>
      </c>
      <c r="AC64" s="1616"/>
      <c r="AD64" s="1619"/>
      <c r="AE64" s="1620"/>
      <c r="AF64" s="1620"/>
      <c r="AG64" s="1619"/>
      <c r="AH64" s="1619"/>
      <c r="AI64" s="1619"/>
      <c r="AJ64" s="1619"/>
      <c r="AK64" s="1621"/>
      <c r="AL64" s="324"/>
      <c r="AO64" s="973" cm="1">
        <f t="array" ref="AO64">K64</f>
        <v>2057</v>
      </c>
    </row>
    <row r="65" spans="2:41" s="1184" customFormat="1" ht="14.65" hidden="1" customHeight="1" x14ac:dyDescent="0.15">
      <c r="B65" s="367" t="b">
        <f t="shared" si="2"/>
        <v>0</v>
      </c>
      <c r="E65" s="626">
        <v>15</v>
      </c>
      <c r="F65" s="3" cm="1">
        <f t="array" aca="1" ref="F65" ca="1">OFFSET(E65,-1,1)</f>
        <v>0</v>
      </c>
      <c r="K65" s="77">
        <f>first_year+34</f>
        <v>2058</v>
      </c>
      <c r="T65" s="388" t="b" cm="1">
        <f t="array" ref="T65">T64</f>
        <v>0</v>
      </c>
      <c r="X65" s="2032"/>
      <c r="Z65" s="2012"/>
      <c r="AB65" s="174" t="str">
        <f t="shared" si="3"/>
        <v>2058 год</v>
      </c>
      <c r="AC65" s="1616"/>
      <c r="AD65" s="1619"/>
      <c r="AE65" s="1620"/>
      <c r="AF65" s="1620"/>
      <c r="AG65" s="1619"/>
      <c r="AH65" s="1619"/>
      <c r="AI65" s="1619"/>
      <c r="AJ65" s="1619"/>
      <c r="AK65" s="1621"/>
      <c r="AL65" s="324"/>
      <c r="AO65" s="973" cm="1">
        <f t="array" ref="AO65">K65</f>
        <v>2058</v>
      </c>
    </row>
    <row r="66" spans="2:41" s="1184" customFormat="1" ht="14.65" hidden="1" customHeight="1" x14ac:dyDescent="0.15">
      <c r="B66" s="367" t="b">
        <f t="shared" si="2"/>
        <v>0</v>
      </c>
      <c r="E66" s="626">
        <v>15</v>
      </c>
      <c r="F66" s="3" cm="1">
        <f t="array" aca="1" ref="F66" ca="1">OFFSET(E66,-1,1)</f>
        <v>0</v>
      </c>
      <c r="K66" s="77">
        <f>first_year+35</f>
        <v>2059</v>
      </c>
      <c r="T66" s="388" t="b" cm="1">
        <f t="array" ref="T66">T65</f>
        <v>0</v>
      </c>
      <c r="X66" s="2032"/>
      <c r="Z66" s="2012"/>
      <c r="AB66" s="174" t="str">
        <f t="shared" si="3"/>
        <v>2059 год</v>
      </c>
      <c r="AC66" s="1616"/>
      <c r="AD66" s="1619"/>
      <c r="AE66" s="1620"/>
      <c r="AF66" s="1620"/>
      <c r="AG66" s="1619"/>
      <c r="AH66" s="1619"/>
      <c r="AI66" s="1619"/>
      <c r="AJ66" s="1619"/>
      <c r="AK66" s="1621"/>
      <c r="AL66" s="324"/>
      <c r="AO66" s="973" cm="1">
        <f t="array" ref="AO66">K66</f>
        <v>2059</v>
      </c>
    </row>
    <row r="67" spans="2:41" s="1184" customFormat="1" ht="14.65" hidden="1" customHeight="1" x14ac:dyDescent="0.15">
      <c r="B67" s="367" t="b">
        <f t="shared" si="2"/>
        <v>0</v>
      </c>
      <c r="E67" s="626">
        <v>15</v>
      </c>
      <c r="F67" s="3" cm="1">
        <f t="array" aca="1" ref="F67" ca="1">OFFSET(E67,-1,1)</f>
        <v>0</v>
      </c>
      <c r="K67" s="77">
        <f>first_year+36</f>
        <v>2060</v>
      </c>
      <c r="T67" s="388" t="b" cm="1">
        <f t="array" ref="T67">T66</f>
        <v>0</v>
      </c>
      <c r="X67" s="2032"/>
      <c r="Z67" s="2012"/>
      <c r="AB67" s="174" t="str">
        <f t="shared" si="3"/>
        <v>2060 год</v>
      </c>
      <c r="AC67" s="1616"/>
      <c r="AD67" s="1619"/>
      <c r="AE67" s="1620"/>
      <c r="AF67" s="1620"/>
      <c r="AG67" s="1619"/>
      <c r="AH67" s="1619"/>
      <c r="AI67" s="1619"/>
      <c r="AJ67" s="1619"/>
      <c r="AK67" s="1621"/>
      <c r="AL67" s="324"/>
      <c r="AO67" s="973" cm="1">
        <f t="array" ref="AO67">K67</f>
        <v>2060</v>
      </c>
    </row>
    <row r="68" spans="2:41" s="1184" customFormat="1" ht="14.65" hidden="1" customHeight="1" x14ac:dyDescent="0.15">
      <c r="B68" s="367" t="b">
        <f t="shared" si="2"/>
        <v>0</v>
      </c>
      <c r="E68" s="626">
        <v>15</v>
      </c>
      <c r="F68" s="3" cm="1">
        <f t="array" aca="1" ref="F68" ca="1">OFFSET(E68,-1,1)</f>
        <v>0</v>
      </c>
      <c r="K68" s="77">
        <f>first_year+37</f>
        <v>2061</v>
      </c>
      <c r="T68" s="388" t="b" cm="1">
        <f t="array" ref="T68">T67</f>
        <v>0</v>
      </c>
      <c r="X68" s="2032"/>
      <c r="Z68" s="2012"/>
      <c r="AB68" s="174" t="str">
        <f t="shared" si="3"/>
        <v>2061 год</v>
      </c>
      <c r="AC68" s="1616"/>
      <c r="AD68" s="1619"/>
      <c r="AE68" s="1620"/>
      <c r="AF68" s="1620"/>
      <c r="AG68" s="1619"/>
      <c r="AH68" s="1619"/>
      <c r="AI68" s="1619"/>
      <c r="AJ68" s="1619"/>
      <c r="AK68" s="1621"/>
      <c r="AL68" s="324"/>
      <c r="AO68" s="973" cm="1">
        <f t="array" ref="AO68">K68</f>
        <v>2061</v>
      </c>
    </row>
    <row r="69" spans="2:41" s="1184" customFormat="1" ht="14.65" hidden="1" customHeight="1" x14ac:dyDescent="0.15">
      <c r="B69" s="367" t="b">
        <f t="shared" si="2"/>
        <v>0</v>
      </c>
      <c r="E69" s="626">
        <v>15</v>
      </c>
      <c r="F69" s="3" cm="1">
        <f t="array" aca="1" ref="F69" ca="1">OFFSET(E69,-1,1)</f>
        <v>0</v>
      </c>
      <c r="K69" s="77">
        <f>first_year+38</f>
        <v>2062</v>
      </c>
      <c r="T69" s="388" t="b" cm="1">
        <f t="array" ref="T69">T68</f>
        <v>0</v>
      </c>
      <c r="X69" s="2032"/>
      <c r="Z69" s="2012"/>
      <c r="AB69" s="174" t="str">
        <f t="shared" si="3"/>
        <v>2062 год</v>
      </c>
      <c r="AC69" s="1616"/>
      <c r="AD69" s="1619"/>
      <c r="AE69" s="1620"/>
      <c r="AF69" s="1620"/>
      <c r="AG69" s="1619"/>
      <c r="AH69" s="1619"/>
      <c r="AI69" s="1619"/>
      <c r="AJ69" s="1619"/>
      <c r="AK69" s="1621"/>
      <c r="AL69" s="324"/>
      <c r="AO69" s="973" cm="1">
        <f t="array" ref="AO69">K69</f>
        <v>2062</v>
      </c>
    </row>
    <row r="70" spans="2:41" s="1184" customFormat="1" ht="14.65" hidden="1" customHeight="1" x14ac:dyDescent="0.15">
      <c r="B70" s="367" t="b">
        <f t="shared" si="2"/>
        <v>0</v>
      </c>
      <c r="E70" s="626">
        <v>15</v>
      </c>
      <c r="F70" s="3" cm="1">
        <f t="array" aca="1" ref="F70" ca="1">OFFSET(E70,-1,1)</f>
        <v>0</v>
      </c>
      <c r="K70" s="77">
        <f>first_year+39</f>
        <v>2063</v>
      </c>
      <c r="T70" s="388" t="b" cm="1">
        <f t="array" ref="T70">T69</f>
        <v>0</v>
      </c>
      <c r="X70" s="2032"/>
      <c r="Z70" s="2012"/>
      <c r="AB70" s="174" t="str">
        <f t="shared" si="3"/>
        <v>2063 год</v>
      </c>
      <c r="AC70" s="1616"/>
      <c r="AD70" s="1619"/>
      <c r="AE70" s="1620"/>
      <c r="AF70" s="1620"/>
      <c r="AG70" s="1619"/>
      <c r="AH70" s="1619"/>
      <c r="AI70" s="1619"/>
      <c r="AJ70" s="1619"/>
      <c r="AK70" s="1621"/>
      <c r="AL70" s="324"/>
      <c r="AO70" s="973" cm="1">
        <f t="array" ref="AO70">K70</f>
        <v>2063</v>
      </c>
    </row>
    <row r="71" spans="2:41" s="1184" customFormat="1" ht="14.65" hidden="1" customHeight="1" x14ac:dyDescent="0.15">
      <c r="B71" s="367" t="b">
        <f t="shared" si="2"/>
        <v>0</v>
      </c>
      <c r="E71" s="626">
        <v>15</v>
      </c>
      <c r="F71" s="3" cm="1">
        <f t="array" aca="1" ref="F71" ca="1">OFFSET(E71,-1,1)</f>
        <v>0</v>
      </c>
      <c r="K71" s="77">
        <f>first_year+40</f>
        <v>2064</v>
      </c>
      <c r="T71" s="388" t="b" cm="1">
        <f t="array" ref="T71">T70</f>
        <v>0</v>
      </c>
      <c r="X71" s="2032"/>
      <c r="Z71" s="2012"/>
      <c r="AB71" s="174" t="str">
        <f t="shared" si="3"/>
        <v>2064 год</v>
      </c>
      <c r="AC71" s="1616"/>
      <c r="AD71" s="1619"/>
      <c r="AE71" s="1620"/>
      <c r="AF71" s="1620"/>
      <c r="AG71" s="1619"/>
      <c r="AH71" s="1619"/>
      <c r="AI71" s="1619"/>
      <c r="AJ71" s="1619"/>
      <c r="AK71" s="1621"/>
      <c r="AL71" s="324"/>
      <c r="AO71" s="973" cm="1">
        <f t="array" ref="AO71">K71</f>
        <v>2064</v>
      </c>
    </row>
    <row r="72" spans="2:41" s="1184" customFormat="1" ht="14.65" hidden="1" customHeight="1" x14ac:dyDescent="0.15">
      <c r="B72" s="367" t="b">
        <f t="shared" si="2"/>
        <v>0</v>
      </c>
      <c r="E72" s="626">
        <v>15</v>
      </c>
      <c r="F72" s="3" cm="1">
        <f t="array" aca="1" ref="F72" ca="1">OFFSET(E72,-1,1)</f>
        <v>0</v>
      </c>
      <c r="K72" s="77">
        <f>first_year+41</f>
        <v>2065</v>
      </c>
      <c r="T72" s="388" t="b" cm="1">
        <f t="array" ref="T72">T71</f>
        <v>0</v>
      </c>
      <c r="X72" s="2032"/>
      <c r="Z72" s="2012"/>
      <c r="AB72" s="174" t="str">
        <f t="shared" si="3"/>
        <v>2065 год</v>
      </c>
      <c r="AC72" s="1616"/>
      <c r="AD72" s="1619"/>
      <c r="AE72" s="1620"/>
      <c r="AF72" s="1620"/>
      <c r="AG72" s="1619"/>
      <c r="AH72" s="1619"/>
      <c r="AI72" s="1619"/>
      <c r="AJ72" s="1619"/>
      <c r="AK72" s="1621"/>
      <c r="AL72" s="324"/>
      <c r="AO72" s="973" cm="1">
        <f t="array" ref="AO72">K72</f>
        <v>2065</v>
      </c>
    </row>
    <row r="73" spans="2:41" s="1184" customFormat="1" ht="14.65" hidden="1" customHeight="1" x14ac:dyDescent="0.15">
      <c r="B73" s="367" t="b">
        <f t="shared" si="2"/>
        <v>0</v>
      </c>
      <c r="E73" s="626">
        <v>15</v>
      </c>
      <c r="F73" s="3" cm="1">
        <f t="array" aca="1" ref="F73" ca="1">OFFSET(E73,-1,1)</f>
        <v>0</v>
      </c>
      <c r="K73" s="77">
        <f>first_year+42</f>
        <v>2066</v>
      </c>
      <c r="T73" s="388" t="b" cm="1">
        <f t="array" ref="T73">T72</f>
        <v>0</v>
      </c>
      <c r="X73" s="2032"/>
      <c r="Z73" s="2012"/>
      <c r="AB73" s="174" t="str">
        <f t="shared" si="3"/>
        <v>2066 год</v>
      </c>
      <c r="AC73" s="1616"/>
      <c r="AD73" s="1619"/>
      <c r="AE73" s="1620"/>
      <c r="AF73" s="1620"/>
      <c r="AG73" s="1619"/>
      <c r="AH73" s="1619"/>
      <c r="AI73" s="1619"/>
      <c r="AJ73" s="1619"/>
      <c r="AK73" s="1621"/>
      <c r="AL73" s="324"/>
      <c r="AO73" s="973" cm="1">
        <f t="array" ref="AO73">K73</f>
        <v>2066</v>
      </c>
    </row>
    <row r="74" spans="2:41" s="1184" customFormat="1" ht="14.65" hidden="1" customHeight="1" x14ac:dyDescent="0.15">
      <c r="B74" s="367" t="b">
        <f t="shared" si="2"/>
        <v>0</v>
      </c>
      <c r="E74" s="626">
        <v>15</v>
      </c>
      <c r="F74" s="3" cm="1">
        <f t="array" aca="1" ref="F74" ca="1">OFFSET(E74,-1,1)</f>
        <v>0</v>
      </c>
      <c r="K74" s="77">
        <f>first_year+43</f>
        <v>2067</v>
      </c>
      <c r="T74" s="388" t="b" cm="1">
        <f t="array" ref="T74">T73</f>
        <v>0</v>
      </c>
      <c r="X74" s="2032"/>
      <c r="Z74" s="2012"/>
      <c r="AB74" s="174" t="str">
        <f t="shared" si="3"/>
        <v>2067 год</v>
      </c>
      <c r="AC74" s="1616"/>
      <c r="AD74" s="1619"/>
      <c r="AE74" s="1620"/>
      <c r="AF74" s="1620"/>
      <c r="AG74" s="1619"/>
      <c r="AH74" s="1619"/>
      <c r="AI74" s="1619"/>
      <c r="AJ74" s="1619"/>
      <c r="AK74" s="1621"/>
      <c r="AL74" s="324"/>
      <c r="AO74" s="973" cm="1">
        <f t="array" ref="AO74">K74</f>
        <v>2067</v>
      </c>
    </row>
    <row r="75" spans="2:41" s="1184" customFormat="1" ht="14.65" hidden="1" customHeight="1" x14ac:dyDescent="0.15">
      <c r="B75" s="367" t="b">
        <f t="shared" si="2"/>
        <v>0</v>
      </c>
      <c r="E75" s="626">
        <v>15</v>
      </c>
      <c r="F75" s="3" cm="1">
        <f t="array" aca="1" ref="F75" ca="1">OFFSET(E75,-1,1)</f>
        <v>0</v>
      </c>
      <c r="K75" s="77">
        <f>first_year+44</f>
        <v>2068</v>
      </c>
      <c r="T75" s="388" t="b" cm="1">
        <f t="array" ref="T75">T74</f>
        <v>0</v>
      </c>
      <c r="X75" s="2032"/>
      <c r="Z75" s="2012"/>
      <c r="AB75" s="174" t="str">
        <f t="shared" si="3"/>
        <v>2068 год</v>
      </c>
      <c r="AC75" s="1616"/>
      <c r="AD75" s="1619"/>
      <c r="AE75" s="1620"/>
      <c r="AF75" s="1620"/>
      <c r="AG75" s="1619"/>
      <c r="AH75" s="1619"/>
      <c r="AI75" s="1619"/>
      <c r="AJ75" s="1619"/>
      <c r="AK75" s="1621"/>
      <c r="AL75" s="324"/>
      <c r="AO75" s="973" cm="1">
        <f t="array" ref="AO75">K75</f>
        <v>2068</v>
      </c>
    </row>
    <row r="76" spans="2:41" s="1184" customFormat="1" ht="14.65" hidden="1" customHeight="1" x14ac:dyDescent="0.15">
      <c r="B76" s="367" t="b">
        <f t="shared" si="2"/>
        <v>0</v>
      </c>
      <c r="E76" s="626">
        <v>15</v>
      </c>
      <c r="F76" s="3" cm="1">
        <f t="array" aca="1" ref="F76" ca="1">OFFSET(E76,-1,1)</f>
        <v>0</v>
      </c>
      <c r="K76" s="77">
        <f>first_year+45</f>
        <v>2069</v>
      </c>
      <c r="T76" s="388" t="b" cm="1">
        <f t="array" ref="T76">T75</f>
        <v>0</v>
      </c>
      <c r="X76" s="2032"/>
      <c r="Z76" s="2012"/>
      <c r="AB76" s="174" t="str">
        <f t="shared" si="3"/>
        <v>2069 год</v>
      </c>
      <c r="AC76" s="1616"/>
      <c r="AD76" s="1619"/>
      <c r="AE76" s="1620"/>
      <c r="AF76" s="1620"/>
      <c r="AG76" s="1619"/>
      <c r="AH76" s="1619"/>
      <c r="AI76" s="1619"/>
      <c r="AJ76" s="1619"/>
      <c r="AK76" s="1621"/>
      <c r="AL76" s="324"/>
      <c r="AO76" s="973" cm="1">
        <f t="array" ref="AO76">K76</f>
        <v>2069</v>
      </c>
    </row>
    <row r="77" spans="2:41" s="1184" customFormat="1" ht="14.65" hidden="1" customHeight="1" x14ac:dyDescent="0.15">
      <c r="B77" s="367" t="b">
        <f t="shared" si="2"/>
        <v>0</v>
      </c>
      <c r="E77" s="626">
        <v>15</v>
      </c>
      <c r="F77" s="3" cm="1">
        <f t="array" aca="1" ref="F77" ca="1">OFFSET(E77,-1,1)</f>
        <v>0</v>
      </c>
      <c r="K77" s="77">
        <f>first_year+46</f>
        <v>2070</v>
      </c>
      <c r="T77" s="388" t="b" cm="1">
        <f t="array" ref="T77">T76</f>
        <v>0</v>
      </c>
      <c r="X77" s="2032"/>
      <c r="Z77" s="2012"/>
      <c r="AB77" s="174" t="str">
        <f t="shared" si="3"/>
        <v>2070 год</v>
      </c>
      <c r="AC77" s="1616"/>
      <c r="AD77" s="1619"/>
      <c r="AE77" s="1620"/>
      <c r="AF77" s="1620"/>
      <c r="AG77" s="1619"/>
      <c r="AH77" s="1619"/>
      <c r="AI77" s="1619"/>
      <c r="AJ77" s="1619"/>
      <c r="AK77" s="1621"/>
      <c r="AL77" s="324"/>
      <c r="AO77" s="973" cm="1">
        <f t="array" ref="AO77">K77</f>
        <v>2070</v>
      </c>
    </row>
    <row r="78" spans="2:41" s="1184" customFormat="1" ht="14.65" hidden="1" customHeight="1" x14ac:dyDescent="0.15">
      <c r="B78" s="367" t="b">
        <f t="shared" si="2"/>
        <v>0</v>
      </c>
      <c r="E78" s="626">
        <v>15</v>
      </c>
      <c r="F78" s="3" cm="1">
        <f t="array" aca="1" ref="F78" ca="1">OFFSET(E78,-1,1)</f>
        <v>0</v>
      </c>
      <c r="K78" s="77">
        <f>first_year+47</f>
        <v>2071</v>
      </c>
      <c r="T78" s="388" t="b" cm="1">
        <f t="array" ref="T78">T77</f>
        <v>0</v>
      </c>
      <c r="X78" s="2032"/>
      <c r="Z78" s="2012"/>
      <c r="AB78" s="174" t="str">
        <f t="shared" si="3"/>
        <v>2071 год</v>
      </c>
      <c r="AC78" s="1616"/>
      <c r="AD78" s="1619"/>
      <c r="AE78" s="1620"/>
      <c r="AF78" s="1620"/>
      <c r="AG78" s="1619"/>
      <c r="AH78" s="1619"/>
      <c r="AI78" s="1619"/>
      <c r="AJ78" s="1619"/>
      <c r="AK78" s="1621"/>
      <c r="AL78" s="324"/>
      <c r="AO78" s="973" cm="1">
        <f t="array" ref="AO78">K78</f>
        <v>2071</v>
      </c>
    </row>
    <row r="79" spans="2:41" s="1184" customFormat="1" ht="14.65" hidden="1" customHeight="1" x14ac:dyDescent="0.15">
      <c r="B79" s="367" t="b">
        <f t="shared" si="2"/>
        <v>0</v>
      </c>
      <c r="E79" s="626">
        <v>15</v>
      </c>
      <c r="F79" s="3" cm="1">
        <f t="array" aca="1" ref="F79" ca="1">OFFSET(E79,-1,1)</f>
        <v>0</v>
      </c>
      <c r="K79" s="77">
        <f>first_year+48</f>
        <v>2072</v>
      </c>
      <c r="T79" s="388" t="b" cm="1">
        <f t="array" ref="T79">T78</f>
        <v>0</v>
      </c>
      <c r="X79" s="2032"/>
      <c r="Z79" s="2012"/>
      <c r="AB79" s="174" t="str">
        <f t="shared" si="3"/>
        <v>2072 год</v>
      </c>
      <c r="AC79" s="1616"/>
      <c r="AD79" s="1619"/>
      <c r="AE79" s="1620"/>
      <c r="AF79" s="1620"/>
      <c r="AG79" s="1619"/>
      <c r="AH79" s="1619"/>
      <c r="AI79" s="1619"/>
      <c r="AJ79" s="1619"/>
      <c r="AK79" s="1621"/>
      <c r="AL79" s="324"/>
      <c r="AO79" s="973" cm="1">
        <f t="array" ref="AO79">K79</f>
        <v>2072</v>
      </c>
    </row>
    <row r="80" spans="2:41" s="1184" customFormat="1" ht="14.65" hidden="1" customHeight="1" x14ac:dyDescent="0.15">
      <c r="B80" s="367" t="b">
        <f t="shared" si="2"/>
        <v>0</v>
      </c>
      <c r="E80" s="626">
        <v>15</v>
      </c>
      <c r="F80" s="3" cm="1">
        <f t="array" aca="1" ref="F80" ca="1">OFFSET(E80,-1,1)</f>
        <v>0</v>
      </c>
      <c r="K80" s="77">
        <f>first_year+49</f>
        <v>2073</v>
      </c>
      <c r="T80" s="388" t="b" cm="1">
        <f t="array" ref="T80">T79</f>
        <v>0</v>
      </c>
      <c r="X80" s="2032"/>
      <c r="Z80" s="2012"/>
      <c r="AB80" s="174" t="str">
        <f t="shared" si="3"/>
        <v>2073 год</v>
      </c>
      <c r="AC80" s="1616"/>
      <c r="AD80" s="1619"/>
      <c r="AE80" s="1620"/>
      <c r="AF80" s="1620"/>
      <c r="AG80" s="1619"/>
      <c r="AH80" s="1619"/>
      <c r="AI80" s="1619"/>
      <c r="AJ80" s="1619"/>
      <c r="AK80" s="1621"/>
      <c r="AL80" s="324"/>
      <c r="AO80" s="973" cm="1">
        <f t="array" ref="AO80">K80</f>
        <v>2073</v>
      </c>
    </row>
    <row r="81" spans="1:43" s="461" customFormat="1" ht="14.25" customHeight="1" x14ac:dyDescent="0.15">
      <c r="A81" s="1217"/>
      <c r="B81" s="350"/>
      <c r="C81" s="1217"/>
      <c r="D81" s="1217"/>
      <c r="E81" s="542">
        <v>15</v>
      </c>
      <c r="F81" s="17" t="str" cm="1">
        <f t="array" ref="F81">X81</f>
        <v>1</v>
      </c>
      <c r="G81" s="1217"/>
      <c r="H81" s="1217"/>
      <c r="I81" s="1217"/>
      <c r="J81" s="1217"/>
      <c r="K81" s="1217"/>
      <c r="L81" s="1217"/>
      <c r="M81" s="1217"/>
      <c r="N81" s="1217"/>
      <c r="O81" s="1217"/>
      <c r="P81" s="1217"/>
      <c r="Q81" s="1217"/>
      <c r="R81" s="1217"/>
      <c r="S81" s="1217"/>
      <c r="T81" s="388" t="b">
        <f>X81&gt;0</f>
        <v>1</v>
      </c>
      <c r="U81" s="1217"/>
      <c r="V81" s="41" t="str" cm="1">
        <f t="array" ref="V81">'Калькуляция (МИ корр)'!$AB$171</f>
        <v>Тариф 1 (Водоснабжение) - тариф на питьевую воду</v>
      </c>
      <c r="W81" s="1217"/>
      <c r="X81" s="2032" t="s">
        <v>282</v>
      </c>
      <c r="Y81" s="1217"/>
      <c r="Z81" s="2012"/>
      <c r="AA81" s="1217"/>
      <c r="AB81" s="297" t="str" cm="1">
        <f t="array" ref="AB81">'Калькуляция (МИ корр)'!$AB$171</f>
        <v>Тариф 1 (Водоснабжение) - тариф на питьевую воду</v>
      </c>
      <c r="AC81" s="751"/>
      <c r="AD81" s="751"/>
      <c r="AE81" s="751"/>
      <c r="AF81" s="751"/>
      <c r="AG81" s="751"/>
      <c r="AH81" s="751"/>
      <c r="AI81" s="751"/>
      <c r="AJ81" s="751"/>
      <c r="AK81" s="751"/>
      <c r="AL81" s="323"/>
      <c r="AM81" s="1217"/>
      <c r="AN81" s="1217"/>
      <c r="AO81" s="906"/>
      <c r="AP81" s="1217"/>
      <c r="AQ81" s="1217"/>
    </row>
    <row r="82" spans="1:43" s="1622" customFormat="1" ht="14.65" customHeight="1" x14ac:dyDescent="0.15">
      <c r="A82" s="1184"/>
      <c r="B82" s="367" t="b">
        <f t="shared" ref="B82:B113" si="4">K82&lt;first_year+PERIOD_LENGTH</f>
        <v>1</v>
      </c>
      <c r="C82" s="1184"/>
      <c r="D82" s="1184"/>
      <c r="E82" s="626">
        <v>15</v>
      </c>
      <c r="F82" s="3" t="str" cm="1">
        <f t="array" aca="1" ref="F82" ca="1">OFFSET(E82,-1,1)</f>
        <v>1</v>
      </c>
      <c r="G82" s="1184"/>
      <c r="H82" s="1184"/>
      <c r="I82" s="1184"/>
      <c r="J82" s="1184"/>
      <c r="K82" s="77" cm="1">
        <f t="array" ref="K82">first_year</f>
        <v>2024</v>
      </c>
      <c r="L82" s="1184"/>
      <c r="M82" s="1184"/>
      <c r="N82" s="1184"/>
      <c r="O82" s="1184"/>
      <c r="P82" s="1184"/>
      <c r="Q82" s="1184"/>
      <c r="R82" s="1184"/>
      <c r="S82" s="1184"/>
      <c r="T82" s="388" t="b" cm="1">
        <f t="array" ref="T82">T81</f>
        <v>1</v>
      </c>
      <c r="U82" s="1184"/>
      <c r="V82" s="1184"/>
      <c r="W82" s="1184"/>
      <c r="X82" s="2032"/>
      <c r="Y82" s="1184"/>
      <c r="Z82" s="2012"/>
      <c r="AA82" s="1184"/>
      <c r="AB82" s="752" t="str">
        <f t="shared" ref="AB82:AB113" si="5">K82&amp;" год"</f>
        <v>2024 год</v>
      </c>
      <c r="AC82" s="833">
        <v>62055.85</v>
      </c>
      <c r="AD82" s="754">
        <f ca="1">IFERROR(SUMIFS(INDEX(Сценарии!$AE$25:$BF$109,,MATCH($K82&amp;"Принято органом регулирования",Сценарии!$AE$8:$BF$8,0)),Сценарии!$F$25:$F$109,$F82,Сценарии!$AC$25:$AC$109,"Индекс эффективности операционных расходов"),0)</f>
        <v>0</v>
      </c>
      <c r="AE82" s="753"/>
      <c r="AF82" s="753"/>
      <c r="AG82" s="1171">
        <v>1.1971127294999999</v>
      </c>
      <c r="AH82" s="754">
        <f ca="1">IFERROR(SUMIFS(INDEX(Electricity_LOAD_1,,MATCH($K82&amp;"Принято органом регулирования",ЭЭ!$AE$8:$BB$8,0)),ЭЭ!$F$25:$F$117,$F82,ЭЭ!$AC$25:$AC$117,"Удельный расход электроэнергии"),0)</f>
        <v>1.1971127294516619</v>
      </c>
      <c r="AI82" s="754">
        <f ca="1">IFERROR(SUMIFS(INDEX(Electricity_LOAD_1,,MATCH($K82&amp;"Принято органом регулирования",ЭЭ!$AE$8:$BB$8,0)),ЭЭ!$F$25:$F$117,$F82,ЭЭ!$AC$25:$AC$117,"Удельный расход электроэнергии"),0)</f>
        <v>1.1971127294516619</v>
      </c>
      <c r="AJ82" s="1623"/>
      <c r="AK82" s="1623"/>
      <c r="AL82" s="324"/>
      <c r="AM82" s="77" t="s">
        <v>2255</v>
      </c>
      <c r="AN82" s="1184"/>
      <c r="AO82" s="973" cm="1">
        <f t="array" ref="AO82">K82</f>
        <v>2024</v>
      </c>
      <c r="AP82" s="1184"/>
      <c r="AQ82" s="1184"/>
    </row>
    <row r="83" spans="1:43" s="1624" customFormat="1" ht="14.65" customHeight="1" x14ac:dyDescent="0.15">
      <c r="A83" s="1184"/>
      <c r="B83" s="367" t="b">
        <f t="shared" si="4"/>
        <v>1</v>
      </c>
      <c r="C83" s="1184"/>
      <c r="D83" s="1184"/>
      <c r="E83" s="626">
        <v>15</v>
      </c>
      <c r="F83" s="3" t="str" cm="1">
        <f t="array" aca="1" ref="F83" ca="1">OFFSET(E83,-1,1)</f>
        <v>1</v>
      </c>
      <c r="G83" s="1184"/>
      <c r="H83" s="1184"/>
      <c r="I83" s="1184"/>
      <c r="J83" s="1184"/>
      <c r="K83" s="77">
        <f>first_year+1</f>
        <v>2025</v>
      </c>
      <c r="L83" s="1184"/>
      <c r="M83" s="1184"/>
      <c r="N83" s="1184"/>
      <c r="O83" s="1184"/>
      <c r="P83" s="1184"/>
      <c r="Q83" s="1184"/>
      <c r="R83" s="1184"/>
      <c r="S83" s="1184"/>
      <c r="T83" s="388" t="b" cm="1">
        <f t="array" ref="T83">T82</f>
        <v>1</v>
      </c>
      <c r="U83" s="1184"/>
      <c r="V83" s="1184"/>
      <c r="W83" s="1184"/>
      <c r="X83" s="2032"/>
      <c r="Y83" s="1184"/>
      <c r="Z83" s="2012"/>
      <c r="AA83" s="1184"/>
      <c r="AB83" s="752" t="str">
        <f t="shared" si="5"/>
        <v>2025 год</v>
      </c>
      <c r="AC83" s="753"/>
      <c r="AD83" s="754">
        <v>1</v>
      </c>
      <c r="AE83" s="753"/>
      <c r="AF83" s="753"/>
      <c r="AG83" s="1171">
        <v>1.1971127294999999</v>
      </c>
      <c r="AH83" s="754">
        <f ca="1">IFERROR(SUMIFS(INDEX(Electricity_LOAD_1,,MATCH($K83&amp;"Принято органом регулирования",ЭЭ!$AE$8:$BB$8,0)),ЭЭ!$F$25:$F$117,$F83,ЭЭ!$AC$25:$AC$117,"Удельный расход электроэнергии"),0)</f>
        <v>1.1971127294516619</v>
      </c>
      <c r="AI83" s="754">
        <f ca="1">IFERROR(SUMIFS(INDEX(Electricity_LOAD_1,,MATCH($K83&amp;"Принято органом регулирования",ЭЭ!$AE$8:$BB$8,0)),ЭЭ!$F$25:$F$117,$F83,ЭЭ!$AC$25:$AC$117,"Удельный расход электроэнергии"),0)</f>
        <v>1.1971127294516619</v>
      </c>
      <c r="AJ83" s="1623"/>
      <c r="AK83" s="1623"/>
      <c r="AL83" s="324"/>
      <c r="AM83" s="1184" t="s">
        <v>2255</v>
      </c>
      <c r="AN83" s="1184"/>
      <c r="AO83" s="973" cm="1">
        <f t="array" ref="AO83">K83</f>
        <v>2025</v>
      </c>
      <c r="AP83" s="1184"/>
      <c r="AQ83" s="1184"/>
    </row>
    <row r="84" spans="1:43" s="1625" customFormat="1" ht="14.65" customHeight="1" x14ac:dyDescent="0.15">
      <c r="A84" s="1184"/>
      <c r="B84" s="367" t="b">
        <f t="shared" si="4"/>
        <v>1</v>
      </c>
      <c r="C84" s="1184"/>
      <c r="D84" s="1184"/>
      <c r="E84" s="626">
        <v>15</v>
      </c>
      <c r="F84" s="3" t="str" cm="1">
        <f t="array" aca="1" ref="F84" ca="1">OFFSET(E84,-1,1)</f>
        <v>1</v>
      </c>
      <c r="G84" s="1184"/>
      <c r="H84" s="1184"/>
      <c r="I84" s="1184"/>
      <c r="J84" s="1184"/>
      <c r="K84" s="77">
        <f>first_year+2</f>
        <v>2026</v>
      </c>
      <c r="L84" s="1184"/>
      <c r="M84" s="1184"/>
      <c r="N84" s="1184"/>
      <c r="O84" s="1184"/>
      <c r="P84" s="1184"/>
      <c r="Q84" s="1184"/>
      <c r="R84" s="1184"/>
      <c r="S84" s="1184"/>
      <c r="T84" s="388" t="b" cm="1">
        <f t="array" ref="T84">T83</f>
        <v>1</v>
      </c>
      <c r="U84" s="1184"/>
      <c r="V84" s="1184"/>
      <c r="W84" s="1184"/>
      <c r="X84" s="2032"/>
      <c r="Y84" s="1184"/>
      <c r="Z84" s="2012"/>
      <c r="AA84" s="1184"/>
      <c r="AB84" s="752" t="str">
        <f t="shared" si="5"/>
        <v>2026 год</v>
      </c>
      <c r="AC84" s="753"/>
      <c r="AD84" s="754">
        <v>1</v>
      </c>
      <c r="AE84" s="753"/>
      <c r="AF84" s="753"/>
      <c r="AG84" s="1171">
        <v>1.1971127294999999</v>
      </c>
      <c r="AH84" s="754">
        <f ca="1">IFERROR(SUMIFS(INDEX(Electricity_LOAD_1,,MATCH($K84&amp;"Принято органом регулирования",ЭЭ!$AE$8:$BB$8,0)),ЭЭ!$F$25:$F$117,$F84,ЭЭ!$AC$25:$AC$117,"Удельный расход электроэнергии"),0)</f>
        <v>1.1971127087671658</v>
      </c>
      <c r="AI84" s="754">
        <f ca="1">IFERROR(SUMIFS(INDEX(Electricity_LOAD_1,,MATCH($K84&amp;"Принято органом регулирования",ЭЭ!$AE$8:$BB$8,0)),ЭЭ!$F$25:$F$117,$F84,ЭЭ!$AC$25:$AC$117,"Удельный расход электроэнергии"),0)</f>
        <v>1.1971127087671658</v>
      </c>
      <c r="AJ84" s="1623"/>
      <c r="AK84" s="1623"/>
      <c r="AL84" s="324"/>
      <c r="AM84" s="1184" t="s">
        <v>2255</v>
      </c>
      <c r="AN84" s="1184"/>
      <c r="AO84" s="973" cm="1">
        <f t="array" ref="AO84">K84</f>
        <v>2026</v>
      </c>
      <c r="AP84" s="1184"/>
      <c r="AQ84" s="1184"/>
    </row>
    <row r="85" spans="1:43" s="1626" customFormat="1" ht="14.65" customHeight="1" x14ac:dyDescent="0.15">
      <c r="A85" s="1184"/>
      <c r="B85" s="367" t="b">
        <f t="shared" si="4"/>
        <v>1</v>
      </c>
      <c r="C85" s="1184"/>
      <c r="D85" s="1184"/>
      <c r="E85" s="626">
        <v>15</v>
      </c>
      <c r="F85" s="3" t="str" cm="1">
        <f t="array" aca="1" ref="F85" ca="1">OFFSET(E85,-1,1)</f>
        <v>1</v>
      </c>
      <c r="G85" s="1184"/>
      <c r="H85" s="1184"/>
      <c r="I85" s="1184"/>
      <c r="J85" s="1184"/>
      <c r="K85" s="77">
        <f>first_year+3</f>
        <v>2027</v>
      </c>
      <c r="L85" s="1184"/>
      <c r="M85" s="1184"/>
      <c r="N85" s="1184"/>
      <c r="O85" s="1184"/>
      <c r="P85" s="1184"/>
      <c r="Q85" s="1184"/>
      <c r="R85" s="1184"/>
      <c r="S85" s="1184"/>
      <c r="T85" s="388" t="b" cm="1">
        <f t="array" ref="T85">T84</f>
        <v>1</v>
      </c>
      <c r="U85" s="1184"/>
      <c r="V85" s="1184"/>
      <c r="W85" s="1184"/>
      <c r="X85" s="2032"/>
      <c r="Y85" s="1184"/>
      <c r="Z85" s="2012"/>
      <c r="AA85" s="1184"/>
      <c r="AB85" s="752" t="str">
        <f t="shared" si="5"/>
        <v>2027 год</v>
      </c>
      <c r="AC85" s="753"/>
      <c r="AD85" s="754">
        <v>1</v>
      </c>
      <c r="AE85" s="753"/>
      <c r="AF85" s="753"/>
      <c r="AG85" s="1171">
        <v>1.1971127294999999</v>
      </c>
      <c r="AH85" s="754">
        <f ca="1">IFERROR(SUMIFS(INDEX(Electricity_LOAD_1,,MATCH($K85&amp;"Принято органом регулирования",ЭЭ!$AE$8:$BB$8,0)),ЭЭ!$F$25:$F$117,$F85,ЭЭ!$AC$25:$AC$117,"Удельный расход электроэнергии"),0)</f>
        <v>1.1971127294516619</v>
      </c>
      <c r="AI85" s="754">
        <f ca="1">IFERROR(SUMIFS(INDEX(Electricity_LOAD_1,,MATCH($K85&amp;"Принято органом регулирования",ЭЭ!$AE$8:$BB$8,0)),ЭЭ!$F$25:$F$117,$F85,ЭЭ!$AC$25:$AC$117,"Удельный расход электроэнергии"),0)</f>
        <v>1.1971127294516619</v>
      </c>
      <c r="AJ85" s="1623"/>
      <c r="AK85" s="1623"/>
      <c r="AL85" s="324"/>
      <c r="AM85" s="1184" t="s">
        <v>2255</v>
      </c>
      <c r="AN85" s="1184"/>
      <c r="AO85" s="973" cm="1">
        <f t="array" ref="AO85">K85</f>
        <v>2027</v>
      </c>
      <c r="AP85" s="1184"/>
      <c r="AQ85" s="1184"/>
    </row>
    <row r="86" spans="1:43" s="1627" customFormat="1" ht="14.65" customHeight="1" x14ac:dyDescent="0.15">
      <c r="A86" s="1184"/>
      <c r="B86" s="367" t="b">
        <f t="shared" si="4"/>
        <v>1</v>
      </c>
      <c r="C86" s="1184"/>
      <c r="D86" s="1184"/>
      <c r="E86" s="626">
        <v>15</v>
      </c>
      <c r="F86" s="3" t="str" cm="1">
        <f t="array" aca="1" ref="F86" ca="1">OFFSET(E86,-1,1)</f>
        <v>1</v>
      </c>
      <c r="G86" s="1184"/>
      <c r="H86" s="1184"/>
      <c r="I86" s="1184"/>
      <c r="J86" s="1184"/>
      <c r="K86" s="77">
        <f>first_year+4</f>
        <v>2028</v>
      </c>
      <c r="L86" s="1184"/>
      <c r="M86" s="1184"/>
      <c r="N86" s="1184"/>
      <c r="O86" s="1184"/>
      <c r="P86" s="1184"/>
      <c r="Q86" s="1184"/>
      <c r="R86" s="1184"/>
      <c r="S86" s="1184"/>
      <c r="T86" s="388" t="b" cm="1">
        <f t="array" ref="T86">T85</f>
        <v>1</v>
      </c>
      <c r="U86" s="1184"/>
      <c r="V86" s="1184"/>
      <c r="W86" s="1184"/>
      <c r="X86" s="2032"/>
      <c r="Y86" s="1184"/>
      <c r="Z86" s="2012"/>
      <c r="AA86" s="1184"/>
      <c r="AB86" s="752" t="str">
        <f t="shared" si="5"/>
        <v>2028 год</v>
      </c>
      <c r="AC86" s="753"/>
      <c r="AD86" s="754">
        <v>1</v>
      </c>
      <c r="AE86" s="753"/>
      <c r="AF86" s="753"/>
      <c r="AG86" s="1171">
        <v>1.1971127294999999</v>
      </c>
      <c r="AH86" s="754">
        <f ca="1">IFERROR(SUMIFS(INDEX(Electricity_LOAD_1,,MATCH($K86&amp;"Принято органом регулирования",ЭЭ!$AE$8:$BB$8,0)),ЭЭ!$F$25:$F$117,$F86,ЭЭ!$AC$25:$AC$117,"Удельный расход электроэнергии"),0)</f>
        <v>1.1971127294516619</v>
      </c>
      <c r="AI86" s="754">
        <f ca="1">IFERROR(SUMIFS(INDEX(Electricity_LOAD_1,,MATCH($K86&amp;"Принято органом регулирования",ЭЭ!$AE$8:$BB$8,0)),ЭЭ!$F$25:$F$117,$F86,ЭЭ!$AC$25:$AC$117,"Удельный расход электроэнергии"),0)</f>
        <v>1.1971127294516619</v>
      </c>
      <c r="AJ86" s="1623"/>
      <c r="AK86" s="1623"/>
      <c r="AL86" s="324"/>
      <c r="AM86" s="1184" t="s">
        <v>2255</v>
      </c>
      <c r="AN86" s="1184"/>
      <c r="AO86" s="973" cm="1">
        <f t="array" ref="AO86">K86</f>
        <v>2028</v>
      </c>
      <c r="AP86" s="1184"/>
      <c r="AQ86" s="1184"/>
    </row>
    <row r="87" spans="1:43" s="1628" customFormat="1" ht="14.65" customHeight="1" x14ac:dyDescent="0.15">
      <c r="A87" s="1184"/>
      <c r="B87" s="367" t="b">
        <f t="shared" si="4"/>
        <v>1</v>
      </c>
      <c r="C87" s="1184"/>
      <c r="D87" s="1184"/>
      <c r="E87" s="626">
        <v>15</v>
      </c>
      <c r="F87" s="3" t="str" cm="1">
        <f t="array" aca="1" ref="F87" ca="1">OFFSET(E87,-1,1)</f>
        <v>1</v>
      </c>
      <c r="G87" s="1184"/>
      <c r="H87" s="1184"/>
      <c r="I87" s="1184"/>
      <c r="J87" s="1184"/>
      <c r="K87" s="77">
        <f>first_year+5</f>
        <v>2029</v>
      </c>
      <c r="L87" s="1184"/>
      <c r="M87" s="1184"/>
      <c r="N87" s="1184"/>
      <c r="O87" s="1184"/>
      <c r="P87" s="1184"/>
      <c r="Q87" s="1184"/>
      <c r="R87" s="1184"/>
      <c r="S87" s="1184"/>
      <c r="T87" s="388" t="b" cm="1">
        <f t="array" ref="T87">T86</f>
        <v>1</v>
      </c>
      <c r="U87" s="1184"/>
      <c r="V87" s="1184"/>
      <c r="W87" s="1184"/>
      <c r="X87" s="2032"/>
      <c r="Y87" s="1184"/>
      <c r="Z87" s="2012"/>
      <c r="AA87" s="1184"/>
      <c r="AB87" s="752" t="str">
        <f t="shared" si="5"/>
        <v>2029 год</v>
      </c>
      <c r="AC87" s="753"/>
      <c r="AD87" s="754">
        <v>1</v>
      </c>
      <c r="AE87" s="753"/>
      <c r="AF87" s="753"/>
      <c r="AG87" s="1171">
        <v>1.1971127294999999</v>
      </c>
      <c r="AH87" s="754">
        <f ca="1">IFERROR(SUMIFS(INDEX(Electricity_LOAD_1,,MATCH($K87&amp;"Принято органом регулирования",ЭЭ!$AE$8:$BB$8,0)),ЭЭ!$F$25:$F$117,$F87,ЭЭ!$AC$25:$AC$117,"Удельный расход электроэнергии"),0)</f>
        <v>1.1971127294516619</v>
      </c>
      <c r="AI87" s="754">
        <f ca="1">IFERROR(SUMIFS(INDEX(Electricity_LOAD_1,,MATCH($K87&amp;"Принято органом регулирования",ЭЭ!$AE$8:$BB$8,0)),ЭЭ!$F$25:$F$117,$F87,ЭЭ!$AC$25:$AC$117,"Удельный расход электроэнергии"),0)</f>
        <v>1.1971127294516619</v>
      </c>
      <c r="AJ87" s="1623"/>
      <c r="AK87" s="1623"/>
      <c r="AL87" s="324"/>
      <c r="AM87" s="1184" t="s">
        <v>2255</v>
      </c>
      <c r="AN87" s="1184"/>
      <c r="AO87" s="973" cm="1">
        <f t="array" ref="AO87">K87</f>
        <v>2029</v>
      </c>
      <c r="AP87" s="1184"/>
      <c r="AQ87" s="1184"/>
    </row>
    <row r="88" spans="1:43" s="1629" customFormat="1" ht="14.65" customHeight="1" x14ac:dyDescent="0.15">
      <c r="A88" s="1184"/>
      <c r="B88" s="367" t="b">
        <f t="shared" si="4"/>
        <v>1</v>
      </c>
      <c r="C88" s="1184"/>
      <c r="D88" s="1184"/>
      <c r="E88" s="626">
        <v>15</v>
      </c>
      <c r="F88" s="3" t="str" cm="1">
        <f t="array" aca="1" ref="F88" ca="1">OFFSET(E88,-1,1)</f>
        <v>1</v>
      </c>
      <c r="G88" s="1184"/>
      <c r="H88" s="1184"/>
      <c r="I88" s="1184"/>
      <c r="J88" s="1184"/>
      <c r="K88" s="77">
        <f>first_year+6</f>
        <v>2030</v>
      </c>
      <c r="L88" s="1184"/>
      <c r="M88" s="1184"/>
      <c r="N88" s="1184"/>
      <c r="O88" s="1184"/>
      <c r="P88" s="1184"/>
      <c r="Q88" s="1184"/>
      <c r="R88" s="1184"/>
      <c r="S88" s="1184"/>
      <c r="T88" s="388" t="b" cm="1">
        <f t="array" ref="T88">T87</f>
        <v>1</v>
      </c>
      <c r="U88" s="1184"/>
      <c r="V88" s="1184"/>
      <c r="W88" s="1184"/>
      <c r="X88" s="2032"/>
      <c r="Y88" s="1184"/>
      <c r="Z88" s="2012"/>
      <c r="AA88" s="1184"/>
      <c r="AB88" s="752" t="str">
        <f t="shared" si="5"/>
        <v>2030 год</v>
      </c>
      <c r="AC88" s="753"/>
      <c r="AD88" s="754">
        <v>1</v>
      </c>
      <c r="AE88" s="753"/>
      <c r="AF88" s="753"/>
      <c r="AG88" s="1171">
        <v>1.1971127294999999</v>
      </c>
      <c r="AH88" s="754">
        <f ca="1">IFERROR(SUMIFS(INDEX(Electricity_LOAD_1,,MATCH($K88&amp;"Принято органом регулирования",ЭЭ!$AE$8:$BB$8,0)),ЭЭ!$F$25:$F$117,$F88,ЭЭ!$AC$25:$AC$117,"Удельный расход электроэнергии"),0)</f>
        <v>1.1971127294516619</v>
      </c>
      <c r="AI88" s="754">
        <f ca="1">IFERROR(SUMIFS(INDEX(Electricity_LOAD_1,,MATCH($K88&amp;"Принято органом регулирования",ЭЭ!$AE$8:$BB$8,0)),ЭЭ!$F$25:$F$117,$F88,ЭЭ!$AC$25:$AC$117,"Удельный расход электроэнергии"),0)</f>
        <v>1.1971127294516619</v>
      </c>
      <c r="AJ88" s="1623"/>
      <c r="AK88" s="1623"/>
      <c r="AL88" s="324"/>
      <c r="AM88" s="1184" t="s">
        <v>2255</v>
      </c>
      <c r="AN88" s="1184"/>
      <c r="AO88" s="973" cm="1">
        <f t="array" ref="AO88">K88</f>
        <v>2030</v>
      </c>
      <c r="AP88" s="1184"/>
      <c r="AQ88" s="1184"/>
    </row>
    <row r="89" spans="1:43" s="1630" customFormat="1" ht="14.65" customHeight="1" x14ac:dyDescent="0.15">
      <c r="A89" s="1184"/>
      <c r="B89" s="367" t="b">
        <f t="shared" si="4"/>
        <v>1</v>
      </c>
      <c r="C89" s="1184"/>
      <c r="D89" s="1184"/>
      <c r="E89" s="626">
        <v>15</v>
      </c>
      <c r="F89" s="3" t="str" cm="1">
        <f t="array" aca="1" ref="F89" ca="1">OFFSET(E89,-1,1)</f>
        <v>1</v>
      </c>
      <c r="G89" s="1184"/>
      <c r="H89" s="1184"/>
      <c r="I89" s="1184"/>
      <c r="J89" s="1184"/>
      <c r="K89" s="77">
        <f>first_year+7</f>
        <v>2031</v>
      </c>
      <c r="L89" s="1184"/>
      <c r="M89" s="1184"/>
      <c r="N89" s="1184"/>
      <c r="O89" s="1184"/>
      <c r="P89" s="1184"/>
      <c r="Q89" s="1184"/>
      <c r="R89" s="1184"/>
      <c r="S89" s="1184"/>
      <c r="T89" s="388" t="b" cm="1">
        <f t="array" ref="T89">T88</f>
        <v>1</v>
      </c>
      <c r="U89" s="1184"/>
      <c r="V89" s="1184"/>
      <c r="W89" s="1184"/>
      <c r="X89" s="2032"/>
      <c r="Y89" s="1184"/>
      <c r="Z89" s="2012"/>
      <c r="AA89" s="1184"/>
      <c r="AB89" s="752" t="str">
        <f t="shared" si="5"/>
        <v>2031 год</v>
      </c>
      <c r="AC89" s="753"/>
      <c r="AD89" s="754">
        <v>1</v>
      </c>
      <c r="AE89" s="753"/>
      <c r="AF89" s="753"/>
      <c r="AG89" s="1171">
        <v>1.1971127294999999</v>
      </c>
      <c r="AH89" s="754">
        <f ca="1">IFERROR(SUMIFS(INDEX(Electricity_LOAD_1,,MATCH($K89&amp;"Принято органом регулирования",ЭЭ!$AE$8:$BB$8,0)),ЭЭ!$F$25:$F$117,$F89,ЭЭ!$AC$25:$AC$117,"Удельный расход электроэнергии"),0)</f>
        <v>1.1971127294516619</v>
      </c>
      <c r="AI89" s="754">
        <f ca="1">IFERROR(SUMIFS(INDEX(Electricity_LOAD_1,,MATCH($K89&amp;"Принято органом регулирования",ЭЭ!$AE$8:$BB$8,0)),ЭЭ!$F$25:$F$117,$F89,ЭЭ!$AC$25:$AC$117,"Удельный расход электроэнергии"),0)</f>
        <v>1.1971127294516619</v>
      </c>
      <c r="AJ89" s="1623"/>
      <c r="AK89" s="1623"/>
      <c r="AL89" s="324"/>
      <c r="AM89" s="1184" t="s">
        <v>2255</v>
      </c>
      <c r="AN89" s="1184"/>
      <c r="AO89" s="973" cm="1">
        <f t="array" ref="AO89">K89</f>
        <v>2031</v>
      </c>
      <c r="AP89" s="1184"/>
      <c r="AQ89" s="1184"/>
    </row>
    <row r="90" spans="1:43" s="1631" customFormat="1" ht="14.65" customHeight="1" x14ac:dyDescent="0.15">
      <c r="A90" s="1184"/>
      <c r="B90" s="367" t="b">
        <f t="shared" si="4"/>
        <v>1</v>
      </c>
      <c r="C90" s="1184"/>
      <c r="D90" s="1184"/>
      <c r="E90" s="626">
        <v>15</v>
      </c>
      <c r="F90" s="3" t="str" cm="1">
        <f t="array" aca="1" ref="F90" ca="1">OFFSET(E90,-1,1)</f>
        <v>1</v>
      </c>
      <c r="G90" s="1184"/>
      <c r="H90" s="1184"/>
      <c r="I90" s="1184"/>
      <c r="J90" s="1184"/>
      <c r="K90" s="77">
        <f>first_year+8</f>
        <v>2032</v>
      </c>
      <c r="L90" s="1184"/>
      <c r="M90" s="1184"/>
      <c r="N90" s="1184"/>
      <c r="O90" s="1184"/>
      <c r="P90" s="1184"/>
      <c r="Q90" s="1184"/>
      <c r="R90" s="1184"/>
      <c r="S90" s="1184"/>
      <c r="T90" s="388" t="b" cm="1">
        <f t="array" ref="T90">T89</f>
        <v>1</v>
      </c>
      <c r="U90" s="1184"/>
      <c r="V90" s="1184"/>
      <c r="W90" s="1184"/>
      <c r="X90" s="2032"/>
      <c r="Y90" s="1184"/>
      <c r="Z90" s="2012"/>
      <c r="AA90" s="1184"/>
      <c r="AB90" s="752" t="str">
        <f t="shared" si="5"/>
        <v>2032 год</v>
      </c>
      <c r="AC90" s="753"/>
      <c r="AD90" s="754">
        <v>1</v>
      </c>
      <c r="AE90" s="753"/>
      <c r="AF90" s="753"/>
      <c r="AG90" s="1171">
        <v>1.1971127294999999</v>
      </c>
      <c r="AH90" s="754">
        <f ca="1">IFERROR(SUMIFS(INDEX(Electricity_LOAD_1,,MATCH($K90&amp;"Принято органом регулирования",ЭЭ!$AE$8:$BB$8,0)),ЭЭ!$F$25:$F$117,$F90,ЭЭ!$AC$25:$AC$117,"Удельный расход электроэнергии"),0)</f>
        <v>1.1971127294516619</v>
      </c>
      <c r="AI90" s="754">
        <f ca="1">IFERROR(SUMIFS(INDEX(Electricity_LOAD_1,,MATCH($K90&amp;"Принято органом регулирования",ЭЭ!$AE$8:$BB$8,0)),ЭЭ!$F$25:$F$117,$F90,ЭЭ!$AC$25:$AC$117,"Удельный расход электроэнергии"),0)</f>
        <v>1.1971127294516619</v>
      </c>
      <c r="AJ90" s="1623"/>
      <c r="AK90" s="1623"/>
      <c r="AL90" s="324"/>
      <c r="AM90" s="1184" t="s">
        <v>2255</v>
      </c>
      <c r="AN90" s="1184"/>
      <c r="AO90" s="973" cm="1">
        <f t="array" ref="AO90">K90</f>
        <v>2032</v>
      </c>
      <c r="AP90" s="1184"/>
      <c r="AQ90" s="1184"/>
    </row>
    <row r="91" spans="1:43" s="1632" customFormat="1" ht="14.25" hidden="1" customHeight="1" x14ac:dyDescent="0.15">
      <c r="A91" s="1184"/>
      <c r="B91" s="367" t="b">
        <f t="shared" si="4"/>
        <v>0</v>
      </c>
      <c r="C91" s="1184"/>
      <c r="D91" s="1184"/>
      <c r="E91" s="626">
        <v>15</v>
      </c>
      <c r="F91" s="3" t="str" cm="1">
        <f t="array" aca="1" ref="F91" ca="1">OFFSET(E91,-1,1)</f>
        <v>1</v>
      </c>
      <c r="G91" s="1184"/>
      <c r="H91" s="1184"/>
      <c r="I91" s="1184"/>
      <c r="J91" s="1184"/>
      <c r="K91" s="77">
        <f>first_year+9</f>
        <v>2033</v>
      </c>
      <c r="L91" s="1184"/>
      <c r="M91" s="1184"/>
      <c r="N91" s="1184"/>
      <c r="O91" s="1184"/>
      <c r="P91" s="1184"/>
      <c r="Q91" s="1184"/>
      <c r="R91" s="1184"/>
      <c r="S91" s="1184"/>
      <c r="T91" s="388" t="b" cm="1">
        <f t="array" ref="T91">T90</f>
        <v>1</v>
      </c>
      <c r="U91" s="1184"/>
      <c r="V91" s="1184"/>
      <c r="W91" s="1184"/>
      <c r="X91" s="2032"/>
      <c r="Y91" s="1184"/>
      <c r="Z91" s="2012"/>
      <c r="AA91" s="1184"/>
      <c r="AB91" s="752" t="str">
        <f t="shared" si="5"/>
        <v>2033 год</v>
      </c>
      <c r="AC91" s="1616"/>
      <c r="AD91" s="1615">
        <f ca="1">IFERROR(SUMIFS(INDEX(Сценарии!$AE$25:$BF$109,,MATCH($K91&amp;"Принято органом регулирования",Сценарии!$AE$8:$BF$8,0)),Сценарии!$F$25:$F$109,$F91,Сценарии!$AC$25:$AC$109,"Индекс эффективности операционных расходов"),0)</f>
        <v>0</v>
      </c>
      <c r="AE91" s="1616"/>
      <c r="AF91" s="1616">
        <f ca="1">IFERROR(SUMIFS(INDEX(Баланс!$AE$25:$BB$300,,MATCH($K91&amp;"Принято органом регулирования",Баланс!$AE$8:$BB$8,0)),Баланс!$F$25:$F$300,$F91,Баланс!$AC$24:$AC$300,"Уровень потерь воды"),0)</f>
        <v>0</v>
      </c>
      <c r="AG91" s="1617">
        <f ca="1">IFERROR(SUMIFS(INDEX(Electricity_LOAD_1,,MATCH($K91&amp;"Принято органом регулирования",ЭЭ!$AE$8:$BB$8,0)),ЭЭ!$F$25:$F$117,$F91,ЭЭ!$AC$25:$AC$117,"Удельный расход электроэнергии"),0)</f>
        <v>0</v>
      </c>
      <c r="AH91" s="1615">
        <f ca="1">IFERROR(SUMIFS(INDEX(Electricity_LOAD_1,,MATCH($K91&amp;"Принято органом регулирования",ЭЭ!$AE$8:$BB$8,0)),ЭЭ!$F$25:$F$117,$F91,ЭЭ!$AC$25:$AC$117,"Удельный расход электроэнергии"),0)</f>
        <v>0</v>
      </c>
      <c r="AI91" s="1615">
        <f ca="1">IFERROR(SUMIFS(INDEX(Electricity_LOAD_1,,MATCH($K91&amp;"Принято органом регулирования",ЭЭ!$AE$8:$BB$8,0)),ЭЭ!$F$25:$F$117,$F91,ЭЭ!$AC$25:$AC$117,"Удельный расход электроэнергии"),0)</f>
        <v>0</v>
      </c>
      <c r="AJ91" s="1623"/>
      <c r="AK91" s="1623"/>
      <c r="AL91" s="324"/>
      <c r="AM91" s="1184" t="s">
        <v>2255</v>
      </c>
      <c r="AN91" s="1184"/>
      <c r="AO91" s="973" cm="1">
        <f t="array" ref="AO91">K91</f>
        <v>2033</v>
      </c>
      <c r="AP91" s="1184"/>
      <c r="AQ91" s="1184"/>
    </row>
    <row r="92" spans="1:43" s="1633" customFormat="1" ht="14.25" hidden="1" customHeight="1" x14ac:dyDescent="0.15">
      <c r="A92" s="1184"/>
      <c r="B92" s="367" t="b">
        <f t="shared" si="4"/>
        <v>0</v>
      </c>
      <c r="C92" s="1184"/>
      <c r="D92" s="1184"/>
      <c r="E92" s="626">
        <v>15</v>
      </c>
      <c r="F92" s="3" t="str" cm="1">
        <f t="array" aca="1" ref="F92" ca="1">OFFSET(E92,-1,1)</f>
        <v>1</v>
      </c>
      <c r="G92" s="1184"/>
      <c r="H92" s="1184"/>
      <c r="I92" s="1184"/>
      <c r="J92" s="1184"/>
      <c r="K92" s="77">
        <f>first_year+10</f>
        <v>2034</v>
      </c>
      <c r="L92" s="1184"/>
      <c r="M92" s="1184"/>
      <c r="N92" s="1184"/>
      <c r="O92" s="1184"/>
      <c r="P92" s="1184"/>
      <c r="Q92" s="1184"/>
      <c r="R92" s="1184"/>
      <c r="S92" s="1184"/>
      <c r="T92" s="388" t="b" cm="1">
        <f t="array" ref="T92">T91</f>
        <v>1</v>
      </c>
      <c r="U92" s="1184"/>
      <c r="V92" s="1184"/>
      <c r="W92" s="1184"/>
      <c r="X92" s="2032"/>
      <c r="Y92" s="1184"/>
      <c r="Z92" s="2012"/>
      <c r="AA92" s="1184"/>
      <c r="AB92" s="752" t="str">
        <f t="shared" si="5"/>
        <v>2034 год</v>
      </c>
      <c r="AC92" s="1616"/>
      <c r="AD92" s="1615"/>
      <c r="AE92" s="1616"/>
      <c r="AF92" s="1616"/>
      <c r="AG92" s="1615"/>
      <c r="AH92" s="1615"/>
      <c r="AI92" s="1615"/>
      <c r="AJ92" s="1623"/>
      <c r="AK92" s="1634"/>
      <c r="AL92" s="324"/>
      <c r="AM92" s="1184"/>
      <c r="AN92" s="1184"/>
      <c r="AO92" s="973" cm="1">
        <f t="array" ref="AO92">K92</f>
        <v>2034</v>
      </c>
      <c r="AP92" s="1184"/>
      <c r="AQ92" s="1184"/>
    </row>
    <row r="93" spans="1:43" s="1635" customFormat="1" ht="14.25" hidden="1" customHeight="1" x14ac:dyDescent="0.15">
      <c r="A93" s="1184"/>
      <c r="B93" s="367" t="b">
        <f t="shared" si="4"/>
        <v>0</v>
      </c>
      <c r="C93" s="1184"/>
      <c r="D93" s="1184"/>
      <c r="E93" s="626">
        <v>15</v>
      </c>
      <c r="F93" s="3" t="str" cm="1">
        <f t="array" aca="1" ref="F93" ca="1">OFFSET(E93,-1,1)</f>
        <v>1</v>
      </c>
      <c r="G93" s="1184"/>
      <c r="H93" s="1184"/>
      <c r="I93" s="1184"/>
      <c r="J93" s="1184"/>
      <c r="K93" s="77">
        <f>first_year+11</f>
        <v>2035</v>
      </c>
      <c r="L93" s="1184"/>
      <c r="M93" s="1184"/>
      <c r="N93" s="1184"/>
      <c r="O93" s="1184"/>
      <c r="P93" s="1184"/>
      <c r="Q93" s="1184"/>
      <c r="R93" s="1184"/>
      <c r="S93" s="1184"/>
      <c r="T93" s="388" t="b" cm="1">
        <f t="array" ref="T93">T92</f>
        <v>1</v>
      </c>
      <c r="U93" s="1184"/>
      <c r="V93" s="1184"/>
      <c r="W93" s="1184"/>
      <c r="X93" s="2032"/>
      <c r="Y93" s="1184"/>
      <c r="Z93" s="2012"/>
      <c r="AA93" s="1184"/>
      <c r="AB93" s="174" t="str">
        <f t="shared" si="5"/>
        <v>2035 год</v>
      </c>
      <c r="AC93" s="1616"/>
      <c r="AD93" s="1619"/>
      <c r="AE93" s="1620"/>
      <c r="AF93" s="1620"/>
      <c r="AG93" s="1619"/>
      <c r="AH93" s="1619"/>
      <c r="AI93" s="1619"/>
      <c r="AJ93" s="1636"/>
      <c r="AK93" s="1637"/>
      <c r="AL93" s="324"/>
      <c r="AM93" s="1184"/>
      <c r="AN93" s="1184"/>
      <c r="AO93" s="973" cm="1">
        <f t="array" ref="AO93">K93</f>
        <v>2035</v>
      </c>
      <c r="AP93" s="1184"/>
      <c r="AQ93" s="1184"/>
    </row>
    <row r="94" spans="1:43" s="1638" customFormat="1" ht="14.25" hidden="1" customHeight="1" x14ac:dyDescent="0.15">
      <c r="A94" s="1184"/>
      <c r="B94" s="367" t="b">
        <f t="shared" si="4"/>
        <v>0</v>
      </c>
      <c r="C94" s="1184"/>
      <c r="D94" s="1184"/>
      <c r="E94" s="626">
        <v>15</v>
      </c>
      <c r="F94" s="3" t="str" cm="1">
        <f t="array" aca="1" ref="F94" ca="1">OFFSET(E94,-1,1)</f>
        <v>1</v>
      </c>
      <c r="G94" s="1184"/>
      <c r="H94" s="1184"/>
      <c r="I94" s="1184"/>
      <c r="J94" s="1184"/>
      <c r="K94" s="77">
        <f>first_year+12</f>
        <v>2036</v>
      </c>
      <c r="L94" s="1184"/>
      <c r="M94" s="1184"/>
      <c r="N94" s="1184"/>
      <c r="O94" s="1184"/>
      <c r="P94" s="1184"/>
      <c r="Q94" s="1184"/>
      <c r="R94" s="1184"/>
      <c r="S94" s="1184"/>
      <c r="T94" s="388" t="b" cm="1">
        <f t="array" ref="T94">T93</f>
        <v>1</v>
      </c>
      <c r="U94" s="1184"/>
      <c r="V94" s="1184"/>
      <c r="W94" s="1184"/>
      <c r="X94" s="2032"/>
      <c r="Y94" s="1184"/>
      <c r="Z94" s="2012"/>
      <c r="AA94" s="1184"/>
      <c r="AB94" s="174" t="str">
        <f t="shared" si="5"/>
        <v>2036 год</v>
      </c>
      <c r="AC94" s="1616"/>
      <c r="AD94" s="1619"/>
      <c r="AE94" s="1620"/>
      <c r="AF94" s="1620"/>
      <c r="AG94" s="1619"/>
      <c r="AH94" s="1619"/>
      <c r="AI94" s="1619"/>
      <c r="AJ94" s="1636"/>
      <c r="AK94" s="1637"/>
      <c r="AL94" s="324"/>
      <c r="AM94" s="1184"/>
      <c r="AN94" s="1184"/>
      <c r="AO94" s="973" cm="1">
        <f t="array" ref="AO94">K94</f>
        <v>2036</v>
      </c>
      <c r="AP94" s="1184"/>
      <c r="AQ94" s="1184"/>
    </row>
    <row r="95" spans="1:43" s="1639" customFormat="1" ht="14.25" hidden="1" customHeight="1" x14ac:dyDescent="0.15">
      <c r="A95" s="1184"/>
      <c r="B95" s="367" t="b">
        <f t="shared" si="4"/>
        <v>0</v>
      </c>
      <c r="C95" s="1184"/>
      <c r="D95" s="1184"/>
      <c r="E95" s="626">
        <v>15</v>
      </c>
      <c r="F95" s="3" t="str" cm="1">
        <f t="array" aca="1" ref="F95" ca="1">OFFSET(E95,-1,1)</f>
        <v>1</v>
      </c>
      <c r="G95" s="1184"/>
      <c r="H95" s="1184"/>
      <c r="I95" s="1184"/>
      <c r="J95" s="1184"/>
      <c r="K95" s="77">
        <f>first_year+13</f>
        <v>2037</v>
      </c>
      <c r="L95" s="1184"/>
      <c r="M95" s="1184"/>
      <c r="N95" s="1184"/>
      <c r="O95" s="1184"/>
      <c r="P95" s="1184"/>
      <c r="Q95" s="1184"/>
      <c r="R95" s="1184"/>
      <c r="S95" s="1184"/>
      <c r="T95" s="388" t="b" cm="1">
        <f t="array" ref="T95">T94</f>
        <v>1</v>
      </c>
      <c r="U95" s="1184"/>
      <c r="V95" s="1184"/>
      <c r="W95" s="1184"/>
      <c r="X95" s="2032"/>
      <c r="Y95" s="1184"/>
      <c r="Z95" s="2012"/>
      <c r="AA95" s="1184"/>
      <c r="AB95" s="174" t="str">
        <f t="shared" si="5"/>
        <v>2037 год</v>
      </c>
      <c r="AC95" s="1616"/>
      <c r="AD95" s="1619"/>
      <c r="AE95" s="1620"/>
      <c r="AF95" s="1620"/>
      <c r="AG95" s="1619"/>
      <c r="AH95" s="1619"/>
      <c r="AI95" s="1619"/>
      <c r="AJ95" s="1636"/>
      <c r="AK95" s="1637"/>
      <c r="AL95" s="324"/>
      <c r="AM95" s="1184"/>
      <c r="AN95" s="1184"/>
      <c r="AO95" s="973" cm="1">
        <f t="array" ref="AO95">K95</f>
        <v>2037</v>
      </c>
      <c r="AP95" s="1184"/>
      <c r="AQ95" s="1184"/>
    </row>
    <row r="96" spans="1:43" s="1640" customFormat="1" ht="14.25" hidden="1" customHeight="1" x14ac:dyDescent="0.15">
      <c r="A96" s="1184"/>
      <c r="B96" s="367" t="b">
        <f t="shared" si="4"/>
        <v>0</v>
      </c>
      <c r="C96" s="1184"/>
      <c r="D96" s="1184"/>
      <c r="E96" s="626">
        <v>15</v>
      </c>
      <c r="F96" s="3" t="str" cm="1">
        <f t="array" aca="1" ref="F96" ca="1">OFFSET(E96,-1,1)</f>
        <v>1</v>
      </c>
      <c r="G96" s="1184"/>
      <c r="H96" s="1184"/>
      <c r="I96" s="1184"/>
      <c r="J96" s="1184"/>
      <c r="K96" s="77">
        <f>first_year+14</f>
        <v>2038</v>
      </c>
      <c r="L96" s="1184"/>
      <c r="M96" s="1184"/>
      <c r="N96" s="1184"/>
      <c r="O96" s="1184"/>
      <c r="P96" s="1184"/>
      <c r="Q96" s="1184"/>
      <c r="R96" s="1184"/>
      <c r="S96" s="1184"/>
      <c r="T96" s="388" t="b" cm="1">
        <f t="array" ref="T96">T95</f>
        <v>1</v>
      </c>
      <c r="U96" s="1184"/>
      <c r="V96" s="1184"/>
      <c r="W96" s="1184"/>
      <c r="X96" s="2032"/>
      <c r="Y96" s="1184"/>
      <c r="Z96" s="2012"/>
      <c r="AA96" s="1184"/>
      <c r="AB96" s="174" t="str">
        <f t="shared" si="5"/>
        <v>2038 год</v>
      </c>
      <c r="AC96" s="1616"/>
      <c r="AD96" s="1619"/>
      <c r="AE96" s="1620"/>
      <c r="AF96" s="1620"/>
      <c r="AG96" s="1619"/>
      <c r="AH96" s="1619"/>
      <c r="AI96" s="1619"/>
      <c r="AJ96" s="1636"/>
      <c r="AK96" s="1637"/>
      <c r="AL96" s="324"/>
      <c r="AM96" s="1184"/>
      <c r="AN96" s="1184"/>
      <c r="AO96" s="973" cm="1">
        <f t="array" ref="AO96">K96</f>
        <v>2038</v>
      </c>
      <c r="AP96" s="1184"/>
      <c r="AQ96" s="1184"/>
    </row>
    <row r="97" spans="1:43" s="1641" customFormat="1" ht="14.25" hidden="1" customHeight="1" x14ac:dyDescent="0.15">
      <c r="A97" s="1184"/>
      <c r="B97" s="367" t="b">
        <f t="shared" si="4"/>
        <v>0</v>
      </c>
      <c r="C97" s="1184"/>
      <c r="D97" s="1184"/>
      <c r="E97" s="626">
        <v>15</v>
      </c>
      <c r="F97" s="3" t="str" cm="1">
        <f t="array" aca="1" ref="F97" ca="1">OFFSET(E97,-1,1)</f>
        <v>1</v>
      </c>
      <c r="G97" s="1184"/>
      <c r="H97" s="1184"/>
      <c r="I97" s="1184"/>
      <c r="J97" s="1184"/>
      <c r="K97" s="77">
        <f>first_year+15</f>
        <v>2039</v>
      </c>
      <c r="L97" s="1184"/>
      <c r="M97" s="1184"/>
      <c r="N97" s="1184"/>
      <c r="O97" s="1184"/>
      <c r="P97" s="1184"/>
      <c r="Q97" s="1184"/>
      <c r="R97" s="1184"/>
      <c r="S97" s="1184"/>
      <c r="T97" s="388" t="b" cm="1">
        <f t="array" ref="T97">T96</f>
        <v>1</v>
      </c>
      <c r="U97" s="1184"/>
      <c r="V97" s="1184"/>
      <c r="W97" s="1184"/>
      <c r="X97" s="2032"/>
      <c r="Y97" s="1184"/>
      <c r="Z97" s="2012"/>
      <c r="AA97" s="1184"/>
      <c r="AB97" s="174" t="str">
        <f t="shared" si="5"/>
        <v>2039 год</v>
      </c>
      <c r="AC97" s="1616"/>
      <c r="AD97" s="1619"/>
      <c r="AE97" s="1620"/>
      <c r="AF97" s="1620"/>
      <c r="AG97" s="1619"/>
      <c r="AH97" s="1619"/>
      <c r="AI97" s="1619"/>
      <c r="AJ97" s="1636"/>
      <c r="AK97" s="1637"/>
      <c r="AL97" s="324"/>
      <c r="AM97" s="1184"/>
      <c r="AN97" s="1184"/>
      <c r="AO97" s="973" cm="1">
        <f t="array" ref="AO97">K97</f>
        <v>2039</v>
      </c>
      <c r="AP97" s="1184"/>
      <c r="AQ97" s="1184"/>
    </row>
    <row r="98" spans="1:43" s="1642" customFormat="1" ht="14.25" hidden="1" customHeight="1" x14ac:dyDescent="0.15">
      <c r="A98" s="1184"/>
      <c r="B98" s="367" t="b">
        <f t="shared" si="4"/>
        <v>0</v>
      </c>
      <c r="C98" s="1184"/>
      <c r="D98" s="1184"/>
      <c r="E98" s="626">
        <v>15</v>
      </c>
      <c r="F98" s="3" t="str" cm="1">
        <f t="array" aca="1" ref="F98" ca="1">OFFSET(E98,-1,1)</f>
        <v>1</v>
      </c>
      <c r="G98" s="1184"/>
      <c r="H98" s="1184"/>
      <c r="I98" s="1184"/>
      <c r="J98" s="1184"/>
      <c r="K98" s="77">
        <f>first_year+16</f>
        <v>2040</v>
      </c>
      <c r="L98" s="1184"/>
      <c r="M98" s="1184"/>
      <c r="N98" s="1184"/>
      <c r="O98" s="1184"/>
      <c r="P98" s="1184"/>
      <c r="Q98" s="1184"/>
      <c r="R98" s="1184"/>
      <c r="S98" s="1184"/>
      <c r="T98" s="388" t="b" cm="1">
        <f t="array" ref="T98">T97</f>
        <v>1</v>
      </c>
      <c r="U98" s="1184"/>
      <c r="V98" s="1184"/>
      <c r="W98" s="1184"/>
      <c r="X98" s="2032"/>
      <c r="Y98" s="1184"/>
      <c r="Z98" s="2012"/>
      <c r="AA98" s="1184"/>
      <c r="AB98" s="174" t="str">
        <f t="shared" si="5"/>
        <v>2040 год</v>
      </c>
      <c r="AC98" s="1616"/>
      <c r="AD98" s="1619"/>
      <c r="AE98" s="1620"/>
      <c r="AF98" s="1620"/>
      <c r="AG98" s="1619"/>
      <c r="AH98" s="1619"/>
      <c r="AI98" s="1619"/>
      <c r="AJ98" s="1636"/>
      <c r="AK98" s="1637"/>
      <c r="AL98" s="324"/>
      <c r="AM98" s="1184"/>
      <c r="AN98" s="1184"/>
      <c r="AO98" s="973" cm="1">
        <f t="array" ref="AO98">K98</f>
        <v>2040</v>
      </c>
      <c r="AP98" s="1184"/>
      <c r="AQ98" s="1184"/>
    </row>
    <row r="99" spans="1:43" s="1643" customFormat="1" ht="14.25" hidden="1" customHeight="1" x14ac:dyDescent="0.15">
      <c r="A99" s="1184"/>
      <c r="B99" s="367" t="b">
        <f t="shared" si="4"/>
        <v>0</v>
      </c>
      <c r="C99" s="1184"/>
      <c r="D99" s="1184"/>
      <c r="E99" s="626">
        <v>15</v>
      </c>
      <c r="F99" s="3" t="str" cm="1">
        <f t="array" aca="1" ref="F99" ca="1">OFFSET(E99,-1,1)</f>
        <v>1</v>
      </c>
      <c r="G99" s="1184"/>
      <c r="H99" s="1184"/>
      <c r="I99" s="1184"/>
      <c r="J99" s="1184"/>
      <c r="K99" s="77">
        <f>first_year+17</f>
        <v>2041</v>
      </c>
      <c r="L99" s="1184"/>
      <c r="M99" s="1184"/>
      <c r="N99" s="1184"/>
      <c r="O99" s="1184"/>
      <c r="P99" s="1184"/>
      <c r="Q99" s="1184"/>
      <c r="R99" s="1184"/>
      <c r="S99" s="1184"/>
      <c r="T99" s="388" t="b" cm="1">
        <f t="array" ref="T99">T98</f>
        <v>1</v>
      </c>
      <c r="U99" s="1184"/>
      <c r="V99" s="1184"/>
      <c r="W99" s="1184"/>
      <c r="X99" s="2032"/>
      <c r="Y99" s="1184"/>
      <c r="Z99" s="2012"/>
      <c r="AA99" s="1184"/>
      <c r="AB99" s="174" t="str">
        <f t="shared" si="5"/>
        <v>2041 год</v>
      </c>
      <c r="AC99" s="1616"/>
      <c r="AD99" s="1619"/>
      <c r="AE99" s="1620"/>
      <c r="AF99" s="1620"/>
      <c r="AG99" s="1619"/>
      <c r="AH99" s="1619"/>
      <c r="AI99" s="1619"/>
      <c r="AJ99" s="1636"/>
      <c r="AK99" s="1637"/>
      <c r="AL99" s="324"/>
      <c r="AM99" s="1184"/>
      <c r="AN99" s="1184"/>
      <c r="AO99" s="973" cm="1">
        <f t="array" ref="AO99">K99</f>
        <v>2041</v>
      </c>
      <c r="AP99" s="1184"/>
      <c r="AQ99" s="1184"/>
    </row>
    <row r="100" spans="1:43" s="1644" customFormat="1" ht="14.25" hidden="1" customHeight="1" x14ac:dyDescent="0.15">
      <c r="A100" s="1184"/>
      <c r="B100" s="367" t="b">
        <f t="shared" si="4"/>
        <v>0</v>
      </c>
      <c r="C100" s="1184"/>
      <c r="D100" s="1184"/>
      <c r="E100" s="626">
        <v>15</v>
      </c>
      <c r="F100" s="3" t="str" cm="1">
        <f t="array" aca="1" ref="F100" ca="1">OFFSET(E100,-1,1)</f>
        <v>1</v>
      </c>
      <c r="G100" s="1184"/>
      <c r="H100" s="1184"/>
      <c r="I100" s="1184"/>
      <c r="J100" s="1184"/>
      <c r="K100" s="77">
        <f>first_year+18</f>
        <v>2042</v>
      </c>
      <c r="L100" s="1184"/>
      <c r="M100" s="1184"/>
      <c r="N100" s="1184"/>
      <c r="O100" s="1184"/>
      <c r="P100" s="1184"/>
      <c r="Q100" s="1184"/>
      <c r="R100" s="1184"/>
      <c r="S100" s="1184"/>
      <c r="T100" s="388" t="b" cm="1">
        <f t="array" ref="T100">T99</f>
        <v>1</v>
      </c>
      <c r="U100" s="1184"/>
      <c r="V100" s="1184"/>
      <c r="W100" s="1184"/>
      <c r="X100" s="2032"/>
      <c r="Y100" s="1184"/>
      <c r="Z100" s="2012"/>
      <c r="AA100" s="1184"/>
      <c r="AB100" s="174" t="str">
        <f t="shared" si="5"/>
        <v>2042 год</v>
      </c>
      <c r="AC100" s="1616"/>
      <c r="AD100" s="1619"/>
      <c r="AE100" s="1620"/>
      <c r="AF100" s="1620"/>
      <c r="AG100" s="1619"/>
      <c r="AH100" s="1619"/>
      <c r="AI100" s="1619"/>
      <c r="AJ100" s="1636"/>
      <c r="AK100" s="1637"/>
      <c r="AL100" s="324"/>
      <c r="AM100" s="1184"/>
      <c r="AN100" s="1184"/>
      <c r="AO100" s="973" cm="1">
        <f t="array" ref="AO100">K100</f>
        <v>2042</v>
      </c>
      <c r="AP100" s="1184"/>
      <c r="AQ100" s="1184"/>
    </row>
    <row r="101" spans="1:43" s="1645" customFormat="1" ht="14.25" hidden="1" customHeight="1" x14ac:dyDescent="0.15">
      <c r="A101" s="1184"/>
      <c r="B101" s="367" t="b">
        <f t="shared" si="4"/>
        <v>0</v>
      </c>
      <c r="C101" s="1184"/>
      <c r="D101" s="1184"/>
      <c r="E101" s="626">
        <v>15</v>
      </c>
      <c r="F101" s="3" t="str" cm="1">
        <f t="array" aca="1" ref="F101" ca="1">OFFSET(E101,-1,1)</f>
        <v>1</v>
      </c>
      <c r="G101" s="1184"/>
      <c r="H101" s="1184"/>
      <c r="I101" s="1184"/>
      <c r="J101" s="1184"/>
      <c r="K101" s="77">
        <f>first_year+19</f>
        <v>2043</v>
      </c>
      <c r="L101" s="1184"/>
      <c r="M101" s="1184"/>
      <c r="N101" s="1184"/>
      <c r="O101" s="1184"/>
      <c r="P101" s="1184"/>
      <c r="Q101" s="1184"/>
      <c r="R101" s="1184"/>
      <c r="S101" s="1184"/>
      <c r="T101" s="388" t="b" cm="1">
        <f t="array" ref="T101">T100</f>
        <v>1</v>
      </c>
      <c r="U101" s="1184"/>
      <c r="V101" s="1184"/>
      <c r="W101" s="1184"/>
      <c r="X101" s="2032"/>
      <c r="Y101" s="1184"/>
      <c r="Z101" s="2012"/>
      <c r="AA101" s="1184"/>
      <c r="AB101" s="174" t="str">
        <f t="shared" si="5"/>
        <v>2043 год</v>
      </c>
      <c r="AC101" s="1616"/>
      <c r="AD101" s="1619"/>
      <c r="AE101" s="1620"/>
      <c r="AF101" s="1620"/>
      <c r="AG101" s="1619"/>
      <c r="AH101" s="1619"/>
      <c r="AI101" s="1619"/>
      <c r="AJ101" s="1636"/>
      <c r="AK101" s="1637"/>
      <c r="AL101" s="324"/>
      <c r="AM101" s="1184"/>
      <c r="AN101" s="1184"/>
      <c r="AO101" s="973" cm="1">
        <f t="array" ref="AO101">K101</f>
        <v>2043</v>
      </c>
      <c r="AP101" s="1184"/>
      <c r="AQ101" s="1184"/>
    </row>
    <row r="102" spans="1:43" s="1646" customFormat="1" ht="14.25" hidden="1" customHeight="1" x14ac:dyDescent="0.15">
      <c r="A102" s="1184"/>
      <c r="B102" s="367" t="b">
        <f t="shared" si="4"/>
        <v>0</v>
      </c>
      <c r="C102" s="1184"/>
      <c r="D102" s="1184"/>
      <c r="E102" s="626">
        <v>15</v>
      </c>
      <c r="F102" s="3" t="str" cm="1">
        <f t="array" aca="1" ref="F102" ca="1">OFFSET(E102,-1,1)</f>
        <v>1</v>
      </c>
      <c r="G102" s="1184"/>
      <c r="H102" s="1184"/>
      <c r="I102" s="1184"/>
      <c r="J102" s="1184"/>
      <c r="K102" s="77">
        <f>first_year+20</f>
        <v>2044</v>
      </c>
      <c r="L102" s="1184"/>
      <c r="M102" s="1184"/>
      <c r="N102" s="1184"/>
      <c r="O102" s="1184"/>
      <c r="P102" s="1184"/>
      <c r="Q102" s="1184"/>
      <c r="R102" s="1184"/>
      <c r="S102" s="1184"/>
      <c r="T102" s="388" t="b" cm="1">
        <f t="array" ref="T102">T101</f>
        <v>1</v>
      </c>
      <c r="U102" s="1184"/>
      <c r="V102" s="1184"/>
      <c r="W102" s="1184"/>
      <c r="X102" s="2032"/>
      <c r="Y102" s="1184"/>
      <c r="Z102" s="2012"/>
      <c r="AA102" s="1184"/>
      <c r="AB102" s="174" t="str">
        <f t="shared" si="5"/>
        <v>2044 год</v>
      </c>
      <c r="AC102" s="1616"/>
      <c r="AD102" s="1619"/>
      <c r="AE102" s="1620"/>
      <c r="AF102" s="1620"/>
      <c r="AG102" s="1619"/>
      <c r="AH102" s="1619"/>
      <c r="AI102" s="1619"/>
      <c r="AJ102" s="1636"/>
      <c r="AK102" s="1637"/>
      <c r="AL102" s="324"/>
      <c r="AM102" s="1184"/>
      <c r="AN102" s="1184"/>
      <c r="AO102" s="973" cm="1">
        <f t="array" ref="AO102">K102</f>
        <v>2044</v>
      </c>
      <c r="AP102" s="1184"/>
      <c r="AQ102" s="1184"/>
    </row>
    <row r="103" spans="1:43" s="1647" customFormat="1" ht="14.25" hidden="1" customHeight="1" x14ac:dyDescent="0.15">
      <c r="A103" s="1184"/>
      <c r="B103" s="367" t="b">
        <f t="shared" si="4"/>
        <v>0</v>
      </c>
      <c r="C103" s="1184"/>
      <c r="D103" s="1184"/>
      <c r="E103" s="626">
        <v>15</v>
      </c>
      <c r="F103" s="3" t="str" cm="1">
        <f t="array" aca="1" ref="F103" ca="1">OFFSET(E103,-1,1)</f>
        <v>1</v>
      </c>
      <c r="G103" s="1184"/>
      <c r="H103" s="1184"/>
      <c r="I103" s="1184"/>
      <c r="J103" s="1184"/>
      <c r="K103" s="77">
        <f>first_year+21</f>
        <v>2045</v>
      </c>
      <c r="L103" s="1184"/>
      <c r="M103" s="1184"/>
      <c r="N103" s="1184"/>
      <c r="O103" s="1184"/>
      <c r="P103" s="1184"/>
      <c r="Q103" s="1184"/>
      <c r="R103" s="1184"/>
      <c r="S103" s="1184"/>
      <c r="T103" s="388" t="b" cm="1">
        <f t="array" ref="T103">T102</f>
        <v>1</v>
      </c>
      <c r="U103" s="1184"/>
      <c r="V103" s="1184"/>
      <c r="W103" s="1184"/>
      <c r="X103" s="2032"/>
      <c r="Y103" s="1184"/>
      <c r="Z103" s="2012"/>
      <c r="AA103" s="1184"/>
      <c r="AB103" s="174" t="str">
        <f t="shared" si="5"/>
        <v>2045 год</v>
      </c>
      <c r="AC103" s="1616"/>
      <c r="AD103" s="1619"/>
      <c r="AE103" s="1620"/>
      <c r="AF103" s="1620"/>
      <c r="AG103" s="1619"/>
      <c r="AH103" s="1619"/>
      <c r="AI103" s="1619"/>
      <c r="AJ103" s="1636"/>
      <c r="AK103" s="1637"/>
      <c r="AL103" s="324"/>
      <c r="AM103" s="1184"/>
      <c r="AN103" s="1184"/>
      <c r="AO103" s="973" cm="1">
        <f t="array" ref="AO103">K103</f>
        <v>2045</v>
      </c>
      <c r="AP103" s="1184"/>
      <c r="AQ103" s="1184"/>
    </row>
    <row r="104" spans="1:43" s="1648" customFormat="1" ht="14.25" hidden="1" customHeight="1" x14ac:dyDescent="0.15">
      <c r="A104" s="1184"/>
      <c r="B104" s="367" t="b">
        <f t="shared" si="4"/>
        <v>0</v>
      </c>
      <c r="C104" s="1184"/>
      <c r="D104" s="1184"/>
      <c r="E104" s="626">
        <v>15</v>
      </c>
      <c r="F104" s="3" t="str" cm="1">
        <f t="array" aca="1" ref="F104" ca="1">OFFSET(E104,-1,1)</f>
        <v>1</v>
      </c>
      <c r="G104" s="1184"/>
      <c r="H104" s="1184"/>
      <c r="I104" s="1184"/>
      <c r="J104" s="1184"/>
      <c r="K104" s="77">
        <f>first_year+22</f>
        <v>2046</v>
      </c>
      <c r="L104" s="1184"/>
      <c r="M104" s="1184"/>
      <c r="N104" s="1184"/>
      <c r="O104" s="1184"/>
      <c r="P104" s="1184"/>
      <c r="Q104" s="1184"/>
      <c r="R104" s="1184"/>
      <c r="S104" s="1184"/>
      <c r="T104" s="388" t="b" cm="1">
        <f t="array" ref="T104">T103</f>
        <v>1</v>
      </c>
      <c r="U104" s="1184"/>
      <c r="V104" s="1184"/>
      <c r="W104" s="1184"/>
      <c r="X104" s="2032"/>
      <c r="Y104" s="1184"/>
      <c r="Z104" s="2012"/>
      <c r="AA104" s="1184"/>
      <c r="AB104" s="174" t="str">
        <f t="shared" si="5"/>
        <v>2046 год</v>
      </c>
      <c r="AC104" s="1616"/>
      <c r="AD104" s="1619"/>
      <c r="AE104" s="1620"/>
      <c r="AF104" s="1620"/>
      <c r="AG104" s="1619"/>
      <c r="AH104" s="1619"/>
      <c r="AI104" s="1619"/>
      <c r="AJ104" s="1636"/>
      <c r="AK104" s="1637"/>
      <c r="AL104" s="324"/>
      <c r="AM104" s="1184"/>
      <c r="AN104" s="1184"/>
      <c r="AO104" s="973" cm="1">
        <f t="array" ref="AO104">K104</f>
        <v>2046</v>
      </c>
      <c r="AP104" s="1184"/>
      <c r="AQ104" s="1184"/>
    </row>
    <row r="105" spans="1:43" s="1649" customFormat="1" ht="14.25" hidden="1" customHeight="1" x14ac:dyDescent="0.15">
      <c r="A105" s="1184"/>
      <c r="B105" s="367" t="b">
        <f t="shared" si="4"/>
        <v>0</v>
      </c>
      <c r="C105" s="1184"/>
      <c r="D105" s="1184"/>
      <c r="E105" s="626">
        <v>15</v>
      </c>
      <c r="F105" s="3" t="str" cm="1">
        <f t="array" aca="1" ref="F105" ca="1">OFFSET(E105,-1,1)</f>
        <v>1</v>
      </c>
      <c r="G105" s="1184"/>
      <c r="H105" s="1184"/>
      <c r="I105" s="1184"/>
      <c r="J105" s="1184"/>
      <c r="K105" s="77">
        <f>first_year+23</f>
        <v>2047</v>
      </c>
      <c r="L105" s="1184"/>
      <c r="M105" s="1184"/>
      <c r="N105" s="1184"/>
      <c r="O105" s="1184"/>
      <c r="P105" s="1184"/>
      <c r="Q105" s="1184"/>
      <c r="R105" s="1184"/>
      <c r="S105" s="1184"/>
      <c r="T105" s="388" t="b" cm="1">
        <f t="array" ref="T105">T104</f>
        <v>1</v>
      </c>
      <c r="U105" s="1184"/>
      <c r="V105" s="1184"/>
      <c r="W105" s="1184"/>
      <c r="X105" s="2032"/>
      <c r="Y105" s="1184"/>
      <c r="Z105" s="2012"/>
      <c r="AA105" s="1184"/>
      <c r="AB105" s="174" t="str">
        <f t="shared" si="5"/>
        <v>2047 год</v>
      </c>
      <c r="AC105" s="1616"/>
      <c r="AD105" s="1619"/>
      <c r="AE105" s="1620"/>
      <c r="AF105" s="1620"/>
      <c r="AG105" s="1619"/>
      <c r="AH105" s="1619"/>
      <c r="AI105" s="1619"/>
      <c r="AJ105" s="1636"/>
      <c r="AK105" s="1637"/>
      <c r="AL105" s="324"/>
      <c r="AM105" s="1184"/>
      <c r="AN105" s="1184"/>
      <c r="AO105" s="973" cm="1">
        <f t="array" ref="AO105">K105</f>
        <v>2047</v>
      </c>
      <c r="AP105" s="1184"/>
      <c r="AQ105" s="1184"/>
    </row>
    <row r="106" spans="1:43" s="1650" customFormat="1" ht="14.25" hidden="1" customHeight="1" x14ac:dyDescent="0.15">
      <c r="A106" s="1184"/>
      <c r="B106" s="367" t="b">
        <f t="shared" si="4"/>
        <v>0</v>
      </c>
      <c r="C106" s="1184"/>
      <c r="D106" s="1184"/>
      <c r="E106" s="626">
        <v>15</v>
      </c>
      <c r="F106" s="3" t="str" cm="1">
        <f t="array" aca="1" ref="F106" ca="1">OFFSET(E106,-1,1)</f>
        <v>1</v>
      </c>
      <c r="G106" s="1184"/>
      <c r="H106" s="1184"/>
      <c r="I106" s="1184"/>
      <c r="J106" s="1184"/>
      <c r="K106" s="77">
        <f>first_year+24</f>
        <v>2048</v>
      </c>
      <c r="L106" s="1184"/>
      <c r="M106" s="1184"/>
      <c r="N106" s="1184"/>
      <c r="O106" s="1184"/>
      <c r="P106" s="1184"/>
      <c r="Q106" s="1184"/>
      <c r="R106" s="1184"/>
      <c r="S106" s="1184"/>
      <c r="T106" s="388" t="b" cm="1">
        <f t="array" ref="T106">T105</f>
        <v>1</v>
      </c>
      <c r="U106" s="1184"/>
      <c r="V106" s="1184"/>
      <c r="W106" s="1184"/>
      <c r="X106" s="2032"/>
      <c r="Y106" s="1184"/>
      <c r="Z106" s="2012"/>
      <c r="AA106" s="1184"/>
      <c r="AB106" s="174" t="str">
        <f t="shared" si="5"/>
        <v>2048 год</v>
      </c>
      <c r="AC106" s="1616"/>
      <c r="AD106" s="1619"/>
      <c r="AE106" s="1620"/>
      <c r="AF106" s="1620"/>
      <c r="AG106" s="1619"/>
      <c r="AH106" s="1619"/>
      <c r="AI106" s="1619"/>
      <c r="AJ106" s="1636"/>
      <c r="AK106" s="1637"/>
      <c r="AL106" s="324"/>
      <c r="AM106" s="1184"/>
      <c r="AN106" s="1184"/>
      <c r="AO106" s="973" cm="1">
        <f t="array" ref="AO106">K106</f>
        <v>2048</v>
      </c>
      <c r="AP106" s="1184"/>
      <c r="AQ106" s="1184"/>
    </row>
    <row r="107" spans="1:43" s="1651" customFormat="1" ht="14.25" hidden="1" customHeight="1" x14ac:dyDescent="0.15">
      <c r="A107" s="1184"/>
      <c r="B107" s="367" t="b">
        <f t="shared" si="4"/>
        <v>0</v>
      </c>
      <c r="C107" s="1184"/>
      <c r="D107" s="1184"/>
      <c r="E107" s="626">
        <v>15</v>
      </c>
      <c r="F107" s="3" t="str" cm="1">
        <f t="array" aca="1" ref="F107" ca="1">OFFSET(E107,-1,1)</f>
        <v>1</v>
      </c>
      <c r="G107" s="1184"/>
      <c r="H107" s="1184"/>
      <c r="I107" s="1184"/>
      <c r="J107" s="1184"/>
      <c r="K107" s="77">
        <f>first_year+25</f>
        <v>2049</v>
      </c>
      <c r="L107" s="1184"/>
      <c r="M107" s="1184"/>
      <c r="N107" s="1184"/>
      <c r="O107" s="1184"/>
      <c r="P107" s="1184"/>
      <c r="Q107" s="1184"/>
      <c r="R107" s="1184"/>
      <c r="S107" s="1184"/>
      <c r="T107" s="388" t="b" cm="1">
        <f t="array" ref="T107">T106</f>
        <v>1</v>
      </c>
      <c r="U107" s="1184"/>
      <c r="V107" s="1184"/>
      <c r="W107" s="1184"/>
      <c r="X107" s="2032"/>
      <c r="Y107" s="1184"/>
      <c r="Z107" s="2012"/>
      <c r="AA107" s="1184"/>
      <c r="AB107" s="174" t="str">
        <f t="shared" si="5"/>
        <v>2049 год</v>
      </c>
      <c r="AC107" s="1616"/>
      <c r="AD107" s="1619"/>
      <c r="AE107" s="1620"/>
      <c r="AF107" s="1620"/>
      <c r="AG107" s="1619"/>
      <c r="AH107" s="1619"/>
      <c r="AI107" s="1619"/>
      <c r="AJ107" s="1636"/>
      <c r="AK107" s="1637"/>
      <c r="AL107" s="324"/>
      <c r="AM107" s="1184"/>
      <c r="AN107" s="1184"/>
      <c r="AO107" s="973" cm="1">
        <f t="array" ref="AO107">K107</f>
        <v>2049</v>
      </c>
      <c r="AP107" s="1184"/>
      <c r="AQ107" s="1184"/>
    </row>
    <row r="108" spans="1:43" s="1652" customFormat="1" ht="14.25" hidden="1" customHeight="1" x14ac:dyDescent="0.15">
      <c r="A108" s="1184"/>
      <c r="B108" s="367" t="b">
        <f t="shared" si="4"/>
        <v>0</v>
      </c>
      <c r="C108" s="1184"/>
      <c r="D108" s="1184"/>
      <c r="E108" s="626">
        <v>15</v>
      </c>
      <c r="F108" s="3" t="str" cm="1">
        <f t="array" aca="1" ref="F108" ca="1">OFFSET(E108,-1,1)</f>
        <v>1</v>
      </c>
      <c r="G108" s="1184"/>
      <c r="H108" s="1184"/>
      <c r="I108" s="1184"/>
      <c r="J108" s="1184"/>
      <c r="K108" s="77">
        <f>first_year+26</f>
        <v>2050</v>
      </c>
      <c r="L108" s="1184"/>
      <c r="M108" s="1184"/>
      <c r="N108" s="1184"/>
      <c r="O108" s="1184"/>
      <c r="P108" s="1184"/>
      <c r="Q108" s="1184"/>
      <c r="R108" s="1184"/>
      <c r="S108" s="1184"/>
      <c r="T108" s="388" t="b" cm="1">
        <f t="array" ref="T108">T107</f>
        <v>1</v>
      </c>
      <c r="U108" s="1184"/>
      <c r="V108" s="1184"/>
      <c r="W108" s="1184"/>
      <c r="X108" s="2032"/>
      <c r="Y108" s="1184"/>
      <c r="Z108" s="2012"/>
      <c r="AA108" s="1184"/>
      <c r="AB108" s="174" t="str">
        <f t="shared" si="5"/>
        <v>2050 год</v>
      </c>
      <c r="AC108" s="1616"/>
      <c r="AD108" s="1619"/>
      <c r="AE108" s="1620"/>
      <c r="AF108" s="1620"/>
      <c r="AG108" s="1619"/>
      <c r="AH108" s="1619"/>
      <c r="AI108" s="1619"/>
      <c r="AJ108" s="1636"/>
      <c r="AK108" s="1637"/>
      <c r="AL108" s="324"/>
      <c r="AM108" s="1184"/>
      <c r="AN108" s="1184"/>
      <c r="AO108" s="973" cm="1">
        <f t="array" ref="AO108">K108</f>
        <v>2050</v>
      </c>
      <c r="AP108" s="1184"/>
      <c r="AQ108" s="1184"/>
    </row>
    <row r="109" spans="1:43" s="1653" customFormat="1" ht="14.25" hidden="1" customHeight="1" x14ac:dyDescent="0.15">
      <c r="A109" s="1184"/>
      <c r="B109" s="367" t="b">
        <f t="shared" si="4"/>
        <v>0</v>
      </c>
      <c r="C109" s="1184"/>
      <c r="D109" s="1184"/>
      <c r="E109" s="626">
        <v>15</v>
      </c>
      <c r="F109" s="3" t="str" cm="1">
        <f t="array" aca="1" ref="F109" ca="1">OFFSET(E109,-1,1)</f>
        <v>1</v>
      </c>
      <c r="G109" s="1184"/>
      <c r="H109" s="1184"/>
      <c r="I109" s="1184"/>
      <c r="J109" s="1184"/>
      <c r="K109" s="77">
        <f>first_year+27</f>
        <v>2051</v>
      </c>
      <c r="L109" s="1184"/>
      <c r="M109" s="1184"/>
      <c r="N109" s="1184"/>
      <c r="O109" s="1184"/>
      <c r="P109" s="1184"/>
      <c r="Q109" s="1184"/>
      <c r="R109" s="1184"/>
      <c r="S109" s="1184"/>
      <c r="T109" s="388" t="b" cm="1">
        <f t="array" ref="T109">T108</f>
        <v>1</v>
      </c>
      <c r="U109" s="1184"/>
      <c r="V109" s="1184"/>
      <c r="W109" s="1184"/>
      <c r="X109" s="2032"/>
      <c r="Y109" s="1184"/>
      <c r="Z109" s="2012"/>
      <c r="AA109" s="1184"/>
      <c r="AB109" s="174" t="str">
        <f t="shared" si="5"/>
        <v>2051 год</v>
      </c>
      <c r="AC109" s="1616"/>
      <c r="AD109" s="1619"/>
      <c r="AE109" s="1620"/>
      <c r="AF109" s="1620"/>
      <c r="AG109" s="1619"/>
      <c r="AH109" s="1619"/>
      <c r="AI109" s="1619"/>
      <c r="AJ109" s="1636"/>
      <c r="AK109" s="1637"/>
      <c r="AL109" s="324"/>
      <c r="AM109" s="1184"/>
      <c r="AN109" s="1184"/>
      <c r="AO109" s="973" cm="1">
        <f t="array" ref="AO109">K109</f>
        <v>2051</v>
      </c>
      <c r="AP109" s="1184"/>
      <c r="AQ109" s="1184"/>
    </row>
    <row r="110" spans="1:43" s="1654" customFormat="1" ht="14.25" hidden="1" customHeight="1" x14ac:dyDescent="0.15">
      <c r="A110" s="1184"/>
      <c r="B110" s="367" t="b">
        <f t="shared" si="4"/>
        <v>0</v>
      </c>
      <c r="C110" s="1184"/>
      <c r="D110" s="1184"/>
      <c r="E110" s="626">
        <v>15</v>
      </c>
      <c r="F110" s="3" t="str" cm="1">
        <f t="array" aca="1" ref="F110" ca="1">OFFSET(E110,-1,1)</f>
        <v>1</v>
      </c>
      <c r="G110" s="1184"/>
      <c r="H110" s="1184"/>
      <c r="I110" s="1184"/>
      <c r="J110" s="1184"/>
      <c r="K110" s="77">
        <f>first_year+28</f>
        <v>2052</v>
      </c>
      <c r="L110" s="1184"/>
      <c r="M110" s="1184"/>
      <c r="N110" s="1184"/>
      <c r="O110" s="1184"/>
      <c r="P110" s="1184"/>
      <c r="Q110" s="1184"/>
      <c r="R110" s="1184"/>
      <c r="S110" s="1184"/>
      <c r="T110" s="388" t="b" cm="1">
        <f t="array" ref="T110">T109</f>
        <v>1</v>
      </c>
      <c r="U110" s="1184"/>
      <c r="V110" s="1184"/>
      <c r="W110" s="1184"/>
      <c r="X110" s="2032"/>
      <c r="Y110" s="1184"/>
      <c r="Z110" s="2012"/>
      <c r="AA110" s="1184"/>
      <c r="AB110" s="174" t="str">
        <f t="shared" si="5"/>
        <v>2052 год</v>
      </c>
      <c r="AC110" s="1616"/>
      <c r="AD110" s="1619"/>
      <c r="AE110" s="1620"/>
      <c r="AF110" s="1620"/>
      <c r="AG110" s="1619"/>
      <c r="AH110" s="1619"/>
      <c r="AI110" s="1619"/>
      <c r="AJ110" s="1636"/>
      <c r="AK110" s="1637"/>
      <c r="AL110" s="324"/>
      <c r="AM110" s="1184"/>
      <c r="AN110" s="1184"/>
      <c r="AO110" s="973" cm="1">
        <f t="array" ref="AO110">K110</f>
        <v>2052</v>
      </c>
      <c r="AP110" s="1184"/>
      <c r="AQ110" s="1184"/>
    </row>
    <row r="111" spans="1:43" s="1655" customFormat="1" ht="14.25" hidden="1" customHeight="1" x14ac:dyDescent="0.15">
      <c r="A111" s="1184"/>
      <c r="B111" s="367" t="b">
        <f t="shared" si="4"/>
        <v>0</v>
      </c>
      <c r="C111" s="1184"/>
      <c r="D111" s="1184"/>
      <c r="E111" s="626">
        <v>15</v>
      </c>
      <c r="F111" s="3" t="str" cm="1">
        <f t="array" aca="1" ref="F111" ca="1">OFFSET(E111,-1,1)</f>
        <v>1</v>
      </c>
      <c r="G111" s="1184"/>
      <c r="H111" s="1184"/>
      <c r="I111" s="1184"/>
      <c r="J111" s="1184"/>
      <c r="K111" s="77">
        <f>first_year+29</f>
        <v>2053</v>
      </c>
      <c r="L111" s="1184"/>
      <c r="M111" s="1184"/>
      <c r="N111" s="1184"/>
      <c r="O111" s="1184"/>
      <c r="P111" s="1184"/>
      <c r="Q111" s="1184"/>
      <c r="R111" s="1184"/>
      <c r="S111" s="1184"/>
      <c r="T111" s="388" t="b" cm="1">
        <f t="array" ref="T111">T110</f>
        <v>1</v>
      </c>
      <c r="U111" s="1184"/>
      <c r="V111" s="1184"/>
      <c r="W111" s="1184"/>
      <c r="X111" s="2032"/>
      <c r="Y111" s="1184"/>
      <c r="Z111" s="2012"/>
      <c r="AA111" s="1184"/>
      <c r="AB111" s="174" t="str">
        <f t="shared" si="5"/>
        <v>2053 год</v>
      </c>
      <c r="AC111" s="1616"/>
      <c r="AD111" s="1619"/>
      <c r="AE111" s="1620"/>
      <c r="AF111" s="1620"/>
      <c r="AG111" s="1619"/>
      <c r="AH111" s="1619"/>
      <c r="AI111" s="1619"/>
      <c r="AJ111" s="1636"/>
      <c r="AK111" s="1637"/>
      <c r="AL111" s="324"/>
      <c r="AM111" s="1184"/>
      <c r="AN111" s="1184"/>
      <c r="AO111" s="973" cm="1">
        <f t="array" ref="AO111">K111</f>
        <v>2053</v>
      </c>
      <c r="AP111" s="1184"/>
      <c r="AQ111" s="1184"/>
    </row>
    <row r="112" spans="1:43" s="1656" customFormat="1" ht="14.25" hidden="1" customHeight="1" x14ac:dyDescent="0.15">
      <c r="A112" s="1184"/>
      <c r="B112" s="367" t="b">
        <f t="shared" si="4"/>
        <v>0</v>
      </c>
      <c r="C112" s="1184"/>
      <c r="D112" s="1184"/>
      <c r="E112" s="626">
        <v>15</v>
      </c>
      <c r="F112" s="3" t="str" cm="1">
        <f t="array" aca="1" ref="F112" ca="1">OFFSET(E112,-1,1)</f>
        <v>1</v>
      </c>
      <c r="G112" s="1184"/>
      <c r="H112" s="1184"/>
      <c r="I112" s="1184"/>
      <c r="J112" s="1184"/>
      <c r="K112" s="77">
        <f>first_year+30</f>
        <v>2054</v>
      </c>
      <c r="L112" s="1184"/>
      <c r="M112" s="1184"/>
      <c r="N112" s="1184"/>
      <c r="O112" s="1184"/>
      <c r="P112" s="1184"/>
      <c r="Q112" s="1184"/>
      <c r="R112" s="1184"/>
      <c r="S112" s="1184"/>
      <c r="T112" s="388" t="b" cm="1">
        <f t="array" ref="T112">T111</f>
        <v>1</v>
      </c>
      <c r="U112" s="1184"/>
      <c r="V112" s="1184"/>
      <c r="W112" s="1184"/>
      <c r="X112" s="2032"/>
      <c r="Y112" s="1184"/>
      <c r="Z112" s="2012"/>
      <c r="AA112" s="1184"/>
      <c r="AB112" s="174" t="str">
        <f t="shared" si="5"/>
        <v>2054 год</v>
      </c>
      <c r="AC112" s="1616"/>
      <c r="AD112" s="1619"/>
      <c r="AE112" s="1620"/>
      <c r="AF112" s="1620"/>
      <c r="AG112" s="1619"/>
      <c r="AH112" s="1619"/>
      <c r="AI112" s="1619"/>
      <c r="AJ112" s="1636"/>
      <c r="AK112" s="1637"/>
      <c r="AL112" s="324"/>
      <c r="AM112" s="1184"/>
      <c r="AN112" s="1184"/>
      <c r="AO112" s="973" cm="1">
        <f t="array" ref="AO112">K112</f>
        <v>2054</v>
      </c>
      <c r="AP112" s="1184"/>
      <c r="AQ112" s="1184"/>
    </row>
    <row r="113" spans="1:43" s="1657" customFormat="1" ht="14.25" hidden="1" customHeight="1" x14ac:dyDescent="0.15">
      <c r="A113" s="1184"/>
      <c r="B113" s="367" t="b">
        <f t="shared" si="4"/>
        <v>0</v>
      </c>
      <c r="C113" s="1184"/>
      <c r="D113" s="1184"/>
      <c r="E113" s="626">
        <v>15</v>
      </c>
      <c r="F113" s="3" t="str" cm="1">
        <f t="array" aca="1" ref="F113" ca="1">OFFSET(E113,-1,1)</f>
        <v>1</v>
      </c>
      <c r="G113" s="1184"/>
      <c r="H113" s="1184"/>
      <c r="I113" s="1184"/>
      <c r="J113" s="1184"/>
      <c r="K113" s="77">
        <f>first_year+31</f>
        <v>2055</v>
      </c>
      <c r="L113" s="1184"/>
      <c r="M113" s="1184"/>
      <c r="N113" s="1184"/>
      <c r="O113" s="1184"/>
      <c r="P113" s="1184"/>
      <c r="Q113" s="1184"/>
      <c r="R113" s="1184"/>
      <c r="S113" s="1184"/>
      <c r="T113" s="388" t="b" cm="1">
        <f t="array" ref="T113">T112</f>
        <v>1</v>
      </c>
      <c r="U113" s="1184"/>
      <c r="V113" s="1184"/>
      <c r="W113" s="1184"/>
      <c r="X113" s="2032"/>
      <c r="Y113" s="1184"/>
      <c r="Z113" s="2012"/>
      <c r="AA113" s="1184"/>
      <c r="AB113" s="174" t="str">
        <f t="shared" si="5"/>
        <v>2055 год</v>
      </c>
      <c r="AC113" s="1616"/>
      <c r="AD113" s="1619"/>
      <c r="AE113" s="1620"/>
      <c r="AF113" s="1620"/>
      <c r="AG113" s="1619"/>
      <c r="AH113" s="1619"/>
      <c r="AI113" s="1619"/>
      <c r="AJ113" s="1636"/>
      <c r="AK113" s="1637"/>
      <c r="AL113" s="324"/>
      <c r="AM113" s="1184"/>
      <c r="AN113" s="1184"/>
      <c r="AO113" s="973" cm="1">
        <f t="array" ref="AO113">K113</f>
        <v>2055</v>
      </c>
      <c r="AP113" s="1184"/>
      <c r="AQ113" s="1184"/>
    </row>
    <row r="114" spans="1:43" s="1658" customFormat="1" ht="14.25" hidden="1" customHeight="1" x14ac:dyDescent="0.15">
      <c r="A114" s="1184"/>
      <c r="B114" s="367" t="b">
        <f t="shared" ref="B114:B131" si="6">K114&lt;first_year+PERIOD_LENGTH</f>
        <v>0</v>
      </c>
      <c r="C114" s="1184"/>
      <c r="D114" s="1184"/>
      <c r="E114" s="626">
        <v>15</v>
      </c>
      <c r="F114" s="3" t="str" cm="1">
        <f t="array" aca="1" ref="F114" ca="1">OFFSET(E114,-1,1)</f>
        <v>1</v>
      </c>
      <c r="G114" s="1184"/>
      <c r="H114" s="1184"/>
      <c r="I114" s="1184"/>
      <c r="J114" s="1184"/>
      <c r="K114" s="77">
        <f>first_year+32</f>
        <v>2056</v>
      </c>
      <c r="L114" s="1184"/>
      <c r="M114" s="1184"/>
      <c r="N114" s="1184"/>
      <c r="O114" s="1184"/>
      <c r="P114" s="1184"/>
      <c r="Q114" s="1184"/>
      <c r="R114" s="1184"/>
      <c r="S114" s="1184"/>
      <c r="T114" s="388" t="b" cm="1">
        <f t="array" ref="T114">T113</f>
        <v>1</v>
      </c>
      <c r="U114" s="1184"/>
      <c r="V114" s="1184"/>
      <c r="W114" s="1184"/>
      <c r="X114" s="2032"/>
      <c r="Y114" s="1184"/>
      <c r="Z114" s="2012"/>
      <c r="AA114" s="1184"/>
      <c r="AB114" s="174" t="str">
        <f t="shared" ref="AB114:AB131" si="7">K114&amp;" год"</f>
        <v>2056 год</v>
      </c>
      <c r="AC114" s="1616"/>
      <c r="AD114" s="1619"/>
      <c r="AE114" s="1620"/>
      <c r="AF114" s="1620"/>
      <c r="AG114" s="1619"/>
      <c r="AH114" s="1619"/>
      <c r="AI114" s="1619"/>
      <c r="AJ114" s="1636"/>
      <c r="AK114" s="1637"/>
      <c r="AL114" s="324"/>
      <c r="AM114" s="1184"/>
      <c r="AN114" s="1184"/>
      <c r="AO114" s="973" cm="1">
        <f t="array" ref="AO114">K114</f>
        <v>2056</v>
      </c>
      <c r="AP114" s="1184"/>
      <c r="AQ114" s="1184"/>
    </row>
    <row r="115" spans="1:43" s="1659" customFormat="1" ht="14.25" hidden="1" customHeight="1" x14ac:dyDescent="0.15">
      <c r="A115" s="1184"/>
      <c r="B115" s="367" t="b">
        <f t="shared" si="6"/>
        <v>0</v>
      </c>
      <c r="C115" s="1184"/>
      <c r="D115" s="1184"/>
      <c r="E115" s="626">
        <v>15</v>
      </c>
      <c r="F115" s="3" t="str" cm="1">
        <f t="array" aca="1" ref="F115" ca="1">OFFSET(E115,-1,1)</f>
        <v>1</v>
      </c>
      <c r="G115" s="1184"/>
      <c r="H115" s="1184"/>
      <c r="I115" s="1184"/>
      <c r="J115" s="1184"/>
      <c r="K115" s="77">
        <f>first_year+33</f>
        <v>2057</v>
      </c>
      <c r="L115" s="1184"/>
      <c r="M115" s="1184"/>
      <c r="N115" s="1184"/>
      <c r="O115" s="1184"/>
      <c r="P115" s="1184"/>
      <c r="Q115" s="1184"/>
      <c r="R115" s="1184"/>
      <c r="S115" s="1184"/>
      <c r="T115" s="388" t="b" cm="1">
        <f t="array" ref="T115">T114</f>
        <v>1</v>
      </c>
      <c r="U115" s="1184"/>
      <c r="V115" s="1184"/>
      <c r="W115" s="1184"/>
      <c r="X115" s="2032"/>
      <c r="Y115" s="1184"/>
      <c r="Z115" s="2012"/>
      <c r="AA115" s="1184"/>
      <c r="AB115" s="174" t="str">
        <f t="shared" si="7"/>
        <v>2057 год</v>
      </c>
      <c r="AC115" s="1616"/>
      <c r="AD115" s="1619"/>
      <c r="AE115" s="1620"/>
      <c r="AF115" s="1620"/>
      <c r="AG115" s="1619"/>
      <c r="AH115" s="1619"/>
      <c r="AI115" s="1619"/>
      <c r="AJ115" s="1636"/>
      <c r="AK115" s="1637"/>
      <c r="AL115" s="324"/>
      <c r="AM115" s="1184"/>
      <c r="AN115" s="1184"/>
      <c r="AO115" s="973" cm="1">
        <f t="array" ref="AO115">K115</f>
        <v>2057</v>
      </c>
      <c r="AP115" s="1184"/>
      <c r="AQ115" s="1184"/>
    </row>
    <row r="116" spans="1:43" s="1660" customFormat="1" ht="14.25" hidden="1" customHeight="1" x14ac:dyDescent="0.15">
      <c r="A116" s="1184"/>
      <c r="B116" s="367" t="b">
        <f t="shared" si="6"/>
        <v>0</v>
      </c>
      <c r="C116" s="1184"/>
      <c r="D116" s="1184"/>
      <c r="E116" s="626">
        <v>15</v>
      </c>
      <c r="F116" s="3" t="str" cm="1">
        <f t="array" aca="1" ref="F116" ca="1">OFFSET(E116,-1,1)</f>
        <v>1</v>
      </c>
      <c r="G116" s="1184"/>
      <c r="H116" s="1184"/>
      <c r="I116" s="1184"/>
      <c r="J116" s="1184"/>
      <c r="K116" s="77">
        <f>first_year+34</f>
        <v>2058</v>
      </c>
      <c r="L116" s="1184"/>
      <c r="M116" s="1184"/>
      <c r="N116" s="1184"/>
      <c r="O116" s="1184"/>
      <c r="P116" s="1184"/>
      <c r="Q116" s="1184"/>
      <c r="R116" s="1184"/>
      <c r="S116" s="1184"/>
      <c r="T116" s="388" t="b" cm="1">
        <f t="array" ref="T116">T115</f>
        <v>1</v>
      </c>
      <c r="U116" s="1184"/>
      <c r="V116" s="1184"/>
      <c r="W116" s="1184"/>
      <c r="X116" s="2032"/>
      <c r="Y116" s="1184"/>
      <c r="Z116" s="2012"/>
      <c r="AA116" s="1184"/>
      <c r="AB116" s="174" t="str">
        <f t="shared" si="7"/>
        <v>2058 год</v>
      </c>
      <c r="AC116" s="1616"/>
      <c r="AD116" s="1619"/>
      <c r="AE116" s="1620"/>
      <c r="AF116" s="1620"/>
      <c r="AG116" s="1619"/>
      <c r="AH116" s="1619"/>
      <c r="AI116" s="1619"/>
      <c r="AJ116" s="1636"/>
      <c r="AK116" s="1637"/>
      <c r="AL116" s="324"/>
      <c r="AM116" s="1184"/>
      <c r="AN116" s="1184"/>
      <c r="AO116" s="973" cm="1">
        <f t="array" ref="AO116">K116</f>
        <v>2058</v>
      </c>
      <c r="AP116" s="1184"/>
      <c r="AQ116" s="1184"/>
    </row>
    <row r="117" spans="1:43" s="1661" customFormat="1" ht="14.25" hidden="1" customHeight="1" x14ac:dyDescent="0.15">
      <c r="A117" s="1184"/>
      <c r="B117" s="367" t="b">
        <f t="shared" si="6"/>
        <v>0</v>
      </c>
      <c r="C117" s="1184"/>
      <c r="D117" s="1184"/>
      <c r="E117" s="626">
        <v>15</v>
      </c>
      <c r="F117" s="3" t="str" cm="1">
        <f t="array" aca="1" ref="F117" ca="1">OFFSET(E117,-1,1)</f>
        <v>1</v>
      </c>
      <c r="G117" s="1184"/>
      <c r="H117" s="1184"/>
      <c r="I117" s="1184"/>
      <c r="J117" s="1184"/>
      <c r="K117" s="77">
        <f>first_year+35</f>
        <v>2059</v>
      </c>
      <c r="L117" s="1184"/>
      <c r="M117" s="1184"/>
      <c r="N117" s="1184"/>
      <c r="O117" s="1184"/>
      <c r="P117" s="1184"/>
      <c r="Q117" s="1184"/>
      <c r="R117" s="1184"/>
      <c r="S117" s="1184"/>
      <c r="T117" s="388" t="b" cm="1">
        <f t="array" ref="T117">T116</f>
        <v>1</v>
      </c>
      <c r="U117" s="1184"/>
      <c r="V117" s="1184"/>
      <c r="W117" s="1184"/>
      <c r="X117" s="2032"/>
      <c r="Y117" s="1184"/>
      <c r="Z117" s="2012"/>
      <c r="AA117" s="1184"/>
      <c r="AB117" s="174" t="str">
        <f t="shared" si="7"/>
        <v>2059 год</v>
      </c>
      <c r="AC117" s="1616"/>
      <c r="AD117" s="1619"/>
      <c r="AE117" s="1620"/>
      <c r="AF117" s="1620"/>
      <c r="AG117" s="1619"/>
      <c r="AH117" s="1619"/>
      <c r="AI117" s="1619"/>
      <c r="AJ117" s="1636"/>
      <c r="AK117" s="1637"/>
      <c r="AL117" s="324"/>
      <c r="AM117" s="1184"/>
      <c r="AN117" s="1184"/>
      <c r="AO117" s="973" cm="1">
        <f t="array" ref="AO117">K117</f>
        <v>2059</v>
      </c>
      <c r="AP117" s="1184"/>
      <c r="AQ117" s="1184"/>
    </row>
    <row r="118" spans="1:43" s="1662" customFormat="1" ht="14.25" hidden="1" customHeight="1" x14ac:dyDescent="0.15">
      <c r="A118" s="1184"/>
      <c r="B118" s="367" t="b">
        <f t="shared" si="6"/>
        <v>0</v>
      </c>
      <c r="C118" s="1184"/>
      <c r="D118" s="1184"/>
      <c r="E118" s="626">
        <v>15</v>
      </c>
      <c r="F118" s="3" t="str" cm="1">
        <f t="array" aca="1" ref="F118" ca="1">OFFSET(E118,-1,1)</f>
        <v>1</v>
      </c>
      <c r="G118" s="1184"/>
      <c r="H118" s="1184"/>
      <c r="I118" s="1184"/>
      <c r="J118" s="1184"/>
      <c r="K118" s="77">
        <f>first_year+36</f>
        <v>2060</v>
      </c>
      <c r="L118" s="1184"/>
      <c r="M118" s="1184"/>
      <c r="N118" s="1184"/>
      <c r="O118" s="1184"/>
      <c r="P118" s="1184"/>
      <c r="Q118" s="1184"/>
      <c r="R118" s="1184"/>
      <c r="S118" s="1184"/>
      <c r="T118" s="388" t="b" cm="1">
        <f t="array" ref="T118">T117</f>
        <v>1</v>
      </c>
      <c r="U118" s="1184"/>
      <c r="V118" s="1184"/>
      <c r="W118" s="1184"/>
      <c r="X118" s="2032"/>
      <c r="Y118" s="1184"/>
      <c r="Z118" s="2012"/>
      <c r="AA118" s="1184"/>
      <c r="AB118" s="174" t="str">
        <f t="shared" si="7"/>
        <v>2060 год</v>
      </c>
      <c r="AC118" s="1616"/>
      <c r="AD118" s="1619"/>
      <c r="AE118" s="1620"/>
      <c r="AF118" s="1620"/>
      <c r="AG118" s="1619"/>
      <c r="AH118" s="1619"/>
      <c r="AI118" s="1619"/>
      <c r="AJ118" s="1636"/>
      <c r="AK118" s="1637"/>
      <c r="AL118" s="324"/>
      <c r="AM118" s="1184"/>
      <c r="AN118" s="1184"/>
      <c r="AO118" s="973" cm="1">
        <f t="array" ref="AO118">K118</f>
        <v>2060</v>
      </c>
      <c r="AP118" s="1184"/>
      <c r="AQ118" s="1184"/>
    </row>
    <row r="119" spans="1:43" s="1663" customFormat="1" ht="14.25" hidden="1" customHeight="1" x14ac:dyDescent="0.15">
      <c r="A119" s="1184"/>
      <c r="B119" s="367" t="b">
        <f t="shared" si="6"/>
        <v>0</v>
      </c>
      <c r="C119" s="1184"/>
      <c r="D119" s="1184"/>
      <c r="E119" s="626">
        <v>15</v>
      </c>
      <c r="F119" s="3" t="str" cm="1">
        <f t="array" aca="1" ref="F119" ca="1">OFFSET(E119,-1,1)</f>
        <v>1</v>
      </c>
      <c r="G119" s="1184"/>
      <c r="H119" s="1184"/>
      <c r="I119" s="1184"/>
      <c r="J119" s="1184"/>
      <c r="K119" s="77">
        <f>first_year+37</f>
        <v>2061</v>
      </c>
      <c r="L119" s="1184"/>
      <c r="M119" s="1184"/>
      <c r="N119" s="1184"/>
      <c r="O119" s="1184"/>
      <c r="P119" s="1184"/>
      <c r="Q119" s="1184"/>
      <c r="R119" s="1184"/>
      <c r="S119" s="1184"/>
      <c r="T119" s="388" t="b" cm="1">
        <f t="array" ref="T119">T118</f>
        <v>1</v>
      </c>
      <c r="U119" s="1184"/>
      <c r="V119" s="1184"/>
      <c r="W119" s="1184"/>
      <c r="X119" s="2032"/>
      <c r="Y119" s="1184"/>
      <c r="Z119" s="2012"/>
      <c r="AA119" s="1184"/>
      <c r="AB119" s="174" t="str">
        <f t="shared" si="7"/>
        <v>2061 год</v>
      </c>
      <c r="AC119" s="1616"/>
      <c r="AD119" s="1619"/>
      <c r="AE119" s="1620"/>
      <c r="AF119" s="1620"/>
      <c r="AG119" s="1619"/>
      <c r="AH119" s="1619"/>
      <c r="AI119" s="1619"/>
      <c r="AJ119" s="1636"/>
      <c r="AK119" s="1637"/>
      <c r="AL119" s="324"/>
      <c r="AM119" s="1184"/>
      <c r="AN119" s="1184"/>
      <c r="AO119" s="973" cm="1">
        <f t="array" ref="AO119">K119</f>
        <v>2061</v>
      </c>
      <c r="AP119" s="1184"/>
      <c r="AQ119" s="1184"/>
    </row>
    <row r="120" spans="1:43" s="1664" customFormat="1" ht="14.25" hidden="1" customHeight="1" x14ac:dyDescent="0.15">
      <c r="A120" s="1184"/>
      <c r="B120" s="367" t="b">
        <f t="shared" si="6"/>
        <v>0</v>
      </c>
      <c r="C120" s="1184"/>
      <c r="D120" s="1184"/>
      <c r="E120" s="626">
        <v>15</v>
      </c>
      <c r="F120" s="3" t="str" cm="1">
        <f t="array" aca="1" ref="F120" ca="1">OFFSET(E120,-1,1)</f>
        <v>1</v>
      </c>
      <c r="G120" s="1184"/>
      <c r="H120" s="1184"/>
      <c r="I120" s="1184"/>
      <c r="J120" s="1184"/>
      <c r="K120" s="77">
        <f>first_year+38</f>
        <v>2062</v>
      </c>
      <c r="L120" s="1184"/>
      <c r="M120" s="1184"/>
      <c r="N120" s="1184"/>
      <c r="O120" s="1184"/>
      <c r="P120" s="1184"/>
      <c r="Q120" s="1184"/>
      <c r="R120" s="1184"/>
      <c r="S120" s="1184"/>
      <c r="T120" s="388" t="b" cm="1">
        <f t="array" ref="T120">T119</f>
        <v>1</v>
      </c>
      <c r="U120" s="1184"/>
      <c r="V120" s="1184"/>
      <c r="W120" s="1184"/>
      <c r="X120" s="2032"/>
      <c r="Y120" s="1184"/>
      <c r="Z120" s="2012"/>
      <c r="AA120" s="1184"/>
      <c r="AB120" s="174" t="str">
        <f t="shared" si="7"/>
        <v>2062 год</v>
      </c>
      <c r="AC120" s="1616"/>
      <c r="AD120" s="1619"/>
      <c r="AE120" s="1620"/>
      <c r="AF120" s="1620"/>
      <c r="AG120" s="1619"/>
      <c r="AH120" s="1619"/>
      <c r="AI120" s="1619"/>
      <c r="AJ120" s="1636"/>
      <c r="AK120" s="1637"/>
      <c r="AL120" s="324"/>
      <c r="AM120" s="1184"/>
      <c r="AN120" s="1184"/>
      <c r="AO120" s="973" cm="1">
        <f t="array" ref="AO120">K120</f>
        <v>2062</v>
      </c>
      <c r="AP120" s="1184"/>
      <c r="AQ120" s="1184"/>
    </row>
    <row r="121" spans="1:43" s="1665" customFormat="1" ht="14.25" hidden="1" customHeight="1" x14ac:dyDescent="0.15">
      <c r="A121" s="1184"/>
      <c r="B121" s="367" t="b">
        <f t="shared" si="6"/>
        <v>0</v>
      </c>
      <c r="C121" s="1184"/>
      <c r="D121" s="1184"/>
      <c r="E121" s="626">
        <v>15</v>
      </c>
      <c r="F121" s="3" t="str" cm="1">
        <f t="array" aca="1" ref="F121" ca="1">OFFSET(E121,-1,1)</f>
        <v>1</v>
      </c>
      <c r="G121" s="1184"/>
      <c r="H121" s="1184"/>
      <c r="I121" s="1184"/>
      <c r="J121" s="1184"/>
      <c r="K121" s="77">
        <f>first_year+39</f>
        <v>2063</v>
      </c>
      <c r="L121" s="1184"/>
      <c r="M121" s="1184"/>
      <c r="N121" s="1184"/>
      <c r="O121" s="1184"/>
      <c r="P121" s="1184"/>
      <c r="Q121" s="1184"/>
      <c r="R121" s="1184"/>
      <c r="S121" s="1184"/>
      <c r="T121" s="388" t="b" cm="1">
        <f t="array" ref="T121">T120</f>
        <v>1</v>
      </c>
      <c r="U121" s="1184"/>
      <c r="V121" s="1184"/>
      <c r="W121" s="1184"/>
      <c r="X121" s="2032"/>
      <c r="Y121" s="1184"/>
      <c r="Z121" s="2012"/>
      <c r="AA121" s="1184"/>
      <c r="AB121" s="174" t="str">
        <f t="shared" si="7"/>
        <v>2063 год</v>
      </c>
      <c r="AC121" s="1616"/>
      <c r="AD121" s="1619"/>
      <c r="AE121" s="1620"/>
      <c r="AF121" s="1620"/>
      <c r="AG121" s="1619"/>
      <c r="AH121" s="1619"/>
      <c r="AI121" s="1619"/>
      <c r="AJ121" s="1636"/>
      <c r="AK121" s="1637"/>
      <c r="AL121" s="324"/>
      <c r="AM121" s="1184"/>
      <c r="AN121" s="1184"/>
      <c r="AO121" s="973" cm="1">
        <f t="array" ref="AO121">K121</f>
        <v>2063</v>
      </c>
      <c r="AP121" s="1184"/>
      <c r="AQ121" s="1184"/>
    </row>
    <row r="122" spans="1:43" s="1666" customFormat="1" ht="14.25" hidden="1" customHeight="1" x14ac:dyDescent="0.15">
      <c r="A122" s="1184"/>
      <c r="B122" s="367" t="b">
        <f t="shared" si="6"/>
        <v>0</v>
      </c>
      <c r="C122" s="1184"/>
      <c r="D122" s="1184"/>
      <c r="E122" s="626">
        <v>15</v>
      </c>
      <c r="F122" s="3" t="str" cm="1">
        <f t="array" aca="1" ref="F122" ca="1">OFFSET(E122,-1,1)</f>
        <v>1</v>
      </c>
      <c r="G122" s="1184"/>
      <c r="H122" s="1184"/>
      <c r="I122" s="1184"/>
      <c r="J122" s="1184"/>
      <c r="K122" s="77">
        <f>first_year+40</f>
        <v>2064</v>
      </c>
      <c r="L122" s="1184"/>
      <c r="M122" s="1184"/>
      <c r="N122" s="1184"/>
      <c r="O122" s="1184"/>
      <c r="P122" s="1184"/>
      <c r="Q122" s="1184"/>
      <c r="R122" s="1184"/>
      <c r="S122" s="1184"/>
      <c r="T122" s="388" t="b" cm="1">
        <f t="array" ref="T122">T121</f>
        <v>1</v>
      </c>
      <c r="U122" s="1184"/>
      <c r="V122" s="1184"/>
      <c r="W122" s="1184"/>
      <c r="X122" s="2032"/>
      <c r="Y122" s="1184"/>
      <c r="Z122" s="2012"/>
      <c r="AA122" s="1184"/>
      <c r="AB122" s="174" t="str">
        <f t="shared" si="7"/>
        <v>2064 год</v>
      </c>
      <c r="AC122" s="1616"/>
      <c r="AD122" s="1619"/>
      <c r="AE122" s="1620"/>
      <c r="AF122" s="1620"/>
      <c r="AG122" s="1619"/>
      <c r="AH122" s="1619"/>
      <c r="AI122" s="1619"/>
      <c r="AJ122" s="1636"/>
      <c r="AK122" s="1637"/>
      <c r="AL122" s="324"/>
      <c r="AM122" s="1184"/>
      <c r="AN122" s="1184"/>
      <c r="AO122" s="973" cm="1">
        <f t="array" ref="AO122">K122</f>
        <v>2064</v>
      </c>
      <c r="AP122" s="1184"/>
      <c r="AQ122" s="1184"/>
    </row>
    <row r="123" spans="1:43" s="1667" customFormat="1" ht="14.25" hidden="1" customHeight="1" x14ac:dyDescent="0.15">
      <c r="A123" s="1184"/>
      <c r="B123" s="367" t="b">
        <f t="shared" si="6"/>
        <v>0</v>
      </c>
      <c r="C123" s="1184"/>
      <c r="D123" s="1184"/>
      <c r="E123" s="626">
        <v>15</v>
      </c>
      <c r="F123" s="3" t="str" cm="1">
        <f t="array" aca="1" ref="F123" ca="1">OFFSET(E123,-1,1)</f>
        <v>1</v>
      </c>
      <c r="G123" s="1184"/>
      <c r="H123" s="1184"/>
      <c r="I123" s="1184"/>
      <c r="J123" s="1184"/>
      <c r="K123" s="77">
        <f>first_year+41</f>
        <v>2065</v>
      </c>
      <c r="L123" s="1184"/>
      <c r="M123" s="1184"/>
      <c r="N123" s="1184"/>
      <c r="O123" s="1184"/>
      <c r="P123" s="1184"/>
      <c r="Q123" s="1184"/>
      <c r="R123" s="1184"/>
      <c r="S123" s="1184"/>
      <c r="T123" s="388" t="b" cm="1">
        <f t="array" ref="T123">T122</f>
        <v>1</v>
      </c>
      <c r="U123" s="1184"/>
      <c r="V123" s="1184"/>
      <c r="W123" s="1184"/>
      <c r="X123" s="2032"/>
      <c r="Y123" s="1184"/>
      <c r="Z123" s="2012"/>
      <c r="AA123" s="1184"/>
      <c r="AB123" s="174" t="str">
        <f t="shared" si="7"/>
        <v>2065 год</v>
      </c>
      <c r="AC123" s="1616"/>
      <c r="AD123" s="1619"/>
      <c r="AE123" s="1620"/>
      <c r="AF123" s="1620"/>
      <c r="AG123" s="1619"/>
      <c r="AH123" s="1619"/>
      <c r="AI123" s="1619"/>
      <c r="AJ123" s="1636"/>
      <c r="AK123" s="1637"/>
      <c r="AL123" s="324"/>
      <c r="AM123" s="1184"/>
      <c r="AN123" s="1184"/>
      <c r="AO123" s="973" cm="1">
        <f t="array" ref="AO123">K123</f>
        <v>2065</v>
      </c>
      <c r="AP123" s="1184"/>
      <c r="AQ123" s="1184"/>
    </row>
    <row r="124" spans="1:43" s="1668" customFormat="1" ht="14.25" hidden="1" customHeight="1" x14ac:dyDescent="0.15">
      <c r="A124" s="1184"/>
      <c r="B124" s="367" t="b">
        <f t="shared" si="6"/>
        <v>0</v>
      </c>
      <c r="C124" s="1184"/>
      <c r="D124" s="1184"/>
      <c r="E124" s="626">
        <v>15</v>
      </c>
      <c r="F124" s="3" t="str" cm="1">
        <f t="array" aca="1" ref="F124" ca="1">OFFSET(E124,-1,1)</f>
        <v>1</v>
      </c>
      <c r="G124" s="1184"/>
      <c r="H124" s="1184"/>
      <c r="I124" s="1184"/>
      <c r="J124" s="1184"/>
      <c r="K124" s="77">
        <f>first_year+42</f>
        <v>2066</v>
      </c>
      <c r="L124" s="1184"/>
      <c r="M124" s="1184"/>
      <c r="N124" s="1184"/>
      <c r="O124" s="1184"/>
      <c r="P124" s="1184"/>
      <c r="Q124" s="1184"/>
      <c r="R124" s="1184"/>
      <c r="S124" s="1184"/>
      <c r="T124" s="388" t="b" cm="1">
        <f t="array" ref="T124">T123</f>
        <v>1</v>
      </c>
      <c r="U124" s="1184"/>
      <c r="V124" s="1184"/>
      <c r="W124" s="1184"/>
      <c r="X124" s="2032"/>
      <c r="Y124" s="1184"/>
      <c r="Z124" s="2012"/>
      <c r="AA124" s="1184"/>
      <c r="AB124" s="174" t="str">
        <f t="shared" si="7"/>
        <v>2066 год</v>
      </c>
      <c r="AC124" s="1616"/>
      <c r="AD124" s="1619"/>
      <c r="AE124" s="1620"/>
      <c r="AF124" s="1620"/>
      <c r="AG124" s="1619"/>
      <c r="AH124" s="1619"/>
      <c r="AI124" s="1619"/>
      <c r="AJ124" s="1636"/>
      <c r="AK124" s="1637"/>
      <c r="AL124" s="324"/>
      <c r="AM124" s="1184"/>
      <c r="AN124" s="1184"/>
      <c r="AO124" s="973" cm="1">
        <f t="array" ref="AO124">K124</f>
        <v>2066</v>
      </c>
      <c r="AP124" s="1184"/>
      <c r="AQ124" s="1184"/>
    </row>
    <row r="125" spans="1:43" s="1669" customFormat="1" ht="14.25" hidden="1" customHeight="1" x14ac:dyDescent="0.15">
      <c r="A125" s="1184"/>
      <c r="B125" s="367" t="b">
        <f t="shared" si="6"/>
        <v>0</v>
      </c>
      <c r="C125" s="1184"/>
      <c r="D125" s="1184"/>
      <c r="E125" s="626">
        <v>15</v>
      </c>
      <c r="F125" s="3" t="str" cm="1">
        <f t="array" aca="1" ref="F125" ca="1">OFFSET(E125,-1,1)</f>
        <v>1</v>
      </c>
      <c r="G125" s="1184"/>
      <c r="H125" s="1184"/>
      <c r="I125" s="1184"/>
      <c r="J125" s="1184"/>
      <c r="K125" s="77">
        <f>first_year+43</f>
        <v>2067</v>
      </c>
      <c r="L125" s="1184"/>
      <c r="M125" s="1184"/>
      <c r="N125" s="1184"/>
      <c r="O125" s="1184"/>
      <c r="P125" s="1184"/>
      <c r="Q125" s="1184"/>
      <c r="R125" s="1184"/>
      <c r="S125" s="1184"/>
      <c r="T125" s="388" t="b" cm="1">
        <f t="array" ref="T125">T124</f>
        <v>1</v>
      </c>
      <c r="U125" s="1184"/>
      <c r="V125" s="1184"/>
      <c r="W125" s="1184"/>
      <c r="X125" s="2032"/>
      <c r="Y125" s="1184"/>
      <c r="Z125" s="2012"/>
      <c r="AA125" s="1184"/>
      <c r="AB125" s="174" t="str">
        <f t="shared" si="7"/>
        <v>2067 год</v>
      </c>
      <c r="AC125" s="1616"/>
      <c r="AD125" s="1619"/>
      <c r="AE125" s="1620"/>
      <c r="AF125" s="1620"/>
      <c r="AG125" s="1619"/>
      <c r="AH125" s="1619"/>
      <c r="AI125" s="1619"/>
      <c r="AJ125" s="1636"/>
      <c r="AK125" s="1637"/>
      <c r="AL125" s="324"/>
      <c r="AM125" s="1184"/>
      <c r="AN125" s="1184"/>
      <c r="AO125" s="973" cm="1">
        <f t="array" ref="AO125">K125</f>
        <v>2067</v>
      </c>
      <c r="AP125" s="1184"/>
      <c r="AQ125" s="1184"/>
    </row>
    <row r="126" spans="1:43" s="1670" customFormat="1" ht="14.25" hidden="1" customHeight="1" x14ac:dyDescent="0.15">
      <c r="A126" s="1184"/>
      <c r="B126" s="367" t="b">
        <f t="shared" si="6"/>
        <v>0</v>
      </c>
      <c r="C126" s="1184"/>
      <c r="D126" s="1184"/>
      <c r="E126" s="626">
        <v>15</v>
      </c>
      <c r="F126" s="3" t="str" cm="1">
        <f t="array" aca="1" ref="F126" ca="1">OFFSET(E126,-1,1)</f>
        <v>1</v>
      </c>
      <c r="G126" s="1184"/>
      <c r="H126" s="1184"/>
      <c r="I126" s="1184"/>
      <c r="J126" s="1184"/>
      <c r="K126" s="77">
        <f>first_year+44</f>
        <v>2068</v>
      </c>
      <c r="L126" s="1184"/>
      <c r="M126" s="1184"/>
      <c r="N126" s="1184"/>
      <c r="O126" s="1184"/>
      <c r="P126" s="1184"/>
      <c r="Q126" s="1184"/>
      <c r="R126" s="1184"/>
      <c r="S126" s="1184"/>
      <c r="T126" s="388" t="b" cm="1">
        <f t="array" ref="T126">T125</f>
        <v>1</v>
      </c>
      <c r="U126" s="1184"/>
      <c r="V126" s="1184"/>
      <c r="W126" s="1184"/>
      <c r="X126" s="2032"/>
      <c r="Y126" s="1184"/>
      <c r="Z126" s="2012"/>
      <c r="AA126" s="1184"/>
      <c r="AB126" s="174" t="str">
        <f t="shared" si="7"/>
        <v>2068 год</v>
      </c>
      <c r="AC126" s="1616"/>
      <c r="AD126" s="1619"/>
      <c r="AE126" s="1620"/>
      <c r="AF126" s="1620"/>
      <c r="AG126" s="1619"/>
      <c r="AH126" s="1619"/>
      <c r="AI126" s="1619"/>
      <c r="AJ126" s="1636"/>
      <c r="AK126" s="1637"/>
      <c r="AL126" s="324"/>
      <c r="AM126" s="1184"/>
      <c r="AN126" s="1184"/>
      <c r="AO126" s="973" cm="1">
        <f t="array" ref="AO126">K126</f>
        <v>2068</v>
      </c>
      <c r="AP126" s="1184"/>
      <c r="AQ126" s="1184"/>
    </row>
    <row r="127" spans="1:43" s="1671" customFormat="1" ht="14.25" hidden="1" customHeight="1" x14ac:dyDescent="0.15">
      <c r="A127" s="1184"/>
      <c r="B127" s="367" t="b">
        <f t="shared" si="6"/>
        <v>0</v>
      </c>
      <c r="C127" s="1184"/>
      <c r="D127" s="1184"/>
      <c r="E127" s="626">
        <v>15</v>
      </c>
      <c r="F127" s="3" t="str" cm="1">
        <f t="array" aca="1" ref="F127" ca="1">OFFSET(E127,-1,1)</f>
        <v>1</v>
      </c>
      <c r="G127" s="1184"/>
      <c r="H127" s="1184"/>
      <c r="I127" s="1184"/>
      <c r="J127" s="1184"/>
      <c r="K127" s="77">
        <f>first_year+45</f>
        <v>2069</v>
      </c>
      <c r="L127" s="1184"/>
      <c r="M127" s="1184"/>
      <c r="N127" s="1184"/>
      <c r="O127" s="1184"/>
      <c r="P127" s="1184"/>
      <c r="Q127" s="1184"/>
      <c r="R127" s="1184"/>
      <c r="S127" s="1184"/>
      <c r="T127" s="388" t="b" cm="1">
        <f t="array" ref="T127">T126</f>
        <v>1</v>
      </c>
      <c r="U127" s="1184"/>
      <c r="V127" s="1184"/>
      <c r="W127" s="1184"/>
      <c r="X127" s="2032"/>
      <c r="Y127" s="1184"/>
      <c r="Z127" s="2012"/>
      <c r="AA127" s="1184"/>
      <c r="AB127" s="174" t="str">
        <f t="shared" si="7"/>
        <v>2069 год</v>
      </c>
      <c r="AC127" s="1616"/>
      <c r="AD127" s="1619"/>
      <c r="AE127" s="1620"/>
      <c r="AF127" s="1620"/>
      <c r="AG127" s="1619"/>
      <c r="AH127" s="1619"/>
      <c r="AI127" s="1619"/>
      <c r="AJ127" s="1636"/>
      <c r="AK127" s="1637"/>
      <c r="AL127" s="324"/>
      <c r="AM127" s="1184"/>
      <c r="AN127" s="1184"/>
      <c r="AO127" s="973" cm="1">
        <f t="array" ref="AO127">K127</f>
        <v>2069</v>
      </c>
      <c r="AP127" s="1184"/>
      <c r="AQ127" s="1184"/>
    </row>
    <row r="128" spans="1:43" s="1672" customFormat="1" ht="14.25" hidden="1" customHeight="1" x14ac:dyDescent="0.15">
      <c r="A128" s="1184"/>
      <c r="B128" s="367" t="b">
        <f t="shared" si="6"/>
        <v>0</v>
      </c>
      <c r="C128" s="1184"/>
      <c r="D128" s="1184"/>
      <c r="E128" s="626">
        <v>15</v>
      </c>
      <c r="F128" s="3" t="str" cm="1">
        <f t="array" aca="1" ref="F128" ca="1">OFFSET(E128,-1,1)</f>
        <v>1</v>
      </c>
      <c r="G128" s="1184"/>
      <c r="H128" s="1184"/>
      <c r="I128" s="1184"/>
      <c r="J128" s="1184"/>
      <c r="K128" s="77">
        <f>first_year+46</f>
        <v>2070</v>
      </c>
      <c r="L128" s="1184"/>
      <c r="M128" s="1184"/>
      <c r="N128" s="1184"/>
      <c r="O128" s="1184"/>
      <c r="P128" s="1184"/>
      <c r="Q128" s="1184"/>
      <c r="R128" s="1184"/>
      <c r="S128" s="1184"/>
      <c r="T128" s="388" t="b" cm="1">
        <f t="array" ref="T128">T127</f>
        <v>1</v>
      </c>
      <c r="U128" s="1184"/>
      <c r="V128" s="1184"/>
      <c r="W128" s="1184"/>
      <c r="X128" s="2032"/>
      <c r="Y128" s="1184"/>
      <c r="Z128" s="2012"/>
      <c r="AA128" s="1184"/>
      <c r="AB128" s="174" t="str">
        <f t="shared" si="7"/>
        <v>2070 год</v>
      </c>
      <c r="AC128" s="1616"/>
      <c r="AD128" s="1619"/>
      <c r="AE128" s="1620"/>
      <c r="AF128" s="1620"/>
      <c r="AG128" s="1619"/>
      <c r="AH128" s="1619"/>
      <c r="AI128" s="1619"/>
      <c r="AJ128" s="1636"/>
      <c r="AK128" s="1637"/>
      <c r="AL128" s="324"/>
      <c r="AM128" s="1184"/>
      <c r="AN128" s="1184"/>
      <c r="AO128" s="973" cm="1">
        <f t="array" ref="AO128">K128</f>
        <v>2070</v>
      </c>
      <c r="AP128" s="1184"/>
      <c r="AQ128" s="1184"/>
    </row>
    <row r="129" spans="1:43" s="1673" customFormat="1" ht="14.25" hidden="1" customHeight="1" x14ac:dyDescent="0.15">
      <c r="A129" s="1184"/>
      <c r="B129" s="367" t="b">
        <f t="shared" si="6"/>
        <v>0</v>
      </c>
      <c r="C129" s="1184"/>
      <c r="D129" s="1184"/>
      <c r="E129" s="626">
        <v>15</v>
      </c>
      <c r="F129" s="3" t="str" cm="1">
        <f t="array" aca="1" ref="F129" ca="1">OFFSET(E129,-1,1)</f>
        <v>1</v>
      </c>
      <c r="G129" s="1184"/>
      <c r="H129" s="1184"/>
      <c r="I129" s="1184"/>
      <c r="J129" s="1184"/>
      <c r="K129" s="77">
        <f>first_year+47</f>
        <v>2071</v>
      </c>
      <c r="L129" s="1184"/>
      <c r="M129" s="1184"/>
      <c r="N129" s="1184"/>
      <c r="O129" s="1184"/>
      <c r="P129" s="1184"/>
      <c r="Q129" s="1184"/>
      <c r="R129" s="1184"/>
      <c r="S129" s="1184"/>
      <c r="T129" s="388" t="b" cm="1">
        <f t="array" ref="T129">T128</f>
        <v>1</v>
      </c>
      <c r="U129" s="1184"/>
      <c r="V129" s="1184"/>
      <c r="W129" s="1184"/>
      <c r="X129" s="2032"/>
      <c r="Y129" s="1184"/>
      <c r="Z129" s="2012"/>
      <c r="AA129" s="1184"/>
      <c r="AB129" s="174" t="str">
        <f t="shared" si="7"/>
        <v>2071 год</v>
      </c>
      <c r="AC129" s="1616"/>
      <c r="AD129" s="1619"/>
      <c r="AE129" s="1620"/>
      <c r="AF129" s="1620"/>
      <c r="AG129" s="1619"/>
      <c r="AH129" s="1619"/>
      <c r="AI129" s="1619"/>
      <c r="AJ129" s="1636"/>
      <c r="AK129" s="1637"/>
      <c r="AL129" s="324"/>
      <c r="AM129" s="1184"/>
      <c r="AN129" s="1184"/>
      <c r="AO129" s="973" cm="1">
        <f t="array" ref="AO129">K129</f>
        <v>2071</v>
      </c>
      <c r="AP129" s="1184"/>
      <c r="AQ129" s="1184"/>
    </row>
    <row r="130" spans="1:43" s="1674" customFormat="1" ht="14.25" hidden="1" customHeight="1" x14ac:dyDescent="0.15">
      <c r="A130" s="1184"/>
      <c r="B130" s="367" t="b">
        <f t="shared" si="6"/>
        <v>0</v>
      </c>
      <c r="C130" s="1184"/>
      <c r="D130" s="1184"/>
      <c r="E130" s="626">
        <v>15</v>
      </c>
      <c r="F130" s="3" t="str" cm="1">
        <f t="array" aca="1" ref="F130" ca="1">OFFSET(E130,-1,1)</f>
        <v>1</v>
      </c>
      <c r="G130" s="1184"/>
      <c r="H130" s="1184"/>
      <c r="I130" s="1184"/>
      <c r="J130" s="1184"/>
      <c r="K130" s="77">
        <f>first_year+48</f>
        <v>2072</v>
      </c>
      <c r="L130" s="1184"/>
      <c r="M130" s="1184"/>
      <c r="N130" s="1184"/>
      <c r="O130" s="1184"/>
      <c r="P130" s="1184"/>
      <c r="Q130" s="1184"/>
      <c r="R130" s="1184"/>
      <c r="S130" s="1184"/>
      <c r="T130" s="388" t="b" cm="1">
        <f t="array" ref="T130">T129</f>
        <v>1</v>
      </c>
      <c r="U130" s="1184"/>
      <c r="V130" s="1184"/>
      <c r="W130" s="1184"/>
      <c r="X130" s="2032"/>
      <c r="Y130" s="1184"/>
      <c r="Z130" s="2012"/>
      <c r="AA130" s="1184"/>
      <c r="AB130" s="174" t="str">
        <f t="shared" si="7"/>
        <v>2072 год</v>
      </c>
      <c r="AC130" s="1616"/>
      <c r="AD130" s="1619"/>
      <c r="AE130" s="1620"/>
      <c r="AF130" s="1620"/>
      <c r="AG130" s="1619"/>
      <c r="AH130" s="1619"/>
      <c r="AI130" s="1619"/>
      <c r="AJ130" s="1636"/>
      <c r="AK130" s="1637"/>
      <c r="AL130" s="324"/>
      <c r="AM130" s="1184"/>
      <c r="AN130" s="1184"/>
      <c r="AO130" s="973" cm="1">
        <f t="array" ref="AO130">K130</f>
        <v>2072</v>
      </c>
      <c r="AP130" s="1184"/>
      <c r="AQ130" s="1184"/>
    </row>
    <row r="131" spans="1:43" s="1675" customFormat="1" ht="14.25" hidden="1" customHeight="1" x14ac:dyDescent="0.15">
      <c r="A131" s="1184"/>
      <c r="B131" s="367" t="b">
        <f t="shared" si="6"/>
        <v>0</v>
      </c>
      <c r="C131" s="1184"/>
      <c r="D131" s="1184"/>
      <c r="E131" s="626">
        <v>15</v>
      </c>
      <c r="F131" s="3" t="str" cm="1">
        <f t="array" aca="1" ref="F131" ca="1">OFFSET(E131,-1,1)</f>
        <v>1</v>
      </c>
      <c r="G131" s="1184"/>
      <c r="H131" s="1184"/>
      <c r="I131" s="1184"/>
      <c r="J131" s="1184"/>
      <c r="K131" s="77">
        <f>first_year+49</f>
        <v>2073</v>
      </c>
      <c r="L131" s="1184"/>
      <c r="M131" s="1184"/>
      <c r="N131" s="1184"/>
      <c r="O131" s="1184"/>
      <c r="P131" s="1184"/>
      <c r="Q131" s="1184"/>
      <c r="R131" s="1184"/>
      <c r="S131" s="1184"/>
      <c r="T131" s="388" t="b" cm="1">
        <f t="array" ref="T131">T130</f>
        <v>1</v>
      </c>
      <c r="U131" s="1184"/>
      <c r="V131" s="1184"/>
      <c r="W131" s="1184"/>
      <c r="X131" s="2032"/>
      <c r="Y131" s="1184"/>
      <c r="Z131" s="2012"/>
      <c r="AA131" s="1184"/>
      <c r="AB131" s="174" t="str">
        <f t="shared" si="7"/>
        <v>2073 год</v>
      </c>
      <c r="AC131" s="1616"/>
      <c r="AD131" s="1619"/>
      <c r="AE131" s="1620"/>
      <c r="AF131" s="1620"/>
      <c r="AG131" s="1619"/>
      <c r="AH131" s="1619"/>
      <c r="AI131" s="1619"/>
      <c r="AJ131" s="1636"/>
      <c r="AK131" s="1637"/>
      <c r="AL131" s="324"/>
      <c r="AM131" s="1184"/>
      <c r="AN131" s="1184"/>
      <c r="AO131" s="973" cm="1">
        <f t="array" ref="AO131">K131</f>
        <v>2073</v>
      </c>
      <c r="AP131" s="1184"/>
      <c r="AQ131" s="1184"/>
    </row>
    <row r="132" spans="1:43" s="461" customFormat="1" ht="14.25" customHeight="1" x14ac:dyDescent="0.15">
      <c r="A132" s="1217"/>
      <c r="B132" s="350"/>
      <c r="C132" s="1217"/>
      <c r="D132" s="1217"/>
      <c r="E132" s="542">
        <v>15</v>
      </c>
      <c r="F132" s="17" t="str" cm="1">
        <f t="array" ref="F132">X132</f>
        <v>2</v>
      </c>
      <c r="G132" s="1217"/>
      <c r="H132" s="1217"/>
      <c r="I132" s="1217"/>
      <c r="J132" s="1217"/>
      <c r="K132" s="1217"/>
      <c r="L132" s="1217"/>
      <c r="M132" s="1217"/>
      <c r="N132" s="1217"/>
      <c r="O132" s="1217"/>
      <c r="P132" s="1217"/>
      <c r="Q132" s="1217"/>
      <c r="R132" s="1217"/>
      <c r="S132" s="1217"/>
      <c r="T132" s="388" t="b">
        <f>X132&gt;0</f>
        <v>1</v>
      </c>
      <c r="U132" s="1217"/>
      <c r="V132" s="41" t="str" cm="1">
        <f t="array" ref="V132">'Калькуляция (МИ корр)'!$AB$315</f>
        <v>Тариф 2 (Водоотведение) - тариф на водоотведение</v>
      </c>
      <c r="W132" s="1217"/>
      <c r="X132" s="2032" t="s">
        <v>289</v>
      </c>
      <c r="Y132" s="1217"/>
      <c r="Z132" s="2012"/>
      <c r="AA132" s="1217"/>
      <c r="AB132" s="297" t="str" cm="1">
        <f t="array" ref="AB132">'Калькуляция (МИ корр)'!$AB$315</f>
        <v>Тариф 2 (Водоотведение) - тариф на водоотведение</v>
      </c>
      <c r="AC132" s="751"/>
      <c r="AD132" s="751"/>
      <c r="AE132" s="751"/>
      <c r="AF132" s="751"/>
      <c r="AG132" s="751"/>
      <c r="AH132" s="751"/>
      <c r="AI132" s="751"/>
      <c r="AJ132" s="751"/>
      <c r="AK132" s="751"/>
      <c r="AL132" s="323"/>
      <c r="AM132" s="1217"/>
      <c r="AN132" s="1217"/>
      <c r="AO132" s="906"/>
      <c r="AP132" s="1217"/>
      <c r="AQ132" s="1217"/>
    </row>
    <row r="133" spans="1:43" s="1676" customFormat="1" ht="14.65" customHeight="1" x14ac:dyDescent="0.15">
      <c r="A133" s="1184"/>
      <c r="B133" s="367" t="b">
        <f t="shared" ref="B133:B164" si="8">K133&lt;first_year+PERIOD_LENGTH</f>
        <v>1</v>
      </c>
      <c r="C133" s="1184"/>
      <c r="D133" s="1184"/>
      <c r="E133" s="626">
        <v>15</v>
      </c>
      <c r="F133" s="3" t="str" cm="1">
        <f t="array" aca="1" ref="F133" ca="1">OFFSET(E133,-1,1)</f>
        <v>2</v>
      </c>
      <c r="G133" s="1184"/>
      <c r="H133" s="1184"/>
      <c r="I133" s="1184"/>
      <c r="J133" s="1184"/>
      <c r="K133" s="77" cm="1">
        <f t="array" ref="K133">first_year</f>
        <v>2024</v>
      </c>
      <c r="L133" s="1184"/>
      <c r="M133" s="1184"/>
      <c r="N133" s="1184"/>
      <c r="O133" s="1184"/>
      <c r="P133" s="1184"/>
      <c r="Q133" s="1184"/>
      <c r="R133" s="1184"/>
      <c r="S133" s="1184"/>
      <c r="T133" s="388" t="b" cm="1">
        <f t="array" ref="T133">T132</f>
        <v>1</v>
      </c>
      <c r="U133" s="1184"/>
      <c r="V133" s="1184"/>
      <c r="W133" s="1184"/>
      <c r="X133" s="2032"/>
      <c r="Y133" s="1184"/>
      <c r="Z133" s="2012"/>
      <c r="AA133" s="1184"/>
      <c r="AB133" s="752" t="str">
        <f t="shared" ref="AB133:AB164" si="9">K133&amp;" год"</f>
        <v>2024 год</v>
      </c>
      <c r="AC133" s="833">
        <v>71523.23</v>
      </c>
      <c r="AD133" s="754">
        <f ca="1">IFERROR(SUMIFS(INDEX(Сценарии!$AE$25:$BF$109,,MATCH($K133&amp;"Принято органом регулирования",Сценарии!$AE$8:$BF$8,0)),Сценарии!$F$25:$F$109,$F133,Сценарии!$AC$25:$AC$109,"Индекс эффективности операционных расходов"),0)</f>
        <v>0</v>
      </c>
      <c r="AE133" s="753"/>
      <c r="AF133" s="753"/>
      <c r="AG133" s="1171">
        <v>1.3694824360628799</v>
      </c>
      <c r="AH133" s="1623"/>
      <c r="AI133" s="1623"/>
      <c r="AJ133" s="754">
        <f ca="1">IFERROR(SUMIFS(INDEX(Electricity_LOAD_1,,MATCH($K133&amp;"Принято органом регулирования",ЭЭ!$AE$8:$BB$8,0)),ЭЭ!$F$25:$F$117,$F133,ЭЭ!$AC$25:$AC$117,"Удельный расход электроэнергии"),0)</f>
        <v>1.3694824360628812</v>
      </c>
      <c r="AK133" s="754">
        <f ca="1">IFERROR(SUMIFS(INDEX(Electricity_LOAD_1,,MATCH($K133&amp;"Принято органом регулирования",ЭЭ!$AE$8:$BB$8,0)),ЭЭ!$F$25:$F$117,$F133,ЭЭ!$AC$25:$AC$117,"Удельный расход электроэнергии"),0)</f>
        <v>1.3694824360628812</v>
      </c>
      <c r="AL133" s="324"/>
      <c r="AM133" s="77" t="s">
        <v>2255</v>
      </c>
      <c r="AN133" s="1184"/>
      <c r="AO133" s="973" cm="1">
        <f t="array" ref="AO133">K133</f>
        <v>2024</v>
      </c>
      <c r="AP133" s="1184"/>
      <c r="AQ133" s="1184"/>
    </row>
    <row r="134" spans="1:43" s="1677" customFormat="1" ht="14.65" customHeight="1" x14ac:dyDescent="0.15">
      <c r="A134" s="1184"/>
      <c r="B134" s="367" t="b">
        <f t="shared" si="8"/>
        <v>1</v>
      </c>
      <c r="C134" s="1184"/>
      <c r="D134" s="1184"/>
      <c r="E134" s="626">
        <v>15</v>
      </c>
      <c r="F134" s="3" t="str" cm="1">
        <f t="array" aca="1" ref="F134" ca="1">OFFSET(E134,-1,1)</f>
        <v>2</v>
      </c>
      <c r="G134" s="1184"/>
      <c r="H134" s="1184"/>
      <c r="I134" s="1184"/>
      <c r="J134" s="1184"/>
      <c r="K134" s="77">
        <f>first_year+1</f>
        <v>2025</v>
      </c>
      <c r="L134" s="1184"/>
      <c r="M134" s="1184"/>
      <c r="N134" s="1184"/>
      <c r="O134" s="1184"/>
      <c r="P134" s="1184"/>
      <c r="Q134" s="1184"/>
      <c r="R134" s="1184"/>
      <c r="S134" s="1184"/>
      <c r="T134" s="388" t="b" cm="1">
        <f t="array" ref="T134">T133</f>
        <v>1</v>
      </c>
      <c r="U134" s="1184"/>
      <c r="V134" s="1184"/>
      <c r="W134" s="1184"/>
      <c r="X134" s="2032"/>
      <c r="Y134" s="1184"/>
      <c r="Z134" s="2012"/>
      <c r="AA134" s="1184"/>
      <c r="AB134" s="752" t="str">
        <f t="shared" si="9"/>
        <v>2025 год</v>
      </c>
      <c r="AC134" s="753"/>
      <c r="AD134" s="754">
        <v>1</v>
      </c>
      <c r="AE134" s="753"/>
      <c r="AF134" s="753"/>
      <c r="AG134" s="1171">
        <v>1.3694824360628799</v>
      </c>
      <c r="AH134" s="1623"/>
      <c r="AI134" s="1623"/>
      <c r="AJ134" s="754">
        <f ca="1">IFERROR(SUMIFS(INDEX(Electricity_LOAD_1,,MATCH($K134&amp;"Принято органом регулирования",ЭЭ!$AE$8:$BB$8,0)),ЭЭ!$F$25:$F$117,$F134,ЭЭ!$AC$25:$AC$117,"Удельный расход электроэнергии"),0)</f>
        <v>1.3694824360628812</v>
      </c>
      <c r="AK134" s="754">
        <f ca="1">IFERROR(SUMIFS(INDEX(Electricity_LOAD_1,,MATCH($K134&amp;"Принято органом регулирования",ЭЭ!$AE$8:$BB$8,0)),ЭЭ!$F$25:$F$117,$F134,ЭЭ!$AC$25:$AC$117,"Удельный расход электроэнергии"),0)</f>
        <v>1.3694824360628812</v>
      </c>
      <c r="AL134" s="324"/>
      <c r="AM134" s="1184" t="s">
        <v>2255</v>
      </c>
      <c r="AN134" s="1184"/>
      <c r="AO134" s="973" cm="1">
        <f t="array" ref="AO134">K134</f>
        <v>2025</v>
      </c>
      <c r="AP134" s="1184"/>
      <c r="AQ134" s="1184"/>
    </row>
    <row r="135" spans="1:43" s="1678" customFormat="1" ht="14.65" customHeight="1" x14ac:dyDescent="0.15">
      <c r="A135" s="1184"/>
      <c r="B135" s="367" t="b">
        <f t="shared" si="8"/>
        <v>1</v>
      </c>
      <c r="C135" s="1184"/>
      <c r="D135" s="1184"/>
      <c r="E135" s="626">
        <v>15</v>
      </c>
      <c r="F135" s="3" t="str" cm="1">
        <f t="array" aca="1" ref="F135" ca="1">OFFSET(E135,-1,1)</f>
        <v>2</v>
      </c>
      <c r="G135" s="1184"/>
      <c r="H135" s="1184"/>
      <c r="I135" s="1184"/>
      <c r="J135" s="1184"/>
      <c r="K135" s="77">
        <f>first_year+2</f>
        <v>2026</v>
      </c>
      <c r="L135" s="1184"/>
      <c r="M135" s="1184"/>
      <c r="N135" s="1184"/>
      <c r="O135" s="1184"/>
      <c r="P135" s="1184"/>
      <c r="Q135" s="1184"/>
      <c r="R135" s="1184"/>
      <c r="S135" s="1184"/>
      <c r="T135" s="388" t="b" cm="1">
        <f t="array" ref="T135">T134</f>
        <v>1</v>
      </c>
      <c r="U135" s="1184"/>
      <c r="V135" s="1184"/>
      <c r="W135" s="1184"/>
      <c r="X135" s="2032"/>
      <c r="Y135" s="1184"/>
      <c r="Z135" s="2012"/>
      <c r="AA135" s="1184"/>
      <c r="AB135" s="752" t="str">
        <f t="shared" si="9"/>
        <v>2026 год</v>
      </c>
      <c r="AC135" s="753"/>
      <c r="AD135" s="754">
        <v>1</v>
      </c>
      <c r="AE135" s="753"/>
      <c r="AF135" s="753"/>
      <c r="AG135" s="1171">
        <v>1.3694824360628799</v>
      </c>
      <c r="AH135" s="1623"/>
      <c r="AI135" s="1623"/>
      <c r="AJ135" s="754">
        <f ca="1">IFERROR(SUMIFS(INDEX(Electricity_LOAD_1,,MATCH($K135&amp;"Принято органом регулирования",ЭЭ!$AE$8:$BB$8,0)),ЭЭ!$F$25:$F$117,$F135,ЭЭ!$AC$25:$AC$117,"Удельный расход электроэнергии"),0)</f>
        <v>1.3694824360628814</v>
      </c>
      <c r="AK135" s="754">
        <f ca="1">IFERROR(SUMIFS(INDEX(Electricity_LOAD_1,,MATCH($K135&amp;"Принято органом регулирования",ЭЭ!$AE$8:$BB$8,0)),ЭЭ!$F$25:$F$117,$F135,ЭЭ!$AC$25:$AC$117,"Удельный расход электроэнергии"),0)</f>
        <v>1.3694824360628814</v>
      </c>
      <c r="AL135" s="324"/>
      <c r="AM135" s="1184" t="s">
        <v>2255</v>
      </c>
      <c r="AN135" s="1184"/>
      <c r="AO135" s="973" cm="1">
        <f t="array" ref="AO135">K135</f>
        <v>2026</v>
      </c>
      <c r="AP135" s="1184"/>
      <c r="AQ135" s="1184"/>
    </row>
    <row r="136" spans="1:43" s="1679" customFormat="1" ht="14.65" customHeight="1" x14ac:dyDescent="0.15">
      <c r="A136" s="1184"/>
      <c r="B136" s="367" t="b">
        <f t="shared" si="8"/>
        <v>1</v>
      </c>
      <c r="C136" s="1184"/>
      <c r="D136" s="1184"/>
      <c r="E136" s="626">
        <v>15</v>
      </c>
      <c r="F136" s="3" t="str" cm="1">
        <f t="array" aca="1" ref="F136" ca="1">OFFSET(E136,-1,1)</f>
        <v>2</v>
      </c>
      <c r="G136" s="1184"/>
      <c r="H136" s="1184"/>
      <c r="I136" s="1184"/>
      <c r="J136" s="1184"/>
      <c r="K136" s="77">
        <f>first_year+3</f>
        <v>2027</v>
      </c>
      <c r="L136" s="1184"/>
      <c r="M136" s="1184"/>
      <c r="N136" s="1184"/>
      <c r="O136" s="1184"/>
      <c r="P136" s="1184"/>
      <c r="Q136" s="1184"/>
      <c r="R136" s="1184"/>
      <c r="S136" s="1184"/>
      <c r="T136" s="388" t="b" cm="1">
        <f t="array" ref="T136">T135</f>
        <v>1</v>
      </c>
      <c r="U136" s="1184"/>
      <c r="V136" s="1184"/>
      <c r="W136" s="1184"/>
      <c r="X136" s="2032"/>
      <c r="Y136" s="1184"/>
      <c r="Z136" s="2012"/>
      <c r="AA136" s="1184"/>
      <c r="AB136" s="752" t="str">
        <f t="shared" si="9"/>
        <v>2027 год</v>
      </c>
      <c r="AC136" s="753"/>
      <c r="AD136" s="754">
        <v>1</v>
      </c>
      <c r="AE136" s="753"/>
      <c r="AF136" s="753"/>
      <c r="AG136" s="1171">
        <v>1.3694824360628799</v>
      </c>
      <c r="AH136" s="1623"/>
      <c r="AI136" s="1623"/>
      <c r="AJ136" s="754">
        <f ca="1">IFERROR(SUMIFS(INDEX(Electricity_LOAD_1,,MATCH($K136&amp;"Принято органом регулирования",ЭЭ!$AE$8:$BB$8,0)),ЭЭ!$F$25:$F$117,$F136,ЭЭ!$AC$25:$AC$117,"Удельный расход электроэнергии"),0)</f>
        <v>1.36948250535796</v>
      </c>
      <c r="AK136" s="754">
        <f ca="1">IFERROR(SUMIFS(INDEX(Electricity_LOAD_1,,MATCH($K136&amp;"Принято органом регулирования",ЭЭ!$AE$8:$BB$8,0)),ЭЭ!$F$25:$F$117,$F136,ЭЭ!$AC$25:$AC$117,"Удельный расход электроэнергии"),0)</f>
        <v>1.36948250535796</v>
      </c>
      <c r="AL136" s="324"/>
      <c r="AM136" s="1184" t="s">
        <v>2255</v>
      </c>
      <c r="AN136" s="1184"/>
      <c r="AO136" s="973" cm="1">
        <f t="array" ref="AO136">K136</f>
        <v>2027</v>
      </c>
      <c r="AP136" s="1184"/>
      <c r="AQ136" s="1184"/>
    </row>
    <row r="137" spans="1:43" s="1680" customFormat="1" ht="14.65" customHeight="1" x14ac:dyDescent="0.15">
      <c r="A137" s="1184"/>
      <c r="B137" s="367" t="b">
        <f t="shared" si="8"/>
        <v>1</v>
      </c>
      <c r="C137" s="1184"/>
      <c r="D137" s="1184"/>
      <c r="E137" s="626">
        <v>15</v>
      </c>
      <c r="F137" s="3" t="str" cm="1">
        <f t="array" aca="1" ref="F137" ca="1">OFFSET(E137,-1,1)</f>
        <v>2</v>
      </c>
      <c r="G137" s="1184"/>
      <c r="H137" s="1184"/>
      <c r="I137" s="1184"/>
      <c r="J137" s="1184"/>
      <c r="K137" s="77">
        <f>first_year+4</f>
        <v>2028</v>
      </c>
      <c r="L137" s="1184"/>
      <c r="M137" s="1184"/>
      <c r="N137" s="1184"/>
      <c r="O137" s="1184"/>
      <c r="P137" s="1184"/>
      <c r="Q137" s="1184"/>
      <c r="R137" s="1184"/>
      <c r="S137" s="1184"/>
      <c r="T137" s="388" t="b" cm="1">
        <f t="array" ref="T137">T136</f>
        <v>1</v>
      </c>
      <c r="U137" s="1184"/>
      <c r="V137" s="1184"/>
      <c r="W137" s="1184"/>
      <c r="X137" s="2032"/>
      <c r="Y137" s="1184"/>
      <c r="Z137" s="2012"/>
      <c r="AA137" s="1184"/>
      <c r="AB137" s="752" t="str">
        <f t="shared" si="9"/>
        <v>2028 год</v>
      </c>
      <c r="AC137" s="753"/>
      <c r="AD137" s="754">
        <v>1</v>
      </c>
      <c r="AE137" s="753"/>
      <c r="AF137" s="753"/>
      <c r="AG137" s="1171">
        <v>1.3694824360628799</v>
      </c>
      <c r="AH137" s="1623"/>
      <c r="AI137" s="1623"/>
      <c r="AJ137" s="754">
        <f ca="1">IFERROR(SUMIFS(INDEX(Electricity_LOAD_1,,MATCH($K137&amp;"Принято органом регулирования",ЭЭ!$AE$8:$BB$8,0)),ЭЭ!$F$25:$F$117,$F137,ЭЭ!$AC$25:$AC$117,"Удельный расход электроэнергии"),0)</f>
        <v>1.36948250535796</v>
      </c>
      <c r="AK137" s="754">
        <f ca="1">IFERROR(SUMIFS(INDEX(Electricity_LOAD_1,,MATCH($K137&amp;"Принято органом регулирования",ЭЭ!$AE$8:$BB$8,0)),ЭЭ!$F$25:$F$117,$F137,ЭЭ!$AC$25:$AC$117,"Удельный расход электроэнергии"),0)</f>
        <v>1.36948250535796</v>
      </c>
      <c r="AL137" s="324"/>
      <c r="AM137" s="1184" t="s">
        <v>2255</v>
      </c>
      <c r="AN137" s="1184"/>
      <c r="AO137" s="973" cm="1">
        <f t="array" ref="AO137">K137</f>
        <v>2028</v>
      </c>
      <c r="AP137" s="1184"/>
      <c r="AQ137" s="1184"/>
    </row>
    <row r="138" spans="1:43" s="1681" customFormat="1" ht="14.65" customHeight="1" x14ac:dyDescent="0.15">
      <c r="A138" s="1184"/>
      <c r="B138" s="367" t="b">
        <f t="shared" si="8"/>
        <v>1</v>
      </c>
      <c r="C138" s="1184"/>
      <c r="D138" s="1184"/>
      <c r="E138" s="626">
        <v>15</v>
      </c>
      <c r="F138" s="3" t="str" cm="1">
        <f t="array" aca="1" ref="F138" ca="1">OFFSET(E138,-1,1)</f>
        <v>2</v>
      </c>
      <c r="G138" s="1184"/>
      <c r="H138" s="1184"/>
      <c r="I138" s="1184"/>
      <c r="J138" s="1184"/>
      <c r="K138" s="77">
        <f>first_year+5</f>
        <v>2029</v>
      </c>
      <c r="L138" s="1184"/>
      <c r="M138" s="1184"/>
      <c r="N138" s="1184"/>
      <c r="O138" s="1184"/>
      <c r="P138" s="1184"/>
      <c r="Q138" s="1184"/>
      <c r="R138" s="1184"/>
      <c r="S138" s="1184"/>
      <c r="T138" s="388" t="b" cm="1">
        <f t="array" ref="T138">T137</f>
        <v>1</v>
      </c>
      <c r="U138" s="1184"/>
      <c r="V138" s="1184"/>
      <c r="W138" s="1184"/>
      <c r="X138" s="2032"/>
      <c r="Y138" s="1184"/>
      <c r="Z138" s="2012"/>
      <c r="AA138" s="1184"/>
      <c r="AB138" s="752" t="str">
        <f t="shared" si="9"/>
        <v>2029 год</v>
      </c>
      <c r="AC138" s="753"/>
      <c r="AD138" s="754">
        <v>1</v>
      </c>
      <c r="AE138" s="753"/>
      <c r="AF138" s="753"/>
      <c r="AG138" s="1171">
        <v>1.3694824360628799</v>
      </c>
      <c r="AH138" s="1623"/>
      <c r="AI138" s="1623"/>
      <c r="AJ138" s="754">
        <f ca="1">IFERROR(SUMIFS(INDEX(Electricity_LOAD_1,,MATCH($K138&amp;"Принято органом регулирования",ЭЭ!$AE$8:$BB$8,0)),ЭЭ!$F$25:$F$117,$F138,ЭЭ!$AC$25:$AC$117,"Удельный расход электроэнергии"),0)</f>
        <v>1.36948250535796</v>
      </c>
      <c r="AK138" s="754">
        <f ca="1">IFERROR(SUMIFS(INDEX(Electricity_LOAD_1,,MATCH($K138&amp;"Принято органом регулирования",ЭЭ!$AE$8:$BB$8,0)),ЭЭ!$F$25:$F$117,$F138,ЭЭ!$AC$25:$AC$117,"Удельный расход электроэнергии"),0)</f>
        <v>1.36948250535796</v>
      </c>
      <c r="AL138" s="324"/>
      <c r="AM138" s="1184" t="s">
        <v>2255</v>
      </c>
      <c r="AN138" s="1184"/>
      <c r="AO138" s="973" cm="1">
        <f t="array" ref="AO138">K138</f>
        <v>2029</v>
      </c>
      <c r="AP138" s="1184"/>
      <c r="AQ138" s="1184"/>
    </row>
    <row r="139" spans="1:43" s="1682" customFormat="1" ht="14.65" customHeight="1" x14ac:dyDescent="0.15">
      <c r="A139" s="1184"/>
      <c r="B139" s="367" t="b">
        <f t="shared" si="8"/>
        <v>1</v>
      </c>
      <c r="C139" s="1184"/>
      <c r="D139" s="1184"/>
      <c r="E139" s="626">
        <v>15</v>
      </c>
      <c r="F139" s="3" t="str" cm="1">
        <f t="array" aca="1" ref="F139" ca="1">OFFSET(E139,-1,1)</f>
        <v>2</v>
      </c>
      <c r="G139" s="1184"/>
      <c r="H139" s="1184"/>
      <c r="I139" s="1184"/>
      <c r="J139" s="1184"/>
      <c r="K139" s="77">
        <f>first_year+6</f>
        <v>2030</v>
      </c>
      <c r="L139" s="1184"/>
      <c r="M139" s="1184"/>
      <c r="N139" s="1184"/>
      <c r="O139" s="1184"/>
      <c r="P139" s="1184"/>
      <c r="Q139" s="1184"/>
      <c r="R139" s="1184"/>
      <c r="S139" s="1184"/>
      <c r="T139" s="388" t="b" cm="1">
        <f t="array" ref="T139">T138</f>
        <v>1</v>
      </c>
      <c r="U139" s="1184"/>
      <c r="V139" s="1184"/>
      <c r="W139" s="1184"/>
      <c r="X139" s="2032"/>
      <c r="Y139" s="1184"/>
      <c r="Z139" s="2012"/>
      <c r="AA139" s="1184"/>
      <c r="AB139" s="752" t="str">
        <f t="shared" si="9"/>
        <v>2030 год</v>
      </c>
      <c r="AC139" s="753"/>
      <c r="AD139" s="754">
        <v>1</v>
      </c>
      <c r="AE139" s="753"/>
      <c r="AF139" s="753"/>
      <c r="AG139" s="1171">
        <v>1.3694824360628799</v>
      </c>
      <c r="AH139" s="1623"/>
      <c r="AI139" s="1623"/>
      <c r="AJ139" s="754">
        <f ca="1">IFERROR(SUMIFS(INDEX(Electricity_LOAD_1,,MATCH($K139&amp;"Принято органом регулирования",ЭЭ!$AE$8:$BB$8,0)),ЭЭ!$F$25:$F$117,$F139,ЭЭ!$AC$25:$AC$117,"Удельный расход электроэнергии"),0)</f>
        <v>1.36948250535796</v>
      </c>
      <c r="AK139" s="754">
        <f ca="1">IFERROR(SUMIFS(INDEX(Electricity_LOAD_1,,MATCH($K139&amp;"Принято органом регулирования",ЭЭ!$AE$8:$BB$8,0)),ЭЭ!$F$25:$F$117,$F139,ЭЭ!$AC$25:$AC$117,"Удельный расход электроэнергии"),0)</f>
        <v>1.36948250535796</v>
      </c>
      <c r="AL139" s="324"/>
      <c r="AM139" s="1184" t="s">
        <v>2255</v>
      </c>
      <c r="AN139" s="1184"/>
      <c r="AO139" s="973" cm="1">
        <f t="array" ref="AO139">K139</f>
        <v>2030</v>
      </c>
      <c r="AP139" s="1184"/>
      <c r="AQ139" s="1184"/>
    </row>
    <row r="140" spans="1:43" s="1683" customFormat="1" ht="14.65" customHeight="1" x14ac:dyDescent="0.15">
      <c r="A140" s="1184"/>
      <c r="B140" s="367" t="b">
        <f t="shared" si="8"/>
        <v>1</v>
      </c>
      <c r="C140" s="1184"/>
      <c r="D140" s="1184"/>
      <c r="E140" s="626">
        <v>15</v>
      </c>
      <c r="F140" s="3" t="str" cm="1">
        <f t="array" aca="1" ref="F140" ca="1">OFFSET(E140,-1,1)</f>
        <v>2</v>
      </c>
      <c r="G140" s="1184"/>
      <c r="H140" s="1184"/>
      <c r="I140" s="1184"/>
      <c r="J140" s="1184"/>
      <c r="K140" s="77">
        <f>first_year+7</f>
        <v>2031</v>
      </c>
      <c r="L140" s="1184"/>
      <c r="M140" s="1184"/>
      <c r="N140" s="1184"/>
      <c r="O140" s="1184"/>
      <c r="P140" s="1184"/>
      <c r="Q140" s="1184"/>
      <c r="R140" s="1184"/>
      <c r="S140" s="1184"/>
      <c r="T140" s="388" t="b" cm="1">
        <f t="array" ref="T140">T139</f>
        <v>1</v>
      </c>
      <c r="U140" s="1184"/>
      <c r="V140" s="1184"/>
      <c r="W140" s="1184"/>
      <c r="X140" s="2032"/>
      <c r="Y140" s="1184"/>
      <c r="Z140" s="2012"/>
      <c r="AA140" s="1184"/>
      <c r="AB140" s="752" t="str">
        <f t="shared" si="9"/>
        <v>2031 год</v>
      </c>
      <c r="AC140" s="753"/>
      <c r="AD140" s="754">
        <v>1</v>
      </c>
      <c r="AE140" s="753"/>
      <c r="AF140" s="753"/>
      <c r="AG140" s="1171">
        <v>1.3694824360628799</v>
      </c>
      <c r="AH140" s="1623"/>
      <c r="AI140" s="1623"/>
      <c r="AJ140" s="754">
        <f ca="1">IFERROR(SUMIFS(INDEX(Electricity_LOAD_1,,MATCH($K140&amp;"Принято органом регулирования",ЭЭ!$AE$8:$BB$8,0)),ЭЭ!$F$25:$F$117,$F140,ЭЭ!$AC$25:$AC$117,"Удельный расход электроэнергии"),0)</f>
        <v>1.36948250535796</v>
      </c>
      <c r="AK140" s="754">
        <f ca="1">IFERROR(SUMIFS(INDEX(Electricity_LOAD_1,,MATCH($K140&amp;"Принято органом регулирования",ЭЭ!$AE$8:$BB$8,0)),ЭЭ!$F$25:$F$117,$F140,ЭЭ!$AC$25:$AC$117,"Удельный расход электроэнергии"),0)</f>
        <v>1.36948250535796</v>
      </c>
      <c r="AL140" s="324"/>
      <c r="AM140" s="1184" t="s">
        <v>2255</v>
      </c>
      <c r="AN140" s="1184"/>
      <c r="AO140" s="973" cm="1">
        <f t="array" ref="AO140">K140</f>
        <v>2031</v>
      </c>
      <c r="AP140" s="1184"/>
      <c r="AQ140" s="1184"/>
    </row>
    <row r="141" spans="1:43" s="1684" customFormat="1" ht="14.65" customHeight="1" x14ac:dyDescent="0.15">
      <c r="A141" s="1184"/>
      <c r="B141" s="367" t="b">
        <f t="shared" si="8"/>
        <v>1</v>
      </c>
      <c r="C141" s="1184"/>
      <c r="D141" s="1184"/>
      <c r="E141" s="626">
        <v>15</v>
      </c>
      <c r="F141" s="3" t="str" cm="1">
        <f t="array" aca="1" ref="F141" ca="1">OFFSET(E141,-1,1)</f>
        <v>2</v>
      </c>
      <c r="G141" s="1184"/>
      <c r="H141" s="1184"/>
      <c r="I141" s="1184"/>
      <c r="J141" s="1184"/>
      <c r="K141" s="77">
        <f>first_year+8</f>
        <v>2032</v>
      </c>
      <c r="L141" s="1184"/>
      <c r="M141" s="1184"/>
      <c r="N141" s="1184"/>
      <c r="O141" s="1184"/>
      <c r="P141" s="1184"/>
      <c r="Q141" s="1184"/>
      <c r="R141" s="1184"/>
      <c r="S141" s="1184"/>
      <c r="T141" s="388" t="b" cm="1">
        <f t="array" ref="T141">T140</f>
        <v>1</v>
      </c>
      <c r="U141" s="1184"/>
      <c r="V141" s="1184"/>
      <c r="W141" s="1184"/>
      <c r="X141" s="2032"/>
      <c r="Y141" s="1184"/>
      <c r="Z141" s="2012"/>
      <c r="AA141" s="1184"/>
      <c r="AB141" s="752" t="str">
        <f t="shared" si="9"/>
        <v>2032 год</v>
      </c>
      <c r="AC141" s="753"/>
      <c r="AD141" s="754">
        <v>1</v>
      </c>
      <c r="AE141" s="753"/>
      <c r="AF141" s="753"/>
      <c r="AG141" s="1171">
        <v>1.3694824360628799</v>
      </c>
      <c r="AH141" s="1623"/>
      <c r="AI141" s="1623"/>
      <c r="AJ141" s="754">
        <f ca="1">IFERROR(SUMIFS(INDEX(Electricity_LOAD_1,,MATCH($K141&amp;"Принято органом регулирования",ЭЭ!$AE$8:$BB$8,0)),ЭЭ!$F$25:$F$117,$F141,ЭЭ!$AC$25:$AC$117,"Удельный расход электроэнергии"),0)</f>
        <v>1.36948250535796</v>
      </c>
      <c r="AK141" s="754">
        <f ca="1">IFERROR(SUMIFS(INDEX(Electricity_LOAD_1,,MATCH($K141&amp;"Принято органом регулирования",ЭЭ!$AE$8:$BB$8,0)),ЭЭ!$F$25:$F$117,$F141,ЭЭ!$AC$25:$AC$117,"Удельный расход электроэнергии"),0)</f>
        <v>1.36948250535796</v>
      </c>
      <c r="AL141" s="324"/>
      <c r="AM141" s="1184" t="s">
        <v>2255</v>
      </c>
      <c r="AN141" s="1184"/>
      <c r="AO141" s="973" cm="1">
        <f t="array" ref="AO141">K141</f>
        <v>2032</v>
      </c>
      <c r="AP141" s="1184"/>
      <c r="AQ141" s="1184"/>
    </row>
    <row r="142" spans="1:43" s="1685" customFormat="1" ht="14.25" hidden="1" customHeight="1" x14ac:dyDescent="0.15">
      <c r="A142" s="1184"/>
      <c r="B142" s="367" t="b">
        <f t="shared" si="8"/>
        <v>0</v>
      </c>
      <c r="C142" s="1184"/>
      <c r="D142" s="1184"/>
      <c r="E142" s="626">
        <v>15</v>
      </c>
      <c r="F142" s="3" t="str" cm="1">
        <f t="array" aca="1" ref="F142" ca="1">OFFSET(E142,-1,1)</f>
        <v>2</v>
      </c>
      <c r="G142" s="1184"/>
      <c r="H142" s="1184"/>
      <c r="I142" s="1184"/>
      <c r="J142" s="1184"/>
      <c r="K142" s="77">
        <f>first_year+9</f>
        <v>2033</v>
      </c>
      <c r="L142" s="1184"/>
      <c r="M142" s="1184"/>
      <c r="N142" s="1184"/>
      <c r="O142" s="1184"/>
      <c r="P142" s="1184"/>
      <c r="Q142" s="1184"/>
      <c r="R142" s="1184"/>
      <c r="S142" s="1184"/>
      <c r="T142" s="388" t="b" cm="1">
        <f t="array" ref="T142">T141</f>
        <v>1</v>
      </c>
      <c r="U142" s="1184"/>
      <c r="V142" s="1184"/>
      <c r="W142" s="1184"/>
      <c r="X142" s="2032"/>
      <c r="Y142" s="1184"/>
      <c r="Z142" s="2012"/>
      <c r="AA142" s="1184"/>
      <c r="AB142" s="752" t="str">
        <f t="shared" si="9"/>
        <v>2033 год</v>
      </c>
      <c r="AC142" s="1616"/>
      <c r="AD142" s="1615">
        <f ca="1">IFERROR(SUMIFS(INDEX(Сценарии!$AE$25:$BF$109,,MATCH($K142&amp;"Принято органом регулирования",Сценарии!$AE$8:$BF$8,0)),Сценарии!$F$25:$F$109,$F142,Сценарии!$AC$25:$AC$109,"Индекс эффективности операционных расходов"),0)</f>
        <v>0</v>
      </c>
      <c r="AE142" s="1616"/>
      <c r="AF142" s="1616">
        <f ca="1">IFERROR(SUMIFS(INDEX(Баланс!$AE$25:$BB$300,,MATCH($K142&amp;"Принято органом регулирования",Баланс!$AE$8:$BB$8,0)),Баланс!$F$25:$F$300,$F142,Баланс!$AC$24:$AC$300,"Уровень потерь воды"),0)</f>
        <v>0</v>
      </c>
      <c r="AG142" s="1617">
        <f ca="1">IFERROR(SUMIFS(INDEX(Electricity_LOAD_1,,MATCH($K142&amp;"Принято органом регулирования",ЭЭ!$AE$8:$BB$8,0)),ЭЭ!$F$25:$F$117,$F142,ЭЭ!$AC$25:$AC$117,"Удельный расход электроэнергии"),0)</f>
        <v>0</v>
      </c>
      <c r="AH142" s="1623"/>
      <c r="AI142" s="1623"/>
      <c r="AJ142" s="1615">
        <f ca="1">IFERROR(SUMIFS(INDEX(Electricity_LOAD_1,,MATCH($K142&amp;"Принято органом регулирования",ЭЭ!$AE$8:$BB$8,0)),ЭЭ!$F$25:$F$117,$F142,ЭЭ!$AC$25:$AC$117,"Удельный расход электроэнергии"),0)</f>
        <v>0</v>
      </c>
      <c r="AK142" s="1615">
        <f ca="1">IFERROR(SUMIFS(INDEX(Electricity_LOAD_1,,MATCH($K142&amp;"Принято органом регулирования",ЭЭ!$AE$8:$BB$8,0)),ЭЭ!$F$25:$F$117,$F142,ЭЭ!$AC$25:$AC$117,"Удельный расход электроэнергии"),0)</f>
        <v>0</v>
      </c>
      <c r="AL142" s="324"/>
      <c r="AM142" s="1184" t="s">
        <v>2255</v>
      </c>
      <c r="AN142" s="1184"/>
      <c r="AO142" s="973" cm="1">
        <f t="array" ref="AO142">K142</f>
        <v>2033</v>
      </c>
      <c r="AP142" s="1184"/>
      <c r="AQ142" s="1184"/>
    </row>
    <row r="143" spans="1:43" s="1686" customFormat="1" ht="14.25" hidden="1" customHeight="1" x14ac:dyDescent="0.15">
      <c r="A143" s="1184"/>
      <c r="B143" s="367" t="b">
        <f t="shared" si="8"/>
        <v>0</v>
      </c>
      <c r="C143" s="1184"/>
      <c r="D143" s="1184"/>
      <c r="E143" s="626">
        <v>15</v>
      </c>
      <c r="F143" s="3" t="str" cm="1">
        <f t="array" aca="1" ref="F143" ca="1">OFFSET(E143,-1,1)</f>
        <v>2</v>
      </c>
      <c r="G143" s="1184"/>
      <c r="H143" s="1184"/>
      <c r="I143" s="1184"/>
      <c r="J143" s="1184"/>
      <c r="K143" s="77">
        <f>first_year+10</f>
        <v>2034</v>
      </c>
      <c r="L143" s="1184"/>
      <c r="M143" s="1184"/>
      <c r="N143" s="1184"/>
      <c r="O143" s="1184"/>
      <c r="P143" s="1184"/>
      <c r="Q143" s="1184"/>
      <c r="R143" s="1184"/>
      <c r="S143" s="1184"/>
      <c r="T143" s="388" t="b" cm="1">
        <f t="array" ref="T143">T142</f>
        <v>1</v>
      </c>
      <c r="U143" s="1184"/>
      <c r="V143" s="1184"/>
      <c r="W143" s="1184"/>
      <c r="X143" s="2032"/>
      <c r="Y143" s="1184"/>
      <c r="Z143" s="2012"/>
      <c r="AA143" s="1184"/>
      <c r="AB143" s="752" t="str">
        <f t="shared" si="9"/>
        <v>2034 год</v>
      </c>
      <c r="AC143" s="1616"/>
      <c r="AD143" s="1615"/>
      <c r="AE143" s="1616"/>
      <c r="AF143" s="1616"/>
      <c r="AG143" s="1615"/>
      <c r="AH143" s="1623"/>
      <c r="AI143" s="1623"/>
      <c r="AJ143" s="1615"/>
      <c r="AK143" s="1618"/>
      <c r="AL143" s="324"/>
      <c r="AM143" s="1184"/>
      <c r="AN143" s="1184"/>
      <c r="AO143" s="973" cm="1">
        <f t="array" ref="AO143">K143</f>
        <v>2034</v>
      </c>
      <c r="AP143" s="1184"/>
      <c r="AQ143" s="1184"/>
    </row>
    <row r="144" spans="1:43" s="1687" customFormat="1" ht="14.25" hidden="1" customHeight="1" x14ac:dyDescent="0.15">
      <c r="A144" s="1184"/>
      <c r="B144" s="367" t="b">
        <f t="shared" si="8"/>
        <v>0</v>
      </c>
      <c r="C144" s="1184"/>
      <c r="D144" s="1184"/>
      <c r="E144" s="626">
        <v>15</v>
      </c>
      <c r="F144" s="3" t="str" cm="1">
        <f t="array" aca="1" ref="F144" ca="1">OFFSET(E144,-1,1)</f>
        <v>2</v>
      </c>
      <c r="G144" s="1184"/>
      <c r="H144" s="1184"/>
      <c r="I144" s="1184"/>
      <c r="J144" s="1184"/>
      <c r="K144" s="77">
        <f>first_year+11</f>
        <v>2035</v>
      </c>
      <c r="L144" s="1184"/>
      <c r="M144" s="1184"/>
      <c r="N144" s="1184"/>
      <c r="O144" s="1184"/>
      <c r="P144" s="1184"/>
      <c r="Q144" s="1184"/>
      <c r="R144" s="1184"/>
      <c r="S144" s="1184"/>
      <c r="T144" s="388" t="b" cm="1">
        <f t="array" ref="T144">T143</f>
        <v>1</v>
      </c>
      <c r="U144" s="1184"/>
      <c r="V144" s="1184"/>
      <c r="W144" s="1184"/>
      <c r="X144" s="2032"/>
      <c r="Y144" s="1184"/>
      <c r="Z144" s="2012"/>
      <c r="AA144" s="1184"/>
      <c r="AB144" s="174" t="str">
        <f t="shared" si="9"/>
        <v>2035 год</v>
      </c>
      <c r="AC144" s="1616"/>
      <c r="AD144" s="1619"/>
      <c r="AE144" s="1620"/>
      <c r="AF144" s="1620"/>
      <c r="AG144" s="1619"/>
      <c r="AH144" s="1636"/>
      <c r="AI144" s="1636"/>
      <c r="AJ144" s="1619"/>
      <c r="AK144" s="1621"/>
      <c r="AL144" s="324"/>
      <c r="AM144" s="1184"/>
      <c r="AN144" s="1184"/>
      <c r="AO144" s="973" cm="1">
        <f t="array" ref="AO144">K144</f>
        <v>2035</v>
      </c>
      <c r="AP144" s="1184"/>
      <c r="AQ144" s="1184"/>
    </row>
    <row r="145" spans="1:43" s="1688" customFormat="1" ht="14.25" hidden="1" customHeight="1" x14ac:dyDescent="0.15">
      <c r="A145" s="1184"/>
      <c r="B145" s="367" t="b">
        <f t="shared" si="8"/>
        <v>0</v>
      </c>
      <c r="C145" s="1184"/>
      <c r="D145" s="1184"/>
      <c r="E145" s="626">
        <v>15</v>
      </c>
      <c r="F145" s="3" t="str" cm="1">
        <f t="array" aca="1" ref="F145" ca="1">OFFSET(E145,-1,1)</f>
        <v>2</v>
      </c>
      <c r="G145" s="1184"/>
      <c r="H145" s="1184"/>
      <c r="I145" s="1184"/>
      <c r="J145" s="1184"/>
      <c r="K145" s="77">
        <f>first_year+12</f>
        <v>2036</v>
      </c>
      <c r="L145" s="1184"/>
      <c r="M145" s="1184"/>
      <c r="N145" s="1184"/>
      <c r="O145" s="1184"/>
      <c r="P145" s="1184"/>
      <c r="Q145" s="1184"/>
      <c r="R145" s="1184"/>
      <c r="S145" s="1184"/>
      <c r="T145" s="388" t="b" cm="1">
        <f t="array" ref="T145">T144</f>
        <v>1</v>
      </c>
      <c r="U145" s="1184"/>
      <c r="V145" s="1184"/>
      <c r="W145" s="1184"/>
      <c r="X145" s="2032"/>
      <c r="Y145" s="1184"/>
      <c r="Z145" s="2012"/>
      <c r="AA145" s="1184"/>
      <c r="AB145" s="174" t="str">
        <f t="shared" si="9"/>
        <v>2036 год</v>
      </c>
      <c r="AC145" s="1616"/>
      <c r="AD145" s="1619"/>
      <c r="AE145" s="1620"/>
      <c r="AF145" s="1620"/>
      <c r="AG145" s="1619"/>
      <c r="AH145" s="1636"/>
      <c r="AI145" s="1636"/>
      <c r="AJ145" s="1619"/>
      <c r="AK145" s="1621"/>
      <c r="AL145" s="324"/>
      <c r="AM145" s="1184"/>
      <c r="AN145" s="1184"/>
      <c r="AO145" s="973" cm="1">
        <f t="array" ref="AO145">K145</f>
        <v>2036</v>
      </c>
      <c r="AP145" s="1184"/>
      <c r="AQ145" s="1184"/>
    </row>
    <row r="146" spans="1:43" s="1689" customFormat="1" ht="14.25" hidden="1" customHeight="1" x14ac:dyDescent="0.15">
      <c r="A146" s="1184"/>
      <c r="B146" s="367" t="b">
        <f t="shared" si="8"/>
        <v>0</v>
      </c>
      <c r="C146" s="1184"/>
      <c r="D146" s="1184"/>
      <c r="E146" s="626">
        <v>15</v>
      </c>
      <c r="F146" s="3" t="str" cm="1">
        <f t="array" aca="1" ref="F146" ca="1">OFFSET(E146,-1,1)</f>
        <v>2</v>
      </c>
      <c r="G146" s="1184"/>
      <c r="H146" s="1184"/>
      <c r="I146" s="1184"/>
      <c r="J146" s="1184"/>
      <c r="K146" s="77">
        <f>first_year+13</f>
        <v>2037</v>
      </c>
      <c r="L146" s="1184"/>
      <c r="M146" s="1184"/>
      <c r="N146" s="1184"/>
      <c r="O146" s="1184"/>
      <c r="P146" s="1184"/>
      <c r="Q146" s="1184"/>
      <c r="R146" s="1184"/>
      <c r="S146" s="1184"/>
      <c r="T146" s="388" t="b" cm="1">
        <f t="array" ref="T146">T145</f>
        <v>1</v>
      </c>
      <c r="U146" s="1184"/>
      <c r="V146" s="1184"/>
      <c r="W146" s="1184"/>
      <c r="X146" s="2032"/>
      <c r="Y146" s="1184"/>
      <c r="Z146" s="2012"/>
      <c r="AA146" s="1184"/>
      <c r="AB146" s="174" t="str">
        <f t="shared" si="9"/>
        <v>2037 год</v>
      </c>
      <c r="AC146" s="1616"/>
      <c r="AD146" s="1619"/>
      <c r="AE146" s="1620"/>
      <c r="AF146" s="1620"/>
      <c r="AG146" s="1619"/>
      <c r="AH146" s="1636"/>
      <c r="AI146" s="1636"/>
      <c r="AJ146" s="1619"/>
      <c r="AK146" s="1621"/>
      <c r="AL146" s="324"/>
      <c r="AM146" s="1184"/>
      <c r="AN146" s="1184"/>
      <c r="AO146" s="973" cm="1">
        <f t="array" ref="AO146">K146</f>
        <v>2037</v>
      </c>
      <c r="AP146" s="1184"/>
      <c r="AQ146" s="1184"/>
    </row>
    <row r="147" spans="1:43" s="1690" customFormat="1" ht="14.25" hidden="1" customHeight="1" x14ac:dyDescent="0.15">
      <c r="A147" s="1184"/>
      <c r="B147" s="367" t="b">
        <f t="shared" si="8"/>
        <v>0</v>
      </c>
      <c r="C147" s="1184"/>
      <c r="D147" s="1184"/>
      <c r="E147" s="626">
        <v>15</v>
      </c>
      <c r="F147" s="3" t="str" cm="1">
        <f t="array" aca="1" ref="F147" ca="1">OFFSET(E147,-1,1)</f>
        <v>2</v>
      </c>
      <c r="G147" s="1184"/>
      <c r="H147" s="1184"/>
      <c r="I147" s="1184"/>
      <c r="J147" s="1184"/>
      <c r="K147" s="77">
        <f>first_year+14</f>
        <v>2038</v>
      </c>
      <c r="L147" s="1184"/>
      <c r="M147" s="1184"/>
      <c r="N147" s="1184"/>
      <c r="O147" s="1184"/>
      <c r="P147" s="1184"/>
      <c r="Q147" s="1184"/>
      <c r="R147" s="1184"/>
      <c r="S147" s="1184"/>
      <c r="T147" s="388" t="b" cm="1">
        <f t="array" ref="T147">T146</f>
        <v>1</v>
      </c>
      <c r="U147" s="1184"/>
      <c r="V147" s="1184"/>
      <c r="W147" s="1184"/>
      <c r="X147" s="2032"/>
      <c r="Y147" s="1184"/>
      <c r="Z147" s="2012"/>
      <c r="AA147" s="1184"/>
      <c r="AB147" s="174" t="str">
        <f t="shared" si="9"/>
        <v>2038 год</v>
      </c>
      <c r="AC147" s="1616"/>
      <c r="AD147" s="1619"/>
      <c r="AE147" s="1620"/>
      <c r="AF147" s="1620"/>
      <c r="AG147" s="1619"/>
      <c r="AH147" s="1636"/>
      <c r="AI147" s="1636"/>
      <c r="AJ147" s="1619"/>
      <c r="AK147" s="1621"/>
      <c r="AL147" s="324"/>
      <c r="AM147" s="1184"/>
      <c r="AN147" s="1184"/>
      <c r="AO147" s="973" cm="1">
        <f t="array" ref="AO147">K147</f>
        <v>2038</v>
      </c>
      <c r="AP147" s="1184"/>
      <c r="AQ147" s="1184"/>
    </row>
    <row r="148" spans="1:43" s="1691" customFormat="1" ht="14.25" hidden="1" customHeight="1" x14ac:dyDescent="0.15">
      <c r="A148" s="1184"/>
      <c r="B148" s="367" t="b">
        <f t="shared" si="8"/>
        <v>0</v>
      </c>
      <c r="C148" s="1184"/>
      <c r="D148" s="1184"/>
      <c r="E148" s="626">
        <v>15</v>
      </c>
      <c r="F148" s="3" t="str" cm="1">
        <f t="array" aca="1" ref="F148" ca="1">OFFSET(E148,-1,1)</f>
        <v>2</v>
      </c>
      <c r="G148" s="1184"/>
      <c r="H148" s="1184"/>
      <c r="I148" s="1184"/>
      <c r="J148" s="1184"/>
      <c r="K148" s="77">
        <f>first_year+15</f>
        <v>2039</v>
      </c>
      <c r="L148" s="1184"/>
      <c r="M148" s="1184"/>
      <c r="N148" s="1184"/>
      <c r="O148" s="1184"/>
      <c r="P148" s="1184"/>
      <c r="Q148" s="1184"/>
      <c r="R148" s="1184"/>
      <c r="S148" s="1184"/>
      <c r="T148" s="388" t="b" cm="1">
        <f t="array" ref="T148">T147</f>
        <v>1</v>
      </c>
      <c r="U148" s="1184"/>
      <c r="V148" s="1184"/>
      <c r="W148" s="1184"/>
      <c r="X148" s="2032"/>
      <c r="Y148" s="1184"/>
      <c r="Z148" s="2012"/>
      <c r="AA148" s="1184"/>
      <c r="AB148" s="174" t="str">
        <f t="shared" si="9"/>
        <v>2039 год</v>
      </c>
      <c r="AC148" s="1616"/>
      <c r="AD148" s="1619"/>
      <c r="AE148" s="1620"/>
      <c r="AF148" s="1620"/>
      <c r="AG148" s="1619"/>
      <c r="AH148" s="1636"/>
      <c r="AI148" s="1636"/>
      <c r="AJ148" s="1619"/>
      <c r="AK148" s="1621"/>
      <c r="AL148" s="324"/>
      <c r="AM148" s="1184"/>
      <c r="AN148" s="1184"/>
      <c r="AO148" s="973" cm="1">
        <f t="array" ref="AO148">K148</f>
        <v>2039</v>
      </c>
      <c r="AP148" s="1184"/>
      <c r="AQ148" s="1184"/>
    </row>
    <row r="149" spans="1:43" s="1692" customFormat="1" ht="14.25" hidden="1" customHeight="1" x14ac:dyDescent="0.15">
      <c r="A149" s="1184"/>
      <c r="B149" s="367" t="b">
        <f t="shared" si="8"/>
        <v>0</v>
      </c>
      <c r="C149" s="1184"/>
      <c r="D149" s="1184"/>
      <c r="E149" s="626">
        <v>15</v>
      </c>
      <c r="F149" s="3" t="str" cm="1">
        <f t="array" aca="1" ref="F149" ca="1">OFFSET(E149,-1,1)</f>
        <v>2</v>
      </c>
      <c r="G149" s="1184"/>
      <c r="H149" s="1184"/>
      <c r="I149" s="1184"/>
      <c r="J149" s="1184"/>
      <c r="K149" s="77">
        <f>first_year+16</f>
        <v>2040</v>
      </c>
      <c r="L149" s="1184"/>
      <c r="M149" s="1184"/>
      <c r="N149" s="1184"/>
      <c r="O149" s="1184"/>
      <c r="P149" s="1184"/>
      <c r="Q149" s="1184"/>
      <c r="R149" s="1184"/>
      <c r="S149" s="1184"/>
      <c r="T149" s="388" t="b" cm="1">
        <f t="array" ref="T149">T148</f>
        <v>1</v>
      </c>
      <c r="U149" s="1184"/>
      <c r="V149" s="1184"/>
      <c r="W149" s="1184"/>
      <c r="X149" s="2032"/>
      <c r="Y149" s="1184"/>
      <c r="Z149" s="2012"/>
      <c r="AA149" s="1184"/>
      <c r="AB149" s="174" t="str">
        <f t="shared" si="9"/>
        <v>2040 год</v>
      </c>
      <c r="AC149" s="1616"/>
      <c r="AD149" s="1619"/>
      <c r="AE149" s="1620"/>
      <c r="AF149" s="1620"/>
      <c r="AG149" s="1619"/>
      <c r="AH149" s="1636"/>
      <c r="AI149" s="1636"/>
      <c r="AJ149" s="1619"/>
      <c r="AK149" s="1621"/>
      <c r="AL149" s="324"/>
      <c r="AM149" s="1184"/>
      <c r="AN149" s="1184"/>
      <c r="AO149" s="973" cm="1">
        <f t="array" ref="AO149">K149</f>
        <v>2040</v>
      </c>
      <c r="AP149" s="1184"/>
      <c r="AQ149" s="1184"/>
    </row>
    <row r="150" spans="1:43" s="1693" customFormat="1" ht="14.25" hidden="1" customHeight="1" x14ac:dyDescent="0.15">
      <c r="A150" s="1184"/>
      <c r="B150" s="367" t="b">
        <f t="shared" si="8"/>
        <v>0</v>
      </c>
      <c r="C150" s="1184"/>
      <c r="D150" s="1184"/>
      <c r="E150" s="626">
        <v>15</v>
      </c>
      <c r="F150" s="3" t="str" cm="1">
        <f t="array" aca="1" ref="F150" ca="1">OFFSET(E150,-1,1)</f>
        <v>2</v>
      </c>
      <c r="G150" s="1184"/>
      <c r="H150" s="1184"/>
      <c r="I150" s="1184"/>
      <c r="J150" s="1184"/>
      <c r="K150" s="77">
        <f>first_year+17</f>
        <v>2041</v>
      </c>
      <c r="L150" s="1184"/>
      <c r="M150" s="1184"/>
      <c r="N150" s="1184"/>
      <c r="O150" s="1184"/>
      <c r="P150" s="1184"/>
      <c r="Q150" s="1184"/>
      <c r="R150" s="1184"/>
      <c r="S150" s="1184"/>
      <c r="T150" s="388" t="b" cm="1">
        <f t="array" ref="T150">T149</f>
        <v>1</v>
      </c>
      <c r="U150" s="1184"/>
      <c r="V150" s="1184"/>
      <c r="W150" s="1184"/>
      <c r="X150" s="2032"/>
      <c r="Y150" s="1184"/>
      <c r="Z150" s="2012"/>
      <c r="AA150" s="1184"/>
      <c r="AB150" s="174" t="str">
        <f t="shared" si="9"/>
        <v>2041 год</v>
      </c>
      <c r="AC150" s="1616"/>
      <c r="AD150" s="1619"/>
      <c r="AE150" s="1620"/>
      <c r="AF150" s="1620"/>
      <c r="AG150" s="1619"/>
      <c r="AH150" s="1636"/>
      <c r="AI150" s="1636"/>
      <c r="AJ150" s="1619"/>
      <c r="AK150" s="1621"/>
      <c r="AL150" s="324"/>
      <c r="AM150" s="1184"/>
      <c r="AN150" s="1184"/>
      <c r="AO150" s="973" cm="1">
        <f t="array" ref="AO150">K150</f>
        <v>2041</v>
      </c>
      <c r="AP150" s="1184"/>
      <c r="AQ150" s="1184"/>
    </row>
    <row r="151" spans="1:43" s="1694" customFormat="1" ht="14.25" hidden="1" customHeight="1" x14ac:dyDescent="0.15">
      <c r="A151" s="1184"/>
      <c r="B151" s="367" t="b">
        <f t="shared" si="8"/>
        <v>0</v>
      </c>
      <c r="C151" s="1184"/>
      <c r="D151" s="1184"/>
      <c r="E151" s="626">
        <v>15</v>
      </c>
      <c r="F151" s="3" t="str" cm="1">
        <f t="array" aca="1" ref="F151" ca="1">OFFSET(E151,-1,1)</f>
        <v>2</v>
      </c>
      <c r="G151" s="1184"/>
      <c r="H151" s="1184"/>
      <c r="I151" s="1184"/>
      <c r="J151" s="1184"/>
      <c r="K151" s="77">
        <f>first_year+18</f>
        <v>2042</v>
      </c>
      <c r="L151" s="1184"/>
      <c r="M151" s="1184"/>
      <c r="N151" s="1184"/>
      <c r="O151" s="1184"/>
      <c r="P151" s="1184"/>
      <c r="Q151" s="1184"/>
      <c r="R151" s="1184"/>
      <c r="S151" s="1184"/>
      <c r="T151" s="388" t="b" cm="1">
        <f t="array" ref="T151">T150</f>
        <v>1</v>
      </c>
      <c r="U151" s="1184"/>
      <c r="V151" s="1184"/>
      <c r="W151" s="1184"/>
      <c r="X151" s="2032"/>
      <c r="Y151" s="1184"/>
      <c r="Z151" s="2012"/>
      <c r="AA151" s="1184"/>
      <c r="AB151" s="174" t="str">
        <f t="shared" si="9"/>
        <v>2042 год</v>
      </c>
      <c r="AC151" s="1616"/>
      <c r="AD151" s="1619"/>
      <c r="AE151" s="1620"/>
      <c r="AF151" s="1620"/>
      <c r="AG151" s="1619"/>
      <c r="AH151" s="1636"/>
      <c r="AI151" s="1636"/>
      <c r="AJ151" s="1619"/>
      <c r="AK151" s="1621"/>
      <c r="AL151" s="324"/>
      <c r="AM151" s="1184"/>
      <c r="AN151" s="1184"/>
      <c r="AO151" s="973" cm="1">
        <f t="array" ref="AO151">K151</f>
        <v>2042</v>
      </c>
      <c r="AP151" s="1184"/>
      <c r="AQ151" s="1184"/>
    </row>
    <row r="152" spans="1:43" s="1695" customFormat="1" ht="14.25" hidden="1" customHeight="1" x14ac:dyDescent="0.15">
      <c r="A152" s="1184"/>
      <c r="B152" s="367" t="b">
        <f t="shared" si="8"/>
        <v>0</v>
      </c>
      <c r="C152" s="1184"/>
      <c r="D152" s="1184"/>
      <c r="E152" s="626">
        <v>15</v>
      </c>
      <c r="F152" s="3" t="str" cm="1">
        <f t="array" aca="1" ref="F152" ca="1">OFFSET(E152,-1,1)</f>
        <v>2</v>
      </c>
      <c r="G152" s="1184"/>
      <c r="H152" s="1184"/>
      <c r="I152" s="1184"/>
      <c r="J152" s="1184"/>
      <c r="K152" s="77">
        <f>first_year+19</f>
        <v>2043</v>
      </c>
      <c r="L152" s="1184"/>
      <c r="M152" s="1184"/>
      <c r="N152" s="1184"/>
      <c r="O152" s="1184"/>
      <c r="P152" s="1184"/>
      <c r="Q152" s="1184"/>
      <c r="R152" s="1184"/>
      <c r="S152" s="1184"/>
      <c r="T152" s="388" t="b" cm="1">
        <f t="array" ref="T152">T151</f>
        <v>1</v>
      </c>
      <c r="U152" s="1184"/>
      <c r="V152" s="1184"/>
      <c r="W152" s="1184"/>
      <c r="X152" s="2032"/>
      <c r="Y152" s="1184"/>
      <c r="Z152" s="2012"/>
      <c r="AA152" s="1184"/>
      <c r="AB152" s="174" t="str">
        <f t="shared" si="9"/>
        <v>2043 год</v>
      </c>
      <c r="AC152" s="1616"/>
      <c r="AD152" s="1619"/>
      <c r="AE152" s="1620"/>
      <c r="AF152" s="1620"/>
      <c r="AG152" s="1619"/>
      <c r="AH152" s="1636"/>
      <c r="AI152" s="1636"/>
      <c r="AJ152" s="1619"/>
      <c r="AK152" s="1621"/>
      <c r="AL152" s="324"/>
      <c r="AM152" s="1184"/>
      <c r="AN152" s="1184"/>
      <c r="AO152" s="973" cm="1">
        <f t="array" ref="AO152">K152</f>
        <v>2043</v>
      </c>
      <c r="AP152" s="1184"/>
      <c r="AQ152" s="1184"/>
    </row>
    <row r="153" spans="1:43" s="1696" customFormat="1" ht="14.25" hidden="1" customHeight="1" x14ac:dyDescent="0.15">
      <c r="A153" s="1184"/>
      <c r="B153" s="367" t="b">
        <f t="shared" si="8"/>
        <v>0</v>
      </c>
      <c r="C153" s="1184"/>
      <c r="D153" s="1184"/>
      <c r="E153" s="626">
        <v>15</v>
      </c>
      <c r="F153" s="3" t="str" cm="1">
        <f t="array" aca="1" ref="F153" ca="1">OFFSET(E153,-1,1)</f>
        <v>2</v>
      </c>
      <c r="G153" s="1184"/>
      <c r="H153" s="1184"/>
      <c r="I153" s="1184"/>
      <c r="J153" s="1184"/>
      <c r="K153" s="77">
        <f>first_year+20</f>
        <v>2044</v>
      </c>
      <c r="L153" s="1184"/>
      <c r="M153" s="1184"/>
      <c r="N153" s="1184"/>
      <c r="O153" s="1184"/>
      <c r="P153" s="1184"/>
      <c r="Q153" s="1184"/>
      <c r="R153" s="1184"/>
      <c r="S153" s="1184"/>
      <c r="T153" s="388" t="b" cm="1">
        <f t="array" ref="T153">T152</f>
        <v>1</v>
      </c>
      <c r="U153" s="1184"/>
      <c r="V153" s="1184"/>
      <c r="W153" s="1184"/>
      <c r="X153" s="2032"/>
      <c r="Y153" s="1184"/>
      <c r="Z153" s="2012"/>
      <c r="AA153" s="1184"/>
      <c r="AB153" s="174" t="str">
        <f t="shared" si="9"/>
        <v>2044 год</v>
      </c>
      <c r="AC153" s="1616"/>
      <c r="AD153" s="1619"/>
      <c r="AE153" s="1620"/>
      <c r="AF153" s="1620"/>
      <c r="AG153" s="1619"/>
      <c r="AH153" s="1636"/>
      <c r="AI153" s="1636"/>
      <c r="AJ153" s="1619"/>
      <c r="AK153" s="1621"/>
      <c r="AL153" s="324"/>
      <c r="AM153" s="1184"/>
      <c r="AN153" s="1184"/>
      <c r="AO153" s="973" cm="1">
        <f t="array" ref="AO153">K153</f>
        <v>2044</v>
      </c>
      <c r="AP153" s="1184"/>
      <c r="AQ153" s="1184"/>
    </row>
    <row r="154" spans="1:43" s="1697" customFormat="1" ht="14.25" hidden="1" customHeight="1" x14ac:dyDescent="0.15">
      <c r="A154" s="1184"/>
      <c r="B154" s="367" t="b">
        <f t="shared" si="8"/>
        <v>0</v>
      </c>
      <c r="C154" s="1184"/>
      <c r="D154" s="1184"/>
      <c r="E154" s="626">
        <v>15</v>
      </c>
      <c r="F154" s="3" t="str" cm="1">
        <f t="array" aca="1" ref="F154" ca="1">OFFSET(E154,-1,1)</f>
        <v>2</v>
      </c>
      <c r="G154" s="1184"/>
      <c r="H154" s="1184"/>
      <c r="I154" s="1184"/>
      <c r="J154" s="1184"/>
      <c r="K154" s="77">
        <f>first_year+21</f>
        <v>2045</v>
      </c>
      <c r="L154" s="1184"/>
      <c r="M154" s="1184"/>
      <c r="N154" s="1184"/>
      <c r="O154" s="1184"/>
      <c r="P154" s="1184"/>
      <c r="Q154" s="1184"/>
      <c r="R154" s="1184"/>
      <c r="S154" s="1184"/>
      <c r="T154" s="388" t="b" cm="1">
        <f t="array" ref="T154">T153</f>
        <v>1</v>
      </c>
      <c r="U154" s="1184"/>
      <c r="V154" s="1184"/>
      <c r="W154" s="1184"/>
      <c r="X154" s="2032"/>
      <c r="Y154" s="1184"/>
      <c r="Z154" s="2012"/>
      <c r="AA154" s="1184"/>
      <c r="AB154" s="174" t="str">
        <f t="shared" si="9"/>
        <v>2045 год</v>
      </c>
      <c r="AC154" s="1616"/>
      <c r="AD154" s="1619"/>
      <c r="AE154" s="1620"/>
      <c r="AF154" s="1620"/>
      <c r="AG154" s="1619"/>
      <c r="AH154" s="1636"/>
      <c r="AI154" s="1636"/>
      <c r="AJ154" s="1619"/>
      <c r="AK154" s="1621"/>
      <c r="AL154" s="324"/>
      <c r="AM154" s="1184"/>
      <c r="AN154" s="1184"/>
      <c r="AO154" s="973" cm="1">
        <f t="array" ref="AO154">K154</f>
        <v>2045</v>
      </c>
      <c r="AP154" s="1184"/>
      <c r="AQ154" s="1184"/>
    </row>
    <row r="155" spans="1:43" s="1698" customFormat="1" ht="14.25" hidden="1" customHeight="1" x14ac:dyDescent="0.15">
      <c r="A155" s="1184"/>
      <c r="B155" s="367" t="b">
        <f t="shared" si="8"/>
        <v>0</v>
      </c>
      <c r="C155" s="1184"/>
      <c r="D155" s="1184"/>
      <c r="E155" s="626">
        <v>15</v>
      </c>
      <c r="F155" s="3" t="str" cm="1">
        <f t="array" aca="1" ref="F155" ca="1">OFFSET(E155,-1,1)</f>
        <v>2</v>
      </c>
      <c r="G155" s="1184"/>
      <c r="H155" s="1184"/>
      <c r="I155" s="1184"/>
      <c r="J155" s="1184"/>
      <c r="K155" s="77">
        <f>first_year+22</f>
        <v>2046</v>
      </c>
      <c r="L155" s="1184"/>
      <c r="M155" s="1184"/>
      <c r="N155" s="1184"/>
      <c r="O155" s="1184"/>
      <c r="P155" s="1184"/>
      <c r="Q155" s="1184"/>
      <c r="R155" s="1184"/>
      <c r="S155" s="1184"/>
      <c r="T155" s="388" t="b" cm="1">
        <f t="array" ref="T155">T154</f>
        <v>1</v>
      </c>
      <c r="U155" s="1184"/>
      <c r="V155" s="1184"/>
      <c r="W155" s="1184"/>
      <c r="X155" s="2032"/>
      <c r="Y155" s="1184"/>
      <c r="Z155" s="2012"/>
      <c r="AA155" s="1184"/>
      <c r="AB155" s="174" t="str">
        <f t="shared" si="9"/>
        <v>2046 год</v>
      </c>
      <c r="AC155" s="1616"/>
      <c r="AD155" s="1619"/>
      <c r="AE155" s="1620"/>
      <c r="AF155" s="1620"/>
      <c r="AG155" s="1619"/>
      <c r="AH155" s="1636"/>
      <c r="AI155" s="1636"/>
      <c r="AJ155" s="1619"/>
      <c r="AK155" s="1621"/>
      <c r="AL155" s="324"/>
      <c r="AM155" s="1184"/>
      <c r="AN155" s="1184"/>
      <c r="AO155" s="973" cm="1">
        <f t="array" ref="AO155">K155</f>
        <v>2046</v>
      </c>
      <c r="AP155" s="1184"/>
      <c r="AQ155" s="1184"/>
    </row>
    <row r="156" spans="1:43" s="1699" customFormat="1" ht="14.25" hidden="1" customHeight="1" x14ac:dyDescent="0.15">
      <c r="A156" s="1184"/>
      <c r="B156" s="367" t="b">
        <f t="shared" si="8"/>
        <v>0</v>
      </c>
      <c r="C156" s="1184"/>
      <c r="D156" s="1184"/>
      <c r="E156" s="626">
        <v>15</v>
      </c>
      <c r="F156" s="3" t="str" cm="1">
        <f t="array" aca="1" ref="F156" ca="1">OFFSET(E156,-1,1)</f>
        <v>2</v>
      </c>
      <c r="G156" s="1184"/>
      <c r="H156" s="1184"/>
      <c r="I156" s="1184"/>
      <c r="J156" s="1184"/>
      <c r="K156" s="77">
        <f>first_year+23</f>
        <v>2047</v>
      </c>
      <c r="L156" s="1184"/>
      <c r="M156" s="1184"/>
      <c r="N156" s="1184"/>
      <c r="O156" s="1184"/>
      <c r="P156" s="1184"/>
      <c r="Q156" s="1184"/>
      <c r="R156" s="1184"/>
      <c r="S156" s="1184"/>
      <c r="T156" s="388" t="b" cm="1">
        <f t="array" ref="T156">T155</f>
        <v>1</v>
      </c>
      <c r="U156" s="1184"/>
      <c r="V156" s="1184"/>
      <c r="W156" s="1184"/>
      <c r="X156" s="2032"/>
      <c r="Y156" s="1184"/>
      <c r="Z156" s="2012"/>
      <c r="AA156" s="1184"/>
      <c r="AB156" s="174" t="str">
        <f t="shared" si="9"/>
        <v>2047 год</v>
      </c>
      <c r="AC156" s="1616"/>
      <c r="AD156" s="1619"/>
      <c r="AE156" s="1620"/>
      <c r="AF156" s="1620"/>
      <c r="AG156" s="1619"/>
      <c r="AH156" s="1636"/>
      <c r="AI156" s="1636"/>
      <c r="AJ156" s="1619"/>
      <c r="AK156" s="1621"/>
      <c r="AL156" s="324"/>
      <c r="AM156" s="1184"/>
      <c r="AN156" s="1184"/>
      <c r="AO156" s="973" cm="1">
        <f t="array" ref="AO156">K156</f>
        <v>2047</v>
      </c>
      <c r="AP156" s="1184"/>
      <c r="AQ156" s="1184"/>
    </row>
    <row r="157" spans="1:43" s="1700" customFormat="1" ht="14.25" hidden="1" customHeight="1" x14ac:dyDescent="0.15">
      <c r="A157" s="1184"/>
      <c r="B157" s="367" t="b">
        <f t="shared" si="8"/>
        <v>0</v>
      </c>
      <c r="C157" s="1184"/>
      <c r="D157" s="1184"/>
      <c r="E157" s="626">
        <v>15</v>
      </c>
      <c r="F157" s="3" t="str" cm="1">
        <f t="array" aca="1" ref="F157" ca="1">OFFSET(E157,-1,1)</f>
        <v>2</v>
      </c>
      <c r="G157" s="1184"/>
      <c r="H157" s="1184"/>
      <c r="I157" s="1184"/>
      <c r="J157" s="1184"/>
      <c r="K157" s="77">
        <f>first_year+24</f>
        <v>2048</v>
      </c>
      <c r="L157" s="1184"/>
      <c r="M157" s="1184"/>
      <c r="N157" s="1184"/>
      <c r="O157" s="1184"/>
      <c r="P157" s="1184"/>
      <c r="Q157" s="1184"/>
      <c r="R157" s="1184"/>
      <c r="S157" s="1184"/>
      <c r="T157" s="388" t="b" cm="1">
        <f t="array" ref="T157">T156</f>
        <v>1</v>
      </c>
      <c r="U157" s="1184"/>
      <c r="V157" s="1184"/>
      <c r="W157" s="1184"/>
      <c r="X157" s="2032"/>
      <c r="Y157" s="1184"/>
      <c r="Z157" s="2012"/>
      <c r="AA157" s="1184"/>
      <c r="AB157" s="174" t="str">
        <f t="shared" si="9"/>
        <v>2048 год</v>
      </c>
      <c r="AC157" s="1616"/>
      <c r="AD157" s="1619"/>
      <c r="AE157" s="1620"/>
      <c r="AF157" s="1620"/>
      <c r="AG157" s="1619"/>
      <c r="AH157" s="1636"/>
      <c r="AI157" s="1636"/>
      <c r="AJ157" s="1619"/>
      <c r="AK157" s="1621"/>
      <c r="AL157" s="324"/>
      <c r="AM157" s="1184"/>
      <c r="AN157" s="1184"/>
      <c r="AO157" s="973" cm="1">
        <f t="array" ref="AO157">K157</f>
        <v>2048</v>
      </c>
      <c r="AP157" s="1184"/>
      <c r="AQ157" s="1184"/>
    </row>
    <row r="158" spans="1:43" s="1701" customFormat="1" ht="14.25" hidden="1" customHeight="1" x14ac:dyDescent="0.15">
      <c r="A158" s="1184"/>
      <c r="B158" s="367" t="b">
        <f t="shared" si="8"/>
        <v>0</v>
      </c>
      <c r="C158" s="1184"/>
      <c r="D158" s="1184"/>
      <c r="E158" s="626">
        <v>15</v>
      </c>
      <c r="F158" s="3" t="str" cm="1">
        <f t="array" aca="1" ref="F158" ca="1">OFFSET(E158,-1,1)</f>
        <v>2</v>
      </c>
      <c r="G158" s="1184"/>
      <c r="H158" s="1184"/>
      <c r="I158" s="1184"/>
      <c r="J158" s="1184"/>
      <c r="K158" s="77">
        <f>first_year+25</f>
        <v>2049</v>
      </c>
      <c r="L158" s="1184"/>
      <c r="M158" s="1184"/>
      <c r="N158" s="1184"/>
      <c r="O158" s="1184"/>
      <c r="P158" s="1184"/>
      <c r="Q158" s="1184"/>
      <c r="R158" s="1184"/>
      <c r="S158" s="1184"/>
      <c r="T158" s="388" t="b" cm="1">
        <f t="array" ref="T158">T157</f>
        <v>1</v>
      </c>
      <c r="U158" s="1184"/>
      <c r="V158" s="1184"/>
      <c r="W158" s="1184"/>
      <c r="X158" s="2032"/>
      <c r="Y158" s="1184"/>
      <c r="Z158" s="2012"/>
      <c r="AA158" s="1184"/>
      <c r="AB158" s="174" t="str">
        <f t="shared" si="9"/>
        <v>2049 год</v>
      </c>
      <c r="AC158" s="1616"/>
      <c r="AD158" s="1619"/>
      <c r="AE158" s="1620"/>
      <c r="AF158" s="1620"/>
      <c r="AG158" s="1619"/>
      <c r="AH158" s="1636"/>
      <c r="AI158" s="1636"/>
      <c r="AJ158" s="1619"/>
      <c r="AK158" s="1621"/>
      <c r="AL158" s="324"/>
      <c r="AM158" s="1184"/>
      <c r="AN158" s="1184"/>
      <c r="AO158" s="973" cm="1">
        <f t="array" ref="AO158">K158</f>
        <v>2049</v>
      </c>
      <c r="AP158" s="1184"/>
      <c r="AQ158" s="1184"/>
    </row>
    <row r="159" spans="1:43" s="1702" customFormat="1" ht="14.25" hidden="1" customHeight="1" x14ac:dyDescent="0.15">
      <c r="A159" s="1184"/>
      <c r="B159" s="367" t="b">
        <f t="shared" si="8"/>
        <v>0</v>
      </c>
      <c r="C159" s="1184"/>
      <c r="D159" s="1184"/>
      <c r="E159" s="626">
        <v>15</v>
      </c>
      <c r="F159" s="3" t="str" cm="1">
        <f t="array" aca="1" ref="F159" ca="1">OFFSET(E159,-1,1)</f>
        <v>2</v>
      </c>
      <c r="G159" s="1184"/>
      <c r="H159" s="1184"/>
      <c r="I159" s="1184"/>
      <c r="J159" s="1184"/>
      <c r="K159" s="77">
        <f>first_year+26</f>
        <v>2050</v>
      </c>
      <c r="L159" s="1184"/>
      <c r="M159" s="1184"/>
      <c r="N159" s="1184"/>
      <c r="O159" s="1184"/>
      <c r="P159" s="1184"/>
      <c r="Q159" s="1184"/>
      <c r="R159" s="1184"/>
      <c r="S159" s="1184"/>
      <c r="T159" s="388" t="b" cm="1">
        <f t="array" ref="T159">T158</f>
        <v>1</v>
      </c>
      <c r="U159" s="1184"/>
      <c r="V159" s="1184"/>
      <c r="W159" s="1184"/>
      <c r="X159" s="2032"/>
      <c r="Y159" s="1184"/>
      <c r="Z159" s="2012"/>
      <c r="AA159" s="1184"/>
      <c r="AB159" s="174" t="str">
        <f t="shared" si="9"/>
        <v>2050 год</v>
      </c>
      <c r="AC159" s="1616"/>
      <c r="AD159" s="1619"/>
      <c r="AE159" s="1620"/>
      <c r="AF159" s="1620"/>
      <c r="AG159" s="1619"/>
      <c r="AH159" s="1636"/>
      <c r="AI159" s="1636"/>
      <c r="AJ159" s="1619"/>
      <c r="AK159" s="1621"/>
      <c r="AL159" s="324"/>
      <c r="AM159" s="1184"/>
      <c r="AN159" s="1184"/>
      <c r="AO159" s="973" cm="1">
        <f t="array" ref="AO159">K159</f>
        <v>2050</v>
      </c>
      <c r="AP159" s="1184"/>
      <c r="AQ159" s="1184"/>
    </row>
    <row r="160" spans="1:43" s="1703" customFormat="1" ht="14.25" hidden="1" customHeight="1" x14ac:dyDescent="0.15">
      <c r="A160" s="1184"/>
      <c r="B160" s="367" t="b">
        <f t="shared" si="8"/>
        <v>0</v>
      </c>
      <c r="C160" s="1184"/>
      <c r="D160" s="1184"/>
      <c r="E160" s="626">
        <v>15</v>
      </c>
      <c r="F160" s="3" t="str" cm="1">
        <f t="array" aca="1" ref="F160" ca="1">OFFSET(E160,-1,1)</f>
        <v>2</v>
      </c>
      <c r="G160" s="1184"/>
      <c r="H160" s="1184"/>
      <c r="I160" s="1184"/>
      <c r="J160" s="1184"/>
      <c r="K160" s="77">
        <f>first_year+27</f>
        <v>2051</v>
      </c>
      <c r="L160" s="1184"/>
      <c r="M160" s="1184"/>
      <c r="N160" s="1184"/>
      <c r="O160" s="1184"/>
      <c r="P160" s="1184"/>
      <c r="Q160" s="1184"/>
      <c r="R160" s="1184"/>
      <c r="S160" s="1184"/>
      <c r="T160" s="388" t="b" cm="1">
        <f t="array" ref="T160">T159</f>
        <v>1</v>
      </c>
      <c r="U160" s="1184"/>
      <c r="V160" s="1184"/>
      <c r="W160" s="1184"/>
      <c r="X160" s="2032"/>
      <c r="Y160" s="1184"/>
      <c r="Z160" s="2012"/>
      <c r="AA160" s="1184"/>
      <c r="AB160" s="174" t="str">
        <f t="shared" si="9"/>
        <v>2051 год</v>
      </c>
      <c r="AC160" s="1616"/>
      <c r="AD160" s="1619"/>
      <c r="AE160" s="1620"/>
      <c r="AF160" s="1620"/>
      <c r="AG160" s="1619"/>
      <c r="AH160" s="1636"/>
      <c r="AI160" s="1636"/>
      <c r="AJ160" s="1619"/>
      <c r="AK160" s="1621"/>
      <c r="AL160" s="324"/>
      <c r="AM160" s="1184"/>
      <c r="AN160" s="1184"/>
      <c r="AO160" s="973" cm="1">
        <f t="array" ref="AO160">K160</f>
        <v>2051</v>
      </c>
      <c r="AP160" s="1184"/>
      <c r="AQ160" s="1184"/>
    </row>
    <row r="161" spans="1:43" s="1704" customFormat="1" ht="14.25" hidden="1" customHeight="1" x14ac:dyDescent="0.15">
      <c r="A161" s="1184"/>
      <c r="B161" s="367" t="b">
        <f t="shared" si="8"/>
        <v>0</v>
      </c>
      <c r="C161" s="1184"/>
      <c r="D161" s="1184"/>
      <c r="E161" s="626">
        <v>15</v>
      </c>
      <c r="F161" s="3" t="str" cm="1">
        <f t="array" aca="1" ref="F161" ca="1">OFFSET(E161,-1,1)</f>
        <v>2</v>
      </c>
      <c r="G161" s="1184"/>
      <c r="H161" s="1184"/>
      <c r="I161" s="1184"/>
      <c r="J161" s="1184"/>
      <c r="K161" s="77">
        <f>first_year+28</f>
        <v>2052</v>
      </c>
      <c r="L161" s="1184"/>
      <c r="M161" s="1184"/>
      <c r="N161" s="1184"/>
      <c r="O161" s="1184"/>
      <c r="P161" s="1184"/>
      <c r="Q161" s="1184"/>
      <c r="R161" s="1184"/>
      <c r="S161" s="1184"/>
      <c r="T161" s="388" t="b" cm="1">
        <f t="array" ref="T161">T160</f>
        <v>1</v>
      </c>
      <c r="U161" s="1184"/>
      <c r="V161" s="1184"/>
      <c r="W161" s="1184"/>
      <c r="X161" s="2032"/>
      <c r="Y161" s="1184"/>
      <c r="Z161" s="2012"/>
      <c r="AA161" s="1184"/>
      <c r="AB161" s="174" t="str">
        <f t="shared" si="9"/>
        <v>2052 год</v>
      </c>
      <c r="AC161" s="1616"/>
      <c r="AD161" s="1619"/>
      <c r="AE161" s="1620"/>
      <c r="AF161" s="1620"/>
      <c r="AG161" s="1619"/>
      <c r="AH161" s="1636"/>
      <c r="AI161" s="1636"/>
      <c r="AJ161" s="1619"/>
      <c r="AK161" s="1621"/>
      <c r="AL161" s="324"/>
      <c r="AM161" s="1184"/>
      <c r="AN161" s="1184"/>
      <c r="AO161" s="973" cm="1">
        <f t="array" ref="AO161">K161</f>
        <v>2052</v>
      </c>
      <c r="AP161" s="1184"/>
      <c r="AQ161" s="1184"/>
    </row>
    <row r="162" spans="1:43" s="1705" customFormat="1" ht="14.25" hidden="1" customHeight="1" x14ac:dyDescent="0.15">
      <c r="A162" s="1184"/>
      <c r="B162" s="367" t="b">
        <f t="shared" si="8"/>
        <v>0</v>
      </c>
      <c r="C162" s="1184"/>
      <c r="D162" s="1184"/>
      <c r="E162" s="626">
        <v>15</v>
      </c>
      <c r="F162" s="3" t="str" cm="1">
        <f t="array" aca="1" ref="F162" ca="1">OFFSET(E162,-1,1)</f>
        <v>2</v>
      </c>
      <c r="G162" s="1184"/>
      <c r="H162" s="1184"/>
      <c r="I162" s="1184"/>
      <c r="J162" s="1184"/>
      <c r="K162" s="77">
        <f>first_year+29</f>
        <v>2053</v>
      </c>
      <c r="L162" s="1184"/>
      <c r="M162" s="1184"/>
      <c r="N162" s="1184"/>
      <c r="O162" s="1184"/>
      <c r="P162" s="1184"/>
      <c r="Q162" s="1184"/>
      <c r="R162" s="1184"/>
      <c r="S162" s="1184"/>
      <c r="T162" s="388" t="b" cm="1">
        <f t="array" ref="T162">T161</f>
        <v>1</v>
      </c>
      <c r="U162" s="1184"/>
      <c r="V162" s="1184"/>
      <c r="W162" s="1184"/>
      <c r="X162" s="2032"/>
      <c r="Y162" s="1184"/>
      <c r="Z162" s="2012"/>
      <c r="AA162" s="1184"/>
      <c r="AB162" s="174" t="str">
        <f t="shared" si="9"/>
        <v>2053 год</v>
      </c>
      <c r="AC162" s="1616"/>
      <c r="AD162" s="1619"/>
      <c r="AE162" s="1620"/>
      <c r="AF162" s="1620"/>
      <c r="AG162" s="1619"/>
      <c r="AH162" s="1636"/>
      <c r="AI162" s="1636"/>
      <c r="AJ162" s="1619"/>
      <c r="AK162" s="1621"/>
      <c r="AL162" s="324"/>
      <c r="AM162" s="1184"/>
      <c r="AN162" s="1184"/>
      <c r="AO162" s="973" cm="1">
        <f t="array" ref="AO162">K162</f>
        <v>2053</v>
      </c>
      <c r="AP162" s="1184"/>
      <c r="AQ162" s="1184"/>
    </row>
    <row r="163" spans="1:43" s="1706" customFormat="1" ht="14.25" hidden="1" customHeight="1" x14ac:dyDescent="0.15">
      <c r="A163" s="1184"/>
      <c r="B163" s="367" t="b">
        <f t="shared" si="8"/>
        <v>0</v>
      </c>
      <c r="C163" s="1184"/>
      <c r="D163" s="1184"/>
      <c r="E163" s="626">
        <v>15</v>
      </c>
      <c r="F163" s="3" t="str" cm="1">
        <f t="array" aca="1" ref="F163" ca="1">OFFSET(E163,-1,1)</f>
        <v>2</v>
      </c>
      <c r="G163" s="1184"/>
      <c r="H163" s="1184"/>
      <c r="I163" s="1184"/>
      <c r="J163" s="1184"/>
      <c r="K163" s="77">
        <f>first_year+30</f>
        <v>2054</v>
      </c>
      <c r="L163" s="1184"/>
      <c r="M163" s="1184"/>
      <c r="N163" s="1184"/>
      <c r="O163" s="1184"/>
      <c r="P163" s="1184"/>
      <c r="Q163" s="1184"/>
      <c r="R163" s="1184"/>
      <c r="S163" s="1184"/>
      <c r="T163" s="388" t="b" cm="1">
        <f t="array" ref="T163">T162</f>
        <v>1</v>
      </c>
      <c r="U163" s="1184"/>
      <c r="V163" s="1184"/>
      <c r="W163" s="1184"/>
      <c r="X163" s="2032"/>
      <c r="Y163" s="1184"/>
      <c r="Z163" s="2012"/>
      <c r="AA163" s="1184"/>
      <c r="AB163" s="174" t="str">
        <f t="shared" si="9"/>
        <v>2054 год</v>
      </c>
      <c r="AC163" s="1616"/>
      <c r="AD163" s="1619"/>
      <c r="AE163" s="1620"/>
      <c r="AF163" s="1620"/>
      <c r="AG163" s="1619"/>
      <c r="AH163" s="1636"/>
      <c r="AI163" s="1636"/>
      <c r="AJ163" s="1619"/>
      <c r="AK163" s="1621"/>
      <c r="AL163" s="324"/>
      <c r="AM163" s="1184"/>
      <c r="AN163" s="1184"/>
      <c r="AO163" s="973" cm="1">
        <f t="array" ref="AO163">K163</f>
        <v>2054</v>
      </c>
      <c r="AP163" s="1184"/>
      <c r="AQ163" s="1184"/>
    </row>
    <row r="164" spans="1:43" s="1707" customFormat="1" ht="14.25" hidden="1" customHeight="1" x14ac:dyDescent="0.15">
      <c r="A164" s="1184"/>
      <c r="B164" s="367" t="b">
        <f t="shared" si="8"/>
        <v>0</v>
      </c>
      <c r="C164" s="1184"/>
      <c r="D164" s="1184"/>
      <c r="E164" s="626">
        <v>15</v>
      </c>
      <c r="F164" s="3" t="str" cm="1">
        <f t="array" aca="1" ref="F164" ca="1">OFFSET(E164,-1,1)</f>
        <v>2</v>
      </c>
      <c r="G164" s="1184"/>
      <c r="H164" s="1184"/>
      <c r="I164" s="1184"/>
      <c r="J164" s="1184"/>
      <c r="K164" s="77">
        <f>first_year+31</f>
        <v>2055</v>
      </c>
      <c r="L164" s="1184"/>
      <c r="M164" s="1184"/>
      <c r="N164" s="1184"/>
      <c r="O164" s="1184"/>
      <c r="P164" s="1184"/>
      <c r="Q164" s="1184"/>
      <c r="R164" s="1184"/>
      <c r="S164" s="1184"/>
      <c r="T164" s="388" t="b" cm="1">
        <f t="array" ref="T164">T163</f>
        <v>1</v>
      </c>
      <c r="U164" s="1184"/>
      <c r="V164" s="1184"/>
      <c r="W164" s="1184"/>
      <c r="X164" s="2032"/>
      <c r="Y164" s="1184"/>
      <c r="Z164" s="2012"/>
      <c r="AA164" s="1184"/>
      <c r="AB164" s="174" t="str">
        <f t="shared" si="9"/>
        <v>2055 год</v>
      </c>
      <c r="AC164" s="1616"/>
      <c r="AD164" s="1619"/>
      <c r="AE164" s="1620"/>
      <c r="AF164" s="1620"/>
      <c r="AG164" s="1619"/>
      <c r="AH164" s="1636"/>
      <c r="AI164" s="1636"/>
      <c r="AJ164" s="1619"/>
      <c r="AK164" s="1621"/>
      <c r="AL164" s="324"/>
      <c r="AM164" s="1184"/>
      <c r="AN164" s="1184"/>
      <c r="AO164" s="973" cm="1">
        <f t="array" ref="AO164">K164</f>
        <v>2055</v>
      </c>
      <c r="AP164" s="1184"/>
      <c r="AQ164" s="1184"/>
    </row>
    <row r="165" spans="1:43" s="1708" customFormat="1" ht="14.25" hidden="1" customHeight="1" x14ac:dyDescent="0.15">
      <c r="A165" s="1184"/>
      <c r="B165" s="367" t="b">
        <f t="shared" ref="B165:B182" si="10">K165&lt;first_year+PERIOD_LENGTH</f>
        <v>0</v>
      </c>
      <c r="C165" s="1184"/>
      <c r="D165" s="1184"/>
      <c r="E165" s="626">
        <v>15</v>
      </c>
      <c r="F165" s="3" t="str" cm="1">
        <f t="array" aca="1" ref="F165" ca="1">OFFSET(E165,-1,1)</f>
        <v>2</v>
      </c>
      <c r="G165" s="1184"/>
      <c r="H165" s="1184"/>
      <c r="I165" s="1184"/>
      <c r="J165" s="1184"/>
      <c r="K165" s="77">
        <f>first_year+32</f>
        <v>2056</v>
      </c>
      <c r="L165" s="1184"/>
      <c r="M165" s="1184"/>
      <c r="N165" s="1184"/>
      <c r="O165" s="1184"/>
      <c r="P165" s="1184"/>
      <c r="Q165" s="1184"/>
      <c r="R165" s="1184"/>
      <c r="S165" s="1184"/>
      <c r="T165" s="388" t="b" cm="1">
        <f t="array" ref="T165">T164</f>
        <v>1</v>
      </c>
      <c r="U165" s="1184"/>
      <c r="V165" s="1184"/>
      <c r="W165" s="1184"/>
      <c r="X165" s="2032"/>
      <c r="Y165" s="1184"/>
      <c r="Z165" s="2012"/>
      <c r="AA165" s="1184"/>
      <c r="AB165" s="174" t="str">
        <f t="shared" ref="AB165:AB182" si="11">K165&amp;" год"</f>
        <v>2056 год</v>
      </c>
      <c r="AC165" s="1616"/>
      <c r="AD165" s="1619"/>
      <c r="AE165" s="1620"/>
      <c r="AF165" s="1620"/>
      <c r="AG165" s="1619"/>
      <c r="AH165" s="1636"/>
      <c r="AI165" s="1636"/>
      <c r="AJ165" s="1619"/>
      <c r="AK165" s="1621"/>
      <c r="AL165" s="324"/>
      <c r="AM165" s="1184"/>
      <c r="AN165" s="1184"/>
      <c r="AO165" s="973" cm="1">
        <f t="array" ref="AO165">K165</f>
        <v>2056</v>
      </c>
      <c r="AP165" s="1184"/>
      <c r="AQ165" s="1184"/>
    </row>
    <row r="166" spans="1:43" s="1709" customFormat="1" ht="14.25" hidden="1" customHeight="1" x14ac:dyDescent="0.15">
      <c r="A166" s="1184"/>
      <c r="B166" s="367" t="b">
        <f t="shared" si="10"/>
        <v>0</v>
      </c>
      <c r="C166" s="1184"/>
      <c r="D166" s="1184"/>
      <c r="E166" s="626">
        <v>15</v>
      </c>
      <c r="F166" s="3" t="str" cm="1">
        <f t="array" aca="1" ref="F166" ca="1">OFFSET(E166,-1,1)</f>
        <v>2</v>
      </c>
      <c r="G166" s="1184"/>
      <c r="H166" s="1184"/>
      <c r="I166" s="1184"/>
      <c r="J166" s="1184"/>
      <c r="K166" s="77">
        <f>first_year+33</f>
        <v>2057</v>
      </c>
      <c r="L166" s="1184"/>
      <c r="M166" s="1184"/>
      <c r="N166" s="1184"/>
      <c r="O166" s="1184"/>
      <c r="P166" s="1184"/>
      <c r="Q166" s="1184"/>
      <c r="R166" s="1184"/>
      <c r="S166" s="1184"/>
      <c r="T166" s="388" t="b" cm="1">
        <f t="array" ref="T166">T165</f>
        <v>1</v>
      </c>
      <c r="U166" s="1184"/>
      <c r="V166" s="1184"/>
      <c r="W166" s="1184"/>
      <c r="X166" s="2032"/>
      <c r="Y166" s="1184"/>
      <c r="Z166" s="2012"/>
      <c r="AA166" s="1184"/>
      <c r="AB166" s="174" t="str">
        <f t="shared" si="11"/>
        <v>2057 год</v>
      </c>
      <c r="AC166" s="1616"/>
      <c r="AD166" s="1619"/>
      <c r="AE166" s="1620"/>
      <c r="AF166" s="1620"/>
      <c r="AG166" s="1619"/>
      <c r="AH166" s="1636"/>
      <c r="AI166" s="1636"/>
      <c r="AJ166" s="1619"/>
      <c r="AK166" s="1621"/>
      <c r="AL166" s="324"/>
      <c r="AM166" s="1184"/>
      <c r="AN166" s="1184"/>
      <c r="AO166" s="973" cm="1">
        <f t="array" ref="AO166">K166</f>
        <v>2057</v>
      </c>
      <c r="AP166" s="1184"/>
      <c r="AQ166" s="1184"/>
    </row>
    <row r="167" spans="1:43" s="1710" customFormat="1" ht="14.25" hidden="1" customHeight="1" x14ac:dyDescent="0.15">
      <c r="A167" s="1184"/>
      <c r="B167" s="367" t="b">
        <f t="shared" si="10"/>
        <v>0</v>
      </c>
      <c r="C167" s="1184"/>
      <c r="D167" s="1184"/>
      <c r="E167" s="626">
        <v>15</v>
      </c>
      <c r="F167" s="3" t="str" cm="1">
        <f t="array" aca="1" ref="F167" ca="1">OFFSET(E167,-1,1)</f>
        <v>2</v>
      </c>
      <c r="G167" s="1184"/>
      <c r="H167" s="1184"/>
      <c r="I167" s="1184"/>
      <c r="J167" s="1184"/>
      <c r="K167" s="77">
        <f>first_year+34</f>
        <v>2058</v>
      </c>
      <c r="L167" s="1184"/>
      <c r="M167" s="1184"/>
      <c r="N167" s="1184"/>
      <c r="O167" s="1184"/>
      <c r="P167" s="1184"/>
      <c r="Q167" s="1184"/>
      <c r="R167" s="1184"/>
      <c r="S167" s="1184"/>
      <c r="T167" s="388" t="b" cm="1">
        <f t="array" ref="T167">T166</f>
        <v>1</v>
      </c>
      <c r="U167" s="1184"/>
      <c r="V167" s="1184"/>
      <c r="W167" s="1184"/>
      <c r="X167" s="2032"/>
      <c r="Y167" s="1184"/>
      <c r="Z167" s="2012"/>
      <c r="AA167" s="1184"/>
      <c r="AB167" s="174" t="str">
        <f t="shared" si="11"/>
        <v>2058 год</v>
      </c>
      <c r="AC167" s="1616"/>
      <c r="AD167" s="1619"/>
      <c r="AE167" s="1620"/>
      <c r="AF167" s="1620"/>
      <c r="AG167" s="1619"/>
      <c r="AH167" s="1636"/>
      <c r="AI167" s="1636"/>
      <c r="AJ167" s="1619"/>
      <c r="AK167" s="1621"/>
      <c r="AL167" s="324"/>
      <c r="AM167" s="1184"/>
      <c r="AN167" s="1184"/>
      <c r="AO167" s="973" cm="1">
        <f t="array" ref="AO167">K167</f>
        <v>2058</v>
      </c>
      <c r="AP167" s="1184"/>
      <c r="AQ167" s="1184"/>
    </row>
    <row r="168" spans="1:43" s="1711" customFormat="1" ht="14.25" hidden="1" customHeight="1" x14ac:dyDescent="0.15">
      <c r="A168" s="1184"/>
      <c r="B168" s="367" t="b">
        <f t="shared" si="10"/>
        <v>0</v>
      </c>
      <c r="C168" s="1184"/>
      <c r="D168" s="1184"/>
      <c r="E168" s="626">
        <v>15</v>
      </c>
      <c r="F168" s="3" t="str" cm="1">
        <f t="array" aca="1" ref="F168" ca="1">OFFSET(E168,-1,1)</f>
        <v>2</v>
      </c>
      <c r="G168" s="1184"/>
      <c r="H168" s="1184"/>
      <c r="I168" s="1184"/>
      <c r="J168" s="1184"/>
      <c r="K168" s="77">
        <f>first_year+35</f>
        <v>2059</v>
      </c>
      <c r="L168" s="1184"/>
      <c r="M168" s="1184"/>
      <c r="N168" s="1184"/>
      <c r="O168" s="1184"/>
      <c r="P168" s="1184"/>
      <c r="Q168" s="1184"/>
      <c r="R168" s="1184"/>
      <c r="S168" s="1184"/>
      <c r="T168" s="388" t="b" cm="1">
        <f t="array" ref="T168">T167</f>
        <v>1</v>
      </c>
      <c r="U168" s="1184"/>
      <c r="V168" s="1184"/>
      <c r="W168" s="1184"/>
      <c r="X168" s="2032"/>
      <c r="Y168" s="1184"/>
      <c r="Z168" s="2012"/>
      <c r="AA168" s="1184"/>
      <c r="AB168" s="174" t="str">
        <f t="shared" si="11"/>
        <v>2059 год</v>
      </c>
      <c r="AC168" s="1616"/>
      <c r="AD168" s="1619"/>
      <c r="AE168" s="1620"/>
      <c r="AF168" s="1620"/>
      <c r="AG168" s="1619"/>
      <c r="AH168" s="1636"/>
      <c r="AI168" s="1636"/>
      <c r="AJ168" s="1619"/>
      <c r="AK168" s="1621"/>
      <c r="AL168" s="324"/>
      <c r="AM168" s="1184"/>
      <c r="AN168" s="1184"/>
      <c r="AO168" s="973" cm="1">
        <f t="array" ref="AO168">K168</f>
        <v>2059</v>
      </c>
      <c r="AP168" s="1184"/>
      <c r="AQ168" s="1184"/>
    </row>
    <row r="169" spans="1:43" s="1712" customFormat="1" ht="14.25" hidden="1" customHeight="1" x14ac:dyDescent="0.15">
      <c r="A169" s="1184"/>
      <c r="B169" s="367" t="b">
        <f t="shared" si="10"/>
        <v>0</v>
      </c>
      <c r="C169" s="1184"/>
      <c r="D169" s="1184"/>
      <c r="E169" s="626">
        <v>15</v>
      </c>
      <c r="F169" s="3" t="str" cm="1">
        <f t="array" aca="1" ref="F169" ca="1">OFFSET(E169,-1,1)</f>
        <v>2</v>
      </c>
      <c r="G169" s="1184"/>
      <c r="H169" s="1184"/>
      <c r="I169" s="1184"/>
      <c r="J169" s="1184"/>
      <c r="K169" s="77">
        <f>first_year+36</f>
        <v>2060</v>
      </c>
      <c r="L169" s="1184"/>
      <c r="M169" s="1184"/>
      <c r="N169" s="1184"/>
      <c r="O169" s="1184"/>
      <c r="P169" s="1184"/>
      <c r="Q169" s="1184"/>
      <c r="R169" s="1184"/>
      <c r="S169" s="1184"/>
      <c r="T169" s="388" t="b" cm="1">
        <f t="array" ref="T169">T168</f>
        <v>1</v>
      </c>
      <c r="U169" s="1184"/>
      <c r="V169" s="1184"/>
      <c r="W169" s="1184"/>
      <c r="X169" s="2032"/>
      <c r="Y169" s="1184"/>
      <c r="Z169" s="2012"/>
      <c r="AA169" s="1184"/>
      <c r="AB169" s="174" t="str">
        <f t="shared" si="11"/>
        <v>2060 год</v>
      </c>
      <c r="AC169" s="1616"/>
      <c r="AD169" s="1619"/>
      <c r="AE169" s="1620"/>
      <c r="AF169" s="1620"/>
      <c r="AG169" s="1619"/>
      <c r="AH169" s="1636"/>
      <c r="AI169" s="1636"/>
      <c r="AJ169" s="1619"/>
      <c r="AK169" s="1621"/>
      <c r="AL169" s="324"/>
      <c r="AM169" s="1184"/>
      <c r="AN169" s="1184"/>
      <c r="AO169" s="973" cm="1">
        <f t="array" ref="AO169">K169</f>
        <v>2060</v>
      </c>
      <c r="AP169" s="1184"/>
      <c r="AQ169" s="1184"/>
    </row>
    <row r="170" spans="1:43" s="1713" customFormat="1" ht="14.25" hidden="1" customHeight="1" x14ac:dyDescent="0.15">
      <c r="A170" s="1184"/>
      <c r="B170" s="367" t="b">
        <f t="shared" si="10"/>
        <v>0</v>
      </c>
      <c r="C170" s="1184"/>
      <c r="D170" s="1184"/>
      <c r="E170" s="626">
        <v>15</v>
      </c>
      <c r="F170" s="3" t="str" cm="1">
        <f t="array" aca="1" ref="F170" ca="1">OFFSET(E170,-1,1)</f>
        <v>2</v>
      </c>
      <c r="G170" s="1184"/>
      <c r="H170" s="1184"/>
      <c r="I170" s="1184"/>
      <c r="J170" s="1184"/>
      <c r="K170" s="77">
        <f>first_year+37</f>
        <v>2061</v>
      </c>
      <c r="L170" s="1184"/>
      <c r="M170" s="1184"/>
      <c r="N170" s="1184"/>
      <c r="O170" s="1184"/>
      <c r="P170" s="1184"/>
      <c r="Q170" s="1184"/>
      <c r="R170" s="1184"/>
      <c r="S170" s="1184"/>
      <c r="T170" s="388" t="b" cm="1">
        <f t="array" ref="T170">T169</f>
        <v>1</v>
      </c>
      <c r="U170" s="1184"/>
      <c r="V170" s="1184"/>
      <c r="W170" s="1184"/>
      <c r="X170" s="2032"/>
      <c r="Y170" s="1184"/>
      <c r="Z170" s="2012"/>
      <c r="AA170" s="1184"/>
      <c r="AB170" s="174" t="str">
        <f t="shared" si="11"/>
        <v>2061 год</v>
      </c>
      <c r="AC170" s="1616"/>
      <c r="AD170" s="1619"/>
      <c r="AE170" s="1620"/>
      <c r="AF170" s="1620"/>
      <c r="AG170" s="1619"/>
      <c r="AH170" s="1636"/>
      <c r="AI170" s="1636"/>
      <c r="AJ170" s="1619"/>
      <c r="AK170" s="1621"/>
      <c r="AL170" s="324"/>
      <c r="AM170" s="1184"/>
      <c r="AN170" s="1184"/>
      <c r="AO170" s="973" cm="1">
        <f t="array" ref="AO170">K170</f>
        <v>2061</v>
      </c>
      <c r="AP170" s="1184"/>
      <c r="AQ170" s="1184"/>
    </row>
    <row r="171" spans="1:43" s="1714" customFormat="1" ht="14.25" hidden="1" customHeight="1" x14ac:dyDescent="0.15">
      <c r="A171" s="1184"/>
      <c r="B171" s="367" t="b">
        <f t="shared" si="10"/>
        <v>0</v>
      </c>
      <c r="C171" s="1184"/>
      <c r="D171" s="1184"/>
      <c r="E171" s="626">
        <v>15</v>
      </c>
      <c r="F171" s="3" t="str" cm="1">
        <f t="array" aca="1" ref="F171" ca="1">OFFSET(E171,-1,1)</f>
        <v>2</v>
      </c>
      <c r="G171" s="1184"/>
      <c r="H171" s="1184"/>
      <c r="I171" s="1184"/>
      <c r="J171" s="1184"/>
      <c r="K171" s="77">
        <f>first_year+38</f>
        <v>2062</v>
      </c>
      <c r="L171" s="1184"/>
      <c r="M171" s="1184"/>
      <c r="N171" s="1184"/>
      <c r="O171" s="1184"/>
      <c r="P171" s="1184"/>
      <c r="Q171" s="1184"/>
      <c r="R171" s="1184"/>
      <c r="S171" s="1184"/>
      <c r="T171" s="388" t="b" cm="1">
        <f t="array" ref="T171">T170</f>
        <v>1</v>
      </c>
      <c r="U171" s="1184"/>
      <c r="V171" s="1184"/>
      <c r="W171" s="1184"/>
      <c r="X171" s="2032"/>
      <c r="Y171" s="1184"/>
      <c r="Z171" s="2012"/>
      <c r="AA171" s="1184"/>
      <c r="AB171" s="174" t="str">
        <f t="shared" si="11"/>
        <v>2062 год</v>
      </c>
      <c r="AC171" s="1616"/>
      <c r="AD171" s="1619"/>
      <c r="AE171" s="1620"/>
      <c r="AF171" s="1620"/>
      <c r="AG171" s="1619"/>
      <c r="AH171" s="1636"/>
      <c r="AI171" s="1636"/>
      <c r="AJ171" s="1619"/>
      <c r="AK171" s="1621"/>
      <c r="AL171" s="324"/>
      <c r="AM171" s="1184"/>
      <c r="AN171" s="1184"/>
      <c r="AO171" s="973" cm="1">
        <f t="array" ref="AO171">K171</f>
        <v>2062</v>
      </c>
      <c r="AP171" s="1184"/>
      <c r="AQ171" s="1184"/>
    </row>
    <row r="172" spans="1:43" s="1715" customFormat="1" ht="14.25" hidden="1" customHeight="1" x14ac:dyDescent="0.15">
      <c r="A172" s="1184"/>
      <c r="B172" s="367" t="b">
        <f t="shared" si="10"/>
        <v>0</v>
      </c>
      <c r="C172" s="1184"/>
      <c r="D172" s="1184"/>
      <c r="E172" s="626">
        <v>15</v>
      </c>
      <c r="F172" s="3" t="str" cm="1">
        <f t="array" aca="1" ref="F172" ca="1">OFFSET(E172,-1,1)</f>
        <v>2</v>
      </c>
      <c r="G172" s="1184"/>
      <c r="H172" s="1184"/>
      <c r="I172" s="1184"/>
      <c r="J172" s="1184"/>
      <c r="K172" s="77">
        <f>first_year+39</f>
        <v>2063</v>
      </c>
      <c r="L172" s="1184"/>
      <c r="M172" s="1184"/>
      <c r="N172" s="1184"/>
      <c r="O172" s="1184"/>
      <c r="P172" s="1184"/>
      <c r="Q172" s="1184"/>
      <c r="R172" s="1184"/>
      <c r="S172" s="1184"/>
      <c r="T172" s="388" t="b" cm="1">
        <f t="array" ref="T172">T171</f>
        <v>1</v>
      </c>
      <c r="U172" s="1184"/>
      <c r="V172" s="1184"/>
      <c r="W172" s="1184"/>
      <c r="X172" s="2032"/>
      <c r="Y172" s="1184"/>
      <c r="Z172" s="2012"/>
      <c r="AA172" s="1184"/>
      <c r="AB172" s="174" t="str">
        <f t="shared" si="11"/>
        <v>2063 год</v>
      </c>
      <c r="AC172" s="1616"/>
      <c r="AD172" s="1619"/>
      <c r="AE172" s="1620"/>
      <c r="AF172" s="1620"/>
      <c r="AG172" s="1619"/>
      <c r="AH172" s="1636"/>
      <c r="AI172" s="1636"/>
      <c r="AJ172" s="1619"/>
      <c r="AK172" s="1621"/>
      <c r="AL172" s="324"/>
      <c r="AM172" s="1184"/>
      <c r="AN172" s="1184"/>
      <c r="AO172" s="973" cm="1">
        <f t="array" ref="AO172">K172</f>
        <v>2063</v>
      </c>
      <c r="AP172" s="1184"/>
      <c r="AQ172" s="1184"/>
    </row>
    <row r="173" spans="1:43" s="1716" customFormat="1" ht="14.25" hidden="1" customHeight="1" x14ac:dyDescent="0.15">
      <c r="A173" s="1184"/>
      <c r="B173" s="367" t="b">
        <f t="shared" si="10"/>
        <v>0</v>
      </c>
      <c r="C173" s="1184"/>
      <c r="D173" s="1184"/>
      <c r="E173" s="626">
        <v>15</v>
      </c>
      <c r="F173" s="3" t="str" cm="1">
        <f t="array" aca="1" ref="F173" ca="1">OFFSET(E173,-1,1)</f>
        <v>2</v>
      </c>
      <c r="G173" s="1184"/>
      <c r="H173" s="1184"/>
      <c r="I173" s="1184"/>
      <c r="J173" s="1184"/>
      <c r="K173" s="77">
        <f>first_year+40</f>
        <v>2064</v>
      </c>
      <c r="L173" s="1184"/>
      <c r="M173" s="1184"/>
      <c r="N173" s="1184"/>
      <c r="O173" s="1184"/>
      <c r="P173" s="1184"/>
      <c r="Q173" s="1184"/>
      <c r="R173" s="1184"/>
      <c r="S173" s="1184"/>
      <c r="T173" s="388" t="b" cm="1">
        <f t="array" ref="T173">T172</f>
        <v>1</v>
      </c>
      <c r="U173" s="1184"/>
      <c r="V173" s="1184"/>
      <c r="W173" s="1184"/>
      <c r="X173" s="2032"/>
      <c r="Y173" s="1184"/>
      <c r="Z173" s="2012"/>
      <c r="AA173" s="1184"/>
      <c r="AB173" s="174" t="str">
        <f t="shared" si="11"/>
        <v>2064 год</v>
      </c>
      <c r="AC173" s="1616"/>
      <c r="AD173" s="1619"/>
      <c r="AE173" s="1620"/>
      <c r="AF173" s="1620"/>
      <c r="AG173" s="1619"/>
      <c r="AH173" s="1636"/>
      <c r="AI173" s="1636"/>
      <c r="AJ173" s="1619"/>
      <c r="AK173" s="1621"/>
      <c r="AL173" s="324"/>
      <c r="AM173" s="1184"/>
      <c r="AN173" s="1184"/>
      <c r="AO173" s="973" cm="1">
        <f t="array" ref="AO173">K173</f>
        <v>2064</v>
      </c>
      <c r="AP173" s="1184"/>
      <c r="AQ173" s="1184"/>
    </row>
    <row r="174" spans="1:43" s="1717" customFormat="1" ht="14.25" hidden="1" customHeight="1" x14ac:dyDescent="0.15">
      <c r="A174" s="1184"/>
      <c r="B174" s="367" t="b">
        <f t="shared" si="10"/>
        <v>0</v>
      </c>
      <c r="C174" s="1184"/>
      <c r="D174" s="1184"/>
      <c r="E174" s="626">
        <v>15</v>
      </c>
      <c r="F174" s="3" t="str" cm="1">
        <f t="array" aca="1" ref="F174" ca="1">OFFSET(E174,-1,1)</f>
        <v>2</v>
      </c>
      <c r="G174" s="1184"/>
      <c r="H174" s="1184"/>
      <c r="I174" s="1184"/>
      <c r="J174" s="1184"/>
      <c r="K174" s="77">
        <f>first_year+41</f>
        <v>2065</v>
      </c>
      <c r="L174" s="1184"/>
      <c r="M174" s="1184"/>
      <c r="N174" s="1184"/>
      <c r="O174" s="1184"/>
      <c r="P174" s="1184"/>
      <c r="Q174" s="1184"/>
      <c r="R174" s="1184"/>
      <c r="S174" s="1184"/>
      <c r="T174" s="388" t="b" cm="1">
        <f t="array" ref="T174">T173</f>
        <v>1</v>
      </c>
      <c r="U174" s="1184"/>
      <c r="V174" s="1184"/>
      <c r="W174" s="1184"/>
      <c r="X174" s="2032"/>
      <c r="Y174" s="1184"/>
      <c r="Z174" s="2012"/>
      <c r="AA174" s="1184"/>
      <c r="AB174" s="174" t="str">
        <f t="shared" si="11"/>
        <v>2065 год</v>
      </c>
      <c r="AC174" s="1616"/>
      <c r="AD174" s="1619"/>
      <c r="AE174" s="1620"/>
      <c r="AF174" s="1620"/>
      <c r="AG174" s="1619"/>
      <c r="AH174" s="1636"/>
      <c r="AI174" s="1636"/>
      <c r="AJ174" s="1619"/>
      <c r="AK174" s="1621"/>
      <c r="AL174" s="324"/>
      <c r="AM174" s="1184"/>
      <c r="AN174" s="1184"/>
      <c r="AO174" s="973" cm="1">
        <f t="array" ref="AO174">K174</f>
        <v>2065</v>
      </c>
      <c r="AP174" s="1184"/>
      <c r="AQ174" s="1184"/>
    </row>
    <row r="175" spans="1:43" s="1718" customFormat="1" ht="14.25" hidden="1" customHeight="1" x14ac:dyDescent="0.15">
      <c r="A175" s="1184"/>
      <c r="B175" s="367" t="b">
        <f t="shared" si="10"/>
        <v>0</v>
      </c>
      <c r="C175" s="1184"/>
      <c r="D175" s="1184"/>
      <c r="E175" s="626">
        <v>15</v>
      </c>
      <c r="F175" s="3" t="str" cm="1">
        <f t="array" aca="1" ref="F175" ca="1">OFFSET(E175,-1,1)</f>
        <v>2</v>
      </c>
      <c r="G175" s="1184"/>
      <c r="H175" s="1184"/>
      <c r="I175" s="1184"/>
      <c r="J175" s="1184"/>
      <c r="K175" s="77">
        <f>first_year+42</f>
        <v>2066</v>
      </c>
      <c r="L175" s="1184"/>
      <c r="M175" s="1184"/>
      <c r="N175" s="1184"/>
      <c r="O175" s="1184"/>
      <c r="P175" s="1184"/>
      <c r="Q175" s="1184"/>
      <c r="R175" s="1184"/>
      <c r="S175" s="1184"/>
      <c r="T175" s="388" t="b" cm="1">
        <f t="array" ref="T175">T174</f>
        <v>1</v>
      </c>
      <c r="U175" s="1184"/>
      <c r="V175" s="1184"/>
      <c r="W175" s="1184"/>
      <c r="X175" s="2032"/>
      <c r="Y175" s="1184"/>
      <c r="Z175" s="2012"/>
      <c r="AA175" s="1184"/>
      <c r="AB175" s="174" t="str">
        <f t="shared" si="11"/>
        <v>2066 год</v>
      </c>
      <c r="AC175" s="1616"/>
      <c r="AD175" s="1619"/>
      <c r="AE175" s="1620"/>
      <c r="AF175" s="1620"/>
      <c r="AG175" s="1619"/>
      <c r="AH175" s="1636"/>
      <c r="AI175" s="1636"/>
      <c r="AJ175" s="1619"/>
      <c r="AK175" s="1621"/>
      <c r="AL175" s="324"/>
      <c r="AM175" s="1184"/>
      <c r="AN175" s="1184"/>
      <c r="AO175" s="973" cm="1">
        <f t="array" ref="AO175">K175</f>
        <v>2066</v>
      </c>
      <c r="AP175" s="1184"/>
      <c r="AQ175" s="1184"/>
    </row>
    <row r="176" spans="1:43" s="1719" customFormat="1" ht="14.25" hidden="1" customHeight="1" x14ac:dyDescent="0.15">
      <c r="A176" s="1184"/>
      <c r="B176" s="367" t="b">
        <f t="shared" si="10"/>
        <v>0</v>
      </c>
      <c r="C176" s="1184"/>
      <c r="D176" s="1184"/>
      <c r="E176" s="626">
        <v>15</v>
      </c>
      <c r="F176" s="3" t="str" cm="1">
        <f t="array" aca="1" ref="F176" ca="1">OFFSET(E176,-1,1)</f>
        <v>2</v>
      </c>
      <c r="G176" s="1184"/>
      <c r="H176" s="1184"/>
      <c r="I176" s="1184"/>
      <c r="J176" s="1184"/>
      <c r="K176" s="77">
        <f>first_year+43</f>
        <v>2067</v>
      </c>
      <c r="L176" s="1184"/>
      <c r="M176" s="1184"/>
      <c r="N176" s="1184"/>
      <c r="O176" s="1184"/>
      <c r="P176" s="1184"/>
      <c r="Q176" s="1184"/>
      <c r="R176" s="1184"/>
      <c r="S176" s="1184"/>
      <c r="T176" s="388" t="b" cm="1">
        <f t="array" ref="T176">T175</f>
        <v>1</v>
      </c>
      <c r="U176" s="1184"/>
      <c r="V176" s="1184"/>
      <c r="W176" s="1184"/>
      <c r="X176" s="2032"/>
      <c r="Y176" s="1184"/>
      <c r="Z176" s="2012"/>
      <c r="AA176" s="1184"/>
      <c r="AB176" s="174" t="str">
        <f t="shared" si="11"/>
        <v>2067 год</v>
      </c>
      <c r="AC176" s="1616"/>
      <c r="AD176" s="1619"/>
      <c r="AE176" s="1620"/>
      <c r="AF176" s="1620"/>
      <c r="AG176" s="1619"/>
      <c r="AH176" s="1636"/>
      <c r="AI176" s="1636"/>
      <c r="AJ176" s="1619"/>
      <c r="AK176" s="1621"/>
      <c r="AL176" s="324"/>
      <c r="AM176" s="1184"/>
      <c r="AN176" s="1184"/>
      <c r="AO176" s="973" cm="1">
        <f t="array" ref="AO176">K176</f>
        <v>2067</v>
      </c>
      <c r="AP176" s="1184"/>
      <c r="AQ176" s="1184"/>
    </row>
    <row r="177" spans="1:43" s="1720" customFormat="1" ht="14.25" hidden="1" customHeight="1" x14ac:dyDescent="0.15">
      <c r="A177" s="1184"/>
      <c r="B177" s="367" t="b">
        <f t="shared" si="10"/>
        <v>0</v>
      </c>
      <c r="C177" s="1184"/>
      <c r="D177" s="1184"/>
      <c r="E177" s="626">
        <v>15</v>
      </c>
      <c r="F177" s="3" t="str" cm="1">
        <f t="array" aca="1" ref="F177" ca="1">OFFSET(E177,-1,1)</f>
        <v>2</v>
      </c>
      <c r="G177" s="1184"/>
      <c r="H177" s="1184"/>
      <c r="I177" s="1184"/>
      <c r="J177" s="1184"/>
      <c r="K177" s="77">
        <f>first_year+44</f>
        <v>2068</v>
      </c>
      <c r="L177" s="1184"/>
      <c r="M177" s="1184"/>
      <c r="N177" s="1184"/>
      <c r="O177" s="1184"/>
      <c r="P177" s="1184"/>
      <c r="Q177" s="1184"/>
      <c r="R177" s="1184"/>
      <c r="S177" s="1184"/>
      <c r="T177" s="388" t="b" cm="1">
        <f t="array" ref="T177">T176</f>
        <v>1</v>
      </c>
      <c r="U177" s="1184"/>
      <c r="V177" s="1184"/>
      <c r="W177" s="1184"/>
      <c r="X177" s="2032"/>
      <c r="Y177" s="1184"/>
      <c r="Z177" s="2012"/>
      <c r="AA177" s="1184"/>
      <c r="AB177" s="174" t="str">
        <f t="shared" si="11"/>
        <v>2068 год</v>
      </c>
      <c r="AC177" s="1616"/>
      <c r="AD177" s="1619"/>
      <c r="AE177" s="1620"/>
      <c r="AF177" s="1620"/>
      <c r="AG177" s="1619"/>
      <c r="AH177" s="1636"/>
      <c r="AI177" s="1636"/>
      <c r="AJ177" s="1619"/>
      <c r="AK177" s="1621"/>
      <c r="AL177" s="324"/>
      <c r="AM177" s="1184"/>
      <c r="AN177" s="1184"/>
      <c r="AO177" s="973" cm="1">
        <f t="array" ref="AO177">K177</f>
        <v>2068</v>
      </c>
      <c r="AP177" s="1184"/>
      <c r="AQ177" s="1184"/>
    </row>
    <row r="178" spans="1:43" s="1721" customFormat="1" ht="14.25" hidden="1" customHeight="1" x14ac:dyDescent="0.15">
      <c r="A178" s="1184"/>
      <c r="B178" s="367" t="b">
        <f t="shared" si="10"/>
        <v>0</v>
      </c>
      <c r="C178" s="1184"/>
      <c r="D178" s="1184"/>
      <c r="E178" s="626">
        <v>15</v>
      </c>
      <c r="F178" s="3" t="str" cm="1">
        <f t="array" aca="1" ref="F178" ca="1">OFFSET(E178,-1,1)</f>
        <v>2</v>
      </c>
      <c r="G178" s="1184"/>
      <c r="H178" s="1184"/>
      <c r="I178" s="1184"/>
      <c r="J178" s="1184"/>
      <c r="K178" s="77">
        <f>first_year+45</f>
        <v>2069</v>
      </c>
      <c r="L178" s="1184"/>
      <c r="M178" s="1184"/>
      <c r="N178" s="1184"/>
      <c r="O178" s="1184"/>
      <c r="P178" s="1184"/>
      <c r="Q178" s="1184"/>
      <c r="R178" s="1184"/>
      <c r="S178" s="1184"/>
      <c r="T178" s="388" t="b" cm="1">
        <f t="array" ref="T178">T177</f>
        <v>1</v>
      </c>
      <c r="U178" s="1184"/>
      <c r="V178" s="1184"/>
      <c r="W178" s="1184"/>
      <c r="X178" s="2032"/>
      <c r="Y178" s="1184"/>
      <c r="Z178" s="2012"/>
      <c r="AA178" s="1184"/>
      <c r="AB178" s="174" t="str">
        <f t="shared" si="11"/>
        <v>2069 год</v>
      </c>
      <c r="AC178" s="1616"/>
      <c r="AD178" s="1619"/>
      <c r="AE178" s="1620"/>
      <c r="AF178" s="1620"/>
      <c r="AG178" s="1619"/>
      <c r="AH178" s="1636"/>
      <c r="AI178" s="1636"/>
      <c r="AJ178" s="1619"/>
      <c r="AK178" s="1621"/>
      <c r="AL178" s="324"/>
      <c r="AM178" s="1184"/>
      <c r="AN178" s="1184"/>
      <c r="AO178" s="973" cm="1">
        <f t="array" ref="AO178">K178</f>
        <v>2069</v>
      </c>
      <c r="AP178" s="1184"/>
      <c r="AQ178" s="1184"/>
    </row>
    <row r="179" spans="1:43" s="1722" customFormat="1" ht="14.25" hidden="1" customHeight="1" x14ac:dyDescent="0.15">
      <c r="A179" s="1184"/>
      <c r="B179" s="367" t="b">
        <f t="shared" si="10"/>
        <v>0</v>
      </c>
      <c r="C179" s="1184"/>
      <c r="D179" s="1184"/>
      <c r="E179" s="626">
        <v>15</v>
      </c>
      <c r="F179" s="3" t="str" cm="1">
        <f t="array" aca="1" ref="F179" ca="1">OFFSET(E179,-1,1)</f>
        <v>2</v>
      </c>
      <c r="G179" s="1184"/>
      <c r="H179" s="1184"/>
      <c r="I179" s="1184"/>
      <c r="J179" s="1184"/>
      <c r="K179" s="77">
        <f>first_year+46</f>
        <v>2070</v>
      </c>
      <c r="L179" s="1184"/>
      <c r="M179" s="1184"/>
      <c r="N179" s="1184"/>
      <c r="O179" s="1184"/>
      <c r="P179" s="1184"/>
      <c r="Q179" s="1184"/>
      <c r="R179" s="1184"/>
      <c r="S179" s="1184"/>
      <c r="T179" s="388" t="b" cm="1">
        <f t="array" ref="T179">T178</f>
        <v>1</v>
      </c>
      <c r="U179" s="1184"/>
      <c r="V179" s="1184"/>
      <c r="W179" s="1184"/>
      <c r="X179" s="2032"/>
      <c r="Y179" s="1184"/>
      <c r="Z179" s="2012"/>
      <c r="AA179" s="1184"/>
      <c r="AB179" s="174" t="str">
        <f t="shared" si="11"/>
        <v>2070 год</v>
      </c>
      <c r="AC179" s="1616"/>
      <c r="AD179" s="1619"/>
      <c r="AE179" s="1620"/>
      <c r="AF179" s="1620"/>
      <c r="AG179" s="1619"/>
      <c r="AH179" s="1636"/>
      <c r="AI179" s="1636"/>
      <c r="AJ179" s="1619"/>
      <c r="AK179" s="1621"/>
      <c r="AL179" s="324"/>
      <c r="AM179" s="1184"/>
      <c r="AN179" s="1184"/>
      <c r="AO179" s="973" cm="1">
        <f t="array" ref="AO179">K179</f>
        <v>2070</v>
      </c>
      <c r="AP179" s="1184"/>
      <c r="AQ179" s="1184"/>
    </row>
    <row r="180" spans="1:43" s="1723" customFormat="1" ht="14.25" hidden="1" customHeight="1" x14ac:dyDescent="0.15">
      <c r="A180" s="1184"/>
      <c r="B180" s="367" t="b">
        <f t="shared" si="10"/>
        <v>0</v>
      </c>
      <c r="C180" s="1184"/>
      <c r="D180" s="1184"/>
      <c r="E180" s="626">
        <v>15</v>
      </c>
      <c r="F180" s="3" t="str" cm="1">
        <f t="array" aca="1" ref="F180" ca="1">OFFSET(E180,-1,1)</f>
        <v>2</v>
      </c>
      <c r="G180" s="1184"/>
      <c r="H180" s="1184"/>
      <c r="I180" s="1184"/>
      <c r="J180" s="1184"/>
      <c r="K180" s="77">
        <f>first_year+47</f>
        <v>2071</v>
      </c>
      <c r="L180" s="1184"/>
      <c r="M180" s="1184"/>
      <c r="N180" s="1184"/>
      <c r="O180" s="1184"/>
      <c r="P180" s="1184"/>
      <c r="Q180" s="1184"/>
      <c r="R180" s="1184"/>
      <c r="S180" s="1184"/>
      <c r="T180" s="388" t="b" cm="1">
        <f t="array" ref="T180">T179</f>
        <v>1</v>
      </c>
      <c r="U180" s="1184"/>
      <c r="V180" s="1184"/>
      <c r="W180" s="1184"/>
      <c r="X180" s="2032"/>
      <c r="Y180" s="1184"/>
      <c r="Z180" s="2012"/>
      <c r="AA180" s="1184"/>
      <c r="AB180" s="174" t="str">
        <f t="shared" si="11"/>
        <v>2071 год</v>
      </c>
      <c r="AC180" s="1616"/>
      <c r="AD180" s="1619"/>
      <c r="AE180" s="1620"/>
      <c r="AF180" s="1620"/>
      <c r="AG180" s="1619"/>
      <c r="AH180" s="1636"/>
      <c r="AI180" s="1636"/>
      <c r="AJ180" s="1619"/>
      <c r="AK180" s="1621"/>
      <c r="AL180" s="324"/>
      <c r="AM180" s="1184"/>
      <c r="AN180" s="1184"/>
      <c r="AO180" s="973" cm="1">
        <f t="array" ref="AO180">K180</f>
        <v>2071</v>
      </c>
      <c r="AP180" s="1184"/>
      <c r="AQ180" s="1184"/>
    </row>
    <row r="181" spans="1:43" s="1724" customFormat="1" ht="14.25" hidden="1" customHeight="1" x14ac:dyDescent="0.15">
      <c r="A181" s="1184"/>
      <c r="B181" s="367" t="b">
        <f t="shared" si="10"/>
        <v>0</v>
      </c>
      <c r="C181" s="1184"/>
      <c r="D181" s="1184"/>
      <c r="E181" s="626">
        <v>15</v>
      </c>
      <c r="F181" s="3" t="str" cm="1">
        <f t="array" aca="1" ref="F181" ca="1">OFFSET(E181,-1,1)</f>
        <v>2</v>
      </c>
      <c r="G181" s="1184"/>
      <c r="H181" s="1184"/>
      <c r="I181" s="1184"/>
      <c r="J181" s="1184"/>
      <c r="K181" s="77">
        <f>first_year+48</f>
        <v>2072</v>
      </c>
      <c r="L181" s="1184"/>
      <c r="M181" s="1184"/>
      <c r="N181" s="1184"/>
      <c r="O181" s="1184"/>
      <c r="P181" s="1184"/>
      <c r="Q181" s="1184"/>
      <c r="R181" s="1184"/>
      <c r="S181" s="1184"/>
      <c r="T181" s="388" t="b" cm="1">
        <f t="array" ref="T181">T180</f>
        <v>1</v>
      </c>
      <c r="U181" s="1184"/>
      <c r="V181" s="1184"/>
      <c r="W181" s="1184"/>
      <c r="X181" s="2032"/>
      <c r="Y181" s="1184"/>
      <c r="Z181" s="2012"/>
      <c r="AA181" s="1184"/>
      <c r="AB181" s="174" t="str">
        <f t="shared" si="11"/>
        <v>2072 год</v>
      </c>
      <c r="AC181" s="1616"/>
      <c r="AD181" s="1619"/>
      <c r="AE181" s="1620"/>
      <c r="AF181" s="1620"/>
      <c r="AG181" s="1619"/>
      <c r="AH181" s="1636"/>
      <c r="AI181" s="1636"/>
      <c r="AJ181" s="1619"/>
      <c r="AK181" s="1621"/>
      <c r="AL181" s="324"/>
      <c r="AM181" s="1184"/>
      <c r="AN181" s="1184"/>
      <c r="AO181" s="973" cm="1">
        <f t="array" ref="AO181">K181</f>
        <v>2072</v>
      </c>
      <c r="AP181" s="1184"/>
      <c r="AQ181" s="1184"/>
    </row>
    <row r="182" spans="1:43" s="1725" customFormat="1" ht="14.25" hidden="1" customHeight="1" x14ac:dyDescent="0.15">
      <c r="A182" s="1184"/>
      <c r="B182" s="367" t="b">
        <f t="shared" si="10"/>
        <v>0</v>
      </c>
      <c r="C182" s="1184"/>
      <c r="D182" s="1184"/>
      <c r="E182" s="626">
        <v>15</v>
      </c>
      <c r="F182" s="3" t="str" cm="1">
        <f t="array" aca="1" ref="F182" ca="1">OFFSET(E182,-1,1)</f>
        <v>2</v>
      </c>
      <c r="G182" s="1184"/>
      <c r="H182" s="1184"/>
      <c r="I182" s="1184"/>
      <c r="J182" s="1184"/>
      <c r="K182" s="77">
        <f>first_year+49</f>
        <v>2073</v>
      </c>
      <c r="L182" s="1184"/>
      <c r="M182" s="1184"/>
      <c r="N182" s="1184"/>
      <c r="O182" s="1184"/>
      <c r="P182" s="1184"/>
      <c r="Q182" s="1184"/>
      <c r="R182" s="1184"/>
      <c r="S182" s="1184"/>
      <c r="T182" s="388" t="b" cm="1">
        <f t="array" ref="T182">T181</f>
        <v>1</v>
      </c>
      <c r="U182" s="1184"/>
      <c r="V182" s="1184"/>
      <c r="W182" s="1184"/>
      <c r="X182" s="2032"/>
      <c r="Y182" s="1184"/>
      <c r="Z182" s="2012"/>
      <c r="AA182" s="1184"/>
      <c r="AB182" s="174" t="str">
        <f t="shared" si="11"/>
        <v>2073 год</v>
      </c>
      <c r="AC182" s="1616"/>
      <c r="AD182" s="1619"/>
      <c r="AE182" s="1620"/>
      <c r="AF182" s="1620"/>
      <c r="AG182" s="1619"/>
      <c r="AH182" s="1636"/>
      <c r="AI182" s="1636"/>
      <c r="AJ182" s="1619"/>
      <c r="AK182" s="1621"/>
      <c r="AL182" s="324"/>
      <c r="AM182" s="1184"/>
      <c r="AN182" s="1184"/>
      <c r="AO182" s="973" cm="1">
        <f t="array" ref="AO182">K182</f>
        <v>2073</v>
      </c>
      <c r="AP182" s="1184"/>
      <c r="AQ182" s="1184"/>
    </row>
    <row r="183" spans="1:43" ht="10.7" customHeight="1" x14ac:dyDescent="0.15">
      <c r="E183" s="626">
        <v>11</v>
      </c>
      <c r="U183" s="619" t="s">
        <v>176</v>
      </c>
      <c r="V183" s="632" t="s">
        <v>2256</v>
      </c>
      <c r="AO183" s="915"/>
    </row>
    <row r="184" spans="1:43" s="1184" customFormat="1" ht="14.65" customHeight="1" x14ac:dyDescent="0.15">
      <c r="A184" s="17"/>
      <c r="B184" s="349"/>
      <c r="C184" s="17"/>
      <c r="D184" s="17"/>
      <c r="E184" s="556">
        <v>15</v>
      </c>
      <c r="F184" s="17"/>
      <c r="G184" s="17"/>
      <c r="H184" s="17"/>
      <c r="I184" s="17"/>
      <c r="J184" s="17"/>
      <c r="K184" s="17"/>
      <c r="L184" s="17"/>
      <c r="M184" s="17"/>
      <c r="N184" s="17"/>
      <c r="O184" s="17"/>
      <c r="P184" s="17"/>
      <c r="Q184" s="17"/>
      <c r="R184" s="17"/>
      <c r="S184" s="17"/>
      <c r="T184" s="17"/>
      <c r="U184" s="17"/>
      <c r="V184" s="17"/>
      <c r="W184" s="17"/>
      <c r="X184" s="17"/>
      <c r="Y184" s="17"/>
      <c r="Z184" s="17"/>
      <c r="AA184" s="17"/>
      <c r="AB184" s="2039" t="s">
        <v>402</v>
      </c>
      <c r="AC184" s="2039"/>
      <c r="AD184" s="2039"/>
      <c r="AE184" s="2039"/>
      <c r="AF184" s="2039"/>
      <c r="AG184" s="2039"/>
      <c r="AH184" s="2039"/>
      <c r="AI184" s="2039"/>
      <c r="AJ184" s="2039"/>
      <c r="AK184" s="2039"/>
      <c r="AL184" s="17"/>
      <c r="AO184" s="973"/>
    </row>
    <row r="185" spans="1:43" s="1184" customFormat="1" ht="14.65" customHeight="1" x14ac:dyDescent="0.15">
      <c r="A185" s="17"/>
      <c r="B185" s="349"/>
      <c r="C185" s="17"/>
      <c r="D185" s="17"/>
      <c r="E185" s="556">
        <v>15</v>
      </c>
      <c r="F185" s="17"/>
      <c r="G185" s="17"/>
      <c r="H185" s="17"/>
      <c r="I185" s="17"/>
      <c r="J185" s="17"/>
      <c r="K185" s="17"/>
      <c r="L185" s="17"/>
      <c r="M185" s="17"/>
      <c r="N185" s="17"/>
      <c r="O185" s="17"/>
      <c r="P185" s="17"/>
      <c r="Q185" s="17"/>
      <c r="R185" s="17"/>
      <c r="S185" s="17"/>
      <c r="T185" s="17"/>
      <c r="U185" s="17"/>
      <c r="V185" s="17"/>
      <c r="W185" s="17"/>
      <c r="X185" s="17"/>
      <c r="Y185" s="17"/>
      <c r="Z185" s="17"/>
      <c r="AA185" s="92"/>
      <c r="AB185" s="2123" t="s">
        <v>2257</v>
      </c>
      <c r="AC185" s="2123"/>
      <c r="AD185" s="2123"/>
      <c r="AE185" s="2123"/>
      <c r="AF185" s="2123"/>
      <c r="AG185" s="2123"/>
      <c r="AH185" s="2122"/>
      <c r="AI185" s="2122"/>
      <c r="AJ185" s="2122"/>
      <c r="AK185" s="2122"/>
      <c r="AL185" s="17"/>
      <c r="AO185" s="973"/>
    </row>
    <row r="186" spans="1:43" s="1334" customFormat="1" ht="14.65" hidden="1" customHeight="1" x14ac:dyDescent="0.15">
      <c r="A186" s="17"/>
      <c r="B186" s="349"/>
      <c r="C186" s="17"/>
      <c r="D186" s="17"/>
      <c r="E186" s="556">
        <v>15</v>
      </c>
      <c r="F186" s="17"/>
      <c r="G186" s="17"/>
      <c r="H186" s="17"/>
      <c r="I186" s="17"/>
      <c r="J186" s="17"/>
      <c r="K186" s="17"/>
      <c r="L186" s="17"/>
      <c r="M186" s="17"/>
      <c r="N186" s="17"/>
      <c r="O186" s="17"/>
      <c r="P186" s="17"/>
      <c r="Q186" s="17"/>
      <c r="R186" s="17"/>
      <c r="S186" s="17"/>
      <c r="T186" s="412" t="b">
        <f>ROW(W186)&gt;ROW(W$186)</f>
        <v>0</v>
      </c>
      <c r="U186" s="17"/>
      <c r="V186" s="17"/>
      <c r="W186" s="77" t="s">
        <v>172</v>
      </c>
      <c r="X186" s="17"/>
      <c r="Y186" s="17"/>
      <c r="Z186" s="17"/>
      <c r="AA186" s="342" t="s">
        <v>173</v>
      </c>
      <c r="AB186" s="2122" t="s">
        <v>147</v>
      </c>
      <c r="AC186" s="2122"/>
      <c r="AD186" s="2122"/>
      <c r="AE186" s="2122"/>
      <c r="AF186" s="2122"/>
      <c r="AG186" s="2122"/>
      <c r="AH186" s="2122"/>
      <c r="AI186" s="2122"/>
      <c r="AJ186" s="2122"/>
      <c r="AK186" s="2122"/>
      <c r="AL186" s="17"/>
      <c r="AO186" s="913"/>
      <c r="AQ186" s="20"/>
    </row>
    <row r="187" spans="1:43" s="1334" customFormat="1" ht="14.25" customHeight="1" x14ac:dyDescent="0.15">
      <c r="A187" s="17"/>
      <c r="B187" s="349"/>
      <c r="C187" s="17"/>
      <c r="D187" s="17"/>
      <c r="E187" s="556">
        <v>15</v>
      </c>
      <c r="F187" s="17"/>
      <c r="G187" s="17"/>
      <c r="H187" s="17"/>
      <c r="I187" s="17"/>
      <c r="J187" s="17"/>
      <c r="K187" s="17"/>
      <c r="L187" s="17"/>
      <c r="M187" s="17"/>
      <c r="N187" s="17"/>
      <c r="O187" s="17"/>
      <c r="P187" s="17"/>
      <c r="Q187" s="17"/>
      <c r="R187" s="17"/>
      <c r="S187" s="17"/>
      <c r="T187" s="412" t="b">
        <f>ROW(W187)&gt;ROW(W$186)</f>
        <v>1</v>
      </c>
      <c r="U187" s="17"/>
      <c r="V187" s="17"/>
      <c r="W187" s="77"/>
      <c r="X187" s="17"/>
      <c r="Y187" s="17" t="s">
        <v>147</v>
      </c>
      <c r="Z187" s="17"/>
      <c r="AA187" s="342" t="s">
        <v>173</v>
      </c>
      <c r="AB187" s="2123" t="s">
        <v>2258</v>
      </c>
      <c r="AC187" s="2123"/>
      <c r="AD187" s="2123"/>
      <c r="AE187" s="2123"/>
      <c r="AF187" s="2123"/>
      <c r="AG187" s="2123"/>
      <c r="AH187" s="2123"/>
      <c r="AI187" s="2123"/>
      <c r="AJ187" s="2123"/>
      <c r="AK187" s="2123"/>
      <c r="AL187" s="17"/>
      <c r="AO187" s="913"/>
      <c r="AQ187" s="20"/>
    </row>
    <row r="188" spans="1:43" s="1334" customFormat="1" ht="14.65" customHeight="1" x14ac:dyDescent="0.15">
      <c r="A188" s="17"/>
      <c r="B188" s="349"/>
      <c r="C188" s="17"/>
      <c r="D188" s="17"/>
      <c r="E188" s="556">
        <v>15</v>
      </c>
      <c r="F188" s="17"/>
      <c r="G188" s="17"/>
      <c r="H188" s="17"/>
      <c r="I188" s="17"/>
      <c r="J188" s="17"/>
      <c r="K188" s="17"/>
      <c r="L188" s="17"/>
      <c r="M188" s="17"/>
      <c r="N188" s="17"/>
      <c r="O188" s="17"/>
      <c r="P188" s="17"/>
      <c r="Q188" s="17"/>
      <c r="R188" s="17"/>
      <c r="S188" s="17"/>
      <c r="T188" s="17"/>
      <c r="U188" s="17"/>
      <c r="V188" s="17"/>
      <c r="W188" s="748" t="s">
        <v>403</v>
      </c>
      <c r="X188" s="17"/>
      <c r="Y188" s="17"/>
      <c r="Z188" s="17"/>
      <c r="AA188" s="17"/>
      <c r="AB188" s="571"/>
      <c r="AC188" s="437" t="s">
        <v>404</v>
      </c>
      <c r="AD188" s="230"/>
      <c r="AE188" s="230"/>
      <c r="AF188" s="230"/>
      <c r="AG188" s="230"/>
      <c r="AH188" s="230"/>
      <c r="AI188" s="230"/>
      <c r="AJ188" s="230"/>
      <c r="AK188" s="231"/>
      <c r="AL188" s="17"/>
      <c r="AO188" s="913"/>
      <c r="AQ188" s="20"/>
    </row>
    <row r="189" spans="1:43" s="1334" customFormat="1" ht="10.7" customHeight="1" x14ac:dyDescent="0.15">
      <c r="A189" s="17"/>
      <c r="B189" s="349"/>
      <c r="C189" s="17"/>
      <c r="D189" s="17"/>
      <c r="E189" s="556">
        <v>11</v>
      </c>
      <c r="F189" s="17"/>
      <c r="G189" s="17"/>
      <c r="H189" s="17"/>
      <c r="I189" s="17"/>
      <c r="J189" s="17"/>
      <c r="K189" s="17"/>
      <c r="L189" s="17"/>
      <c r="M189" s="17"/>
      <c r="N189" s="17"/>
      <c r="O189" s="17"/>
      <c r="P189" s="17"/>
      <c r="Q189" s="17"/>
      <c r="R189" s="17"/>
      <c r="S189" s="17"/>
      <c r="T189" s="17"/>
      <c r="U189" s="17"/>
      <c r="V189" s="17"/>
      <c r="W189" s="17"/>
      <c r="X189" s="17"/>
      <c r="Y189" s="17"/>
      <c r="Z189" s="17"/>
      <c r="AA189" s="17"/>
      <c r="AB189" s="126"/>
      <c r="AC189" s="17"/>
      <c r="AD189" s="17"/>
      <c r="AE189" s="17"/>
      <c r="AF189" s="17"/>
      <c r="AG189" s="17"/>
      <c r="AH189" s="17"/>
      <c r="AI189" s="17"/>
      <c r="AJ189" s="17"/>
      <c r="AK189" s="17"/>
      <c r="AL189" s="348"/>
      <c r="AO189" s="913"/>
      <c r="AQ189" s="20"/>
    </row>
    <row r="190" spans="1:43" s="1334" customFormat="1" ht="11.25" hidden="1" customHeight="1" x14ac:dyDescent="0.15">
      <c r="B190" s="352"/>
      <c r="E190" s="548"/>
      <c r="AC190" s="19"/>
      <c r="AD190" s="19"/>
      <c r="AE190" s="19"/>
      <c r="AF190" s="19"/>
      <c r="AO190" s="913"/>
      <c r="AQ190" s="20"/>
    </row>
  </sheetData>
  <sheetProtection formatColumns="0" formatRows="0" insertRows="0" deleteColumns="0" deleteRows="0" sort="0" autoFilter="0"/>
  <mergeCells count="16">
    <mergeCell ref="AB187:AK187"/>
    <mergeCell ref="AB186:AK186"/>
    <mergeCell ref="X30:X80"/>
    <mergeCell ref="Z30:Z80"/>
    <mergeCell ref="AB24:AE24"/>
    <mergeCell ref="AB184:AK184"/>
    <mergeCell ref="AB185:AK185"/>
    <mergeCell ref="AB26:AB28"/>
    <mergeCell ref="AC26:AC27"/>
    <mergeCell ref="AD26:AD27"/>
    <mergeCell ref="AE26:AE27"/>
    <mergeCell ref="AF26:AK26"/>
    <mergeCell ref="X81:X131"/>
    <mergeCell ref="Z81:Z131"/>
    <mergeCell ref="X132:X182"/>
    <mergeCell ref="Z132:Z182"/>
  </mergeCells>
  <dataValidations count="2">
    <dataValidation type="list" allowBlank="1" showInputMessage="1" showErrorMessage="1" errorTitle="Внимание" error="Пожалуйста, выберите значение из списка!" sqref="AF24" xr:uid="{00000000-0002-0000-1E00-000000000000}">
      <formula1>YES_NO</formula1>
    </dataValidation>
    <dataValidation type="decimal" allowBlank="1" showErrorMessage="1" errorTitle="Ошибка" error="Допускается ввод только неотрицательных чисел!" sqref="AE31:AE80 AE82:AE131 AE133:AE182" xr:uid="{00000000-0002-0000-1E00-000001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891F8-1188-1428-32D8-54BE25BB68B8}">
  <sheetPr>
    <tabColor rgb="FF002060"/>
    <outlinePr summaryBelow="0" summaryRight="0"/>
  </sheetPr>
  <dimension ref="A1:AR296"/>
  <sheetViews>
    <sheetView showGridLines="0" workbookViewId="0">
      <pane xSplit="29" ySplit="26" topLeftCell="AD81" activePane="bottomRight" state="frozen"/>
      <selection pane="topRight" activeCell="AD1" sqref="AD1"/>
      <selection pane="bottomLeft" activeCell="A27" sqref="A27"/>
      <selection pane="bottomRight" activeCell="AG140" sqref="AG140"/>
    </sheetView>
  </sheetViews>
  <sheetFormatPr defaultColWidth="9.140625" defaultRowHeight="11.25" customHeight="1" x14ac:dyDescent="0.15"/>
  <cols>
    <col min="1" max="1" width="3.5703125" style="1214" hidden="1" customWidth="1"/>
    <col min="2" max="2" width="8.5703125" style="1083" hidden="1" customWidth="1"/>
    <col min="3" max="4" width="3.5703125" style="1214" hidden="1" customWidth="1"/>
    <col min="5" max="5" width="3.5703125" style="1215" hidden="1" customWidth="1"/>
    <col min="6" max="10" width="3.5703125" style="1214" hidden="1" customWidth="1"/>
    <col min="11" max="11" width="7.140625" style="1214" hidden="1" customWidth="1"/>
    <col min="12" max="19" width="3.5703125" style="1214" hidden="1" customWidth="1"/>
    <col min="20" max="20" width="9.140625" style="1214" hidden="1"/>
    <col min="21" max="26" width="3.5703125" style="1214" hidden="1" customWidth="1"/>
    <col min="27" max="27" width="3" style="1214" customWidth="1"/>
    <col min="28" max="28" width="14.7109375" style="126" customWidth="1"/>
    <col min="29" max="33" width="17" style="1214" customWidth="1"/>
    <col min="34" max="36" width="23" style="1214" hidden="1" customWidth="1"/>
    <col min="37" max="37" width="25" style="1214" hidden="1" customWidth="1"/>
    <col min="38" max="38" width="3" style="1214" customWidth="1"/>
    <col min="39" max="39" width="9.140625" style="1214" hidden="1"/>
    <col min="40" max="42" width="9.140625" style="1216" hidden="1"/>
    <col min="43" max="44" width="9.140625" style="1215" hidden="1"/>
  </cols>
  <sheetData>
    <row r="1" spans="1:44" ht="11.25" hidden="1" customHeight="1" x14ac:dyDescent="0.15">
      <c r="E1" s="17"/>
      <c r="F1" s="17" t="s">
        <v>319</v>
      </c>
      <c r="G1" s="17" t="s">
        <v>354</v>
      </c>
      <c r="K1" s="17" t="s">
        <v>357</v>
      </c>
      <c r="T1" s="388" t="s">
        <v>92</v>
      </c>
      <c r="U1" s="388" t="s">
        <v>97</v>
      </c>
      <c r="V1" s="388" t="s">
        <v>93</v>
      </c>
      <c r="W1" s="388" t="s">
        <v>94</v>
      </c>
      <c r="X1" s="388" t="s">
        <v>95</v>
      </c>
      <c r="Y1" s="390" t="s">
        <v>321</v>
      </c>
      <c r="Z1" s="388" t="s">
        <v>99</v>
      </c>
      <c r="AA1" s="389" t="s">
        <v>96</v>
      </c>
      <c r="AB1" s="388" t="s">
        <v>98</v>
      </c>
      <c r="AC1" s="389" t="s">
        <v>98</v>
      </c>
      <c r="AN1" s="924" t="s">
        <v>362</v>
      </c>
      <c r="AO1" s="924" t="s">
        <v>323</v>
      </c>
      <c r="AP1" s="924" t="s">
        <v>324</v>
      </c>
      <c r="AQ1" s="556" t="s">
        <v>327</v>
      </c>
      <c r="AR1" s="556" t="s">
        <v>328</v>
      </c>
    </row>
    <row r="2" spans="1:44" s="1083" customFormat="1" ht="11.25" hidden="1" customHeight="1" x14ac:dyDescent="0.15">
      <c r="B2" s="367" t="s">
        <v>18</v>
      </c>
      <c r="AB2" s="351"/>
      <c r="AG2" s="367" t="b">
        <f>DPR_ee_divide="нет"</f>
        <v>1</v>
      </c>
      <c r="AH2" s="367" t="b">
        <f>DPR_ee_divide="да"</f>
        <v>0</v>
      </c>
      <c r="AI2" s="367" t="b">
        <f>DPR_ee_divide="да"</f>
        <v>0</v>
      </c>
      <c r="AJ2" s="367" t="b">
        <f>DPR_ee_divide="да"</f>
        <v>0</v>
      </c>
      <c r="AK2" s="367" t="b">
        <f>DPR_ee_divide="да"</f>
        <v>0</v>
      </c>
      <c r="AN2" s="925"/>
      <c r="AO2" s="925"/>
      <c r="AP2" s="925"/>
      <c r="AQ2" s="938"/>
      <c r="AR2" s="938"/>
    </row>
    <row r="3" spans="1:44" ht="11.25" hidden="1" customHeight="1" x14ac:dyDescent="0.15">
      <c r="E3" s="17"/>
    </row>
    <row r="4" spans="1:44" ht="11.25" hidden="1" customHeight="1" x14ac:dyDescent="0.15">
      <c r="E4" s="17"/>
    </row>
    <row r="5" spans="1:44" s="1215" customFormat="1" ht="11.25" hidden="1" customHeight="1" x14ac:dyDescent="0.15">
      <c r="A5" s="17"/>
      <c r="B5" s="349"/>
      <c r="C5" s="17"/>
      <c r="D5" s="17"/>
      <c r="E5" s="556" t="s">
        <v>19</v>
      </c>
      <c r="AA5" s="556">
        <v>3</v>
      </c>
      <c r="AB5" s="616">
        <v>14.71</v>
      </c>
      <c r="AC5" s="556">
        <v>17</v>
      </c>
      <c r="AD5" s="556">
        <v>17</v>
      </c>
      <c r="AE5" s="556">
        <v>17</v>
      </c>
      <c r="AF5" s="556">
        <v>17</v>
      </c>
      <c r="AG5" s="556">
        <v>17</v>
      </c>
      <c r="AH5" s="556">
        <v>23</v>
      </c>
      <c r="AI5" s="556">
        <v>23</v>
      </c>
      <c r="AJ5" s="556">
        <v>23</v>
      </c>
      <c r="AK5" s="556">
        <v>25</v>
      </c>
      <c r="AL5" s="556">
        <v>3</v>
      </c>
      <c r="AN5" s="924"/>
      <c r="AO5" s="924"/>
      <c r="AP5" s="924"/>
    </row>
    <row r="6" spans="1:44" ht="11.25" hidden="1" customHeight="1" x14ac:dyDescent="0.15">
      <c r="A6" s="17" t="s">
        <v>330</v>
      </c>
      <c r="AC6" s="17" t="s">
        <v>331</v>
      </c>
      <c r="AD6" s="17" t="s">
        <v>332</v>
      </c>
      <c r="AE6" s="17" t="s">
        <v>333</v>
      </c>
      <c r="AF6" s="17" t="s">
        <v>565</v>
      </c>
      <c r="AG6" s="17" t="s">
        <v>569</v>
      </c>
      <c r="AH6" s="17" t="s">
        <v>2231</v>
      </c>
      <c r="AI6" s="17" t="s">
        <v>2232</v>
      </c>
      <c r="AJ6" s="17" t="s">
        <v>2233</v>
      </c>
      <c r="AK6" s="17" t="s">
        <v>2234</v>
      </c>
    </row>
    <row r="7" spans="1:44" ht="11.25" hidden="1" customHeight="1" x14ac:dyDescent="0.15"/>
    <row r="8" spans="1:44" ht="11.25" hidden="1" customHeight="1" x14ac:dyDescent="0.15"/>
    <row r="9" spans="1:44" s="1216" customFormat="1" ht="11.25" hidden="1" customHeight="1" x14ac:dyDescent="0.15">
      <c r="A9" s="924" t="s">
        <v>322</v>
      </c>
      <c r="B9" s="925"/>
      <c r="AB9" s="963"/>
      <c r="AC9" s="982" t="s">
        <v>2235</v>
      </c>
      <c r="AD9" s="982" t="s">
        <v>2236</v>
      </c>
      <c r="AE9" s="982" t="s">
        <v>2237</v>
      </c>
      <c r="AF9" s="982" t="s">
        <v>2238</v>
      </c>
      <c r="AG9" s="982" t="s">
        <v>2239</v>
      </c>
      <c r="AH9" s="982" t="s">
        <v>2240</v>
      </c>
      <c r="AI9" s="982" t="s">
        <v>2241</v>
      </c>
      <c r="AJ9" s="982" t="s">
        <v>2242</v>
      </c>
      <c r="AK9" s="924" t="s">
        <v>2243</v>
      </c>
      <c r="AQ9" s="556"/>
      <c r="AR9" s="556"/>
    </row>
    <row r="10" spans="1:44" s="1216" customFormat="1" ht="11.25" hidden="1" customHeight="1" x14ac:dyDescent="0.15">
      <c r="A10" s="924" t="s">
        <v>337</v>
      </c>
      <c r="B10" s="925"/>
      <c r="AB10" s="963" t="s">
        <v>324</v>
      </c>
      <c r="AQ10" s="556"/>
      <c r="AR10" s="556"/>
    </row>
    <row r="11" spans="1:44" ht="11.25" hidden="1" customHeight="1" x14ac:dyDescent="0.15"/>
    <row r="12" spans="1:44" ht="11.25" hidden="1" customHeight="1" x14ac:dyDescent="0.15"/>
    <row r="13" spans="1:44" ht="11.25" hidden="1" customHeight="1" x14ac:dyDescent="0.15"/>
    <row r="14" spans="1:44" ht="11.25" hidden="1" customHeight="1" x14ac:dyDescent="0.15"/>
    <row r="15" spans="1:44" ht="11.25" hidden="1" customHeight="1" x14ac:dyDescent="0.15"/>
    <row r="16" spans="1:44" ht="11.25" hidden="1" customHeight="1" x14ac:dyDescent="0.15"/>
    <row r="17" spans="1:44" ht="11.25" hidden="1" customHeight="1" x14ac:dyDescent="0.15"/>
    <row r="18" spans="1:44" ht="11.25" hidden="1" customHeight="1" x14ac:dyDescent="0.15">
      <c r="A18" s="17" t="s">
        <v>365</v>
      </c>
      <c r="AB18" s="126" t="s">
        <v>194</v>
      </c>
    </row>
    <row r="19" spans="1:44" ht="11.25" hidden="1" customHeight="1" x14ac:dyDescent="0.15"/>
    <row r="20" spans="1:44" ht="11.25" hidden="1" customHeight="1" x14ac:dyDescent="0.15"/>
    <row r="21" spans="1:44" ht="14.65" customHeight="1" x14ac:dyDescent="0.15">
      <c r="E21" s="556">
        <v>15</v>
      </c>
      <c r="AA21" s="581"/>
      <c r="AB21" s="283" t="str" cm="1">
        <f t="array" ref="AB21">tpl_title</f>
        <v>Кемеровская область / 2026 / ООО "Чистая вода" (ИНН:4246023100, КПП:424601001) / ДПР: 2024-2032</v>
      </c>
    </row>
    <row r="22" spans="1:44" s="1249" customFormat="1" ht="23.45" customHeight="1" x14ac:dyDescent="0.15">
      <c r="B22" s="349"/>
      <c r="E22" s="557">
        <v>24</v>
      </c>
      <c r="AB22" s="236" t="s">
        <v>86</v>
      </c>
      <c r="AC22" s="125"/>
      <c r="AD22" s="125"/>
      <c r="AE22" s="125"/>
      <c r="AF22" s="125"/>
      <c r="AG22" s="125"/>
      <c r="AH22" s="125"/>
      <c r="AI22" s="125"/>
      <c r="AJ22" s="125"/>
      <c r="AK22" s="125"/>
      <c r="AN22" s="927"/>
      <c r="AO22" s="927"/>
      <c r="AP22" s="927"/>
      <c r="AQ22" s="557"/>
      <c r="AR22" s="557"/>
    </row>
    <row r="23" spans="1:44" ht="10.9" customHeight="1" x14ac:dyDescent="0.15">
      <c r="E23" s="556">
        <v>11.25</v>
      </c>
      <c r="AB23" s="63"/>
      <c r="AC23" s="63"/>
    </row>
    <row r="24" spans="1:44" s="1086" customFormat="1" ht="38.1" customHeight="1" x14ac:dyDescent="0.15">
      <c r="B24" s="351"/>
      <c r="E24" s="554">
        <v>39</v>
      </c>
      <c r="AB24" s="2131" t="s">
        <v>2245</v>
      </c>
      <c r="AC24" s="2134" t="s">
        <v>2246</v>
      </c>
      <c r="AD24" s="2134" t="s">
        <v>495</v>
      </c>
      <c r="AE24" s="2134" t="s">
        <v>2247</v>
      </c>
      <c r="AF24" s="2134" t="s">
        <v>2248</v>
      </c>
      <c r="AG24" s="2134"/>
      <c r="AH24" s="2134"/>
      <c r="AI24" s="2134"/>
      <c r="AJ24" s="2134"/>
      <c r="AK24" s="2135"/>
      <c r="AN24" s="922"/>
      <c r="AO24" s="922"/>
      <c r="AP24" s="922"/>
      <c r="AQ24" s="554"/>
      <c r="AR24" s="554"/>
    </row>
    <row r="25" spans="1:44" s="1086" customFormat="1" ht="35.1" customHeight="1" x14ac:dyDescent="0.15">
      <c r="B25" s="351"/>
      <c r="E25" s="554">
        <v>36</v>
      </c>
      <c r="AB25" s="2132"/>
      <c r="AC25" s="2134"/>
      <c r="AD25" s="2134"/>
      <c r="AE25" s="2134"/>
      <c r="AF25" s="173" t="s">
        <v>611</v>
      </c>
      <c r="AG25" s="173" t="s">
        <v>2249</v>
      </c>
      <c r="AH25" s="173" t="s">
        <v>2250</v>
      </c>
      <c r="AI25" s="173" t="s">
        <v>2251</v>
      </c>
      <c r="AJ25" s="173" t="s">
        <v>2252</v>
      </c>
      <c r="AK25" s="174" t="s">
        <v>2253</v>
      </c>
      <c r="AN25" s="922"/>
      <c r="AO25" s="922"/>
      <c r="AP25" s="922"/>
      <c r="AQ25" s="554"/>
      <c r="AR25" s="554"/>
    </row>
    <row r="26" spans="1:44" s="1332" customFormat="1" ht="10.9" customHeight="1" x14ac:dyDescent="0.15">
      <c r="B26" s="351"/>
      <c r="E26" s="185">
        <v>11.25</v>
      </c>
      <c r="AB26" s="2133"/>
      <c r="AC26" s="173" t="s">
        <v>831</v>
      </c>
      <c r="AD26" s="173" t="s">
        <v>490</v>
      </c>
      <c r="AE26" s="10" t="s">
        <v>490</v>
      </c>
      <c r="AF26" s="173" t="s">
        <v>490</v>
      </c>
      <c r="AG26" s="173" t="s">
        <v>2254</v>
      </c>
      <c r="AH26" s="173" t="s">
        <v>2254</v>
      </c>
      <c r="AI26" s="173" t="s">
        <v>2254</v>
      </c>
      <c r="AJ26" s="173" t="s">
        <v>2254</v>
      </c>
      <c r="AK26" s="174" t="s">
        <v>2254</v>
      </c>
      <c r="AN26" s="939"/>
      <c r="AO26" s="939"/>
      <c r="AP26" s="939"/>
      <c r="AQ26" s="185"/>
      <c r="AR26" s="185"/>
    </row>
    <row r="27" spans="1:44" s="1334" customFormat="1" ht="11.25" hidden="1" customHeight="1" x14ac:dyDescent="0.15">
      <c r="A27" s="422"/>
      <c r="B27" s="582"/>
      <c r="C27" s="422"/>
      <c r="D27" s="422"/>
      <c r="E27" s="583">
        <v>0</v>
      </c>
      <c r="F27" s="4"/>
      <c r="G27" s="422"/>
      <c r="H27" s="422"/>
      <c r="I27" s="422"/>
      <c r="J27" s="422"/>
      <c r="K27" s="422"/>
      <c r="L27" s="422"/>
      <c r="M27" s="422"/>
      <c r="N27" s="422"/>
      <c r="O27" s="422"/>
      <c r="P27" s="422"/>
      <c r="Q27" s="422"/>
      <c r="R27" s="422"/>
      <c r="S27" s="422"/>
      <c r="T27" s="422"/>
      <c r="U27" s="422"/>
      <c r="V27" s="422"/>
      <c r="W27" s="422"/>
      <c r="X27" s="422"/>
      <c r="Y27" s="422"/>
      <c r="Z27" s="422"/>
      <c r="AA27" s="422"/>
      <c r="AC27" s="19"/>
      <c r="AD27" s="19"/>
      <c r="AE27" s="19"/>
      <c r="AF27" s="19"/>
      <c r="AN27" s="913"/>
      <c r="AO27" s="913"/>
      <c r="AP27" s="913"/>
      <c r="AQ27" s="916"/>
      <c r="AR27" s="548"/>
    </row>
    <row r="28" spans="1:44" s="1217" customFormat="1" ht="14.65" hidden="1" customHeight="1" x14ac:dyDescent="0.15">
      <c r="B28" s="350"/>
      <c r="E28" s="542">
        <v>15</v>
      </c>
      <c r="F28" s="17" cm="1">
        <f t="array" ref="F28">X28</f>
        <v>0</v>
      </c>
      <c r="T28" s="388" t="b">
        <f>X28&gt;0</f>
        <v>0</v>
      </c>
      <c r="V28" s="41" t="s">
        <v>271</v>
      </c>
      <c r="X28" s="2032">
        <v>0</v>
      </c>
      <c r="Z28" s="2012"/>
      <c r="AB28" s="297" t="str" cm="1">
        <f t="array" ref="AB28">INDEX('Общие сведения'!$AG$185:$AG$228,MATCH($X28,'Общие сведения'!$Z$185:$Z$228,0))</f>
        <v xml:space="preserve">Тариф 0 () - </v>
      </c>
      <c r="AC28" s="162"/>
      <c r="AD28" s="162"/>
      <c r="AE28" s="162"/>
      <c r="AF28" s="162"/>
      <c r="AG28" s="162"/>
      <c r="AH28" s="162"/>
      <c r="AI28" s="162"/>
      <c r="AJ28" s="162"/>
      <c r="AK28" s="162"/>
      <c r="AL28" s="323"/>
      <c r="AN28" s="906"/>
      <c r="AO28" s="906"/>
      <c r="AP28" s="906"/>
      <c r="AQ28" s="542"/>
      <c r="AR28" s="542"/>
    </row>
    <row r="29" spans="1:44" s="1217" customFormat="1" ht="14.65" hidden="1" customHeight="1" x14ac:dyDescent="0.15">
      <c r="B29" s="350"/>
      <c r="E29" s="542">
        <v>15</v>
      </c>
      <c r="F29" s="3" cm="1">
        <f t="array" aca="1" ref="F29" ca="1">OFFSET(E29,-1,1)</f>
        <v>0</v>
      </c>
      <c r="G29" s="41" cm="1">
        <f t="array" ref="G29">AB29</f>
        <v>0</v>
      </c>
      <c r="T29" s="388" t="b">
        <f ca="1">AND(F29&gt;0,Y29&gt;0)</f>
        <v>0</v>
      </c>
      <c r="W29" s="41" t="s">
        <v>172</v>
      </c>
      <c r="X29" s="2032"/>
      <c r="Y29" s="2032">
        <v>0</v>
      </c>
      <c r="Z29" s="2012"/>
      <c r="AA29" s="2127" t="s">
        <v>173</v>
      </c>
      <c r="AB29" s="2128"/>
      <c r="AC29" s="2128"/>
      <c r="AD29" s="2128"/>
      <c r="AE29" s="2128"/>
      <c r="AF29" s="2128"/>
      <c r="AG29" s="2128"/>
      <c r="AH29" s="2128"/>
      <c r="AI29" s="2128"/>
      <c r="AJ29" s="2128"/>
      <c r="AK29" s="2129"/>
      <c r="AL29" s="323"/>
      <c r="AN29" s="906"/>
      <c r="AO29" s="973" t="s">
        <v>2259</v>
      </c>
      <c r="AP29" s="988" cm="1">
        <f t="array" ref="AP29">AB29</f>
        <v>0</v>
      </c>
      <c r="AQ29" s="542"/>
      <c r="AR29" s="542" t="b">
        <v>1</v>
      </c>
    </row>
    <row r="30" spans="1:44" s="1184" customFormat="1" ht="14.65" hidden="1" customHeight="1" x14ac:dyDescent="0.15">
      <c r="B30" s="367" t="b">
        <f t="shared" ref="B30:B61" si="0">K30&lt;first_year+PERIOD_LENGTH</f>
        <v>1</v>
      </c>
      <c r="E30" s="626">
        <v>15</v>
      </c>
      <c r="F30" s="3" cm="1">
        <f t="array" aca="1" ref="F30" ca="1">OFFSET(E30,-1,1)</f>
        <v>0</v>
      </c>
      <c r="G30" s="17" cm="1">
        <f t="array" ref="G30">G29</f>
        <v>0</v>
      </c>
      <c r="K30" s="77" cm="1">
        <f t="array" ref="K30">first_year</f>
        <v>2024</v>
      </c>
      <c r="T30" s="388" t="b" cm="1">
        <f t="array" aca="1" ref="T30" ca="1">T29</f>
        <v>0</v>
      </c>
      <c r="X30" s="2032"/>
      <c r="Y30" s="2032"/>
      <c r="Z30" s="2012"/>
      <c r="AA30" s="2127"/>
      <c r="AB30" s="219" t="str">
        <f t="shared" ref="AB30:AB61" si="1">K30&amp;" год"</f>
        <v>2024 год</v>
      </c>
      <c r="AC30" s="1726"/>
      <c r="AD30" s="1727"/>
      <c r="AE30" s="1726"/>
      <c r="AF30" s="1726"/>
      <c r="AG30" s="1727"/>
      <c r="AH30" s="1726"/>
      <c r="AI30" s="1727"/>
      <c r="AJ30" s="1726"/>
      <c r="AK30" s="1728"/>
      <c r="AL30" s="324"/>
      <c r="AN30" s="973" cm="1">
        <f t="array" ref="AN30">K30</f>
        <v>2024</v>
      </c>
      <c r="AO30" s="973" t="s">
        <v>2259</v>
      </c>
      <c r="AP30" s="983" cm="1">
        <f t="array" ref="AP30">AP29</f>
        <v>0</v>
      </c>
      <c r="AQ30" s="626"/>
      <c r="AR30" s="626"/>
    </row>
    <row r="31" spans="1:44" s="1184" customFormat="1" ht="14.65" hidden="1" customHeight="1" x14ac:dyDescent="0.15">
      <c r="B31" s="367" t="b">
        <f t="shared" si="0"/>
        <v>1</v>
      </c>
      <c r="E31" s="626">
        <v>15</v>
      </c>
      <c r="F31" s="3" cm="1">
        <f t="array" aca="1" ref="F31" ca="1">OFFSET(E31,-1,1)</f>
        <v>0</v>
      </c>
      <c r="G31" s="17" cm="1">
        <f t="array" ref="G31">G30</f>
        <v>0</v>
      </c>
      <c r="K31" s="77">
        <f>first_year+1</f>
        <v>2025</v>
      </c>
      <c r="T31" s="388" t="b" cm="1">
        <f t="array" aca="1" ref="T31" ca="1">T30</f>
        <v>0</v>
      </c>
      <c r="X31" s="2032"/>
      <c r="Y31" s="2032"/>
      <c r="Z31" s="2012"/>
      <c r="AA31" s="2127"/>
      <c r="AB31" s="174" t="str">
        <f t="shared" si="1"/>
        <v>2025 год</v>
      </c>
      <c r="AC31" s="329"/>
      <c r="AD31" s="1727"/>
      <c r="AE31" s="1726"/>
      <c r="AF31" s="1726"/>
      <c r="AG31" s="1727"/>
      <c r="AH31" s="1726"/>
      <c r="AI31" s="1727"/>
      <c r="AJ31" s="1726"/>
      <c r="AK31" s="1728"/>
      <c r="AL31" s="324"/>
      <c r="AN31" s="973" cm="1">
        <f t="array" ref="AN31">K31</f>
        <v>2025</v>
      </c>
      <c r="AO31" s="973" t="s">
        <v>2259</v>
      </c>
      <c r="AP31" s="983" cm="1">
        <f t="array" ref="AP31">AP30</f>
        <v>0</v>
      </c>
      <c r="AQ31" s="626"/>
      <c r="AR31" s="626"/>
    </row>
    <row r="32" spans="1:44" s="1184" customFormat="1" ht="14.65" hidden="1" customHeight="1" x14ac:dyDescent="0.15">
      <c r="B32" s="367" t="b">
        <f t="shared" si="0"/>
        <v>1</v>
      </c>
      <c r="E32" s="626">
        <v>15</v>
      </c>
      <c r="F32" s="3" cm="1">
        <f t="array" aca="1" ref="F32" ca="1">OFFSET(E32,-1,1)</f>
        <v>0</v>
      </c>
      <c r="G32" s="17" cm="1">
        <f t="array" ref="G32">G31</f>
        <v>0</v>
      </c>
      <c r="K32" s="77">
        <f>first_year+2</f>
        <v>2026</v>
      </c>
      <c r="T32" s="388" t="b" cm="1">
        <f t="array" aca="1" ref="T32" ca="1">T31</f>
        <v>0</v>
      </c>
      <c r="X32" s="2032"/>
      <c r="Y32" s="2032"/>
      <c r="Z32" s="2012"/>
      <c r="AA32" s="2127"/>
      <c r="AB32" s="174" t="str">
        <f t="shared" si="1"/>
        <v>2026 год</v>
      </c>
      <c r="AC32" s="329"/>
      <c r="AD32" s="1727"/>
      <c r="AE32" s="1726"/>
      <c r="AF32" s="1726"/>
      <c r="AG32" s="1727"/>
      <c r="AH32" s="1726"/>
      <c r="AI32" s="1727"/>
      <c r="AJ32" s="1726"/>
      <c r="AK32" s="1728"/>
      <c r="AL32" s="324"/>
      <c r="AN32" s="973" cm="1">
        <f t="array" ref="AN32">K32</f>
        <v>2026</v>
      </c>
      <c r="AO32" s="973" t="s">
        <v>2259</v>
      </c>
      <c r="AP32" s="983" cm="1">
        <f t="array" ref="AP32">AP31</f>
        <v>0</v>
      </c>
      <c r="AQ32" s="626"/>
      <c r="AR32" s="626"/>
    </row>
    <row r="33" spans="2:44" s="1184" customFormat="1" ht="14.65" hidden="1" customHeight="1" x14ac:dyDescent="0.15">
      <c r="B33" s="367" t="b">
        <f t="shared" si="0"/>
        <v>1</v>
      </c>
      <c r="E33" s="626">
        <v>15</v>
      </c>
      <c r="F33" s="3" cm="1">
        <f t="array" aca="1" ref="F33" ca="1">OFFSET(E33,-1,1)</f>
        <v>0</v>
      </c>
      <c r="G33" s="17" cm="1">
        <f t="array" ref="G33">G32</f>
        <v>0</v>
      </c>
      <c r="K33" s="77">
        <f>first_year+3</f>
        <v>2027</v>
      </c>
      <c r="T33" s="388" t="b" cm="1">
        <f t="array" aca="1" ref="T33" ca="1">T32</f>
        <v>0</v>
      </c>
      <c r="X33" s="2032"/>
      <c r="Y33" s="2032"/>
      <c r="Z33" s="2012"/>
      <c r="AA33" s="2127"/>
      <c r="AB33" s="174" t="str">
        <f t="shared" si="1"/>
        <v>2027 год</v>
      </c>
      <c r="AC33" s="329"/>
      <c r="AD33" s="1727"/>
      <c r="AE33" s="1726"/>
      <c r="AF33" s="1726"/>
      <c r="AG33" s="1727"/>
      <c r="AH33" s="1726"/>
      <c r="AI33" s="1727"/>
      <c r="AJ33" s="1726"/>
      <c r="AK33" s="1728"/>
      <c r="AL33" s="324"/>
      <c r="AN33" s="973" cm="1">
        <f t="array" ref="AN33">K33</f>
        <v>2027</v>
      </c>
      <c r="AO33" s="973" t="s">
        <v>2259</v>
      </c>
      <c r="AP33" s="983" cm="1">
        <f t="array" ref="AP33">AP32</f>
        <v>0</v>
      </c>
      <c r="AQ33" s="626"/>
      <c r="AR33" s="626"/>
    </row>
    <row r="34" spans="2:44" s="1184" customFormat="1" ht="14.65" hidden="1" customHeight="1" x14ac:dyDescent="0.15">
      <c r="B34" s="367" t="b">
        <f t="shared" si="0"/>
        <v>1</v>
      </c>
      <c r="E34" s="626">
        <v>15</v>
      </c>
      <c r="F34" s="3" cm="1">
        <f t="array" aca="1" ref="F34" ca="1">OFFSET(E34,-1,1)</f>
        <v>0</v>
      </c>
      <c r="G34" s="17" cm="1">
        <f t="array" ref="G34">G33</f>
        <v>0</v>
      </c>
      <c r="K34" s="77">
        <f>first_year+4</f>
        <v>2028</v>
      </c>
      <c r="T34" s="388" t="b" cm="1">
        <f t="array" aca="1" ref="T34" ca="1">T33</f>
        <v>0</v>
      </c>
      <c r="X34" s="2032"/>
      <c r="Y34" s="2032"/>
      <c r="Z34" s="2012"/>
      <c r="AA34" s="2127"/>
      <c r="AB34" s="174" t="str">
        <f t="shared" si="1"/>
        <v>2028 год</v>
      </c>
      <c r="AC34" s="329"/>
      <c r="AD34" s="1727"/>
      <c r="AE34" s="1726"/>
      <c r="AF34" s="1726"/>
      <c r="AG34" s="1727"/>
      <c r="AH34" s="1726"/>
      <c r="AI34" s="1727"/>
      <c r="AJ34" s="1726"/>
      <c r="AK34" s="1728"/>
      <c r="AL34" s="324"/>
      <c r="AN34" s="973" cm="1">
        <f t="array" ref="AN34">K34</f>
        <v>2028</v>
      </c>
      <c r="AO34" s="973" t="s">
        <v>2259</v>
      </c>
      <c r="AP34" s="983" cm="1">
        <f t="array" ref="AP34">AP33</f>
        <v>0</v>
      </c>
      <c r="AQ34" s="626"/>
      <c r="AR34" s="626"/>
    </row>
    <row r="35" spans="2:44" s="1184" customFormat="1" ht="14.65" hidden="1" customHeight="1" x14ac:dyDescent="0.15">
      <c r="B35" s="367" t="b">
        <f t="shared" si="0"/>
        <v>1</v>
      </c>
      <c r="E35" s="626">
        <v>15</v>
      </c>
      <c r="F35" s="3" cm="1">
        <f t="array" aca="1" ref="F35" ca="1">OFFSET(E35,-1,1)</f>
        <v>0</v>
      </c>
      <c r="G35" s="17" cm="1">
        <f t="array" ref="G35">G34</f>
        <v>0</v>
      </c>
      <c r="K35" s="77">
        <f>first_year+5</f>
        <v>2029</v>
      </c>
      <c r="T35" s="388" t="b" cm="1">
        <f t="array" aca="1" ref="T35" ca="1">T34</f>
        <v>0</v>
      </c>
      <c r="X35" s="2032"/>
      <c r="Y35" s="2032"/>
      <c r="Z35" s="2012"/>
      <c r="AA35" s="2127"/>
      <c r="AB35" s="174" t="str">
        <f t="shared" si="1"/>
        <v>2029 год</v>
      </c>
      <c r="AC35" s="329"/>
      <c r="AD35" s="1727"/>
      <c r="AE35" s="1726"/>
      <c r="AF35" s="1726"/>
      <c r="AG35" s="1727"/>
      <c r="AH35" s="1726"/>
      <c r="AI35" s="1727"/>
      <c r="AJ35" s="1726"/>
      <c r="AK35" s="1728"/>
      <c r="AL35" s="324"/>
      <c r="AN35" s="973" cm="1">
        <f t="array" ref="AN35">K35</f>
        <v>2029</v>
      </c>
      <c r="AO35" s="973" t="s">
        <v>2259</v>
      </c>
      <c r="AP35" s="983" cm="1">
        <f t="array" ref="AP35">AP34</f>
        <v>0</v>
      </c>
      <c r="AQ35" s="626"/>
      <c r="AR35" s="626"/>
    </row>
    <row r="36" spans="2:44" s="1184" customFormat="1" ht="14.65" hidden="1" customHeight="1" x14ac:dyDescent="0.15">
      <c r="B36" s="367" t="b">
        <f t="shared" si="0"/>
        <v>1</v>
      </c>
      <c r="E36" s="626">
        <v>15</v>
      </c>
      <c r="F36" s="3" cm="1">
        <f t="array" aca="1" ref="F36" ca="1">OFFSET(E36,-1,1)</f>
        <v>0</v>
      </c>
      <c r="G36" s="17" cm="1">
        <f t="array" ref="G36">G35</f>
        <v>0</v>
      </c>
      <c r="K36" s="77">
        <f>first_year+6</f>
        <v>2030</v>
      </c>
      <c r="T36" s="388" t="b" cm="1">
        <f t="array" aca="1" ref="T36" ca="1">T35</f>
        <v>0</v>
      </c>
      <c r="X36" s="2032"/>
      <c r="Y36" s="2032"/>
      <c r="Z36" s="2012"/>
      <c r="AA36" s="2127"/>
      <c r="AB36" s="174" t="str">
        <f t="shared" si="1"/>
        <v>2030 год</v>
      </c>
      <c r="AC36" s="329"/>
      <c r="AD36" s="1727"/>
      <c r="AE36" s="1726"/>
      <c r="AF36" s="1726"/>
      <c r="AG36" s="1727"/>
      <c r="AH36" s="1726"/>
      <c r="AI36" s="1727"/>
      <c r="AJ36" s="1726"/>
      <c r="AK36" s="1728"/>
      <c r="AL36" s="324"/>
      <c r="AN36" s="973" cm="1">
        <f t="array" ref="AN36">K36</f>
        <v>2030</v>
      </c>
      <c r="AO36" s="973" t="s">
        <v>2259</v>
      </c>
      <c r="AP36" s="983" cm="1">
        <f t="array" ref="AP36">AP35</f>
        <v>0</v>
      </c>
      <c r="AQ36" s="626"/>
      <c r="AR36" s="626"/>
    </row>
    <row r="37" spans="2:44" s="1184" customFormat="1" ht="14.65" hidden="1" customHeight="1" x14ac:dyDescent="0.15">
      <c r="B37" s="367" t="b">
        <f t="shared" si="0"/>
        <v>1</v>
      </c>
      <c r="E37" s="626">
        <v>15</v>
      </c>
      <c r="F37" s="3" cm="1">
        <f t="array" aca="1" ref="F37" ca="1">OFFSET(E37,-1,1)</f>
        <v>0</v>
      </c>
      <c r="G37" s="17" cm="1">
        <f t="array" ref="G37">G36</f>
        <v>0</v>
      </c>
      <c r="K37" s="77">
        <f>first_year+7</f>
        <v>2031</v>
      </c>
      <c r="T37" s="388" t="b" cm="1">
        <f t="array" aca="1" ref="T37" ca="1">T36</f>
        <v>0</v>
      </c>
      <c r="X37" s="2032"/>
      <c r="Y37" s="2032"/>
      <c r="Z37" s="2012"/>
      <c r="AA37" s="2127"/>
      <c r="AB37" s="174" t="str">
        <f t="shared" si="1"/>
        <v>2031 год</v>
      </c>
      <c r="AC37" s="329"/>
      <c r="AD37" s="1727"/>
      <c r="AE37" s="1726"/>
      <c r="AF37" s="1726"/>
      <c r="AG37" s="1727"/>
      <c r="AH37" s="1726"/>
      <c r="AI37" s="1727"/>
      <c r="AJ37" s="1726"/>
      <c r="AK37" s="1728"/>
      <c r="AL37" s="324"/>
      <c r="AN37" s="973" cm="1">
        <f t="array" ref="AN37">K37</f>
        <v>2031</v>
      </c>
      <c r="AO37" s="973" t="s">
        <v>2259</v>
      </c>
      <c r="AP37" s="983" cm="1">
        <f t="array" ref="AP37">AP36</f>
        <v>0</v>
      </c>
      <c r="AQ37" s="626"/>
      <c r="AR37" s="626"/>
    </row>
    <row r="38" spans="2:44" s="1184" customFormat="1" ht="14.65" hidden="1" customHeight="1" x14ac:dyDescent="0.15">
      <c r="B38" s="367" t="b">
        <f t="shared" si="0"/>
        <v>1</v>
      </c>
      <c r="E38" s="626">
        <v>15</v>
      </c>
      <c r="F38" s="3" cm="1">
        <f t="array" aca="1" ref="F38" ca="1">OFFSET(E38,-1,1)</f>
        <v>0</v>
      </c>
      <c r="G38" s="17" cm="1">
        <f t="array" ref="G38">G37</f>
        <v>0</v>
      </c>
      <c r="K38" s="77">
        <f>first_year+8</f>
        <v>2032</v>
      </c>
      <c r="T38" s="388" t="b" cm="1">
        <f t="array" aca="1" ref="T38" ca="1">T37</f>
        <v>0</v>
      </c>
      <c r="X38" s="2032"/>
      <c r="Y38" s="2032"/>
      <c r="Z38" s="2012"/>
      <c r="AA38" s="2127"/>
      <c r="AB38" s="174" t="str">
        <f t="shared" si="1"/>
        <v>2032 год</v>
      </c>
      <c r="AC38" s="329"/>
      <c r="AD38" s="1727"/>
      <c r="AE38" s="1726"/>
      <c r="AF38" s="1726"/>
      <c r="AG38" s="1727"/>
      <c r="AH38" s="1726"/>
      <c r="AI38" s="1727"/>
      <c r="AJ38" s="1726"/>
      <c r="AK38" s="1728"/>
      <c r="AL38" s="324"/>
      <c r="AN38" s="973" cm="1">
        <f t="array" ref="AN38">K38</f>
        <v>2032</v>
      </c>
      <c r="AO38" s="973" t="s">
        <v>2259</v>
      </c>
      <c r="AP38" s="983" cm="1">
        <f t="array" ref="AP38">AP37</f>
        <v>0</v>
      </c>
      <c r="AQ38" s="626"/>
      <c r="AR38" s="626"/>
    </row>
    <row r="39" spans="2:44" s="1184" customFormat="1" ht="14.65" hidden="1" customHeight="1" x14ac:dyDescent="0.15">
      <c r="B39" s="367" t="b">
        <f t="shared" si="0"/>
        <v>0</v>
      </c>
      <c r="E39" s="626">
        <v>15</v>
      </c>
      <c r="F39" s="3" cm="1">
        <f t="array" aca="1" ref="F39" ca="1">OFFSET(E39,-1,1)</f>
        <v>0</v>
      </c>
      <c r="G39" s="17" cm="1">
        <f t="array" ref="G39">G38</f>
        <v>0</v>
      </c>
      <c r="K39" s="77">
        <f>first_year+9</f>
        <v>2033</v>
      </c>
      <c r="T39" s="388" t="b" cm="1">
        <f t="array" aca="1" ref="T39" ca="1">T38</f>
        <v>0</v>
      </c>
      <c r="X39" s="2032"/>
      <c r="Y39" s="2032"/>
      <c r="Z39" s="2012"/>
      <c r="AA39" s="2127"/>
      <c r="AB39" s="174" t="str">
        <f t="shared" si="1"/>
        <v>2033 год</v>
      </c>
      <c r="AC39" s="329"/>
      <c r="AD39" s="1727"/>
      <c r="AE39" s="1726"/>
      <c r="AF39" s="1726"/>
      <c r="AG39" s="1727"/>
      <c r="AH39" s="1726"/>
      <c r="AI39" s="1727"/>
      <c r="AJ39" s="1726"/>
      <c r="AK39" s="1728"/>
      <c r="AL39" s="324"/>
      <c r="AN39" s="973" cm="1">
        <f t="array" ref="AN39">K39</f>
        <v>2033</v>
      </c>
      <c r="AO39" s="973" t="s">
        <v>2259</v>
      </c>
      <c r="AP39" s="983" cm="1">
        <f t="array" ref="AP39">AP38</f>
        <v>0</v>
      </c>
      <c r="AQ39" s="626"/>
      <c r="AR39" s="626"/>
    </row>
    <row r="40" spans="2:44" s="1184" customFormat="1" ht="14.65" hidden="1" customHeight="1" x14ac:dyDescent="0.15">
      <c r="B40" s="367" t="b">
        <f t="shared" si="0"/>
        <v>0</v>
      </c>
      <c r="E40" s="626">
        <v>15</v>
      </c>
      <c r="F40" s="3" cm="1">
        <f t="array" aca="1" ref="F40" ca="1">OFFSET(E40,-1,1)</f>
        <v>0</v>
      </c>
      <c r="G40" s="17" cm="1">
        <f t="array" ref="G40">G39</f>
        <v>0</v>
      </c>
      <c r="K40" s="77">
        <f>first_year+10</f>
        <v>2034</v>
      </c>
      <c r="T40" s="388" t="b" cm="1">
        <f t="array" aca="1" ref="T40" ca="1">T39</f>
        <v>0</v>
      </c>
      <c r="X40" s="2032"/>
      <c r="Y40" s="2032"/>
      <c r="Z40" s="2012"/>
      <c r="AA40" s="2127"/>
      <c r="AB40" s="174" t="str">
        <f t="shared" si="1"/>
        <v>2034 год</v>
      </c>
      <c r="AC40" s="329"/>
      <c r="AD40" s="1727"/>
      <c r="AE40" s="1726"/>
      <c r="AF40" s="1726"/>
      <c r="AG40" s="1727"/>
      <c r="AH40" s="1726"/>
      <c r="AI40" s="1727"/>
      <c r="AJ40" s="1726"/>
      <c r="AK40" s="1728"/>
      <c r="AL40" s="324"/>
      <c r="AN40" s="973" cm="1">
        <f t="array" ref="AN40">K40</f>
        <v>2034</v>
      </c>
      <c r="AO40" s="973" t="s">
        <v>2259</v>
      </c>
      <c r="AP40" s="983" cm="1">
        <f t="array" ref="AP40">AP39</f>
        <v>0</v>
      </c>
      <c r="AQ40" s="626"/>
      <c r="AR40" s="626"/>
    </row>
    <row r="41" spans="2:44" s="1184" customFormat="1" ht="14.65" hidden="1" customHeight="1" x14ac:dyDescent="0.15">
      <c r="B41" s="367" t="b">
        <f t="shared" si="0"/>
        <v>0</v>
      </c>
      <c r="E41" s="626">
        <v>15</v>
      </c>
      <c r="F41" s="3" cm="1">
        <f t="array" aca="1" ref="F41" ca="1">OFFSET(E41,-1,1)</f>
        <v>0</v>
      </c>
      <c r="G41" s="17" cm="1">
        <f t="array" ref="G41">G40</f>
        <v>0</v>
      </c>
      <c r="K41" s="77">
        <f>first_year+11</f>
        <v>2035</v>
      </c>
      <c r="T41" s="388" t="b" cm="1">
        <f t="array" aca="1" ref="T41" ca="1">T40</f>
        <v>0</v>
      </c>
      <c r="X41" s="2032"/>
      <c r="Y41" s="2032"/>
      <c r="Z41" s="2012"/>
      <c r="AA41" s="2127"/>
      <c r="AB41" s="174" t="str">
        <f t="shared" si="1"/>
        <v>2035 год</v>
      </c>
      <c r="AC41" s="329"/>
      <c r="AD41" s="1727"/>
      <c r="AE41" s="1726"/>
      <c r="AF41" s="1726"/>
      <c r="AG41" s="1727"/>
      <c r="AH41" s="1726"/>
      <c r="AI41" s="1727"/>
      <c r="AJ41" s="1726"/>
      <c r="AK41" s="1728"/>
      <c r="AL41" s="324"/>
      <c r="AN41" s="973" cm="1">
        <f t="array" ref="AN41">K41</f>
        <v>2035</v>
      </c>
      <c r="AO41" s="973" t="s">
        <v>2259</v>
      </c>
      <c r="AP41" s="983" cm="1">
        <f t="array" ref="AP41">AP40</f>
        <v>0</v>
      </c>
      <c r="AQ41" s="626"/>
      <c r="AR41" s="626"/>
    </row>
    <row r="42" spans="2:44" s="1184" customFormat="1" ht="14.65" hidden="1" customHeight="1" x14ac:dyDescent="0.15">
      <c r="B42" s="367" t="b">
        <f t="shared" si="0"/>
        <v>0</v>
      </c>
      <c r="E42" s="626">
        <v>15</v>
      </c>
      <c r="F42" s="3" cm="1">
        <f t="array" aca="1" ref="F42" ca="1">OFFSET(E42,-1,1)</f>
        <v>0</v>
      </c>
      <c r="G42" s="17" cm="1">
        <f t="array" ref="G42">G41</f>
        <v>0</v>
      </c>
      <c r="K42" s="77">
        <f>first_year+12</f>
        <v>2036</v>
      </c>
      <c r="T42" s="388" t="b" cm="1">
        <f t="array" aca="1" ref="T42" ca="1">T41</f>
        <v>0</v>
      </c>
      <c r="X42" s="2032"/>
      <c r="Y42" s="2032"/>
      <c r="Z42" s="2012"/>
      <c r="AA42" s="2127"/>
      <c r="AB42" s="174" t="str">
        <f t="shared" si="1"/>
        <v>2036 год</v>
      </c>
      <c r="AC42" s="329"/>
      <c r="AD42" s="1727"/>
      <c r="AE42" s="1726"/>
      <c r="AF42" s="1726"/>
      <c r="AG42" s="1727"/>
      <c r="AH42" s="1726"/>
      <c r="AI42" s="1727"/>
      <c r="AJ42" s="1726"/>
      <c r="AK42" s="1728"/>
      <c r="AL42" s="324"/>
      <c r="AN42" s="973" cm="1">
        <f t="array" ref="AN42">K42</f>
        <v>2036</v>
      </c>
      <c r="AO42" s="973" t="s">
        <v>2259</v>
      </c>
      <c r="AP42" s="983" cm="1">
        <f t="array" ref="AP42">AP41</f>
        <v>0</v>
      </c>
      <c r="AQ42" s="626"/>
      <c r="AR42" s="626"/>
    </row>
    <row r="43" spans="2:44" s="1184" customFormat="1" ht="14.65" hidden="1" customHeight="1" x14ac:dyDescent="0.15">
      <c r="B43" s="367" t="b">
        <f t="shared" si="0"/>
        <v>0</v>
      </c>
      <c r="E43" s="626">
        <v>15</v>
      </c>
      <c r="F43" s="3" cm="1">
        <f t="array" aca="1" ref="F43" ca="1">OFFSET(E43,-1,1)</f>
        <v>0</v>
      </c>
      <c r="G43" s="17" cm="1">
        <f t="array" ref="G43">G42</f>
        <v>0</v>
      </c>
      <c r="K43" s="77">
        <f>first_year+13</f>
        <v>2037</v>
      </c>
      <c r="T43" s="388" t="b" cm="1">
        <f t="array" aca="1" ref="T43" ca="1">T42</f>
        <v>0</v>
      </c>
      <c r="X43" s="2032"/>
      <c r="Y43" s="2032"/>
      <c r="Z43" s="2012"/>
      <c r="AA43" s="2127"/>
      <c r="AB43" s="174" t="str">
        <f t="shared" si="1"/>
        <v>2037 год</v>
      </c>
      <c r="AC43" s="329"/>
      <c r="AD43" s="1727"/>
      <c r="AE43" s="1726"/>
      <c r="AF43" s="1726"/>
      <c r="AG43" s="1727"/>
      <c r="AH43" s="1726"/>
      <c r="AI43" s="1727"/>
      <c r="AJ43" s="1726"/>
      <c r="AK43" s="1728"/>
      <c r="AL43" s="324"/>
      <c r="AN43" s="973" cm="1">
        <f t="array" ref="AN43">K43</f>
        <v>2037</v>
      </c>
      <c r="AO43" s="973" t="s">
        <v>2259</v>
      </c>
      <c r="AP43" s="983" cm="1">
        <f t="array" ref="AP43">AP42</f>
        <v>0</v>
      </c>
      <c r="AQ43" s="626"/>
      <c r="AR43" s="626"/>
    </row>
    <row r="44" spans="2:44" s="1184" customFormat="1" ht="14.65" hidden="1" customHeight="1" x14ac:dyDescent="0.15">
      <c r="B44" s="367" t="b">
        <f t="shared" si="0"/>
        <v>0</v>
      </c>
      <c r="E44" s="626">
        <v>15</v>
      </c>
      <c r="F44" s="3" cm="1">
        <f t="array" aca="1" ref="F44" ca="1">OFFSET(E44,-1,1)</f>
        <v>0</v>
      </c>
      <c r="G44" s="17" cm="1">
        <f t="array" ref="G44">G43</f>
        <v>0</v>
      </c>
      <c r="K44" s="77">
        <f>first_year+14</f>
        <v>2038</v>
      </c>
      <c r="T44" s="388" t="b" cm="1">
        <f t="array" aca="1" ref="T44" ca="1">T43</f>
        <v>0</v>
      </c>
      <c r="X44" s="2032"/>
      <c r="Y44" s="2032"/>
      <c r="Z44" s="2012"/>
      <c r="AA44" s="2127"/>
      <c r="AB44" s="174" t="str">
        <f t="shared" si="1"/>
        <v>2038 год</v>
      </c>
      <c r="AC44" s="329"/>
      <c r="AD44" s="1727"/>
      <c r="AE44" s="1726"/>
      <c r="AF44" s="1726"/>
      <c r="AG44" s="1727"/>
      <c r="AH44" s="1726"/>
      <c r="AI44" s="1727"/>
      <c r="AJ44" s="1726"/>
      <c r="AK44" s="1728"/>
      <c r="AL44" s="324"/>
      <c r="AN44" s="973" cm="1">
        <f t="array" ref="AN44">K44</f>
        <v>2038</v>
      </c>
      <c r="AO44" s="973" t="s">
        <v>2259</v>
      </c>
      <c r="AP44" s="983" cm="1">
        <f t="array" ref="AP44">AP43</f>
        <v>0</v>
      </c>
      <c r="AQ44" s="626"/>
      <c r="AR44" s="626"/>
    </row>
    <row r="45" spans="2:44" s="1184" customFormat="1" ht="14.65" hidden="1" customHeight="1" x14ac:dyDescent="0.15">
      <c r="B45" s="367" t="b">
        <f t="shared" si="0"/>
        <v>0</v>
      </c>
      <c r="E45" s="626">
        <v>15</v>
      </c>
      <c r="F45" s="3" cm="1">
        <f t="array" aca="1" ref="F45" ca="1">OFFSET(E45,-1,1)</f>
        <v>0</v>
      </c>
      <c r="G45" s="17" cm="1">
        <f t="array" ref="G45">G44</f>
        <v>0</v>
      </c>
      <c r="K45" s="77">
        <f>first_year+15</f>
        <v>2039</v>
      </c>
      <c r="T45" s="388" t="b" cm="1">
        <f t="array" aca="1" ref="T45" ca="1">T44</f>
        <v>0</v>
      </c>
      <c r="X45" s="2032"/>
      <c r="Y45" s="2032"/>
      <c r="Z45" s="2012"/>
      <c r="AA45" s="2127"/>
      <c r="AB45" s="174" t="str">
        <f t="shared" si="1"/>
        <v>2039 год</v>
      </c>
      <c r="AC45" s="329"/>
      <c r="AD45" s="1727"/>
      <c r="AE45" s="1726"/>
      <c r="AF45" s="1726"/>
      <c r="AG45" s="1727"/>
      <c r="AH45" s="1726"/>
      <c r="AI45" s="1727"/>
      <c r="AJ45" s="1726"/>
      <c r="AK45" s="1728"/>
      <c r="AL45" s="324"/>
      <c r="AN45" s="973" cm="1">
        <f t="array" ref="AN45">K45</f>
        <v>2039</v>
      </c>
      <c r="AO45" s="973" t="s">
        <v>2259</v>
      </c>
      <c r="AP45" s="983" cm="1">
        <f t="array" ref="AP45">AP44</f>
        <v>0</v>
      </c>
      <c r="AQ45" s="626"/>
      <c r="AR45" s="626"/>
    </row>
    <row r="46" spans="2:44" s="1184" customFormat="1" ht="14.65" hidden="1" customHeight="1" x14ac:dyDescent="0.15">
      <c r="B46" s="367" t="b">
        <f t="shared" si="0"/>
        <v>0</v>
      </c>
      <c r="E46" s="626">
        <v>15</v>
      </c>
      <c r="F46" s="3" cm="1">
        <f t="array" aca="1" ref="F46" ca="1">OFFSET(E46,-1,1)</f>
        <v>0</v>
      </c>
      <c r="G46" s="17" cm="1">
        <f t="array" ref="G46">G45</f>
        <v>0</v>
      </c>
      <c r="K46" s="77">
        <f>first_year+16</f>
        <v>2040</v>
      </c>
      <c r="T46" s="388" t="b" cm="1">
        <f t="array" aca="1" ref="T46" ca="1">T45</f>
        <v>0</v>
      </c>
      <c r="X46" s="2032"/>
      <c r="Y46" s="2032"/>
      <c r="Z46" s="2012"/>
      <c r="AA46" s="2127"/>
      <c r="AB46" s="174" t="str">
        <f t="shared" si="1"/>
        <v>2040 год</v>
      </c>
      <c r="AC46" s="329"/>
      <c r="AD46" s="1727"/>
      <c r="AE46" s="1726"/>
      <c r="AF46" s="1726"/>
      <c r="AG46" s="1727"/>
      <c r="AH46" s="1726"/>
      <c r="AI46" s="1727"/>
      <c r="AJ46" s="1726"/>
      <c r="AK46" s="1728"/>
      <c r="AL46" s="324"/>
      <c r="AN46" s="973" cm="1">
        <f t="array" ref="AN46">K46</f>
        <v>2040</v>
      </c>
      <c r="AO46" s="973" t="s">
        <v>2259</v>
      </c>
      <c r="AP46" s="983" cm="1">
        <f t="array" ref="AP46">AP45</f>
        <v>0</v>
      </c>
      <c r="AQ46" s="626"/>
      <c r="AR46" s="626"/>
    </row>
    <row r="47" spans="2:44" s="1184" customFormat="1" ht="14.65" hidden="1" customHeight="1" x14ac:dyDescent="0.15">
      <c r="B47" s="367" t="b">
        <f t="shared" si="0"/>
        <v>0</v>
      </c>
      <c r="E47" s="626">
        <v>15</v>
      </c>
      <c r="F47" s="3" cm="1">
        <f t="array" aca="1" ref="F47" ca="1">OFFSET(E47,-1,1)</f>
        <v>0</v>
      </c>
      <c r="G47" s="17" cm="1">
        <f t="array" ref="G47">G46</f>
        <v>0</v>
      </c>
      <c r="K47" s="77">
        <f>first_year+17</f>
        <v>2041</v>
      </c>
      <c r="T47" s="388" t="b" cm="1">
        <f t="array" aca="1" ref="T47" ca="1">T46</f>
        <v>0</v>
      </c>
      <c r="X47" s="2032"/>
      <c r="Y47" s="2032"/>
      <c r="Z47" s="2012"/>
      <c r="AA47" s="2127"/>
      <c r="AB47" s="174" t="str">
        <f t="shared" si="1"/>
        <v>2041 год</v>
      </c>
      <c r="AC47" s="329"/>
      <c r="AD47" s="1727"/>
      <c r="AE47" s="1726"/>
      <c r="AF47" s="1726"/>
      <c r="AG47" s="1727"/>
      <c r="AH47" s="1726"/>
      <c r="AI47" s="1727"/>
      <c r="AJ47" s="1726"/>
      <c r="AK47" s="1728"/>
      <c r="AL47" s="324"/>
      <c r="AN47" s="973" cm="1">
        <f t="array" ref="AN47">K47</f>
        <v>2041</v>
      </c>
      <c r="AO47" s="973" t="s">
        <v>2259</v>
      </c>
      <c r="AP47" s="983" cm="1">
        <f t="array" ref="AP47">AP46</f>
        <v>0</v>
      </c>
      <c r="AQ47" s="626"/>
      <c r="AR47" s="626"/>
    </row>
    <row r="48" spans="2:44" s="1184" customFormat="1" ht="14.65" hidden="1" customHeight="1" x14ac:dyDescent="0.15">
      <c r="B48" s="367" t="b">
        <f t="shared" si="0"/>
        <v>0</v>
      </c>
      <c r="E48" s="626">
        <v>15</v>
      </c>
      <c r="F48" s="3" cm="1">
        <f t="array" aca="1" ref="F48" ca="1">OFFSET(E48,-1,1)</f>
        <v>0</v>
      </c>
      <c r="G48" s="17" cm="1">
        <f t="array" ref="G48">G47</f>
        <v>0</v>
      </c>
      <c r="K48" s="77">
        <f>first_year+18</f>
        <v>2042</v>
      </c>
      <c r="T48" s="388" t="b" cm="1">
        <f t="array" aca="1" ref="T48" ca="1">T47</f>
        <v>0</v>
      </c>
      <c r="X48" s="2032"/>
      <c r="Y48" s="2032"/>
      <c r="Z48" s="2012"/>
      <c r="AA48" s="2127"/>
      <c r="AB48" s="174" t="str">
        <f t="shared" si="1"/>
        <v>2042 год</v>
      </c>
      <c r="AC48" s="329"/>
      <c r="AD48" s="1727"/>
      <c r="AE48" s="1726"/>
      <c r="AF48" s="1726"/>
      <c r="AG48" s="1727"/>
      <c r="AH48" s="1726"/>
      <c r="AI48" s="1727"/>
      <c r="AJ48" s="1726"/>
      <c r="AK48" s="1728"/>
      <c r="AL48" s="324"/>
      <c r="AN48" s="973" cm="1">
        <f t="array" ref="AN48">K48</f>
        <v>2042</v>
      </c>
      <c r="AO48" s="973" t="s">
        <v>2259</v>
      </c>
      <c r="AP48" s="983" cm="1">
        <f t="array" ref="AP48">AP47</f>
        <v>0</v>
      </c>
      <c r="AQ48" s="626"/>
      <c r="AR48" s="626"/>
    </row>
    <row r="49" spans="2:44" s="1184" customFormat="1" ht="14.65" hidden="1" customHeight="1" x14ac:dyDescent="0.15">
      <c r="B49" s="367" t="b">
        <f t="shared" si="0"/>
        <v>0</v>
      </c>
      <c r="E49" s="626">
        <v>15</v>
      </c>
      <c r="F49" s="3" cm="1">
        <f t="array" aca="1" ref="F49" ca="1">OFFSET(E49,-1,1)</f>
        <v>0</v>
      </c>
      <c r="G49" s="17" cm="1">
        <f t="array" ref="G49">G48</f>
        <v>0</v>
      </c>
      <c r="K49" s="77">
        <f>first_year+19</f>
        <v>2043</v>
      </c>
      <c r="T49" s="388" t="b" cm="1">
        <f t="array" aca="1" ref="T49" ca="1">T48</f>
        <v>0</v>
      </c>
      <c r="X49" s="2032"/>
      <c r="Y49" s="2032"/>
      <c r="Z49" s="2012"/>
      <c r="AA49" s="2127"/>
      <c r="AB49" s="174" t="str">
        <f t="shared" si="1"/>
        <v>2043 год</v>
      </c>
      <c r="AC49" s="329"/>
      <c r="AD49" s="1727"/>
      <c r="AE49" s="1726"/>
      <c r="AF49" s="1726"/>
      <c r="AG49" s="1727"/>
      <c r="AH49" s="1726"/>
      <c r="AI49" s="1727"/>
      <c r="AJ49" s="1726"/>
      <c r="AK49" s="1728"/>
      <c r="AL49" s="324"/>
      <c r="AN49" s="973" cm="1">
        <f t="array" ref="AN49">K49</f>
        <v>2043</v>
      </c>
      <c r="AO49" s="973" t="s">
        <v>2259</v>
      </c>
      <c r="AP49" s="983" cm="1">
        <f t="array" ref="AP49">AP48</f>
        <v>0</v>
      </c>
      <c r="AQ49" s="626"/>
      <c r="AR49" s="626"/>
    </row>
    <row r="50" spans="2:44" s="1184" customFormat="1" ht="14.65" hidden="1" customHeight="1" x14ac:dyDescent="0.15">
      <c r="B50" s="367" t="b">
        <f t="shared" si="0"/>
        <v>0</v>
      </c>
      <c r="E50" s="626">
        <v>15</v>
      </c>
      <c r="F50" s="3" cm="1">
        <f t="array" aca="1" ref="F50" ca="1">OFFSET(E50,-1,1)</f>
        <v>0</v>
      </c>
      <c r="G50" s="17" cm="1">
        <f t="array" ref="G50">G49</f>
        <v>0</v>
      </c>
      <c r="K50" s="77">
        <f>first_year+20</f>
        <v>2044</v>
      </c>
      <c r="T50" s="388" t="b" cm="1">
        <f t="array" aca="1" ref="T50" ca="1">T49</f>
        <v>0</v>
      </c>
      <c r="X50" s="2032"/>
      <c r="Y50" s="2032"/>
      <c r="Z50" s="2012"/>
      <c r="AA50" s="2127"/>
      <c r="AB50" s="174" t="str">
        <f t="shared" si="1"/>
        <v>2044 год</v>
      </c>
      <c r="AC50" s="329"/>
      <c r="AD50" s="1727"/>
      <c r="AE50" s="1726"/>
      <c r="AF50" s="1726"/>
      <c r="AG50" s="1727"/>
      <c r="AH50" s="1726"/>
      <c r="AI50" s="1727"/>
      <c r="AJ50" s="1726"/>
      <c r="AK50" s="1728"/>
      <c r="AL50" s="324"/>
      <c r="AN50" s="973" cm="1">
        <f t="array" ref="AN50">K50</f>
        <v>2044</v>
      </c>
      <c r="AO50" s="973" t="s">
        <v>2259</v>
      </c>
      <c r="AP50" s="983" cm="1">
        <f t="array" ref="AP50">AP49</f>
        <v>0</v>
      </c>
      <c r="AQ50" s="626"/>
      <c r="AR50" s="626"/>
    </row>
    <row r="51" spans="2:44" s="1184" customFormat="1" ht="14.65" hidden="1" customHeight="1" x14ac:dyDescent="0.15">
      <c r="B51" s="367" t="b">
        <f t="shared" si="0"/>
        <v>0</v>
      </c>
      <c r="E51" s="626">
        <v>15</v>
      </c>
      <c r="F51" s="3" cm="1">
        <f t="array" aca="1" ref="F51" ca="1">OFFSET(E51,-1,1)</f>
        <v>0</v>
      </c>
      <c r="G51" s="17" cm="1">
        <f t="array" ref="G51">G50</f>
        <v>0</v>
      </c>
      <c r="K51" s="77">
        <f>first_year+21</f>
        <v>2045</v>
      </c>
      <c r="T51" s="388" t="b" cm="1">
        <f t="array" aca="1" ref="T51" ca="1">T50</f>
        <v>0</v>
      </c>
      <c r="X51" s="2032"/>
      <c r="Y51" s="2032"/>
      <c r="Z51" s="2012"/>
      <c r="AA51" s="2127"/>
      <c r="AB51" s="174" t="str">
        <f t="shared" si="1"/>
        <v>2045 год</v>
      </c>
      <c r="AC51" s="329"/>
      <c r="AD51" s="1727"/>
      <c r="AE51" s="1726"/>
      <c r="AF51" s="1726"/>
      <c r="AG51" s="1727"/>
      <c r="AH51" s="1726"/>
      <c r="AI51" s="1727"/>
      <c r="AJ51" s="1726"/>
      <c r="AK51" s="1728"/>
      <c r="AL51" s="324"/>
      <c r="AN51" s="973" cm="1">
        <f t="array" ref="AN51">K51</f>
        <v>2045</v>
      </c>
      <c r="AO51" s="973" t="s">
        <v>2259</v>
      </c>
      <c r="AP51" s="983" cm="1">
        <f t="array" ref="AP51">AP50</f>
        <v>0</v>
      </c>
      <c r="AQ51" s="626"/>
      <c r="AR51" s="626"/>
    </row>
    <row r="52" spans="2:44" s="1184" customFormat="1" ht="14.65" hidden="1" customHeight="1" x14ac:dyDescent="0.15">
      <c r="B52" s="367" t="b">
        <f t="shared" si="0"/>
        <v>0</v>
      </c>
      <c r="E52" s="626">
        <v>15</v>
      </c>
      <c r="F52" s="3" cm="1">
        <f t="array" aca="1" ref="F52" ca="1">OFFSET(E52,-1,1)</f>
        <v>0</v>
      </c>
      <c r="G52" s="17" cm="1">
        <f t="array" ref="G52">G51</f>
        <v>0</v>
      </c>
      <c r="K52" s="77">
        <f>first_year+22</f>
        <v>2046</v>
      </c>
      <c r="T52" s="388" t="b" cm="1">
        <f t="array" aca="1" ref="T52" ca="1">T51</f>
        <v>0</v>
      </c>
      <c r="X52" s="2032"/>
      <c r="Y52" s="2032"/>
      <c r="Z52" s="2012"/>
      <c r="AA52" s="2127"/>
      <c r="AB52" s="174" t="str">
        <f t="shared" si="1"/>
        <v>2046 год</v>
      </c>
      <c r="AC52" s="329"/>
      <c r="AD52" s="1727"/>
      <c r="AE52" s="1726"/>
      <c r="AF52" s="1726"/>
      <c r="AG52" s="1727"/>
      <c r="AH52" s="1726"/>
      <c r="AI52" s="1727"/>
      <c r="AJ52" s="1726"/>
      <c r="AK52" s="1728"/>
      <c r="AL52" s="324"/>
      <c r="AN52" s="973" cm="1">
        <f t="array" ref="AN52">K52</f>
        <v>2046</v>
      </c>
      <c r="AO52" s="973" t="s">
        <v>2259</v>
      </c>
      <c r="AP52" s="983" cm="1">
        <f t="array" ref="AP52">AP51</f>
        <v>0</v>
      </c>
      <c r="AQ52" s="626"/>
      <c r="AR52" s="626"/>
    </row>
    <row r="53" spans="2:44" s="1184" customFormat="1" ht="14.65" hidden="1" customHeight="1" x14ac:dyDescent="0.15">
      <c r="B53" s="367" t="b">
        <f t="shared" si="0"/>
        <v>0</v>
      </c>
      <c r="E53" s="626">
        <v>15</v>
      </c>
      <c r="F53" s="3" cm="1">
        <f t="array" aca="1" ref="F53" ca="1">OFFSET(E53,-1,1)</f>
        <v>0</v>
      </c>
      <c r="G53" s="17" cm="1">
        <f t="array" ref="G53">G52</f>
        <v>0</v>
      </c>
      <c r="K53" s="77">
        <f>first_year+23</f>
        <v>2047</v>
      </c>
      <c r="T53" s="388" t="b" cm="1">
        <f t="array" aca="1" ref="T53" ca="1">T52</f>
        <v>0</v>
      </c>
      <c r="X53" s="2032"/>
      <c r="Y53" s="2032"/>
      <c r="Z53" s="2012"/>
      <c r="AA53" s="2127"/>
      <c r="AB53" s="174" t="str">
        <f t="shared" si="1"/>
        <v>2047 год</v>
      </c>
      <c r="AC53" s="329"/>
      <c r="AD53" s="1727"/>
      <c r="AE53" s="1726"/>
      <c r="AF53" s="1726"/>
      <c r="AG53" s="1727"/>
      <c r="AH53" s="1726"/>
      <c r="AI53" s="1727"/>
      <c r="AJ53" s="1726"/>
      <c r="AK53" s="1728"/>
      <c r="AL53" s="324"/>
      <c r="AN53" s="973" cm="1">
        <f t="array" ref="AN53">K53</f>
        <v>2047</v>
      </c>
      <c r="AO53" s="973" t="s">
        <v>2259</v>
      </c>
      <c r="AP53" s="983" cm="1">
        <f t="array" ref="AP53">AP52</f>
        <v>0</v>
      </c>
      <c r="AQ53" s="626"/>
      <c r="AR53" s="626"/>
    </row>
    <row r="54" spans="2:44" s="1184" customFormat="1" ht="14.65" hidden="1" customHeight="1" x14ac:dyDescent="0.15">
      <c r="B54" s="367" t="b">
        <f t="shared" si="0"/>
        <v>0</v>
      </c>
      <c r="E54" s="626">
        <v>15</v>
      </c>
      <c r="F54" s="3" cm="1">
        <f t="array" aca="1" ref="F54" ca="1">OFFSET(E54,-1,1)</f>
        <v>0</v>
      </c>
      <c r="G54" s="17" cm="1">
        <f t="array" ref="G54">G53</f>
        <v>0</v>
      </c>
      <c r="K54" s="77">
        <f>first_year+24</f>
        <v>2048</v>
      </c>
      <c r="T54" s="388" t="b" cm="1">
        <f t="array" aca="1" ref="T54" ca="1">T53</f>
        <v>0</v>
      </c>
      <c r="X54" s="2032"/>
      <c r="Y54" s="2032"/>
      <c r="Z54" s="2012"/>
      <c r="AA54" s="2127"/>
      <c r="AB54" s="174" t="str">
        <f t="shared" si="1"/>
        <v>2048 год</v>
      </c>
      <c r="AC54" s="329"/>
      <c r="AD54" s="1727"/>
      <c r="AE54" s="1726"/>
      <c r="AF54" s="1726"/>
      <c r="AG54" s="1727"/>
      <c r="AH54" s="1726"/>
      <c r="AI54" s="1727"/>
      <c r="AJ54" s="1726"/>
      <c r="AK54" s="1728"/>
      <c r="AL54" s="324"/>
      <c r="AN54" s="973" cm="1">
        <f t="array" ref="AN54">K54</f>
        <v>2048</v>
      </c>
      <c r="AO54" s="973" t="s">
        <v>2259</v>
      </c>
      <c r="AP54" s="983" cm="1">
        <f t="array" ref="AP54">AP53</f>
        <v>0</v>
      </c>
      <c r="AQ54" s="626"/>
      <c r="AR54" s="626"/>
    </row>
    <row r="55" spans="2:44" s="1184" customFormat="1" ht="14.65" hidden="1" customHeight="1" x14ac:dyDescent="0.15">
      <c r="B55" s="367" t="b">
        <f t="shared" si="0"/>
        <v>0</v>
      </c>
      <c r="E55" s="626">
        <v>15</v>
      </c>
      <c r="F55" s="3" cm="1">
        <f t="array" aca="1" ref="F55" ca="1">OFFSET(E55,-1,1)</f>
        <v>0</v>
      </c>
      <c r="G55" s="17" cm="1">
        <f t="array" ref="G55">G54</f>
        <v>0</v>
      </c>
      <c r="K55" s="77">
        <f>first_year+25</f>
        <v>2049</v>
      </c>
      <c r="T55" s="388" t="b" cm="1">
        <f t="array" aca="1" ref="T55" ca="1">T54</f>
        <v>0</v>
      </c>
      <c r="X55" s="2032"/>
      <c r="Y55" s="2032"/>
      <c r="Z55" s="2012"/>
      <c r="AA55" s="2127"/>
      <c r="AB55" s="174" t="str">
        <f t="shared" si="1"/>
        <v>2049 год</v>
      </c>
      <c r="AC55" s="329"/>
      <c r="AD55" s="1727"/>
      <c r="AE55" s="1726"/>
      <c r="AF55" s="1726"/>
      <c r="AG55" s="1727"/>
      <c r="AH55" s="1726"/>
      <c r="AI55" s="1727"/>
      <c r="AJ55" s="1726"/>
      <c r="AK55" s="1728"/>
      <c r="AL55" s="324"/>
      <c r="AN55" s="973" cm="1">
        <f t="array" ref="AN55">K55</f>
        <v>2049</v>
      </c>
      <c r="AO55" s="973" t="s">
        <v>2259</v>
      </c>
      <c r="AP55" s="983" cm="1">
        <f t="array" ref="AP55">AP54</f>
        <v>0</v>
      </c>
      <c r="AQ55" s="626"/>
      <c r="AR55" s="626"/>
    </row>
    <row r="56" spans="2:44" s="1184" customFormat="1" ht="14.65" hidden="1" customHeight="1" x14ac:dyDescent="0.15">
      <c r="B56" s="367" t="b">
        <f t="shared" si="0"/>
        <v>0</v>
      </c>
      <c r="E56" s="626">
        <v>15</v>
      </c>
      <c r="F56" s="3" cm="1">
        <f t="array" aca="1" ref="F56" ca="1">OFFSET(E56,-1,1)</f>
        <v>0</v>
      </c>
      <c r="G56" s="17" cm="1">
        <f t="array" ref="G56">G55</f>
        <v>0</v>
      </c>
      <c r="K56" s="77">
        <f>first_year+26</f>
        <v>2050</v>
      </c>
      <c r="T56" s="388" t="b" cm="1">
        <f t="array" aca="1" ref="T56" ca="1">T55</f>
        <v>0</v>
      </c>
      <c r="X56" s="2032"/>
      <c r="Y56" s="2032"/>
      <c r="Z56" s="2012"/>
      <c r="AA56" s="2127"/>
      <c r="AB56" s="174" t="str">
        <f t="shared" si="1"/>
        <v>2050 год</v>
      </c>
      <c r="AC56" s="329"/>
      <c r="AD56" s="1727"/>
      <c r="AE56" s="1726"/>
      <c r="AF56" s="1726"/>
      <c r="AG56" s="1727"/>
      <c r="AH56" s="1726"/>
      <c r="AI56" s="1727"/>
      <c r="AJ56" s="1726"/>
      <c r="AK56" s="1728"/>
      <c r="AL56" s="324"/>
      <c r="AN56" s="973" cm="1">
        <f t="array" ref="AN56">K56</f>
        <v>2050</v>
      </c>
      <c r="AO56" s="973" t="s">
        <v>2259</v>
      </c>
      <c r="AP56" s="983" cm="1">
        <f t="array" ref="AP56">AP55</f>
        <v>0</v>
      </c>
      <c r="AQ56" s="626"/>
      <c r="AR56" s="626"/>
    </row>
    <row r="57" spans="2:44" s="1184" customFormat="1" ht="14.65" hidden="1" customHeight="1" x14ac:dyDescent="0.15">
      <c r="B57" s="367" t="b">
        <f t="shared" si="0"/>
        <v>0</v>
      </c>
      <c r="E57" s="626">
        <v>15</v>
      </c>
      <c r="F57" s="3" cm="1">
        <f t="array" aca="1" ref="F57" ca="1">OFFSET(E57,-1,1)</f>
        <v>0</v>
      </c>
      <c r="G57" s="17" cm="1">
        <f t="array" ref="G57">G56</f>
        <v>0</v>
      </c>
      <c r="K57" s="77">
        <f>first_year+27</f>
        <v>2051</v>
      </c>
      <c r="T57" s="388" t="b" cm="1">
        <f t="array" aca="1" ref="T57" ca="1">T56</f>
        <v>0</v>
      </c>
      <c r="X57" s="2032"/>
      <c r="Y57" s="2032"/>
      <c r="Z57" s="2012"/>
      <c r="AA57" s="2127"/>
      <c r="AB57" s="174" t="str">
        <f t="shared" si="1"/>
        <v>2051 год</v>
      </c>
      <c r="AC57" s="329"/>
      <c r="AD57" s="1727"/>
      <c r="AE57" s="1726"/>
      <c r="AF57" s="1726"/>
      <c r="AG57" s="1727"/>
      <c r="AH57" s="1726"/>
      <c r="AI57" s="1727"/>
      <c r="AJ57" s="1726"/>
      <c r="AK57" s="1728"/>
      <c r="AL57" s="324"/>
      <c r="AN57" s="973" cm="1">
        <f t="array" ref="AN57">K57</f>
        <v>2051</v>
      </c>
      <c r="AO57" s="973" t="s">
        <v>2259</v>
      </c>
      <c r="AP57" s="983" cm="1">
        <f t="array" ref="AP57">AP56</f>
        <v>0</v>
      </c>
      <c r="AQ57" s="626"/>
      <c r="AR57" s="626"/>
    </row>
    <row r="58" spans="2:44" s="1184" customFormat="1" ht="14.65" hidden="1" customHeight="1" x14ac:dyDescent="0.15">
      <c r="B58" s="367" t="b">
        <f t="shared" si="0"/>
        <v>0</v>
      </c>
      <c r="E58" s="626">
        <v>15</v>
      </c>
      <c r="F58" s="3" cm="1">
        <f t="array" aca="1" ref="F58" ca="1">OFFSET(E58,-1,1)</f>
        <v>0</v>
      </c>
      <c r="G58" s="17" cm="1">
        <f t="array" ref="G58">G57</f>
        <v>0</v>
      </c>
      <c r="K58" s="77">
        <f>first_year+28</f>
        <v>2052</v>
      </c>
      <c r="T58" s="388" t="b" cm="1">
        <f t="array" aca="1" ref="T58" ca="1">T57</f>
        <v>0</v>
      </c>
      <c r="X58" s="2032"/>
      <c r="Y58" s="2032"/>
      <c r="Z58" s="2012"/>
      <c r="AA58" s="2127"/>
      <c r="AB58" s="174" t="str">
        <f t="shared" si="1"/>
        <v>2052 год</v>
      </c>
      <c r="AC58" s="329"/>
      <c r="AD58" s="1727"/>
      <c r="AE58" s="1726"/>
      <c r="AF58" s="1726"/>
      <c r="AG58" s="1727"/>
      <c r="AH58" s="1726"/>
      <c r="AI58" s="1727"/>
      <c r="AJ58" s="1726"/>
      <c r="AK58" s="1728"/>
      <c r="AL58" s="324"/>
      <c r="AN58" s="973" cm="1">
        <f t="array" ref="AN58">K58</f>
        <v>2052</v>
      </c>
      <c r="AO58" s="973" t="s">
        <v>2259</v>
      </c>
      <c r="AP58" s="983" cm="1">
        <f t="array" ref="AP58">AP57</f>
        <v>0</v>
      </c>
      <c r="AQ58" s="626"/>
      <c r="AR58" s="626"/>
    </row>
    <row r="59" spans="2:44" s="1184" customFormat="1" ht="14.65" hidden="1" customHeight="1" x14ac:dyDescent="0.15">
      <c r="B59" s="367" t="b">
        <f t="shared" si="0"/>
        <v>0</v>
      </c>
      <c r="E59" s="626">
        <v>15</v>
      </c>
      <c r="F59" s="3" cm="1">
        <f t="array" aca="1" ref="F59" ca="1">OFFSET(E59,-1,1)</f>
        <v>0</v>
      </c>
      <c r="G59" s="17" cm="1">
        <f t="array" ref="G59">G58</f>
        <v>0</v>
      </c>
      <c r="K59" s="77">
        <f>first_year+29</f>
        <v>2053</v>
      </c>
      <c r="T59" s="388" t="b" cm="1">
        <f t="array" aca="1" ref="T59" ca="1">T58</f>
        <v>0</v>
      </c>
      <c r="X59" s="2032"/>
      <c r="Y59" s="2032"/>
      <c r="Z59" s="2012"/>
      <c r="AA59" s="2127"/>
      <c r="AB59" s="174" t="str">
        <f t="shared" si="1"/>
        <v>2053 год</v>
      </c>
      <c r="AC59" s="329"/>
      <c r="AD59" s="1727"/>
      <c r="AE59" s="1726"/>
      <c r="AF59" s="1726"/>
      <c r="AG59" s="1727"/>
      <c r="AH59" s="1726"/>
      <c r="AI59" s="1727"/>
      <c r="AJ59" s="1726"/>
      <c r="AK59" s="1728"/>
      <c r="AL59" s="324"/>
      <c r="AN59" s="973" cm="1">
        <f t="array" ref="AN59">K59</f>
        <v>2053</v>
      </c>
      <c r="AO59" s="973" t="s">
        <v>2259</v>
      </c>
      <c r="AP59" s="983" cm="1">
        <f t="array" ref="AP59">AP58</f>
        <v>0</v>
      </c>
      <c r="AQ59" s="626"/>
      <c r="AR59" s="626"/>
    </row>
    <row r="60" spans="2:44" s="1184" customFormat="1" ht="14.65" hidden="1" customHeight="1" x14ac:dyDescent="0.15">
      <c r="B60" s="367" t="b">
        <f t="shared" si="0"/>
        <v>0</v>
      </c>
      <c r="E60" s="626">
        <v>15</v>
      </c>
      <c r="F60" s="3" cm="1">
        <f t="array" aca="1" ref="F60" ca="1">OFFSET(E60,-1,1)</f>
        <v>0</v>
      </c>
      <c r="G60" s="17" cm="1">
        <f t="array" ref="G60">G59</f>
        <v>0</v>
      </c>
      <c r="K60" s="77">
        <f>first_year+30</f>
        <v>2054</v>
      </c>
      <c r="T60" s="388" t="b" cm="1">
        <f t="array" aca="1" ref="T60" ca="1">T59</f>
        <v>0</v>
      </c>
      <c r="X60" s="2032"/>
      <c r="Y60" s="2032"/>
      <c r="Z60" s="2012"/>
      <c r="AA60" s="2127"/>
      <c r="AB60" s="174" t="str">
        <f t="shared" si="1"/>
        <v>2054 год</v>
      </c>
      <c r="AC60" s="329"/>
      <c r="AD60" s="1727"/>
      <c r="AE60" s="1726"/>
      <c r="AF60" s="1726"/>
      <c r="AG60" s="1727"/>
      <c r="AH60" s="1726"/>
      <c r="AI60" s="1727"/>
      <c r="AJ60" s="1726"/>
      <c r="AK60" s="1728"/>
      <c r="AL60" s="324"/>
      <c r="AN60" s="973" cm="1">
        <f t="array" ref="AN60">K60</f>
        <v>2054</v>
      </c>
      <c r="AO60" s="973" t="s">
        <v>2259</v>
      </c>
      <c r="AP60" s="983" cm="1">
        <f t="array" ref="AP60">AP59</f>
        <v>0</v>
      </c>
      <c r="AQ60" s="626"/>
      <c r="AR60" s="626"/>
    </row>
    <row r="61" spans="2:44" s="1184" customFormat="1" ht="14.65" hidden="1" customHeight="1" x14ac:dyDescent="0.15">
      <c r="B61" s="367" t="b">
        <f t="shared" si="0"/>
        <v>0</v>
      </c>
      <c r="E61" s="626">
        <v>15</v>
      </c>
      <c r="F61" s="3" cm="1">
        <f t="array" aca="1" ref="F61" ca="1">OFFSET(E61,-1,1)</f>
        <v>0</v>
      </c>
      <c r="G61" s="17" cm="1">
        <f t="array" ref="G61">G60</f>
        <v>0</v>
      </c>
      <c r="K61" s="77">
        <f>first_year+31</f>
        <v>2055</v>
      </c>
      <c r="T61" s="388" t="b" cm="1">
        <f t="array" aca="1" ref="T61" ca="1">T60</f>
        <v>0</v>
      </c>
      <c r="X61" s="2032"/>
      <c r="Y61" s="2032"/>
      <c r="Z61" s="2012"/>
      <c r="AA61" s="2127"/>
      <c r="AB61" s="174" t="str">
        <f t="shared" si="1"/>
        <v>2055 год</v>
      </c>
      <c r="AC61" s="329"/>
      <c r="AD61" s="1727"/>
      <c r="AE61" s="1726"/>
      <c r="AF61" s="1726"/>
      <c r="AG61" s="1727"/>
      <c r="AH61" s="1726"/>
      <c r="AI61" s="1727"/>
      <c r="AJ61" s="1726"/>
      <c r="AK61" s="1728"/>
      <c r="AL61" s="324"/>
      <c r="AN61" s="973" cm="1">
        <f t="array" ref="AN61">K61</f>
        <v>2055</v>
      </c>
      <c r="AO61" s="973" t="s">
        <v>2259</v>
      </c>
      <c r="AP61" s="983" cm="1">
        <f t="array" ref="AP61">AP60</f>
        <v>0</v>
      </c>
      <c r="AQ61" s="626"/>
      <c r="AR61" s="626"/>
    </row>
    <row r="62" spans="2:44" s="1184" customFormat="1" ht="14.65" hidden="1" customHeight="1" x14ac:dyDescent="0.15">
      <c r="B62" s="367" t="b">
        <f t="shared" ref="B62:B79" si="2">K62&lt;first_year+PERIOD_LENGTH</f>
        <v>0</v>
      </c>
      <c r="E62" s="626">
        <v>15</v>
      </c>
      <c r="F62" s="3" cm="1">
        <f t="array" aca="1" ref="F62" ca="1">OFFSET(E62,-1,1)</f>
        <v>0</v>
      </c>
      <c r="G62" s="17" cm="1">
        <f t="array" ref="G62">G61</f>
        <v>0</v>
      </c>
      <c r="K62" s="77">
        <f>first_year+32</f>
        <v>2056</v>
      </c>
      <c r="T62" s="388" t="b" cm="1">
        <f t="array" aca="1" ref="T62" ca="1">T61</f>
        <v>0</v>
      </c>
      <c r="X62" s="2032"/>
      <c r="Y62" s="2032"/>
      <c r="Z62" s="2012"/>
      <c r="AA62" s="2127"/>
      <c r="AB62" s="174" t="str">
        <f t="shared" ref="AB62:AB79" si="3">K62&amp;" год"</f>
        <v>2056 год</v>
      </c>
      <c r="AC62" s="329"/>
      <c r="AD62" s="1727"/>
      <c r="AE62" s="1726"/>
      <c r="AF62" s="1726"/>
      <c r="AG62" s="1727"/>
      <c r="AH62" s="1726"/>
      <c r="AI62" s="1727"/>
      <c r="AJ62" s="1726"/>
      <c r="AK62" s="1728"/>
      <c r="AL62" s="324"/>
      <c r="AN62" s="973" cm="1">
        <f t="array" ref="AN62">K62</f>
        <v>2056</v>
      </c>
      <c r="AO62" s="973" t="s">
        <v>2259</v>
      </c>
      <c r="AP62" s="983" cm="1">
        <f t="array" ref="AP62">AP61</f>
        <v>0</v>
      </c>
      <c r="AQ62" s="626"/>
      <c r="AR62" s="626"/>
    </row>
    <row r="63" spans="2:44" s="1184" customFormat="1" ht="14.65" hidden="1" customHeight="1" x14ac:dyDescent="0.15">
      <c r="B63" s="367" t="b">
        <f t="shared" si="2"/>
        <v>0</v>
      </c>
      <c r="E63" s="626">
        <v>15</v>
      </c>
      <c r="F63" s="3" cm="1">
        <f t="array" aca="1" ref="F63" ca="1">OFFSET(E63,-1,1)</f>
        <v>0</v>
      </c>
      <c r="G63" s="17" cm="1">
        <f t="array" ref="G63">G62</f>
        <v>0</v>
      </c>
      <c r="K63" s="77">
        <f>first_year+33</f>
        <v>2057</v>
      </c>
      <c r="T63" s="388" t="b" cm="1">
        <f t="array" aca="1" ref="T63" ca="1">T62</f>
        <v>0</v>
      </c>
      <c r="X63" s="2032"/>
      <c r="Y63" s="2032"/>
      <c r="Z63" s="2012"/>
      <c r="AA63" s="2127"/>
      <c r="AB63" s="174" t="str">
        <f t="shared" si="3"/>
        <v>2057 год</v>
      </c>
      <c r="AC63" s="329"/>
      <c r="AD63" s="1727"/>
      <c r="AE63" s="1726"/>
      <c r="AF63" s="1726"/>
      <c r="AG63" s="1727"/>
      <c r="AH63" s="1726"/>
      <c r="AI63" s="1727"/>
      <c r="AJ63" s="1726"/>
      <c r="AK63" s="1728"/>
      <c r="AL63" s="324"/>
      <c r="AN63" s="973" cm="1">
        <f t="array" ref="AN63">K63</f>
        <v>2057</v>
      </c>
      <c r="AO63" s="973" t="s">
        <v>2259</v>
      </c>
      <c r="AP63" s="983" cm="1">
        <f t="array" ref="AP63">AP62</f>
        <v>0</v>
      </c>
      <c r="AQ63" s="626"/>
      <c r="AR63" s="626"/>
    </row>
    <row r="64" spans="2:44" s="1184" customFormat="1" ht="14.65" hidden="1" customHeight="1" x14ac:dyDescent="0.15">
      <c r="B64" s="367" t="b">
        <f t="shared" si="2"/>
        <v>0</v>
      </c>
      <c r="E64" s="626">
        <v>15</v>
      </c>
      <c r="F64" s="3" cm="1">
        <f t="array" aca="1" ref="F64" ca="1">OFFSET(E64,-1,1)</f>
        <v>0</v>
      </c>
      <c r="G64" s="17" cm="1">
        <f t="array" ref="G64">G63</f>
        <v>0</v>
      </c>
      <c r="K64" s="77">
        <f>first_year+34</f>
        <v>2058</v>
      </c>
      <c r="T64" s="388" t="b" cm="1">
        <f t="array" aca="1" ref="T64" ca="1">T63</f>
        <v>0</v>
      </c>
      <c r="X64" s="2032"/>
      <c r="Y64" s="2032"/>
      <c r="Z64" s="2012"/>
      <c r="AA64" s="2127"/>
      <c r="AB64" s="174" t="str">
        <f t="shared" si="3"/>
        <v>2058 год</v>
      </c>
      <c r="AC64" s="329"/>
      <c r="AD64" s="1727"/>
      <c r="AE64" s="1726"/>
      <c r="AF64" s="1726"/>
      <c r="AG64" s="1727"/>
      <c r="AH64" s="1726"/>
      <c r="AI64" s="1727"/>
      <c r="AJ64" s="1726"/>
      <c r="AK64" s="1728"/>
      <c r="AL64" s="324"/>
      <c r="AN64" s="973" cm="1">
        <f t="array" ref="AN64">K64</f>
        <v>2058</v>
      </c>
      <c r="AO64" s="973" t="s">
        <v>2259</v>
      </c>
      <c r="AP64" s="983" cm="1">
        <f t="array" ref="AP64">AP63</f>
        <v>0</v>
      </c>
      <c r="AQ64" s="626"/>
      <c r="AR64" s="626"/>
    </row>
    <row r="65" spans="1:44" s="1184" customFormat="1" ht="14.65" hidden="1" customHeight="1" x14ac:dyDescent="0.15">
      <c r="B65" s="367" t="b">
        <f t="shared" si="2"/>
        <v>0</v>
      </c>
      <c r="E65" s="626">
        <v>15</v>
      </c>
      <c r="F65" s="3" cm="1">
        <f t="array" aca="1" ref="F65" ca="1">OFFSET(E65,-1,1)</f>
        <v>0</v>
      </c>
      <c r="G65" s="17" cm="1">
        <f t="array" ref="G65">G64</f>
        <v>0</v>
      </c>
      <c r="K65" s="77">
        <f>first_year+35</f>
        <v>2059</v>
      </c>
      <c r="T65" s="388" t="b" cm="1">
        <f t="array" aca="1" ref="T65" ca="1">T64</f>
        <v>0</v>
      </c>
      <c r="X65" s="2032"/>
      <c r="Y65" s="2032"/>
      <c r="Z65" s="2012"/>
      <c r="AA65" s="2127"/>
      <c r="AB65" s="174" t="str">
        <f t="shared" si="3"/>
        <v>2059 год</v>
      </c>
      <c r="AC65" s="329"/>
      <c r="AD65" s="1727"/>
      <c r="AE65" s="1726"/>
      <c r="AF65" s="1726"/>
      <c r="AG65" s="1727"/>
      <c r="AH65" s="1726"/>
      <c r="AI65" s="1727"/>
      <c r="AJ65" s="1726"/>
      <c r="AK65" s="1728"/>
      <c r="AL65" s="324"/>
      <c r="AN65" s="973" cm="1">
        <f t="array" ref="AN65">K65</f>
        <v>2059</v>
      </c>
      <c r="AO65" s="973" t="s">
        <v>2259</v>
      </c>
      <c r="AP65" s="983" cm="1">
        <f t="array" ref="AP65">AP64</f>
        <v>0</v>
      </c>
      <c r="AQ65" s="626"/>
      <c r="AR65" s="626"/>
    </row>
    <row r="66" spans="1:44" s="1184" customFormat="1" ht="14.65" hidden="1" customHeight="1" x14ac:dyDescent="0.15">
      <c r="B66" s="367" t="b">
        <f t="shared" si="2"/>
        <v>0</v>
      </c>
      <c r="E66" s="626">
        <v>15</v>
      </c>
      <c r="F66" s="3" cm="1">
        <f t="array" aca="1" ref="F66" ca="1">OFFSET(E66,-1,1)</f>
        <v>0</v>
      </c>
      <c r="G66" s="17" cm="1">
        <f t="array" ref="G66">G65</f>
        <v>0</v>
      </c>
      <c r="K66" s="77">
        <f>first_year+36</f>
        <v>2060</v>
      </c>
      <c r="T66" s="388" t="b" cm="1">
        <f t="array" aca="1" ref="T66" ca="1">T65</f>
        <v>0</v>
      </c>
      <c r="X66" s="2032"/>
      <c r="Y66" s="2032"/>
      <c r="Z66" s="2012"/>
      <c r="AA66" s="2127"/>
      <c r="AB66" s="174" t="str">
        <f t="shared" si="3"/>
        <v>2060 год</v>
      </c>
      <c r="AC66" s="329"/>
      <c r="AD66" s="1727"/>
      <c r="AE66" s="1726"/>
      <c r="AF66" s="1726"/>
      <c r="AG66" s="1727"/>
      <c r="AH66" s="1726"/>
      <c r="AI66" s="1727"/>
      <c r="AJ66" s="1726"/>
      <c r="AK66" s="1728"/>
      <c r="AL66" s="324"/>
      <c r="AN66" s="973" cm="1">
        <f t="array" ref="AN66">K66</f>
        <v>2060</v>
      </c>
      <c r="AO66" s="973" t="s">
        <v>2259</v>
      </c>
      <c r="AP66" s="983" cm="1">
        <f t="array" ref="AP66">AP65</f>
        <v>0</v>
      </c>
      <c r="AQ66" s="626"/>
      <c r="AR66" s="626"/>
    </row>
    <row r="67" spans="1:44" s="1184" customFormat="1" ht="14.65" hidden="1" customHeight="1" x14ac:dyDescent="0.15">
      <c r="B67" s="367" t="b">
        <f t="shared" si="2"/>
        <v>0</v>
      </c>
      <c r="E67" s="626">
        <v>15</v>
      </c>
      <c r="F67" s="3" cm="1">
        <f t="array" aca="1" ref="F67" ca="1">OFFSET(E67,-1,1)</f>
        <v>0</v>
      </c>
      <c r="G67" s="17" cm="1">
        <f t="array" ref="G67">G66</f>
        <v>0</v>
      </c>
      <c r="K67" s="77">
        <f>first_year+37</f>
        <v>2061</v>
      </c>
      <c r="T67" s="388" t="b" cm="1">
        <f t="array" aca="1" ref="T67" ca="1">T66</f>
        <v>0</v>
      </c>
      <c r="X67" s="2032"/>
      <c r="Y67" s="2032"/>
      <c r="Z67" s="2012"/>
      <c r="AA67" s="2127"/>
      <c r="AB67" s="174" t="str">
        <f t="shared" si="3"/>
        <v>2061 год</v>
      </c>
      <c r="AC67" s="329"/>
      <c r="AD67" s="1727"/>
      <c r="AE67" s="1726"/>
      <c r="AF67" s="1726"/>
      <c r="AG67" s="1727"/>
      <c r="AH67" s="1726"/>
      <c r="AI67" s="1727"/>
      <c r="AJ67" s="1726"/>
      <c r="AK67" s="1728"/>
      <c r="AL67" s="324"/>
      <c r="AN67" s="973" cm="1">
        <f t="array" ref="AN67">K67</f>
        <v>2061</v>
      </c>
      <c r="AO67" s="973" t="s">
        <v>2259</v>
      </c>
      <c r="AP67" s="983" cm="1">
        <f t="array" ref="AP67">AP66</f>
        <v>0</v>
      </c>
      <c r="AQ67" s="626"/>
      <c r="AR67" s="626"/>
    </row>
    <row r="68" spans="1:44" s="1184" customFormat="1" ht="14.65" hidden="1" customHeight="1" x14ac:dyDescent="0.15">
      <c r="B68" s="367" t="b">
        <f t="shared" si="2"/>
        <v>0</v>
      </c>
      <c r="E68" s="626">
        <v>15</v>
      </c>
      <c r="F68" s="3" cm="1">
        <f t="array" aca="1" ref="F68" ca="1">OFFSET(E68,-1,1)</f>
        <v>0</v>
      </c>
      <c r="G68" s="17" cm="1">
        <f t="array" ref="G68">G67</f>
        <v>0</v>
      </c>
      <c r="K68" s="77">
        <f>first_year+38</f>
        <v>2062</v>
      </c>
      <c r="T68" s="388" t="b" cm="1">
        <f t="array" aca="1" ref="T68" ca="1">T67</f>
        <v>0</v>
      </c>
      <c r="X68" s="2032"/>
      <c r="Y68" s="2032"/>
      <c r="Z68" s="2012"/>
      <c r="AA68" s="2127"/>
      <c r="AB68" s="174" t="str">
        <f t="shared" si="3"/>
        <v>2062 год</v>
      </c>
      <c r="AC68" s="329"/>
      <c r="AD68" s="1727"/>
      <c r="AE68" s="1726"/>
      <c r="AF68" s="1726"/>
      <c r="AG68" s="1727"/>
      <c r="AH68" s="1726"/>
      <c r="AI68" s="1727"/>
      <c r="AJ68" s="1726"/>
      <c r="AK68" s="1728"/>
      <c r="AL68" s="324"/>
      <c r="AN68" s="973" cm="1">
        <f t="array" ref="AN68">K68</f>
        <v>2062</v>
      </c>
      <c r="AO68" s="973" t="s">
        <v>2259</v>
      </c>
      <c r="AP68" s="983" cm="1">
        <f t="array" ref="AP68">AP67</f>
        <v>0</v>
      </c>
      <c r="AQ68" s="626"/>
      <c r="AR68" s="626"/>
    </row>
    <row r="69" spans="1:44" s="1184" customFormat="1" ht="14.65" hidden="1" customHeight="1" x14ac:dyDescent="0.15">
      <c r="B69" s="367" t="b">
        <f t="shared" si="2"/>
        <v>0</v>
      </c>
      <c r="E69" s="626">
        <v>15</v>
      </c>
      <c r="F69" s="3" cm="1">
        <f t="array" aca="1" ref="F69" ca="1">OFFSET(E69,-1,1)</f>
        <v>0</v>
      </c>
      <c r="G69" s="17" cm="1">
        <f t="array" ref="G69">G68</f>
        <v>0</v>
      </c>
      <c r="K69" s="77">
        <f>first_year+39</f>
        <v>2063</v>
      </c>
      <c r="T69" s="388" t="b" cm="1">
        <f t="array" aca="1" ref="T69" ca="1">T68</f>
        <v>0</v>
      </c>
      <c r="X69" s="2032"/>
      <c r="Y69" s="2032"/>
      <c r="Z69" s="2012"/>
      <c r="AA69" s="2127"/>
      <c r="AB69" s="174" t="str">
        <f t="shared" si="3"/>
        <v>2063 год</v>
      </c>
      <c r="AC69" s="329"/>
      <c r="AD69" s="1727"/>
      <c r="AE69" s="1726"/>
      <c r="AF69" s="1726"/>
      <c r="AG69" s="1727"/>
      <c r="AH69" s="1726"/>
      <c r="AI69" s="1727"/>
      <c r="AJ69" s="1726"/>
      <c r="AK69" s="1728"/>
      <c r="AL69" s="324"/>
      <c r="AN69" s="973" cm="1">
        <f t="array" ref="AN69">K69</f>
        <v>2063</v>
      </c>
      <c r="AO69" s="973" t="s">
        <v>2259</v>
      </c>
      <c r="AP69" s="983" cm="1">
        <f t="array" ref="AP69">AP68</f>
        <v>0</v>
      </c>
      <c r="AQ69" s="626"/>
      <c r="AR69" s="626"/>
    </row>
    <row r="70" spans="1:44" s="1184" customFormat="1" ht="14.65" hidden="1" customHeight="1" x14ac:dyDescent="0.15">
      <c r="B70" s="367" t="b">
        <f t="shared" si="2"/>
        <v>0</v>
      </c>
      <c r="E70" s="626">
        <v>15</v>
      </c>
      <c r="F70" s="3" cm="1">
        <f t="array" aca="1" ref="F70" ca="1">OFFSET(E70,-1,1)</f>
        <v>0</v>
      </c>
      <c r="G70" s="17" cm="1">
        <f t="array" ref="G70">G69</f>
        <v>0</v>
      </c>
      <c r="K70" s="77">
        <f>first_year+40</f>
        <v>2064</v>
      </c>
      <c r="T70" s="388" t="b" cm="1">
        <f t="array" aca="1" ref="T70" ca="1">T69</f>
        <v>0</v>
      </c>
      <c r="X70" s="2032"/>
      <c r="Y70" s="2032"/>
      <c r="Z70" s="2012"/>
      <c r="AA70" s="2127"/>
      <c r="AB70" s="174" t="str">
        <f t="shared" si="3"/>
        <v>2064 год</v>
      </c>
      <c r="AC70" s="329"/>
      <c r="AD70" s="1727"/>
      <c r="AE70" s="1726"/>
      <c r="AF70" s="1726"/>
      <c r="AG70" s="1727"/>
      <c r="AH70" s="1726"/>
      <c r="AI70" s="1727"/>
      <c r="AJ70" s="1726"/>
      <c r="AK70" s="1728"/>
      <c r="AL70" s="324"/>
      <c r="AN70" s="973" cm="1">
        <f t="array" ref="AN70">K70</f>
        <v>2064</v>
      </c>
      <c r="AO70" s="973" t="s">
        <v>2259</v>
      </c>
      <c r="AP70" s="983" cm="1">
        <f t="array" ref="AP70">AP69</f>
        <v>0</v>
      </c>
      <c r="AQ70" s="626"/>
      <c r="AR70" s="626"/>
    </row>
    <row r="71" spans="1:44" s="1184" customFormat="1" ht="14.65" hidden="1" customHeight="1" x14ac:dyDescent="0.15">
      <c r="B71" s="367" t="b">
        <f t="shared" si="2"/>
        <v>0</v>
      </c>
      <c r="E71" s="626">
        <v>15</v>
      </c>
      <c r="F71" s="3" cm="1">
        <f t="array" aca="1" ref="F71" ca="1">OFFSET(E71,-1,1)</f>
        <v>0</v>
      </c>
      <c r="G71" s="17" cm="1">
        <f t="array" ref="G71">G70</f>
        <v>0</v>
      </c>
      <c r="K71" s="77">
        <f>first_year+41</f>
        <v>2065</v>
      </c>
      <c r="T71" s="388" t="b" cm="1">
        <f t="array" aca="1" ref="T71" ca="1">T70</f>
        <v>0</v>
      </c>
      <c r="X71" s="2032"/>
      <c r="Y71" s="2032"/>
      <c r="Z71" s="2012"/>
      <c r="AA71" s="2127"/>
      <c r="AB71" s="174" t="str">
        <f t="shared" si="3"/>
        <v>2065 год</v>
      </c>
      <c r="AC71" s="329"/>
      <c r="AD71" s="1727"/>
      <c r="AE71" s="1726"/>
      <c r="AF71" s="1726"/>
      <c r="AG71" s="1727"/>
      <c r="AH71" s="1726"/>
      <c r="AI71" s="1727"/>
      <c r="AJ71" s="1726"/>
      <c r="AK71" s="1728"/>
      <c r="AL71" s="324"/>
      <c r="AN71" s="973" cm="1">
        <f t="array" ref="AN71">K71</f>
        <v>2065</v>
      </c>
      <c r="AO71" s="973" t="s">
        <v>2259</v>
      </c>
      <c r="AP71" s="983" cm="1">
        <f t="array" ref="AP71">AP70</f>
        <v>0</v>
      </c>
      <c r="AQ71" s="626"/>
      <c r="AR71" s="626"/>
    </row>
    <row r="72" spans="1:44" s="1184" customFormat="1" ht="14.65" hidden="1" customHeight="1" x14ac:dyDescent="0.15">
      <c r="B72" s="367" t="b">
        <f t="shared" si="2"/>
        <v>0</v>
      </c>
      <c r="E72" s="626">
        <v>15</v>
      </c>
      <c r="F72" s="3" cm="1">
        <f t="array" aca="1" ref="F72" ca="1">OFFSET(E72,-1,1)</f>
        <v>0</v>
      </c>
      <c r="G72" s="17" cm="1">
        <f t="array" ref="G72">G71</f>
        <v>0</v>
      </c>
      <c r="K72" s="77">
        <f>first_year+42</f>
        <v>2066</v>
      </c>
      <c r="T72" s="388" t="b" cm="1">
        <f t="array" aca="1" ref="T72" ca="1">T71</f>
        <v>0</v>
      </c>
      <c r="X72" s="2032"/>
      <c r="Y72" s="2032"/>
      <c r="Z72" s="2012"/>
      <c r="AA72" s="2127"/>
      <c r="AB72" s="174" t="str">
        <f t="shared" si="3"/>
        <v>2066 год</v>
      </c>
      <c r="AC72" s="329"/>
      <c r="AD72" s="1727"/>
      <c r="AE72" s="1726"/>
      <c r="AF72" s="1726"/>
      <c r="AG72" s="1727"/>
      <c r="AH72" s="1726"/>
      <c r="AI72" s="1727"/>
      <c r="AJ72" s="1726"/>
      <c r="AK72" s="1728"/>
      <c r="AL72" s="324"/>
      <c r="AN72" s="973" cm="1">
        <f t="array" ref="AN72">K72</f>
        <v>2066</v>
      </c>
      <c r="AO72" s="973" t="s">
        <v>2259</v>
      </c>
      <c r="AP72" s="983" cm="1">
        <f t="array" ref="AP72">AP71</f>
        <v>0</v>
      </c>
      <c r="AQ72" s="626"/>
      <c r="AR72" s="626"/>
    </row>
    <row r="73" spans="1:44" s="1184" customFormat="1" ht="14.65" hidden="1" customHeight="1" x14ac:dyDescent="0.15">
      <c r="B73" s="367" t="b">
        <f t="shared" si="2"/>
        <v>0</v>
      </c>
      <c r="E73" s="626">
        <v>15</v>
      </c>
      <c r="F73" s="3" cm="1">
        <f t="array" aca="1" ref="F73" ca="1">OFFSET(E73,-1,1)</f>
        <v>0</v>
      </c>
      <c r="G73" s="17" cm="1">
        <f t="array" ref="G73">G72</f>
        <v>0</v>
      </c>
      <c r="K73" s="77">
        <f>first_year+43</f>
        <v>2067</v>
      </c>
      <c r="T73" s="388" t="b" cm="1">
        <f t="array" aca="1" ref="T73" ca="1">T72</f>
        <v>0</v>
      </c>
      <c r="X73" s="2032"/>
      <c r="Y73" s="2032"/>
      <c r="Z73" s="2012"/>
      <c r="AA73" s="2127"/>
      <c r="AB73" s="174" t="str">
        <f t="shared" si="3"/>
        <v>2067 год</v>
      </c>
      <c r="AC73" s="329"/>
      <c r="AD73" s="1727"/>
      <c r="AE73" s="1726"/>
      <c r="AF73" s="1726"/>
      <c r="AG73" s="1727"/>
      <c r="AH73" s="1726"/>
      <c r="AI73" s="1727"/>
      <c r="AJ73" s="1726"/>
      <c r="AK73" s="1728"/>
      <c r="AL73" s="324"/>
      <c r="AN73" s="973" cm="1">
        <f t="array" ref="AN73">K73</f>
        <v>2067</v>
      </c>
      <c r="AO73" s="973" t="s">
        <v>2259</v>
      </c>
      <c r="AP73" s="983" cm="1">
        <f t="array" ref="AP73">AP72</f>
        <v>0</v>
      </c>
      <c r="AQ73" s="626"/>
      <c r="AR73" s="626"/>
    </row>
    <row r="74" spans="1:44" s="1184" customFormat="1" ht="14.65" hidden="1" customHeight="1" x14ac:dyDescent="0.15">
      <c r="B74" s="367" t="b">
        <f t="shared" si="2"/>
        <v>0</v>
      </c>
      <c r="E74" s="626">
        <v>15</v>
      </c>
      <c r="F74" s="3" cm="1">
        <f t="array" aca="1" ref="F74" ca="1">OFFSET(E74,-1,1)</f>
        <v>0</v>
      </c>
      <c r="G74" s="17" cm="1">
        <f t="array" ref="G74">G73</f>
        <v>0</v>
      </c>
      <c r="K74" s="77">
        <f>first_year+44</f>
        <v>2068</v>
      </c>
      <c r="T74" s="388" t="b" cm="1">
        <f t="array" aca="1" ref="T74" ca="1">T73</f>
        <v>0</v>
      </c>
      <c r="X74" s="2032"/>
      <c r="Y74" s="2032"/>
      <c r="Z74" s="2012"/>
      <c r="AA74" s="2127"/>
      <c r="AB74" s="174" t="str">
        <f t="shared" si="3"/>
        <v>2068 год</v>
      </c>
      <c r="AC74" s="329"/>
      <c r="AD74" s="1727"/>
      <c r="AE74" s="1726"/>
      <c r="AF74" s="1726"/>
      <c r="AG74" s="1727"/>
      <c r="AH74" s="1726"/>
      <c r="AI74" s="1727"/>
      <c r="AJ74" s="1726"/>
      <c r="AK74" s="1728"/>
      <c r="AL74" s="324"/>
      <c r="AN74" s="973" cm="1">
        <f t="array" ref="AN74">K74</f>
        <v>2068</v>
      </c>
      <c r="AO74" s="973" t="s">
        <v>2259</v>
      </c>
      <c r="AP74" s="983" cm="1">
        <f t="array" ref="AP74">AP73</f>
        <v>0</v>
      </c>
      <c r="AQ74" s="626"/>
      <c r="AR74" s="626"/>
    </row>
    <row r="75" spans="1:44" s="1184" customFormat="1" ht="14.65" hidden="1" customHeight="1" x14ac:dyDescent="0.15">
      <c r="B75" s="367" t="b">
        <f t="shared" si="2"/>
        <v>0</v>
      </c>
      <c r="E75" s="626">
        <v>15</v>
      </c>
      <c r="F75" s="3" cm="1">
        <f t="array" aca="1" ref="F75" ca="1">OFFSET(E75,-1,1)</f>
        <v>0</v>
      </c>
      <c r="G75" s="17" cm="1">
        <f t="array" ref="G75">G74</f>
        <v>0</v>
      </c>
      <c r="K75" s="77">
        <f>first_year+45</f>
        <v>2069</v>
      </c>
      <c r="T75" s="388" t="b" cm="1">
        <f t="array" aca="1" ref="T75" ca="1">T74</f>
        <v>0</v>
      </c>
      <c r="X75" s="2032"/>
      <c r="Y75" s="2032"/>
      <c r="Z75" s="2012"/>
      <c r="AA75" s="2127"/>
      <c r="AB75" s="174" t="str">
        <f t="shared" si="3"/>
        <v>2069 год</v>
      </c>
      <c r="AC75" s="329"/>
      <c r="AD75" s="1727"/>
      <c r="AE75" s="1726"/>
      <c r="AF75" s="1726"/>
      <c r="AG75" s="1727"/>
      <c r="AH75" s="1726"/>
      <c r="AI75" s="1727"/>
      <c r="AJ75" s="1726"/>
      <c r="AK75" s="1728"/>
      <c r="AL75" s="324"/>
      <c r="AN75" s="973" cm="1">
        <f t="array" ref="AN75">K75</f>
        <v>2069</v>
      </c>
      <c r="AO75" s="973" t="s">
        <v>2259</v>
      </c>
      <c r="AP75" s="983" cm="1">
        <f t="array" ref="AP75">AP74</f>
        <v>0</v>
      </c>
      <c r="AQ75" s="626"/>
      <c r="AR75" s="626"/>
    </row>
    <row r="76" spans="1:44" s="1184" customFormat="1" ht="14.65" hidden="1" customHeight="1" x14ac:dyDescent="0.15">
      <c r="B76" s="367" t="b">
        <f t="shared" si="2"/>
        <v>0</v>
      </c>
      <c r="E76" s="626">
        <v>15</v>
      </c>
      <c r="F76" s="3" cm="1">
        <f t="array" aca="1" ref="F76" ca="1">OFFSET(E76,-1,1)</f>
        <v>0</v>
      </c>
      <c r="G76" s="17" cm="1">
        <f t="array" ref="G76">G75</f>
        <v>0</v>
      </c>
      <c r="K76" s="77">
        <f>first_year+46</f>
        <v>2070</v>
      </c>
      <c r="T76" s="388" t="b" cm="1">
        <f t="array" aca="1" ref="T76" ca="1">T75</f>
        <v>0</v>
      </c>
      <c r="X76" s="2032"/>
      <c r="Y76" s="2032"/>
      <c r="Z76" s="2012"/>
      <c r="AA76" s="2127"/>
      <c r="AB76" s="174" t="str">
        <f t="shared" si="3"/>
        <v>2070 год</v>
      </c>
      <c r="AC76" s="329"/>
      <c r="AD76" s="1727"/>
      <c r="AE76" s="1726"/>
      <c r="AF76" s="1726"/>
      <c r="AG76" s="1727"/>
      <c r="AH76" s="1726"/>
      <c r="AI76" s="1727"/>
      <c r="AJ76" s="1726"/>
      <c r="AK76" s="1728"/>
      <c r="AL76" s="324"/>
      <c r="AN76" s="973" cm="1">
        <f t="array" ref="AN76">K76</f>
        <v>2070</v>
      </c>
      <c r="AO76" s="973" t="s">
        <v>2259</v>
      </c>
      <c r="AP76" s="983" cm="1">
        <f t="array" ref="AP76">AP75</f>
        <v>0</v>
      </c>
      <c r="AQ76" s="626"/>
      <c r="AR76" s="626"/>
    </row>
    <row r="77" spans="1:44" s="1184" customFormat="1" ht="14.65" hidden="1" customHeight="1" x14ac:dyDescent="0.15">
      <c r="B77" s="367" t="b">
        <f t="shared" si="2"/>
        <v>0</v>
      </c>
      <c r="E77" s="626">
        <v>15</v>
      </c>
      <c r="F77" s="3" cm="1">
        <f t="array" aca="1" ref="F77" ca="1">OFFSET(E77,-1,1)</f>
        <v>0</v>
      </c>
      <c r="G77" s="17" cm="1">
        <f t="array" ref="G77">G76</f>
        <v>0</v>
      </c>
      <c r="K77" s="77">
        <f>first_year+47</f>
        <v>2071</v>
      </c>
      <c r="T77" s="388" t="b" cm="1">
        <f t="array" aca="1" ref="T77" ca="1">T76</f>
        <v>0</v>
      </c>
      <c r="X77" s="2032"/>
      <c r="Y77" s="2032"/>
      <c r="Z77" s="2012"/>
      <c r="AA77" s="2127"/>
      <c r="AB77" s="174" t="str">
        <f t="shared" si="3"/>
        <v>2071 год</v>
      </c>
      <c r="AC77" s="329"/>
      <c r="AD77" s="1727"/>
      <c r="AE77" s="1726"/>
      <c r="AF77" s="1726"/>
      <c r="AG77" s="1727"/>
      <c r="AH77" s="1726"/>
      <c r="AI77" s="1727"/>
      <c r="AJ77" s="1726"/>
      <c r="AK77" s="1728"/>
      <c r="AL77" s="324"/>
      <c r="AN77" s="973" cm="1">
        <f t="array" ref="AN77">K77</f>
        <v>2071</v>
      </c>
      <c r="AO77" s="973" t="s">
        <v>2259</v>
      </c>
      <c r="AP77" s="983" cm="1">
        <f t="array" ref="AP77">AP76</f>
        <v>0</v>
      </c>
      <c r="AQ77" s="626"/>
      <c r="AR77" s="626"/>
    </row>
    <row r="78" spans="1:44" s="1184" customFormat="1" ht="14.65" hidden="1" customHeight="1" x14ac:dyDescent="0.15">
      <c r="B78" s="367" t="b">
        <f t="shared" si="2"/>
        <v>0</v>
      </c>
      <c r="E78" s="626">
        <v>15</v>
      </c>
      <c r="F78" s="3" cm="1">
        <f t="array" aca="1" ref="F78" ca="1">OFFSET(E78,-1,1)</f>
        <v>0</v>
      </c>
      <c r="G78" s="17" cm="1">
        <f t="array" ref="G78">G77</f>
        <v>0</v>
      </c>
      <c r="K78" s="77">
        <f>first_year+48</f>
        <v>2072</v>
      </c>
      <c r="T78" s="388" t="b" cm="1">
        <f t="array" aca="1" ref="T78" ca="1">T77</f>
        <v>0</v>
      </c>
      <c r="X78" s="2032"/>
      <c r="Y78" s="2032"/>
      <c r="Z78" s="2012"/>
      <c r="AA78" s="2127"/>
      <c r="AB78" s="174" t="str">
        <f t="shared" si="3"/>
        <v>2072 год</v>
      </c>
      <c r="AC78" s="329"/>
      <c r="AD78" s="1727"/>
      <c r="AE78" s="1726"/>
      <c r="AF78" s="1726"/>
      <c r="AG78" s="1727"/>
      <c r="AH78" s="1726"/>
      <c r="AI78" s="1727"/>
      <c r="AJ78" s="1726"/>
      <c r="AK78" s="1728"/>
      <c r="AL78" s="324"/>
      <c r="AN78" s="973" cm="1">
        <f t="array" ref="AN78">K78</f>
        <v>2072</v>
      </c>
      <c r="AO78" s="973" t="s">
        <v>2259</v>
      </c>
      <c r="AP78" s="983" cm="1">
        <f t="array" ref="AP78">AP77</f>
        <v>0</v>
      </c>
      <c r="AQ78" s="626"/>
      <c r="AR78" s="626"/>
    </row>
    <row r="79" spans="1:44" s="1184" customFormat="1" ht="14.65" hidden="1" customHeight="1" x14ac:dyDescent="0.15">
      <c r="B79" s="367" t="b">
        <f t="shared" si="2"/>
        <v>0</v>
      </c>
      <c r="E79" s="626">
        <v>15</v>
      </c>
      <c r="F79" s="3" cm="1">
        <f t="array" aca="1" ref="F79" ca="1">OFFSET(E79,-1,1)</f>
        <v>0</v>
      </c>
      <c r="G79" s="17" cm="1">
        <f t="array" ref="G79">G78</f>
        <v>0</v>
      </c>
      <c r="K79" s="77">
        <f>first_year+49</f>
        <v>2073</v>
      </c>
      <c r="T79" s="388" t="b" cm="1">
        <f t="array" aca="1" ref="T79" ca="1">T78</f>
        <v>0</v>
      </c>
      <c r="X79" s="2032"/>
      <c r="Y79" s="2032"/>
      <c r="Z79" s="2012"/>
      <c r="AA79" s="2127"/>
      <c r="AB79" s="174" t="str">
        <f t="shared" si="3"/>
        <v>2073 год</v>
      </c>
      <c r="AC79" s="329"/>
      <c r="AD79" s="1727"/>
      <c r="AE79" s="1726"/>
      <c r="AF79" s="1726"/>
      <c r="AG79" s="1727"/>
      <c r="AH79" s="1726"/>
      <c r="AI79" s="1727"/>
      <c r="AJ79" s="1726"/>
      <c r="AK79" s="1728"/>
      <c r="AL79" s="324"/>
      <c r="AN79" s="973" cm="1">
        <f t="array" ref="AN79">K79</f>
        <v>2073</v>
      </c>
      <c r="AO79" s="973" t="s">
        <v>2259</v>
      </c>
      <c r="AP79" s="983" cm="1">
        <f t="array" ref="AP79">AP78</f>
        <v>0</v>
      </c>
      <c r="AQ79" s="626"/>
      <c r="AR79" s="626"/>
    </row>
    <row r="80" spans="1:44" s="1334" customFormat="1" ht="14.65" hidden="1" customHeight="1" x14ac:dyDescent="0.15">
      <c r="A80" s="77"/>
      <c r="B80" s="354"/>
      <c r="C80" s="77"/>
      <c r="D80" s="77"/>
      <c r="E80" s="626">
        <v>15</v>
      </c>
      <c r="F80" s="1090" cm="1">
        <f t="array" aca="1" ref="F80" ca="1">OFFSET(E80,-1,1)</f>
        <v>0</v>
      </c>
      <c r="G80" s="77" t="str">
        <f>"!== 'не определено'"</f>
        <v>!== 'не определено'</v>
      </c>
      <c r="H80" s="77"/>
      <c r="I80" s="77"/>
      <c r="J80" s="77"/>
      <c r="K80" s="77"/>
      <c r="L80" s="77"/>
      <c r="M80" s="77"/>
      <c r="N80" s="77"/>
      <c r="O80" s="77"/>
      <c r="P80" s="77"/>
      <c r="Q80" s="77"/>
      <c r="R80" s="77"/>
      <c r="S80" s="77"/>
      <c r="T80" s="388" t="b">
        <f ca="1">F80&gt;0</f>
        <v>0</v>
      </c>
      <c r="U80" s="77"/>
      <c r="V80" s="77"/>
      <c r="W80" s="748" t="s">
        <v>2260</v>
      </c>
      <c r="X80" s="2032"/>
      <c r="Y80" s="77"/>
      <c r="Z80" s="2012"/>
      <c r="AA80" s="77"/>
      <c r="AB80" s="850" t="s">
        <v>176</v>
      </c>
      <c r="AC80" s="221"/>
      <c r="AD80" s="221"/>
      <c r="AE80" s="221"/>
      <c r="AF80" s="221"/>
      <c r="AG80" s="221"/>
      <c r="AH80" s="221"/>
      <c r="AI80" s="221"/>
      <c r="AJ80" s="221"/>
      <c r="AK80" s="221"/>
      <c r="AL80" s="324"/>
      <c r="AN80" s="913"/>
      <c r="AO80" s="913"/>
      <c r="AP80" s="913"/>
      <c r="AQ80" s="916" t="s">
        <v>2259</v>
      </c>
      <c r="AR80" s="548"/>
    </row>
    <row r="81" spans="1:44" s="461" customFormat="1" ht="14.25" customHeight="1" x14ac:dyDescent="0.15">
      <c r="A81" s="1217"/>
      <c r="B81" s="350"/>
      <c r="C81" s="1217"/>
      <c r="D81" s="1217"/>
      <c r="E81" s="542">
        <v>15</v>
      </c>
      <c r="F81" s="17" t="str" cm="1">
        <f t="array" ref="F81">X81</f>
        <v>1</v>
      </c>
      <c r="G81" s="1217"/>
      <c r="H81" s="1217"/>
      <c r="I81" s="1217"/>
      <c r="J81" s="1217"/>
      <c r="K81" s="1217"/>
      <c r="L81" s="1217"/>
      <c r="M81" s="1217"/>
      <c r="N81" s="1217"/>
      <c r="O81" s="1217"/>
      <c r="P81" s="1217"/>
      <c r="Q81" s="1217"/>
      <c r="R81" s="1217"/>
      <c r="S81" s="1217"/>
      <c r="T81" s="388" t="b">
        <f>X81&gt;0</f>
        <v>1</v>
      </c>
      <c r="U81" s="1217"/>
      <c r="V81" s="41" t="str" cm="1">
        <f t="array" ref="V81">ДПР!$AB$81</f>
        <v>Тариф 1 (Водоснабжение) - тариф на питьевую воду</v>
      </c>
      <c r="W81" s="1217"/>
      <c r="X81" s="2032" t="s">
        <v>282</v>
      </c>
      <c r="Y81" s="1217"/>
      <c r="Z81" s="2012"/>
      <c r="AA81" s="1217"/>
      <c r="AB81" s="297" t="str" cm="1">
        <f t="array" ref="AB81">ДПР!$AB$81</f>
        <v>Тариф 1 (Водоснабжение) - тариф на питьевую воду</v>
      </c>
      <c r="AC81" s="162"/>
      <c r="AD81" s="162"/>
      <c r="AE81" s="162"/>
      <c r="AF81" s="162"/>
      <c r="AG81" s="162"/>
      <c r="AH81" s="162"/>
      <c r="AI81" s="162"/>
      <c r="AJ81" s="162"/>
      <c r="AK81" s="162"/>
      <c r="AL81" s="323"/>
      <c r="AM81" s="1217"/>
      <c r="AN81" s="906"/>
      <c r="AO81" s="906"/>
      <c r="AP81" s="906"/>
      <c r="AQ81" s="542"/>
      <c r="AR81" s="542"/>
    </row>
    <row r="82" spans="1:44" s="461" customFormat="1" ht="14.25" hidden="1" customHeight="1" x14ac:dyDescent="0.15">
      <c r="A82" s="1217"/>
      <c r="B82" s="350"/>
      <c r="C82" s="1217"/>
      <c r="D82" s="1217"/>
      <c r="E82" s="542">
        <v>15</v>
      </c>
      <c r="F82" s="3" t="str" cm="1">
        <f t="array" aca="1" ref="F82" ca="1">OFFSET(E82,-1,1)</f>
        <v>1</v>
      </c>
      <c r="G82" s="41" cm="1">
        <f t="array" ref="G82">AB82</f>
        <v>0</v>
      </c>
      <c r="H82" s="1217"/>
      <c r="I82" s="1217"/>
      <c r="J82" s="1217"/>
      <c r="K82" s="1217"/>
      <c r="L82" s="1217"/>
      <c r="M82" s="1217"/>
      <c r="N82" s="1217"/>
      <c r="O82" s="1217"/>
      <c r="P82" s="1217"/>
      <c r="Q82" s="1217"/>
      <c r="R82" s="1217"/>
      <c r="S82" s="1217"/>
      <c r="T82" s="388" t="b">
        <f ca="1">AND(F82&gt;0,Y82&gt;0)</f>
        <v>0</v>
      </c>
      <c r="U82" s="1217"/>
      <c r="V82" s="1217"/>
      <c r="W82" s="41" t="s">
        <v>172</v>
      </c>
      <c r="X82" s="2032"/>
      <c r="Y82" s="2032">
        <v>0</v>
      </c>
      <c r="Z82" s="2012"/>
      <c r="AA82" s="2127" t="s">
        <v>173</v>
      </c>
      <c r="AB82" s="2128"/>
      <c r="AC82" s="2128"/>
      <c r="AD82" s="2128"/>
      <c r="AE82" s="2128"/>
      <c r="AF82" s="2128"/>
      <c r="AG82" s="2128"/>
      <c r="AH82" s="2128"/>
      <c r="AI82" s="2128"/>
      <c r="AJ82" s="2128"/>
      <c r="AK82" s="2129"/>
      <c r="AL82" s="323"/>
      <c r="AM82" s="1217"/>
      <c r="AN82" s="906"/>
      <c r="AO82" s="973" t="s">
        <v>2259</v>
      </c>
      <c r="AP82" s="988" cm="1">
        <f t="array" ref="AP82">AB82</f>
        <v>0</v>
      </c>
      <c r="AQ82" s="542"/>
      <c r="AR82" s="542" t="b">
        <v>1</v>
      </c>
    </row>
    <row r="83" spans="1:44" s="1729" customFormat="1" ht="14.25" hidden="1" customHeight="1" x14ac:dyDescent="0.15">
      <c r="A83" s="1184"/>
      <c r="B83" s="367" t="b">
        <f t="shared" ref="B83:B114" si="4">K83&lt;first_year+PERIOD_LENGTH</f>
        <v>1</v>
      </c>
      <c r="C83" s="1184"/>
      <c r="D83" s="1184"/>
      <c r="E83" s="626">
        <v>15</v>
      </c>
      <c r="F83" s="3" t="str" cm="1">
        <f t="array" aca="1" ref="F83" ca="1">OFFSET(E83,-1,1)</f>
        <v>1</v>
      </c>
      <c r="G83" s="17" cm="1">
        <f t="array" ref="G83">G82</f>
        <v>0</v>
      </c>
      <c r="H83" s="1184"/>
      <c r="I83" s="1184"/>
      <c r="J83" s="1184"/>
      <c r="K83" s="77" cm="1">
        <f t="array" ref="K83">first_year</f>
        <v>2024</v>
      </c>
      <c r="L83" s="1184"/>
      <c r="M83" s="1184"/>
      <c r="N83" s="1184"/>
      <c r="O83" s="1184"/>
      <c r="P83" s="1184"/>
      <c r="Q83" s="1184"/>
      <c r="R83" s="1184"/>
      <c r="S83" s="1184"/>
      <c r="T83" s="388" t="b" cm="1">
        <f t="array" aca="1" ref="T83" ca="1">T82</f>
        <v>0</v>
      </c>
      <c r="U83" s="1184"/>
      <c r="V83" s="1184"/>
      <c r="W83" s="1184"/>
      <c r="X83" s="2032"/>
      <c r="Y83" s="2032"/>
      <c r="Z83" s="2012"/>
      <c r="AA83" s="2127"/>
      <c r="AB83" s="219" t="str">
        <f t="shared" ref="AB83:AB114" si="5">K83&amp;" год"</f>
        <v>2024 год</v>
      </c>
      <c r="AC83" s="1726"/>
      <c r="AD83" s="1727"/>
      <c r="AE83" s="1726"/>
      <c r="AF83" s="1726"/>
      <c r="AG83" s="1727"/>
      <c r="AH83" s="1726"/>
      <c r="AI83" s="1727"/>
      <c r="AJ83" s="1726"/>
      <c r="AK83" s="1728"/>
      <c r="AL83" s="324"/>
      <c r="AM83" s="1184"/>
      <c r="AN83" s="973" cm="1">
        <f t="array" ref="AN83">K83</f>
        <v>2024</v>
      </c>
      <c r="AO83" s="973" t="s">
        <v>2259</v>
      </c>
      <c r="AP83" s="983" cm="1">
        <f t="array" ref="AP83">AP82</f>
        <v>0</v>
      </c>
      <c r="AQ83" s="626"/>
      <c r="AR83" s="626"/>
    </row>
    <row r="84" spans="1:44" s="1730" customFormat="1" ht="14.25" hidden="1" customHeight="1" x14ac:dyDescent="0.15">
      <c r="A84" s="1184"/>
      <c r="B84" s="367" t="b">
        <f t="shared" si="4"/>
        <v>1</v>
      </c>
      <c r="C84" s="1184"/>
      <c r="D84" s="1184"/>
      <c r="E84" s="626">
        <v>15</v>
      </c>
      <c r="F84" s="3" t="str" cm="1">
        <f t="array" aca="1" ref="F84" ca="1">OFFSET(E84,-1,1)</f>
        <v>1</v>
      </c>
      <c r="G84" s="17" cm="1">
        <f t="array" ref="G84">G83</f>
        <v>0</v>
      </c>
      <c r="H84" s="1184"/>
      <c r="I84" s="1184"/>
      <c r="J84" s="1184"/>
      <c r="K84" s="77">
        <f>first_year+1</f>
        <v>2025</v>
      </c>
      <c r="L84" s="1184"/>
      <c r="M84" s="1184"/>
      <c r="N84" s="1184"/>
      <c r="O84" s="1184"/>
      <c r="P84" s="1184"/>
      <c r="Q84" s="1184"/>
      <c r="R84" s="1184"/>
      <c r="S84" s="1184"/>
      <c r="T84" s="388" t="b" cm="1">
        <f t="array" aca="1" ref="T84" ca="1">T83</f>
        <v>0</v>
      </c>
      <c r="U84" s="1184"/>
      <c r="V84" s="1184"/>
      <c r="W84" s="1184"/>
      <c r="X84" s="2032"/>
      <c r="Y84" s="2032"/>
      <c r="Z84" s="2012"/>
      <c r="AA84" s="2127"/>
      <c r="AB84" s="174" t="str">
        <f t="shared" si="5"/>
        <v>2025 год</v>
      </c>
      <c r="AC84" s="329"/>
      <c r="AD84" s="1727"/>
      <c r="AE84" s="1726"/>
      <c r="AF84" s="1726"/>
      <c r="AG84" s="1727"/>
      <c r="AH84" s="1726"/>
      <c r="AI84" s="1727"/>
      <c r="AJ84" s="1726"/>
      <c r="AK84" s="1728"/>
      <c r="AL84" s="324"/>
      <c r="AM84" s="1184"/>
      <c r="AN84" s="973" cm="1">
        <f t="array" ref="AN84">K84</f>
        <v>2025</v>
      </c>
      <c r="AO84" s="973" t="s">
        <v>2259</v>
      </c>
      <c r="AP84" s="983" cm="1">
        <f t="array" ref="AP84">AP83</f>
        <v>0</v>
      </c>
      <c r="AQ84" s="626"/>
      <c r="AR84" s="626"/>
    </row>
    <row r="85" spans="1:44" s="1731" customFormat="1" ht="14.25" hidden="1" customHeight="1" x14ac:dyDescent="0.15">
      <c r="A85" s="1184"/>
      <c r="B85" s="367" t="b">
        <f t="shared" si="4"/>
        <v>1</v>
      </c>
      <c r="C85" s="1184"/>
      <c r="D85" s="1184"/>
      <c r="E85" s="626">
        <v>15</v>
      </c>
      <c r="F85" s="3" t="str" cm="1">
        <f t="array" aca="1" ref="F85" ca="1">OFFSET(E85,-1,1)</f>
        <v>1</v>
      </c>
      <c r="G85" s="17" cm="1">
        <f t="array" ref="G85">G84</f>
        <v>0</v>
      </c>
      <c r="H85" s="1184"/>
      <c r="I85" s="1184"/>
      <c r="J85" s="1184"/>
      <c r="K85" s="77">
        <f>first_year+2</f>
        <v>2026</v>
      </c>
      <c r="L85" s="1184"/>
      <c r="M85" s="1184"/>
      <c r="N85" s="1184"/>
      <c r="O85" s="1184"/>
      <c r="P85" s="1184"/>
      <c r="Q85" s="1184"/>
      <c r="R85" s="1184"/>
      <c r="S85" s="1184"/>
      <c r="T85" s="388" t="b" cm="1">
        <f t="array" aca="1" ref="T85" ca="1">T84</f>
        <v>0</v>
      </c>
      <c r="U85" s="1184"/>
      <c r="V85" s="1184"/>
      <c r="W85" s="1184"/>
      <c r="X85" s="2032"/>
      <c r="Y85" s="2032"/>
      <c r="Z85" s="2012"/>
      <c r="AA85" s="2127"/>
      <c r="AB85" s="174" t="str">
        <f t="shared" si="5"/>
        <v>2026 год</v>
      </c>
      <c r="AC85" s="329"/>
      <c r="AD85" s="1727"/>
      <c r="AE85" s="1726"/>
      <c r="AF85" s="1726"/>
      <c r="AG85" s="1727"/>
      <c r="AH85" s="1726"/>
      <c r="AI85" s="1727"/>
      <c r="AJ85" s="1726"/>
      <c r="AK85" s="1728"/>
      <c r="AL85" s="324"/>
      <c r="AM85" s="1184"/>
      <c r="AN85" s="973" cm="1">
        <f t="array" ref="AN85">K85</f>
        <v>2026</v>
      </c>
      <c r="AO85" s="973" t="s">
        <v>2259</v>
      </c>
      <c r="AP85" s="983" cm="1">
        <f t="array" ref="AP85">AP84</f>
        <v>0</v>
      </c>
      <c r="AQ85" s="626"/>
      <c r="AR85" s="626"/>
    </row>
    <row r="86" spans="1:44" s="1732" customFormat="1" ht="14.25" hidden="1" customHeight="1" x14ac:dyDescent="0.15">
      <c r="A86" s="1184"/>
      <c r="B86" s="367" t="b">
        <f t="shared" si="4"/>
        <v>1</v>
      </c>
      <c r="C86" s="1184"/>
      <c r="D86" s="1184"/>
      <c r="E86" s="626">
        <v>15</v>
      </c>
      <c r="F86" s="3" t="str" cm="1">
        <f t="array" aca="1" ref="F86" ca="1">OFFSET(E86,-1,1)</f>
        <v>1</v>
      </c>
      <c r="G86" s="17" cm="1">
        <f t="array" ref="G86">G85</f>
        <v>0</v>
      </c>
      <c r="H86" s="1184"/>
      <c r="I86" s="1184"/>
      <c r="J86" s="1184"/>
      <c r="K86" s="77">
        <f>first_year+3</f>
        <v>2027</v>
      </c>
      <c r="L86" s="1184"/>
      <c r="M86" s="1184"/>
      <c r="N86" s="1184"/>
      <c r="O86" s="1184"/>
      <c r="P86" s="1184"/>
      <c r="Q86" s="1184"/>
      <c r="R86" s="1184"/>
      <c r="S86" s="1184"/>
      <c r="T86" s="388" t="b" cm="1">
        <f t="array" aca="1" ref="T86" ca="1">T85</f>
        <v>0</v>
      </c>
      <c r="U86" s="1184"/>
      <c r="V86" s="1184"/>
      <c r="W86" s="1184"/>
      <c r="X86" s="2032"/>
      <c r="Y86" s="2032"/>
      <c r="Z86" s="2012"/>
      <c r="AA86" s="2127"/>
      <c r="AB86" s="174" t="str">
        <f t="shared" si="5"/>
        <v>2027 год</v>
      </c>
      <c r="AC86" s="329"/>
      <c r="AD86" s="1727"/>
      <c r="AE86" s="1726"/>
      <c r="AF86" s="1726"/>
      <c r="AG86" s="1727"/>
      <c r="AH86" s="1726"/>
      <c r="AI86" s="1727"/>
      <c r="AJ86" s="1726"/>
      <c r="AK86" s="1728"/>
      <c r="AL86" s="324"/>
      <c r="AM86" s="1184"/>
      <c r="AN86" s="973" cm="1">
        <f t="array" ref="AN86">K86</f>
        <v>2027</v>
      </c>
      <c r="AO86" s="973" t="s">
        <v>2259</v>
      </c>
      <c r="AP86" s="983" cm="1">
        <f t="array" ref="AP86">AP85</f>
        <v>0</v>
      </c>
      <c r="AQ86" s="626"/>
      <c r="AR86" s="626"/>
    </row>
    <row r="87" spans="1:44" s="1733" customFormat="1" ht="14.25" hidden="1" customHeight="1" x14ac:dyDescent="0.15">
      <c r="A87" s="1184"/>
      <c r="B87" s="367" t="b">
        <f t="shared" si="4"/>
        <v>1</v>
      </c>
      <c r="C87" s="1184"/>
      <c r="D87" s="1184"/>
      <c r="E87" s="626">
        <v>15</v>
      </c>
      <c r="F87" s="3" t="str" cm="1">
        <f t="array" aca="1" ref="F87" ca="1">OFFSET(E87,-1,1)</f>
        <v>1</v>
      </c>
      <c r="G87" s="17" cm="1">
        <f t="array" ref="G87">G86</f>
        <v>0</v>
      </c>
      <c r="H87" s="1184"/>
      <c r="I87" s="1184"/>
      <c r="J87" s="1184"/>
      <c r="K87" s="77">
        <f>first_year+4</f>
        <v>2028</v>
      </c>
      <c r="L87" s="1184"/>
      <c r="M87" s="1184"/>
      <c r="N87" s="1184"/>
      <c r="O87" s="1184"/>
      <c r="P87" s="1184"/>
      <c r="Q87" s="1184"/>
      <c r="R87" s="1184"/>
      <c r="S87" s="1184"/>
      <c r="T87" s="388" t="b" cm="1">
        <f t="array" aca="1" ref="T87" ca="1">T86</f>
        <v>0</v>
      </c>
      <c r="U87" s="1184"/>
      <c r="V87" s="1184"/>
      <c r="W87" s="1184"/>
      <c r="X87" s="2032"/>
      <c r="Y87" s="2032"/>
      <c r="Z87" s="2012"/>
      <c r="AA87" s="2127"/>
      <c r="AB87" s="174" t="str">
        <f t="shared" si="5"/>
        <v>2028 год</v>
      </c>
      <c r="AC87" s="329"/>
      <c r="AD87" s="1727"/>
      <c r="AE87" s="1726"/>
      <c r="AF87" s="1726"/>
      <c r="AG87" s="1727"/>
      <c r="AH87" s="1726"/>
      <c r="AI87" s="1727"/>
      <c r="AJ87" s="1726"/>
      <c r="AK87" s="1728"/>
      <c r="AL87" s="324"/>
      <c r="AM87" s="1184"/>
      <c r="AN87" s="973" cm="1">
        <f t="array" ref="AN87">K87</f>
        <v>2028</v>
      </c>
      <c r="AO87" s="973" t="s">
        <v>2259</v>
      </c>
      <c r="AP87" s="983" cm="1">
        <f t="array" ref="AP87">AP86</f>
        <v>0</v>
      </c>
      <c r="AQ87" s="626"/>
      <c r="AR87" s="626"/>
    </row>
    <row r="88" spans="1:44" s="1734" customFormat="1" ht="14.25" hidden="1" customHeight="1" x14ac:dyDescent="0.15">
      <c r="A88" s="1184"/>
      <c r="B88" s="367" t="b">
        <f t="shared" si="4"/>
        <v>1</v>
      </c>
      <c r="C88" s="1184"/>
      <c r="D88" s="1184"/>
      <c r="E88" s="626">
        <v>15</v>
      </c>
      <c r="F88" s="3" t="str" cm="1">
        <f t="array" aca="1" ref="F88" ca="1">OFFSET(E88,-1,1)</f>
        <v>1</v>
      </c>
      <c r="G88" s="17" cm="1">
        <f t="array" ref="G88">G87</f>
        <v>0</v>
      </c>
      <c r="H88" s="1184"/>
      <c r="I88" s="1184"/>
      <c r="J88" s="1184"/>
      <c r="K88" s="77">
        <f>first_year+5</f>
        <v>2029</v>
      </c>
      <c r="L88" s="1184"/>
      <c r="M88" s="1184"/>
      <c r="N88" s="1184"/>
      <c r="O88" s="1184"/>
      <c r="P88" s="1184"/>
      <c r="Q88" s="1184"/>
      <c r="R88" s="1184"/>
      <c r="S88" s="1184"/>
      <c r="T88" s="388" t="b" cm="1">
        <f t="array" aca="1" ref="T88" ca="1">T87</f>
        <v>0</v>
      </c>
      <c r="U88" s="1184"/>
      <c r="V88" s="1184"/>
      <c r="W88" s="1184"/>
      <c r="X88" s="2032"/>
      <c r="Y88" s="2032"/>
      <c r="Z88" s="2012"/>
      <c r="AA88" s="2127"/>
      <c r="AB88" s="174" t="str">
        <f t="shared" si="5"/>
        <v>2029 год</v>
      </c>
      <c r="AC88" s="329"/>
      <c r="AD88" s="1727"/>
      <c r="AE88" s="1726"/>
      <c r="AF88" s="1726"/>
      <c r="AG88" s="1727"/>
      <c r="AH88" s="1726"/>
      <c r="AI88" s="1727"/>
      <c r="AJ88" s="1726"/>
      <c r="AK88" s="1728"/>
      <c r="AL88" s="324"/>
      <c r="AM88" s="1184"/>
      <c r="AN88" s="973" cm="1">
        <f t="array" ref="AN88">K88</f>
        <v>2029</v>
      </c>
      <c r="AO88" s="973" t="s">
        <v>2259</v>
      </c>
      <c r="AP88" s="983" cm="1">
        <f t="array" ref="AP88">AP87</f>
        <v>0</v>
      </c>
      <c r="AQ88" s="626"/>
      <c r="AR88" s="626"/>
    </row>
    <row r="89" spans="1:44" s="1735" customFormat="1" ht="14.25" hidden="1" customHeight="1" x14ac:dyDescent="0.15">
      <c r="A89" s="1184"/>
      <c r="B89" s="367" t="b">
        <f t="shared" si="4"/>
        <v>1</v>
      </c>
      <c r="C89" s="1184"/>
      <c r="D89" s="1184"/>
      <c r="E89" s="626">
        <v>15</v>
      </c>
      <c r="F89" s="3" t="str" cm="1">
        <f t="array" aca="1" ref="F89" ca="1">OFFSET(E89,-1,1)</f>
        <v>1</v>
      </c>
      <c r="G89" s="17" cm="1">
        <f t="array" ref="G89">G88</f>
        <v>0</v>
      </c>
      <c r="H89" s="1184"/>
      <c r="I89" s="1184"/>
      <c r="J89" s="1184"/>
      <c r="K89" s="77">
        <f>first_year+6</f>
        <v>2030</v>
      </c>
      <c r="L89" s="1184"/>
      <c r="M89" s="1184"/>
      <c r="N89" s="1184"/>
      <c r="O89" s="1184"/>
      <c r="P89" s="1184"/>
      <c r="Q89" s="1184"/>
      <c r="R89" s="1184"/>
      <c r="S89" s="1184"/>
      <c r="T89" s="388" t="b" cm="1">
        <f t="array" aca="1" ref="T89" ca="1">T88</f>
        <v>0</v>
      </c>
      <c r="U89" s="1184"/>
      <c r="V89" s="1184"/>
      <c r="W89" s="1184"/>
      <c r="X89" s="2032"/>
      <c r="Y89" s="2032"/>
      <c r="Z89" s="2012"/>
      <c r="AA89" s="2127"/>
      <c r="AB89" s="174" t="str">
        <f t="shared" si="5"/>
        <v>2030 год</v>
      </c>
      <c r="AC89" s="329"/>
      <c r="AD89" s="1727"/>
      <c r="AE89" s="1726"/>
      <c r="AF89" s="1726"/>
      <c r="AG89" s="1727"/>
      <c r="AH89" s="1726"/>
      <c r="AI89" s="1727"/>
      <c r="AJ89" s="1726"/>
      <c r="AK89" s="1728"/>
      <c r="AL89" s="324"/>
      <c r="AM89" s="1184"/>
      <c r="AN89" s="973" cm="1">
        <f t="array" ref="AN89">K89</f>
        <v>2030</v>
      </c>
      <c r="AO89" s="973" t="s">
        <v>2259</v>
      </c>
      <c r="AP89" s="983" cm="1">
        <f t="array" ref="AP89">AP88</f>
        <v>0</v>
      </c>
      <c r="AQ89" s="626"/>
      <c r="AR89" s="626"/>
    </row>
    <row r="90" spans="1:44" s="1736" customFormat="1" ht="14.25" hidden="1" customHeight="1" x14ac:dyDescent="0.15">
      <c r="A90" s="1184"/>
      <c r="B90" s="367" t="b">
        <f t="shared" si="4"/>
        <v>1</v>
      </c>
      <c r="C90" s="1184"/>
      <c r="D90" s="1184"/>
      <c r="E90" s="626">
        <v>15</v>
      </c>
      <c r="F90" s="3" t="str" cm="1">
        <f t="array" aca="1" ref="F90" ca="1">OFFSET(E90,-1,1)</f>
        <v>1</v>
      </c>
      <c r="G90" s="17" cm="1">
        <f t="array" ref="G90">G89</f>
        <v>0</v>
      </c>
      <c r="H90" s="1184"/>
      <c r="I90" s="1184"/>
      <c r="J90" s="1184"/>
      <c r="K90" s="77">
        <f>first_year+7</f>
        <v>2031</v>
      </c>
      <c r="L90" s="1184"/>
      <c r="M90" s="1184"/>
      <c r="N90" s="1184"/>
      <c r="O90" s="1184"/>
      <c r="P90" s="1184"/>
      <c r="Q90" s="1184"/>
      <c r="R90" s="1184"/>
      <c r="S90" s="1184"/>
      <c r="T90" s="388" t="b" cm="1">
        <f t="array" aca="1" ref="T90" ca="1">T89</f>
        <v>0</v>
      </c>
      <c r="U90" s="1184"/>
      <c r="V90" s="1184"/>
      <c r="W90" s="1184"/>
      <c r="X90" s="2032"/>
      <c r="Y90" s="2032"/>
      <c r="Z90" s="2012"/>
      <c r="AA90" s="2127"/>
      <c r="AB90" s="174" t="str">
        <f t="shared" si="5"/>
        <v>2031 год</v>
      </c>
      <c r="AC90" s="329"/>
      <c r="AD90" s="1727"/>
      <c r="AE90" s="1726"/>
      <c r="AF90" s="1726"/>
      <c r="AG90" s="1727"/>
      <c r="AH90" s="1726"/>
      <c r="AI90" s="1727"/>
      <c r="AJ90" s="1726"/>
      <c r="AK90" s="1728"/>
      <c r="AL90" s="324"/>
      <c r="AM90" s="1184"/>
      <c r="AN90" s="973" cm="1">
        <f t="array" ref="AN90">K90</f>
        <v>2031</v>
      </c>
      <c r="AO90" s="973" t="s">
        <v>2259</v>
      </c>
      <c r="AP90" s="983" cm="1">
        <f t="array" ref="AP90">AP89</f>
        <v>0</v>
      </c>
      <c r="AQ90" s="626"/>
      <c r="AR90" s="626"/>
    </row>
    <row r="91" spans="1:44" s="1737" customFormat="1" ht="14.25" hidden="1" customHeight="1" x14ac:dyDescent="0.15">
      <c r="A91" s="1184"/>
      <c r="B91" s="367" t="b">
        <f t="shared" si="4"/>
        <v>1</v>
      </c>
      <c r="C91" s="1184"/>
      <c r="D91" s="1184"/>
      <c r="E91" s="626">
        <v>15</v>
      </c>
      <c r="F91" s="3" t="str" cm="1">
        <f t="array" aca="1" ref="F91" ca="1">OFFSET(E91,-1,1)</f>
        <v>1</v>
      </c>
      <c r="G91" s="17" cm="1">
        <f t="array" ref="G91">G90</f>
        <v>0</v>
      </c>
      <c r="H91" s="1184"/>
      <c r="I91" s="1184"/>
      <c r="J91" s="1184"/>
      <c r="K91" s="77">
        <f>first_year+8</f>
        <v>2032</v>
      </c>
      <c r="L91" s="1184"/>
      <c r="M91" s="1184"/>
      <c r="N91" s="1184"/>
      <c r="O91" s="1184"/>
      <c r="P91" s="1184"/>
      <c r="Q91" s="1184"/>
      <c r="R91" s="1184"/>
      <c r="S91" s="1184"/>
      <c r="T91" s="388" t="b" cm="1">
        <f t="array" aca="1" ref="T91" ca="1">T90</f>
        <v>0</v>
      </c>
      <c r="U91" s="1184"/>
      <c r="V91" s="1184"/>
      <c r="W91" s="1184"/>
      <c r="X91" s="2032"/>
      <c r="Y91" s="2032"/>
      <c r="Z91" s="2012"/>
      <c r="AA91" s="2127"/>
      <c r="AB91" s="174" t="str">
        <f t="shared" si="5"/>
        <v>2032 год</v>
      </c>
      <c r="AC91" s="329"/>
      <c r="AD91" s="1727"/>
      <c r="AE91" s="1726"/>
      <c r="AF91" s="1726"/>
      <c r="AG91" s="1727"/>
      <c r="AH91" s="1726"/>
      <c r="AI91" s="1727"/>
      <c r="AJ91" s="1726"/>
      <c r="AK91" s="1728"/>
      <c r="AL91" s="324"/>
      <c r="AM91" s="1184"/>
      <c r="AN91" s="973" cm="1">
        <f t="array" ref="AN91">K91</f>
        <v>2032</v>
      </c>
      <c r="AO91" s="973" t="s">
        <v>2259</v>
      </c>
      <c r="AP91" s="983" cm="1">
        <f t="array" ref="AP91">AP90</f>
        <v>0</v>
      </c>
      <c r="AQ91" s="626"/>
      <c r="AR91" s="626"/>
    </row>
    <row r="92" spans="1:44" s="1738" customFormat="1" ht="14.25" hidden="1" customHeight="1" x14ac:dyDescent="0.15">
      <c r="A92" s="1184"/>
      <c r="B92" s="367" t="b">
        <f t="shared" si="4"/>
        <v>0</v>
      </c>
      <c r="C92" s="1184"/>
      <c r="D92" s="1184"/>
      <c r="E92" s="626">
        <v>15</v>
      </c>
      <c r="F92" s="3" t="str" cm="1">
        <f t="array" aca="1" ref="F92" ca="1">OFFSET(E92,-1,1)</f>
        <v>1</v>
      </c>
      <c r="G92" s="17" cm="1">
        <f t="array" ref="G92">G91</f>
        <v>0</v>
      </c>
      <c r="H92" s="1184"/>
      <c r="I92" s="1184"/>
      <c r="J92" s="1184"/>
      <c r="K92" s="77">
        <f>first_year+9</f>
        <v>2033</v>
      </c>
      <c r="L92" s="1184"/>
      <c r="M92" s="1184"/>
      <c r="N92" s="1184"/>
      <c r="O92" s="1184"/>
      <c r="P92" s="1184"/>
      <c r="Q92" s="1184"/>
      <c r="R92" s="1184"/>
      <c r="S92" s="1184"/>
      <c r="T92" s="388" t="b" cm="1">
        <f t="array" aca="1" ref="T92" ca="1">T91</f>
        <v>0</v>
      </c>
      <c r="U92" s="1184"/>
      <c r="V92" s="1184"/>
      <c r="W92" s="1184"/>
      <c r="X92" s="2032"/>
      <c r="Y92" s="2032"/>
      <c r="Z92" s="2012"/>
      <c r="AA92" s="2127"/>
      <c r="AB92" s="174" t="str">
        <f t="shared" si="5"/>
        <v>2033 год</v>
      </c>
      <c r="AC92" s="329"/>
      <c r="AD92" s="1727"/>
      <c r="AE92" s="1726"/>
      <c r="AF92" s="1726"/>
      <c r="AG92" s="1727"/>
      <c r="AH92" s="1726"/>
      <c r="AI92" s="1727"/>
      <c r="AJ92" s="1726"/>
      <c r="AK92" s="1728"/>
      <c r="AL92" s="324"/>
      <c r="AM92" s="1184"/>
      <c r="AN92" s="973" cm="1">
        <f t="array" ref="AN92">K92</f>
        <v>2033</v>
      </c>
      <c r="AO92" s="973" t="s">
        <v>2259</v>
      </c>
      <c r="AP92" s="983" cm="1">
        <f t="array" ref="AP92">AP91</f>
        <v>0</v>
      </c>
      <c r="AQ92" s="626"/>
      <c r="AR92" s="626"/>
    </row>
    <row r="93" spans="1:44" s="1739" customFormat="1" ht="14.25" hidden="1" customHeight="1" x14ac:dyDescent="0.15">
      <c r="A93" s="1184"/>
      <c r="B93" s="367" t="b">
        <f t="shared" si="4"/>
        <v>0</v>
      </c>
      <c r="C93" s="1184"/>
      <c r="D93" s="1184"/>
      <c r="E93" s="626">
        <v>15</v>
      </c>
      <c r="F93" s="3" t="str" cm="1">
        <f t="array" aca="1" ref="F93" ca="1">OFFSET(E93,-1,1)</f>
        <v>1</v>
      </c>
      <c r="G93" s="17" cm="1">
        <f t="array" ref="G93">G92</f>
        <v>0</v>
      </c>
      <c r="H93" s="1184"/>
      <c r="I93" s="1184"/>
      <c r="J93" s="1184"/>
      <c r="K93" s="77">
        <f>first_year+10</f>
        <v>2034</v>
      </c>
      <c r="L93" s="1184"/>
      <c r="M93" s="1184"/>
      <c r="N93" s="1184"/>
      <c r="O93" s="1184"/>
      <c r="P93" s="1184"/>
      <c r="Q93" s="1184"/>
      <c r="R93" s="1184"/>
      <c r="S93" s="1184"/>
      <c r="T93" s="388" t="b" cm="1">
        <f t="array" aca="1" ref="T93" ca="1">T92</f>
        <v>0</v>
      </c>
      <c r="U93" s="1184"/>
      <c r="V93" s="1184"/>
      <c r="W93" s="1184"/>
      <c r="X93" s="2032"/>
      <c r="Y93" s="2032"/>
      <c r="Z93" s="2012"/>
      <c r="AA93" s="2127"/>
      <c r="AB93" s="174" t="str">
        <f t="shared" si="5"/>
        <v>2034 год</v>
      </c>
      <c r="AC93" s="329"/>
      <c r="AD93" s="1727"/>
      <c r="AE93" s="1726"/>
      <c r="AF93" s="1726"/>
      <c r="AG93" s="1727"/>
      <c r="AH93" s="1726"/>
      <c r="AI93" s="1727"/>
      <c r="AJ93" s="1726"/>
      <c r="AK93" s="1728"/>
      <c r="AL93" s="324"/>
      <c r="AM93" s="1184"/>
      <c r="AN93" s="973" cm="1">
        <f t="array" ref="AN93">K93</f>
        <v>2034</v>
      </c>
      <c r="AO93" s="973" t="s">
        <v>2259</v>
      </c>
      <c r="AP93" s="983" cm="1">
        <f t="array" ref="AP93">AP92</f>
        <v>0</v>
      </c>
      <c r="AQ93" s="626"/>
      <c r="AR93" s="626"/>
    </row>
    <row r="94" spans="1:44" s="1740" customFormat="1" ht="14.25" hidden="1" customHeight="1" x14ac:dyDescent="0.15">
      <c r="A94" s="1184"/>
      <c r="B94" s="367" t="b">
        <f t="shared" si="4"/>
        <v>0</v>
      </c>
      <c r="C94" s="1184"/>
      <c r="D94" s="1184"/>
      <c r="E94" s="626">
        <v>15</v>
      </c>
      <c r="F94" s="3" t="str" cm="1">
        <f t="array" aca="1" ref="F94" ca="1">OFFSET(E94,-1,1)</f>
        <v>1</v>
      </c>
      <c r="G94" s="17" cm="1">
        <f t="array" ref="G94">G93</f>
        <v>0</v>
      </c>
      <c r="H94" s="1184"/>
      <c r="I94" s="1184"/>
      <c r="J94" s="1184"/>
      <c r="K94" s="77">
        <f>first_year+11</f>
        <v>2035</v>
      </c>
      <c r="L94" s="1184"/>
      <c r="M94" s="1184"/>
      <c r="N94" s="1184"/>
      <c r="O94" s="1184"/>
      <c r="P94" s="1184"/>
      <c r="Q94" s="1184"/>
      <c r="R94" s="1184"/>
      <c r="S94" s="1184"/>
      <c r="T94" s="388" t="b" cm="1">
        <f t="array" aca="1" ref="T94" ca="1">T93</f>
        <v>0</v>
      </c>
      <c r="U94" s="1184"/>
      <c r="V94" s="1184"/>
      <c r="W94" s="1184"/>
      <c r="X94" s="2032"/>
      <c r="Y94" s="2032"/>
      <c r="Z94" s="2012"/>
      <c r="AA94" s="2127"/>
      <c r="AB94" s="174" t="str">
        <f t="shared" si="5"/>
        <v>2035 год</v>
      </c>
      <c r="AC94" s="329"/>
      <c r="AD94" s="1727"/>
      <c r="AE94" s="1726"/>
      <c r="AF94" s="1726"/>
      <c r="AG94" s="1727"/>
      <c r="AH94" s="1726"/>
      <c r="AI94" s="1727"/>
      <c r="AJ94" s="1726"/>
      <c r="AK94" s="1728"/>
      <c r="AL94" s="324"/>
      <c r="AM94" s="1184"/>
      <c r="AN94" s="973" cm="1">
        <f t="array" ref="AN94">K94</f>
        <v>2035</v>
      </c>
      <c r="AO94" s="973" t="s">
        <v>2259</v>
      </c>
      <c r="AP94" s="983" cm="1">
        <f t="array" ref="AP94">AP93</f>
        <v>0</v>
      </c>
      <c r="AQ94" s="626"/>
      <c r="AR94" s="626"/>
    </row>
    <row r="95" spans="1:44" s="1741" customFormat="1" ht="14.25" hidden="1" customHeight="1" x14ac:dyDescent="0.15">
      <c r="A95" s="1184"/>
      <c r="B95" s="367" t="b">
        <f t="shared" si="4"/>
        <v>0</v>
      </c>
      <c r="C95" s="1184"/>
      <c r="D95" s="1184"/>
      <c r="E95" s="626">
        <v>15</v>
      </c>
      <c r="F95" s="3" t="str" cm="1">
        <f t="array" aca="1" ref="F95" ca="1">OFFSET(E95,-1,1)</f>
        <v>1</v>
      </c>
      <c r="G95" s="17" cm="1">
        <f t="array" ref="G95">G94</f>
        <v>0</v>
      </c>
      <c r="H95" s="1184"/>
      <c r="I95" s="1184"/>
      <c r="J95" s="1184"/>
      <c r="K95" s="77">
        <f>first_year+12</f>
        <v>2036</v>
      </c>
      <c r="L95" s="1184"/>
      <c r="M95" s="1184"/>
      <c r="N95" s="1184"/>
      <c r="O95" s="1184"/>
      <c r="P95" s="1184"/>
      <c r="Q95" s="1184"/>
      <c r="R95" s="1184"/>
      <c r="S95" s="1184"/>
      <c r="T95" s="388" t="b" cm="1">
        <f t="array" aca="1" ref="T95" ca="1">T94</f>
        <v>0</v>
      </c>
      <c r="U95" s="1184"/>
      <c r="V95" s="1184"/>
      <c r="W95" s="1184"/>
      <c r="X95" s="2032"/>
      <c r="Y95" s="2032"/>
      <c r="Z95" s="2012"/>
      <c r="AA95" s="2127"/>
      <c r="AB95" s="174" t="str">
        <f t="shared" si="5"/>
        <v>2036 год</v>
      </c>
      <c r="AC95" s="329"/>
      <c r="AD95" s="1727"/>
      <c r="AE95" s="1726"/>
      <c r="AF95" s="1726"/>
      <c r="AG95" s="1727"/>
      <c r="AH95" s="1726"/>
      <c r="AI95" s="1727"/>
      <c r="AJ95" s="1726"/>
      <c r="AK95" s="1728"/>
      <c r="AL95" s="324"/>
      <c r="AM95" s="1184"/>
      <c r="AN95" s="973" cm="1">
        <f t="array" ref="AN95">K95</f>
        <v>2036</v>
      </c>
      <c r="AO95" s="973" t="s">
        <v>2259</v>
      </c>
      <c r="AP95" s="983" cm="1">
        <f t="array" ref="AP95">AP94</f>
        <v>0</v>
      </c>
      <c r="AQ95" s="626"/>
      <c r="AR95" s="626"/>
    </row>
    <row r="96" spans="1:44" s="1742" customFormat="1" ht="14.25" hidden="1" customHeight="1" x14ac:dyDescent="0.15">
      <c r="A96" s="1184"/>
      <c r="B96" s="367" t="b">
        <f t="shared" si="4"/>
        <v>0</v>
      </c>
      <c r="C96" s="1184"/>
      <c r="D96" s="1184"/>
      <c r="E96" s="626">
        <v>15</v>
      </c>
      <c r="F96" s="3" t="str" cm="1">
        <f t="array" aca="1" ref="F96" ca="1">OFFSET(E96,-1,1)</f>
        <v>1</v>
      </c>
      <c r="G96" s="17" cm="1">
        <f t="array" ref="G96">G95</f>
        <v>0</v>
      </c>
      <c r="H96" s="1184"/>
      <c r="I96" s="1184"/>
      <c r="J96" s="1184"/>
      <c r="K96" s="77">
        <f>first_year+13</f>
        <v>2037</v>
      </c>
      <c r="L96" s="1184"/>
      <c r="M96" s="1184"/>
      <c r="N96" s="1184"/>
      <c r="O96" s="1184"/>
      <c r="P96" s="1184"/>
      <c r="Q96" s="1184"/>
      <c r="R96" s="1184"/>
      <c r="S96" s="1184"/>
      <c r="T96" s="388" t="b" cm="1">
        <f t="array" aca="1" ref="T96" ca="1">T95</f>
        <v>0</v>
      </c>
      <c r="U96" s="1184"/>
      <c r="V96" s="1184"/>
      <c r="W96" s="1184"/>
      <c r="X96" s="2032"/>
      <c r="Y96" s="2032"/>
      <c r="Z96" s="2012"/>
      <c r="AA96" s="2127"/>
      <c r="AB96" s="174" t="str">
        <f t="shared" si="5"/>
        <v>2037 год</v>
      </c>
      <c r="AC96" s="329"/>
      <c r="AD96" s="1727"/>
      <c r="AE96" s="1726"/>
      <c r="AF96" s="1726"/>
      <c r="AG96" s="1727"/>
      <c r="AH96" s="1726"/>
      <c r="AI96" s="1727"/>
      <c r="AJ96" s="1726"/>
      <c r="AK96" s="1728"/>
      <c r="AL96" s="324"/>
      <c r="AM96" s="1184"/>
      <c r="AN96" s="973" cm="1">
        <f t="array" ref="AN96">K96</f>
        <v>2037</v>
      </c>
      <c r="AO96" s="973" t="s">
        <v>2259</v>
      </c>
      <c r="AP96" s="983" cm="1">
        <f t="array" ref="AP96">AP95</f>
        <v>0</v>
      </c>
      <c r="AQ96" s="626"/>
      <c r="AR96" s="626"/>
    </row>
    <row r="97" spans="1:44" s="1743" customFormat="1" ht="14.25" hidden="1" customHeight="1" x14ac:dyDescent="0.15">
      <c r="A97" s="1184"/>
      <c r="B97" s="367" t="b">
        <f t="shared" si="4"/>
        <v>0</v>
      </c>
      <c r="C97" s="1184"/>
      <c r="D97" s="1184"/>
      <c r="E97" s="626">
        <v>15</v>
      </c>
      <c r="F97" s="3" t="str" cm="1">
        <f t="array" aca="1" ref="F97" ca="1">OFFSET(E97,-1,1)</f>
        <v>1</v>
      </c>
      <c r="G97" s="17" cm="1">
        <f t="array" ref="G97">G96</f>
        <v>0</v>
      </c>
      <c r="H97" s="1184"/>
      <c r="I97" s="1184"/>
      <c r="J97" s="1184"/>
      <c r="K97" s="77">
        <f>first_year+14</f>
        <v>2038</v>
      </c>
      <c r="L97" s="1184"/>
      <c r="M97" s="1184"/>
      <c r="N97" s="1184"/>
      <c r="O97" s="1184"/>
      <c r="P97" s="1184"/>
      <c r="Q97" s="1184"/>
      <c r="R97" s="1184"/>
      <c r="S97" s="1184"/>
      <c r="T97" s="388" t="b" cm="1">
        <f t="array" aca="1" ref="T97" ca="1">T96</f>
        <v>0</v>
      </c>
      <c r="U97" s="1184"/>
      <c r="V97" s="1184"/>
      <c r="W97" s="1184"/>
      <c r="X97" s="2032"/>
      <c r="Y97" s="2032"/>
      <c r="Z97" s="2012"/>
      <c r="AA97" s="2127"/>
      <c r="AB97" s="174" t="str">
        <f t="shared" si="5"/>
        <v>2038 год</v>
      </c>
      <c r="AC97" s="329"/>
      <c r="AD97" s="1727"/>
      <c r="AE97" s="1726"/>
      <c r="AF97" s="1726"/>
      <c r="AG97" s="1727"/>
      <c r="AH97" s="1726"/>
      <c r="AI97" s="1727"/>
      <c r="AJ97" s="1726"/>
      <c r="AK97" s="1728"/>
      <c r="AL97" s="324"/>
      <c r="AM97" s="1184"/>
      <c r="AN97" s="973" cm="1">
        <f t="array" ref="AN97">K97</f>
        <v>2038</v>
      </c>
      <c r="AO97" s="973" t="s">
        <v>2259</v>
      </c>
      <c r="AP97" s="983" cm="1">
        <f t="array" ref="AP97">AP96</f>
        <v>0</v>
      </c>
      <c r="AQ97" s="626"/>
      <c r="AR97" s="626"/>
    </row>
    <row r="98" spans="1:44" s="1744" customFormat="1" ht="14.25" hidden="1" customHeight="1" x14ac:dyDescent="0.15">
      <c r="A98" s="1184"/>
      <c r="B98" s="367" t="b">
        <f t="shared" si="4"/>
        <v>0</v>
      </c>
      <c r="C98" s="1184"/>
      <c r="D98" s="1184"/>
      <c r="E98" s="626">
        <v>15</v>
      </c>
      <c r="F98" s="3" t="str" cm="1">
        <f t="array" aca="1" ref="F98" ca="1">OFFSET(E98,-1,1)</f>
        <v>1</v>
      </c>
      <c r="G98" s="17" cm="1">
        <f t="array" ref="G98">G97</f>
        <v>0</v>
      </c>
      <c r="H98" s="1184"/>
      <c r="I98" s="1184"/>
      <c r="J98" s="1184"/>
      <c r="K98" s="77">
        <f>first_year+15</f>
        <v>2039</v>
      </c>
      <c r="L98" s="1184"/>
      <c r="M98" s="1184"/>
      <c r="N98" s="1184"/>
      <c r="O98" s="1184"/>
      <c r="P98" s="1184"/>
      <c r="Q98" s="1184"/>
      <c r="R98" s="1184"/>
      <c r="S98" s="1184"/>
      <c r="T98" s="388" t="b" cm="1">
        <f t="array" aca="1" ref="T98" ca="1">T97</f>
        <v>0</v>
      </c>
      <c r="U98" s="1184"/>
      <c r="V98" s="1184"/>
      <c r="W98" s="1184"/>
      <c r="X98" s="2032"/>
      <c r="Y98" s="2032"/>
      <c r="Z98" s="2012"/>
      <c r="AA98" s="2127"/>
      <c r="AB98" s="174" t="str">
        <f t="shared" si="5"/>
        <v>2039 год</v>
      </c>
      <c r="AC98" s="329"/>
      <c r="AD98" s="1727"/>
      <c r="AE98" s="1726"/>
      <c r="AF98" s="1726"/>
      <c r="AG98" s="1727"/>
      <c r="AH98" s="1726"/>
      <c r="AI98" s="1727"/>
      <c r="AJ98" s="1726"/>
      <c r="AK98" s="1728"/>
      <c r="AL98" s="324"/>
      <c r="AM98" s="1184"/>
      <c r="AN98" s="973" cm="1">
        <f t="array" ref="AN98">K98</f>
        <v>2039</v>
      </c>
      <c r="AO98" s="973" t="s">
        <v>2259</v>
      </c>
      <c r="AP98" s="983" cm="1">
        <f t="array" ref="AP98">AP97</f>
        <v>0</v>
      </c>
      <c r="AQ98" s="626"/>
      <c r="AR98" s="626"/>
    </row>
    <row r="99" spans="1:44" s="1745" customFormat="1" ht="14.25" hidden="1" customHeight="1" x14ac:dyDescent="0.15">
      <c r="A99" s="1184"/>
      <c r="B99" s="367" t="b">
        <f t="shared" si="4"/>
        <v>0</v>
      </c>
      <c r="C99" s="1184"/>
      <c r="D99" s="1184"/>
      <c r="E99" s="626">
        <v>15</v>
      </c>
      <c r="F99" s="3" t="str" cm="1">
        <f t="array" aca="1" ref="F99" ca="1">OFFSET(E99,-1,1)</f>
        <v>1</v>
      </c>
      <c r="G99" s="17" cm="1">
        <f t="array" ref="G99">G98</f>
        <v>0</v>
      </c>
      <c r="H99" s="1184"/>
      <c r="I99" s="1184"/>
      <c r="J99" s="1184"/>
      <c r="K99" s="77">
        <f>first_year+16</f>
        <v>2040</v>
      </c>
      <c r="L99" s="1184"/>
      <c r="M99" s="1184"/>
      <c r="N99" s="1184"/>
      <c r="O99" s="1184"/>
      <c r="P99" s="1184"/>
      <c r="Q99" s="1184"/>
      <c r="R99" s="1184"/>
      <c r="S99" s="1184"/>
      <c r="T99" s="388" t="b" cm="1">
        <f t="array" aca="1" ref="T99" ca="1">T98</f>
        <v>0</v>
      </c>
      <c r="U99" s="1184"/>
      <c r="V99" s="1184"/>
      <c r="W99" s="1184"/>
      <c r="X99" s="2032"/>
      <c r="Y99" s="2032"/>
      <c r="Z99" s="2012"/>
      <c r="AA99" s="2127"/>
      <c r="AB99" s="174" t="str">
        <f t="shared" si="5"/>
        <v>2040 год</v>
      </c>
      <c r="AC99" s="329"/>
      <c r="AD99" s="1727"/>
      <c r="AE99" s="1726"/>
      <c r="AF99" s="1726"/>
      <c r="AG99" s="1727"/>
      <c r="AH99" s="1726"/>
      <c r="AI99" s="1727"/>
      <c r="AJ99" s="1726"/>
      <c r="AK99" s="1728"/>
      <c r="AL99" s="324"/>
      <c r="AM99" s="1184"/>
      <c r="AN99" s="973" cm="1">
        <f t="array" ref="AN99">K99</f>
        <v>2040</v>
      </c>
      <c r="AO99" s="973" t="s">
        <v>2259</v>
      </c>
      <c r="AP99" s="983" cm="1">
        <f t="array" ref="AP99">AP98</f>
        <v>0</v>
      </c>
      <c r="AQ99" s="626"/>
      <c r="AR99" s="626"/>
    </row>
    <row r="100" spans="1:44" s="1746" customFormat="1" ht="14.25" hidden="1" customHeight="1" x14ac:dyDescent="0.15">
      <c r="A100" s="1184"/>
      <c r="B100" s="367" t="b">
        <f t="shared" si="4"/>
        <v>0</v>
      </c>
      <c r="C100" s="1184"/>
      <c r="D100" s="1184"/>
      <c r="E100" s="626">
        <v>15</v>
      </c>
      <c r="F100" s="3" t="str" cm="1">
        <f t="array" aca="1" ref="F100" ca="1">OFFSET(E100,-1,1)</f>
        <v>1</v>
      </c>
      <c r="G100" s="17" cm="1">
        <f t="array" ref="G100">G99</f>
        <v>0</v>
      </c>
      <c r="H100" s="1184"/>
      <c r="I100" s="1184"/>
      <c r="J100" s="1184"/>
      <c r="K100" s="77">
        <f>first_year+17</f>
        <v>2041</v>
      </c>
      <c r="L100" s="1184"/>
      <c r="M100" s="1184"/>
      <c r="N100" s="1184"/>
      <c r="O100" s="1184"/>
      <c r="P100" s="1184"/>
      <c r="Q100" s="1184"/>
      <c r="R100" s="1184"/>
      <c r="S100" s="1184"/>
      <c r="T100" s="388" t="b" cm="1">
        <f t="array" aca="1" ref="T100" ca="1">T99</f>
        <v>0</v>
      </c>
      <c r="U100" s="1184"/>
      <c r="V100" s="1184"/>
      <c r="W100" s="1184"/>
      <c r="X100" s="2032"/>
      <c r="Y100" s="2032"/>
      <c r="Z100" s="2012"/>
      <c r="AA100" s="2127"/>
      <c r="AB100" s="174" t="str">
        <f t="shared" si="5"/>
        <v>2041 год</v>
      </c>
      <c r="AC100" s="329"/>
      <c r="AD100" s="1727"/>
      <c r="AE100" s="1726"/>
      <c r="AF100" s="1726"/>
      <c r="AG100" s="1727"/>
      <c r="AH100" s="1726"/>
      <c r="AI100" s="1727"/>
      <c r="AJ100" s="1726"/>
      <c r="AK100" s="1728"/>
      <c r="AL100" s="324"/>
      <c r="AM100" s="1184"/>
      <c r="AN100" s="973" cm="1">
        <f t="array" ref="AN100">K100</f>
        <v>2041</v>
      </c>
      <c r="AO100" s="973" t="s">
        <v>2259</v>
      </c>
      <c r="AP100" s="983" cm="1">
        <f t="array" ref="AP100">AP99</f>
        <v>0</v>
      </c>
      <c r="AQ100" s="626"/>
      <c r="AR100" s="626"/>
    </row>
    <row r="101" spans="1:44" s="1747" customFormat="1" ht="14.25" hidden="1" customHeight="1" x14ac:dyDescent="0.15">
      <c r="A101" s="1184"/>
      <c r="B101" s="367" t="b">
        <f t="shared" si="4"/>
        <v>0</v>
      </c>
      <c r="C101" s="1184"/>
      <c r="D101" s="1184"/>
      <c r="E101" s="626">
        <v>15</v>
      </c>
      <c r="F101" s="3" t="str" cm="1">
        <f t="array" aca="1" ref="F101" ca="1">OFFSET(E101,-1,1)</f>
        <v>1</v>
      </c>
      <c r="G101" s="17" cm="1">
        <f t="array" ref="G101">G100</f>
        <v>0</v>
      </c>
      <c r="H101" s="1184"/>
      <c r="I101" s="1184"/>
      <c r="J101" s="1184"/>
      <c r="K101" s="77">
        <f>first_year+18</f>
        <v>2042</v>
      </c>
      <c r="L101" s="1184"/>
      <c r="M101" s="1184"/>
      <c r="N101" s="1184"/>
      <c r="O101" s="1184"/>
      <c r="P101" s="1184"/>
      <c r="Q101" s="1184"/>
      <c r="R101" s="1184"/>
      <c r="S101" s="1184"/>
      <c r="T101" s="388" t="b" cm="1">
        <f t="array" aca="1" ref="T101" ca="1">T100</f>
        <v>0</v>
      </c>
      <c r="U101" s="1184"/>
      <c r="V101" s="1184"/>
      <c r="W101" s="1184"/>
      <c r="X101" s="2032"/>
      <c r="Y101" s="2032"/>
      <c r="Z101" s="2012"/>
      <c r="AA101" s="2127"/>
      <c r="AB101" s="174" t="str">
        <f t="shared" si="5"/>
        <v>2042 год</v>
      </c>
      <c r="AC101" s="329"/>
      <c r="AD101" s="1727"/>
      <c r="AE101" s="1726"/>
      <c r="AF101" s="1726"/>
      <c r="AG101" s="1727"/>
      <c r="AH101" s="1726"/>
      <c r="AI101" s="1727"/>
      <c r="AJ101" s="1726"/>
      <c r="AK101" s="1728"/>
      <c r="AL101" s="324"/>
      <c r="AM101" s="1184"/>
      <c r="AN101" s="973" cm="1">
        <f t="array" ref="AN101">K101</f>
        <v>2042</v>
      </c>
      <c r="AO101" s="973" t="s">
        <v>2259</v>
      </c>
      <c r="AP101" s="983" cm="1">
        <f t="array" ref="AP101">AP100</f>
        <v>0</v>
      </c>
      <c r="AQ101" s="626"/>
      <c r="AR101" s="626"/>
    </row>
    <row r="102" spans="1:44" s="1748" customFormat="1" ht="14.25" hidden="1" customHeight="1" x14ac:dyDescent="0.15">
      <c r="A102" s="1184"/>
      <c r="B102" s="367" t="b">
        <f t="shared" si="4"/>
        <v>0</v>
      </c>
      <c r="C102" s="1184"/>
      <c r="D102" s="1184"/>
      <c r="E102" s="626">
        <v>15</v>
      </c>
      <c r="F102" s="3" t="str" cm="1">
        <f t="array" aca="1" ref="F102" ca="1">OFFSET(E102,-1,1)</f>
        <v>1</v>
      </c>
      <c r="G102" s="17" cm="1">
        <f t="array" ref="G102">G101</f>
        <v>0</v>
      </c>
      <c r="H102" s="1184"/>
      <c r="I102" s="1184"/>
      <c r="J102" s="1184"/>
      <c r="K102" s="77">
        <f>first_year+19</f>
        <v>2043</v>
      </c>
      <c r="L102" s="1184"/>
      <c r="M102" s="1184"/>
      <c r="N102" s="1184"/>
      <c r="O102" s="1184"/>
      <c r="P102" s="1184"/>
      <c r="Q102" s="1184"/>
      <c r="R102" s="1184"/>
      <c r="S102" s="1184"/>
      <c r="T102" s="388" t="b" cm="1">
        <f t="array" aca="1" ref="T102" ca="1">T101</f>
        <v>0</v>
      </c>
      <c r="U102" s="1184"/>
      <c r="V102" s="1184"/>
      <c r="W102" s="1184"/>
      <c r="X102" s="2032"/>
      <c r="Y102" s="2032"/>
      <c r="Z102" s="2012"/>
      <c r="AA102" s="2127"/>
      <c r="AB102" s="174" t="str">
        <f t="shared" si="5"/>
        <v>2043 год</v>
      </c>
      <c r="AC102" s="329"/>
      <c r="AD102" s="1727"/>
      <c r="AE102" s="1726"/>
      <c r="AF102" s="1726"/>
      <c r="AG102" s="1727"/>
      <c r="AH102" s="1726"/>
      <c r="AI102" s="1727"/>
      <c r="AJ102" s="1726"/>
      <c r="AK102" s="1728"/>
      <c r="AL102" s="324"/>
      <c r="AM102" s="1184"/>
      <c r="AN102" s="973" cm="1">
        <f t="array" ref="AN102">K102</f>
        <v>2043</v>
      </c>
      <c r="AO102" s="973" t="s">
        <v>2259</v>
      </c>
      <c r="AP102" s="983" cm="1">
        <f t="array" ref="AP102">AP101</f>
        <v>0</v>
      </c>
      <c r="AQ102" s="626"/>
      <c r="AR102" s="626"/>
    </row>
    <row r="103" spans="1:44" s="1749" customFormat="1" ht="14.25" hidden="1" customHeight="1" x14ac:dyDescent="0.15">
      <c r="A103" s="1184"/>
      <c r="B103" s="367" t="b">
        <f t="shared" si="4"/>
        <v>0</v>
      </c>
      <c r="C103" s="1184"/>
      <c r="D103" s="1184"/>
      <c r="E103" s="626">
        <v>15</v>
      </c>
      <c r="F103" s="3" t="str" cm="1">
        <f t="array" aca="1" ref="F103" ca="1">OFFSET(E103,-1,1)</f>
        <v>1</v>
      </c>
      <c r="G103" s="17" cm="1">
        <f t="array" ref="G103">G102</f>
        <v>0</v>
      </c>
      <c r="H103" s="1184"/>
      <c r="I103" s="1184"/>
      <c r="J103" s="1184"/>
      <c r="K103" s="77">
        <f>first_year+20</f>
        <v>2044</v>
      </c>
      <c r="L103" s="1184"/>
      <c r="M103" s="1184"/>
      <c r="N103" s="1184"/>
      <c r="O103" s="1184"/>
      <c r="P103" s="1184"/>
      <c r="Q103" s="1184"/>
      <c r="R103" s="1184"/>
      <c r="S103" s="1184"/>
      <c r="T103" s="388" t="b" cm="1">
        <f t="array" aca="1" ref="T103" ca="1">T102</f>
        <v>0</v>
      </c>
      <c r="U103" s="1184"/>
      <c r="V103" s="1184"/>
      <c r="W103" s="1184"/>
      <c r="X103" s="2032"/>
      <c r="Y103" s="2032"/>
      <c r="Z103" s="2012"/>
      <c r="AA103" s="2127"/>
      <c r="AB103" s="174" t="str">
        <f t="shared" si="5"/>
        <v>2044 год</v>
      </c>
      <c r="AC103" s="329"/>
      <c r="AD103" s="1727"/>
      <c r="AE103" s="1726"/>
      <c r="AF103" s="1726"/>
      <c r="AG103" s="1727"/>
      <c r="AH103" s="1726"/>
      <c r="AI103" s="1727"/>
      <c r="AJ103" s="1726"/>
      <c r="AK103" s="1728"/>
      <c r="AL103" s="324"/>
      <c r="AM103" s="1184"/>
      <c r="AN103" s="973" cm="1">
        <f t="array" ref="AN103">K103</f>
        <v>2044</v>
      </c>
      <c r="AO103" s="973" t="s">
        <v>2259</v>
      </c>
      <c r="AP103" s="983" cm="1">
        <f t="array" ref="AP103">AP102</f>
        <v>0</v>
      </c>
      <c r="AQ103" s="626"/>
      <c r="AR103" s="626"/>
    </row>
    <row r="104" spans="1:44" s="1750" customFormat="1" ht="14.25" hidden="1" customHeight="1" x14ac:dyDescent="0.15">
      <c r="A104" s="1184"/>
      <c r="B104" s="367" t="b">
        <f t="shared" si="4"/>
        <v>0</v>
      </c>
      <c r="C104" s="1184"/>
      <c r="D104" s="1184"/>
      <c r="E104" s="626">
        <v>15</v>
      </c>
      <c r="F104" s="3" t="str" cm="1">
        <f t="array" aca="1" ref="F104" ca="1">OFFSET(E104,-1,1)</f>
        <v>1</v>
      </c>
      <c r="G104" s="17" cm="1">
        <f t="array" ref="G104">G103</f>
        <v>0</v>
      </c>
      <c r="H104" s="1184"/>
      <c r="I104" s="1184"/>
      <c r="J104" s="1184"/>
      <c r="K104" s="77">
        <f>first_year+21</f>
        <v>2045</v>
      </c>
      <c r="L104" s="1184"/>
      <c r="M104" s="1184"/>
      <c r="N104" s="1184"/>
      <c r="O104" s="1184"/>
      <c r="P104" s="1184"/>
      <c r="Q104" s="1184"/>
      <c r="R104" s="1184"/>
      <c r="S104" s="1184"/>
      <c r="T104" s="388" t="b" cm="1">
        <f t="array" aca="1" ref="T104" ca="1">T103</f>
        <v>0</v>
      </c>
      <c r="U104" s="1184"/>
      <c r="V104" s="1184"/>
      <c r="W104" s="1184"/>
      <c r="X104" s="2032"/>
      <c r="Y104" s="2032"/>
      <c r="Z104" s="2012"/>
      <c r="AA104" s="2127"/>
      <c r="AB104" s="174" t="str">
        <f t="shared" si="5"/>
        <v>2045 год</v>
      </c>
      <c r="AC104" s="329"/>
      <c r="AD104" s="1727"/>
      <c r="AE104" s="1726"/>
      <c r="AF104" s="1726"/>
      <c r="AG104" s="1727"/>
      <c r="AH104" s="1726"/>
      <c r="AI104" s="1727"/>
      <c r="AJ104" s="1726"/>
      <c r="AK104" s="1728"/>
      <c r="AL104" s="324"/>
      <c r="AM104" s="1184"/>
      <c r="AN104" s="973" cm="1">
        <f t="array" ref="AN104">K104</f>
        <v>2045</v>
      </c>
      <c r="AO104" s="973" t="s">
        <v>2259</v>
      </c>
      <c r="AP104" s="983" cm="1">
        <f t="array" ref="AP104">AP103</f>
        <v>0</v>
      </c>
      <c r="AQ104" s="626"/>
      <c r="AR104" s="626"/>
    </row>
    <row r="105" spans="1:44" s="1751" customFormat="1" ht="14.25" hidden="1" customHeight="1" x14ac:dyDescent="0.15">
      <c r="A105" s="1184"/>
      <c r="B105" s="367" t="b">
        <f t="shared" si="4"/>
        <v>0</v>
      </c>
      <c r="C105" s="1184"/>
      <c r="D105" s="1184"/>
      <c r="E105" s="626">
        <v>15</v>
      </c>
      <c r="F105" s="3" t="str" cm="1">
        <f t="array" aca="1" ref="F105" ca="1">OFFSET(E105,-1,1)</f>
        <v>1</v>
      </c>
      <c r="G105" s="17" cm="1">
        <f t="array" ref="G105">G104</f>
        <v>0</v>
      </c>
      <c r="H105" s="1184"/>
      <c r="I105" s="1184"/>
      <c r="J105" s="1184"/>
      <c r="K105" s="77">
        <f>first_year+22</f>
        <v>2046</v>
      </c>
      <c r="L105" s="1184"/>
      <c r="M105" s="1184"/>
      <c r="N105" s="1184"/>
      <c r="O105" s="1184"/>
      <c r="P105" s="1184"/>
      <c r="Q105" s="1184"/>
      <c r="R105" s="1184"/>
      <c r="S105" s="1184"/>
      <c r="T105" s="388" t="b" cm="1">
        <f t="array" aca="1" ref="T105" ca="1">T104</f>
        <v>0</v>
      </c>
      <c r="U105" s="1184"/>
      <c r="V105" s="1184"/>
      <c r="W105" s="1184"/>
      <c r="X105" s="2032"/>
      <c r="Y105" s="2032"/>
      <c r="Z105" s="2012"/>
      <c r="AA105" s="2127"/>
      <c r="AB105" s="174" t="str">
        <f t="shared" si="5"/>
        <v>2046 год</v>
      </c>
      <c r="AC105" s="329"/>
      <c r="AD105" s="1727"/>
      <c r="AE105" s="1726"/>
      <c r="AF105" s="1726"/>
      <c r="AG105" s="1727"/>
      <c r="AH105" s="1726"/>
      <c r="AI105" s="1727"/>
      <c r="AJ105" s="1726"/>
      <c r="AK105" s="1728"/>
      <c r="AL105" s="324"/>
      <c r="AM105" s="1184"/>
      <c r="AN105" s="973" cm="1">
        <f t="array" ref="AN105">K105</f>
        <v>2046</v>
      </c>
      <c r="AO105" s="973" t="s">
        <v>2259</v>
      </c>
      <c r="AP105" s="983" cm="1">
        <f t="array" ref="AP105">AP104</f>
        <v>0</v>
      </c>
      <c r="AQ105" s="626"/>
      <c r="AR105" s="626"/>
    </row>
    <row r="106" spans="1:44" s="1752" customFormat="1" ht="14.25" hidden="1" customHeight="1" x14ac:dyDescent="0.15">
      <c r="A106" s="1184"/>
      <c r="B106" s="367" t="b">
        <f t="shared" si="4"/>
        <v>0</v>
      </c>
      <c r="C106" s="1184"/>
      <c r="D106" s="1184"/>
      <c r="E106" s="626">
        <v>15</v>
      </c>
      <c r="F106" s="3" t="str" cm="1">
        <f t="array" aca="1" ref="F106" ca="1">OFFSET(E106,-1,1)</f>
        <v>1</v>
      </c>
      <c r="G106" s="17" cm="1">
        <f t="array" ref="G106">G105</f>
        <v>0</v>
      </c>
      <c r="H106" s="1184"/>
      <c r="I106" s="1184"/>
      <c r="J106" s="1184"/>
      <c r="K106" s="77">
        <f>first_year+23</f>
        <v>2047</v>
      </c>
      <c r="L106" s="1184"/>
      <c r="M106" s="1184"/>
      <c r="N106" s="1184"/>
      <c r="O106" s="1184"/>
      <c r="P106" s="1184"/>
      <c r="Q106" s="1184"/>
      <c r="R106" s="1184"/>
      <c r="S106" s="1184"/>
      <c r="T106" s="388" t="b" cm="1">
        <f t="array" aca="1" ref="T106" ca="1">T105</f>
        <v>0</v>
      </c>
      <c r="U106" s="1184"/>
      <c r="V106" s="1184"/>
      <c r="W106" s="1184"/>
      <c r="X106" s="2032"/>
      <c r="Y106" s="2032"/>
      <c r="Z106" s="2012"/>
      <c r="AA106" s="2127"/>
      <c r="AB106" s="174" t="str">
        <f t="shared" si="5"/>
        <v>2047 год</v>
      </c>
      <c r="AC106" s="329"/>
      <c r="AD106" s="1727"/>
      <c r="AE106" s="1726"/>
      <c r="AF106" s="1726"/>
      <c r="AG106" s="1727"/>
      <c r="AH106" s="1726"/>
      <c r="AI106" s="1727"/>
      <c r="AJ106" s="1726"/>
      <c r="AK106" s="1728"/>
      <c r="AL106" s="324"/>
      <c r="AM106" s="1184"/>
      <c r="AN106" s="973" cm="1">
        <f t="array" ref="AN106">K106</f>
        <v>2047</v>
      </c>
      <c r="AO106" s="973" t="s">
        <v>2259</v>
      </c>
      <c r="AP106" s="983" cm="1">
        <f t="array" ref="AP106">AP105</f>
        <v>0</v>
      </c>
      <c r="AQ106" s="626"/>
      <c r="AR106" s="626"/>
    </row>
    <row r="107" spans="1:44" s="1753" customFormat="1" ht="14.25" hidden="1" customHeight="1" x14ac:dyDescent="0.15">
      <c r="A107" s="1184"/>
      <c r="B107" s="367" t="b">
        <f t="shared" si="4"/>
        <v>0</v>
      </c>
      <c r="C107" s="1184"/>
      <c r="D107" s="1184"/>
      <c r="E107" s="626">
        <v>15</v>
      </c>
      <c r="F107" s="3" t="str" cm="1">
        <f t="array" aca="1" ref="F107" ca="1">OFFSET(E107,-1,1)</f>
        <v>1</v>
      </c>
      <c r="G107" s="17" cm="1">
        <f t="array" ref="G107">G106</f>
        <v>0</v>
      </c>
      <c r="H107" s="1184"/>
      <c r="I107" s="1184"/>
      <c r="J107" s="1184"/>
      <c r="K107" s="77">
        <f>first_year+24</f>
        <v>2048</v>
      </c>
      <c r="L107" s="1184"/>
      <c r="M107" s="1184"/>
      <c r="N107" s="1184"/>
      <c r="O107" s="1184"/>
      <c r="P107" s="1184"/>
      <c r="Q107" s="1184"/>
      <c r="R107" s="1184"/>
      <c r="S107" s="1184"/>
      <c r="T107" s="388" t="b" cm="1">
        <f t="array" aca="1" ref="T107" ca="1">T106</f>
        <v>0</v>
      </c>
      <c r="U107" s="1184"/>
      <c r="V107" s="1184"/>
      <c r="W107" s="1184"/>
      <c r="X107" s="2032"/>
      <c r="Y107" s="2032"/>
      <c r="Z107" s="2012"/>
      <c r="AA107" s="2127"/>
      <c r="AB107" s="174" t="str">
        <f t="shared" si="5"/>
        <v>2048 год</v>
      </c>
      <c r="AC107" s="329"/>
      <c r="AD107" s="1727"/>
      <c r="AE107" s="1726"/>
      <c r="AF107" s="1726"/>
      <c r="AG107" s="1727"/>
      <c r="AH107" s="1726"/>
      <c r="AI107" s="1727"/>
      <c r="AJ107" s="1726"/>
      <c r="AK107" s="1728"/>
      <c r="AL107" s="324"/>
      <c r="AM107" s="1184"/>
      <c r="AN107" s="973" cm="1">
        <f t="array" ref="AN107">K107</f>
        <v>2048</v>
      </c>
      <c r="AO107" s="973" t="s">
        <v>2259</v>
      </c>
      <c r="AP107" s="983" cm="1">
        <f t="array" ref="AP107">AP106</f>
        <v>0</v>
      </c>
      <c r="AQ107" s="626"/>
      <c r="AR107" s="626"/>
    </row>
    <row r="108" spans="1:44" s="1754" customFormat="1" ht="14.25" hidden="1" customHeight="1" x14ac:dyDescent="0.15">
      <c r="A108" s="1184"/>
      <c r="B108" s="367" t="b">
        <f t="shared" si="4"/>
        <v>0</v>
      </c>
      <c r="C108" s="1184"/>
      <c r="D108" s="1184"/>
      <c r="E108" s="626">
        <v>15</v>
      </c>
      <c r="F108" s="3" t="str" cm="1">
        <f t="array" aca="1" ref="F108" ca="1">OFFSET(E108,-1,1)</f>
        <v>1</v>
      </c>
      <c r="G108" s="17" cm="1">
        <f t="array" ref="G108">G107</f>
        <v>0</v>
      </c>
      <c r="H108" s="1184"/>
      <c r="I108" s="1184"/>
      <c r="J108" s="1184"/>
      <c r="K108" s="77">
        <f>first_year+25</f>
        <v>2049</v>
      </c>
      <c r="L108" s="1184"/>
      <c r="M108" s="1184"/>
      <c r="N108" s="1184"/>
      <c r="O108" s="1184"/>
      <c r="P108" s="1184"/>
      <c r="Q108" s="1184"/>
      <c r="R108" s="1184"/>
      <c r="S108" s="1184"/>
      <c r="T108" s="388" t="b" cm="1">
        <f t="array" aca="1" ref="T108" ca="1">T107</f>
        <v>0</v>
      </c>
      <c r="U108" s="1184"/>
      <c r="V108" s="1184"/>
      <c r="W108" s="1184"/>
      <c r="X108" s="2032"/>
      <c r="Y108" s="2032"/>
      <c r="Z108" s="2012"/>
      <c r="AA108" s="2127"/>
      <c r="AB108" s="174" t="str">
        <f t="shared" si="5"/>
        <v>2049 год</v>
      </c>
      <c r="AC108" s="329"/>
      <c r="AD108" s="1727"/>
      <c r="AE108" s="1726"/>
      <c r="AF108" s="1726"/>
      <c r="AG108" s="1727"/>
      <c r="AH108" s="1726"/>
      <c r="AI108" s="1727"/>
      <c r="AJ108" s="1726"/>
      <c r="AK108" s="1728"/>
      <c r="AL108" s="324"/>
      <c r="AM108" s="1184"/>
      <c r="AN108" s="973" cm="1">
        <f t="array" ref="AN108">K108</f>
        <v>2049</v>
      </c>
      <c r="AO108" s="973" t="s">
        <v>2259</v>
      </c>
      <c r="AP108" s="983" cm="1">
        <f t="array" ref="AP108">AP107</f>
        <v>0</v>
      </c>
      <c r="AQ108" s="626"/>
      <c r="AR108" s="626"/>
    </row>
    <row r="109" spans="1:44" s="1755" customFormat="1" ht="14.25" hidden="1" customHeight="1" x14ac:dyDescent="0.15">
      <c r="A109" s="1184"/>
      <c r="B109" s="367" t="b">
        <f t="shared" si="4"/>
        <v>0</v>
      </c>
      <c r="C109" s="1184"/>
      <c r="D109" s="1184"/>
      <c r="E109" s="626">
        <v>15</v>
      </c>
      <c r="F109" s="3" t="str" cm="1">
        <f t="array" aca="1" ref="F109" ca="1">OFFSET(E109,-1,1)</f>
        <v>1</v>
      </c>
      <c r="G109" s="17" cm="1">
        <f t="array" ref="G109">G108</f>
        <v>0</v>
      </c>
      <c r="H109" s="1184"/>
      <c r="I109" s="1184"/>
      <c r="J109" s="1184"/>
      <c r="K109" s="77">
        <f>first_year+26</f>
        <v>2050</v>
      </c>
      <c r="L109" s="1184"/>
      <c r="M109" s="1184"/>
      <c r="N109" s="1184"/>
      <c r="O109" s="1184"/>
      <c r="P109" s="1184"/>
      <c r="Q109" s="1184"/>
      <c r="R109" s="1184"/>
      <c r="S109" s="1184"/>
      <c r="T109" s="388" t="b" cm="1">
        <f t="array" aca="1" ref="T109" ca="1">T108</f>
        <v>0</v>
      </c>
      <c r="U109" s="1184"/>
      <c r="V109" s="1184"/>
      <c r="W109" s="1184"/>
      <c r="X109" s="2032"/>
      <c r="Y109" s="2032"/>
      <c r="Z109" s="2012"/>
      <c r="AA109" s="2127"/>
      <c r="AB109" s="174" t="str">
        <f t="shared" si="5"/>
        <v>2050 год</v>
      </c>
      <c r="AC109" s="329"/>
      <c r="AD109" s="1727"/>
      <c r="AE109" s="1726"/>
      <c r="AF109" s="1726"/>
      <c r="AG109" s="1727"/>
      <c r="AH109" s="1726"/>
      <c r="AI109" s="1727"/>
      <c r="AJ109" s="1726"/>
      <c r="AK109" s="1728"/>
      <c r="AL109" s="324"/>
      <c r="AM109" s="1184"/>
      <c r="AN109" s="973" cm="1">
        <f t="array" ref="AN109">K109</f>
        <v>2050</v>
      </c>
      <c r="AO109" s="973" t="s">
        <v>2259</v>
      </c>
      <c r="AP109" s="983" cm="1">
        <f t="array" ref="AP109">AP108</f>
        <v>0</v>
      </c>
      <c r="AQ109" s="626"/>
      <c r="AR109" s="626"/>
    </row>
    <row r="110" spans="1:44" s="1756" customFormat="1" ht="14.25" hidden="1" customHeight="1" x14ac:dyDescent="0.15">
      <c r="A110" s="1184"/>
      <c r="B110" s="367" t="b">
        <f t="shared" si="4"/>
        <v>0</v>
      </c>
      <c r="C110" s="1184"/>
      <c r="D110" s="1184"/>
      <c r="E110" s="626">
        <v>15</v>
      </c>
      <c r="F110" s="3" t="str" cm="1">
        <f t="array" aca="1" ref="F110" ca="1">OFFSET(E110,-1,1)</f>
        <v>1</v>
      </c>
      <c r="G110" s="17" cm="1">
        <f t="array" ref="G110">G109</f>
        <v>0</v>
      </c>
      <c r="H110" s="1184"/>
      <c r="I110" s="1184"/>
      <c r="J110" s="1184"/>
      <c r="K110" s="77">
        <f>first_year+27</f>
        <v>2051</v>
      </c>
      <c r="L110" s="1184"/>
      <c r="M110" s="1184"/>
      <c r="N110" s="1184"/>
      <c r="O110" s="1184"/>
      <c r="P110" s="1184"/>
      <c r="Q110" s="1184"/>
      <c r="R110" s="1184"/>
      <c r="S110" s="1184"/>
      <c r="T110" s="388" t="b" cm="1">
        <f t="array" aca="1" ref="T110" ca="1">T109</f>
        <v>0</v>
      </c>
      <c r="U110" s="1184"/>
      <c r="V110" s="1184"/>
      <c r="W110" s="1184"/>
      <c r="X110" s="2032"/>
      <c r="Y110" s="2032"/>
      <c r="Z110" s="2012"/>
      <c r="AA110" s="2127"/>
      <c r="AB110" s="174" t="str">
        <f t="shared" si="5"/>
        <v>2051 год</v>
      </c>
      <c r="AC110" s="329"/>
      <c r="AD110" s="1727"/>
      <c r="AE110" s="1726"/>
      <c r="AF110" s="1726"/>
      <c r="AG110" s="1727"/>
      <c r="AH110" s="1726"/>
      <c r="AI110" s="1727"/>
      <c r="AJ110" s="1726"/>
      <c r="AK110" s="1728"/>
      <c r="AL110" s="324"/>
      <c r="AM110" s="1184"/>
      <c r="AN110" s="973" cm="1">
        <f t="array" ref="AN110">K110</f>
        <v>2051</v>
      </c>
      <c r="AO110" s="973" t="s">
        <v>2259</v>
      </c>
      <c r="AP110" s="983" cm="1">
        <f t="array" ref="AP110">AP109</f>
        <v>0</v>
      </c>
      <c r="AQ110" s="626"/>
      <c r="AR110" s="626"/>
    </row>
    <row r="111" spans="1:44" s="1757" customFormat="1" ht="14.25" hidden="1" customHeight="1" x14ac:dyDescent="0.15">
      <c r="A111" s="1184"/>
      <c r="B111" s="367" t="b">
        <f t="shared" si="4"/>
        <v>0</v>
      </c>
      <c r="C111" s="1184"/>
      <c r="D111" s="1184"/>
      <c r="E111" s="626">
        <v>15</v>
      </c>
      <c r="F111" s="3" t="str" cm="1">
        <f t="array" aca="1" ref="F111" ca="1">OFFSET(E111,-1,1)</f>
        <v>1</v>
      </c>
      <c r="G111" s="17" cm="1">
        <f t="array" ref="G111">G110</f>
        <v>0</v>
      </c>
      <c r="H111" s="1184"/>
      <c r="I111" s="1184"/>
      <c r="J111" s="1184"/>
      <c r="K111" s="77">
        <f>first_year+28</f>
        <v>2052</v>
      </c>
      <c r="L111" s="1184"/>
      <c r="M111" s="1184"/>
      <c r="N111" s="1184"/>
      <c r="O111" s="1184"/>
      <c r="P111" s="1184"/>
      <c r="Q111" s="1184"/>
      <c r="R111" s="1184"/>
      <c r="S111" s="1184"/>
      <c r="T111" s="388" t="b" cm="1">
        <f t="array" aca="1" ref="T111" ca="1">T110</f>
        <v>0</v>
      </c>
      <c r="U111" s="1184"/>
      <c r="V111" s="1184"/>
      <c r="W111" s="1184"/>
      <c r="X111" s="2032"/>
      <c r="Y111" s="2032"/>
      <c r="Z111" s="2012"/>
      <c r="AA111" s="2127"/>
      <c r="AB111" s="174" t="str">
        <f t="shared" si="5"/>
        <v>2052 год</v>
      </c>
      <c r="AC111" s="329"/>
      <c r="AD111" s="1727"/>
      <c r="AE111" s="1726"/>
      <c r="AF111" s="1726"/>
      <c r="AG111" s="1727"/>
      <c r="AH111" s="1726"/>
      <c r="AI111" s="1727"/>
      <c r="AJ111" s="1726"/>
      <c r="AK111" s="1728"/>
      <c r="AL111" s="324"/>
      <c r="AM111" s="1184"/>
      <c r="AN111" s="973" cm="1">
        <f t="array" ref="AN111">K111</f>
        <v>2052</v>
      </c>
      <c r="AO111" s="973" t="s">
        <v>2259</v>
      </c>
      <c r="AP111" s="983" cm="1">
        <f t="array" ref="AP111">AP110</f>
        <v>0</v>
      </c>
      <c r="AQ111" s="626"/>
      <c r="AR111" s="626"/>
    </row>
    <row r="112" spans="1:44" s="1758" customFormat="1" ht="14.25" hidden="1" customHeight="1" x14ac:dyDescent="0.15">
      <c r="A112" s="1184"/>
      <c r="B112" s="367" t="b">
        <f t="shared" si="4"/>
        <v>0</v>
      </c>
      <c r="C112" s="1184"/>
      <c r="D112" s="1184"/>
      <c r="E112" s="626">
        <v>15</v>
      </c>
      <c r="F112" s="3" t="str" cm="1">
        <f t="array" aca="1" ref="F112" ca="1">OFFSET(E112,-1,1)</f>
        <v>1</v>
      </c>
      <c r="G112" s="17" cm="1">
        <f t="array" ref="G112">G111</f>
        <v>0</v>
      </c>
      <c r="H112" s="1184"/>
      <c r="I112" s="1184"/>
      <c r="J112" s="1184"/>
      <c r="K112" s="77">
        <f>first_year+29</f>
        <v>2053</v>
      </c>
      <c r="L112" s="1184"/>
      <c r="M112" s="1184"/>
      <c r="N112" s="1184"/>
      <c r="O112" s="1184"/>
      <c r="P112" s="1184"/>
      <c r="Q112" s="1184"/>
      <c r="R112" s="1184"/>
      <c r="S112" s="1184"/>
      <c r="T112" s="388" t="b" cm="1">
        <f t="array" aca="1" ref="T112" ca="1">T111</f>
        <v>0</v>
      </c>
      <c r="U112" s="1184"/>
      <c r="V112" s="1184"/>
      <c r="W112" s="1184"/>
      <c r="X112" s="2032"/>
      <c r="Y112" s="2032"/>
      <c r="Z112" s="2012"/>
      <c r="AA112" s="2127"/>
      <c r="AB112" s="174" t="str">
        <f t="shared" si="5"/>
        <v>2053 год</v>
      </c>
      <c r="AC112" s="329"/>
      <c r="AD112" s="1727"/>
      <c r="AE112" s="1726"/>
      <c r="AF112" s="1726"/>
      <c r="AG112" s="1727"/>
      <c r="AH112" s="1726"/>
      <c r="AI112" s="1727"/>
      <c r="AJ112" s="1726"/>
      <c r="AK112" s="1728"/>
      <c r="AL112" s="324"/>
      <c r="AM112" s="1184"/>
      <c r="AN112" s="973" cm="1">
        <f t="array" ref="AN112">K112</f>
        <v>2053</v>
      </c>
      <c r="AO112" s="973" t="s">
        <v>2259</v>
      </c>
      <c r="AP112" s="983" cm="1">
        <f t="array" ref="AP112">AP111</f>
        <v>0</v>
      </c>
      <c r="AQ112" s="626"/>
      <c r="AR112" s="626"/>
    </row>
    <row r="113" spans="1:44" s="1759" customFormat="1" ht="14.25" hidden="1" customHeight="1" x14ac:dyDescent="0.15">
      <c r="A113" s="1184"/>
      <c r="B113" s="367" t="b">
        <f t="shared" si="4"/>
        <v>0</v>
      </c>
      <c r="C113" s="1184"/>
      <c r="D113" s="1184"/>
      <c r="E113" s="626">
        <v>15</v>
      </c>
      <c r="F113" s="3" t="str" cm="1">
        <f t="array" aca="1" ref="F113" ca="1">OFFSET(E113,-1,1)</f>
        <v>1</v>
      </c>
      <c r="G113" s="17" cm="1">
        <f t="array" ref="G113">G112</f>
        <v>0</v>
      </c>
      <c r="H113" s="1184"/>
      <c r="I113" s="1184"/>
      <c r="J113" s="1184"/>
      <c r="K113" s="77">
        <f>first_year+30</f>
        <v>2054</v>
      </c>
      <c r="L113" s="1184"/>
      <c r="M113" s="1184"/>
      <c r="N113" s="1184"/>
      <c r="O113" s="1184"/>
      <c r="P113" s="1184"/>
      <c r="Q113" s="1184"/>
      <c r="R113" s="1184"/>
      <c r="S113" s="1184"/>
      <c r="T113" s="388" t="b" cm="1">
        <f t="array" aca="1" ref="T113" ca="1">T112</f>
        <v>0</v>
      </c>
      <c r="U113" s="1184"/>
      <c r="V113" s="1184"/>
      <c r="W113" s="1184"/>
      <c r="X113" s="2032"/>
      <c r="Y113" s="2032"/>
      <c r="Z113" s="2012"/>
      <c r="AA113" s="2127"/>
      <c r="AB113" s="174" t="str">
        <f t="shared" si="5"/>
        <v>2054 год</v>
      </c>
      <c r="AC113" s="329"/>
      <c r="AD113" s="1727"/>
      <c r="AE113" s="1726"/>
      <c r="AF113" s="1726"/>
      <c r="AG113" s="1727"/>
      <c r="AH113" s="1726"/>
      <c r="AI113" s="1727"/>
      <c r="AJ113" s="1726"/>
      <c r="AK113" s="1728"/>
      <c r="AL113" s="324"/>
      <c r="AM113" s="1184"/>
      <c r="AN113" s="973" cm="1">
        <f t="array" ref="AN113">K113</f>
        <v>2054</v>
      </c>
      <c r="AO113" s="973" t="s">
        <v>2259</v>
      </c>
      <c r="AP113" s="983" cm="1">
        <f t="array" ref="AP113">AP112</f>
        <v>0</v>
      </c>
      <c r="AQ113" s="626"/>
      <c r="AR113" s="626"/>
    </row>
    <row r="114" spans="1:44" s="1760" customFormat="1" ht="14.25" hidden="1" customHeight="1" x14ac:dyDescent="0.15">
      <c r="A114" s="1184"/>
      <c r="B114" s="367" t="b">
        <f t="shared" si="4"/>
        <v>0</v>
      </c>
      <c r="C114" s="1184"/>
      <c r="D114" s="1184"/>
      <c r="E114" s="626">
        <v>15</v>
      </c>
      <c r="F114" s="3" t="str" cm="1">
        <f t="array" aca="1" ref="F114" ca="1">OFFSET(E114,-1,1)</f>
        <v>1</v>
      </c>
      <c r="G114" s="17" cm="1">
        <f t="array" ref="G114">G113</f>
        <v>0</v>
      </c>
      <c r="H114" s="1184"/>
      <c r="I114" s="1184"/>
      <c r="J114" s="1184"/>
      <c r="K114" s="77">
        <f>first_year+31</f>
        <v>2055</v>
      </c>
      <c r="L114" s="1184"/>
      <c r="M114" s="1184"/>
      <c r="N114" s="1184"/>
      <c r="O114" s="1184"/>
      <c r="P114" s="1184"/>
      <c r="Q114" s="1184"/>
      <c r="R114" s="1184"/>
      <c r="S114" s="1184"/>
      <c r="T114" s="388" t="b" cm="1">
        <f t="array" aca="1" ref="T114" ca="1">T113</f>
        <v>0</v>
      </c>
      <c r="U114" s="1184"/>
      <c r="V114" s="1184"/>
      <c r="W114" s="1184"/>
      <c r="X114" s="2032"/>
      <c r="Y114" s="2032"/>
      <c r="Z114" s="2012"/>
      <c r="AA114" s="2127"/>
      <c r="AB114" s="174" t="str">
        <f t="shared" si="5"/>
        <v>2055 год</v>
      </c>
      <c r="AC114" s="329"/>
      <c r="AD114" s="1727"/>
      <c r="AE114" s="1726"/>
      <c r="AF114" s="1726"/>
      <c r="AG114" s="1727"/>
      <c r="AH114" s="1726"/>
      <c r="AI114" s="1727"/>
      <c r="AJ114" s="1726"/>
      <c r="AK114" s="1728"/>
      <c r="AL114" s="324"/>
      <c r="AM114" s="1184"/>
      <c r="AN114" s="973" cm="1">
        <f t="array" ref="AN114">K114</f>
        <v>2055</v>
      </c>
      <c r="AO114" s="973" t="s">
        <v>2259</v>
      </c>
      <c r="AP114" s="983" cm="1">
        <f t="array" ref="AP114">AP113</f>
        <v>0</v>
      </c>
      <c r="AQ114" s="626"/>
      <c r="AR114" s="626"/>
    </row>
    <row r="115" spans="1:44" s="1761" customFormat="1" ht="14.25" hidden="1" customHeight="1" x14ac:dyDescent="0.15">
      <c r="A115" s="1184"/>
      <c r="B115" s="367" t="b">
        <f t="shared" ref="B115:B132" si="6">K115&lt;first_year+PERIOD_LENGTH</f>
        <v>0</v>
      </c>
      <c r="C115" s="1184"/>
      <c r="D115" s="1184"/>
      <c r="E115" s="626">
        <v>15</v>
      </c>
      <c r="F115" s="3" t="str" cm="1">
        <f t="array" aca="1" ref="F115" ca="1">OFFSET(E115,-1,1)</f>
        <v>1</v>
      </c>
      <c r="G115" s="17" cm="1">
        <f t="array" ref="G115">G114</f>
        <v>0</v>
      </c>
      <c r="H115" s="1184"/>
      <c r="I115" s="1184"/>
      <c r="J115" s="1184"/>
      <c r="K115" s="77">
        <f>first_year+32</f>
        <v>2056</v>
      </c>
      <c r="L115" s="1184"/>
      <c r="M115" s="1184"/>
      <c r="N115" s="1184"/>
      <c r="O115" s="1184"/>
      <c r="P115" s="1184"/>
      <c r="Q115" s="1184"/>
      <c r="R115" s="1184"/>
      <c r="S115" s="1184"/>
      <c r="T115" s="388" t="b" cm="1">
        <f t="array" aca="1" ref="T115" ca="1">T114</f>
        <v>0</v>
      </c>
      <c r="U115" s="1184"/>
      <c r="V115" s="1184"/>
      <c r="W115" s="1184"/>
      <c r="X115" s="2032"/>
      <c r="Y115" s="2032"/>
      <c r="Z115" s="2012"/>
      <c r="AA115" s="2127"/>
      <c r="AB115" s="174" t="str">
        <f t="shared" ref="AB115:AB132" si="7">K115&amp;" год"</f>
        <v>2056 год</v>
      </c>
      <c r="AC115" s="329"/>
      <c r="AD115" s="1727"/>
      <c r="AE115" s="1726"/>
      <c r="AF115" s="1726"/>
      <c r="AG115" s="1727"/>
      <c r="AH115" s="1726"/>
      <c r="AI115" s="1727"/>
      <c r="AJ115" s="1726"/>
      <c r="AK115" s="1728"/>
      <c r="AL115" s="324"/>
      <c r="AM115" s="1184"/>
      <c r="AN115" s="973" cm="1">
        <f t="array" ref="AN115">K115</f>
        <v>2056</v>
      </c>
      <c r="AO115" s="973" t="s">
        <v>2259</v>
      </c>
      <c r="AP115" s="983" cm="1">
        <f t="array" ref="AP115">AP114</f>
        <v>0</v>
      </c>
      <c r="AQ115" s="626"/>
      <c r="AR115" s="626"/>
    </row>
    <row r="116" spans="1:44" s="1762" customFormat="1" ht="14.25" hidden="1" customHeight="1" x14ac:dyDescent="0.15">
      <c r="A116" s="1184"/>
      <c r="B116" s="367" t="b">
        <f t="shared" si="6"/>
        <v>0</v>
      </c>
      <c r="C116" s="1184"/>
      <c r="D116" s="1184"/>
      <c r="E116" s="626">
        <v>15</v>
      </c>
      <c r="F116" s="3" t="str" cm="1">
        <f t="array" aca="1" ref="F116" ca="1">OFFSET(E116,-1,1)</f>
        <v>1</v>
      </c>
      <c r="G116" s="17" cm="1">
        <f t="array" ref="G116">G115</f>
        <v>0</v>
      </c>
      <c r="H116" s="1184"/>
      <c r="I116" s="1184"/>
      <c r="J116" s="1184"/>
      <c r="K116" s="77">
        <f>first_year+33</f>
        <v>2057</v>
      </c>
      <c r="L116" s="1184"/>
      <c r="M116" s="1184"/>
      <c r="N116" s="1184"/>
      <c r="O116" s="1184"/>
      <c r="P116" s="1184"/>
      <c r="Q116" s="1184"/>
      <c r="R116" s="1184"/>
      <c r="S116" s="1184"/>
      <c r="T116" s="388" t="b" cm="1">
        <f t="array" aca="1" ref="T116" ca="1">T115</f>
        <v>0</v>
      </c>
      <c r="U116" s="1184"/>
      <c r="V116" s="1184"/>
      <c r="W116" s="1184"/>
      <c r="X116" s="2032"/>
      <c r="Y116" s="2032"/>
      <c r="Z116" s="2012"/>
      <c r="AA116" s="2127"/>
      <c r="AB116" s="174" t="str">
        <f t="shared" si="7"/>
        <v>2057 год</v>
      </c>
      <c r="AC116" s="329"/>
      <c r="AD116" s="1727"/>
      <c r="AE116" s="1726"/>
      <c r="AF116" s="1726"/>
      <c r="AG116" s="1727"/>
      <c r="AH116" s="1726"/>
      <c r="AI116" s="1727"/>
      <c r="AJ116" s="1726"/>
      <c r="AK116" s="1728"/>
      <c r="AL116" s="324"/>
      <c r="AM116" s="1184"/>
      <c r="AN116" s="973" cm="1">
        <f t="array" ref="AN116">K116</f>
        <v>2057</v>
      </c>
      <c r="AO116" s="973" t="s">
        <v>2259</v>
      </c>
      <c r="AP116" s="983" cm="1">
        <f t="array" ref="AP116">AP115</f>
        <v>0</v>
      </c>
      <c r="AQ116" s="626"/>
      <c r="AR116" s="626"/>
    </row>
    <row r="117" spans="1:44" s="1763" customFormat="1" ht="14.25" hidden="1" customHeight="1" x14ac:dyDescent="0.15">
      <c r="A117" s="1184"/>
      <c r="B117" s="367" t="b">
        <f t="shared" si="6"/>
        <v>0</v>
      </c>
      <c r="C117" s="1184"/>
      <c r="D117" s="1184"/>
      <c r="E117" s="626">
        <v>15</v>
      </c>
      <c r="F117" s="3" t="str" cm="1">
        <f t="array" aca="1" ref="F117" ca="1">OFFSET(E117,-1,1)</f>
        <v>1</v>
      </c>
      <c r="G117" s="17" cm="1">
        <f t="array" ref="G117">G116</f>
        <v>0</v>
      </c>
      <c r="H117" s="1184"/>
      <c r="I117" s="1184"/>
      <c r="J117" s="1184"/>
      <c r="K117" s="77">
        <f>first_year+34</f>
        <v>2058</v>
      </c>
      <c r="L117" s="1184"/>
      <c r="M117" s="1184"/>
      <c r="N117" s="1184"/>
      <c r="O117" s="1184"/>
      <c r="P117" s="1184"/>
      <c r="Q117" s="1184"/>
      <c r="R117" s="1184"/>
      <c r="S117" s="1184"/>
      <c r="T117" s="388" t="b" cm="1">
        <f t="array" aca="1" ref="T117" ca="1">T116</f>
        <v>0</v>
      </c>
      <c r="U117" s="1184"/>
      <c r="V117" s="1184"/>
      <c r="W117" s="1184"/>
      <c r="X117" s="2032"/>
      <c r="Y117" s="2032"/>
      <c r="Z117" s="2012"/>
      <c r="AA117" s="2127"/>
      <c r="AB117" s="174" t="str">
        <f t="shared" si="7"/>
        <v>2058 год</v>
      </c>
      <c r="AC117" s="329"/>
      <c r="AD117" s="1727"/>
      <c r="AE117" s="1726"/>
      <c r="AF117" s="1726"/>
      <c r="AG117" s="1727"/>
      <c r="AH117" s="1726"/>
      <c r="AI117" s="1727"/>
      <c r="AJ117" s="1726"/>
      <c r="AK117" s="1728"/>
      <c r="AL117" s="324"/>
      <c r="AM117" s="1184"/>
      <c r="AN117" s="973" cm="1">
        <f t="array" ref="AN117">K117</f>
        <v>2058</v>
      </c>
      <c r="AO117" s="973" t="s">
        <v>2259</v>
      </c>
      <c r="AP117" s="983" cm="1">
        <f t="array" ref="AP117">AP116</f>
        <v>0</v>
      </c>
      <c r="AQ117" s="626"/>
      <c r="AR117" s="626"/>
    </row>
    <row r="118" spans="1:44" s="1764" customFormat="1" ht="14.25" hidden="1" customHeight="1" x14ac:dyDescent="0.15">
      <c r="A118" s="1184"/>
      <c r="B118" s="367" t="b">
        <f t="shared" si="6"/>
        <v>0</v>
      </c>
      <c r="C118" s="1184"/>
      <c r="D118" s="1184"/>
      <c r="E118" s="626">
        <v>15</v>
      </c>
      <c r="F118" s="3" t="str" cm="1">
        <f t="array" aca="1" ref="F118" ca="1">OFFSET(E118,-1,1)</f>
        <v>1</v>
      </c>
      <c r="G118" s="17" cm="1">
        <f t="array" ref="G118">G117</f>
        <v>0</v>
      </c>
      <c r="H118" s="1184"/>
      <c r="I118" s="1184"/>
      <c r="J118" s="1184"/>
      <c r="K118" s="77">
        <f>first_year+35</f>
        <v>2059</v>
      </c>
      <c r="L118" s="1184"/>
      <c r="M118" s="1184"/>
      <c r="N118" s="1184"/>
      <c r="O118" s="1184"/>
      <c r="P118" s="1184"/>
      <c r="Q118" s="1184"/>
      <c r="R118" s="1184"/>
      <c r="S118" s="1184"/>
      <c r="T118" s="388" t="b" cm="1">
        <f t="array" aca="1" ref="T118" ca="1">T117</f>
        <v>0</v>
      </c>
      <c r="U118" s="1184"/>
      <c r="V118" s="1184"/>
      <c r="W118" s="1184"/>
      <c r="X118" s="2032"/>
      <c r="Y118" s="2032"/>
      <c r="Z118" s="2012"/>
      <c r="AA118" s="2127"/>
      <c r="AB118" s="174" t="str">
        <f t="shared" si="7"/>
        <v>2059 год</v>
      </c>
      <c r="AC118" s="329"/>
      <c r="AD118" s="1727"/>
      <c r="AE118" s="1726"/>
      <c r="AF118" s="1726"/>
      <c r="AG118" s="1727"/>
      <c r="AH118" s="1726"/>
      <c r="AI118" s="1727"/>
      <c r="AJ118" s="1726"/>
      <c r="AK118" s="1728"/>
      <c r="AL118" s="324"/>
      <c r="AM118" s="1184"/>
      <c r="AN118" s="973" cm="1">
        <f t="array" ref="AN118">K118</f>
        <v>2059</v>
      </c>
      <c r="AO118" s="973" t="s">
        <v>2259</v>
      </c>
      <c r="AP118" s="983" cm="1">
        <f t="array" ref="AP118">AP117</f>
        <v>0</v>
      </c>
      <c r="AQ118" s="626"/>
      <c r="AR118" s="626"/>
    </row>
    <row r="119" spans="1:44" s="1765" customFormat="1" ht="14.25" hidden="1" customHeight="1" x14ac:dyDescent="0.15">
      <c r="A119" s="1184"/>
      <c r="B119" s="367" t="b">
        <f t="shared" si="6"/>
        <v>0</v>
      </c>
      <c r="C119" s="1184"/>
      <c r="D119" s="1184"/>
      <c r="E119" s="626">
        <v>15</v>
      </c>
      <c r="F119" s="3" t="str" cm="1">
        <f t="array" aca="1" ref="F119" ca="1">OFFSET(E119,-1,1)</f>
        <v>1</v>
      </c>
      <c r="G119" s="17" cm="1">
        <f t="array" ref="G119">G118</f>
        <v>0</v>
      </c>
      <c r="H119" s="1184"/>
      <c r="I119" s="1184"/>
      <c r="J119" s="1184"/>
      <c r="K119" s="77">
        <f>first_year+36</f>
        <v>2060</v>
      </c>
      <c r="L119" s="1184"/>
      <c r="M119" s="1184"/>
      <c r="N119" s="1184"/>
      <c r="O119" s="1184"/>
      <c r="P119" s="1184"/>
      <c r="Q119" s="1184"/>
      <c r="R119" s="1184"/>
      <c r="S119" s="1184"/>
      <c r="T119" s="388" t="b" cm="1">
        <f t="array" aca="1" ref="T119" ca="1">T118</f>
        <v>0</v>
      </c>
      <c r="U119" s="1184"/>
      <c r="V119" s="1184"/>
      <c r="W119" s="1184"/>
      <c r="X119" s="2032"/>
      <c r="Y119" s="2032"/>
      <c r="Z119" s="2012"/>
      <c r="AA119" s="2127"/>
      <c r="AB119" s="174" t="str">
        <f t="shared" si="7"/>
        <v>2060 год</v>
      </c>
      <c r="AC119" s="329"/>
      <c r="AD119" s="1727"/>
      <c r="AE119" s="1726"/>
      <c r="AF119" s="1726"/>
      <c r="AG119" s="1727"/>
      <c r="AH119" s="1726"/>
      <c r="AI119" s="1727"/>
      <c r="AJ119" s="1726"/>
      <c r="AK119" s="1728"/>
      <c r="AL119" s="324"/>
      <c r="AM119" s="1184"/>
      <c r="AN119" s="973" cm="1">
        <f t="array" ref="AN119">K119</f>
        <v>2060</v>
      </c>
      <c r="AO119" s="973" t="s">
        <v>2259</v>
      </c>
      <c r="AP119" s="983" cm="1">
        <f t="array" ref="AP119">AP118</f>
        <v>0</v>
      </c>
      <c r="AQ119" s="626"/>
      <c r="AR119" s="626"/>
    </row>
    <row r="120" spans="1:44" s="1766" customFormat="1" ht="14.25" hidden="1" customHeight="1" x14ac:dyDescent="0.15">
      <c r="A120" s="1184"/>
      <c r="B120" s="367" t="b">
        <f t="shared" si="6"/>
        <v>0</v>
      </c>
      <c r="C120" s="1184"/>
      <c r="D120" s="1184"/>
      <c r="E120" s="626">
        <v>15</v>
      </c>
      <c r="F120" s="3" t="str" cm="1">
        <f t="array" aca="1" ref="F120" ca="1">OFFSET(E120,-1,1)</f>
        <v>1</v>
      </c>
      <c r="G120" s="17" cm="1">
        <f t="array" ref="G120">G119</f>
        <v>0</v>
      </c>
      <c r="H120" s="1184"/>
      <c r="I120" s="1184"/>
      <c r="J120" s="1184"/>
      <c r="K120" s="77">
        <f>first_year+37</f>
        <v>2061</v>
      </c>
      <c r="L120" s="1184"/>
      <c r="M120" s="1184"/>
      <c r="N120" s="1184"/>
      <c r="O120" s="1184"/>
      <c r="P120" s="1184"/>
      <c r="Q120" s="1184"/>
      <c r="R120" s="1184"/>
      <c r="S120" s="1184"/>
      <c r="T120" s="388" t="b" cm="1">
        <f t="array" aca="1" ref="T120" ca="1">T119</f>
        <v>0</v>
      </c>
      <c r="U120" s="1184"/>
      <c r="V120" s="1184"/>
      <c r="W120" s="1184"/>
      <c r="X120" s="2032"/>
      <c r="Y120" s="2032"/>
      <c r="Z120" s="2012"/>
      <c r="AA120" s="2127"/>
      <c r="AB120" s="174" t="str">
        <f t="shared" si="7"/>
        <v>2061 год</v>
      </c>
      <c r="AC120" s="329"/>
      <c r="AD120" s="1727"/>
      <c r="AE120" s="1726"/>
      <c r="AF120" s="1726"/>
      <c r="AG120" s="1727"/>
      <c r="AH120" s="1726"/>
      <c r="AI120" s="1727"/>
      <c r="AJ120" s="1726"/>
      <c r="AK120" s="1728"/>
      <c r="AL120" s="324"/>
      <c r="AM120" s="1184"/>
      <c r="AN120" s="973" cm="1">
        <f t="array" ref="AN120">K120</f>
        <v>2061</v>
      </c>
      <c r="AO120" s="973" t="s">
        <v>2259</v>
      </c>
      <c r="AP120" s="983" cm="1">
        <f t="array" ref="AP120">AP119</f>
        <v>0</v>
      </c>
      <c r="AQ120" s="626"/>
      <c r="AR120" s="626"/>
    </row>
    <row r="121" spans="1:44" s="1767" customFormat="1" ht="14.25" hidden="1" customHeight="1" x14ac:dyDescent="0.15">
      <c r="A121" s="1184"/>
      <c r="B121" s="367" t="b">
        <f t="shared" si="6"/>
        <v>0</v>
      </c>
      <c r="C121" s="1184"/>
      <c r="D121" s="1184"/>
      <c r="E121" s="626">
        <v>15</v>
      </c>
      <c r="F121" s="3" t="str" cm="1">
        <f t="array" aca="1" ref="F121" ca="1">OFFSET(E121,-1,1)</f>
        <v>1</v>
      </c>
      <c r="G121" s="17" cm="1">
        <f t="array" ref="G121">G120</f>
        <v>0</v>
      </c>
      <c r="H121" s="1184"/>
      <c r="I121" s="1184"/>
      <c r="J121" s="1184"/>
      <c r="K121" s="77">
        <f>first_year+38</f>
        <v>2062</v>
      </c>
      <c r="L121" s="1184"/>
      <c r="M121" s="1184"/>
      <c r="N121" s="1184"/>
      <c r="O121" s="1184"/>
      <c r="P121" s="1184"/>
      <c r="Q121" s="1184"/>
      <c r="R121" s="1184"/>
      <c r="S121" s="1184"/>
      <c r="T121" s="388" t="b" cm="1">
        <f t="array" aca="1" ref="T121" ca="1">T120</f>
        <v>0</v>
      </c>
      <c r="U121" s="1184"/>
      <c r="V121" s="1184"/>
      <c r="W121" s="1184"/>
      <c r="X121" s="2032"/>
      <c r="Y121" s="2032"/>
      <c r="Z121" s="2012"/>
      <c r="AA121" s="2127"/>
      <c r="AB121" s="174" t="str">
        <f t="shared" si="7"/>
        <v>2062 год</v>
      </c>
      <c r="AC121" s="329"/>
      <c r="AD121" s="1727"/>
      <c r="AE121" s="1726"/>
      <c r="AF121" s="1726"/>
      <c r="AG121" s="1727"/>
      <c r="AH121" s="1726"/>
      <c r="AI121" s="1727"/>
      <c r="AJ121" s="1726"/>
      <c r="AK121" s="1728"/>
      <c r="AL121" s="324"/>
      <c r="AM121" s="1184"/>
      <c r="AN121" s="973" cm="1">
        <f t="array" ref="AN121">K121</f>
        <v>2062</v>
      </c>
      <c r="AO121" s="973" t="s">
        <v>2259</v>
      </c>
      <c r="AP121" s="983" cm="1">
        <f t="array" ref="AP121">AP120</f>
        <v>0</v>
      </c>
      <c r="AQ121" s="626"/>
      <c r="AR121" s="626"/>
    </row>
    <row r="122" spans="1:44" s="1768" customFormat="1" ht="14.25" hidden="1" customHeight="1" x14ac:dyDescent="0.15">
      <c r="A122" s="1184"/>
      <c r="B122" s="367" t="b">
        <f t="shared" si="6"/>
        <v>0</v>
      </c>
      <c r="C122" s="1184"/>
      <c r="D122" s="1184"/>
      <c r="E122" s="626">
        <v>15</v>
      </c>
      <c r="F122" s="3" t="str" cm="1">
        <f t="array" aca="1" ref="F122" ca="1">OFFSET(E122,-1,1)</f>
        <v>1</v>
      </c>
      <c r="G122" s="17" cm="1">
        <f t="array" ref="G122">G121</f>
        <v>0</v>
      </c>
      <c r="H122" s="1184"/>
      <c r="I122" s="1184"/>
      <c r="J122" s="1184"/>
      <c r="K122" s="77">
        <f>first_year+39</f>
        <v>2063</v>
      </c>
      <c r="L122" s="1184"/>
      <c r="M122" s="1184"/>
      <c r="N122" s="1184"/>
      <c r="O122" s="1184"/>
      <c r="P122" s="1184"/>
      <c r="Q122" s="1184"/>
      <c r="R122" s="1184"/>
      <c r="S122" s="1184"/>
      <c r="T122" s="388" t="b" cm="1">
        <f t="array" aca="1" ref="T122" ca="1">T121</f>
        <v>0</v>
      </c>
      <c r="U122" s="1184"/>
      <c r="V122" s="1184"/>
      <c r="W122" s="1184"/>
      <c r="X122" s="2032"/>
      <c r="Y122" s="2032"/>
      <c r="Z122" s="2012"/>
      <c r="AA122" s="2127"/>
      <c r="AB122" s="174" t="str">
        <f t="shared" si="7"/>
        <v>2063 год</v>
      </c>
      <c r="AC122" s="329"/>
      <c r="AD122" s="1727"/>
      <c r="AE122" s="1726"/>
      <c r="AF122" s="1726"/>
      <c r="AG122" s="1727"/>
      <c r="AH122" s="1726"/>
      <c r="AI122" s="1727"/>
      <c r="AJ122" s="1726"/>
      <c r="AK122" s="1728"/>
      <c r="AL122" s="324"/>
      <c r="AM122" s="1184"/>
      <c r="AN122" s="973" cm="1">
        <f t="array" ref="AN122">K122</f>
        <v>2063</v>
      </c>
      <c r="AO122" s="973" t="s">
        <v>2259</v>
      </c>
      <c r="AP122" s="983" cm="1">
        <f t="array" ref="AP122">AP121</f>
        <v>0</v>
      </c>
      <c r="AQ122" s="626"/>
      <c r="AR122" s="626"/>
    </row>
    <row r="123" spans="1:44" s="1769" customFormat="1" ht="14.25" hidden="1" customHeight="1" x14ac:dyDescent="0.15">
      <c r="A123" s="1184"/>
      <c r="B123" s="367" t="b">
        <f t="shared" si="6"/>
        <v>0</v>
      </c>
      <c r="C123" s="1184"/>
      <c r="D123" s="1184"/>
      <c r="E123" s="626">
        <v>15</v>
      </c>
      <c r="F123" s="3" t="str" cm="1">
        <f t="array" aca="1" ref="F123" ca="1">OFFSET(E123,-1,1)</f>
        <v>1</v>
      </c>
      <c r="G123" s="17" cm="1">
        <f t="array" ref="G123">G122</f>
        <v>0</v>
      </c>
      <c r="H123" s="1184"/>
      <c r="I123" s="1184"/>
      <c r="J123" s="1184"/>
      <c r="K123" s="77">
        <f>first_year+40</f>
        <v>2064</v>
      </c>
      <c r="L123" s="1184"/>
      <c r="M123" s="1184"/>
      <c r="N123" s="1184"/>
      <c r="O123" s="1184"/>
      <c r="P123" s="1184"/>
      <c r="Q123" s="1184"/>
      <c r="R123" s="1184"/>
      <c r="S123" s="1184"/>
      <c r="T123" s="388" t="b" cm="1">
        <f t="array" aca="1" ref="T123" ca="1">T122</f>
        <v>0</v>
      </c>
      <c r="U123" s="1184"/>
      <c r="V123" s="1184"/>
      <c r="W123" s="1184"/>
      <c r="X123" s="2032"/>
      <c r="Y123" s="2032"/>
      <c r="Z123" s="2012"/>
      <c r="AA123" s="2127"/>
      <c r="AB123" s="174" t="str">
        <f t="shared" si="7"/>
        <v>2064 год</v>
      </c>
      <c r="AC123" s="329"/>
      <c r="AD123" s="1727"/>
      <c r="AE123" s="1726"/>
      <c r="AF123" s="1726"/>
      <c r="AG123" s="1727"/>
      <c r="AH123" s="1726"/>
      <c r="AI123" s="1727"/>
      <c r="AJ123" s="1726"/>
      <c r="AK123" s="1728"/>
      <c r="AL123" s="324"/>
      <c r="AM123" s="1184"/>
      <c r="AN123" s="973" cm="1">
        <f t="array" ref="AN123">K123</f>
        <v>2064</v>
      </c>
      <c r="AO123" s="973" t="s">
        <v>2259</v>
      </c>
      <c r="AP123" s="983" cm="1">
        <f t="array" ref="AP123">AP122</f>
        <v>0</v>
      </c>
      <c r="AQ123" s="626"/>
      <c r="AR123" s="626"/>
    </row>
    <row r="124" spans="1:44" s="1770" customFormat="1" ht="14.25" hidden="1" customHeight="1" x14ac:dyDescent="0.15">
      <c r="A124" s="1184"/>
      <c r="B124" s="367" t="b">
        <f t="shared" si="6"/>
        <v>0</v>
      </c>
      <c r="C124" s="1184"/>
      <c r="D124" s="1184"/>
      <c r="E124" s="626">
        <v>15</v>
      </c>
      <c r="F124" s="3" t="str" cm="1">
        <f t="array" aca="1" ref="F124" ca="1">OFFSET(E124,-1,1)</f>
        <v>1</v>
      </c>
      <c r="G124" s="17" cm="1">
        <f t="array" ref="G124">G123</f>
        <v>0</v>
      </c>
      <c r="H124" s="1184"/>
      <c r="I124" s="1184"/>
      <c r="J124" s="1184"/>
      <c r="K124" s="77">
        <f>first_year+41</f>
        <v>2065</v>
      </c>
      <c r="L124" s="1184"/>
      <c r="M124" s="1184"/>
      <c r="N124" s="1184"/>
      <c r="O124" s="1184"/>
      <c r="P124" s="1184"/>
      <c r="Q124" s="1184"/>
      <c r="R124" s="1184"/>
      <c r="S124" s="1184"/>
      <c r="T124" s="388" t="b" cm="1">
        <f t="array" aca="1" ref="T124" ca="1">T123</f>
        <v>0</v>
      </c>
      <c r="U124" s="1184"/>
      <c r="V124" s="1184"/>
      <c r="W124" s="1184"/>
      <c r="X124" s="2032"/>
      <c r="Y124" s="2032"/>
      <c r="Z124" s="2012"/>
      <c r="AA124" s="2127"/>
      <c r="AB124" s="174" t="str">
        <f t="shared" si="7"/>
        <v>2065 год</v>
      </c>
      <c r="AC124" s="329"/>
      <c r="AD124" s="1727"/>
      <c r="AE124" s="1726"/>
      <c r="AF124" s="1726"/>
      <c r="AG124" s="1727"/>
      <c r="AH124" s="1726"/>
      <c r="AI124" s="1727"/>
      <c r="AJ124" s="1726"/>
      <c r="AK124" s="1728"/>
      <c r="AL124" s="324"/>
      <c r="AM124" s="1184"/>
      <c r="AN124" s="973" cm="1">
        <f t="array" ref="AN124">K124</f>
        <v>2065</v>
      </c>
      <c r="AO124" s="973" t="s">
        <v>2259</v>
      </c>
      <c r="AP124" s="983" cm="1">
        <f t="array" ref="AP124">AP123</f>
        <v>0</v>
      </c>
      <c r="AQ124" s="626"/>
      <c r="AR124" s="626"/>
    </row>
    <row r="125" spans="1:44" s="1771" customFormat="1" ht="14.25" hidden="1" customHeight="1" x14ac:dyDescent="0.15">
      <c r="A125" s="1184"/>
      <c r="B125" s="367" t="b">
        <f t="shared" si="6"/>
        <v>0</v>
      </c>
      <c r="C125" s="1184"/>
      <c r="D125" s="1184"/>
      <c r="E125" s="626">
        <v>15</v>
      </c>
      <c r="F125" s="3" t="str" cm="1">
        <f t="array" aca="1" ref="F125" ca="1">OFFSET(E125,-1,1)</f>
        <v>1</v>
      </c>
      <c r="G125" s="17" cm="1">
        <f t="array" ref="G125">G124</f>
        <v>0</v>
      </c>
      <c r="H125" s="1184"/>
      <c r="I125" s="1184"/>
      <c r="J125" s="1184"/>
      <c r="K125" s="77">
        <f>first_year+42</f>
        <v>2066</v>
      </c>
      <c r="L125" s="1184"/>
      <c r="M125" s="1184"/>
      <c r="N125" s="1184"/>
      <c r="O125" s="1184"/>
      <c r="P125" s="1184"/>
      <c r="Q125" s="1184"/>
      <c r="R125" s="1184"/>
      <c r="S125" s="1184"/>
      <c r="T125" s="388" t="b" cm="1">
        <f t="array" aca="1" ref="T125" ca="1">T124</f>
        <v>0</v>
      </c>
      <c r="U125" s="1184"/>
      <c r="V125" s="1184"/>
      <c r="W125" s="1184"/>
      <c r="X125" s="2032"/>
      <c r="Y125" s="2032"/>
      <c r="Z125" s="2012"/>
      <c r="AA125" s="2127"/>
      <c r="AB125" s="174" t="str">
        <f t="shared" si="7"/>
        <v>2066 год</v>
      </c>
      <c r="AC125" s="329"/>
      <c r="AD125" s="1727"/>
      <c r="AE125" s="1726"/>
      <c r="AF125" s="1726"/>
      <c r="AG125" s="1727"/>
      <c r="AH125" s="1726"/>
      <c r="AI125" s="1727"/>
      <c r="AJ125" s="1726"/>
      <c r="AK125" s="1728"/>
      <c r="AL125" s="324"/>
      <c r="AM125" s="1184"/>
      <c r="AN125" s="973" cm="1">
        <f t="array" ref="AN125">K125</f>
        <v>2066</v>
      </c>
      <c r="AO125" s="973" t="s">
        <v>2259</v>
      </c>
      <c r="AP125" s="983" cm="1">
        <f t="array" ref="AP125">AP124</f>
        <v>0</v>
      </c>
      <c r="AQ125" s="626"/>
      <c r="AR125" s="626"/>
    </row>
    <row r="126" spans="1:44" s="1772" customFormat="1" ht="14.25" hidden="1" customHeight="1" x14ac:dyDescent="0.15">
      <c r="A126" s="1184"/>
      <c r="B126" s="367" t="b">
        <f t="shared" si="6"/>
        <v>0</v>
      </c>
      <c r="C126" s="1184"/>
      <c r="D126" s="1184"/>
      <c r="E126" s="626">
        <v>15</v>
      </c>
      <c r="F126" s="3" t="str" cm="1">
        <f t="array" aca="1" ref="F126" ca="1">OFFSET(E126,-1,1)</f>
        <v>1</v>
      </c>
      <c r="G126" s="17" cm="1">
        <f t="array" ref="G126">G125</f>
        <v>0</v>
      </c>
      <c r="H126" s="1184"/>
      <c r="I126" s="1184"/>
      <c r="J126" s="1184"/>
      <c r="K126" s="77">
        <f>first_year+43</f>
        <v>2067</v>
      </c>
      <c r="L126" s="1184"/>
      <c r="M126" s="1184"/>
      <c r="N126" s="1184"/>
      <c r="O126" s="1184"/>
      <c r="P126" s="1184"/>
      <c r="Q126" s="1184"/>
      <c r="R126" s="1184"/>
      <c r="S126" s="1184"/>
      <c r="T126" s="388" t="b" cm="1">
        <f t="array" aca="1" ref="T126" ca="1">T125</f>
        <v>0</v>
      </c>
      <c r="U126" s="1184"/>
      <c r="V126" s="1184"/>
      <c r="W126" s="1184"/>
      <c r="X126" s="2032"/>
      <c r="Y126" s="2032"/>
      <c r="Z126" s="2012"/>
      <c r="AA126" s="2127"/>
      <c r="AB126" s="174" t="str">
        <f t="shared" si="7"/>
        <v>2067 год</v>
      </c>
      <c r="AC126" s="329"/>
      <c r="AD126" s="1727"/>
      <c r="AE126" s="1726"/>
      <c r="AF126" s="1726"/>
      <c r="AG126" s="1727"/>
      <c r="AH126" s="1726"/>
      <c r="AI126" s="1727"/>
      <c r="AJ126" s="1726"/>
      <c r="AK126" s="1728"/>
      <c r="AL126" s="324"/>
      <c r="AM126" s="1184"/>
      <c r="AN126" s="973" cm="1">
        <f t="array" ref="AN126">K126</f>
        <v>2067</v>
      </c>
      <c r="AO126" s="973" t="s">
        <v>2259</v>
      </c>
      <c r="AP126" s="983" cm="1">
        <f t="array" ref="AP126">AP125</f>
        <v>0</v>
      </c>
      <c r="AQ126" s="626"/>
      <c r="AR126" s="626"/>
    </row>
    <row r="127" spans="1:44" s="1773" customFormat="1" ht="14.25" hidden="1" customHeight="1" x14ac:dyDescent="0.15">
      <c r="A127" s="1184"/>
      <c r="B127" s="367" t="b">
        <f t="shared" si="6"/>
        <v>0</v>
      </c>
      <c r="C127" s="1184"/>
      <c r="D127" s="1184"/>
      <c r="E127" s="626">
        <v>15</v>
      </c>
      <c r="F127" s="3" t="str" cm="1">
        <f t="array" aca="1" ref="F127" ca="1">OFFSET(E127,-1,1)</f>
        <v>1</v>
      </c>
      <c r="G127" s="17" cm="1">
        <f t="array" ref="G127">G126</f>
        <v>0</v>
      </c>
      <c r="H127" s="1184"/>
      <c r="I127" s="1184"/>
      <c r="J127" s="1184"/>
      <c r="K127" s="77">
        <f>first_year+44</f>
        <v>2068</v>
      </c>
      <c r="L127" s="1184"/>
      <c r="M127" s="1184"/>
      <c r="N127" s="1184"/>
      <c r="O127" s="1184"/>
      <c r="P127" s="1184"/>
      <c r="Q127" s="1184"/>
      <c r="R127" s="1184"/>
      <c r="S127" s="1184"/>
      <c r="T127" s="388" t="b" cm="1">
        <f t="array" aca="1" ref="T127" ca="1">T126</f>
        <v>0</v>
      </c>
      <c r="U127" s="1184"/>
      <c r="V127" s="1184"/>
      <c r="W127" s="1184"/>
      <c r="X127" s="2032"/>
      <c r="Y127" s="2032"/>
      <c r="Z127" s="2012"/>
      <c r="AA127" s="2127"/>
      <c r="AB127" s="174" t="str">
        <f t="shared" si="7"/>
        <v>2068 год</v>
      </c>
      <c r="AC127" s="329"/>
      <c r="AD127" s="1727"/>
      <c r="AE127" s="1726"/>
      <c r="AF127" s="1726"/>
      <c r="AG127" s="1727"/>
      <c r="AH127" s="1726"/>
      <c r="AI127" s="1727"/>
      <c r="AJ127" s="1726"/>
      <c r="AK127" s="1728"/>
      <c r="AL127" s="324"/>
      <c r="AM127" s="1184"/>
      <c r="AN127" s="973" cm="1">
        <f t="array" ref="AN127">K127</f>
        <v>2068</v>
      </c>
      <c r="AO127" s="973" t="s">
        <v>2259</v>
      </c>
      <c r="AP127" s="983" cm="1">
        <f t="array" ref="AP127">AP126</f>
        <v>0</v>
      </c>
      <c r="AQ127" s="626"/>
      <c r="AR127" s="626"/>
    </row>
    <row r="128" spans="1:44" s="1774" customFormat="1" ht="14.25" hidden="1" customHeight="1" x14ac:dyDescent="0.15">
      <c r="A128" s="1184"/>
      <c r="B128" s="367" t="b">
        <f t="shared" si="6"/>
        <v>0</v>
      </c>
      <c r="C128" s="1184"/>
      <c r="D128" s="1184"/>
      <c r="E128" s="626">
        <v>15</v>
      </c>
      <c r="F128" s="3" t="str" cm="1">
        <f t="array" aca="1" ref="F128" ca="1">OFFSET(E128,-1,1)</f>
        <v>1</v>
      </c>
      <c r="G128" s="17" cm="1">
        <f t="array" ref="G128">G127</f>
        <v>0</v>
      </c>
      <c r="H128" s="1184"/>
      <c r="I128" s="1184"/>
      <c r="J128" s="1184"/>
      <c r="K128" s="77">
        <f>first_year+45</f>
        <v>2069</v>
      </c>
      <c r="L128" s="1184"/>
      <c r="M128" s="1184"/>
      <c r="N128" s="1184"/>
      <c r="O128" s="1184"/>
      <c r="P128" s="1184"/>
      <c r="Q128" s="1184"/>
      <c r="R128" s="1184"/>
      <c r="S128" s="1184"/>
      <c r="T128" s="388" t="b" cm="1">
        <f t="array" aca="1" ref="T128" ca="1">T127</f>
        <v>0</v>
      </c>
      <c r="U128" s="1184"/>
      <c r="V128" s="1184"/>
      <c r="W128" s="1184"/>
      <c r="X128" s="2032"/>
      <c r="Y128" s="2032"/>
      <c r="Z128" s="2012"/>
      <c r="AA128" s="2127"/>
      <c r="AB128" s="174" t="str">
        <f t="shared" si="7"/>
        <v>2069 год</v>
      </c>
      <c r="AC128" s="329"/>
      <c r="AD128" s="1727"/>
      <c r="AE128" s="1726"/>
      <c r="AF128" s="1726"/>
      <c r="AG128" s="1727"/>
      <c r="AH128" s="1726"/>
      <c r="AI128" s="1727"/>
      <c r="AJ128" s="1726"/>
      <c r="AK128" s="1728"/>
      <c r="AL128" s="324"/>
      <c r="AM128" s="1184"/>
      <c r="AN128" s="973" cm="1">
        <f t="array" ref="AN128">K128</f>
        <v>2069</v>
      </c>
      <c r="AO128" s="973" t="s">
        <v>2259</v>
      </c>
      <c r="AP128" s="983" cm="1">
        <f t="array" ref="AP128">AP127</f>
        <v>0</v>
      </c>
      <c r="AQ128" s="626"/>
      <c r="AR128" s="626"/>
    </row>
    <row r="129" spans="1:44" s="1775" customFormat="1" ht="14.25" hidden="1" customHeight="1" x14ac:dyDescent="0.15">
      <c r="A129" s="1184"/>
      <c r="B129" s="367" t="b">
        <f t="shared" si="6"/>
        <v>0</v>
      </c>
      <c r="C129" s="1184"/>
      <c r="D129" s="1184"/>
      <c r="E129" s="626">
        <v>15</v>
      </c>
      <c r="F129" s="3" t="str" cm="1">
        <f t="array" aca="1" ref="F129" ca="1">OFFSET(E129,-1,1)</f>
        <v>1</v>
      </c>
      <c r="G129" s="17" cm="1">
        <f t="array" ref="G129">G128</f>
        <v>0</v>
      </c>
      <c r="H129" s="1184"/>
      <c r="I129" s="1184"/>
      <c r="J129" s="1184"/>
      <c r="K129" s="77">
        <f>first_year+46</f>
        <v>2070</v>
      </c>
      <c r="L129" s="1184"/>
      <c r="M129" s="1184"/>
      <c r="N129" s="1184"/>
      <c r="O129" s="1184"/>
      <c r="P129" s="1184"/>
      <c r="Q129" s="1184"/>
      <c r="R129" s="1184"/>
      <c r="S129" s="1184"/>
      <c r="T129" s="388" t="b" cm="1">
        <f t="array" aca="1" ref="T129" ca="1">T128</f>
        <v>0</v>
      </c>
      <c r="U129" s="1184"/>
      <c r="V129" s="1184"/>
      <c r="W129" s="1184"/>
      <c r="X129" s="2032"/>
      <c r="Y129" s="2032"/>
      <c r="Z129" s="2012"/>
      <c r="AA129" s="2127"/>
      <c r="AB129" s="174" t="str">
        <f t="shared" si="7"/>
        <v>2070 год</v>
      </c>
      <c r="AC129" s="329"/>
      <c r="AD129" s="1727"/>
      <c r="AE129" s="1726"/>
      <c r="AF129" s="1726"/>
      <c r="AG129" s="1727"/>
      <c r="AH129" s="1726"/>
      <c r="AI129" s="1727"/>
      <c r="AJ129" s="1726"/>
      <c r="AK129" s="1728"/>
      <c r="AL129" s="324"/>
      <c r="AM129" s="1184"/>
      <c r="AN129" s="973" cm="1">
        <f t="array" ref="AN129">K129</f>
        <v>2070</v>
      </c>
      <c r="AO129" s="973" t="s">
        <v>2259</v>
      </c>
      <c r="AP129" s="983" cm="1">
        <f t="array" ref="AP129">AP128</f>
        <v>0</v>
      </c>
      <c r="AQ129" s="626"/>
      <c r="AR129" s="626"/>
    </row>
    <row r="130" spans="1:44" s="1776" customFormat="1" ht="14.25" hidden="1" customHeight="1" x14ac:dyDescent="0.15">
      <c r="A130" s="1184"/>
      <c r="B130" s="367" t="b">
        <f t="shared" si="6"/>
        <v>0</v>
      </c>
      <c r="C130" s="1184"/>
      <c r="D130" s="1184"/>
      <c r="E130" s="626">
        <v>15</v>
      </c>
      <c r="F130" s="3" t="str" cm="1">
        <f t="array" aca="1" ref="F130" ca="1">OFFSET(E130,-1,1)</f>
        <v>1</v>
      </c>
      <c r="G130" s="17" cm="1">
        <f t="array" ref="G130">G129</f>
        <v>0</v>
      </c>
      <c r="H130" s="1184"/>
      <c r="I130" s="1184"/>
      <c r="J130" s="1184"/>
      <c r="K130" s="77">
        <f>first_year+47</f>
        <v>2071</v>
      </c>
      <c r="L130" s="1184"/>
      <c r="M130" s="1184"/>
      <c r="N130" s="1184"/>
      <c r="O130" s="1184"/>
      <c r="P130" s="1184"/>
      <c r="Q130" s="1184"/>
      <c r="R130" s="1184"/>
      <c r="S130" s="1184"/>
      <c r="T130" s="388" t="b" cm="1">
        <f t="array" aca="1" ref="T130" ca="1">T129</f>
        <v>0</v>
      </c>
      <c r="U130" s="1184"/>
      <c r="V130" s="1184"/>
      <c r="W130" s="1184"/>
      <c r="X130" s="2032"/>
      <c r="Y130" s="2032"/>
      <c r="Z130" s="2012"/>
      <c r="AA130" s="2127"/>
      <c r="AB130" s="174" t="str">
        <f t="shared" si="7"/>
        <v>2071 год</v>
      </c>
      <c r="AC130" s="329"/>
      <c r="AD130" s="1727"/>
      <c r="AE130" s="1726"/>
      <c r="AF130" s="1726"/>
      <c r="AG130" s="1727"/>
      <c r="AH130" s="1726"/>
      <c r="AI130" s="1727"/>
      <c r="AJ130" s="1726"/>
      <c r="AK130" s="1728"/>
      <c r="AL130" s="324"/>
      <c r="AM130" s="1184"/>
      <c r="AN130" s="973" cm="1">
        <f t="array" ref="AN130">K130</f>
        <v>2071</v>
      </c>
      <c r="AO130" s="973" t="s">
        <v>2259</v>
      </c>
      <c r="AP130" s="983" cm="1">
        <f t="array" ref="AP130">AP129</f>
        <v>0</v>
      </c>
      <c r="AQ130" s="626"/>
      <c r="AR130" s="626"/>
    </row>
    <row r="131" spans="1:44" s="1777" customFormat="1" ht="14.25" hidden="1" customHeight="1" x14ac:dyDescent="0.15">
      <c r="A131" s="1184"/>
      <c r="B131" s="367" t="b">
        <f t="shared" si="6"/>
        <v>0</v>
      </c>
      <c r="C131" s="1184"/>
      <c r="D131" s="1184"/>
      <c r="E131" s="626">
        <v>15</v>
      </c>
      <c r="F131" s="3" t="str" cm="1">
        <f t="array" aca="1" ref="F131" ca="1">OFFSET(E131,-1,1)</f>
        <v>1</v>
      </c>
      <c r="G131" s="17" cm="1">
        <f t="array" ref="G131">G130</f>
        <v>0</v>
      </c>
      <c r="H131" s="1184"/>
      <c r="I131" s="1184"/>
      <c r="J131" s="1184"/>
      <c r="K131" s="77">
        <f>first_year+48</f>
        <v>2072</v>
      </c>
      <c r="L131" s="1184"/>
      <c r="M131" s="1184"/>
      <c r="N131" s="1184"/>
      <c r="O131" s="1184"/>
      <c r="P131" s="1184"/>
      <c r="Q131" s="1184"/>
      <c r="R131" s="1184"/>
      <c r="S131" s="1184"/>
      <c r="T131" s="388" t="b" cm="1">
        <f t="array" aca="1" ref="T131" ca="1">T130</f>
        <v>0</v>
      </c>
      <c r="U131" s="1184"/>
      <c r="V131" s="1184"/>
      <c r="W131" s="1184"/>
      <c r="X131" s="2032"/>
      <c r="Y131" s="2032"/>
      <c r="Z131" s="2012"/>
      <c r="AA131" s="2127"/>
      <c r="AB131" s="174" t="str">
        <f t="shared" si="7"/>
        <v>2072 год</v>
      </c>
      <c r="AC131" s="329"/>
      <c r="AD131" s="1727"/>
      <c r="AE131" s="1726"/>
      <c r="AF131" s="1726"/>
      <c r="AG131" s="1727"/>
      <c r="AH131" s="1726"/>
      <c r="AI131" s="1727"/>
      <c r="AJ131" s="1726"/>
      <c r="AK131" s="1728"/>
      <c r="AL131" s="324"/>
      <c r="AM131" s="1184"/>
      <c r="AN131" s="973" cm="1">
        <f t="array" ref="AN131">K131</f>
        <v>2072</v>
      </c>
      <c r="AO131" s="973" t="s">
        <v>2259</v>
      </c>
      <c r="AP131" s="983" cm="1">
        <f t="array" ref="AP131">AP130</f>
        <v>0</v>
      </c>
      <c r="AQ131" s="626"/>
      <c r="AR131" s="626"/>
    </row>
    <row r="132" spans="1:44" s="1778" customFormat="1" ht="14.25" hidden="1" customHeight="1" x14ac:dyDescent="0.15">
      <c r="A132" s="1184"/>
      <c r="B132" s="367" t="b">
        <f t="shared" si="6"/>
        <v>0</v>
      </c>
      <c r="C132" s="1184"/>
      <c r="D132" s="1184"/>
      <c r="E132" s="626">
        <v>15</v>
      </c>
      <c r="F132" s="3" t="str" cm="1">
        <f t="array" aca="1" ref="F132" ca="1">OFFSET(E132,-1,1)</f>
        <v>1</v>
      </c>
      <c r="G132" s="17" cm="1">
        <f t="array" ref="G132">G131</f>
        <v>0</v>
      </c>
      <c r="H132" s="1184"/>
      <c r="I132" s="1184"/>
      <c r="J132" s="1184"/>
      <c r="K132" s="77">
        <f>first_year+49</f>
        <v>2073</v>
      </c>
      <c r="L132" s="1184"/>
      <c r="M132" s="1184"/>
      <c r="N132" s="1184"/>
      <c r="O132" s="1184"/>
      <c r="P132" s="1184"/>
      <c r="Q132" s="1184"/>
      <c r="R132" s="1184"/>
      <c r="S132" s="1184"/>
      <c r="T132" s="388" t="b" cm="1">
        <f t="array" aca="1" ref="T132" ca="1">T131</f>
        <v>0</v>
      </c>
      <c r="U132" s="1184"/>
      <c r="V132" s="1184"/>
      <c r="W132" s="1184"/>
      <c r="X132" s="2032"/>
      <c r="Y132" s="2032"/>
      <c r="Z132" s="2012"/>
      <c r="AA132" s="2127"/>
      <c r="AB132" s="174" t="str">
        <f t="shared" si="7"/>
        <v>2073 год</v>
      </c>
      <c r="AC132" s="329"/>
      <c r="AD132" s="1727"/>
      <c r="AE132" s="1726"/>
      <c r="AF132" s="1726"/>
      <c r="AG132" s="1727"/>
      <c r="AH132" s="1726"/>
      <c r="AI132" s="1727"/>
      <c r="AJ132" s="1726"/>
      <c r="AK132" s="1728"/>
      <c r="AL132" s="324"/>
      <c r="AM132" s="1184"/>
      <c r="AN132" s="973" cm="1">
        <f t="array" ref="AN132">K132</f>
        <v>2073</v>
      </c>
      <c r="AO132" s="973" t="s">
        <v>2259</v>
      </c>
      <c r="AP132" s="983" cm="1">
        <f t="array" ref="AP132">AP131</f>
        <v>0</v>
      </c>
      <c r="AQ132" s="626"/>
      <c r="AR132" s="626"/>
    </row>
    <row r="133" spans="1:44" s="461" customFormat="1" ht="14.25" customHeight="1" x14ac:dyDescent="0.15">
      <c r="A133" s="1217"/>
      <c r="B133" s="350"/>
      <c r="C133" s="1217"/>
      <c r="D133" s="1217"/>
      <c r="E133" s="542">
        <v>15</v>
      </c>
      <c r="F133" s="3" t="str" cm="1">
        <f t="array" aca="1" ref="F133" ca="1">OFFSET(E133,-1,1)</f>
        <v>1</v>
      </c>
      <c r="G133" s="41" t="str" cm="1">
        <f t="array" ref="G133">AB133</f>
        <v>транспортировка</v>
      </c>
      <c r="H133" s="1217"/>
      <c r="I133" s="1217"/>
      <c r="J133" s="1217"/>
      <c r="K133" s="1217"/>
      <c r="L133" s="1217"/>
      <c r="M133" s="1217"/>
      <c r="N133" s="1217"/>
      <c r="O133" s="1217"/>
      <c r="P133" s="1217"/>
      <c r="Q133" s="1217"/>
      <c r="R133" s="1217"/>
      <c r="S133" s="1217"/>
      <c r="T133" s="388" t="b">
        <f ca="1">AND(F133&gt;0,Y133&gt;0)</f>
        <v>1</v>
      </c>
      <c r="U133" s="1217"/>
      <c r="V133" s="1217"/>
      <c r="W133" s="41"/>
      <c r="X133" s="2032"/>
      <c r="Y133" s="2032" t="s">
        <v>282</v>
      </c>
      <c r="Z133" s="2012"/>
      <c r="AA133" s="2127" t="s">
        <v>173</v>
      </c>
      <c r="AB133" s="2136" t="s">
        <v>2261</v>
      </c>
      <c r="AC133" s="2136"/>
      <c r="AD133" s="2136"/>
      <c r="AE133" s="2136"/>
      <c r="AF133" s="2136"/>
      <c r="AG133" s="2136"/>
      <c r="AH133" s="2136"/>
      <c r="AI133" s="2136"/>
      <c r="AJ133" s="2136"/>
      <c r="AK133" s="2137"/>
      <c r="AL133" s="323"/>
      <c r="AM133" s="1217"/>
      <c r="AN133" s="906"/>
      <c r="AO133" s="973" t="s">
        <v>2259</v>
      </c>
      <c r="AP133" s="988" t="str" cm="1">
        <f t="array" ref="AP133">AB133</f>
        <v>транспортировка</v>
      </c>
      <c r="AQ133" s="542"/>
      <c r="AR133" s="542" t="b">
        <v>1</v>
      </c>
    </row>
    <row r="134" spans="1:44" s="1779" customFormat="1" ht="14.65" customHeight="1" x14ac:dyDescent="0.15">
      <c r="A134" s="1184"/>
      <c r="B134" s="367" t="b">
        <f t="shared" ref="B134:B165" si="8">K134&lt;first_year+PERIOD_LENGTH</f>
        <v>1</v>
      </c>
      <c r="C134" s="1184"/>
      <c r="D134" s="1184"/>
      <c r="E134" s="626">
        <v>15</v>
      </c>
      <c r="F134" s="3" t="str" cm="1">
        <f t="array" aca="1" ref="F134" ca="1">OFFSET(E134,-1,1)</f>
        <v>1</v>
      </c>
      <c r="G134" s="17" t="str" cm="1">
        <f t="array" ref="G134">G133</f>
        <v>транспортировка</v>
      </c>
      <c r="H134" s="1184"/>
      <c r="I134" s="1184"/>
      <c r="J134" s="1184"/>
      <c r="K134" s="77" cm="1">
        <f t="array" ref="K134">first_year</f>
        <v>2024</v>
      </c>
      <c r="L134" s="1184"/>
      <c r="M134" s="1184"/>
      <c r="N134" s="1184"/>
      <c r="O134" s="1184"/>
      <c r="P134" s="1184"/>
      <c r="Q134" s="1184"/>
      <c r="R134" s="1184"/>
      <c r="S134" s="1184"/>
      <c r="T134" s="388" t="b" cm="1">
        <f t="array" aca="1" ref="T134" ca="1">T133</f>
        <v>1</v>
      </c>
      <c r="U134" s="1184"/>
      <c r="V134" s="1184"/>
      <c r="W134" s="1184"/>
      <c r="X134" s="2032"/>
      <c r="Y134" s="2032"/>
      <c r="Z134" s="2012"/>
      <c r="AA134" s="2127"/>
      <c r="AB134" s="219" t="str">
        <f t="shared" ref="AB134:AB165" si="9">K134&amp;" год"</f>
        <v>2024 год</v>
      </c>
      <c r="AC134" s="220">
        <v>35588.620000000003</v>
      </c>
      <c r="AD134" s="233"/>
      <c r="AE134" s="220"/>
      <c r="AF134" s="220">
        <v>35.86</v>
      </c>
      <c r="AG134" s="233"/>
      <c r="AH134" s="220"/>
      <c r="AI134" s="233"/>
      <c r="AJ134" s="220"/>
      <c r="AK134" s="325"/>
      <c r="AL134" s="324"/>
      <c r="AM134" s="1184"/>
      <c r="AN134" s="973" cm="1">
        <f t="array" ref="AN134">K134</f>
        <v>2024</v>
      </c>
      <c r="AO134" s="973" t="s">
        <v>2259</v>
      </c>
      <c r="AP134" s="983" t="str" cm="1">
        <f t="array" ref="AP134">AP133</f>
        <v>транспортировка</v>
      </c>
      <c r="AQ134" s="626"/>
      <c r="AR134" s="626"/>
    </row>
    <row r="135" spans="1:44" s="1780" customFormat="1" ht="14.65" customHeight="1" x14ac:dyDescent="0.15">
      <c r="A135" s="1184"/>
      <c r="B135" s="367" t="b">
        <f t="shared" si="8"/>
        <v>1</v>
      </c>
      <c r="C135" s="1184"/>
      <c r="D135" s="1184"/>
      <c r="E135" s="626">
        <v>15</v>
      </c>
      <c r="F135" s="3" t="str" cm="1">
        <f t="array" aca="1" ref="F135" ca="1">OFFSET(E135,-1,1)</f>
        <v>1</v>
      </c>
      <c r="G135" s="17" t="str" cm="1">
        <f t="array" ref="G135">G134</f>
        <v>транспортировка</v>
      </c>
      <c r="H135" s="1184"/>
      <c r="I135" s="1184"/>
      <c r="J135" s="1184"/>
      <c r="K135" s="77">
        <f>first_year+1</f>
        <v>2025</v>
      </c>
      <c r="L135" s="1184"/>
      <c r="M135" s="1184"/>
      <c r="N135" s="1184"/>
      <c r="O135" s="1184"/>
      <c r="P135" s="1184"/>
      <c r="Q135" s="1184"/>
      <c r="R135" s="1184"/>
      <c r="S135" s="1184"/>
      <c r="T135" s="388" t="b" cm="1">
        <f t="array" aca="1" ref="T135" ca="1">T134</f>
        <v>1</v>
      </c>
      <c r="U135" s="1184"/>
      <c r="V135" s="1184"/>
      <c r="W135" s="1184"/>
      <c r="X135" s="2032"/>
      <c r="Y135" s="2032"/>
      <c r="Z135" s="2012"/>
      <c r="AA135" s="2127"/>
      <c r="AB135" s="174" t="str">
        <f t="shared" si="9"/>
        <v>2025 год</v>
      </c>
      <c r="AC135" s="329"/>
      <c r="AD135" s="233"/>
      <c r="AE135" s="220"/>
      <c r="AF135" s="220">
        <v>35.86</v>
      </c>
      <c r="AG135" s="233"/>
      <c r="AH135" s="220"/>
      <c r="AI135" s="233"/>
      <c r="AJ135" s="220"/>
      <c r="AK135" s="325"/>
      <c r="AL135" s="324"/>
      <c r="AM135" s="1184"/>
      <c r="AN135" s="973" cm="1">
        <f t="array" ref="AN135">K135</f>
        <v>2025</v>
      </c>
      <c r="AO135" s="973" t="s">
        <v>2259</v>
      </c>
      <c r="AP135" s="983" t="str" cm="1">
        <f t="array" ref="AP135">AP134</f>
        <v>транспортировка</v>
      </c>
      <c r="AQ135" s="626"/>
      <c r="AR135" s="626"/>
    </row>
    <row r="136" spans="1:44" s="1781" customFormat="1" ht="14.65" customHeight="1" x14ac:dyDescent="0.15">
      <c r="A136" s="1184"/>
      <c r="B136" s="367" t="b">
        <f t="shared" si="8"/>
        <v>1</v>
      </c>
      <c r="C136" s="1184"/>
      <c r="D136" s="1184"/>
      <c r="E136" s="626">
        <v>15</v>
      </c>
      <c r="F136" s="3" t="str" cm="1">
        <f t="array" aca="1" ref="F136" ca="1">OFFSET(E136,-1,1)</f>
        <v>1</v>
      </c>
      <c r="G136" s="17" t="str" cm="1">
        <f t="array" ref="G136">G135</f>
        <v>транспортировка</v>
      </c>
      <c r="H136" s="1184"/>
      <c r="I136" s="1184"/>
      <c r="J136" s="1184"/>
      <c r="K136" s="77">
        <f>first_year+2</f>
        <v>2026</v>
      </c>
      <c r="L136" s="1184"/>
      <c r="M136" s="1184"/>
      <c r="N136" s="1184"/>
      <c r="O136" s="1184"/>
      <c r="P136" s="1184"/>
      <c r="Q136" s="1184"/>
      <c r="R136" s="1184"/>
      <c r="S136" s="1184"/>
      <c r="T136" s="388" t="b" cm="1">
        <f t="array" aca="1" ref="T136" ca="1">T135</f>
        <v>1</v>
      </c>
      <c r="U136" s="1184"/>
      <c r="V136" s="1184"/>
      <c r="W136" s="1184"/>
      <c r="X136" s="2032"/>
      <c r="Y136" s="2032"/>
      <c r="Z136" s="2012"/>
      <c r="AA136" s="2127"/>
      <c r="AB136" s="174" t="str">
        <f t="shared" si="9"/>
        <v>2026 год</v>
      </c>
      <c r="AC136" s="329"/>
      <c r="AD136" s="233"/>
      <c r="AE136" s="220"/>
      <c r="AF136" s="220">
        <v>35.86</v>
      </c>
      <c r="AG136" s="233"/>
      <c r="AH136" s="220"/>
      <c r="AI136" s="233"/>
      <c r="AJ136" s="220"/>
      <c r="AK136" s="325"/>
      <c r="AL136" s="324"/>
      <c r="AM136" s="1184"/>
      <c r="AN136" s="973" cm="1">
        <f t="array" ref="AN136">K136</f>
        <v>2026</v>
      </c>
      <c r="AO136" s="973" t="s">
        <v>2259</v>
      </c>
      <c r="AP136" s="983" t="str" cm="1">
        <f t="array" ref="AP136">AP135</f>
        <v>транспортировка</v>
      </c>
      <c r="AQ136" s="626"/>
      <c r="AR136" s="626"/>
    </row>
    <row r="137" spans="1:44" s="1782" customFormat="1" ht="14.65" customHeight="1" x14ac:dyDescent="0.15">
      <c r="A137" s="1184"/>
      <c r="B137" s="367" t="b">
        <f t="shared" si="8"/>
        <v>1</v>
      </c>
      <c r="C137" s="1184"/>
      <c r="D137" s="1184"/>
      <c r="E137" s="626">
        <v>15</v>
      </c>
      <c r="F137" s="3" t="str" cm="1">
        <f t="array" aca="1" ref="F137" ca="1">OFFSET(E137,-1,1)</f>
        <v>1</v>
      </c>
      <c r="G137" s="17" t="str" cm="1">
        <f t="array" ref="G137">G136</f>
        <v>транспортировка</v>
      </c>
      <c r="H137" s="1184"/>
      <c r="I137" s="1184"/>
      <c r="J137" s="1184"/>
      <c r="K137" s="77">
        <f>first_year+3</f>
        <v>2027</v>
      </c>
      <c r="L137" s="1184"/>
      <c r="M137" s="1184"/>
      <c r="N137" s="1184"/>
      <c r="O137" s="1184"/>
      <c r="P137" s="1184"/>
      <c r="Q137" s="1184"/>
      <c r="R137" s="1184"/>
      <c r="S137" s="1184"/>
      <c r="T137" s="388" t="b" cm="1">
        <f t="array" aca="1" ref="T137" ca="1">T136</f>
        <v>1</v>
      </c>
      <c r="U137" s="1184"/>
      <c r="V137" s="1184"/>
      <c r="W137" s="1184"/>
      <c r="X137" s="2032"/>
      <c r="Y137" s="2032"/>
      <c r="Z137" s="2012"/>
      <c r="AA137" s="2127"/>
      <c r="AB137" s="174" t="str">
        <f t="shared" si="9"/>
        <v>2027 год</v>
      </c>
      <c r="AC137" s="329"/>
      <c r="AD137" s="233"/>
      <c r="AE137" s="220"/>
      <c r="AF137" s="220">
        <v>35.86</v>
      </c>
      <c r="AG137" s="233"/>
      <c r="AH137" s="220"/>
      <c r="AI137" s="233"/>
      <c r="AJ137" s="220"/>
      <c r="AK137" s="325"/>
      <c r="AL137" s="324"/>
      <c r="AM137" s="1184"/>
      <c r="AN137" s="973" cm="1">
        <f t="array" ref="AN137">K137</f>
        <v>2027</v>
      </c>
      <c r="AO137" s="973" t="s">
        <v>2259</v>
      </c>
      <c r="AP137" s="983" t="str" cm="1">
        <f t="array" ref="AP137">AP136</f>
        <v>транспортировка</v>
      </c>
      <c r="AQ137" s="626"/>
      <c r="AR137" s="626"/>
    </row>
    <row r="138" spans="1:44" s="1783" customFormat="1" ht="14.65" customHeight="1" x14ac:dyDescent="0.15">
      <c r="A138" s="1184"/>
      <c r="B138" s="367" t="b">
        <f t="shared" si="8"/>
        <v>1</v>
      </c>
      <c r="C138" s="1184"/>
      <c r="D138" s="1184"/>
      <c r="E138" s="626">
        <v>15</v>
      </c>
      <c r="F138" s="3" t="str" cm="1">
        <f t="array" aca="1" ref="F138" ca="1">OFFSET(E138,-1,1)</f>
        <v>1</v>
      </c>
      <c r="G138" s="17" t="str" cm="1">
        <f t="array" ref="G138">G137</f>
        <v>транспортировка</v>
      </c>
      <c r="H138" s="1184"/>
      <c r="I138" s="1184"/>
      <c r="J138" s="1184"/>
      <c r="K138" s="77">
        <f>first_year+4</f>
        <v>2028</v>
      </c>
      <c r="L138" s="1184"/>
      <c r="M138" s="1184"/>
      <c r="N138" s="1184"/>
      <c r="O138" s="1184"/>
      <c r="P138" s="1184"/>
      <c r="Q138" s="1184"/>
      <c r="R138" s="1184"/>
      <c r="S138" s="1184"/>
      <c r="T138" s="388" t="b" cm="1">
        <f t="array" aca="1" ref="T138" ca="1">T137</f>
        <v>1</v>
      </c>
      <c r="U138" s="1184"/>
      <c r="V138" s="1184"/>
      <c r="W138" s="1184"/>
      <c r="X138" s="2032"/>
      <c r="Y138" s="2032"/>
      <c r="Z138" s="2012"/>
      <c r="AA138" s="2127"/>
      <c r="AB138" s="174" t="str">
        <f t="shared" si="9"/>
        <v>2028 год</v>
      </c>
      <c r="AC138" s="329"/>
      <c r="AD138" s="233"/>
      <c r="AE138" s="220"/>
      <c r="AF138" s="220">
        <v>35.86</v>
      </c>
      <c r="AG138" s="233"/>
      <c r="AH138" s="220"/>
      <c r="AI138" s="233"/>
      <c r="AJ138" s="220"/>
      <c r="AK138" s="325"/>
      <c r="AL138" s="324"/>
      <c r="AM138" s="1184"/>
      <c r="AN138" s="973" cm="1">
        <f t="array" ref="AN138">K138</f>
        <v>2028</v>
      </c>
      <c r="AO138" s="973" t="s">
        <v>2259</v>
      </c>
      <c r="AP138" s="983" t="str" cm="1">
        <f t="array" ref="AP138">AP137</f>
        <v>транспортировка</v>
      </c>
      <c r="AQ138" s="626"/>
      <c r="AR138" s="626"/>
    </row>
    <row r="139" spans="1:44" s="1784" customFormat="1" ht="14.65" customHeight="1" x14ac:dyDescent="0.15">
      <c r="A139" s="1184"/>
      <c r="B139" s="367" t="b">
        <f t="shared" si="8"/>
        <v>1</v>
      </c>
      <c r="C139" s="1184"/>
      <c r="D139" s="1184"/>
      <c r="E139" s="626">
        <v>15</v>
      </c>
      <c r="F139" s="3" t="str" cm="1">
        <f t="array" aca="1" ref="F139" ca="1">OFFSET(E139,-1,1)</f>
        <v>1</v>
      </c>
      <c r="G139" s="17" t="str" cm="1">
        <f t="array" ref="G139">G138</f>
        <v>транспортировка</v>
      </c>
      <c r="H139" s="1184"/>
      <c r="I139" s="1184"/>
      <c r="J139" s="1184"/>
      <c r="K139" s="77">
        <f>first_year+5</f>
        <v>2029</v>
      </c>
      <c r="L139" s="1184"/>
      <c r="M139" s="1184"/>
      <c r="N139" s="1184"/>
      <c r="O139" s="1184"/>
      <c r="P139" s="1184"/>
      <c r="Q139" s="1184"/>
      <c r="R139" s="1184"/>
      <c r="S139" s="1184"/>
      <c r="T139" s="388" t="b" cm="1">
        <f t="array" aca="1" ref="T139" ca="1">T138</f>
        <v>1</v>
      </c>
      <c r="U139" s="1184"/>
      <c r="V139" s="1184"/>
      <c r="W139" s="1184"/>
      <c r="X139" s="2032"/>
      <c r="Y139" s="2032"/>
      <c r="Z139" s="2012"/>
      <c r="AA139" s="2127"/>
      <c r="AB139" s="174" t="str">
        <f t="shared" si="9"/>
        <v>2029 год</v>
      </c>
      <c r="AC139" s="329"/>
      <c r="AD139" s="233"/>
      <c r="AE139" s="220"/>
      <c r="AF139" s="220">
        <v>35.86</v>
      </c>
      <c r="AG139" s="233"/>
      <c r="AH139" s="220"/>
      <c r="AI139" s="233"/>
      <c r="AJ139" s="220"/>
      <c r="AK139" s="325"/>
      <c r="AL139" s="324"/>
      <c r="AM139" s="1184"/>
      <c r="AN139" s="973" cm="1">
        <f t="array" ref="AN139">K139</f>
        <v>2029</v>
      </c>
      <c r="AO139" s="973" t="s">
        <v>2259</v>
      </c>
      <c r="AP139" s="983" t="str" cm="1">
        <f t="array" ref="AP139">AP138</f>
        <v>транспортировка</v>
      </c>
      <c r="AQ139" s="626"/>
      <c r="AR139" s="626"/>
    </row>
    <row r="140" spans="1:44" s="1785" customFormat="1" ht="14.65" customHeight="1" x14ac:dyDescent="0.15">
      <c r="A140" s="1184"/>
      <c r="B140" s="367" t="b">
        <f t="shared" si="8"/>
        <v>1</v>
      </c>
      <c r="C140" s="1184"/>
      <c r="D140" s="1184"/>
      <c r="E140" s="626">
        <v>15</v>
      </c>
      <c r="F140" s="3" t="str" cm="1">
        <f t="array" aca="1" ref="F140" ca="1">OFFSET(E140,-1,1)</f>
        <v>1</v>
      </c>
      <c r="G140" s="17" t="str" cm="1">
        <f t="array" ref="G140">G139</f>
        <v>транспортировка</v>
      </c>
      <c r="H140" s="1184"/>
      <c r="I140" s="1184"/>
      <c r="J140" s="1184"/>
      <c r="K140" s="77">
        <f>first_year+6</f>
        <v>2030</v>
      </c>
      <c r="L140" s="1184"/>
      <c r="M140" s="1184"/>
      <c r="N140" s="1184"/>
      <c r="O140" s="1184"/>
      <c r="P140" s="1184"/>
      <c r="Q140" s="1184"/>
      <c r="R140" s="1184"/>
      <c r="S140" s="1184"/>
      <c r="T140" s="388" t="b" cm="1">
        <f t="array" aca="1" ref="T140" ca="1">T139</f>
        <v>1</v>
      </c>
      <c r="U140" s="1184"/>
      <c r="V140" s="1184"/>
      <c r="W140" s="1184"/>
      <c r="X140" s="2032"/>
      <c r="Y140" s="2032"/>
      <c r="Z140" s="2012"/>
      <c r="AA140" s="2127"/>
      <c r="AB140" s="174" t="str">
        <f t="shared" si="9"/>
        <v>2030 год</v>
      </c>
      <c r="AC140" s="329"/>
      <c r="AD140" s="233"/>
      <c r="AE140" s="220"/>
      <c r="AF140" s="220">
        <v>35.86</v>
      </c>
      <c r="AG140" s="233"/>
      <c r="AH140" s="220"/>
      <c r="AI140" s="233"/>
      <c r="AJ140" s="220"/>
      <c r="AK140" s="325"/>
      <c r="AL140" s="324"/>
      <c r="AM140" s="1184"/>
      <c r="AN140" s="973" cm="1">
        <f t="array" ref="AN140">K140</f>
        <v>2030</v>
      </c>
      <c r="AO140" s="973" t="s">
        <v>2259</v>
      </c>
      <c r="AP140" s="983" t="str" cm="1">
        <f t="array" ref="AP140">AP139</f>
        <v>транспортировка</v>
      </c>
      <c r="AQ140" s="626"/>
      <c r="AR140" s="626"/>
    </row>
    <row r="141" spans="1:44" s="1786" customFormat="1" ht="14.65" customHeight="1" x14ac:dyDescent="0.15">
      <c r="A141" s="1184"/>
      <c r="B141" s="367" t="b">
        <f t="shared" si="8"/>
        <v>1</v>
      </c>
      <c r="C141" s="1184"/>
      <c r="D141" s="1184"/>
      <c r="E141" s="626">
        <v>15</v>
      </c>
      <c r="F141" s="3" t="str" cm="1">
        <f t="array" aca="1" ref="F141" ca="1">OFFSET(E141,-1,1)</f>
        <v>1</v>
      </c>
      <c r="G141" s="17" t="str" cm="1">
        <f t="array" ref="G141">G140</f>
        <v>транспортировка</v>
      </c>
      <c r="H141" s="1184"/>
      <c r="I141" s="1184"/>
      <c r="J141" s="1184"/>
      <c r="K141" s="77">
        <f>first_year+7</f>
        <v>2031</v>
      </c>
      <c r="L141" s="1184"/>
      <c r="M141" s="1184"/>
      <c r="N141" s="1184"/>
      <c r="O141" s="1184"/>
      <c r="P141" s="1184"/>
      <c r="Q141" s="1184"/>
      <c r="R141" s="1184"/>
      <c r="S141" s="1184"/>
      <c r="T141" s="388" t="b" cm="1">
        <f t="array" aca="1" ref="T141" ca="1">T140</f>
        <v>1</v>
      </c>
      <c r="U141" s="1184"/>
      <c r="V141" s="1184"/>
      <c r="W141" s="1184"/>
      <c r="X141" s="2032"/>
      <c r="Y141" s="2032"/>
      <c r="Z141" s="2012"/>
      <c r="AA141" s="2127"/>
      <c r="AB141" s="174" t="str">
        <f t="shared" si="9"/>
        <v>2031 год</v>
      </c>
      <c r="AC141" s="329"/>
      <c r="AD141" s="233"/>
      <c r="AE141" s="220"/>
      <c r="AF141" s="220">
        <v>35.86</v>
      </c>
      <c r="AG141" s="233"/>
      <c r="AH141" s="220"/>
      <c r="AI141" s="233"/>
      <c r="AJ141" s="220"/>
      <c r="AK141" s="325"/>
      <c r="AL141" s="324"/>
      <c r="AM141" s="1184"/>
      <c r="AN141" s="973" cm="1">
        <f t="array" ref="AN141">K141</f>
        <v>2031</v>
      </c>
      <c r="AO141" s="973" t="s">
        <v>2259</v>
      </c>
      <c r="AP141" s="983" t="str" cm="1">
        <f t="array" ref="AP141">AP140</f>
        <v>транспортировка</v>
      </c>
      <c r="AQ141" s="626"/>
      <c r="AR141" s="626"/>
    </row>
    <row r="142" spans="1:44" s="1787" customFormat="1" ht="14.65" customHeight="1" x14ac:dyDescent="0.15">
      <c r="A142" s="1184"/>
      <c r="B142" s="367" t="b">
        <f t="shared" si="8"/>
        <v>1</v>
      </c>
      <c r="C142" s="1184"/>
      <c r="D142" s="1184"/>
      <c r="E142" s="626">
        <v>15</v>
      </c>
      <c r="F142" s="3" t="str" cm="1">
        <f t="array" aca="1" ref="F142" ca="1">OFFSET(E142,-1,1)</f>
        <v>1</v>
      </c>
      <c r="G142" s="17" t="str" cm="1">
        <f t="array" ref="G142">G141</f>
        <v>транспортировка</v>
      </c>
      <c r="H142" s="1184"/>
      <c r="I142" s="1184"/>
      <c r="J142" s="1184"/>
      <c r="K142" s="77">
        <f>first_year+8</f>
        <v>2032</v>
      </c>
      <c r="L142" s="1184"/>
      <c r="M142" s="1184"/>
      <c r="N142" s="1184"/>
      <c r="O142" s="1184"/>
      <c r="P142" s="1184"/>
      <c r="Q142" s="1184"/>
      <c r="R142" s="1184"/>
      <c r="S142" s="1184"/>
      <c r="T142" s="388" t="b" cm="1">
        <f t="array" aca="1" ref="T142" ca="1">T141</f>
        <v>1</v>
      </c>
      <c r="U142" s="1184"/>
      <c r="V142" s="1184"/>
      <c r="W142" s="1184"/>
      <c r="X142" s="2032"/>
      <c r="Y142" s="2032"/>
      <c r="Z142" s="2012"/>
      <c r="AA142" s="2127"/>
      <c r="AB142" s="174" t="str">
        <f t="shared" si="9"/>
        <v>2032 год</v>
      </c>
      <c r="AC142" s="329"/>
      <c r="AD142" s="233"/>
      <c r="AE142" s="220"/>
      <c r="AF142" s="220">
        <v>35.86</v>
      </c>
      <c r="AG142" s="233"/>
      <c r="AH142" s="220"/>
      <c r="AI142" s="233"/>
      <c r="AJ142" s="220"/>
      <c r="AK142" s="325"/>
      <c r="AL142" s="324"/>
      <c r="AM142" s="1184"/>
      <c r="AN142" s="973" cm="1">
        <f t="array" ref="AN142">K142</f>
        <v>2032</v>
      </c>
      <c r="AO142" s="973" t="s">
        <v>2259</v>
      </c>
      <c r="AP142" s="983" t="str" cm="1">
        <f t="array" ref="AP142">AP141</f>
        <v>транспортировка</v>
      </c>
      <c r="AQ142" s="626"/>
      <c r="AR142" s="626"/>
    </row>
    <row r="143" spans="1:44" s="1788" customFormat="1" ht="14.25" hidden="1" customHeight="1" x14ac:dyDescent="0.15">
      <c r="A143" s="1184"/>
      <c r="B143" s="367" t="b">
        <f t="shared" si="8"/>
        <v>0</v>
      </c>
      <c r="C143" s="1184"/>
      <c r="D143" s="1184"/>
      <c r="E143" s="626">
        <v>15</v>
      </c>
      <c r="F143" s="3" t="str" cm="1">
        <f t="array" aca="1" ref="F143" ca="1">OFFSET(E143,-1,1)</f>
        <v>1</v>
      </c>
      <c r="G143" s="17" t="str" cm="1">
        <f t="array" ref="G143">G142</f>
        <v>транспортировка</v>
      </c>
      <c r="H143" s="1184"/>
      <c r="I143" s="1184"/>
      <c r="J143" s="1184"/>
      <c r="K143" s="77">
        <f>first_year+9</f>
        <v>2033</v>
      </c>
      <c r="L143" s="1184"/>
      <c r="M143" s="1184"/>
      <c r="N143" s="1184"/>
      <c r="O143" s="1184"/>
      <c r="P143" s="1184"/>
      <c r="Q143" s="1184"/>
      <c r="R143" s="1184"/>
      <c r="S143" s="1184"/>
      <c r="T143" s="388" t="b" cm="1">
        <f t="array" aca="1" ref="T143" ca="1">T142</f>
        <v>1</v>
      </c>
      <c r="U143" s="1184"/>
      <c r="V143" s="1184"/>
      <c r="W143" s="1184"/>
      <c r="X143" s="2032"/>
      <c r="Y143" s="2032"/>
      <c r="Z143" s="2012"/>
      <c r="AA143" s="2127"/>
      <c r="AB143" s="174" t="str">
        <f t="shared" si="9"/>
        <v>2033 год</v>
      </c>
      <c r="AC143" s="329"/>
      <c r="AD143" s="1727"/>
      <c r="AE143" s="1726"/>
      <c r="AF143" s="1726"/>
      <c r="AG143" s="1727"/>
      <c r="AH143" s="1726"/>
      <c r="AI143" s="1727"/>
      <c r="AJ143" s="1726"/>
      <c r="AK143" s="1728"/>
      <c r="AL143" s="324"/>
      <c r="AM143" s="1184"/>
      <c r="AN143" s="973" cm="1">
        <f t="array" ref="AN143">K143</f>
        <v>2033</v>
      </c>
      <c r="AO143" s="973" t="s">
        <v>2259</v>
      </c>
      <c r="AP143" s="983" t="str" cm="1">
        <f t="array" ref="AP143">AP142</f>
        <v>транспортировка</v>
      </c>
      <c r="AQ143" s="626"/>
      <c r="AR143" s="626"/>
    </row>
    <row r="144" spans="1:44" s="1789" customFormat="1" ht="14.25" hidden="1" customHeight="1" x14ac:dyDescent="0.15">
      <c r="A144" s="1184"/>
      <c r="B144" s="367" t="b">
        <f t="shared" si="8"/>
        <v>0</v>
      </c>
      <c r="C144" s="1184"/>
      <c r="D144" s="1184"/>
      <c r="E144" s="626">
        <v>15</v>
      </c>
      <c r="F144" s="3" t="str" cm="1">
        <f t="array" aca="1" ref="F144" ca="1">OFFSET(E144,-1,1)</f>
        <v>1</v>
      </c>
      <c r="G144" s="17" t="str" cm="1">
        <f t="array" ref="G144">G143</f>
        <v>транспортировка</v>
      </c>
      <c r="H144" s="1184"/>
      <c r="I144" s="1184"/>
      <c r="J144" s="1184"/>
      <c r="K144" s="77">
        <f>first_year+10</f>
        <v>2034</v>
      </c>
      <c r="L144" s="1184"/>
      <c r="M144" s="1184"/>
      <c r="N144" s="1184"/>
      <c r="O144" s="1184"/>
      <c r="P144" s="1184"/>
      <c r="Q144" s="1184"/>
      <c r="R144" s="1184"/>
      <c r="S144" s="1184"/>
      <c r="T144" s="388" t="b" cm="1">
        <f t="array" aca="1" ref="T144" ca="1">T143</f>
        <v>1</v>
      </c>
      <c r="U144" s="1184"/>
      <c r="V144" s="1184"/>
      <c r="W144" s="1184"/>
      <c r="X144" s="2032"/>
      <c r="Y144" s="2032"/>
      <c r="Z144" s="2012"/>
      <c r="AA144" s="2127"/>
      <c r="AB144" s="174" t="str">
        <f t="shared" si="9"/>
        <v>2034 год</v>
      </c>
      <c r="AC144" s="329"/>
      <c r="AD144" s="1727"/>
      <c r="AE144" s="1726"/>
      <c r="AF144" s="1726"/>
      <c r="AG144" s="1727"/>
      <c r="AH144" s="1726"/>
      <c r="AI144" s="1727"/>
      <c r="AJ144" s="1726"/>
      <c r="AK144" s="1728"/>
      <c r="AL144" s="324"/>
      <c r="AM144" s="1184"/>
      <c r="AN144" s="973" cm="1">
        <f t="array" ref="AN144">K144</f>
        <v>2034</v>
      </c>
      <c r="AO144" s="973" t="s">
        <v>2259</v>
      </c>
      <c r="AP144" s="983" t="str" cm="1">
        <f t="array" ref="AP144">AP143</f>
        <v>транспортировка</v>
      </c>
      <c r="AQ144" s="626"/>
      <c r="AR144" s="626"/>
    </row>
    <row r="145" spans="1:44" s="1790" customFormat="1" ht="14.25" hidden="1" customHeight="1" x14ac:dyDescent="0.15">
      <c r="A145" s="1184"/>
      <c r="B145" s="367" t="b">
        <f t="shared" si="8"/>
        <v>0</v>
      </c>
      <c r="C145" s="1184"/>
      <c r="D145" s="1184"/>
      <c r="E145" s="626">
        <v>15</v>
      </c>
      <c r="F145" s="3" t="str" cm="1">
        <f t="array" aca="1" ref="F145" ca="1">OFFSET(E145,-1,1)</f>
        <v>1</v>
      </c>
      <c r="G145" s="17" t="str" cm="1">
        <f t="array" ref="G145">G144</f>
        <v>транспортировка</v>
      </c>
      <c r="H145" s="1184"/>
      <c r="I145" s="1184"/>
      <c r="J145" s="1184"/>
      <c r="K145" s="77">
        <f>first_year+11</f>
        <v>2035</v>
      </c>
      <c r="L145" s="1184"/>
      <c r="M145" s="1184"/>
      <c r="N145" s="1184"/>
      <c r="O145" s="1184"/>
      <c r="P145" s="1184"/>
      <c r="Q145" s="1184"/>
      <c r="R145" s="1184"/>
      <c r="S145" s="1184"/>
      <c r="T145" s="388" t="b" cm="1">
        <f t="array" aca="1" ref="T145" ca="1">T144</f>
        <v>1</v>
      </c>
      <c r="U145" s="1184"/>
      <c r="V145" s="1184"/>
      <c r="W145" s="1184"/>
      <c r="X145" s="2032"/>
      <c r="Y145" s="2032"/>
      <c r="Z145" s="2012"/>
      <c r="AA145" s="2127"/>
      <c r="AB145" s="174" t="str">
        <f t="shared" si="9"/>
        <v>2035 год</v>
      </c>
      <c r="AC145" s="329"/>
      <c r="AD145" s="1727"/>
      <c r="AE145" s="1726"/>
      <c r="AF145" s="1726"/>
      <c r="AG145" s="1727"/>
      <c r="AH145" s="1726"/>
      <c r="AI145" s="1727"/>
      <c r="AJ145" s="1726"/>
      <c r="AK145" s="1728"/>
      <c r="AL145" s="324"/>
      <c r="AM145" s="1184"/>
      <c r="AN145" s="973" cm="1">
        <f t="array" ref="AN145">K145</f>
        <v>2035</v>
      </c>
      <c r="AO145" s="973" t="s">
        <v>2259</v>
      </c>
      <c r="AP145" s="983" t="str" cm="1">
        <f t="array" ref="AP145">AP144</f>
        <v>транспортировка</v>
      </c>
      <c r="AQ145" s="626"/>
      <c r="AR145" s="626"/>
    </row>
    <row r="146" spans="1:44" s="1791" customFormat="1" ht="14.25" hidden="1" customHeight="1" x14ac:dyDescent="0.15">
      <c r="A146" s="1184"/>
      <c r="B146" s="367" t="b">
        <f t="shared" si="8"/>
        <v>0</v>
      </c>
      <c r="C146" s="1184"/>
      <c r="D146" s="1184"/>
      <c r="E146" s="626">
        <v>15</v>
      </c>
      <c r="F146" s="3" t="str" cm="1">
        <f t="array" aca="1" ref="F146" ca="1">OFFSET(E146,-1,1)</f>
        <v>1</v>
      </c>
      <c r="G146" s="17" t="str" cm="1">
        <f t="array" ref="G146">G145</f>
        <v>транспортировка</v>
      </c>
      <c r="H146" s="1184"/>
      <c r="I146" s="1184"/>
      <c r="J146" s="1184"/>
      <c r="K146" s="77">
        <f>first_year+12</f>
        <v>2036</v>
      </c>
      <c r="L146" s="1184"/>
      <c r="M146" s="1184"/>
      <c r="N146" s="1184"/>
      <c r="O146" s="1184"/>
      <c r="P146" s="1184"/>
      <c r="Q146" s="1184"/>
      <c r="R146" s="1184"/>
      <c r="S146" s="1184"/>
      <c r="T146" s="388" t="b" cm="1">
        <f t="array" aca="1" ref="T146" ca="1">T145</f>
        <v>1</v>
      </c>
      <c r="U146" s="1184"/>
      <c r="V146" s="1184"/>
      <c r="W146" s="1184"/>
      <c r="X146" s="2032"/>
      <c r="Y146" s="2032"/>
      <c r="Z146" s="2012"/>
      <c r="AA146" s="2127"/>
      <c r="AB146" s="174" t="str">
        <f t="shared" si="9"/>
        <v>2036 год</v>
      </c>
      <c r="AC146" s="329"/>
      <c r="AD146" s="1727"/>
      <c r="AE146" s="1726"/>
      <c r="AF146" s="1726"/>
      <c r="AG146" s="1727"/>
      <c r="AH146" s="1726"/>
      <c r="AI146" s="1727"/>
      <c r="AJ146" s="1726"/>
      <c r="AK146" s="1728"/>
      <c r="AL146" s="324"/>
      <c r="AM146" s="1184"/>
      <c r="AN146" s="973" cm="1">
        <f t="array" ref="AN146">K146</f>
        <v>2036</v>
      </c>
      <c r="AO146" s="973" t="s">
        <v>2259</v>
      </c>
      <c r="AP146" s="983" t="str" cm="1">
        <f t="array" ref="AP146">AP145</f>
        <v>транспортировка</v>
      </c>
      <c r="AQ146" s="626"/>
      <c r="AR146" s="626"/>
    </row>
    <row r="147" spans="1:44" s="1792" customFormat="1" ht="14.25" hidden="1" customHeight="1" x14ac:dyDescent="0.15">
      <c r="A147" s="1184"/>
      <c r="B147" s="367" t="b">
        <f t="shared" si="8"/>
        <v>0</v>
      </c>
      <c r="C147" s="1184"/>
      <c r="D147" s="1184"/>
      <c r="E147" s="626">
        <v>15</v>
      </c>
      <c r="F147" s="3" t="str" cm="1">
        <f t="array" aca="1" ref="F147" ca="1">OFFSET(E147,-1,1)</f>
        <v>1</v>
      </c>
      <c r="G147" s="17" t="str" cm="1">
        <f t="array" ref="G147">G146</f>
        <v>транспортировка</v>
      </c>
      <c r="H147" s="1184"/>
      <c r="I147" s="1184"/>
      <c r="J147" s="1184"/>
      <c r="K147" s="77">
        <f>first_year+13</f>
        <v>2037</v>
      </c>
      <c r="L147" s="1184"/>
      <c r="M147" s="1184"/>
      <c r="N147" s="1184"/>
      <c r="O147" s="1184"/>
      <c r="P147" s="1184"/>
      <c r="Q147" s="1184"/>
      <c r="R147" s="1184"/>
      <c r="S147" s="1184"/>
      <c r="T147" s="388" t="b" cm="1">
        <f t="array" aca="1" ref="T147" ca="1">T146</f>
        <v>1</v>
      </c>
      <c r="U147" s="1184"/>
      <c r="V147" s="1184"/>
      <c r="W147" s="1184"/>
      <c r="X147" s="2032"/>
      <c r="Y147" s="2032"/>
      <c r="Z147" s="2012"/>
      <c r="AA147" s="2127"/>
      <c r="AB147" s="174" t="str">
        <f t="shared" si="9"/>
        <v>2037 год</v>
      </c>
      <c r="AC147" s="329"/>
      <c r="AD147" s="1727"/>
      <c r="AE147" s="1726"/>
      <c r="AF147" s="1726"/>
      <c r="AG147" s="1727"/>
      <c r="AH147" s="1726"/>
      <c r="AI147" s="1727"/>
      <c r="AJ147" s="1726"/>
      <c r="AK147" s="1728"/>
      <c r="AL147" s="324"/>
      <c r="AM147" s="1184"/>
      <c r="AN147" s="973" cm="1">
        <f t="array" ref="AN147">K147</f>
        <v>2037</v>
      </c>
      <c r="AO147" s="973" t="s">
        <v>2259</v>
      </c>
      <c r="AP147" s="983" t="str" cm="1">
        <f t="array" ref="AP147">AP146</f>
        <v>транспортировка</v>
      </c>
      <c r="AQ147" s="626"/>
      <c r="AR147" s="626"/>
    </row>
    <row r="148" spans="1:44" s="1793" customFormat="1" ht="14.25" hidden="1" customHeight="1" x14ac:dyDescent="0.15">
      <c r="A148" s="1184"/>
      <c r="B148" s="367" t="b">
        <f t="shared" si="8"/>
        <v>0</v>
      </c>
      <c r="C148" s="1184"/>
      <c r="D148" s="1184"/>
      <c r="E148" s="626">
        <v>15</v>
      </c>
      <c r="F148" s="3" t="str" cm="1">
        <f t="array" aca="1" ref="F148" ca="1">OFFSET(E148,-1,1)</f>
        <v>1</v>
      </c>
      <c r="G148" s="17" t="str" cm="1">
        <f t="array" ref="G148">G147</f>
        <v>транспортировка</v>
      </c>
      <c r="H148" s="1184"/>
      <c r="I148" s="1184"/>
      <c r="J148" s="1184"/>
      <c r="K148" s="77">
        <f>first_year+14</f>
        <v>2038</v>
      </c>
      <c r="L148" s="1184"/>
      <c r="M148" s="1184"/>
      <c r="N148" s="1184"/>
      <c r="O148" s="1184"/>
      <c r="P148" s="1184"/>
      <c r="Q148" s="1184"/>
      <c r="R148" s="1184"/>
      <c r="S148" s="1184"/>
      <c r="T148" s="388" t="b" cm="1">
        <f t="array" aca="1" ref="T148" ca="1">T147</f>
        <v>1</v>
      </c>
      <c r="U148" s="1184"/>
      <c r="V148" s="1184"/>
      <c r="W148" s="1184"/>
      <c r="X148" s="2032"/>
      <c r="Y148" s="2032"/>
      <c r="Z148" s="2012"/>
      <c r="AA148" s="2127"/>
      <c r="AB148" s="174" t="str">
        <f t="shared" si="9"/>
        <v>2038 год</v>
      </c>
      <c r="AC148" s="329"/>
      <c r="AD148" s="1727"/>
      <c r="AE148" s="1726"/>
      <c r="AF148" s="1726"/>
      <c r="AG148" s="1727"/>
      <c r="AH148" s="1726"/>
      <c r="AI148" s="1727"/>
      <c r="AJ148" s="1726"/>
      <c r="AK148" s="1728"/>
      <c r="AL148" s="324"/>
      <c r="AM148" s="1184"/>
      <c r="AN148" s="973" cm="1">
        <f t="array" ref="AN148">K148</f>
        <v>2038</v>
      </c>
      <c r="AO148" s="973" t="s">
        <v>2259</v>
      </c>
      <c r="AP148" s="983" t="str" cm="1">
        <f t="array" ref="AP148">AP147</f>
        <v>транспортировка</v>
      </c>
      <c r="AQ148" s="626"/>
      <c r="AR148" s="626"/>
    </row>
    <row r="149" spans="1:44" s="1794" customFormat="1" ht="14.25" hidden="1" customHeight="1" x14ac:dyDescent="0.15">
      <c r="A149" s="1184"/>
      <c r="B149" s="367" t="b">
        <f t="shared" si="8"/>
        <v>0</v>
      </c>
      <c r="C149" s="1184"/>
      <c r="D149" s="1184"/>
      <c r="E149" s="626">
        <v>15</v>
      </c>
      <c r="F149" s="3" t="str" cm="1">
        <f t="array" aca="1" ref="F149" ca="1">OFFSET(E149,-1,1)</f>
        <v>1</v>
      </c>
      <c r="G149" s="17" t="str" cm="1">
        <f t="array" ref="G149">G148</f>
        <v>транспортировка</v>
      </c>
      <c r="H149" s="1184"/>
      <c r="I149" s="1184"/>
      <c r="J149" s="1184"/>
      <c r="K149" s="77">
        <f>first_year+15</f>
        <v>2039</v>
      </c>
      <c r="L149" s="1184"/>
      <c r="M149" s="1184"/>
      <c r="N149" s="1184"/>
      <c r="O149" s="1184"/>
      <c r="P149" s="1184"/>
      <c r="Q149" s="1184"/>
      <c r="R149" s="1184"/>
      <c r="S149" s="1184"/>
      <c r="T149" s="388" t="b" cm="1">
        <f t="array" aca="1" ref="T149" ca="1">T148</f>
        <v>1</v>
      </c>
      <c r="U149" s="1184"/>
      <c r="V149" s="1184"/>
      <c r="W149" s="1184"/>
      <c r="X149" s="2032"/>
      <c r="Y149" s="2032"/>
      <c r="Z149" s="2012"/>
      <c r="AA149" s="2127"/>
      <c r="AB149" s="174" t="str">
        <f t="shared" si="9"/>
        <v>2039 год</v>
      </c>
      <c r="AC149" s="329"/>
      <c r="AD149" s="1727"/>
      <c r="AE149" s="1726"/>
      <c r="AF149" s="1726"/>
      <c r="AG149" s="1727"/>
      <c r="AH149" s="1726"/>
      <c r="AI149" s="1727"/>
      <c r="AJ149" s="1726"/>
      <c r="AK149" s="1728"/>
      <c r="AL149" s="324"/>
      <c r="AM149" s="1184"/>
      <c r="AN149" s="973" cm="1">
        <f t="array" ref="AN149">K149</f>
        <v>2039</v>
      </c>
      <c r="AO149" s="973" t="s">
        <v>2259</v>
      </c>
      <c r="AP149" s="983" t="str" cm="1">
        <f t="array" ref="AP149">AP148</f>
        <v>транспортировка</v>
      </c>
      <c r="AQ149" s="626"/>
      <c r="AR149" s="626"/>
    </row>
    <row r="150" spans="1:44" s="1795" customFormat="1" ht="14.25" hidden="1" customHeight="1" x14ac:dyDescent="0.15">
      <c r="A150" s="1184"/>
      <c r="B150" s="367" t="b">
        <f t="shared" si="8"/>
        <v>0</v>
      </c>
      <c r="C150" s="1184"/>
      <c r="D150" s="1184"/>
      <c r="E150" s="626">
        <v>15</v>
      </c>
      <c r="F150" s="3" t="str" cm="1">
        <f t="array" aca="1" ref="F150" ca="1">OFFSET(E150,-1,1)</f>
        <v>1</v>
      </c>
      <c r="G150" s="17" t="str" cm="1">
        <f t="array" ref="G150">G149</f>
        <v>транспортировка</v>
      </c>
      <c r="H150" s="1184"/>
      <c r="I150" s="1184"/>
      <c r="J150" s="1184"/>
      <c r="K150" s="77">
        <f>first_year+16</f>
        <v>2040</v>
      </c>
      <c r="L150" s="1184"/>
      <c r="M150" s="1184"/>
      <c r="N150" s="1184"/>
      <c r="O150" s="1184"/>
      <c r="P150" s="1184"/>
      <c r="Q150" s="1184"/>
      <c r="R150" s="1184"/>
      <c r="S150" s="1184"/>
      <c r="T150" s="388" t="b" cm="1">
        <f t="array" aca="1" ref="T150" ca="1">T149</f>
        <v>1</v>
      </c>
      <c r="U150" s="1184"/>
      <c r="V150" s="1184"/>
      <c r="W150" s="1184"/>
      <c r="X150" s="2032"/>
      <c r="Y150" s="2032"/>
      <c r="Z150" s="2012"/>
      <c r="AA150" s="2127"/>
      <c r="AB150" s="174" t="str">
        <f t="shared" si="9"/>
        <v>2040 год</v>
      </c>
      <c r="AC150" s="329"/>
      <c r="AD150" s="1727"/>
      <c r="AE150" s="1726"/>
      <c r="AF150" s="1726"/>
      <c r="AG150" s="1727"/>
      <c r="AH150" s="1726"/>
      <c r="AI150" s="1727"/>
      <c r="AJ150" s="1726"/>
      <c r="AK150" s="1728"/>
      <c r="AL150" s="324"/>
      <c r="AM150" s="1184"/>
      <c r="AN150" s="973" cm="1">
        <f t="array" ref="AN150">K150</f>
        <v>2040</v>
      </c>
      <c r="AO150" s="973" t="s">
        <v>2259</v>
      </c>
      <c r="AP150" s="983" t="str" cm="1">
        <f t="array" ref="AP150">AP149</f>
        <v>транспортировка</v>
      </c>
      <c r="AQ150" s="626"/>
      <c r="AR150" s="626"/>
    </row>
    <row r="151" spans="1:44" s="1796" customFormat="1" ht="14.25" hidden="1" customHeight="1" x14ac:dyDescent="0.15">
      <c r="A151" s="1184"/>
      <c r="B151" s="367" t="b">
        <f t="shared" si="8"/>
        <v>0</v>
      </c>
      <c r="C151" s="1184"/>
      <c r="D151" s="1184"/>
      <c r="E151" s="626">
        <v>15</v>
      </c>
      <c r="F151" s="3" t="str" cm="1">
        <f t="array" aca="1" ref="F151" ca="1">OFFSET(E151,-1,1)</f>
        <v>1</v>
      </c>
      <c r="G151" s="17" t="str" cm="1">
        <f t="array" ref="G151">G150</f>
        <v>транспортировка</v>
      </c>
      <c r="H151" s="1184"/>
      <c r="I151" s="1184"/>
      <c r="J151" s="1184"/>
      <c r="K151" s="77">
        <f>first_year+17</f>
        <v>2041</v>
      </c>
      <c r="L151" s="1184"/>
      <c r="M151" s="1184"/>
      <c r="N151" s="1184"/>
      <c r="O151" s="1184"/>
      <c r="P151" s="1184"/>
      <c r="Q151" s="1184"/>
      <c r="R151" s="1184"/>
      <c r="S151" s="1184"/>
      <c r="T151" s="388" t="b" cm="1">
        <f t="array" aca="1" ref="T151" ca="1">T150</f>
        <v>1</v>
      </c>
      <c r="U151" s="1184"/>
      <c r="V151" s="1184"/>
      <c r="W151" s="1184"/>
      <c r="X151" s="2032"/>
      <c r="Y151" s="2032"/>
      <c r="Z151" s="2012"/>
      <c r="AA151" s="2127"/>
      <c r="AB151" s="174" t="str">
        <f t="shared" si="9"/>
        <v>2041 год</v>
      </c>
      <c r="AC151" s="329"/>
      <c r="AD151" s="1727"/>
      <c r="AE151" s="1726"/>
      <c r="AF151" s="1726"/>
      <c r="AG151" s="1727"/>
      <c r="AH151" s="1726"/>
      <c r="AI151" s="1727"/>
      <c r="AJ151" s="1726"/>
      <c r="AK151" s="1728"/>
      <c r="AL151" s="324"/>
      <c r="AM151" s="1184"/>
      <c r="AN151" s="973" cm="1">
        <f t="array" ref="AN151">K151</f>
        <v>2041</v>
      </c>
      <c r="AO151" s="973" t="s">
        <v>2259</v>
      </c>
      <c r="AP151" s="983" t="str" cm="1">
        <f t="array" ref="AP151">AP150</f>
        <v>транспортировка</v>
      </c>
      <c r="AQ151" s="626"/>
      <c r="AR151" s="626"/>
    </row>
    <row r="152" spans="1:44" s="1797" customFormat="1" ht="14.25" hidden="1" customHeight="1" x14ac:dyDescent="0.15">
      <c r="A152" s="1184"/>
      <c r="B152" s="367" t="b">
        <f t="shared" si="8"/>
        <v>0</v>
      </c>
      <c r="C152" s="1184"/>
      <c r="D152" s="1184"/>
      <c r="E152" s="626">
        <v>15</v>
      </c>
      <c r="F152" s="3" t="str" cm="1">
        <f t="array" aca="1" ref="F152" ca="1">OFFSET(E152,-1,1)</f>
        <v>1</v>
      </c>
      <c r="G152" s="17" t="str" cm="1">
        <f t="array" ref="G152">G151</f>
        <v>транспортировка</v>
      </c>
      <c r="H152" s="1184"/>
      <c r="I152" s="1184"/>
      <c r="J152" s="1184"/>
      <c r="K152" s="77">
        <f>first_year+18</f>
        <v>2042</v>
      </c>
      <c r="L152" s="1184"/>
      <c r="M152" s="1184"/>
      <c r="N152" s="1184"/>
      <c r="O152" s="1184"/>
      <c r="P152" s="1184"/>
      <c r="Q152" s="1184"/>
      <c r="R152" s="1184"/>
      <c r="S152" s="1184"/>
      <c r="T152" s="388" t="b" cm="1">
        <f t="array" aca="1" ref="T152" ca="1">T151</f>
        <v>1</v>
      </c>
      <c r="U152" s="1184"/>
      <c r="V152" s="1184"/>
      <c r="W152" s="1184"/>
      <c r="X152" s="2032"/>
      <c r="Y152" s="2032"/>
      <c r="Z152" s="2012"/>
      <c r="AA152" s="2127"/>
      <c r="AB152" s="174" t="str">
        <f t="shared" si="9"/>
        <v>2042 год</v>
      </c>
      <c r="AC152" s="329"/>
      <c r="AD152" s="1727"/>
      <c r="AE152" s="1726"/>
      <c r="AF152" s="1726"/>
      <c r="AG152" s="1727"/>
      <c r="AH152" s="1726"/>
      <c r="AI152" s="1727"/>
      <c r="AJ152" s="1726"/>
      <c r="AK152" s="1728"/>
      <c r="AL152" s="324"/>
      <c r="AM152" s="1184"/>
      <c r="AN152" s="973" cm="1">
        <f t="array" ref="AN152">K152</f>
        <v>2042</v>
      </c>
      <c r="AO152" s="973" t="s">
        <v>2259</v>
      </c>
      <c r="AP152" s="983" t="str" cm="1">
        <f t="array" ref="AP152">AP151</f>
        <v>транспортировка</v>
      </c>
      <c r="AQ152" s="626"/>
      <c r="AR152" s="626"/>
    </row>
    <row r="153" spans="1:44" s="1798" customFormat="1" ht="14.25" hidden="1" customHeight="1" x14ac:dyDescent="0.15">
      <c r="A153" s="1184"/>
      <c r="B153" s="367" t="b">
        <f t="shared" si="8"/>
        <v>0</v>
      </c>
      <c r="C153" s="1184"/>
      <c r="D153" s="1184"/>
      <c r="E153" s="626">
        <v>15</v>
      </c>
      <c r="F153" s="3" t="str" cm="1">
        <f t="array" aca="1" ref="F153" ca="1">OFFSET(E153,-1,1)</f>
        <v>1</v>
      </c>
      <c r="G153" s="17" t="str" cm="1">
        <f t="array" ref="G153">G152</f>
        <v>транспортировка</v>
      </c>
      <c r="H153" s="1184"/>
      <c r="I153" s="1184"/>
      <c r="J153" s="1184"/>
      <c r="K153" s="77">
        <f>first_year+19</f>
        <v>2043</v>
      </c>
      <c r="L153" s="1184"/>
      <c r="M153" s="1184"/>
      <c r="N153" s="1184"/>
      <c r="O153" s="1184"/>
      <c r="P153" s="1184"/>
      <c r="Q153" s="1184"/>
      <c r="R153" s="1184"/>
      <c r="S153" s="1184"/>
      <c r="T153" s="388" t="b" cm="1">
        <f t="array" aca="1" ref="T153" ca="1">T152</f>
        <v>1</v>
      </c>
      <c r="U153" s="1184"/>
      <c r="V153" s="1184"/>
      <c r="W153" s="1184"/>
      <c r="X153" s="2032"/>
      <c r="Y153" s="2032"/>
      <c r="Z153" s="2012"/>
      <c r="AA153" s="2127"/>
      <c r="AB153" s="174" t="str">
        <f t="shared" si="9"/>
        <v>2043 год</v>
      </c>
      <c r="AC153" s="329"/>
      <c r="AD153" s="1727"/>
      <c r="AE153" s="1726"/>
      <c r="AF153" s="1726"/>
      <c r="AG153" s="1727"/>
      <c r="AH153" s="1726"/>
      <c r="AI153" s="1727"/>
      <c r="AJ153" s="1726"/>
      <c r="AK153" s="1728"/>
      <c r="AL153" s="324"/>
      <c r="AM153" s="1184"/>
      <c r="AN153" s="973" cm="1">
        <f t="array" ref="AN153">K153</f>
        <v>2043</v>
      </c>
      <c r="AO153" s="973" t="s">
        <v>2259</v>
      </c>
      <c r="AP153" s="983" t="str" cm="1">
        <f t="array" ref="AP153">AP152</f>
        <v>транспортировка</v>
      </c>
      <c r="AQ153" s="626"/>
      <c r="AR153" s="626"/>
    </row>
    <row r="154" spans="1:44" s="1799" customFormat="1" ht="14.25" hidden="1" customHeight="1" x14ac:dyDescent="0.15">
      <c r="A154" s="1184"/>
      <c r="B154" s="367" t="b">
        <f t="shared" si="8"/>
        <v>0</v>
      </c>
      <c r="C154" s="1184"/>
      <c r="D154" s="1184"/>
      <c r="E154" s="626">
        <v>15</v>
      </c>
      <c r="F154" s="3" t="str" cm="1">
        <f t="array" aca="1" ref="F154" ca="1">OFFSET(E154,-1,1)</f>
        <v>1</v>
      </c>
      <c r="G154" s="17" t="str" cm="1">
        <f t="array" ref="G154">G153</f>
        <v>транспортировка</v>
      </c>
      <c r="H154" s="1184"/>
      <c r="I154" s="1184"/>
      <c r="J154" s="1184"/>
      <c r="K154" s="77">
        <f>first_year+20</f>
        <v>2044</v>
      </c>
      <c r="L154" s="1184"/>
      <c r="M154" s="1184"/>
      <c r="N154" s="1184"/>
      <c r="O154" s="1184"/>
      <c r="P154" s="1184"/>
      <c r="Q154" s="1184"/>
      <c r="R154" s="1184"/>
      <c r="S154" s="1184"/>
      <c r="T154" s="388" t="b" cm="1">
        <f t="array" aca="1" ref="T154" ca="1">T153</f>
        <v>1</v>
      </c>
      <c r="U154" s="1184"/>
      <c r="V154" s="1184"/>
      <c r="W154" s="1184"/>
      <c r="X154" s="2032"/>
      <c r="Y154" s="2032"/>
      <c r="Z154" s="2012"/>
      <c r="AA154" s="2127"/>
      <c r="AB154" s="174" t="str">
        <f t="shared" si="9"/>
        <v>2044 год</v>
      </c>
      <c r="AC154" s="329"/>
      <c r="AD154" s="1727"/>
      <c r="AE154" s="1726"/>
      <c r="AF154" s="1726"/>
      <c r="AG154" s="1727"/>
      <c r="AH154" s="1726"/>
      <c r="AI154" s="1727"/>
      <c r="AJ154" s="1726"/>
      <c r="AK154" s="1728"/>
      <c r="AL154" s="324"/>
      <c r="AM154" s="1184"/>
      <c r="AN154" s="973" cm="1">
        <f t="array" ref="AN154">K154</f>
        <v>2044</v>
      </c>
      <c r="AO154" s="973" t="s">
        <v>2259</v>
      </c>
      <c r="AP154" s="983" t="str" cm="1">
        <f t="array" ref="AP154">AP153</f>
        <v>транспортировка</v>
      </c>
      <c r="AQ154" s="626"/>
      <c r="AR154" s="626"/>
    </row>
    <row r="155" spans="1:44" s="1800" customFormat="1" ht="14.25" hidden="1" customHeight="1" x14ac:dyDescent="0.15">
      <c r="A155" s="1184"/>
      <c r="B155" s="367" t="b">
        <f t="shared" si="8"/>
        <v>0</v>
      </c>
      <c r="C155" s="1184"/>
      <c r="D155" s="1184"/>
      <c r="E155" s="626">
        <v>15</v>
      </c>
      <c r="F155" s="3" t="str" cm="1">
        <f t="array" aca="1" ref="F155" ca="1">OFFSET(E155,-1,1)</f>
        <v>1</v>
      </c>
      <c r="G155" s="17" t="str" cm="1">
        <f t="array" ref="G155">G154</f>
        <v>транспортировка</v>
      </c>
      <c r="H155" s="1184"/>
      <c r="I155" s="1184"/>
      <c r="J155" s="1184"/>
      <c r="K155" s="77">
        <f>first_year+21</f>
        <v>2045</v>
      </c>
      <c r="L155" s="1184"/>
      <c r="M155" s="1184"/>
      <c r="N155" s="1184"/>
      <c r="O155" s="1184"/>
      <c r="P155" s="1184"/>
      <c r="Q155" s="1184"/>
      <c r="R155" s="1184"/>
      <c r="S155" s="1184"/>
      <c r="T155" s="388" t="b" cm="1">
        <f t="array" aca="1" ref="T155" ca="1">T154</f>
        <v>1</v>
      </c>
      <c r="U155" s="1184"/>
      <c r="V155" s="1184"/>
      <c r="W155" s="1184"/>
      <c r="X155" s="2032"/>
      <c r="Y155" s="2032"/>
      <c r="Z155" s="2012"/>
      <c r="AA155" s="2127"/>
      <c r="AB155" s="174" t="str">
        <f t="shared" si="9"/>
        <v>2045 год</v>
      </c>
      <c r="AC155" s="329"/>
      <c r="AD155" s="1727"/>
      <c r="AE155" s="1726"/>
      <c r="AF155" s="1726"/>
      <c r="AG155" s="1727"/>
      <c r="AH155" s="1726"/>
      <c r="AI155" s="1727"/>
      <c r="AJ155" s="1726"/>
      <c r="AK155" s="1728"/>
      <c r="AL155" s="324"/>
      <c r="AM155" s="1184"/>
      <c r="AN155" s="973" cm="1">
        <f t="array" ref="AN155">K155</f>
        <v>2045</v>
      </c>
      <c r="AO155" s="973" t="s">
        <v>2259</v>
      </c>
      <c r="AP155" s="983" t="str" cm="1">
        <f t="array" ref="AP155">AP154</f>
        <v>транспортировка</v>
      </c>
      <c r="AQ155" s="626"/>
      <c r="AR155" s="626"/>
    </row>
    <row r="156" spans="1:44" s="1801" customFormat="1" ht="14.25" hidden="1" customHeight="1" x14ac:dyDescent="0.15">
      <c r="A156" s="1184"/>
      <c r="B156" s="367" t="b">
        <f t="shared" si="8"/>
        <v>0</v>
      </c>
      <c r="C156" s="1184"/>
      <c r="D156" s="1184"/>
      <c r="E156" s="626">
        <v>15</v>
      </c>
      <c r="F156" s="3" t="str" cm="1">
        <f t="array" aca="1" ref="F156" ca="1">OFFSET(E156,-1,1)</f>
        <v>1</v>
      </c>
      <c r="G156" s="17" t="str" cm="1">
        <f t="array" ref="G156">G155</f>
        <v>транспортировка</v>
      </c>
      <c r="H156" s="1184"/>
      <c r="I156" s="1184"/>
      <c r="J156" s="1184"/>
      <c r="K156" s="77">
        <f>first_year+22</f>
        <v>2046</v>
      </c>
      <c r="L156" s="1184"/>
      <c r="M156" s="1184"/>
      <c r="N156" s="1184"/>
      <c r="O156" s="1184"/>
      <c r="P156" s="1184"/>
      <c r="Q156" s="1184"/>
      <c r="R156" s="1184"/>
      <c r="S156" s="1184"/>
      <c r="T156" s="388" t="b" cm="1">
        <f t="array" aca="1" ref="T156" ca="1">T155</f>
        <v>1</v>
      </c>
      <c r="U156" s="1184"/>
      <c r="V156" s="1184"/>
      <c r="W156" s="1184"/>
      <c r="X156" s="2032"/>
      <c r="Y156" s="2032"/>
      <c r="Z156" s="2012"/>
      <c r="AA156" s="2127"/>
      <c r="AB156" s="174" t="str">
        <f t="shared" si="9"/>
        <v>2046 год</v>
      </c>
      <c r="AC156" s="329"/>
      <c r="AD156" s="1727"/>
      <c r="AE156" s="1726"/>
      <c r="AF156" s="1726"/>
      <c r="AG156" s="1727"/>
      <c r="AH156" s="1726"/>
      <c r="AI156" s="1727"/>
      <c r="AJ156" s="1726"/>
      <c r="AK156" s="1728"/>
      <c r="AL156" s="324"/>
      <c r="AM156" s="1184"/>
      <c r="AN156" s="973" cm="1">
        <f t="array" ref="AN156">K156</f>
        <v>2046</v>
      </c>
      <c r="AO156" s="973" t="s">
        <v>2259</v>
      </c>
      <c r="AP156" s="983" t="str" cm="1">
        <f t="array" ref="AP156">AP155</f>
        <v>транспортировка</v>
      </c>
      <c r="AQ156" s="626"/>
      <c r="AR156" s="626"/>
    </row>
    <row r="157" spans="1:44" s="1802" customFormat="1" ht="14.25" hidden="1" customHeight="1" x14ac:dyDescent="0.15">
      <c r="A157" s="1184"/>
      <c r="B157" s="367" t="b">
        <f t="shared" si="8"/>
        <v>0</v>
      </c>
      <c r="C157" s="1184"/>
      <c r="D157" s="1184"/>
      <c r="E157" s="626">
        <v>15</v>
      </c>
      <c r="F157" s="3" t="str" cm="1">
        <f t="array" aca="1" ref="F157" ca="1">OFFSET(E157,-1,1)</f>
        <v>1</v>
      </c>
      <c r="G157" s="17" t="str" cm="1">
        <f t="array" ref="G157">G156</f>
        <v>транспортировка</v>
      </c>
      <c r="H157" s="1184"/>
      <c r="I157" s="1184"/>
      <c r="J157" s="1184"/>
      <c r="K157" s="77">
        <f>first_year+23</f>
        <v>2047</v>
      </c>
      <c r="L157" s="1184"/>
      <c r="M157" s="1184"/>
      <c r="N157" s="1184"/>
      <c r="O157" s="1184"/>
      <c r="P157" s="1184"/>
      <c r="Q157" s="1184"/>
      <c r="R157" s="1184"/>
      <c r="S157" s="1184"/>
      <c r="T157" s="388" t="b" cm="1">
        <f t="array" aca="1" ref="T157" ca="1">T156</f>
        <v>1</v>
      </c>
      <c r="U157" s="1184"/>
      <c r="V157" s="1184"/>
      <c r="W157" s="1184"/>
      <c r="X157" s="2032"/>
      <c r="Y157" s="2032"/>
      <c r="Z157" s="2012"/>
      <c r="AA157" s="2127"/>
      <c r="AB157" s="174" t="str">
        <f t="shared" si="9"/>
        <v>2047 год</v>
      </c>
      <c r="AC157" s="329"/>
      <c r="AD157" s="1727"/>
      <c r="AE157" s="1726"/>
      <c r="AF157" s="1726"/>
      <c r="AG157" s="1727"/>
      <c r="AH157" s="1726"/>
      <c r="AI157" s="1727"/>
      <c r="AJ157" s="1726"/>
      <c r="AK157" s="1728"/>
      <c r="AL157" s="324"/>
      <c r="AM157" s="1184"/>
      <c r="AN157" s="973" cm="1">
        <f t="array" ref="AN157">K157</f>
        <v>2047</v>
      </c>
      <c r="AO157" s="973" t="s">
        <v>2259</v>
      </c>
      <c r="AP157" s="983" t="str" cm="1">
        <f t="array" ref="AP157">AP156</f>
        <v>транспортировка</v>
      </c>
      <c r="AQ157" s="626"/>
      <c r="AR157" s="626"/>
    </row>
    <row r="158" spans="1:44" s="1803" customFormat="1" ht="14.25" hidden="1" customHeight="1" x14ac:dyDescent="0.15">
      <c r="A158" s="1184"/>
      <c r="B158" s="367" t="b">
        <f t="shared" si="8"/>
        <v>0</v>
      </c>
      <c r="C158" s="1184"/>
      <c r="D158" s="1184"/>
      <c r="E158" s="626">
        <v>15</v>
      </c>
      <c r="F158" s="3" t="str" cm="1">
        <f t="array" aca="1" ref="F158" ca="1">OFFSET(E158,-1,1)</f>
        <v>1</v>
      </c>
      <c r="G158" s="17" t="str" cm="1">
        <f t="array" ref="G158">G157</f>
        <v>транспортировка</v>
      </c>
      <c r="H158" s="1184"/>
      <c r="I158" s="1184"/>
      <c r="J158" s="1184"/>
      <c r="K158" s="77">
        <f>first_year+24</f>
        <v>2048</v>
      </c>
      <c r="L158" s="1184"/>
      <c r="M158" s="1184"/>
      <c r="N158" s="1184"/>
      <c r="O158" s="1184"/>
      <c r="P158" s="1184"/>
      <c r="Q158" s="1184"/>
      <c r="R158" s="1184"/>
      <c r="S158" s="1184"/>
      <c r="T158" s="388" t="b" cm="1">
        <f t="array" aca="1" ref="T158" ca="1">T157</f>
        <v>1</v>
      </c>
      <c r="U158" s="1184"/>
      <c r="V158" s="1184"/>
      <c r="W158" s="1184"/>
      <c r="X158" s="2032"/>
      <c r="Y158" s="2032"/>
      <c r="Z158" s="2012"/>
      <c r="AA158" s="2127"/>
      <c r="AB158" s="174" t="str">
        <f t="shared" si="9"/>
        <v>2048 год</v>
      </c>
      <c r="AC158" s="329"/>
      <c r="AD158" s="1727"/>
      <c r="AE158" s="1726"/>
      <c r="AF158" s="1726"/>
      <c r="AG158" s="1727"/>
      <c r="AH158" s="1726"/>
      <c r="AI158" s="1727"/>
      <c r="AJ158" s="1726"/>
      <c r="AK158" s="1728"/>
      <c r="AL158" s="324"/>
      <c r="AM158" s="1184"/>
      <c r="AN158" s="973" cm="1">
        <f t="array" ref="AN158">K158</f>
        <v>2048</v>
      </c>
      <c r="AO158" s="973" t="s">
        <v>2259</v>
      </c>
      <c r="AP158" s="983" t="str" cm="1">
        <f t="array" ref="AP158">AP157</f>
        <v>транспортировка</v>
      </c>
      <c r="AQ158" s="626"/>
      <c r="AR158" s="626"/>
    </row>
    <row r="159" spans="1:44" s="1804" customFormat="1" ht="14.25" hidden="1" customHeight="1" x14ac:dyDescent="0.15">
      <c r="A159" s="1184"/>
      <c r="B159" s="367" t="b">
        <f t="shared" si="8"/>
        <v>0</v>
      </c>
      <c r="C159" s="1184"/>
      <c r="D159" s="1184"/>
      <c r="E159" s="626">
        <v>15</v>
      </c>
      <c r="F159" s="3" t="str" cm="1">
        <f t="array" aca="1" ref="F159" ca="1">OFFSET(E159,-1,1)</f>
        <v>1</v>
      </c>
      <c r="G159" s="17" t="str" cm="1">
        <f t="array" ref="G159">G158</f>
        <v>транспортировка</v>
      </c>
      <c r="H159" s="1184"/>
      <c r="I159" s="1184"/>
      <c r="J159" s="1184"/>
      <c r="K159" s="77">
        <f>first_year+25</f>
        <v>2049</v>
      </c>
      <c r="L159" s="1184"/>
      <c r="M159" s="1184"/>
      <c r="N159" s="1184"/>
      <c r="O159" s="1184"/>
      <c r="P159" s="1184"/>
      <c r="Q159" s="1184"/>
      <c r="R159" s="1184"/>
      <c r="S159" s="1184"/>
      <c r="T159" s="388" t="b" cm="1">
        <f t="array" aca="1" ref="T159" ca="1">T158</f>
        <v>1</v>
      </c>
      <c r="U159" s="1184"/>
      <c r="V159" s="1184"/>
      <c r="W159" s="1184"/>
      <c r="X159" s="2032"/>
      <c r="Y159" s="2032"/>
      <c r="Z159" s="2012"/>
      <c r="AA159" s="2127"/>
      <c r="AB159" s="174" t="str">
        <f t="shared" si="9"/>
        <v>2049 год</v>
      </c>
      <c r="AC159" s="329"/>
      <c r="AD159" s="1727"/>
      <c r="AE159" s="1726"/>
      <c r="AF159" s="1726"/>
      <c r="AG159" s="1727"/>
      <c r="AH159" s="1726"/>
      <c r="AI159" s="1727"/>
      <c r="AJ159" s="1726"/>
      <c r="AK159" s="1728"/>
      <c r="AL159" s="324"/>
      <c r="AM159" s="1184"/>
      <c r="AN159" s="973" cm="1">
        <f t="array" ref="AN159">K159</f>
        <v>2049</v>
      </c>
      <c r="AO159" s="973" t="s">
        <v>2259</v>
      </c>
      <c r="AP159" s="983" t="str" cm="1">
        <f t="array" ref="AP159">AP158</f>
        <v>транспортировка</v>
      </c>
      <c r="AQ159" s="626"/>
      <c r="AR159" s="626"/>
    </row>
    <row r="160" spans="1:44" s="1805" customFormat="1" ht="14.25" hidden="1" customHeight="1" x14ac:dyDescent="0.15">
      <c r="A160" s="1184"/>
      <c r="B160" s="367" t="b">
        <f t="shared" si="8"/>
        <v>0</v>
      </c>
      <c r="C160" s="1184"/>
      <c r="D160" s="1184"/>
      <c r="E160" s="626">
        <v>15</v>
      </c>
      <c r="F160" s="3" t="str" cm="1">
        <f t="array" aca="1" ref="F160" ca="1">OFFSET(E160,-1,1)</f>
        <v>1</v>
      </c>
      <c r="G160" s="17" t="str" cm="1">
        <f t="array" ref="G160">G159</f>
        <v>транспортировка</v>
      </c>
      <c r="H160" s="1184"/>
      <c r="I160" s="1184"/>
      <c r="J160" s="1184"/>
      <c r="K160" s="77">
        <f>first_year+26</f>
        <v>2050</v>
      </c>
      <c r="L160" s="1184"/>
      <c r="M160" s="1184"/>
      <c r="N160" s="1184"/>
      <c r="O160" s="1184"/>
      <c r="P160" s="1184"/>
      <c r="Q160" s="1184"/>
      <c r="R160" s="1184"/>
      <c r="S160" s="1184"/>
      <c r="T160" s="388" t="b" cm="1">
        <f t="array" aca="1" ref="T160" ca="1">T159</f>
        <v>1</v>
      </c>
      <c r="U160" s="1184"/>
      <c r="V160" s="1184"/>
      <c r="W160" s="1184"/>
      <c r="X160" s="2032"/>
      <c r="Y160" s="2032"/>
      <c r="Z160" s="2012"/>
      <c r="AA160" s="2127"/>
      <c r="AB160" s="174" t="str">
        <f t="shared" si="9"/>
        <v>2050 год</v>
      </c>
      <c r="AC160" s="329"/>
      <c r="AD160" s="1727"/>
      <c r="AE160" s="1726"/>
      <c r="AF160" s="1726"/>
      <c r="AG160" s="1727"/>
      <c r="AH160" s="1726"/>
      <c r="AI160" s="1727"/>
      <c r="AJ160" s="1726"/>
      <c r="AK160" s="1728"/>
      <c r="AL160" s="324"/>
      <c r="AM160" s="1184"/>
      <c r="AN160" s="973" cm="1">
        <f t="array" ref="AN160">K160</f>
        <v>2050</v>
      </c>
      <c r="AO160" s="973" t="s">
        <v>2259</v>
      </c>
      <c r="AP160" s="983" t="str" cm="1">
        <f t="array" ref="AP160">AP159</f>
        <v>транспортировка</v>
      </c>
      <c r="AQ160" s="626"/>
      <c r="AR160" s="626"/>
    </row>
    <row r="161" spans="1:44" s="1806" customFormat="1" ht="14.25" hidden="1" customHeight="1" x14ac:dyDescent="0.15">
      <c r="A161" s="1184"/>
      <c r="B161" s="367" t="b">
        <f t="shared" si="8"/>
        <v>0</v>
      </c>
      <c r="C161" s="1184"/>
      <c r="D161" s="1184"/>
      <c r="E161" s="626">
        <v>15</v>
      </c>
      <c r="F161" s="3" t="str" cm="1">
        <f t="array" aca="1" ref="F161" ca="1">OFFSET(E161,-1,1)</f>
        <v>1</v>
      </c>
      <c r="G161" s="17" t="str" cm="1">
        <f t="array" ref="G161">G160</f>
        <v>транспортировка</v>
      </c>
      <c r="H161" s="1184"/>
      <c r="I161" s="1184"/>
      <c r="J161" s="1184"/>
      <c r="K161" s="77">
        <f>first_year+27</f>
        <v>2051</v>
      </c>
      <c r="L161" s="1184"/>
      <c r="M161" s="1184"/>
      <c r="N161" s="1184"/>
      <c r="O161" s="1184"/>
      <c r="P161" s="1184"/>
      <c r="Q161" s="1184"/>
      <c r="R161" s="1184"/>
      <c r="S161" s="1184"/>
      <c r="T161" s="388" t="b" cm="1">
        <f t="array" aca="1" ref="T161" ca="1">T160</f>
        <v>1</v>
      </c>
      <c r="U161" s="1184"/>
      <c r="V161" s="1184"/>
      <c r="W161" s="1184"/>
      <c r="X161" s="2032"/>
      <c r="Y161" s="2032"/>
      <c r="Z161" s="2012"/>
      <c r="AA161" s="2127"/>
      <c r="AB161" s="174" t="str">
        <f t="shared" si="9"/>
        <v>2051 год</v>
      </c>
      <c r="AC161" s="329"/>
      <c r="AD161" s="1727"/>
      <c r="AE161" s="1726"/>
      <c r="AF161" s="1726"/>
      <c r="AG161" s="1727"/>
      <c r="AH161" s="1726"/>
      <c r="AI161" s="1727"/>
      <c r="AJ161" s="1726"/>
      <c r="AK161" s="1728"/>
      <c r="AL161" s="324"/>
      <c r="AM161" s="1184"/>
      <c r="AN161" s="973" cm="1">
        <f t="array" ref="AN161">K161</f>
        <v>2051</v>
      </c>
      <c r="AO161" s="973" t="s">
        <v>2259</v>
      </c>
      <c r="AP161" s="983" t="str" cm="1">
        <f t="array" ref="AP161">AP160</f>
        <v>транспортировка</v>
      </c>
      <c r="AQ161" s="626"/>
      <c r="AR161" s="626"/>
    </row>
    <row r="162" spans="1:44" s="1807" customFormat="1" ht="14.25" hidden="1" customHeight="1" x14ac:dyDescent="0.15">
      <c r="A162" s="1184"/>
      <c r="B162" s="367" t="b">
        <f t="shared" si="8"/>
        <v>0</v>
      </c>
      <c r="C162" s="1184"/>
      <c r="D162" s="1184"/>
      <c r="E162" s="626">
        <v>15</v>
      </c>
      <c r="F162" s="3" t="str" cm="1">
        <f t="array" aca="1" ref="F162" ca="1">OFFSET(E162,-1,1)</f>
        <v>1</v>
      </c>
      <c r="G162" s="17" t="str" cm="1">
        <f t="array" ref="G162">G161</f>
        <v>транспортировка</v>
      </c>
      <c r="H162" s="1184"/>
      <c r="I162" s="1184"/>
      <c r="J162" s="1184"/>
      <c r="K162" s="77">
        <f>first_year+28</f>
        <v>2052</v>
      </c>
      <c r="L162" s="1184"/>
      <c r="M162" s="1184"/>
      <c r="N162" s="1184"/>
      <c r="O162" s="1184"/>
      <c r="P162" s="1184"/>
      <c r="Q162" s="1184"/>
      <c r="R162" s="1184"/>
      <c r="S162" s="1184"/>
      <c r="T162" s="388" t="b" cm="1">
        <f t="array" aca="1" ref="T162" ca="1">T161</f>
        <v>1</v>
      </c>
      <c r="U162" s="1184"/>
      <c r="V162" s="1184"/>
      <c r="W162" s="1184"/>
      <c r="X162" s="2032"/>
      <c r="Y162" s="2032"/>
      <c r="Z162" s="2012"/>
      <c r="AA162" s="2127"/>
      <c r="AB162" s="174" t="str">
        <f t="shared" si="9"/>
        <v>2052 год</v>
      </c>
      <c r="AC162" s="329"/>
      <c r="AD162" s="1727"/>
      <c r="AE162" s="1726"/>
      <c r="AF162" s="1726"/>
      <c r="AG162" s="1727"/>
      <c r="AH162" s="1726"/>
      <c r="AI162" s="1727"/>
      <c r="AJ162" s="1726"/>
      <c r="AK162" s="1728"/>
      <c r="AL162" s="324"/>
      <c r="AM162" s="1184"/>
      <c r="AN162" s="973" cm="1">
        <f t="array" ref="AN162">K162</f>
        <v>2052</v>
      </c>
      <c r="AO162" s="973" t="s">
        <v>2259</v>
      </c>
      <c r="AP162" s="983" t="str" cm="1">
        <f t="array" ref="AP162">AP161</f>
        <v>транспортировка</v>
      </c>
      <c r="AQ162" s="626"/>
      <c r="AR162" s="626"/>
    </row>
    <row r="163" spans="1:44" s="1808" customFormat="1" ht="14.25" hidden="1" customHeight="1" x14ac:dyDescent="0.15">
      <c r="A163" s="1184"/>
      <c r="B163" s="367" t="b">
        <f t="shared" si="8"/>
        <v>0</v>
      </c>
      <c r="C163" s="1184"/>
      <c r="D163" s="1184"/>
      <c r="E163" s="626">
        <v>15</v>
      </c>
      <c r="F163" s="3" t="str" cm="1">
        <f t="array" aca="1" ref="F163" ca="1">OFFSET(E163,-1,1)</f>
        <v>1</v>
      </c>
      <c r="G163" s="17" t="str" cm="1">
        <f t="array" ref="G163">G162</f>
        <v>транспортировка</v>
      </c>
      <c r="H163" s="1184"/>
      <c r="I163" s="1184"/>
      <c r="J163" s="1184"/>
      <c r="K163" s="77">
        <f>first_year+29</f>
        <v>2053</v>
      </c>
      <c r="L163" s="1184"/>
      <c r="M163" s="1184"/>
      <c r="N163" s="1184"/>
      <c r="O163" s="1184"/>
      <c r="P163" s="1184"/>
      <c r="Q163" s="1184"/>
      <c r="R163" s="1184"/>
      <c r="S163" s="1184"/>
      <c r="T163" s="388" t="b" cm="1">
        <f t="array" aca="1" ref="T163" ca="1">T162</f>
        <v>1</v>
      </c>
      <c r="U163" s="1184"/>
      <c r="V163" s="1184"/>
      <c r="W163" s="1184"/>
      <c r="X163" s="2032"/>
      <c r="Y163" s="2032"/>
      <c r="Z163" s="2012"/>
      <c r="AA163" s="2127"/>
      <c r="AB163" s="174" t="str">
        <f t="shared" si="9"/>
        <v>2053 год</v>
      </c>
      <c r="AC163" s="329"/>
      <c r="AD163" s="1727"/>
      <c r="AE163" s="1726"/>
      <c r="AF163" s="1726"/>
      <c r="AG163" s="1727"/>
      <c r="AH163" s="1726"/>
      <c r="AI163" s="1727"/>
      <c r="AJ163" s="1726"/>
      <c r="AK163" s="1728"/>
      <c r="AL163" s="324"/>
      <c r="AM163" s="1184"/>
      <c r="AN163" s="973" cm="1">
        <f t="array" ref="AN163">K163</f>
        <v>2053</v>
      </c>
      <c r="AO163" s="973" t="s">
        <v>2259</v>
      </c>
      <c r="AP163" s="983" t="str" cm="1">
        <f t="array" ref="AP163">AP162</f>
        <v>транспортировка</v>
      </c>
      <c r="AQ163" s="626"/>
      <c r="AR163" s="626"/>
    </row>
    <row r="164" spans="1:44" s="1809" customFormat="1" ht="14.25" hidden="1" customHeight="1" x14ac:dyDescent="0.15">
      <c r="A164" s="1184"/>
      <c r="B164" s="367" t="b">
        <f t="shared" si="8"/>
        <v>0</v>
      </c>
      <c r="C164" s="1184"/>
      <c r="D164" s="1184"/>
      <c r="E164" s="626">
        <v>15</v>
      </c>
      <c r="F164" s="3" t="str" cm="1">
        <f t="array" aca="1" ref="F164" ca="1">OFFSET(E164,-1,1)</f>
        <v>1</v>
      </c>
      <c r="G164" s="17" t="str" cm="1">
        <f t="array" ref="G164">G163</f>
        <v>транспортировка</v>
      </c>
      <c r="H164" s="1184"/>
      <c r="I164" s="1184"/>
      <c r="J164" s="1184"/>
      <c r="K164" s="77">
        <f>first_year+30</f>
        <v>2054</v>
      </c>
      <c r="L164" s="1184"/>
      <c r="M164" s="1184"/>
      <c r="N164" s="1184"/>
      <c r="O164" s="1184"/>
      <c r="P164" s="1184"/>
      <c r="Q164" s="1184"/>
      <c r="R164" s="1184"/>
      <c r="S164" s="1184"/>
      <c r="T164" s="388" t="b" cm="1">
        <f t="array" aca="1" ref="T164" ca="1">T163</f>
        <v>1</v>
      </c>
      <c r="U164" s="1184"/>
      <c r="V164" s="1184"/>
      <c r="W164" s="1184"/>
      <c r="X164" s="2032"/>
      <c r="Y164" s="2032"/>
      <c r="Z164" s="2012"/>
      <c r="AA164" s="2127"/>
      <c r="AB164" s="174" t="str">
        <f t="shared" si="9"/>
        <v>2054 год</v>
      </c>
      <c r="AC164" s="329"/>
      <c r="AD164" s="1727"/>
      <c r="AE164" s="1726"/>
      <c r="AF164" s="1726"/>
      <c r="AG164" s="1727"/>
      <c r="AH164" s="1726"/>
      <c r="AI164" s="1727"/>
      <c r="AJ164" s="1726"/>
      <c r="AK164" s="1728"/>
      <c r="AL164" s="324"/>
      <c r="AM164" s="1184"/>
      <c r="AN164" s="973" cm="1">
        <f t="array" ref="AN164">K164</f>
        <v>2054</v>
      </c>
      <c r="AO164" s="973" t="s">
        <v>2259</v>
      </c>
      <c r="AP164" s="983" t="str" cm="1">
        <f t="array" ref="AP164">AP163</f>
        <v>транспортировка</v>
      </c>
      <c r="AQ164" s="626"/>
      <c r="AR164" s="626"/>
    </row>
    <row r="165" spans="1:44" s="1810" customFormat="1" ht="14.25" hidden="1" customHeight="1" x14ac:dyDescent="0.15">
      <c r="A165" s="1184"/>
      <c r="B165" s="367" t="b">
        <f t="shared" si="8"/>
        <v>0</v>
      </c>
      <c r="C165" s="1184"/>
      <c r="D165" s="1184"/>
      <c r="E165" s="626">
        <v>15</v>
      </c>
      <c r="F165" s="3" t="str" cm="1">
        <f t="array" aca="1" ref="F165" ca="1">OFFSET(E165,-1,1)</f>
        <v>1</v>
      </c>
      <c r="G165" s="17" t="str" cm="1">
        <f t="array" ref="G165">G164</f>
        <v>транспортировка</v>
      </c>
      <c r="H165" s="1184"/>
      <c r="I165" s="1184"/>
      <c r="J165" s="1184"/>
      <c r="K165" s="77">
        <f>first_year+31</f>
        <v>2055</v>
      </c>
      <c r="L165" s="1184"/>
      <c r="M165" s="1184"/>
      <c r="N165" s="1184"/>
      <c r="O165" s="1184"/>
      <c r="P165" s="1184"/>
      <c r="Q165" s="1184"/>
      <c r="R165" s="1184"/>
      <c r="S165" s="1184"/>
      <c r="T165" s="388" t="b" cm="1">
        <f t="array" aca="1" ref="T165" ca="1">T164</f>
        <v>1</v>
      </c>
      <c r="U165" s="1184"/>
      <c r="V165" s="1184"/>
      <c r="W165" s="1184"/>
      <c r="X165" s="2032"/>
      <c r="Y165" s="2032"/>
      <c r="Z165" s="2012"/>
      <c r="AA165" s="2127"/>
      <c r="AB165" s="174" t="str">
        <f t="shared" si="9"/>
        <v>2055 год</v>
      </c>
      <c r="AC165" s="329"/>
      <c r="AD165" s="1727"/>
      <c r="AE165" s="1726"/>
      <c r="AF165" s="1726"/>
      <c r="AG165" s="1727"/>
      <c r="AH165" s="1726"/>
      <c r="AI165" s="1727"/>
      <c r="AJ165" s="1726"/>
      <c r="AK165" s="1728"/>
      <c r="AL165" s="324"/>
      <c r="AM165" s="1184"/>
      <c r="AN165" s="973" cm="1">
        <f t="array" ref="AN165">K165</f>
        <v>2055</v>
      </c>
      <c r="AO165" s="973" t="s">
        <v>2259</v>
      </c>
      <c r="AP165" s="983" t="str" cm="1">
        <f t="array" ref="AP165">AP164</f>
        <v>транспортировка</v>
      </c>
      <c r="AQ165" s="626"/>
      <c r="AR165" s="626"/>
    </row>
    <row r="166" spans="1:44" s="1811" customFormat="1" ht="14.25" hidden="1" customHeight="1" x14ac:dyDescent="0.15">
      <c r="A166" s="1184"/>
      <c r="B166" s="367" t="b">
        <f t="shared" ref="B166:B183" si="10">K166&lt;first_year+PERIOD_LENGTH</f>
        <v>0</v>
      </c>
      <c r="C166" s="1184"/>
      <c r="D166" s="1184"/>
      <c r="E166" s="626">
        <v>15</v>
      </c>
      <c r="F166" s="3" t="str" cm="1">
        <f t="array" aca="1" ref="F166" ca="1">OFFSET(E166,-1,1)</f>
        <v>1</v>
      </c>
      <c r="G166" s="17" t="str" cm="1">
        <f t="array" ref="G166">G165</f>
        <v>транспортировка</v>
      </c>
      <c r="H166" s="1184"/>
      <c r="I166" s="1184"/>
      <c r="J166" s="1184"/>
      <c r="K166" s="77">
        <f>first_year+32</f>
        <v>2056</v>
      </c>
      <c r="L166" s="1184"/>
      <c r="M166" s="1184"/>
      <c r="N166" s="1184"/>
      <c r="O166" s="1184"/>
      <c r="P166" s="1184"/>
      <c r="Q166" s="1184"/>
      <c r="R166" s="1184"/>
      <c r="S166" s="1184"/>
      <c r="T166" s="388" t="b" cm="1">
        <f t="array" aca="1" ref="T166" ca="1">T165</f>
        <v>1</v>
      </c>
      <c r="U166" s="1184"/>
      <c r="V166" s="1184"/>
      <c r="W166" s="1184"/>
      <c r="X166" s="2032"/>
      <c r="Y166" s="2032"/>
      <c r="Z166" s="2012"/>
      <c r="AA166" s="2127"/>
      <c r="AB166" s="174" t="str">
        <f t="shared" ref="AB166:AB183" si="11">K166&amp;" год"</f>
        <v>2056 год</v>
      </c>
      <c r="AC166" s="329"/>
      <c r="AD166" s="1727"/>
      <c r="AE166" s="1726"/>
      <c r="AF166" s="1726"/>
      <c r="AG166" s="1727"/>
      <c r="AH166" s="1726"/>
      <c r="AI166" s="1727"/>
      <c r="AJ166" s="1726"/>
      <c r="AK166" s="1728"/>
      <c r="AL166" s="324"/>
      <c r="AM166" s="1184"/>
      <c r="AN166" s="973" cm="1">
        <f t="array" ref="AN166">K166</f>
        <v>2056</v>
      </c>
      <c r="AO166" s="973" t="s">
        <v>2259</v>
      </c>
      <c r="AP166" s="983" t="str" cm="1">
        <f t="array" ref="AP166">AP165</f>
        <v>транспортировка</v>
      </c>
      <c r="AQ166" s="626"/>
      <c r="AR166" s="626"/>
    </row>
    <row r="167" spans="1:44" s="1812" customFormat="1" ht="14.25" hidden="1" customHeight="1" x14ac:dyDescent="0.15">
      <c r="A167" s="1184"/>
      <c r="B167" s="367" t="b">
        <f t="shared" si="10"/>
        <v>0</v>
      </c>
      <c r="C167" s="1184"/>
      <c r="D167" s="1184"/>
      <c r="E167" s="626">
        <v>15</v>
      </c>
      <c r="F167" s="3" t="str" cm="1">
        <f t="array" aca="1" ref="F167" ca="1">OFFSET(E167,-1,1)</f>
        <v>1</v>
      </c>
      <c r="G167" s="17" t="str" cm="1">
        <f t="array" ref="G167">G166</f>
        <v>транспортировка</v>
      </c>
      <c r="H167" s="1184"/>
      <c r="I167" s="1184"/>
      <c r="J167" s="1184"/>
      <c r="K167" s="77">
        <f>first_year+33</f>
        <v>2057</v>
      </c>
      <c r="L167" s="1184"/>
      <c r="M167" s="1184"/>
      <c r="N167" s="1184"/>
      <c r="O167" s="1184"/>
      <c r="P167" s="1184"/>
      <c r="Q167" s="1184"/>
      <c r="R167" s="1184"/>
      <c r="S167" s="1184"/>
      <c r="T167" s="388" t="b" cm="1">
        <f t="array" aca="1" ref="T167" ca="1">T166</f>
        <v>1</v>
      </c>
      <c r="U167" s="1184"/>
      <c r="V167" s="1184"/>
      <c r="W167" s="1184"/>
      <c r="X167" s="2032"/>
      <c r="Y167" s="2032"/>
      <c r="Z167" s="2012"/>
      <c r="AA167" s="2127"/>
      <c r="AB167" s="174" t="str">
        <f t="shared" si="11"/>
        <v>2057 год</v>
      </c>
      <c r="AC167" s="329"/>
      <c r="AD167" s="1727"/>
      <c r="AE167" s="1726"/>
      <c r="AF167" s="1726"/>
      <c r="AG167" s="1727"/>
      <c r="AH167" s="1726"/>
      <c r="AI167" s="1727"/>
      <c r="AJ167" s="1726"/>
      <c r="AK167" s="1728"/>
      <c r="AL167" s="324"/>
      <c r="AM167" s="1184"/>
      <c r="AN167" s="973" cm="1">
        <f t="array" ref="AN167">K167</f>
        <v>2057</v>
      </c>
      <c r="AO167" s="973" t="s">
        <v>2259</v>
      </c>
      <c r="AP167" s="983" t="str" cm="1">
        <f t="array" ref="AP167">AP166</f>
        <v>транспортировка</v>
      </c>
      <c r="AQ167" s="626"/>
      <c r="AR167" s="626"/>
    </row>
    <row r="168" spans="1:44" s="1813" customFormat="1" ht="14.25" hidden="1" customHeight="1" x14ac:dyDescent="0.15">
      <c r="A168" s="1184"/>
      <c r="B168" s="367" t="b">
        <f t="shared" si="10"/>
        <v>0</v>
      </c>
      <c r="C168" s="1184"/>
      <c r="D168" s="1184"/>
      <c r="E168" s="626">
        <v>15</v>
      </c>
      <c r="F168" s="3" t="str" cm="1">
        <f t="array" aca="1" ref="F168" ca="1">OFFSET(E168,-1,1)</f>
        <v>1</v>
      </c>
      <c r="G168" s="17" t="str" cm="1">
        <f t="array" ref="G168">G167</f>
        <v>транспортировка</v>
      </c>
      <c r="H168" s="1184"/>
      <c r="I168" s="1184"/>
      <c r="J168" s="1184"/>
      <c r="K168" s="77">
        <f>first_year+34</f>
        <v>2058</v>
      </c>
      <c r="L168" s="1184"/>
      <c r="M168" s="1184"/>
      <c r="N168" s="1184"/>
      <c r="O168" s="1184"/>
      <c r="P168" s="1184"/>
      <c r="Q168" s="1184"/>
      <c r="R168" s="1184"/>
      <c r="S168" s="1184"/>
      <c r="T168" s="388" t="b" cm="1">
        <f t="array" aca="1" ref="T168" ca="1">T167</f>
        <v>1</v>
      </c>
      <c r="U168" s="1184"/>
      <c r="V168" s="1184"/>
      <c r="W168" s="1184"/>
      <c r="X168" s="2032"/>
      <c r="Y168" s="2032"/>
      <c r="Z168" s="2012"/>
      <c r="AA168" s="2127"/>
      <c r="AB168" s="174" t="str">
        <f t="shared" si="11"/>
        <v>2058 год</v>
      </c>
      <c r="AC168" s="329"/>
      <c r="AD168" s="1727"/>
      <c r="AE168" s="1726"/>
      <c r="AF168" s="1726"/>
      <c r="AG168" s="1727"/>
      <c r="AH168" s="1726"/>
      <c r="AI168" s="1727"/>
      <c r="AJ168" s="1726"/>
      <c r="AK168" s="1728"/>
      <c r="AL168" s="324"/>
      <c r="AM168" s="1184"/>
      <c r="AN168" s="973" cm="1">
        <f t="array" ref="AN168">K168</f>
        <v>2058</v>
      </c>
      <c r="AO168" s="973" t="s">
        <v>2259</v>
      </c>
      <c r="AP168" s="983" t="str" cm="1">
        <f t="array" ref="AP168">AP167</f>
        <v>транспортировка</v>
      </c>
      <c r="AQ168" s="626"/>
      <c r="AR168" s="626"/>
    </row>
    <row r="169" spans="1:44" s="1814" customFormat="1" ht="14.25" hidden="1" customHeight="1" x14ac:dyDescent="0.15">
      <c r="A169" s="1184"/>
      <c r="B169" s="367" t="b">
        <f t="shared" si="10"/>
        <v>0</v>
      </c>
      <c r="C169" s="1184"/>
      <c r="D169" s="1184"/>
      <c r="E169" s="626">
        <v>15</v>
      </c>
      <c r="F169" s="3" t="str" cm="1">
        <f t="array" aca="1" ref="F169" ca="1">OFFSET(E169,-1,1)</f>
        <v>1</v>
      </c>
      <c r="G169" s="17" t="str" cm="1">
        <f t="array" ref="G169">G168</f>
        <v>транспортировка</v>
      </c>
      <c r="H169" s="1184"/>
      <c r="I169" s="1184"/>
      <c r="J169" s="1184"/>
      <c r="K169" s="77">
        <f>first_year+35</f>
        <v>2059</v>
      </c>
      <c r="L169" s="1184"/>
      <c r="M169" s="1184"/>
      <c r="N169" s="1184"/>
      <c r="O169" s="1184"/>
      <c r="P169" s="1184"/>
      <c r="Q169" s="1184"/>
      <c r="R169" s="1184"/>
      <c r="S169" s="1184"/>
      <c r="T169" s="388" t="b" cm="1">
        <f t="array" aca="1" ref="T169" ca="1">T168</f>
        <v>1</v>
      </c>
      <c r="U169" s="1184"/>
      <c r="V169" s="1184"/>
      <c r="W169" s="1184"/>
      <c r="X169" s="2032"/>
      <c r="Y169" s="2032"/>
      <c r="Z169" s="2012"/>
      <c r="AA169" s="2127"/>
      <c r="AB169" s="174" t="str">
        <f t="shared" si="11"/>
        <v>2059 год</v>
      </c>
      <c r="AC169" s="329"/>
      <c r="AD169" s="1727"/>
      <c r="AE169" s="1726"/>
      <c r="AF169" s="1726"/>
      <c r="AG169" s="1727"/>
      <c r="AH169" s="1726"/>
      <c r="AI169" s="1727"/>
      <c r="AJ169" s="1726"/>
      <c r="AK169" s="1728"/>
      <c r="AL169" s="324"/>
      <c r="AM169" s="1184"/>
      <c r="AN169" s="973" cm="1">
        <f t="array" ref="AN169">K169</f>
        <v>2059</v>
      </c>
      <c r="AO169" s="973" t="s">
        <v>2259</v>
      </c>
      <c r="AP169" s="983" t="str" cm="1">
        <f t="array" ref="AP169">AP168</f>
        <v>транспортировка</v>
      </c>
      <c r="AQ169" s="626"/>
      <c r="AR169" s="626"/>
    </row>
    <row r="170" spans="1:44" s="1815" customFormat="1" ht="14.25" hidden="1" customHeight="1" x14ac:dyDescent="0.15">
      <c r="A170" s="1184"/>
      <c r="B170" s="367" t="b">
        <f t="shared" si="10"/>
        <v>0</v>
      </c>
      <c r="C170" s="1184"/>
      <c r="D170" s="1184"/>
      <c r="E170" s="626">
        <v>15</v>
      </c>
      <c r="F170" s="3" t="str" cm="1">
        <f t="array" aca="1" ref="F170" ca="1">OFFSET(E170,-1,1)</f>
        <v>1</v>
      </c>
      <c r="G170" s="17" t="str" cm="1">
        <f t="array" ref="G170">G169</f>
        <v>транспортировка</v>
      </c>
      <c r="H170" s="1184"/>
      <c r="I170" s="1184"/>
      <c r="J170" s="1184"/>
      <c r="K170" s="77">
        <f>first_year+36</f>
        <v>2060</v>
      </c>
      <c r="L170" s="1184"/>
      <c r="M170" s="1184"/>
      <c r="N170" s="1184"/>
      <c r="O170" s="1184"/>
      <c r="P170" s="1184"/>
      <c r="Q170" s="1184"/>
      <c r="R170" s="1184"/>
      <c r="S170" s="1184"/>
      <c r="T170" s="388" t="b" cm="1">
        <f t="array" aca="1" ref="T170" ca="1">T169</f>
        <v>1</v>
      </c>
      <c r="U170" s="1184"/>
      <c r="V170" s="1184"/>
      <c r="W170" s="1184"/>
      <c r="X170" s="2032"/>
      <c r="Y170" s="2032"/>
      <c r="Z170" s="2012"/>
      <c r="AA170" s="2127"/>
      <c r="AB170" s="174" t="str">
        <f t="shared" si="11"/>
        <v>2060 год</v>
      </c>
      <c r="AC170" s="329"/>
      <c r="AD170" s="1727"/>
      <c r="AE170" s="1726"/>
      <c r="AF170" s="1726"/>
      <c r="AG170" s="1727"/>
      <c r="AH170" s="1726"/>
      <c r="AI170" s="1727"/>
      <c r="AJ170" s="1726"/>
      <c r="AK170" s="1728"/>
      <c r="AL170" s="324"/>
      <c r="AM170" s="1184"/>
      <c r="AN170" s="973" cm="1">
        <f t="array" ref="AN170">K170</f>
        <v>2060</v>
      </c>
      <c r="AO170" s="973" t="s">
        <v>2259</v>
      </c>
      <c r="AP170" s="983" t="str" cm="1">
        <f t="array" ref="AP170">AP169</f>
        <v>транспортировка</v>
      </c>
      <c r="AQ170" s="626"/>
      <c r="AR170" s="626"/>
    </row>
    <row r="171" spans="1:44" s="1816" customFormat="1" ht="14.25" hidden="1" customHeight="1" x14ac:dyDescent="0.15">
      <c r="A171" s="1184"/>
      <c r="B171" s="367" t="b">
        <f t="shared" si="10"/>
        <v>0</v>
      </c>
      <c r="C171" s="1184"/>
      <c r="D171" s="1184"/>
      <c r="E171" s="626">
        <v>15</v>
      </c>
      <c r="F171" s="3" t="str" cm="1">
        <f t="array" aca="1" ref="F171" ca="1">OFFSET(E171,-1,1)</f>
        <v>1</v>
      </c>
      <c r="G171" s="17" t="str" cm="1">
        <f t="array" ref="G171">G170</f>
        <v>транспортировка</v>
      </c>
      <c r="H171" s="1184"/>
      <c r="I171" s="1184"/>
      <c r="J171" s="1184"/>
      <c r="K171" s="77">
        <f>first_year+37</f>
        <v>2061</v>
      </c>
      <c r="L171" s="1184"/>
      <c r="M171" s="1184"/>
      <c r="N171" s="1184"/>
      <c r="O171" s="1184"/>
      <c r="P171" s="1184"/>
      <c r="Q171" s="1184"/>
      <c r="R171" s="1184"/>
      <c r="S171" s="1184"/>
      <c r="T171" s="388" t="b" cm="1">
        <f t="array" aca="1" ref="T171" ca="1">T170</f>
        <v>1</v>
      </c>
      <c r="U171" s="1184"/>
      <c r="V171" s="1184"/>
      <c r="W171" s="1184"/>
      <c r="X171" s="2032"/>
      <c r="Y171" s="2032"/>
      <c r="Z171" s="2012"/>
      <c r="AA171" s="2127"/>
      <c r="AB171" s="174" t="str">
        <f t="shared" si="11"/>
        <v>2061 год</v>
      </c>
      <c r="AC171" s="329"/>
      <c r="AD171" s="1727"/>
      <c r="AE171" s="1726"/>
      <c r="AF171" s="1726"/>
      <c r="AG171" s="1727"/>
      <c r="AH171" s="1726"/>
      <c r="AI171" s="1727"/>
      <c r="AJ171" s="1726"/>
      <c r="AK171" s="1728"/>
      <c r="AL171" s="324"/>
      <c r="AM171" s="1184"/>
      <c r="AN171" s="973" cm="1">
        <f t="array" ref="AN171">K171</f>
        <v>2061</v>
      </c>
      <c r="AO171" s="973" t="s">
        <v>2259</v>
      </c>
      <c r="AP171" s="983" t="str" cm="1">
        <f t="array" ref="AP171">AP170</f>
        <v>транспортировка</v>
      </c>
      <c r="AQ171" s="626"/>
      <c r="AR171" s="626"/>
    </row>
    <row r="172" spans="1:44" s="1817" customFormat="1" ht="14.25" hidden="1" customHeight="1" x14ac:dyDescent="0.15">
      <c r="A172" s="1184"/>
      <c r="B172" s="367" t="b">
        <f t="shared" si="10"/>
        <v>0</v>
      </c>
      <c r="C172" s="1184"/>
      <c r="D172" s="1184"/>
      <c r="E172" s="626">
        <v>15</v>
      </c>
      <c r="F172" s="3" t="str" cm="1">
        <f t="array" aca="1" ref="F172" ca="1">OFFSET(E172,-1,1)</f>
        <v>1</v>
      </c>
      <c r="G172" s="17" t="str" cm="1">
        <f t="array" ref="G172">G171</f>
        <v>транспортировка</v>
      </c>
      <c r="H172" s="1184"/>
      <c r="I172" s="1184"/>
      <c r="J172" s="1184"/>
      <c r="K172" s="77">
        <f>first_year+38</f>
        <v>2062</v>
      </c>
      <c r="L172" s="1184"/>
      <c r="M172" s="1184"/>
      <c r="N172" s="1184"/>
      <c r="O172" s="1184"/>
      <c r="P172" s="1184"/>
      <c r="Q172" s="1184"/>
      <c r="R172" s="1184"/>
      <c r="S172" s="1184"/>
      <c r="T172" s="388" t="b" cm="1">
        <f t="array" aca="1" ref="T172" ca="1">T171</f>
        <v>1</v>
      </c>
      <c r="U172" s="1184"/>
      <c r="V172" s="1184"/>
      <c r="W172" s="1184"/>
      <c r="X172" s="2032"/>
      <c r="Y172" s="2032"/>
      <c r="Z172" s="2012"/>
      <c r="AA172" s="2127"/>
      <c r="AB172" s="174" t="str">
        <f t="shared" si="11"/>
        <v>2062 год</v>
      </c>
      <c r="AC172" s="329"/>
      <c r="AD172" s="1727"/>
      <c r="AE172" s="1726"/>
      <c r="AF172" s="1726"/>
      <c r="AG172" s="1727"/>
      <c r="AH172" s="1726"/>
      <c r="AI172" s="1727"/>
      <c r="AJ172" s="1726"/>
      <c r="AK172" s="1728"/>
      <c r="AL172" s="324"/>
      <c r="AM172" s="1184"/>
      <c r="AN172" s="973" cm="1">
        <f t="array" ref="AN172">K172</f>
        <v>2062</v>
      </c>
      <c r="AO172" s="973" t="s">
        <v>2259</v>
      </c>
      <c r="AP172" s="983" t="str" cm="1">
        <f t="array" ref="AP172">AP171</f>
        <v>транспортировка</v>
      </c>
      <c r="AQ172" s="626"/>
      <c r="AR172" s="626"/>
    </row>
    <row r="173" spans="1:44" s="1818" customFormat="1" ht="14.25" hidden="1" customHeight="1" x14ac:dyDescent="0.15">
      <c r="A173" s="1184"/>
      <c r="B173" s="367" t="b">
        <f t="shared" si="10"/>
        <v>0</v>
      </c>
      <c r="C173" s="1184"/>
      <c r="D173" s="1184"/>
      <c r="E173" s="626">
        <v>15</v>
      </c>
      <c r="F173" s="3" t="str" cm="1">
        <f t="array" aca="1" ref="F173" ca="1">OFFSET(E173,-1,1)</f>
        <v>1</v>
      </c>
      <c r="G173" s="17" t="str" cm="1">
        <f t="array" ref="G173">G172</f>
        <v>транспортировка</v>
      </c>
      <c r="H173" s="1184"/>
      <c r="I173" s="1184"/>
      <c r="J173" s="1184"/>
      <c r="K173" s="77">
        <f>first_year+39</f>
        <v>2063</v>
      </c>
      <c r="L173" s="1184"/>
      <c r="M173" s="1184"/>
      <c r="N173" s="1184"/>
      <c r="O173" s="1184"/>
      <c r="P173" s="1184"/>
      <c r="Q173" s="1184"/>
      <c r="R173" s="1184"/>
      <c r="S173" s="1184"/>
      <c r="T173" s="388" t="b" cm="1">
        <f t="array" aca="1" ref="T173" ca="1">T172</f>
        <v>1</v>
      </c>
      <c r="U173" s="1184"/>
      <c r="V173" s="1184"/>
      <c r="W173" s="1184"/>
      <c r="X173" s="2032"/>
      <c r="Y173" s="2032"/>
      <c r="Z173" s="2012"/>
      <c r="AA173" s="2127"/>
      <c r="AB173" s="174" t="str">
        <f t="shared" si="11"/>
        <v>2063 год</v>
      </c>
      <c r="AC173" s="329"/>
      <c r="AD173" s="1727"/>
      <c r="AE173" s="1726"/>
      <c r="AF173" s="1726"/>
      <c r="AG173" s="1727"/>
      <c r="AH173" s="1726"/>
      <c r="AI173" s="1727"/>
      <c r="AJ173" s="1726"/>
      <c r="AK173" s="1728"/>
      <c r="AL173" s="324"/>
      <c r="AM173" s="1184"/>
      <c r="AN173" s="973" cm="1">
        <f t="array" ref="AN173">K173</f>
        <v>2063</v>
      </c>
      <c r="AO173" s="973" t="s">
        <v>2259</v>
      </c>
      <c r="AP173" s="983" t="str" cm="1">
        <f t="array" ref="AP173">AP172</f>
        <v>транспортировка</v>
      </c>
      <c r="AQ173" s="626"/>
      <c r="AR173" s="626"/>
    </row>
    <row r="174" spans="1:44" s="1819" customFormat="1" ht="14.25" hidden="1" customHeight="1" x14ac:dyDescent="0.15">
      <c r="A174" s="1184"/>
      <c r="B174" s="367" t="b">
        <f t="shared" si="10"/>
        <v>0</v>
      </c>
      <c r="C174" s="1184"/>
      <c r="D174" s="1184"/>
      <c r="E174" s="626">
        <v>15</v>
      </c>
      <c r="F174" s="3" t="str" cm="1">
        <f t="array" aca="1" ref="F174" ca="1">OFFSET(E174,-1,1)</f>
        <v>1</v>
      </c>
      <c r="G174" s="17" t="str" cm="1">
        <f t="array" ref="G174">G173</f>
        <v>транспортировка</v>
      </c>
      <c r="H174" s="1184"/>
      <c r="I174" s="1184"/>
      <c r="J174" s="1184"/>
      <c r="K174" s="77">
        <f>first_year+40</f>
        <v>2064</v>
      </c>
      <c r="L174" s="1184"/>
      <c r="M174" s="1184"/>
      <c r="N174" s="1184"/>
      <c r="O174" s="1184"/>
      <c r="P174" s="1184"/>
      <c r="Q174" s="1184"/>
      <c r="R174" s="1184"/>
      <c r="S174" s="1184"/>
      <c r="T174" s="388" t="b" cm="1">
        <f t="array" aca="1" ref="T174" ca="1">T173</f>
        <v>1</v>
      </c>
      <c r="U174" s="1184"/>
      <c r="V174" s="1184"/>
      <c r="W174" s="1184"/>
      <c r="X174" s="2032"/>
      <c r="Y174" s="2032"/>
      <c r="Z174" s="2012"/>
      <c r="AA174" s="2127"/>
      <c r="AB174" s="174" t="str">
        <f t="shared" si="11"/>
        <v>2064 год</v>
      </c>
      <c r="AC174" s="329"/>
      <c r="AD174" s="1727"/>
      <c r="AE174" s="1726"/>
      <c r="AF174" s="1726"/>
      <c r="AG174" s="1727"/>
      <c r="AH174" s="1726"/>
      <c r="AI174" s="1727"/>
      <c r="AJ174" s="1726"/>
      <c r="AK174" s="1728"/>
      <c r="AL174" s="324"/>
      <c r="AM174" s="1184"/>
      <c r="AN174" s="973" cm="1">
        <f t="array" ref="AN174">K174</f>
        <v>2064</v>
      </c>
      <c r="AO174" s="973" t="s">
        <v>2259</v>
      </c>
      <c r="AP174" s="983" t="str" cm="1">
        <f t="array" ref="AP174">AP173</f>
        <v>транспортировка</v>
      </c>
      <c r="AQ174" s="626"/>
      <c r="AR174" s="626"/>
    </row>
    <row r="175" spans="1:44" s="1820" customFormat="1" ht="14.25" hidden="1" customHeight="1" x14ac:dyDescent="0.15">
      <c r="A175" s="1184"/>
      <c r="B175" s="367" t="b">
        <f t="shared" si="10"/>
        <v>0</v>
      </c>
      <c r="C175" s="1184"/>
      <c r="D175" s="1184"/>
      <c r="E175" s="626">
        <v>15</v>
      </c>
      <c r="F175" s="3" t="str" cm="1">
        <f t="array" aca="1" ref="F175" ca="1">OFFSET(E175,-1,1)</f>
        <v>1</v>
      </c>
      <c r="G175" s="17" t="str" cm="1">
        <f t="array" ref="G175">G174</f>
        <v>транспортировка</v>
      </c>
      <c r="H175" s="1184"/>
      <c r="I175" s="1184"/>
      <c r="J175" s="1184"/>
      <c r="K175" s="77">
        <f>first_year+41</f>
        <v>2065</v>
      </c>
      <c r="L175" s="1184"/>
      <c r="M175" s="1184"/>
      <c r="N175" s="1184"/>
      <c r="O175" s="1184"/>
      <c r="P175" s="1184"/>
      <c r="Q175" s="1184"/>
      <c r="R175" s="1184"/>
      <c r="S175" s="1184"/>
      <c r="T175" s="388" t="b" cm="1">
        <f t="array" aca="1" ref="T175" ca="1">T174</f>
        <v>1</v>
      </c>
      <c r="U175" s="1184"/>
      <c r="V175" s="1184"/>
      <c r="W175" s="1184"/>
      <c r="X175" s="2032"/>
      <c r="Y175" s="2032"/>
      <c r="Z175" s="2012"/>
      <c r="AA175" s="2127"/>
      <c r="AB175" s="174" t="str">
        <f t="shared" si="11"/>
        <v>2065 год</v>
      </c>
      <c r="AC175" s="329"/>
      <c r="AD175" s="1727"/>
      <c r="AE175" s="1726"/>
      <c r="AF175" s="1726"/>
      <c r="AG175" s="1727"/>
      <c r="AH175" s="1726"/>
      <c r="AI175" s="1727"/>
      <c r="AJ175" s="1726"/>
      <c r="AK175" s="1728"/>
      <c r="AL175" s="324"/>
      <c r="AM175" s="1184"/>
      <c r="AN175" s="973" cm="1">
        <f t="array" ref="AN175">K175</f>
        <v>2065</v>
      </c>
      <c r="AO175" s="973" t="s">
        <v>2259</v>
      </c>
      <c r="AP175" s="983" t="str" cm="1">
        <f t="array" ref="AP175">AP174</f>
        <v>транспортировка</v>
      </c>
      <c r="AQ175" s="626"/>
      <c r="AR175" s="626"/>
    </row>
    <row r="176" spans="1:44" s="1821" customFormat="1" ht="14.25" hidden="1" customHeight="1" x14ac:dyDescent="0.15">
      <c r="A176" s="1184"/>
      <c r="B176" s="367" t="b">
        <f t="shared" si="10"/>
        <v>0</v>
      </c>
      <c r="C176" s="1184"/>
      <c r="D176" s="1184"/>
      <c r="E176" s="626">
        <v>15</v>
      </c>
      <c r="F176" s="3" t="str" cm="1">
        <f t="array" aca="1" ref="F176" ca="1">OFFSET(E176,-1,1)</f>
        <v>1</v>
      </c>
      <c r="G176" s="17" t="str" cm="1">
        <f t="array" ref="G176">G175</f>
        <v>транспортировка</v>
      </c>
      <c r="H176" s="1184"/>
      <c r="I176" s="1184"/>
      <c r="J176" s="1184"/>
      <c r="K176" s="77">
        <f>first_year+42</f>
        <v>2066</v>
      </c>
      <c r="L176" s="1184"/>
      <c r="M176" s="1184"/>
      <c r="N176" s="1184"/>
      <c r="O176" s="1184"/>
      <c r="P176" s="1184"/>
      <c r="Q176" s="1184"/>
      <c r="R176" s="1184"/>
      <c r="S176" s="1184"/>
      <c r="T176" s="388" t="b" cm="1">
        <f t="array" aca="1" ref="T176" ca="1">T175</f>
        <v>1</v>
      </c>
      <c r="U176" s="1184"/>
      <c r="V176" s="1184"/>
      <c r="W176" s="1184"/>
      <c r="X176" s="2032"/>
      <c r="Y176" s="2032"/>
      <c r="Z176" s="2012"/>
      <c r="AA176" s="2127"/>
      <c r="AB176" s="174" t="str">
        <f t="shared" si="11"/>
        <v>2066 год</v>
      </c>
      <c r="AC176" s="329"/>
      <c r="AD176" s="1727"/>
      <c r="AE176" s="1726"/>
      <c r="AF176" s="1726"/>
      <c r="AG176" s="1727"/>
      <c r="AH176" s="1726"/>
      <c r="AI176" s="1727"/>
      <c r="AJ176" s="1726"/>
      <c r="AK176" s="1728"/>
      <c r="AL176" s="324"/>
      <c r="AM176" s="1184"/>
      <c r="AN176" s="973" cm="1">
        <f t="array" ref="AN176">K176</f>
        <v>2066</v>
      </c>
      <c r="AO176" s="973" t="s">
        <v>2259</v>
      </c>
      <c r="AP176" s="983" t="str" cm="1">
        <f t="array" ref="AP176">AP175</f>
        <v>транспортировка</v>
      </c>
      <c r="AQ176" s="626"/>
      <c r="AR176" s="626"/>
    </row>
    <row r="177" spans="1:44" s="1822" customFormat="1" ht="14.25" hidden="1" customHeight="1" x14ac:dyDescent="0.15">
      <c r="A177" s="1184"/>
      <c r="B177" s="367" t="b">
        <f t="shared" si="10"/>
        <v>0</v>
      </c>
      <c r="C177" s="1184"/>
      <c r="D177" s="1184"/>
      <c r="E177" s="626">
        <v>15</v>
      </c>
      <c r="F177" s="3" t="str" cm="1">
        <f t="array" aca="1" ref="F177" ca="1">OFFSET(E177,-1,1)</f>
        <v>1</v>
      </c>
      <c r="G177" s="17" t="str" cm="1">
        <f t="array" ref="G177">G176</f>
        <v>транспортировка</v>
      </c>
      <c r="H177" s="1184"/>
      <c r="I177" s="1184"/>
      <c r="J177" s="1184"/>
      <c r="K177" s="77">
        <f>first_year+43</f>
        <v>2067</v>
      </c>
      <c r="L177" s="1184"/>
      <c r="M177" s="1184"/>
      <c r="N177" s="1184"/>
      <c r="O177" s="1184"/>
      <c r="P177" s="1184"/>
      <c r="Q177" s="1184"/>
      <c r="R177" s="1184"/>
      <c r="S177" s="1184"/>
      <c r="T177" s="388" t="b" cm="1">
        <f t="array" aca="1" ref="T177" ca="1">T176</f>
        <v>1</v>
      </c>
      <c r="U177" s="1184"/>
      <c r="V177" s="1184"/>
      <c r="W177" s="1184"/>
      <c r="X177" s="2032"/>
      <c r="Y177" s="2032"/>
      <c r="Z177" s="2012"/>
      <c r="AA177" s="2127"/>
      <c r="AB177" s="174" t="str">
        <f t="shared" si="11"/>
        <v>2067 год</v>
      </c>
      <c r="AC177" s="329"/>
      <c r="AD177" s="1727"/>
      <c r="AE177" s="1726"/>
      <c r="AF177" s="1726"/>
      <c r="AG177" s="1727"/>
      <c r="AH177" s="1726"/>
      <c r="AI177" s="1727"/>
      <c r="AJ177" s="1726"/>
      <c r="AK177" s="1728"/>
      <c r="AL177" s="324"/>
      <c r="AM177" s="1184"/>
      <c r="AN177" s="973" cm="1">
        <f t="array" ref="AN177">K177</f>
        <v>2067</v>
      </c>
      <c r="AO177" s="973" t="s">
        <v>2259</v>
      </c>
      <c r="AP177" s="983" t="str" cm="1">
        <f t="array" ref="AP177">AP176</f>
        <v>транспортировка</v>
      </c>
      <c r="AQ177" s="626"/>
      <c r="AR177" s="626"/>
    </row>
    <row r="178" spans="1:44" s="1823" customFormat="1" ht="14.25" hidden="1" customHeight="1" x14ac:dyDescent="0.15">
      <c r="A178" s="1184"/>
      <c r="B178" s="367" t="b">
        <f t="shared" si="10"/>
        <v>0</v>
      </c>
      <c r="C178" s="1184"/>
      <c r="D178" s="1184"/>
      <c r="E178" s="626">
        <v>15</v>
      </c>
      <c r="F178" s="3" t="str" cm="1">
        <f t="array" aca="1" ref="F178" ca="1">OFFSET(E178,-1,1)</f>
        <v>1</v>
      </c>
      <c r="G178" s="17" t="str" cm="1">
        <f t="array" ref="G178">G177</f>
        <v>транспортировка</v>
      </c>
      <c r="H178" s="1184"/>
      <c r="I178" s="1184"/>
      <c r="J178" s="1184"/>
      <c r="K178" s="77">
        <f>first_year+44</f>
        <v>2068</v>
      </c>
      <c r="L178" s="1184"/>
      <c r="M178" s="1184"/>
      <c r="N178" s="1184"/>
      <c r="O178" s="1184"/>
      <c r="P178" s="1184"/>
      <c r="Q178" s="1184"/>
      <c r="R178" s="1184"/>
      <c r="S178" s="1184"/>
      <c r="T178" s="388" t="b" cm="1">
        <f t="array" aca="1" ref="T178" ca="1">T177</f>
        <v>1</v>
      </c>
      <c r="U178" s="1184"/>
      <c r="V178" s="1184"/>
      <c r="W178" s="1184"/>
      <c r="X178" s="2032"/>
      <c r="Y178" s="2032"/>
      <c r="Z178" s="2012"/>
      <c r="AA178" s="2127"/>
      <c r="AB178" s="174" t="str">
        <f t="shared" si="11"/>
        <v>2068 год</v>
      </c>
      <c r="AC178" s="329"/>
      <c r="AD178" s="1727"/>
      <c r="AE178" s="1726"/>
      <c r="AF178" s="1726"/>
      <c r="AG178" s="1727"/>
      <c r="AH178" s="1726"/>
      <c r="AI178" s="1727"/>
      <c r="AJ178" s="1726"/>
      <c r="AK178" s="1728"/>
      <c r="AL178" s="324"/>
      <c r="AM178" s="1184"/>
      <c r="AN178" s="973" cm="1">
        <f t="array" ref="AN178">K178</f>
        <v>2068</v>
      </c>
      <c r="AO178" s="973" t="s">
        <v>2259</v>
      </c>
      <c r="AP178" s="983" t="str" cm="1">
        <f t="array" ref="AP178">AP177</f>
        <v>транспортировка</v>
      </c>
      <c r="AQ178" s="626"/>
      <c r="AR178" s="626"/>
    </row>
    <row r="179" spans="1:44" s="1824" customFormat="1" ht="14.25" hidden="1" customHeight="1" x14ac:dyDescent="0.15">
      <c r="A179" s="1184"/>
      <c r="B179" s="367" t="b">
        <f t="shared" si="10"/>
        <v>0</v>
      </c>
      <c r="C179" s="1184"/>
      <c r="D179" s="1184"/>
      <c r="E179" s="626">
        <v>15</v>
      </c>
      <c r="F179" s="3" t="str" cm="1">
        <f t="array" aca="1" ref="F179" ca="1">OFFSET(E179,-1,1)</f>
        <v>1</v>
      </c>
      <c r="G179" s="17" t="str" cm="1">
        <f t="array" ref="G179">G178</f>
        <v>транспортировка</v>
      </c>
      <c r="H179" s="1184"/>
      <c r="I179" s="1184"/>
      <c r="J179" s="1184"/>
      <c r="K179" s="77">
        <f>first_year+45</f>
        <v>2069</v>
      </c>
      <c r="L179" s="1184"/>
      <c r="M179" s="1184"/>
      <c r="N179" s="1184"/>
      <c r="O179" s="1184"/>
      <c r="P179" s="1184"/>
      <c r="Q179" s="1184"/>
      <c r="R179" s="1184"/>
      <c r="S179" s="1184"/>
      <c r="T179" s="388" t="b" cm="1">
        <f t="array" aca="1" ref="T179" ca="1">T178</f>
        <v>1</v>
      </c>
      <c r="U179" s="1184"/>
      <c r="V179" s="1184"/>
      <c r="W179" s="1184"/>
      <c r="X179" s="2032"/>
      <c r="Y179" s="2032"/>
      <c r="Z179" s="2012"/>
      <c r="AA179" s="2127"/>
      <c r="AB179" s="174" t="str">
        <f t="shared" si="11"/>
        <v>2069 год</v>
      </c>
      <c r="AC179" s="329"/>
      <c r="AD179" s="1727"/>
      <c r="AE179" s="1726"/>
      <c r="AF179" s="1726"/>
      <c r="AG179" s="1727"/>
      <c r="AH179" s="1726"/>
      <c r="AI179" s="1727"/>
      <c r="AJ179" s="1726"/>
      <c r="AK179" s="1728"/>
      <c r="AL179" s="324"/>
      <c r="AM179" s="1184"/>
      <c r="AN179" s="973" cm="1">
        <f t="array" ref="AN179">K179</f>
        <v>2069</v>
      </c>
      <c r="AO179" s="973" t="s">
        <v>2259</v>
      </c>
      <c r="AP179" s="983" t="str" cm="1">
        <f t="array" ref="AP179">AP178</f>
        <v>транспортировка</v>
      </c>
      <c r="AQ179" s="626"/>
      <c r="AR179" s="626"/>
    </row>
    <row r="180" spans="1:44" s="1825" customFormat="1" ht="14.25" hidden="1" customHeight="1" x14ac:dyDescent="0.15">
      <c r="A180" s="1184"/>
      <c r="B180" s="367" t="b">
        <f t="shared" si="10"/>
        <v>0</v>
      </c>
      <c r="C180" s="1184"/>
      <c r="D180" s="1184"/>
      <c r="E180" s="626">
        <v>15</v>
      </c>
      <c r="F180" s="3" t="str" cm="1">
        <f t="array" aca="1" ref="F180" ca="1">OFFSET(E180,-1,1)</f>
        <v>1</v>
      </c>
      <c r="G180" s="17" t="str" cm="1">
        <f t="array" ref="G180">G179</f>
        <v>транспортировка</v>
      </c>
      <c r="H180" s="1184"/>
      <c r="I180" s="1184"/>
      <c r="J180" s="1184"/>
      <c r="K180" s="77">
        <f>first_year+46</f>
        <v>2070</v>
      </c>
      <c r="L180" s="1184"/>
      <c r="M180" s="1184"/>
      <c r="N180" s="1184"/>
      <c r="O180" s="1184"/>
      <c r="P180" s="1184"/>
      <c r="Q180" s="1184"/>
      <c r="R180" s="1184"/>
      <c r="S180" s="1184"/>
      <c r="T180" s="388" t="b" cm="1">
        <f t="array" aca="1" ref="T180" ca="1">T179</f>
        <v>1</v>
      </c>
      <c r="U180" s="1184"/>
      <c r="V180" s="1184"/>
      <c r="W180" s="1184"/>
      <c r="X180" s="2032"/>
      <c r="Y180" s="2032"/>
      <c r="Z180" s="2012"/>
      <c r="AA180" s="2127"/>
      <c r="AB180" s="174" t="str">
        <f t="shared" si="11"/>
        <v>2070 год</v>
      </c>
      <c r="AC180" s="329"/>
      <c r="AD180" s="1727"/>
      <c r="AE180" s="1726"/>
      <c r="AF180" s="1726"/>
      <c r="AG180" s="1727"/>
      <c r="AH180" s="1726"/>
      <c r="AI180" s="1727"/>
      <c r="AJ180" s="1726"/>
      <c r="AK180" s="1728"/>
      <c r="AL180" s="324"/>
      <c r="AM180" s="1184"/>
      <c r="AN180" s="973" cm="1">
        <f t="array" ref="AN180">K180</f>
        <v>2070</v>
      </c>
      <c r="AO180" s="973" t="s">
        <v>2259</v>
      </c>
      <c r="AP180" s="983" t="str" cm="1">
        <f t="array" ref="AP180">AP179</f>
        <v>транспортировка</v>
      </c>
      <c r="AQ180" s="626"/>
      <c r="AR180" s="626"/>
    </row>
    <row r="181" spans="1:44" s="1826" customFormat="1" ht="14.25" hidden="1" customHeight="1" x14ac:dyDescent="0.15">
      <c r="A181" s="1184"/>
      <c r="B181" s="367" t="b">
        <f t="shared" si="10"/>
        <v>0</v>
      </c>
      <c r="C181" s="1184"/>
      <c r="D181" s="1184"/>
      <c r="E181" s="626">
        <v>15</v>
      </c>
      <c r="F181" s="3" t="str" cm="1">
        <f t="array" aca="1" ref="F181" ca="1">OFFSET(E181,-1,1)</f>
        <v>1</v>
      </c>
      <c r="G181" s="17" t="str" cm="1">
        <f t="array" ref="G181">G180</f>
        <v>транспортировка</v>
      </c>
      <c r="H181" s="1184"/>
      <c r="I181" s="1184"/>
      <c r="J181" s="1184"/>
      <c r="K181" s="77">
        <f>first_year+47</f>
        <v>2071</v>
      </c>
      <c r="L181" s="1184"/>
      <c r="M181" s="1184"/>
      <c r="N181" s="1184"/>
      <c r="O181" s="1184"/>
      <c r="P181" s="1184"/>
      <c r="Q181" s="1184"/>
      <c r="R181" s="1184"/>
      <c r="S181" s="1184"/>
      <c r="T181" s="388" t="b" cm="1">
        <f t="array" aca="1" ref="T181" ca="1">T180</f>
        <v>1</v>
      </c>
      <c r="U181" s="1184"/>
      <c r="V181" s="1184"/>
      <c r="W181" s="1184"/>
      <c r="X181" s="2032"/>
      <c r="Y181" s="2032"/>
      <c r="Z181" s="2012"/>
      <c r="AA181" s="2127"/>
      <c r="AB181" s="174" t="str">
        <f t="shared" si="11"/>
        <v>2071 год</v>
      </c>
      <c r="AC181" s="329"/>
      <c r="AD181" s="1727"/>
      <c r="AE181" s="1726"/>
      <c r="AF181" s="1726"/>
      <c r="AG181" s="1727"/>
      <c r="AH181" s="1726"/>
      <c r="AI181" s="1727"/>
      <c r="AJ181" s="1726"/>
      <c r="AK181" s="1728"/>
      <c r="AL181" s="324"/>
      <c r="AM181" s="1184"/>
      <c r="AN181" s="973" cm="1">
        <f t="array" ref="AN181">K181</f>
        <v>2071</v>
      </c>
      <c r="AO181" s="973" t="s">
        <v>2259</v>
      </c>
      <c r="AP181" s="983" t="str" cm="1">
        <f t="array" ref="AP181">AP180</f>
        <v>транспортировка</v>
      </c>
      <c r="AQ181" s="626"/>
      <c r="AR181" s="626"/>
    </row>
    <row r="182" spans="1:44" s="1827" customFormat="1" ht="14.25" hidden="1" customHeight="1" x14ac:dyDescent="0.15">
      <c r="A182" s="1184"/>
      <c r="B182" s="367" t="b">
        <f t="shared" si="10"/>
        <v>0</v>
      </c>
      <c r="C182" s="1184"/>
      <c r="D182" s="1184"/>
      <c r="E182" s="626">
        <v>15</v>
      </c>
      <c r="F182" s="3" t="str" cm="1">
        <f t="array" aca="1" ref="F182" ca="1">OFFSET(E182,-1,1)</f>
        <v>1</v>
      </c>
      <c r="G182" s="17" t="str" cm="1">
        <f t="array" ref="G182">G181</f>
        <v>транспортировка</v>
      </c>
      <c r="H182" s="1184"/>
      <c r="I182" s="1184"/>
      <c r="J182" s="1184"/>
      <c r="K182" s="77">
        <f>first_year+48</f>
        <v>2072</v>
      </c>
      <c r="L182" s="1184"/>
      <c r="M182" s="1184"/>
      <c r="N182" s="1184"/>
      <c r="O182" s="1184"/>
      <c r="P182" s="1184"/>
      <c r="Q182" s="1184"/>
      <c r="R182" s="1184"/>
      <c r="S182" s="1184"/>
      <c r="T182" s="388" t="b" cm="1">
        <f t="array" aca="1" ref="T182" ca="1">T181</f>
        <v>1</v>
      </c>
      <c r="U182" s="1184"/>
      <c r="V182" s="1184"/>
      <c r="W182" s="1184"/>
      <c r="X182" s="2032"/>
      <c r="Y182" s="2032"/>
      <c r="Z182" s="2012"/>
      <c r="AA182" s="2127"/>
      <c r="AB182" s="174" t="str">
        <f t="shared" si="11"/>
        <v>2072 год</v>
      </c>
      <c r="AC182" s="329"/>
      <c r="AD182" s="1727"/>
      <c r="AE182" s="1726"/>
      <c r="AF182" s="1726"/>
      <c r="AG182" s="1727"/>
      <c r="AH182" s="1726"/>
      <c r="AI182" s="1727"/>
      <c r="AJ182" s="1726"/>
      <c r="AK182" s="1728"/>
      <c r="AL182" s="324"/>
      <c r="AM182" s="1184"/>
      <c r="AN182" s="973" cm="1">
        <f t="array" ref="AN182">K182</f>
        <v>2072</v>
      </c>
      <c r="AO182" s="973" t="s">
        <v>2259</v>
      </c>
      <c r="AP182" s="983" t="str" cm="1">
        <f t="array" ref="AP182">AP181</f>
        <v>транспортировка</v>
      </c>
      <c r="AQ182" s="626"/>
      <c r="AR182" s="626"/>
    </row>
    <row r="183" spans="1:44" s="1828" customFormat="1" ht="14.25" hidden="1" customHeight="1" x14ac:dyDescent="0.15">
      <c r="A183" s="1184"/>
      <c r="B183" s="367" t="b">
        <f t="shared" si="10"/>
        <v>0</v>
      </c>
      <c r="C183" s="1184"/>
      <c r="D183" s="1184"/>
      <c r="E183" s="626">
        <v>15</v>
      </c>
      <c r="F183" s="3" t="str" cm="1">
        <f t="array" aca="1" ref="F183" ca="1">OFFSET(E183,-1,1)</f>
        <v>1</v>
      </c>
      <c r="G183" s="17" t="str" cm="1">
        <f t="array" ref="G183">G182</f>
        <v>транспортировка</v>
      </c>
      <c r="H183" s="1184"/>
      <c r="I183" s="1184"/>
      <c r="J183" s="1184"/>
      <c r="K183" s="77">
        <f>first_year+49</f>
        <v>2073</v>
      </c>
      <c r="L183" s="1184"/>
      <c r="M183" s="1184"/>
      <c r="N183" s="1184"/>
      <c r="O183" s="1184"/>
      <c r="P183" s="1184"/>
      <c r="Q183" s="1184"/>
      <c r="R183" s="1184"/>
      <c r="S183" s="1184"/>
      <c r="T183" s="388" t="b" cm="1">
        <f t="array" aca="1" ref="T183" ca="1">T182</f>
        <v>1</v>
      </c>
      <c r="U183" s="1184"/>
      <c r="V183" s="1184"/>
      <c r="W183" s="1184"/>
      <c r="X183" s="2032"/>
      <c r="Y183" s="2032"/>
      <c r="Z183" s="2012"/>
      <c r="AA183" s="2127"/>
      <c r="AB183" s="174" t="str">
        <f t="shared" si="11"/>
        <v>2073 год</v>
      </c>
      <c r="AC183" s="329"/>
      <c r="AD183" s="1727"/>
      <c r="AE183" s="1726"/>
      <c r="AF183" s="1726"/>
      <c r="AG183" s="1727"/>
      <c r="AH183" s="1726"/>
      <c r="AI183" s="1727"/>
      <c r="AJ183" s="1726"/>
      <c r="AK183" s="1728"/>
      <c r="AL183" s="324"/>
      <c r="AM183" s="1184"/>
      <c r="AN183" s="973" cm="1">
        <f t="array" ref="AN183">K183</f>
        <v>2073</v>
      </c>
      <c r="AO183" s="973" t="s">
        <v>2259</v>
      </c>
      <c r="AP183" s="983" t="str" cm="1">
        <f t="array" ref="AP183">AP182</f>
        <v>транспортировка</v>
      </c>
      <c r="AQ183" s="626"/>
      <c r="AR183" s="626"/>
    </row>
    <row r="184" spans="1:44" s="1334" customFormat="1" ht="14.25" customHeight="1" x14ac:dyDescent="0.15">
      <c r="A184" s="77"/>
      <c r="B184" s="354"/>
      <c r="C184" s="77"/>
      <c r="D184" s="77"/>
      <c r="E184" s="626">
        <v>15</v>
      </c>
      <c r="F184" s="1090" t="str" cm="1">
        <f t="array" aca="1" ref="F184" ca="1">OFFSET(E184,-1,1)</f>
        <v>1</v>
      </c>
      <c r="G184" s="77" t="str">
        <f>"!== 'не определено'"</f>
        <v>!== 'не определено'</v>
      </c>
      <c r="H184" s="77"/>
      <c r="I184" s="77"/>
      <c r="J184" s="77"/>
      <c r="K184" s="77"/>
      <c r="L184" s="77"/>
      <c r="M184" s="77"/>
      <c r="N184" s="77"/>
      <c r="O184" s="77"/>
      <c r="P184" s="77"/>
      <c r="Q184" s="77"/>
      <c r="R184" s="77"/>
      <c r="S184" s="77"/>
      <c r="T184" s="388" t="b">
        <f ca="1">F184&gt;0</f>
        <v>1</v>
      </c>
      <c r="U184" s="77"/>
      <c r="V184" s="77"/>
      <c r="W184" s="748" t="s">
        <v>2260</v>
      </c>
      <c r="X184" s="2032"/>
      <c r="Y184" s="77"/>
      <c r="Z184" s="2012"/>
      <c r="AA184" s="77"/>
      <c r="AB184" s="850" t="s">
        <v>176</v>
      </c>
      <c r="AC184" s="221"/>
      <c r="AD184" s="221"/>
      <c r="AE184" s="221"/>
      <c r="AF184" s="221"/>
      <c r="AG184" s="221"/>
      <c r="AH184" s="221"/>
      <c r="AI184" s="221"/>
      <c r="AJ184" s="221"/>
      <c r="AK184" s="221"/>
      <c r="AL184" s="324"/>
      <c r="AN184" s="913"/>
      <c r="AO184" s="913"/>
      <c r="AP184" s="913"/>
      <c r="AQ184" s="916" t="s">
        <v>2259</v>
      </c>
      <c r="AR184" s="548"/>
    </row>
    <row r="185" spans="1:44" s="461" customFormat="1" ht="14.25" customHeight="1" x14ac:dyDescent="0.15">
      <c r="A185" s="1217"/>
      <c r="B185" s="350"/>
      <c r="C185" s="1217"/>
      <c r="D185" s="1217"/>
      <c r="E185" s="542">
        <v>15</v>
      </c>
      <c r="F185" s="17" t="str" cm="1">
        <f t="array" ref="F185">X185</f>
        <v>2</v>
      </c>
      <c r="G185" s="1217"/>
      <c r="H185" s="1217"/>
      <c r="I185" s="1217"/>
      <c r="J185" s="1217"/>
      <c r="K185" s="1217"/>
      <c r="L185" s="1217"/>
      <c r="M185" s="1217"/>
      <c r="N185" s="1217"/>
      <c r="O185" s="1217"/>
      <c r="P185" s="1217"/>
      <c r="Q185" s="1217"/>
      <c r="R185" s="1217"/>
      <c r="S185" s="1217"/>
      <c r="T185" s="388" t="b">
        <f>X185&gt;0</f>
        <v>1</v>
      </c>
      <c r="U185" s="1217"/>
      <c r="V185" s="41" t="str" cm="1">
        <f t="array" ref="V185">ДПР!$AB$132</f>
        <v>Тариф 2 (Водоотведение) - тариф на водоотведение</v>
      </c>
      <c r="W185" s="1217"/>
      <c r="X185" s="2032" t="s">
        <v>289</v>
      </c>
      <c r="Y185" s="1217"/>
      <c r="Z185" s="2012"/>
      <c r="AA185" s="1217"/>
      <c r="AB185" s="297" t="str" cm="1">
        <f t="array" ref="AB185">ДПР!$AB$132</f>
        <v>Тариф 2 (Водоотведение) - тариф на водоотведение</v>
      </c>
      <c r="AC185" s="162"/>
      <c r="AD185" s="162"/>
      <c r="AE185" s="162"/>
      <c r="AF185" s="162"/>
      <c r="AG185" s="162"/>
      <c r="AH185" s="162"/>
      <c r="AI185" s="162"/>
      <c r="AJ185" s="162"/>
      <c r="AK185" s="162"/>
      <c r="AL185" s="323"/>
      <c r="AM185" s="1217"/>
      <c r="AN185" s="906"/>
      <c r="AO185" s="906"/>
      <c r="AP185" s="906"/>
      <c r="AQ185" s="542"/>
      <c r="AR185" s="542"/>
    </row>
    <row r="186" spans="1:44" s="461" customFormat="1" ht="14.25" hidden="1" customHeight="1" x14ac:dyDescent="0.15">
      <c r="A186" s="1217"/>
      <c r="B186" s="350"/>
      <c r="C186" s="1217"/>
      <c r="D186" s="1217"/>
      <c r="E186" s="542">
        <v>15</v>
      </c>
      <c r="F186" s="3" t="str" cm="1">
        <f t="array" aca="1" ref="F186" ca="1">OFFSET(E186,-1,1)</f>
        <v>2</v>
      </c>
      <c r="G186" s="41" cm="1">
        <f t="array" ref="G186">AB186</f>
        <v>0</v>
      </c>
      <c r="H186" s="1217"/>
      <c r="I186" s="1217"/>
      <c r="J186" s="1217"/>
      <c r="K186" s="1217"/>
      <c r="L186" s="1217"/>
      <c r="M186" s="1217"/>
      <c r="N186" s="1217"/>
      <c r="O186" s="1217"/>
      <c r="P186" s="1217"/>
      <c r="Q186" s="1217"/>
      <c r="R186" s="1217"/>
      <c r="S186" s="1217"/>
      <c r="T186" s="388" t="b">
        <f ca="1">AND(F186&gt;0,Y186&gt;0)</f>
        <v>0</v>
      </c>
      <c r="U186" s="1217"/>
      <c r="V186" s="1217"/>
      <c r="W186" s="41" t="s">
        <v>172</v>
      </c>
      <c r="X186" s="2032"/>
      <c r="Y186" s="2032">
        <v>0</v>
      </c>
      <c r="Z186" s="2012"/>
      <c r="AA186" s="2127" t="s">
        <v>173</v>
      </c>
      <c r="AB186" s="2128"/>
      <c r="AC186" s="2128"/>
      <c r="AD186" s="2128"/>
      <c r="AE186" s="2128"/>
      <c r="AF186" s="2128"/>
      <c r="AG186" s="2128"/>
      <c r="AH186" s="2128"/>
      <c r="AI186" s="2128"/>
      <c r="AJ186" s="2128"/>
      <c r="AK186" s="2129"/>
      <c r="AL186" s="323"/>
      <c r="AM186" s="1217"/>
      <c r="AN186" s="906"/>
      <c r="AO186" s="973" t="s">
        <v>2259</v>
      </c>
      <c r="AP186" s="988" cm="1">
        <f t="array" ref="AP186">AB186</f>
        <v>0</v>
      </c>
      <c r="AQ186" s="542"/>
      <c r="AR186" s="542" t="b">
        <v>1</v>
      </c>
    </row>
    <row r="187" spans="1:44" s="1829" customFormat="1" ht="14.25" hidden="1" customHeight="1" x14ac:dyDescent="0.15">
      <c r="A187" s="1184"/>
      <c r="B187" s="367" t="b">
        <f t="shared" ref="B187:B218" si="12">K187&lt;first_year+PERIOD_LENGTH</f>
        <v>1</v>
      </c>
      <c r="C187" s="1184"/>
      <c r="D187" s="1184"/>
      <c r="E187" s="626">
        <v>15</v>
      </c>
      <c r="F187" s="3" t="str" cm="1">
        <f t="array" aca="1" ref="F187" ca="1">OFFSET(E187,-1,1)</f>
        <v>2</v>
      </c>
      <c r="G187" s="17" cm="1">
        <f t="array" ref="G187">G186</f>
        <v>0</v>
      </c>
      <c r="H187" s="1184"/>
      <c r="I187" s="1184"/>
      <c r="J187" s="1184"/>
      <c r="K187" s="77" cm="1">
        <f t="array" ref="K187">first_year</f>
        <v>2024</v>
      </c>
      <c r="L187" s="1184"/>
      <c r="M187" s="1184"/>
      <c r="N187" s="1184"/>
      <c r="O187" s="1184"/>
      <c r="P187" s="1184"/>
      <c r="Q187" s="1184"/>
      <c r="R187" s="1184"/>
      <c r="S187" s="1184"/>
      <c r="T187" s="388" t="b" cm="1">
        <f t="array" aca="1" ref="T187" ca="1">T186</f>
        <v>0</v>
      </c>
      <c r="U187" s="1184"/>
      <c r="V187" s="1184"/>
      <c r="W187" s="1184"/>
      <c r="X187" s="2032"/>
      <c r="Y187" s="2032"/>
      <c r="Z187" s="2012"/>
      <c r="AA187" s="2127"/>
      <c r="AB187" s="219" t="str">
        <f t="shared" ref="AB187:AB218" si="13">K187&amp;" год"</f>
        <v>2024 год</v>
      </c>
      <c r="AC187" s="1726"/>
      <c r="AD187" s="1727"/>
      <c r="AE187" s="1726"/>
      <c r="AF187" s="1726"/>
      <c r="AG187" s="1727"/>
      <c r="AH187" s="1726"/>
      <c r="AI187" s="1727"/>
      <c r="AJ187" s="1726"/>
      <c r="AK187" s="1728"/>
      <c r="AL187" s="324"/>
      <c r="AM187" s="1184"/>
      <c r="AN187" s="973" cm="1">
        <f t="array" ref="AN187">K187</f>
        <v>2024</v>
      </c>
      <c r="AO187" s="973" t="s">
        <v>2259</v>
      </c>
      <c r="AP187" s="983" cm="1">
        <f t="array" ref="AP187">AP186</f>
        <v>0</v>
      </c>
      <c r="AQ187" s="626"/>
      <c r="AR187" s="626"/>
    </row>
    <row r="188" spans="1:44" s="1830" customFormat="1" ht="14.25" hidden="1" customHeight="1" x14ac:dyDescent="0.15">
      <c r="A188" s="1184"/>
      <c r="B188" s="367" t="b">
        <f t="shared" si="12"/>
        <v>1</v>
      </c>
      <c r="C188" s="1184"/>
      <c r="D188" s="1184"/>
      <c r="E188" s="626">
        <v>15</v>
      </c>
      <c r="F188" s="3" t="str" cm="1">
        <f t="array" aca="1" ref="F188" ca="1">OFFSET(E188,-1,1)</f>
        <v>2</v>
      </c>
      <c r="G188" s="17" cm="1">
        <f t="array" ref="G188">G187</f>
        <v>0</v>
      </c>
      <c r="H188" s="1184"/>
      <c r="I188" s="1184"/>
      <c r="J188" s="1184"/>
      <c r="K188" s="77">
        <f>first_year+1</f>
        <v>2025</v>
      </c>
      <c r="L188" s="1184"/>
      <c r="M188" s="1184"/>
      <c r="N188" s="1184"/>
      <c r="O188" s="1184"/>
      <c r="P188" s="1184"/>
      <c r="Q188" s="1184"/>
      <c r="R188" s="1184"/>
      <c r="S188" s="1184"/>
      <c r="T188" s="388" t="b" cm="1">
        <f t="array" aca="1" ref="T188" ca="1">T187</f>
        <v>0</v>
      </c>
      <c r="U188" s="1184"/>
      <c r="V188" s="1184"/>
      <c r="W188" s="1184"/>
      <c r="X188" s="2032"/>
      <c r="Y188" s="2032"/>
      <c r="Z188" s="2012"/>
      <c r="AA188" s="2127"/>
      <c r="AB188" s="174" t="str">
        <f t="shared" si="13"/>
        <v>2025 год</v>
      </c>
      <c r="AC188" s="329"/>
      <c r="AD188" s="1727"/>
      <c r="AE188" s="1726"/>
      <c r="AF188" s="1726"/>
      <c r="AG188" s="1727"/>
      <c r="AH188" s="1726"/>
      <c r="AI188" s="1727"/>
      <c r="AJ188" s="1726"/>
      <c r="AK188" s="1728"/>
      <c r="AL188" s="324"/>
      <c r="AM188" s="1184"/>
      <c r="AN188" s="973" cm="1">
        <f t="array" ref="AN188">K188</f>
        <v>2025</v>
      </c>
      <c r="AO188" s="973" t="s">
        <v>2259</v>
      </c>
      <c r="AP188" s="983" cm="1">
        <f t="array" ref="AP188">AP187</f>
        <v>0</v>
      </c>
      <c r="AQ188" s="626"/>
      <c r="AR188" s="626"/>
    </row>
    <row r="189" spans="1:44" s="1831" customFormat="1" ht="14.25" hidden="1" customHeight="1" x14ac:dyDescent="0.15">
      <c r="A189" s="1184"/>
      <c r="B189" s="367" t="b">
        <f t="shared" si="12"/>
        <v>1</v>
      </c>
      <c r="C189" s="1184"/>
      <c r="D189" s="1184"/>
      <c r="E189" s="626">
        <v>15</v>
      </c>
      <c r="F189" s="3" t="str" cm="1">
        <f t="array" aca="1" ref="F189" ca="1">OFFSET(E189,-1,1)</f>
        <v>2</v>
      </c>
      <c r="G189" s="17" cm="1">
        <f t="array" ref="G189">G188</f>
        <v>0</v>
      </c>
      <c r="H189" s="1184"/>
      <c r="I189" s="1184"/>
      <c r="J189" s="1184"/>
      <c r="K189" s="77">
        <f>first_year+2</f>
        <v>2026</v>
      </c>
      <c r="L189" s="1184"/>
      <c r="M189" s="1184"/>
      <c r="N189" s="1184"/>
      <c r="O189" s="1184"/>
      <c r="P189" s="1184"/>
      <c r="Q189" s="1184"/>
      <c r="R189" s="1184"/>
      <c r="S189" s="1184"/>
      <c r="T189" s="388" t="b" cm="1">
        <f t="array" aca="1" ref="T189" ca="1">T188</f>
        <v>0</v>
      </c>
      <c r="U189" s="1184"/>
      <c r="V189" s="1184"/>
      <c r="W189" s="1184"/>
      <c r="X189" s="2032"/>
      <c r="Y189" s="2032"/>
      <c r="Z189" s="2012"/>
      <c r="AA189" s="2127"/>
      <c r="AB189" s="174" t="str">
        <f t="shared" si="13"/>
        <v>2026 год</v>
      </c>
      <c r="AC189" s="329"/>
      <c r="AD189" s="1727"/>
      <c r="AE189" s="1726"/>
      <c r="AF189" s="1726"/>
      <c r="AG189" s="1727"/>
      <c r="AH189" s="1726"/>
      <c r="AI189" s="1727"/>
      <c r="AJ189" s="1726"/>
      <c r="AK189" s="1728"/>
      <c r="AL189" s="324"/>
      <c r="AM189" s="1184"/>
      <c r="AN189" s="973" cm="1">
        <f t="array" ref="AN189">K189</f>
        <v>2026</v>
      </c>
      <c r="AO189" s="973" t="s">
        <v>2259</v>
      </c>
      <c r="AP189" s="983" cm="1">
        <f t="array" ref="AP189">AP188</f>
        <v>0</v>
      </c>
      <c r="AQ189" s="626"/>
      <c r="AR189" s="626"/>
    </row>
    <row r="190" spans="1:44" s="1832" customFormat="1" ht="14.25" hidden="1" customHeight="1" x14ac:dyDescent="0.15">
      <c r="A190" s="1184"/>
      <c r="B190" s="367" t="b">
        <f t="shared" si="12"/>
        <v>1</v>
      </c>
      <c r="C190" s="1184"/>
      <c r="D190" s="1184"/>
      <c r="E190" s="626">
        <v>15</v>
      </c>
      <c r="F190" s="3" t="str" cm="1">
        <f t="array" aca="1" ref="F190" ca="1">OFFSET(E190,-1,1)</f>
        <v>2</v>
      </c>
      <c r="G190" s="17" cm="1">
        <f t="array" ref="G190">G189</f>
        <v>0</v>
      </c>
      <c r="H190" s="1184"/>
      <c r="I190" s="1184"/>
      <c r="J190" s="1184"/>
      <c r="K190" s="77">
        <f>first_year+3</f>
        <v>2027</v>
      </c>
      <c r="L190" s="1184"/>
      <c r="M190" s="1184"/>
      <c r="N190" s="1184"/>
      <c r="O190" s="1184"/>
      <c r="P190" s="1184"/>
      <c r="Q190" s="1184"/>
      <c r="R190" s="1184"/>
      <c r="S190" s="1184"/>
      <c r="T190" s="388" t="b" cm="1">
        <f t="array" aca="1" ref="T190" ca="1">T189</f>
        <v>0</v>
      </c>
      <c r="U190" s="1184"/>
      <c r="V190" s="1184"/>
      <c r="W190" s="1184"/>
      <c r="X190" s="2032"/>
      <c r="Y190" s="2032"/>
      <c r="Z190" s="2012"/>
      <c r="AA190" s="2127"/>
      <c r="AB190" s="174" t="str">
        <f t="shared" si="13"/>
        <v>2027 год</v>
      </c>
      <c r="AC190" s="329"/>
      <c r="AD190" s="1727"/>
      <c r="AE190" s="1726"/>
      <c r="AF190" s="1726"/>
      <c r="AG190" s="1727"/>
      <c r="AH190" s="1726"/>
      <c r="AI190" s="1727"/>
      <c r="AJ190" s="1726"/>
      <c r="AK190" s="1728"/>
      <c r="AL190" s="324"/>
      <c r="AM190" s="1184"/>
      <c r="AN190" s="973" cm="1">
        <f t="array" ref="AN190">K190</f>
        <v>2027</v>
      </c>
      <c r="AO190" s="973" t="s">
        <v>2259</v>
      </c>
      <c r="AP190" s="983" cm="1">
        <f t="array" ref="AP190">AP189</f>
        <v>0</v>
      </c>
      <c r="AQ190" s="626"/>
      <c r="AR190" s="626"/>
    </row>
    <row r="191" spans="1:44" s="1833" customFormat="1" ht="14.25" hidden="1" customHeight="1" x14ac:dyDescent="0.15">
      <c r="A191" s="1184"/>
      <c r="B191" s="367" t="b">
        <f t="shared" si="12"/>
        <v>1</v>
      </c>
      <c r="C191" s="1184"/>
      <c r="D191" s="1184"/>
      <c r="E191" s="626">
        <v>15</v>
      </c>
      <c r="F191" s="3" t="str" cm="1">
        <f t="array" aca="1" ref="F191" ca="1">OFFSET(E191,-1,1)</f>
        <v>2</v>
      </c>
      <c r="G191" s="17" cm="1">
        <f t="array" ref="G191">G190</f>
        <v>0</v>
      </c>
      <c r="H191" s="1184"/>
      <c r="I191" s="1184"/>
      <c r="J191" s="1184"/>
      <c r="K191" s="77">
        <f>first_year+4</f>
        <v>2028</v>
      </c>
      <c r="L191" s="1184"/>
      <c r="M191" s="1184"/>
      <c r="N191" s="1184"/>
      <c r="O191" s="1184"/>
      <c r="P191" s="1184"/>
      <c r="Q191" s="1184"/>
      <c r="R191" s="1184"/>
      <c r="S191" s="1184"/>
      <c r="T191" s="388" t="b" cm="1">
        <f t="array" aca="1" ref="T191" ca="1">T190</f>
        <v>0</v>
      </c>
      <c r="U191" s="1184"/>
      <c r="V191" s="1184"/>
      <c r="W191" s="1184"/>
      <c r="X191" s="2032"/>
      <c r="Y191" s="2032"/>
      <c r="Z191" s="2012"/>
      <c r="AA191" s="2127"/>
      <c r="AB191" s="174" t="str">
        <f t="shared" si="13"/>
        <v>2028 год</v>
      </c>
      <c r="AC191" s="329"/>
      <c r="AD191" s="1727"/>
      <c r="AE191" s="1726"/>
      <c r="AF191" s="1726"/>
      <c r="AG191" s="1727"/>
      <c r="AH191" s="1726"/>
      <c r="AI191" s="1727"/>
      <c r="AJ191" s="1726"/>
      <c r="AK191" s="1728"/>
      <c r="AL191" s="324"/>
      <c r="AM191" s="1184"/>
      <c r="AN191" s="973" cm="1">
        <f t="array" ref="AN191">K191</f>
        <v>2028</v>
      </c>
      <c r="AO191" s="973" t="s">
        <v>2259</v>
      </c>
      <c r="AP191" s="983" cm="1">
        <f t="array" ref="AP191">AP190</f>
        <v>0</v>
      </c>
      <c r="AQ191" s="626"/>
      <c r="AR191" s="626"/>
    </row>
    <row r="192" spans="1:44" s="1834" customFormat="1" ht="14.25" hidden="1" customHeight="1" x14ac:dyDescent="0.15">
      <c r="A192" s="1184"/>
      <c r="B192" s="367" t="b">
        <f t="shared" si="12"/>
        <v>1</v>
      </c>
      <c r="C192" s="1184"/>
      <c r="D192" s="1184"/>
      <c r="E192" s="626">
        <v>15</v>
      </c>
      <c r="F192" s="3" t="str" cm="1">
        <f t="array" aca="1" ref="F192" ca="1">OFFSET(E192,-1,1)</f>
        <v>2</v>
      </c>
      <c r="G192" s="17" cm="1">
        <f t="array" ref="G192">G191</f>
        <v>0</v>
      </c>
      <c r="H192" s="1184"/>
      <c r="I192" s="1184"/>
      <c r="J192" s="1184"/>
      <c r="K192" s="77">
        <f>first_year+5</f>
        <v>2029</v>
      </c>
      <c r="L192" s="1184"/>
      <c r="M192" s="1184"/>
      <c r="N192" s="1184"/>
      <c r="O192" s="1184"/>
      <c r="P192" s="1184"/>
      <c r="Q192" s="1184"/>
      <c r="R192" s="1184"/>
      <c r="S192" s="1184"/>
      <c r="T192" s="388" t="b" cm="1">
        <f t="array" aca="1" ref="T192" ca="1">T191</f>
        <v>0</v>
      </c>
      <c r="U192" s="1184"/>
      <c r="V192" s="1184"/>
      <c r="W192" s="1184"/>
      <c r="X192" s="2032"/>
      <c r="Y192" s="2032"/>
      <c r="Z192" s="2012"/>
      <c r="AA192" s="2127"/>
      <c r="AB192" s="174" t="str">
        <f t="shared" si="13"/>
        <v>2029 год</v>
      </c>
      <c r="AC192" s="329"/>
      <c r="AD192" s="1727"/>
      <c r="AE192" s="1726"/>
      <c r="AF192" s="1726"/>
      <c r="AG192" s="1727"/>
      <c r="AH192" s="1726"/>
      <c r="AI192" s="1727"/>
      <c r="AJ192" s="1726"/>
      <c r="AK192" s="1728"/>
      <c r="AL192" s="324"/>
      <c r="AM192" s="1184"/>
      <c r="AN192" s="973" cm="1">
        <f t="array" ref="AN192">K192</f>
        <v>2029</v>
      </c>
      <c r="AO192" s="973" t="s">
        <v>2259</v>
      </c>
      <c r="AP192" s="983" cm="1">
        <f t="array" ref="AP192">AP191</f>
        <v>0</v>
      </c>
      <c r="AQ192" s="626"/>
      <c r="AR192" s="626"/>
    </row>
    <row r="193" spans="1:44" s="1835" customFormat="1" ht="14.25" hidden="1" customHeight="1" x14ac:dyDescent="0.15">
      <c r="A193" s="1184"/>
      <c r="B193" s="367" t="b">
        <f t="shared" si="12"/>
        <v>1</v>
      </c>
      <c r="C193" s="1184"/>
      <c r="D193" s="1184"/>
      <c r="E193" s="626">
        <v>15</v>
      </c>
      <c r="F193" s="3" t="str" cm="1">
        <f t="array" aca="1" ref="F193" ca="1">OFFSET(E193,-1,1)</f>
        <v>2</v>
      </c>
      <c r="G193" s="17" cm="1">
        <f t="array" ref="G193">G192</f>
        <v>0</v>
      </c>
      <c r="H193" s="1184"/>
      <c r="I193" s="1184"/>
      <c r="J193" s="1184"/>
      <c r="K193" s="77">
        <f>first_year+6</f>
        <v>2030</v>
      </c>
      <c r="L193" s="1184"/>
      <c r="M193" s="1184"/>
      <c r="N193" s="1184"/>
      <c r="O193" s="1184"/>
      <c r="P193" s="1184"/>
      <c r="Q193" s="1184"/>
      <c r="R193" s="1184"/>
      <c r="S193" s="1184"/>
      <c r="T193" s="388" t="b" cm="1">
        <f t="array" aca="1" ref="T193" ca="1">T192</f>
        <v>0</v>
      </c>
      <c r="U193" s="1184"/>
      <c r="V193" s="1184"/>
      <c r="W193" s="1184"/>
      <c r="X193" s="2032"/>
      <c r="Y193" s="2032"/>
      <c r="Z193" s="2012"/>
      <c r="AA193" s="2127"/>
      <c r="AB193" s="174" t="str">
        <f t="shared" si="13"/>
        <v>2030 год</v>
      </c>
      <c r="AC193" s="329"/>
      <c r="AD193" s="1727"/>
      <c r="AE193" s="1726"/>
      <c r="AF193" s="1726"/>
      <c r="AG193" s="1727"/>
      <c r="AH193" s="1726"/>
      <c r="AI193" s="1727"/>
      <c r="AJ193" s="1726"/>
      <c r="AK193" s="1728"/>
      <c r="AL193" s="324"/>
      <c r="AM193" s="1184"/>
      <c r="AN193" s="973" cm="1">
        <f t="array" ref="AN193">K193</f>
        <v>2030</v>
      </c>
      <c r="AO193" s="973" t="s">
        <v>2259</v>
      </c>
      <c r="AP193" s="983" cm="1">
        <f t="array" ref="AP193">AP192</f>
        <v>0</v>
      </c>
      <c r="AQ193" s="626"/>
      <c r="AR193" s="626"/>
    </row>
    <row r="194" spans="1:44" s="1836" customFormat="1" ht="14.25" hidden="1" customHeight="1" x14ac:dyDescent="0.15">
      <c r="A194" s="1184"/>
      <c r="B194" s="367" t="b">
        <f t="shared" si="12"/>
        <v>1</v>
      </c>
      <c r="C194" s="1184"/>
      <c r="D194" s="1184"/>
      <c r="E194" s="626">
        <v>15</v>
      </c>
      <c r="F194" s="3" t="str" cm="1">
        <f t="array" aca="1" ref="F194" ca="1">OFFSET(E194,-1,1)</f>
        <v>2</v>
      </c>
      <c r="G194" s="17" cm="1">
        <f t="array" ref="G194">G193</f>
        <v>0</v>
      </c>
      <c r="H194" s="1184"/>
      <c r="I194" s="1184"/>
      <c r="J194" s="1184"/>
      <c r="K194" s="77">
        <f>first_year+7</f>
        <v>2031</v>
      </c>
      <c r="L194" s="1184"/>
      <c r="M194" s="1184"/>
      <c r="N194" s="1184"/>
      <c r="O194" s="1184"/>
      <c r="P194" s="1184"/>
      <c r="Q194" s="1184"/>
      <c r="R194" s="1184"/>
      <c r="S194" s="1184"/>
      <c r="T194" s="388" t="b" cm="1">
        <f t="array" aca="1" ref="T194" ca="1">T193</f>
        <v>0</v>
      </c>
      <c r="U194" s="1184"/>
      <c r="V194" s="1184"/>
      <c r="W194" s="1184"/>
      <c r="X194" s="2032"/>
      <c r="Y194" s="2032"/>
      <c r="Z194" s="2012"/>
      <c r="AA194" s="2127"/>
      <c r="AB194" s="174" t="str">
        <f t="shared" si="13"/>
        <v>2031 год</v>
      </c>
      <c r="AC194" s="329"/>
      <c r="AD194" s="1727"/>
      <c r="AE194" s="1726"/>
      <c r="AF194" s="1726"/>
      <c r="AG194" s="1727"/>
      <c r="AH194" s="1726"/>
      <c r="AI194" s="1727"/>
      <c r="AJ194" s="1726"/>
      <c r="AK194" s="1728"/>
      <c r="AL194" s="324"/>
      <c r="AM194" s="1184"/>
      <c r="AN194" s="973" cm="1">
        <f t="array" ref="AN194">K194</f>
        <v>2031</v>
      </c>
      <c r="AO194" s="973" t="s">
        <v>2259</v>
      </c>
      <c r="AP194" s="983" cm="1">
        <f t="array" ref="AP194">AP193</f>
        <v>0</v>
      </c>
      <c r="AQ194" s="626"/>
      <c r="AR194" s="626"/>
    </row>
    <row r="195" spans="1:44" s="1837" customFormat="1" ht="14.25" hidden="1" customHeight="1" x14ac:dyDescent="0.15">
      <c r="A195" s="1184"/>
      <c r="B195" s="367" t="b">
        <f t="shared" si="12"/>
        <v>1</v>
      </c>
      <c r="C195" s="1184"/>
      <c r="D195" s="1184"/>
      <c r="E195" s="626">
        <v>15</v>
      </c>
      <c r="F195" s="3" t="str" cm="1">
        <f t="array" aca="1" ref="F195" ca="1">OFFSET(E195,-1,1)</f>
        <v>2</v>
      </c>
      <c r="G195" s="17" cm="1">
        <f t="array" ref="G195">G194</f>
        <v>0</v>
      </c>
      <c r="H195" s="1184"/>
      <c r="I195" s="1184"/>
      <c r="J195" s="1184"/>
      <c r="K195" s="77">
        <f>first_year+8</f>
        <v>2032</v>
      </c>
      <c r="L195" s="1184"/>
      <c r="M195" s="1184"/>
      <c r="N195" s="1184"/>
      <c r="O195" s="1184"/>
      <c r="P195" s="1184"/>
      <c r="Q195" s="1184"/>
      <c r="R195" s="1184"/>
      <c r="S195" s="1184"/>
      <c r="T195" s="388" t="b" cm="1">
        <f t="array" aca="1" ref="T195" ca="1">T194</f>
        <v>0</v>
      </c>
      <c r="U195" s="1184"/>
      <c r="V195" s="1184"/>
      <c r="W195" s="1184"/>
      <c r="X195" s="2032"/>
      <c r="Y195" s="2032"/>
      <c r="Z195" s="2012"/>
      <c r="AA195" s="2127"/>
      <c r="AB195" s="174" t="str">
        <f t="shared" si="13"/>
        <v>2032 год</v>
      </c>
      <c r="AC195" s="329"/>
      <c r="AD195" s="1727"/>
      <c r="AE195" s="1726"/>
      <c r="AF195" s="1726"/>
      <c r="AG195" s="1727"/>
      <c r="AH195" s="1726"/>
      <c r="AI195" s="1727"/>
      <c r="AJ195" s="1726"/>
      <c r="AK195" s="1728"/>
      <c r="AL195" s="324"/>
      <c r="AM195" s="1184"/>
      <c r="AN195" s="973" cm="1">
        <f t="array" ref="AN195">K195</f>
        <v>2032</v>
      </c>
      <c r="AO195" s="973" t="s">
        <v>2259</v>
      </c>
      <c r="AP195" s="983" cm="1">
        <f t="array" ref="AP195">AP194</f>
        <v>0</v>
      </c>
      <c r="AQ195" s="626"/>
      <c r="AR195" s="626"/>
    </row>
    <row r="196" spans="1:44" s="1838" customFormat="1" ht="14.25" hidden="1" customHeight="1" x14ac:dyDescent="0.15">
      <c r="A196" s="1184"/>
      <c r="B196" s="367" t="b">
        <f t="shared" si="12"/>
        <v>0</v>
      </c>
      <c r="C196" s="1184"/>
      <c r="D196" s="1184"/>
      <c r="E196" s="626">
        <v>15</v>
      </c>
      <c r="F196" s="3" t="str" cm="1">
        <f t="array" aca="1" ref="F196" ca="1">OFFSET(E196,-1,1)</f>
        <v>2</v>
      </c>
      <c r="G196" s="17" cm="1">
        <f t="array" ref="G196">G195</f>
        <v>0</v>
      </c>
      <c r="H196" s="1184"/>
      <c r="I196" s="1184"/>
      <c r="J196" s="1184"/>
      <c r="K196" s="77">
        <f>first_year+9</f>
        <v>2033</v>
      </c>
      <c r="L196" s="1184"/>
      <c r="M196" s="1184"/>
      <c r="N196" s="1184"/>
      <c r="O196" s="1184"/>
      <c r="P196" s="1184"/>
      <c r="Q196" s="1184"/>
      <c r="R196" s="1184"/>
      <c r="S196" s="1184"/>
      <c r="T196" s="388" t="b" cm="1">
        <f t="array" aca="1" ref="T196" ca="1">T195</f>
        <v>0</v>
      </c>
      <c r="U196" s="1184"/>
      <c r="V196" s="1184"/>
      <c r="W196" s="1184"/>
      <c r="X196" s="2032"/>
      <c r="Y196" s="2032"/>
      <c r="Z196" s="2012"/>
      <c r="AA196" s="2127"/>
      <c r="AB196" s="174" t="str">
        <f t="shared" si="13"/>
        <v>2033 год</v>
      </c>
      <c r="AC196" s="329"/>
      <c r="AD196" s="1727"/>
      <c r="AE196" s="1726"/>
      <c r="AF196" s="1726"/>
      <c r="AG196" s="1727"/>
      <c r="AH196" s="1726"/>
      <c r="AI196" s="1727"/>
      <c r="AJ196" s="1726"/>
      <c r="AK196" s="1728"/>
      <c r="AL196" s="324"/>
      <c r="AM196" s="1184"/>
      <c r="AN196" s="973" cm="1">
        <f t="array" ref="AN196">K196</f>
        <v>2033</v>
      </c>
      <c r="AO196" s="973" t="s">
        <v>2259</v>
      </c>
      <c r="AP196" s="983" cm="1">
        <f t="array" ref="AP196">AP195</f>
        <v>0</v>
      </c>
      <c r="AQ196" s="626"/>
      <c r="AR196" s="626"/>
    </row>
    <row r="197" spans="1:44" s="1839" customFormat="1" ht="14.25" hidden="1" customHeight="1" x14ac:dyDescent="0.15">
      <c r="A197" s="1184"/>
      <c r="B197" s="367" t="b">
        <f t="shared" si="12"/>
        <v>0</v>
      </c>
      <c r="C197" s="1184"/>
      <c r="D197" s="1184"/>
      <c r="E197" s="626">
        <v>15</v>
      </c>
      <c r="F197" s="3" t="str" cm="1">
        <f t="array" aca="1" ref="F197" ca="1">OFFSET(E197,-1,1)</f>
        <v>2</v>
      </c>
      <c r="G197" s="17" cm="1">
        <f t="array" ref="G197">G196</f>
        <v>0</v>
      </c>
      <c r="H197" s="1184"/>
      <c r="I197" s="1184"/>
      <c r="J197" s="1184"/>
      <c r="K197" s="77">
        <f>first_year+10</f>
        <v>2034</v>
      </c>
      <c r="L197" s="1184"/>
      <c r="M197" s="1184"/>
      <c r="N197" s="1184"/>
      <c r="O197" s="1184"/>
      <c r="P197" s="1184"/>
      <c r="Q197" s="1184"/>
      <c r="R197" s="1184"/>
      <c r="S197" s="1184"/>
      <c r="T197" s="388" t="b" cm="1">
        <f t="array" aca="1" ref="T197" ca="1">T196</f>
        <v>0</v>
      </c>
      <c r="U197" s="1184"/>
      <c r="V197" s="1184"/>
      <c r="W197" s="1184"/>
      <c r="X197" s="2032"/>
      <c r="Y197" s="2032"/>
      <c r="Z197" s="2012"/>
      <c r="AA197" s="2127"/>
      <c r="AB197" s="174" t="str">
        <f t="shared" si="13"/>
        <v>2034 год</v>
      </c>
      <c r="AC197" s="329"/>
      <c r="AD197" s="1727"/>
      <c r="AE197" s="1726"/>
      <c r="AF197" s="1726"/>
      <c r="AG197" s="1727"/>
      <c r="AH197" s="1726"/>
      <c r="AI197" s="1727"/>
      <c r="AJ197" s="1726"/>
      <c r="AK197" s="1728"/>
      <c r="AL197" s="324"/>
      <c r="AM197" s="1184"/>
      <c r="AN197" s="973" cm="1">
        <f t="array" ref="AN197">K197</f>
        <v>2034</v>
      </c>
      <c r="AO197" s="973" t="s">
        <v>2259</v>
      </c>
      <c r="AP197" s="983" cm="1">
        <f t="array" ref="AP197">AP196</f>
        <v>0</v>
      </c>
      <c r="AQ197" s="626"/>
      <c r="AR197" s="626"/>
    </row>
    <row r="198" spans="1:44" s="1840" customFormat="1" ht="14.25" hidden="1" customHeight="1" x14ac:dyDescent="0.15">
      <c r="A198" s="1184"/>
      <c r="B198" s="367" t="b">
        <f t="shared" si="12"/>
        <v>0</v>
      </c>
      <c r="C198" s="1184"/>
      <c r="D198" s="1184"/>
      <c r="E198" s="626">
        <v>15</v>
      </c>
      <c r="F198" s="3" t="str" cm="1">
        <f t="array" aca="1" ref="F198" ca="1">OFFSET(E198,-1,1)</f>
        <v>2</v>
      </c>
      <c r="G198" s="17" cm="1">
        <f t="array" ref="G198">G197</f>
        <v>0</v>
      </c>
      <c r="H198" s="1184"/>
      <c r="I198" s="1184"/>
      <c r="J198" s="1184"/>
      <c r="K198" s="77">
        <f>first_year+11</f>
        <v>2035</v>
      </c>
      <c r="L198" s="1184"/>
      <c r="M198" s="1184"/>
      <c r="N198" s="1184"/>
      <c r="O198" s="1184"/>
      <c r="P198" s="1184"/>
      <c r="Q198" s="1184"/>
      <c r="R198" s="1184"/>
      <c r="S198" s="1184"/>
      <c r="T198" s="388" t="b" cm="1">
        <f t="array" aca="1" ref="T198" ca="1">T197</f>
        <v>0</v>
      </c>
      <c r="U198" s="1184"/>
      <c r="V198" s="1184"/>
      <c r="W198" s="1184"/>
      <c r="X198" s="2032"/>
      <c r="Y198" s="2032"/>
      <c r="Z198" s="2012"/>
      <c r="AA198" s="2127"/>
      <c r="AB198" s="174" t="str">
        <f t="shared" si="13"/>
        <v>2035 год</v>
      </c>
      <c r="AC198" s="329"/>
      <c r="AD198" s="1727"/>
      <c r="AE198" s="1726"/>
      <c r="AF198" s="1726"/>
      <c r="AG198" s="1727"/>
      <c r="AH198" s="1726"/>
      <c r="AI198" s="1727"/>
      <c r="AJ198" s="1726"/>
      <c r="AK198" s="1728"/>
      <c r="AL198" s="324"/>
      <c r="AM198" s="1184"/>
      <c r="AN198" s="973" cm="1">
        <f t="array" ref="AN198">K198</f>
        <v>2035</v>
      </c>
      <c r="AO198" s="973" t="s">
        <v>2259</v>
      </c>
      <c r="AP198" s="983" cm="1">
        <f t="array" ref="AP198">AP197</f>
        <v>0</v>
      </c>
      <c r="AQ198" s="626"/>
      <c r="AR198" s="626"/>
    </row>
    <row r="199" spans="1:44" s="1841" customFormat="1" ht="14.25" hidden="1" customHeight="1" x14ac:dyDescent="0.15">
      <c r="A199" s="1184"/>
      <c r="B199" s="367" t="b">
        <f t="shared" si="12"/>
        <v>0</v>
      </c>
      <c r="C199" s="1184"/>
      <c r="D199" s="1184"/>
      <c r="E199" s="626">
        <v>15</v>
      </c>
      <c r="F199" s="3" t="str" cm="1">
        <f t="array" aca="1" ref="F199" ca="1">OFFSET(E199,-1,1)</f>
        <v>2</v>
      </c>
      <c r="G199" s="17" cm="1">
        <f t="array" ref="G199">G198</f>
        <v>0</v>
      </c>
      <c r="H199" s="1184"/>
      <c r="I199" s="1184"/>
      <c r="J199" s="1184"/>
      <c r="K199" s="77">
        <f>first_year+12</f>
        <v>2036</v>
      </c>
      <c r="L199" s="1184"/>
      <c r="M199" s="1184"/>
      <c r="N199" s="1184"/>
      <c r="O199" s="1184"/>
      <c r="P199" s="1184"/>
      <c r="Q199" s="1184"/>
      <c r="R199" s="1184"/>
      <c r="S199" s="1184"/>
      <c r="T199" s="388" t="b" cm="1">
        <f t="array" aca="1" ref="T199" ca="1">T198</f>
        <v>0</v>
      </c>
      <c r="U199" s="1184"/>
      <c r="V199" s="1184"/>
      <c r="W199" s="1184"/>
      <c r="X199" s="2032"/>
      <c r="Y199" s="2032"/>
      <c r="Z199" s="2012"/>
      <c r="AA199" s="2127"/>
      <c r="AB199" s="174" t="str">
        <f t="shared" si="13"/>
        <v>2036 год</v>
      </c>
      <c r="AC199" s="329"/>
      <c r="AD199" s="1727"/>
      <c r="AE199" s="1726"/>
      <c r="AF199" s="1726"/>
      <c r="AG199" s="1727"/>
      <c r="AH199" s="1726"/>
      <c r="AI199" s="1727"/>
      <c r="AJ199" s="1726"/>
      <c r="AK199" s="1728"/>
      <c r="AL199" s="324"/>
      <c r="AM199" s="1184"/>
      <c r="AN199" s="973" cm="1">
        <f t="array" ref="AN199">K199</f>
        <v>2036</v>
      </c>
      <c r="AO199" s="973" t="s">
        <v>2259</v>
      </c>
      <c r="AP199" s="983" cm="1">
        <f t="array" ref="AP199">AP198</f>
        <v>0</v>
      </c>
      <c r="AQ199" s="626"/>
      <c r="AR199" s="626"/>
    </row>
    <row r="200" spans="1:44" s="1842" customFormat="1" ht="14.25" hidden="1" customHeight="1" x14ac:dyDescent="0.15">
      <c r="A200" s="1184"/>
      <c r="B200" s="367" t="b">
        <f t="shared" si="12"/>
        <v>0</v>
      </c>
      <c r="C200" s="1184"/>
      <c r="D200" s="1184"/>
      <c r="E200" s="626">
        <v>15</v>
      </c>
      <c r="F200" s="3" t="str" cm="1">
        <f t="array" aca="1" ref="F200" ca="1">OFFSET(E200,-1,1)</f>
        <v>2</v>
      </c>
      <c r="G200" s="17" cm="1">
        <f t="array" ref="G200">G199</f>
        <v>0</v>
      </c>
      <c r="H200" s="1184"/>
      <c r="I200" s="1184"/>
      <c r="J200" s="1184"/>
      <c r="K200" s="77">
        <f>first_year+13</f>
        <v>2037</v>
      </c>
      <c r="L200" s="1184"/>
      <c r="M200" s="1184"/>
      <c r="N200" s="1184"/>
      <c r="O200" s="1184"/>
      <c r="P200" s="1184"/>
      <c r="Q200" s="1184"/>
      <c r="R200" s="1184"/>
      <c r="S200" s="1184"/>
      <c r="T200" s="388" t="b" cm="1">
        <f t="array" aca="1" ref="T200" ca="1">T199</f>
        <v>0</v>
      </c>
      <c r="U200" s="1184"/>
      <c r="V200" s="1184"/>
      <c r="W200" s="1184"/>
      <c r="X200" s="2032"/>
      <c r="Y200" s="2032"/>
      <c r="Z200" s="2012"/>
      <c r="AA200" s="2127"/>
      <c r="AB200" s="174" t="str">
        <f t="shared" si="13"/>
        <v>2037 год</v>
      </c>
      <c r="AC200" s="329"/>
      <c r="AD200" s="1727"/>
      <c r="AE200" s="1726"/>
      <c r="AF200" s="1726"/>
      <c r="AG200" s="1727"/>
      <c r="AH200" s="1726"/>
      <c r="AI200" s="1727"/>
      <c r="AJ200" s="1726"/>
      <c r="AK200" s="1728"/>
      <c r="AL200" s="324"/>
      <c r="AM200" s="1184"/>
      <c r="AN200" s="973" cm="1">
        <f t="array" ref="AN200">K200</f>
        <v>2037</v>
      </c>
      <c r="AO200" s="973" t="s">
        <v>2259</v>
      </c>
      <c r="AP200" s="983" cm="1">
        <f t="array" ref="AP200">AP199</f>
        <v>0</v>
      </c>
      <c r="AQ200" s="626"/>
      <c r="AR200" s="626"/>
    </row>
    <row r="201" spans="1:44" s="1843" customFormat="1" ht="14.25" hidden="1" customHeight="1" x14ac:dyDescent="0.15">
      <c r="A201" s="1184"/>
      <c r="B201" s="367" t="b">
        <f t="shared" si="12"/>
        <v>0</v>
      </c>
      <c r="C201" s="1184"/>
      <c r="D201" s="1184"/>
      <c r="E201" s="626">
        <v>15</v>
      </c>
      <c r="F201" s="3" t="str" cm="1">
        <f t="array" aca="1" ref="F201" ca="1">OFFSET(E201,-1,1)</f>
        <v>2</v>
      </c>
      <c r="G201" s="17" cm="1">
        <f t="array" ref="G201">G200</f>
        <v>0</v>
      </c>
      <c r="H201" s="1184"/>
      <c r="I201" s="1184"/>
      <c r="J201" s="1184"/>
      <c r="K201" s="77">
        <f>first_year+14</f>
        <v>2038</v>
      </c>
      <c r="L201" s="1184"/>
      <c r="M201" s="1184"/>
      <c r="N201" s="1184"/>
      <c r="O201" s="1184"/>
      <c r="P201" s="1184"/>
      <c r="Q201" s="1184"/>
      <c r="R201" s="1184"/>
      <c r="S201" s="1184"/>
      <c r="T201" s="388" t="b" cm="1">
        <f t="array" aca="1" ref="T201" ca="1">T200</f>
        <v>0</v>
      </c>
      <c r="U201" s="1184"/>
      <c r="V201" s="1184"/>
      <c r="W201" s="1184"/>
      <c r="X201" s="2032"/>
      <c r="Y201" s="2032"/>
      <c r="Z201" s="2012"/>
      <c r="AA201" s="2127"/>
      <c r="AB201" s="174" t="str">
        <f t="shared" si="13"/>
        <v>2038 год</v>
      </c>
      <c r="AC201" s="329"/>
      <c r="AD201" s="1727"/>
      <c r="AE201" s="1726"/>
      <c r="AF201" s="1726"/>
      <c r="AG201" s="1727"/>
      <c r="AH201" s="1726"/>
      <c r="AI201" s="1727"/>
      <c r="AJ201" s="1726"/>
      <c r="AK201" s="1728"/>
      <c r="AL201" s="324"/>
      <c r="AM201" s="1184"/>
      <c r="AN201" s="973" cm="1">
        <f t="array" ref="AN201">K201</f>
        <v>2038</v>
      </c>
      <c r="AO201" s="973" t="s">
        <v>2259</v>
      </c>
      <c r="AP201" s="983" cm="1">
        <f t="array" ref="AP201">AP200</f>
        <v>0</v>
      </c>
      <c r="AQ201" s="626"/>
      <c r="AR201" s="626"/>
    </row>
    <row r="202" spans="1:44" s="1844" customFormat="1" ht="14.25" hidden="1" customHeight="1" x14ac:dyDescent="0.15">
      <c r="A202" s="1184"/>
      <c r="B202" s="367" t="b">
        <f t="shared" si="12"/>
        <v>0</v>
      </c>
      <c r="C202" s="1184"/>
      <c r="D202" s="1184"/>
      <c r="E202" s="626">
        <v>15</v>
      </c>
      <c r="F202" s="3" t="str" cm="1">
        <f t="array" aca="1" ref="F202" ca="1">OFFSET(E202,-1,1)</f>
        <v>2</v>
      </c>
      <c r="G202" s="17" cm="1">
        <f t="array" ref="G202">G201</f>
        <v>0</v>
      </c>
      <c r="H202" s="1184"/>
      <c r="I202" s="1184"/>
      <c r="J202" s="1184"/>
      <c r="K202" s="77">
        <f>first_year+15</f>
        <v>2039</v>
      </c>
      <c r="L202" s="1184"/>
      <c r="M202" s="1184"/>
      <c r="N202" s="1184"/>
      <c r="O202" s="1184"/>
      <c r="P202" s="1184"/>
      <c r="Q202" s="1184"/>
      <c r="R202" s="1184"/>
      <c r="S202" s="1184"/>
      <c r="T202" s="388" t="b" cm="1">
        <f t="array" aca="1" ref="T202" ca="1">T201</f>
        <v>0</v>
      </c>
      <c r="U202" s="1184"/>
      <c r="V202" s="1184"/>
      <c r="W202" s="1184"/>
      <c r="X202" s="2032"/>
      <c r="Y202" s="2032"/>
      <c r="Z202" s="2012"/>
      <c r="AA202" s="2127"/>
      <c r="AB202" s="174" t="str">
        <f t="shared" si="13"/>
        <v>2039 год</v>
      </c>
      <c r="AC202" s="329"/>
      <c r="AD202" s="1727"/>
      <c r="AE202" s="1726"/>
      <c r="AF202" s="1726"/>
      <c r="AG202" s="1727"/>
      <c r="AH202" s="1726"/>
      <c r="AI202" s="1727"/>
      <c r="AJ202" s="1726"/>
      <c r="AK202" s="1728"/>
      <c r="AL202" s="324"/>
      <c r="AM202" s="1184"/>
      <c r="AN202" s="973" cm="1">
        <f t="array" ref="AN202">K202</f>
        <v>2039</v>
      </c>
      <c r="AO202" s="973" t="s">
        <v>2259</v>
      </c>
      <c r="AP202" s="983" cm="1">
        <f t="array" ref="AP202">AP201</f>
        <v>0</v>
      </c>
      <c r="AQ202" s="626"/>
      <c r="AR202" s="626"/>
    </row>
    <row r="203" spans="1:44" s="1845" customFormat="1" ht="14.25" hidden="1" customHeight="1" x14ac:dyDescent="0.15">
      <c r="A203" s="1184"/>
      <c r="B203" s="367" t="b">
        <f t="shared" si="12"/>
        <v>0</v>
      </c>
      <c r="C203" s="1184"/>
      <c r="D203" s="1184"/>
      <c r="E203" s="626">
        <v>15</v>
      </c>
      <c r="F203" s="3" t="str" cm="1">
        <f t="array" aca="1" ref="F203" ca="1">OFFSET(E203,-1,1)</f>
        <v>2</v>
      </c>
      <c r="G203" s="17" cm="1">
        <f t="array" ref="G203">G202</f>
        <v>0</v>
      </c>
      <c r="H203" s="1184"/>
      <c r="I203" s="1184"/>
      <c r="J203" s="1184"/>
      <c r="K203" s="77">
        <f>first_year+16</f>
        <v>2040</v>
      </c>
      <c r="L203" s="1184"/>
      <c r="M203" s="1184"/>
      <c r="N203" s="1184"/>
      <c r="O203" s="1184"/>
      <c r="P203" s="1184"/>
      <c r="Q203" s="1184"/>
      <c r="R203" s="1184"/>
      <c r="S203" s="1184"/>
      <c r="T203" s="388" t="b" cm="1">
        <f t="array" aca="1" ref="T203" ca="1">T202</f>
        <v>0</v>
      </c>
      <c r="U203" s="1184"/>
      <c r="V203" s="1184"/>
      <c r="W203" s="1184"/>
      <c r="X203" s="2032"/>
      <c r="Y203" s="2032"/>
      <c r="Z203" s="2012"/>
      <c r="AA203" s="2127"/>
      <c r="AB203" s="174" t="str">
        <f t="shared" si="13"/>
        <v>2040 год</v>
      </c>
      <c r="AC203" s="329"/>
      <c r="AD203" s="1727"/>
      <c r="AE203" s="1726"/>
      <c r="AF203" s="1726"/>
      <c r="AG203" s="1727"/>
      <c r="AH203" s="1726"/>
      <c r="AI203" s="1727"/>
      <c r="AJ203" s="1726"/>
      <c r="AK203" s="1728"/>
      <c r="AL203" s="324"/>
      <c r="AM203" s="1184"/>
      <c r="AN203" s="973" cm="1">
        <f t="array" ref="AN203">K203</f>
        <v>2040</v>
      </c>
      <c r="AO203" s="973" t="s">
        <v>2259</v>
      </c>
      <c r="AP203" s="983" cm="1">
        <f t="array" ref="AP203">AP202</f>
        <v>0</v>
      </c>
      <c r="AQ203" s="626"/>
      <c r="AR203" s="626"/>
    </row>
    <row r="204" spans="1:44" s="1846" customFormat="1" ht="14.25" hidden="1" customHeight="1" x14ac:dyDescent="0.15">
      <c r="A204" s="1184"/>
      <c r="B204" s="367" t="b">
        <f t="shared" si="12"/>
        <v>0</v>
      </c>
      <c r="C204" s="1184"/>
      <c r="D204" s="1184"/>
      <c r="E204" s="626">
        <v>15</v>
      </c>
      <c r="F204" s="3" t="str" cm="1">
        <f t="array" aca="1" ref="F204" ca="1">OFFSET(E204,-1,1)</f>
        <v>2</v>
      </c>
      <c r="G204" s="17" cm="1">
        <f t="array" ref="G204">G203</f>
        <v>0</v>
      </c>
      <c r="H204" s="1184"/>
      <c r="I204" s="1184"/>
      <c r="J204" s="1184"/>
      <c r="K204" s="77">
        <f>first_year+17</f>
        <v>2041</v>
      </c>
      <c r="L204" s="1184"/>
      <c r="M204" s="1184"/>
      <c r="N204" s="1184"/>
      <c r="O204" s="1184"/>
      <c r="P204" s="1184"/>
      <c r="Q204" s="1184"/>
      <c r="R204" s="1184"/>
      <c r="S204" s="1184"/>
      <c r="T204" s="388" t="b" cm="1">
        <f t="array" aca="1" ref="T204" ca="1">T203</f>
        <v>0</v>
      </c>
      <c r="U204" s="1184"/>
      <c r="V204" s="1184"/>
      <c r="W204" s="1184"/>
      <c r="X204" s="2032"/>
      <c r="Y204" s="2032"/>
      <c r="Z204" s="2012"/>
      <c r="AA204" s="2127"/>
      <c r="AB204" s="174" t="str">
        <f t="shared" si="13"/>
        <v>2041 год</v>
      </c>
      <c r="AC204" s="329"/>
      <c r="AD204" s="1727"/>
      <c r="AE204" s="1726"/>
      <c r="AF204" s="1726"/>
      <c r="AG204" s="1727"/>
      <c r="AH204" s="1726"/>
      <c r="AI204" s="1727"/>
      <c r="AJ204" s="1726"/>
      <c r="AK204" s="1728"/>
      <c r="AL204" s="324"/>
      <c r="AM204" s="1184"/>
      <c r="AN204" s="973" cm="1">
        <f t="array" ref="AN204">K204</f>
        <v>2041</v>
      </c>
      <c r="AO204" s="973" t="s">
        <v>2259</v>
      </c>
      <c r="AP204" s="983" cm="1">
        <f t="array" ref="AP204">AP203</f>
        <v>0</v>
      </c>
      <c r="AQ204" s="626"/>
      <c r="AR204" s="626"/>
    </row>
    <row r="205" spans="1:44" s="1847" customFormat="1" ht="14.25" hidden="1" customHeight="1" x14ac:dyDescent="0.15">
      <c r="A205" s="1184"/>
      <c r="B205" s="367" t="b">
        <f t="shared" si="12"/>
        <v>0</v>
      </c>
      <c r="C205" s="1184"/>
      <c r="D205" s="1184"/>
      <c r="E205" s="626">
        <v>15</v>
      </c>
      <c r="F205" s="3" t="str" cm="1">
        <f t="array" aca="1" ref="F205" ca="1">OFFSET(E205,-1,1)</f>
        <v>2</v>
      </c>
      <c r="G205" s="17" cm="1">
        <f t="array" ref="G205">G204</f>
        <v>0</v>
      </c>
      <c r="H205" s="1184"/>
      <c r="I205" s="1184"/>
      <c r="J205" s="1184"/>
      <c r="K205" s="77">
        <f>first_year+18</f>
        <v>2042</v>
      </c>
      <c r="L205" s="1184"/>
      <c r="M205" s="1184"/>
      <c r="N205" s="1184"/>
      <c r="O205" s="1184"/>
      <c r="P205" s="1184"/>
      <c r="Q205" s="1184"/>
      <c r="R205" s="1184"/>
      <c r="S205" s="1184"/>
      <c r="T205" s="388" t="b" cm="1">
        <f t="array" aca="1" ref="T205" ca="1">T204</f>
        <v>0</v>
      </c>
      <c r="U205" s="1184"/>
      <c r="V205" s="1184"/>
      <c r="W205" s="1184"/>
      <c r="X205" s="2032"/>
      <c r="Y205" s="2032"/>
      <c r="Z205" s="2012"/>
      <c r="AA205" s="2127"/>
      <c r="AB205" s="174" t="str">
        <f t="shared" si="13"/>
        <v>2042 год</v>
      </c>
      <c r="AC205" s="329"/>
      <c r="AD205" s="1727"/>
      <c r="AE205" s="1726"/>
      <c r="AF205" s="1726"/>
      <c r="AG205" s="1727"/>
      <c r="AH205" s="1726"/>
      <c r="AI205" s="1727"/>
      <c r="AJ205" s="1726"/>
      <c r="AK205" s="1728"/>
      <c r="AL205" s="324"/>
      <c r="AM205" s="1184"/>
      <c r="AN205" s="973" cm="1">
        <f t="array" ref="AN205">K205</f>
        <v>2042</v>
      </c>
      <c r="AO205" s="973" t="s">
        <v>2259</v>
      </c>
      <c r="AP205" s="983" cm="1">
        <f t="array" ref="AP205">AP204</f>
        <v>0</v>
      </c>
      <c r="AQ205" s="626"/>
      <c r="AR205" s="626"/>
    </row>
    <row r="206" spans="1:44" s="1848" customFormat="1" ht="14.25" hidden="1" customHeight="1" x14ac:dyDescent="0.15">
      <c r="A206" s="1184"/>
      <c r="B206" s="367" t="b">
        <f t="shared" si="12"/>
        <v>0</v>
      </c>
      <c r="C206" s="1184"/>
      <c r="D206" s="1184"/>
      <c r="E206" s="626">
        <v>15</v>
      </c>
      <c r="F206" s="3" t="str" cm="1">
        <f t="array" aca="1" ref="F206" ca="1">OFFSET(E206,-1,1)</f>
        <v>2</v>
      </c>
      <c r="G206" s="17" cm="1">
        <f t="array" ref="G206">G205</f>
        <v>0</v>
      </c>
      <c r="H206" s="1184"/>
      <c r="I206" s="1184"/>
      <c r="J206" s="1184"/>
      <c r="K206" s="77">
        <f>first_year+19</f>
        <v>2043</v>
      </c>
      <c r="L206" s="1184"/>
      <c r="M206" s="1184"/>
      <c r="N206" s="1184"/>
      <c r="O206" s="1184"/>
      <c r="P206" s="1184"/>
      <c r="Q206" s="1184"/>
      <c r="R206" s="1184"/>
      <c r="S206" s="1184"/>
      <c r="T206" s="388" t="b" cm="1">
        <f t="array" aca="1" ref="T206" ca="1">T205</f>
        <v>0</v>
      </c>
      <c r="U206" s="1184"/>
      <c r="V206" s="1184"/>
      <c r="W206" s="1184"/>
      <c r="X206" s="2032"/>
      <c r="Y206" s="2032"/>
      <c r="Z206" s="2012"/>
      <c r="AA206" s="2127"/>
      <c r="AB206" s="174" t="str">
        <f t="shared" si="13"/>
        <v>2043 год</v>
      </c>
      <c r="AC206" s="329"/>
      <c r="AD206" s="1727"/>
      <c r="AE206" s="1726"/>
      <c r="AF206" s="1726"/>
      <c r="AG206" s="1727"/>
      <c r="AH206" s="1726"/>
      <c r="AI206" s="1727"/>
      <c r="AJ206" s="1726"/>
      <c r="AK206" s="1728"/>
      <c r="AL206" s="324"/>
      <c r="AM206" s="1184"/>
      <c r="AN206" s="973" cm="1">
        <f t="array" ref="AN206">K206</f>
        <v>2043</v>
      </c>
      <c r="AO206" s="973" t="s">
        <v>2259</v>
      </c>
      <c r="AP206" s="983" cm="1">
        <f t="array" ref="AP206">AP205</f>
        <v>0</v>
      </c>
      <c r="AQ206" s="626"/>
      <c r="AR206" s="626"/>
    </row>
    <row r="207" spans="1:44" s="1849" customFormat="1" ht="14.25" hidden="1" customHeight="1" x14ac:dyDescent="0.15">
      <c r="A207" s="1184"/>
      <c r="B207" s="367" t="b">
        <f t="shared" si="12"/>
        <v>0</v>
      </c>
      <c r="C207" s="1184"/>
      <c r="D207" s="1184"/>
      <c r="E207" s="626">
        <v>15</v>
      </c>
      <c r="F207" s="3" t="str" cm="1">
        <f t="array" aca="1" ref="F207" ca="1">OFFSET(E207,-1,1)</f>
        <v>2</v>
      </c>
      <c r="G207" s="17" cm="1">
        <f t="array" ref="G207">G206</f>
        <v>0</v>
      </c>
      <c r="H207" s="1184"/>
      <c r="I207" s="1184"/>
      <c r="J207" s="1184"/>
      <c r="K207" s="77">
        <f>first_year+20</f>
        <v>2044</v>
      </c>
      <c r="L207" s="1184"/>
      <c r="M207" s="1184"/>
      <c r="N207" s="1184"/>
      <c r="O207" s="1184"/>
      <c r="P207" s="1184"/>
      <c r="Q207" s="1184"/>
      <c r="R207" s="1184"/>
      <c r="S207" s="1184"/>
      <c r="T207" s="388" t="b" cm="1">
        <f t="array" aca="1" ref="T207" ca="1">T206</f>
        <v>0</v>
      </c>
      <c r="U207" s="1184"/>
      <c r="V207" s="1184"/>
      <c r="W207" s="1184"/>
      <c r="X207" s="2032"/>
      <c r="Y207" s="2032"/>
      <c r="Z207" s="2012"/>
      <c r="AA207" s="2127"/>
      <c r="AB207" s="174" t="str">
        <f t="shared" si="13"/>
        <v>2044 год</v>
      </c>
      <c r="AC207" s="329"/>
      <c r="AD207" s="1727"/>
      <c r="AE207" s="1726"/>
      <c r="AF207" s="1726"/>
      <c r="AG207" s="1727"/>
      <c r="AH207" s="1726"/>
      <c r="AI207" s="1727"/>
      <c r="AJ207" s="1726"/>
      <c r="AK207" s="1728"/>
      <c r="AL207" s="324"/>
      <c r="AM207" s="1184"/>
      <c r="AN207" s="973" cm="1">
        <f t="array" ref="AN207">K207</f>
        <v>2044</v>
      </c>
      <c r="AO207" s="973" t="s">
        <v>2259</v>
      </c>
      <c r="AP207" s="983" cm="1">
        <f t="array" ref="AP207">AP206</f>
        <v>0</v>
      </c>
      <c r="AQ207" s="626"/>
      <c r="AR207" s="626"/>
    </row>
    <row r="208" spans="1:44" s="1850" customFormat="1" ht="14.25" hidden="1" customHeight="1" x14ac:dyDescent="0.15">
      <c r="A208" s="1184"/>
      <c r="B208" s="367" t="b">
        <f t="shared" si="12"/>
        <v>0</v>
      </c>
      <c r="C208" s="1184"/>
      <c r="D208" s="1184"/>
      <c r="E208" s="626">
        <v>15</v>
      </c>
      <c r="F208" s="3" t="str" cm="1">
        <f t="array" aca="1" ref="F208" ca="1">OFFSET(E208,-1,1)</f>
        <v>2</v>
      </c>
      <c r="G208" s="17" cm="1">
        <f t="array" ref="G208">G207</f>
        <v>0</v>
      </c>
      <c r="H208" s="1184"/>
      <c r="I208" s="1184"/>
      <c r="J208" s="1184"/>
      <c r="K208" s="77">
        <f>first_year+21</f>
        <v>2045</v>
      </c>
      <c r="L208" s="1184"/>
      <c r="M208" s="1184"/>
      <c r="N208" s="1184"/>
      <c r="O208" s="1184"/>
      <c r="P208" s="1184"/>
      <c r="Q208" s="1184"/>
      <c r="R208" s="1184"/>
      <c r="S208" s="1184"/>
      <c r="T208" s="388" t="b" cm="1">
        <f t="array" aca="1" ref="T208" ca="1">T207</f>
        <v>0</v>
      </c>
      <c r="U208" s="1184"/>
      <c r="V208" s="1184"/>
      <c r="W208" s="1184"/>
      <c r="X208" s="2032"/>
      <c r="Y208" s="2032"/>
      <c r="Z208" s="2012"/>
      <c r="AA208" s="2127"/>
      <c r="AB208" s="174" t="str">
        <f t="shared" si="13"/>
        <v>2045 год</v>
      </c>
      <c r="AC208" s="329"/>
      <c r="AD208" s="1727"/>
      <c r="AE208" s="1726"/>
      <c r="AF208" s="1726"/>
      <c r="AG208" s="1727"/>
      <c r="AH208" s="1726"/>
      <c r="AI208" s="1727"/>
      <c r="AJ208" s="1726"/>
      <c r="AK208" s="1728"/>
      <c r="AL208" s="324"/>
      <c r="AM208" s="1184"/>
      <c r="AN208" s="973" cm="1">
        <f t="array" ref="AN208">K208</f>
        <v>2045</v>
      </c>
      <c r="AO208" s="973" t="s">
        <v>2259</v>
      </c>
      <c r="AP208" s="983" cm="1">
        <f t="array" ref="AP208">AP207</f>
        <v>0</v>
      </c>
      <c r="AQ208" s="626"/>
      <c r="AR208" s="626"/>
    </row>
    <row r="209" spans="1:44" s="1851" customFormat="1" ht="14.25" hidden="1" customHeight="1" x14ac:dyDescent="0.15">
      <c r="A209" s="1184"/>
      <c r="B209" s="367" t="b">
        <f t="shared" si="12"/>
        <v>0</v>
      </c>
      <c r="C209" s="1184"/>
      <c r="D209" s="1184"/>
      <c r="E209" s="626">
        <v>15</v>
      </c>
      <c r="F209" s="3" t="str" cm="1">
        <f t="array" aca="1" ref="F209" ca="1">OFFSET(E209,-1,1)</f>
        <v>2</v>
      </c>
      <c r="G209" s="17" cm="1">
        <f t="array" ref="G209">G208</f>
        <v>0</v>
      </c>
      <c r="H209" s="1184"/>
      <c r="I209" s="1184"/>
      <c r="J209" s="1184"/>
      <c r="K209" s="77">
        <f>first_year+22</f>
        <v>2046</v>
      </c>
      <c r="L209" s="1184"/>
      <c r="M209" s="1184"/>
      <c r="N209" s="1184"/>
      <c r="O209" s="1184"/>
      <c r="P209" s="1184"/>
      <c r="Q209" s="1184"/>
      <c r="R209" s="1184"/>
      <c r="S209" s="1184"/>
      <c r="T209" s="388" t="b" cm="1">
        <f t="array" aca="1" ref="T209" ca="1">T208</f>
        <v>0</v>
      </c>
      <c r="U209" s="1184"/>
      <c r="V209" s="1184"/>
      <c r="W209" s="1184"/>
      <c r="X209" s="2032"/>
      <c r="Y209" s="2032"/>
      <c r="Z209" s="2012"/>
      <c r="AA209" s="2127"/>
      <c r="AB209" s="174" t="str">
        <f t="shared" si="13"/>
        <v>2046 год</v>
      </c>
      <c r="AC209" s="329"/>
      <c r="AD209" s="1727"/>
      <c r="AE209" s="1726"/>
      <c r="AF209" s="1726"/>
      <c r="AG209" s="1727"/>
      <c r="AH209" s="1726"/>
      <c r="AI209" s="1727"/>
      <c r="AJ209" s="1726"/>
      <c r="AK209" s="1728"/>
      <c r="AL209" s="324"/>
      <c r="AM209" s="1184"/>
      <c r="AN209" s="973" cm="1">
        <f t="array" ref="AN209">K209</f>
        <v>2046</v>
      </c>
      <c r="AO209" s="973" t="s">
        <v>2259</v>
      </c>
      <c r="AP209" s="983" cm="1">
        <f t="array" ref="AP209">AP208</f>
        <v>0</v>
      </c>
      <c r="AQ209" s="626"/>
      <c r="AR209" s="626"/>
    </row>
    <row r="210" spans="1:44" s="1852" customFormat="1" ht="14.25" hidden="1" customHeight="1" x14ac:dyDescent="0.15">
      <c r="A210" s="1184"/>
      <c r="B210" s="367" t="b">
        <f t="shared" si="12"/>
        <v>0</v>
      </c>
      <c r="C210" s="1184"/>
      <c r="D210" s="1184"/>
      <c r="E210" s="626">
        <v>15</v>
      </c>
      <c r="F210" s="3" t="str" cm="1">
        <f t="array" aca="1" ref="F210" ca="1">OFFSET(E210,-1,1)</f>
        <v>2</v>
      </c>
      <c r="G210" s="17" cm="1">
        <f t="array" ref="G210">G209</f>
        <v>0</v>
      </c>
      <c r="H210" s="1184"/>
      <c r="I210" s="1184"/>
      <c r="J210" s="1184"/>
      <c r="K210" s="77">
        <f>first_year+23</f>
        <v>2047</v>
      </c>
      <c r="L210" s="1184"/>
      <c r="M210" s="1184"/>
      <c r="N210" s="1184"/>
      <c r="O210" s="1184"/>
      <c r="P210" s="1184"/>
      <c r="Q210" s="1184"/>
      <c r="R210" s="1184"/>
      <c r="S210" s="1184"/>
      <c r="T210" s="388" t="b" cm="1">
        <f t="array" aca="1" ref="T210" ca="1">T209</f>
        <v>0</v>
      </c>
      <c r="U210" s="1184"/>
      <c r="V210" s="1184"/>
      <c r="W210" s="1184"/>
      <c r="X210" s="2032"/>
      <c r="Y210" s="2032"/>
      <c r="Z210" s="2012"/>
      <c r="AA210" s="2127"/>
      <c r="AB210" s="174" t="str">
        <f t="shared" si="13"/>
        <v>2047 год</v>
      </c>
      <c r="AC210" s="329"/>
      <c r="AD210" s="1727"/>
      <c r="AE210" s="1726"/>
      <c r="AF210" s="1726"/>
      <c r="AG210" s="1727"/>
      <c r="AH210" s="1726"/>
      <c r="AI210" s="1727"/>
      <c r="AJ210" s="1726"/>
      <c r="AK210" s="1728"/>
      <c r="AL210" s="324"/>
      <c r="AM210" s="1184"/>
      <c r="AN210" s="973" cm="1">
        <f t="array" ref="AN210">K210</f>
        <v>2047</v>
      </c>
      <c r="AO210" s="973" t="s">
        <v>2259</v>
      </c>
      <c r="AP210" s="983" cm="1">
        <f t="array" ref="AP210">AP209</f>
        <v>0</v>
      </c>
      <c r="AQ210" s="626"/>
      <c r="AR210" s="626"/>
    </row>
    <row r="211" spans="1:44" s="1853" customFormat="1" ht="14.25" hidden="1" customHeight="1" x14ac:dyDescent="0.15">
      <c r="A211" s="1184"/>
      <c r="B211" s="367" t="b">
        <f t="shared" si="12"/>
        <v>0</v>
      </c>
      <c r="C211" s="1184"/>
      <c r="D211" s="1184"/>
      <c r="E211" s="626">
        <v>15</v>
      </c>
      <c r="F211" s="3" t="str" cm="1">
        <f t="array" aca="1" ref="F211" ca="1">OFFSET(E211,-1,1)</f>
        <v>2</v>
      </c>
      <c r="G211" s="17" cm="1">
        <f t="array" ref="G211">G210</f>
        <v>0</v>
      </c>
      <c r="H211" s="1184"/>
      <c r="I211" s="1184"/>
      <c r="J211" s="1184"/>
      <c r="K211" s="77">
        <f>first_year+24</f>
        <v>2048</v>
      </c>
      <c r="L211" s="1184"/>
      <c r="M211" s="1184"/>
      <c r="N211" s="1184"/>
      <c r="O211" s="1184"/>
      <c r="P211" s="1184"/>
      <c r="Q211" s="1184"/>
      <c r="R211" s="1184"/>
      <c r="S211" s="1184"/>
      <c r="T211" s="388" t="b" cm="1">
        <f t="array" aca="1" ref="T211" ca="1">T210</f>
        <v>0</v>
      </c>
      <c r="U211" s="1184"/>
      <c r="V211" s="1184"/>
      <c r="W211" s="1184"/>
      <c r="X211" s="2032"/>
      <c r="Y211" s="2032"/>
      <c r="Z211" s="2012"/>
      <c r="AA211" s="2127"/>
      <c r="AB211" s="174" t="str">
        <f t="shared" si="13"/>
        <v>2048 год</v>
      </c>
      <c r="AC211" s="329"/>
      <c r="AD211" s="1727"/>
      <c r="AE211" s="1726"/>
      <c r="AF211" s="1726"/>
      <c r="AG211" s="1727"/>
      <c r="AH211" s="1726"/>
      <c r="AI211" s="1727"/>
      <c r="AJ211" s="1726"/>
      <c r="AK211" s="1728"/>
      <c r="AL211" s="324"/>
      <c r="AM211" s="1184"/>
      <c r="AN211" s="973" cm="1">
        <f t="array" ref="AN211">K211</f>
        <v>2048</v>
      </c>
      <c r="AO211" s="973" t="s">
        <v>2259</v>
      </c>
      <c r="AP211" s="983" cm="1">
        <f t="array" ref="AP211">AP210</f>
        <v>0</v>
      </c>
      <c r="AQ211" s="626"/>
      <c r="AR211" s="626"/>
    </row>
    <row r="212" spans="1:44" s="1854" customFormat="1" ht="14.25" hidden="1" customHeight="1" x14ac:dyDescent="0.15">
      <c r="A212" s="1184"/>
      <c r="B212" s="367" t="b">
        <f t="shared" si="12"/>
        <v>0</v>
      </c>
      <c r="C212" s="1184"/>
      <c r="D212" s="1184"/>
      <c r="E212" s="626">
        <v>15</v>
      </c>
      <c r="F212" s="3" t="str" cm="1">
        <f t="array" aca="1" ref="F212" ca="1">OFFSET(E212,-1,1)</f>
        <v>2</v>
      </c>
      <c r="G212" s="17" cm="1">
        <f t="array" ref="G212">G211</f>
        <v>0</v>
      </c>
      <c r="H212" s="1184"/>
      <c r="I212" s="1184"/>
      <c r="J212" s="1184"/>
      <c r="K212" s="77">
        <f>first_year+25</f>
        <v>2049</v>
      </c>
      <c r="L212" s="1184"/>
      <c r="M212" s="1184"/>
      <c r="N212" s="1184"/>
      <c r="O212" s="1184"/>
      <c r="P212" s="1184"/>
      <c r="Q212" s="1184"/>
      <c r="R212" s="1184"/>
      <c r="S212" s="1184"/>
      <c r="T212" s="388" t="b" cm="1">
        <f t="array" aca="1" ref="T212" ca="1">T211</f>
        <v>0</v>
      </c>
      <c r="U212" s="1184"/>
      <c r="V212" s="1184"/>
      <c r="W212" s="1184"/>
      <c r="X212" s="2032"/>
      <c r="Y212" s="2032"/>
      <c r="Z212" s="2012"/>
      <c r="AA212" s="2127"/>
      <c r="AB212" s="174" t="str">
        <f t="shared" si="13"/>
        <v>2049 год</v>
      </c>
      <c r="AC212" s="329"/>
      <c r="AD212" s="1727"/>
      <c r="AE212" s="1726"/>
      <c r="AF212" s="1726"/>
      <c r="AG212" s="1727"/>
      <c r="AH212" s="1726"/>
      <c r="AI212" s="1727"/>
      <c r="AJ212" s="1726"/>
      <c r="AK212" s="1728"/>
      <c r="AL212" s="324"/>
      <c r="AM212" s="1184"/>
      <c r="AN212" s="973" cm="1">
        <f t="array" ref="AN212">K212</f>
        <v>2049</v>
      </c>
      <c r="AO212" s="973" t="s">
        <v>2259</v>
      </c>
      <c r="AP212" s="983" cm="1">
        <f t="array" ref="AP212">AP211</f>
        <v>0</v>
      </c>
      <c r="AQ212" s="626"/>
      <c r="AR212" s="626"/>
    </row>
    <row r="213" spans="1:44" s="1855" customFormat="1" ht="14.25" hidden="1" customHeight="1" x14ac:dyDescent="0.15">
      <c r="A213" s="1184"/>
      <c r="B213" s="367" t="b">
        <f t="shared" si="12"/>
        <v>0</v>
      </c>
      <c r="C213" s="1184"/>
      <c r="D213" s="1184"/>
      <c r="E213" s="626">
        <v>15</v>
      </c>
      <c r="F213" s="3" t="str" cm="1">
        <f t="array" aca="1" ref="F213" ca="1">OFFSET(E213,-1,1)</f>
        <v>2</v>
      </c>
      <c r="G213" s="17" cm="1">
        <f t="array" ref="G213">G212</f>
        <v>0</v>
      </c>
      <c r="H213" s="1184"/>
      <c r="I213" s="1184"/>
      <c r="J213" s="1184"/>
      <c r="K213" s="77">
        <f>first_year+26</f>
        <v>2050</v>
      </c>
      <c r="L213" s="1184"/>
      <c r="M213" s="1184"/>
      <c r="N213" s="1184"/>
      <c r="O213" s="1184"/>
      <c r="P213" s="1184"/>
      <c r="Q213" s="1184"/>
      <c r="R213" s="1184"/>
      <c r="S213" s="1184"/>
      <c r="T213" s="388" t="b" cm="1">
        <f t="array" aca="1" ref="T213" ca="1">T212</f>
        <v>0</v>
      </c>
      <c r="U213" s="1184"/>
      <c r="V213" s="1184"/>
      <c r="W213" s="1184"/>
      <c r="X213" s="2032"/>
      <c r="Y213" s="2032"/>
      <c r="Z213" s="2012"/>
      <c r="AA213" s="2127"/>
      <c r="AB213" s="174" t="str">
        <f t="shared" si="13"/>
        <v>2050 год</v>
      </c>
      <c r="AC213" s="329"/>
      <c r="AD213" s="1727"/>
      <c r="AE213" s="1726"/>
      <c r="AF213" s="1726"/>
      <c r="AG213" s="1727"/>
      <c r="AH213" s="1726"/>
      <c r="AI213" s="1727"/>
      <c r="AJ213" s="1726"/>
      <c r="AK213" s="1728"/>
      <c r="AL213" s="324"/>
      <c r="AM213" s="1184"/>
      <c r="AN213" s="973" cm="1">
        <f t="array" ref="AN213">K213</f>
        <v>2050</v>
      </c>
      <c r="AO213" s="973" t="s">
        <v>2259</v>
      </c>
      <c r="AP213" s="983" cm="1">
        <f t="array" ref="AP213">AP212</f>
        <v>0</v>
      </c>
      <c r="AQ213" s="626"/>
      <c r="AR213" s="626"/>
    </row>
    <row r="214" spans="1:44" s="1856" customFormat="1" ht="14.25" hidden="1" customHeight="1" x14ac:dyDescent="0.15">
      <c r="A214" s="1184"/>
      <c r="B214" s="367" t="b">
        <f t="shared" si="12"/>
        <v>0</v>
      </c>
      <c r="C214" s="1184"/>
      <c r="D214" s="1184"/>
      <c r="E214" s="626">
        <v>15</v>
      </c>
      <c r="F214" s="3" t="str" cm="1">
        <f t="array" aca="1" ref="F214" ca="1">OFFSET(E214,-1,1)</f>
        <v>2</v>
      </c>
      <c r="G214" s="17" cm="1">
        <f t="array" ref="G214">G213</f>
        <v>0</v>
      </c>
      <c r="H214" s="1184"/>
      <c r="I214" s="1184"/>
      <c r="J214" s="1184"/>
      <c r="K214" s="77">
        <f>first_year+27</f>
        <v>2051</v>
      </c>
      <c r="L214" s="1184"/>
      <c r="M214" s="1184"/>
      <c r="N214" s="1184"/>
      <c r="O214" s="1184"/>
      <c r="P214" s="1184"/>
      <c r="Q214" s="1184"/>
      <c r="R214" s="1184"/>
      <c r="S214" s="1184"/>
      <c r="T214" s="388" t="b" cm="1">
        <f t="array" aca="1" ref="T214" ca="1">T213</f>
        <v>0</v>
      </c>
      <c r="U214" s="1184"/>
      <c r="V214" s="1184"/>
      <c r="W214" s="1184"/>
      <c r="X214" s="2032"/>
      <c r="Y214" s="2032"/>
      <c r="Z214" s="2012"/>
      <c r="AA214" s="2127"/>
      <c r="AB214" s="174" t="str">
        <f t="shared" si="13"/>
        <v>2051 год</v>
      </c>
      <c r="AC214" s="329"/>
      <c r="AD214" s="1727"/>
      <c r="AE214" s="1726"/>
      <c r="AF214" s="1726"/>
      <c r="AG214" s="1727"/>
      <c r="AH214" s="1726"/>
      <c r="AI214" s="1727"/>
      <c r="AJ214" s="1726"/>
      <c r="AK214" s="1728"/>
      <c r="AL214" s="324"/>
      <c r="AM214" s="1184"/>
      <c r="AN214" s="973" cm="1">
        <f t="array" ref="AN214">K214</f>
        <v>2051</v>
      </c>
      <c r="AO214" s="973" t="s">
        <v>2259</v>
      </c>
      <c r="AP214" s="983" cm="1">
        <f t="array" ref="AP214">AP213</f>
        <v>0</v>
      </c>
      <c r="AQ214" s="626"/>
      <c r="AR214" s="626"/>
    </row>
    <row r="215" spans="1:44" s="1857" customFormat="1" ht="14.25" hidden="1" customHeight="1" x14ac:dyDescent="0.15">
      <c r="A215" s="1184"/>
      <c r="B215" s="367" t="b">
        <f t="shared" si="12"/>
        <v>0</v>
      </c>
      <c r="C215" s="1184"/>
      <c r="D215" s="1184"/>
      <c r="E215" s="626">
        <v>15</v>
      </c>
      <c r="F215" s="3" t="str" cm="1">
        <f t="array" aca="1" ref="F215" ca="1">OFFSET(E215,-1,1)</f>
        <v>2</v>
      </c>
      <c r="G215" s="17" cm="1">
        <f t="array" ref="G215">G214</f>
        <v>0</v>
      </c>
      <c r="H215" s="1184"/>
      <c r="I215" s="1184"/>
      <c r="J215" s="1184"/>
      <c r="K215" s="77">
        <f>first_year+28</f>
        <v>2052</v>
      </c>
      <c r="L215" s="1184"/>
      <c r="M215" s="1184"/>
      <c r="N215" s="1184"/>
      <c r="O215" s="1184"/>
      <c r="P215" s="1184"/>
      <c r="Q215" s="1184"/>
      <c r="R215" s="1184"/>
      <c r="S215" s="1184"/>
      <c r="T215" s="388" t="b" cm="1">
        <f t="array" aca="1" ref="T215" ca="1">T214</f>
        <v>0</v>
      </c>
      <c r="U215" s="1184"/>
      <c r="V215" s="1184"/>
      <c r="W215" s="1184"/>
      <c r="X215" s="2032"/>
      <c r="Y215" s="2032"/>
      <c r="Z215" s="2012"/>
      <c r="AA215" s="2127"/>
      <c r="AB215" s="174" t="str">
        <f t="shared" si="13"/>
        <v>2052 год</v>
      </c>
      <c r="AC215" s="329"/>
      <c r="AD215" s="1727"/>
      <c r="AE215" s="1726"/>
      <c r="AF215" s="1726"/>
      <c r="AG215" s="1727"/>
      <c r="AH215" s="1726"/>
      <c r="AI215" s="1727"/>
      <c r="AJ215" s="1726"/>
      <c r="AK215" s="1728"/>
      <c r="AL215" s="324"/>
      <c r="AM215" s="1184"/>
      <c r="AN215" s="973" cm="1">
        <f t="array" ref="AN215">K215</f>
        <v>2052</v>
      </c>
      <c r="AO215" s="973" t="s">
        <v>2259</v>
      </c>
      <c r="AP215" s="983" cm="1">
        <f t="array" ref="AP215">AP214</f>
        <v>0</v>
      </c>
      <c r="AQ215" s="626"/>
      <c r="AR215" s="626"/>
    </row>
    <row r="216" spans="1:44" s="1858" customFormat="1" ht="14.25" hidden="1" customHeight="1" x14ac:dyDescent="0.15">
      <c r="A216" s="1184"/>
      <c r="B216" s="367" t="b">
        <f t="shared" si="12"/>
        <v>0</v>
      </c>
      <c r="C216" s="1184"/>
      <c r="D216" s="1184"/>
      <c r="E216" s="626">
        <v>15</v>
      </c>
      <c r="F216" s="3" t="str" cm="1">
        <f t="array" aca="1" ref="F216" ca="1">OFFSET(E216,-1,1)</f>
        <v>2</v>
      </c>
      <c r="G216" s="17" cm="1">
        <f t="array" ref="G216">G215</f>
        <v>0</v>
      </c>
      <c r="H216" s="1184"/>
      <c r="I216" s="1184"/>
      <c r="J216" s="1184"/>
      <c r="K216" s="77">
        <f>first_year+29</f>
        <v>2053</v>
      </c>
      <c r="L216" s="1184"/>
      <c r="M216" s="1184"/>
      <c r="N216" s="1184"/>
      <c r="O216" s="1184"/>
      <c r="P216" s="1184"/>
      <c r="Q216" s="1184"/>
      <c r="R216" s="1184"/>
      <c r="S216" s="1184"/>
      <c r="T216" s="388" t="b" cm="1">
        <f t="array" aca="1" ref="T216" ca="1">T215</f>
        <v>0</v>
      </c>
      <c r="U216" s="1184"/>
      <c r="V216" s="1184"/>
      <c r="W216" s="1184"/>
      <c r="X216" s="2032"/>
      <c r="Y216" s="2032"/>
      <c r="Z216" s="2012"/>
      <c r="AA216" s="2127"/>
      <c r="AB216" s="174" t="str">
        <f t="shared" si="13"/>
        <v>2053 год</v>
      </c>
      <c r="AC216" s="329"/>
      <c r="AD216" s="1727"/>
      <c r="AE216" s="1726"/>
      <c r="AF216" s="1726"/>
      <c r="AG216" s="1727"/>
      <c r="AH216" s="1726"/>
      <c r="AI216" s="1727"/>
      <c r="AJ216" s="1726"/>
      <c r="AK216" s="1728"/>
      <c r="AL216" s="324"/>
      <c r="AM216" s="1184"/>
      <c r="AN216" s="973" cm="1">
        <f t="array" ref="AN216">K216</f>
        <v>2053</v>
      </c>
      <c r="AO216" s="973" t="s">
        <v>2259</v>
      </c>
      <c r="AP216" s="983" cm="1">
        <f t="array" ref="AP216">AP215</f>
        <v>0</v>
      </c>
      <c r="AQ216" s="626"/>
      <c r="AR216" s="626"/>
    </row>
    <row r="217" spans="1:44" s="1859" customFormat="1" ht="14.25" hidden="1" customHeight="1" x14ac:dyDescent="0.15">
      <c r="A217" s="1184"/>
      <c r="B217" s="367" t="b">
        <f t="shared" si="12"/>
        <v>0</v>
      </c>
      <c r="C217" s="1184"/>
      <c r="D217" s="1184"/>
      <c r="E217" s="626">
        <v>15</v>
      </c>
      <c r="F217" s="3" t="str" cm="1">
        <f t="array" aca="1" ref="F217" ca="1">OFFSET(E217,-1,1)</f>
        <v>2</v>
      </c>
      <c r="G217" s="17" cm="1">
        <f t="array" ref="G217">G216</f>
        <v>0</v>
      </c>
      <c r="H217" s="1184"/>
      <c r="I217" s="1184"/>
      <c r="J217" s="1184"/>
      <c r="K217" s="77">
        <f>first_year+30</f>
        <v>2054</v>
      </c>
      <c r="L217" s="1184"/>
      <c r="M217" s="1184"/>
      <c r="N217" s="1184"/>
      <c r="O217" s="1184"/>
      <c r="P217" s="1184"/>
      <c r="Q217" s="1184"/>
      <c r="R217" s="1184"/>
      <c r="S217" s="1184"/>
      <c r="T217" s="388" t="b" cm="1">
        <f t="array" aca="1" ref="T217" ca="1">T216</f>
        <v>0</v>
      </c>
      <c r="U217" s="1184"/>
      <c r="V217" s="1184"/>
      <c r="W217" s="1184"/>
      <c r="X217" s="2032"/>
      <c r="Y217" s="2032"/>
      <c r="Z217" s="2012"/>
      <c r="AA217" s="2127"/>
      <c r="AB217" s="174" t="str">
        <f t="shared" si="13"/>
        <v>2054 год</v>
      </c>
      <c r="AC217" s="329"/>
      <c r="AD217" s="1727"/>
      <c r="AE217" s="1726"/>
      <c r="AF217" s="1726"/>
      <c r="AG217" s="1727"/>
      <c r="AH217" s="1726"/>
      <c r="AI217" s="1727"/>
      <c r="AJ217" s="1726"/>
      <c r="AK217" s="1728"/>
      <c r="AL217" s="324"/>
      <c r="AM217" s="1184"/>
      <c r="AN217" s="973" cm="1">
        <f t="array" ref="AN217">K217</f>
        <v>2054</v>
      </c>
      <c r="AO217" s="973" t="s">
        <v>2259</v>
      </c>
      <c r="AP217" s="983" cm="1">
        <f t="array" ref="AP217">AP216</f>
        <v>0</v>
      </c>
      <c r="AQ217" s="626"/>
      <c r="AR217" s="626"/>
    </row>
    <row r="218" spans="1:44" s="1860" customFormat="1" ht="14.25" hidden="1" customHeight="1" x14ac:dyDescent="0.15">
      <c r="A218" s="1184"/>
      <c r="B218" s="367" t="b">
        <f t="shared" si="12"/>
        <v>0</v>
      </c>
      <c r="C218" s="1184"/>
      <c r="D218" s="1184"/>
      <c r="E218" s="626">
        <v>15</v>
      </c>
      <c r="F218" s="3" t="str" cm="1">
        <f t="array" aca="1" ref="F218" ca="1">OFFSET(E218,-1,1)</f>
        <v>2</v>
      </c>
      <c r="G218" s="17" cm="1">
        <f t="array" ref="G218">G217</f>
        <v>0</v>
      </c>
      <c r="H218" s="1184"/>
      <c r="I218" s="1184"/>
      <c r="J218" s="1184"/>
      <c r="K218" s="77">
        <f>first_year+31</f>
        <v>2055</v>
      </c>
      <c r="L218" s="1184"/>
      <c r="M218" s="1184"/>
      <c r="N218" s="1184"/>
      <c r="O218" s="1184"/>
      <c r="P218" s="1184"/>
      <c r="Q218" s="1184"/>
      <c r="R218" s="1184"/>
      <c r="S218" s="1184"/>
      <c r="T218" s="388" t="b" cm="1">
        <f t="array" aca="1" ref="T218" ca="1">T217</f>
        <v>0</v>
      </c>
      <c r="U218" s="1184"/>
      <c r="V218" s="1184"/>
      <c r="W218" s="1184"/>
      <c r="X218" s="2032"/>
      <c r="Y218" s="2032"/>
      <c r="Z218" s="2012"/>
      <c r="AA218" s="2127"/>
      <c r="AB218" s="174" t="str">
        <f t="shared" si="13"/>
        <v>2055 год</v>
      </c>
      <c r="AC218" s="329"/>
      <c r="AD218" s="1727"/>
      <c r="AE218" s="1726"/>
      <c r="AF218" s="1726"/>
      <c r="AG218" s="1727"/>
      <c r="AH218" s="1726"/>
      <c r="AI218" s="1727"/>
      <c r="AJ218" s="1726"/>
      <c r="AK218" s="1728"/>
      <c r="AL218" s="324"/>
      <c r="AM218" s="1184"/>
      <c r="AN218" s="973" cm="1">
        <f t="array" ref="AN218">K218</f>
        <v>2055</v>
      </c>
      <c r="AO218" s="973" t="s">
        <v>2259</v>
      </c>
      <c r="AP218" s="983" cm="1">
        <f t="array" ref="AP218">AP217</f>
        <v>0</v>
      </c>
      <c r="AQ218" s="626"/>
      <c r="AR218" s="626"/>
    </row>
    <row r="219" spans="1:44" s="1861" customFormat="1" ht="14.25" hidden="1" customHeight="1" x14ac:dyDescent="0.15">
      <c r="A219" s="1184"/>
      <c r="B219" s="367" t="b">
        <f t="shared" ref="B219:B236" si="14">K219&lt;first_year+PERIOD_LENGTH</f>
        <v>0</v>
      </c>
      <c r="C219" s="1184"/>
      <c r="D219" s="1184"/>
      <c r="E219" s="626">
        <v>15</v>
      </c>
      <c r="F219" s="3" t="str" cm="1">
        <f t="array" aca="1" ref="F219" ca="1">OFFSET(E219,-1,1)</f>
        <v>2</v>
      </c>
      <c r="G219" s="17" cm="1">
        <f t="array" ref="G219">G218</f>
        <v>0</v>
      </c>
      <c r="H219" s="1184"/>
      <c r="I219" s="1184"/>
      <c r="J219" s="1184"/>
      <c r="K219" s="77">
        <f>first_year+32</f>
        <v>2056</v>
      </c>
      <c r="L219" s="1184"/>
      <c r="M219" s="1184"/>
      <c r="N219" s="1184"/>
      <c r="O219" s="1184"/>
      <c r="P219" s="1184"/>
      <c r="Q219" s="1184"/>
      <c r="R219" s="1184"/>
      <c r="S219" s="1184"/>
      <c r="T219" s="388" t="b" cm="1">
        <f t="array" aca="1" ref="T219" ca="1">T218</f>
        <v>0</v>
      </c>
      <c r="U219" s="1184"/>
      <c r="V219" s="1184"/>
      <c r="W219" s="1184"/>
      <c r="X219" s="2032"/>
      <c r="Y219" s="2032"/>
      <c r="Z219" s="2012"/>
      <c r="AA219" s="2127"/>
      <c r="AB219" s="174" t="str">
        <f t="shared" ref="AB219:AB236" si="15">K219&amp;" год"</f>
        <v>2056 год</v>
      </c>
      <c r="AC219" s="329"/>
      <c r="AD219" s="1727"/>
      <c r="AE219" s="1726"/>
      <c r="AF219" s="1726"/>
      <c r="AG219" s="1727"/>
      <c r="AH219" s="1726"/>
      <c r="AI219" s="1727"/>
      <c r="AJ219" s="1726"/>
      <c r="AK219" s="1728"/>
      <c r="AL219" s="324"/>
      <c r="AM219" s="1184"/>
      <c r="AN219" s="973" cm="1">
        <f t="array" ref="AN219">K219</f>
        <v>2056</v>
      </c>
      <c r="AO219" s="973" t="s">
        <v>2259</v>
      </c>
      <c r="AP219" s="983" cm="1">
        <f t="array" ref="AP219">AP218</f>
        <v>0</v>
      </c>
      <c r="AQ219" s="626"/>
      <c r="AR219" s="626"/>
    </row>
    <row r="220" spans="1:44" s="1862" customFormat="1" ht="14.25" hidden="1" customHeight="1" x14ac:dyDescent="0.15">
      <c r="A220" s="1184"/>
      <c r="B220" s="367" t="b">
        <f t="shared" si="14"/>
        <v>0</v>
      </c>
      <c r="C220" s="1184"/>
      <c r="D220" s="1184"/>
      <c r="E220" s="626">
        <v>15</v>
      </c>
      <c r="F220" s="3" t="str" cm="1">
        <f t="array" aca="1" ref="F220" ca="1">OFFSET(E220,-1,1)</f>
        <v>2</v>
      </c>
      <c r="G220" s="17" cm="1">
        <f t="array" ref="G220">G219</f>
        <v>0</v>
      </c>
      <c r="H220" s="1184"/>
      <c r="I220" s="1184"/>
      <c r="J220" s="1184"/>
      <c r="K220" s="77">
        <f>first_year+33</f>
        <v>2057</v>
      </c>
      <c r="L220" s="1184"/>
      <c r="M220" s="1184"/>
      <c r="N220" s="1184"/>
      <c r="O220" s="1184"/>
      <c r="P220" s="1184"/>
      <c r="Q220" s="1184"/>
      <c r="R220" s="1184"/>
      <c r="S220" s="1184"/>
      <c r="T220" s="388" t="b" cm="1">
        <f t="array" aca="1" ref="T220" ca="1">T219</f>
        <v>0</v>
      </c>
      <c r="U220" s="1184"/>
      <c r="V220" s="1184"/>
      <c r="W220" s="1184"/>
      <c r="X220" s="2032"/>
      <c r="Y220" s="2032"/>
      <c r="Z220" s="2012"/>
      <c r="AA220" s="2127"/>
      <c r="AB220" s="174" t="str">
        <f t="shared" si="15"/>
        <v>2057 год</v>
      </c>
      <c r="AC220" s="329"/>
      <c r="AD220" s="1727"/>
      <c r="AE220" s="1726"/>
      <c r="AF220" s="1726"/>
      <c r="AG220" s="1727"/>
      <c r="AH220" s="1726"/>
      <c r="AI220" s="1727"/>
      <c r="AJ220" s="1726"/>
      <c r="AK220" s="1728"/>
      <c r="AL220" s="324"/>
      <c r="AM220" s="1184"/>
      <c r="AN220" s="973" cm="1">
        <f t="array" ref="AN220">K220</f>
        <v>2057</v>
      </c>
      <c r="AO220" s="973" t="s">
        <v>2259</v>
      </c>
      <c r="AP220" s="983" cm="1">
        <f t="array" ref="AP220">AP219</f>
        <v>0</v>
      </c>
      <c r="AQ220" s="626"/>
      <c r="AR220" s="626"/>
    </row>
    <row r="221" spans="1:44" s="1863" customFormat="1" ht="14.25" hidden="1" customHeight="1" x14ac:dyDescent="0.15">
      <c r="A221" s="1184"/>
      <c r="B221" s="367" t="b">
        <f t="shared" si="14"/>
        <v>0</v>
      </c>
      <c r="C221" s="1184"/>
      <c r="D221" s="1184"/>
      <c r="E221" s="626">
        <v>15</v>
      </c>
      <c r="F221" s="3" t="str" cm="1">
        <f t="array" aca="1" ref="F221" ca="1">OFFSET(E221,-1,1)</f>
        <v>2</v>
      </c>
      <c r="G221" s="17" cm="1">
        <f t="array" ref="G221">G220</f>
        <v>0</v>
      </c>
      <c r="H221" s="1184"/>
      <c r="I221" s="1184"/>
      <c r="J221" s="1184"/>
      <c r="K221" s="77">
        <f>first_year+34</f>
        <v>2058</v>
      </c>
      <c r="L221" s="1184"/>
      <c r="M221" s="1184"/>
      <c r="N221" s="1184"/>
      <c r="O221" s="1184"/>
      <c r="P221" s="1184"/>
      <c r="Q221" s="1184"/>
      <c r="R221" s="1184"/>
      <c r="S221" s="1184"/>
      <c r="T221" s="388" t="b" cm="1">
        <f t="array" aca="1" ref="T221" ca="1">T220</f>
        <v>0</v>
      </c>
      <c r="U221" s="1184"/>
      <c r="V221" s="1184"/>
      <c r="W221" s="1184"/>
      <c r="X221" s="2032"/>
      <c r="Y221" s="2032"/>
      <c r="Z221" s="2012"/>
      <c r="AA221" s="2127"/>
      <c r="AB221" s="174" t="str">
        <f t="shared" si="15"/>
        <v>2058 год</v>
      </c>
      <c r="AC221" s="329"/>
      <c r="AD221" s="1727"/>
      <c r="AE221" s="1726"/>
      <c r="AF221" s="1726"/>
      <c r="AG221" s="1727"/>
      <c r="AH221" s="1726"/>
      <c r="AI221" s="1727"/>
      <c r="AJ221" s="1726"/>
      <c r="AK221" s="1728"/>
      <c r="AL221" s="324"/>
      <c r="AM221" s="1184"/>
      <c r="AN221" s="973" cm="1">
        <f t="array" ref="AN221">K221</f>
        <v>2058</v>
      </c>
      <c r="AO221" s="973" t="s">
        <v>2259</v>
      </c>
      <c r="AP221" s="983" cm="1">
        <f t="array" ref="AP221">AP220</f>
        <v>0</v>
      </c>
      <c r="AQ221" s="626"/>
      <c r="AR221" s="626"/>
    </row>
    <row r="222" spans="1:44" s="1864" customFormat="1" ht="14.25" hidden="1" customHeight="1" x14ac:dyDescent="0.15">
      <c r="A222" s="1184"/>
      <c r="B222" s="367" t="b">
        <f t="shared" si="14"/>
        <v>0</v>
      </c>
      <c r="C222" s="1184"/>
      <c r="D222" s="1184"/>
      <c r="E222" s="626">
        <v>15</v>
      </c>
      <c r="F222" s="3" t="str" cm="1">
        <f t="array" aca="1" ref="F222" ca="1">OFFSET(E222,-1,1)</f>
        <v>2</v>
      </c>
      <c r="G222" s="17" cm="1">
        <f t="array" ref="G222">G221</f>
        <v>0</v>
      </c>
      <c r="H222" s="1184"/>
      <c r="I222" s="1184"/>
      <c r="J222" s="1184"/>
      <c r="K222" s="77">
        <f>first_year+35</f>
        <v>2059</v>
      </c>
      <c r="L222" s="1184"/>
      <c r="M222" s="1184"/>
      <c r="N222" s="1184"/>
      <c r="O222" s="1184"/>
      <c r="P222" s="1184"/>
      <c r="Q222" s="1184"/>
      <c r="R222" s="1184"/>
      <c r="S222" s="1184"/>
      <c r="T222" s="388" t="b" cm="1">
        <f t="array" aca="1" ref="T222" ca="1">T221</f>
        <v>0</v>
      </c>
      <c r="U222" s="1184"/>
      <c r="V222" s="1184"/>
      <c r="W222" s="1184"/>
      <c r="X222" s="2032"/>
      <c r="Y222" s="2032"/>
      <c r="Z222" s="2012"/>
      <c r="AA222" s="2127"/>
      <c r="AB222" s="174" t="str">
        <f t="shared" si="15"/>
        <v>2059 год</v>
      </c>
      <c r="AC222" s="329"/>
      <c r="AD222" s="1727"/>
      <c r="AE222" s="1726"/>
      <c r="AF222" s="1726"/>
      <c r="AG222" s="1727"/>
      <c r="AH222" s="1726"/>
      <c r="AI222" s="1727"/>
      <c r="AJ222" s="1726"/>
      <c r="AK222" s="1728"/>
      <c r="AL222" s="324"/>
      <c r="AM222" s="1184"/>
      <c r="AN222" s="973" cm="1">
        <f t="array" ref="AN222">K222</f>
        <v>2059</v>
      </c>
      <c r="AO222" s="973" t="s">
        <v>2259</v>
      </c>
      <c r="AP222" s="983" cm="1">
        <f t="array" ref="AP222">AP221</f>
        <v>0</v>
      </c>
      <c r="AQ222" s="626"/>
      <c r="AR222" s="626"/>
    </row>
    <row r="223" spans="1:44" s="1865" customFormat="1" ht="14.25" hidden="1" customHeight="1" x14ac:dyDescent="0.15">
      <c r="A223" s="1184"/>
      <c r="B223" s="367" t="b">
        <f t="shared" si="14"/>
        <v>0</v>
      </c>
      <c r="C223" s="1184"/>
      <c r="D223" s="1184"/>
      <c r="E223" s="626">
        <v>15</v>
      </c>
      <c r="F223" s="3" t="str" cm="1">
        <f t="array" aca="1" ref="F223" ca="1">OFFSET(E223,-1,1)</f>
        <v>2</v>
      </c>
      <c r="G223" s="17" cm="1">
        <f t="array" ref="G223">G222</f>
        <v>0</v>
      </c>
      <c r="H223" s="1184"/>
      <c r="I223" s="1184"/>
      <c r="J223" s="1184"/>
      <c r="K223" s="77">
        <f>first_year+36</f>
        <v>2060</v>
      </c>
      <c r="L223" s="1184"/>
      <c r="M223" s="1184"/>
      <c r="N223" s="1184"/>
      <c r="O223" s="1184"/>
      <c r="P223" s="1184"/>
      <c r="Q223" s="1184"/>
      <c r="R223" s="1184"/>
      <c r="S223" s="1184"/>
      <c r="T223" s="388" t="b" cm="1">
        <f t="array" aca="1" ref="T223" ca="1">T222</f>
        <v>0</v>
      </c>
      <c r="U223" s="1184"/>
      <c r="V223" s="1184"/>
      <c r="W223" s="1184"/>
      <c r="X223" s="2032"/>
      <c r="Y223" s="2032"/>
      <c r="Z223" s="2012"/>
      <c r="AA223" s="2127"/>
      <c r="AB223" s="174" t="str">
        <f t="shared" si="15"/>
        <v>2060 год</v>
      </c>
      <c r="AC223" s="329"/>
      <c r="AD223" s="1727"/>
      <c r="AE223" s="1726"/>
      <c r="AF223" s="1726"/>
      <c r="AG223" s="1727"/>
      <c r="AH223" s="1726"/>
      <c r="AI223" s="1727"/>
      <c r="AJ223" s="1726"/>
      <c r="AK223" s="1728"/>
      <c r="AL223" s="324"/>
      <c r="AM223" s="1184"/>
      <c r="AN223" s="973" cm="1">
        <f t="array" ref="AN223">K223</f>
        <v>2060</v>
      </c>
      <c r="AO223" s="973" t="s">
        <v>2259</v>
      </c>
      <c r="AP223" s="983" cm="1">
        <f t="array" ref="AP223">AP222</f>
        <v>0</v>
      </c>
      <c r="AQ223" s="626"/>
      <c r="AR223" s="626"/>
    </row>
    <row r="224" spans="1:44" s="1866" customFormat="1" ht="14.25" hidden="1" customHeight="1" x14ac:dyDescent="0.15">
      <c r="A224" s="1184"/>
      <c r="B224" s="367" t="b">
        <f t="shared" si="14"/>
        <v>0</v>
      </c>
      <c r="C224" s="1184"/>
      <c r="D224" s="1184"/>
      <c r="E224" s="626">
        <v>15</v>
      </c>
      <c r="F224" s="3" t="str" cm="1">
        <f t="array" aca="1" ref="F224" ca="1">OFFSET(E224,-1,1)</f>
        <v>2</v>
      </c>
      <c r="G224" s="17" cm="1">
        <f t="array" ref="G224">G223</f>
        <v>0</v>
      </c>
      <c r="H224" s="1184"/>
      <c r="I224" s="1184"/>
      <c r="J224" s="1184"/>
      <c r="K224" s="77">
        <f>first_year+37</f>
        <v>2061</v>
      </c>
      <c r="L224" s="1184"/>
      <c r="M224" s="1184"/>
      <c r="N224" s="1184"/>
      <c r="O224" s="1184"/>
      <c r="P224" s="1184"/>
      <c r="Q224" s="1184"/>
      <c r="R224" s="1184"/>
      <c r="S224" s="1184"/>
      <c r="T224" s="388" t="b" cm="1">
        <f t="array" aca="1" ref="T224" ca="1">T223</f>
        <v>0</v>
      </c>
      <c r="U224" s="1184"/>
      <c r="V224" s="1184"/>
      <c r="W224" s="1184"/>
      <c r="X224" s="2032"/>
      <c r="Y224" s="2032"/>
      <c r="Z224" s="2012"/>
      <c r="AA224" s="2127"/>
      <c r="AB224" s="174" t="str">
        <f t="shared" si="15"/>
        <v>2061 год</v>
      </c>
      <c r="AC224" s="329"/>
      <c r="AD224" s="1727"/>
      <c r="AE224" s="1726"/>
      <c r="AF224" s="1726"/>
      <c r="AG224" s="1727"/>
      <c r="AH224" s="1726"/>
      <c r="AI224" s="1727"/>
      <c r="AJ224" s="1726"/>
      <c r="AK224" s="1728"/>
      <c r="AL224" s="324"/>
      <c r="AM224" s="1184"/>
      <c r="AN224" s="973" cm="1">
        <f t="array" ref="AN224">K224</f>
        <v>2061</v>
      </c>
      <c r="AO224" s="973" t="s">
        <v>2259</v>
      </c>
      <c r="AP224" s="983" cm="1">
        <f t="array" ref="AP224">AP223</f>
        <v>0</v>
      </c>
      <c r="AQ224" s="626"/>
      <c r="AR224" s="626"/>
    </row>
    <row r="225" spans="1:44" s="1867" customFormat="1" ht="14.25" hidden="1" customHeight="1" x14ac:dyDescent="0.15">
      <c r="A225" s="1184"/>
      <c r="B225" s="367" t="b">
        <f t="shared" si="14"/>
        <v>0</v>
      </c>
      <c r="C225" s="1184"/>
      <c r="D225" s="1184"/>
      <c r="E225" s="626">
        <v>15</v>
      </c>
      <c r="F225" s="3" t="str" cm="1">
        <f t="array" aca="1" ref="F225" ca="1">OFFSET(E225,-1,1)</f>
        <v>2</v>
      </c>
      <c r="G225" s="17" cm="1">
        <f t="array" ref="G225">G224</f>
        <v>0</v>
      </c>
      <c r="H225" s="1184"/>
      <c r="I225" s="1184"/>
      <c r="J225" s="1184"/>
      <c r="K225" s="77">
        <f>first_year+38</f>
        <v>2062</v>
      </c>
      <c r="L225" s="1184"/>
      <c r="M225" s="1184"/>
      <c r="N225" s="1184"/>
      <c r="O225" s="1184"/>
      <c r="P225" s="1184"/>
      <c r="Q225" s="1184"/>
      <c r="R225" s="1184"/>
      <c r="S225" s="1184"/>
      <c r="T225" s="388" t="b" cm="1">
        <f t="array" aca="1" ref="T225" ca="1">T224</f>
        <v>0</v>
      </c>
      <c r="U225" s="1184"/>
      <c r="V225" s="1184"/>
      <c r="W225" s="1184"/>
      <c r="X225" s="2032"/>
      <c r="Y225" s="2032"/>
      <c r="Z225" s="2012"/>
      <c r="AA225" s="2127"/>
      <c r="AB225" s="174" t="str">
        <f t="shared" si="15"/>
        <v>2062 год</v>
      </c>
      <c r="AC225" s="329"/>
      <c r="AD225" s="1727"/>
      <c r="AE225" s="1726"/>
      <c r="AF225" s="1726"/>
      <c r="AG225" s="1727"/>
      <c r="AH225" s="1726"/>
      <c r="AI225" s="1727"/>
      <c r="AJ225" s="1726"/>
      <c r="AK225" s="1728"/>
      <c r="AL225" s="324"/>
      <c r="AM225" s="1184"/>
      <c r="AN225" s="973" cm="1">
        <f t="array" ref="AN225">K225</f>
        <v>2062</v>
      </c>
      <c r="AO225" s="973" t="s">
        <v>2259</v>
      </c>
      <c r="AP225" s="983" cm="1">
        <f t="array" ref="AP225">AP224</f>
        <v>0</v>
      </c>
      <c r="AQ225" s="626"/>
      <c r="AR225" s="626"/>
    </row>
    <row r="226" spans="1:44" s="1868" customFormat="1" ht="14.25" hidden="1" customHeight="1" x14ac:dyDescent="0.15">
      <c r="A226" s="1184"/>
      <c r="B226" s="367" t="b">
        <f t="shared" si="14"/>
        <v>0</v>
      </c>
      <c r="C226" s="1184"/>
      <c r="D226" s="1184"/>
      <c r="E226" s="626">
        <v>15</v>
      </c>
      <c r="F226" s="3" t="str" cm="1">
        <f t="array" aca="1" ref="F226" ca="1">OFFSET(E226,-1,1)</f>
        <v>2</v>
      </c>
      <c r="G226" s="17" cm="1">
        <f t="array" ref="G226">G225</f>
        <v>0</v>
      </c>
      <c r="H226" s="1184"/>
      <c r="I226" s="1184"/>
      <c r="J226" s="1184"/>
      <c r="K226" s="77">
        <f>first_year+39</f>
        <v>2063</v>
      </c>
      <c r="L226" s="1184"/>
      <c r="M226" s="1184"/>
      <c r="N226" s="1184"/>
      <c r="O226" s="1184"/>
      <c r="P226" s="1184"/>
      <c r="Q226" s="1184"/>
      <c r="R226" s="1184"/>
      <c r="S226" s="1184"/>
      <c r="T226" s="388" t="b" cm="1">
        <f t="array" aca="1" ref="T226" ca="1">T225</f>
        <v>0</v>
      </c>
      <c r="U226" s="1184"/>
      <c r="V226" s="1184"/>
      <c r="W226" s="1184"/>
      <c r="X226" s="2032"/>
      <c r="Y226" s="2032"/>
      <c r="Z226" s="2012"/>
      <c r="AA226" s="2127"/>
      <c r="AB226" s="174" t="str">
        <f t="shared" si="15"/>
        <v>2063 год</v>
      </c>
      <c r="AC226" s="329"/>
      <c r="AD226" s="1727"/>
      <c r="AE226" s="1726"/>
      <c r="AF226" s="1726"/>
      <c r="AG226" s="1727"/>
      <c r="AH226" s="1726"/>
      <c r="AI226" s="1727"/>
      <c r="AJ226" s="1726"/>
      <c r="AK226" s="1728"/>
      <c r="AL226" s="324"/>
      <c r="AM226" s="1184"/>
      <c r="AN226" s="973" cm="1">
        <f t="array" ref="AN226">K226</f>
        <v>2063</v>
      </c>
      <c r="AO226" s="973" t="s">
        <v>2259</v>
      </c>
      <c r="AP226" s="983" cm="1">
        <f t="array" ref="AP226">AP225</f>
        <v>0</v>
      </c>
      <c r="AQ226" s="626"/>
      <c r="AR226" s="626"/>
    </row>
    <row r="227" spans="1:44" s="1869" customFormat="1" ht="14.25" hidden="1" customHeight="1" x14ac:dyDescent="0.15">
      <c r="A227" s="1184"/>
      <c r="B227" s="367" t="b">
        <f t="shared" si="14"/>
        <v>0</v>
      </c>
      <c r="C227" s="1184"/>
      <c r="D227" s="1184"/>
      <c r="E227" s="626">
        <v>15</v>
      </c>
      <c r="F227" s="3" t="str" cm="1">
        <f t="array" aca="1" ref="F227" ca="1">OFFSET(E227,-1,1)</f>
        <v>2</v>
      </c>
      <c r="G227" s="17" cm="1">
        <f t="array" ref="G227">G226</f>
        <v>0</v>
      </c>
      <c r="H227" s="1184"/>
      <c r="I227" s="1184"/>
      <c r="J227" s="1184"/>
      <c r="K227" s="77">
        <f>first_year+40</f>
        <v>2064</v>
      </c>
      <c r="L227" s="1184"/>
      <c r="M227" s="1184"/>
      <c r="N227" s="1184"/>
      <c r="O227" s="1184"/>
      <c r="P227" s="1184"/>
      <c r="Q227" s="1184"/>
      <c r="R227" s="1184"/>
      <c r="S227" s="1184"/>
      <c r="T227" s="388" t="b" cm="1">
        <f t="array" aca="1" ref="T227" ca="1">T226</f>
        <v>0</v>
      </c>
      <c r="U227" s="1184"/>
      <c r="V227" s="1184"/>
      <c r="W227" s="1184"/>
      <c r="X227" s="2032"/>
      <c r="Y227" s="2032"/>
      <c r="Z227" s="2012"/>
      <c r="AA227" s="2127"/>
      <c r="AB227" s="174" t="str">
        <f t="shared" si="15"/>
        <v>2064 год</v>
      </c>
      <c r="AC227" s="329"/>
      <c r="AD227" s="1727"/>
      <c r="AE227" s="1726"/>
      <c r="AF227" s="1726"/>
      <c r="AG227" s="1727"/>
      <c r="AH227" s="1726"/>
      <c r="AI227" s="1727"/>
      <c r="AJ227" s="1726"/>
      <c r="AK227" s="1728"/>
      <c r="AL227" s="324"/>
      <c r="AM227" s="1184"/>
      <c r="AN227" s="973" cm="1">
        <f t="array" ref="AN227">K227</f>
        <v>2064</v>
      </c>
      <c r="AO227" s="973" t="s">
        <v>2259</v>
      </c>
      <c r="AP227" s="983" cm="1">
        <f t="array" ref="AP227">AP226</f>
        <v>0</v>
      </c>
      <c r="AQ227" s="626"/>
      <c r="AR227" s="626"/>
    </row>
    <row r="228" spans="1:44" s="1870" customFormat="1" ht="14.25" hidden="1" customHeight="1" x14ac:dyDescent="0.15">
      <c r="A228" s="1184"/>
      <c r="B228" s="367" t="b">
        <f t="shared" si="14"/>
        <v>0</v>
      </c>
      <c r="C228" s="1184"/>
      <c r="D228" s="1184"/>
      <c r="E228" s="626">
        <v>15</v>
      </c>
      <c r="F228" s="3" t="str" cm="1">
        <f t="array" aca="1" ref="F228" ca="1">OFFSET(E228,-1,1)</f>
        <v>2</v>
      </c>
      <c r="G228" s="17" cm="1">
        <f t="array" ref="G228">G227</f>
        <v>0</v>
      </c>
      <c r="H228" s="1184"/>
      <c r="I228" s="1184"/>
      <c r="J228" s="1184"/>
      <c r="K228" s="77">
        <f>first_year+41</f>
        <v>2065</v>
      </c>
      <c r="L228" s="1184"/>
      <c r="M228" s="1184"/>
      <c r="N228" s="1184"/>
      <c r="O228" s="1184"/>
      <c r="P228" s="1184"/>
      <c r="Q228" s="1184"/>
      <c r="R228" s="1184"/>
      <c r="S228" s="1184"/>
      <c r="T228" s="388" t="b" cm="1">
        <f t="array" aca="1" ref="T228" ca="1">T227</f>
        <v>0</v>
      </c>
      <c r="U228" s="1184"/>
      <c r="V228" s="1184"/>
      <c r="W228" s="1184"/>
      <c r="X228" s="2032"/>
      <c r="Y228" s="2032"/>
      <c r="Z228" s="2012"/>
      <c r="AA228" s="2127"/>
      <c r="AB228" s="174" t="str">
        <f t="shared" si="15"/>
        <v>2065 год</v>
      </c>
      <c r="AC228" s="329"/>
      <c r="AD228" s="1727"/>
      <c r="AE228" s="1726"/>
      <c r="AF228" s="1726"/>
      <c r="AG228" s="1727"/>
      <c r="AH228" s="1726"/>
      <c r="AI228" s="1727"/>
      <c r="AJ228" s="1726"/>
      <c r="AK228" s="1728"/>
      <c r="AL228" s="324"/>
      <c r="AM228" s="1184"/>
      <c r="AN228" s="973" cm="1">
        <f t="array" ref="AN228">K228</f>
        <v>2065</v>
      </c>
      <c r="AO228" s="973" t="s">
        <v>2259</v>
      </c>
      <c r="AP228" s="983" cm="1">
        <f t="array" ref="AP228">AP227</f>
        <v>0</v>
      </c>
      <c r="AQ228" s="626"/>
      <c r="AR228" s="626"/>
    </row>
    <row r="229" spans="1:44" s="1871" customFormat="1" ht="14.25" hidden="1" customHeight="1" x14ac:dyDescent="0.15">
      <c r="A229" s="1184"/>
      <c r="B229" s="367" t="b">
        <f t="shared" si="14"/>
        <v>0</v>
      </c>
      <c r="C229" s="1184"/>
      <c r="D229" s="1184"/>
      <c r="E229" s="626">
        <v>15</v>
      </c>
      <c r="F229" s="3" t="str" cm="1">
        <f t="array" aca="1" ref="F229" ca="1">OFFSET(E229,-1,1)</f>
        <v>2</v>
      </c>
      <c r="G229" s="17" cm="1">
        <f t="array" ref="G229">G228</f>
        <v>0</v>
      </c>
      <c r="H229" s="1184"/>
      <c r="I229" s="1184"/>
      <c r="J229" s="1184"/>
      <c r="K229" s="77">
        <f>first_year+42</f>
        <v>2066</v>
      </c>
      <c r="L229" s="1184"/>
      <c r="M229" s="1184"/>
      <c r="N229" s="1184"/>
      <c r="O229" s="1184"/>
      <c r="P229" s="1184"/>
      <c r="Q229" s="1184"/>
      <c r="R229" s="1184"/>
      <c r="S229" s="1184"/>
      <c r="T229" s="388" t="b" cm="1">
        <f t="array" aca="1" ref="T229" ca="1">T228</f>
        <v>0</v>
      </c>
      <c r="U229" s="1184"/>
      <c r="V229" s="1184"/>
      <c r="W229" s="1184"/>
      <c r="X229" s="2032"/>
      <c r="Y229" s="2032"/>
      <c r="Z229" s="2012"/>
      <c r="AA229" s="2127"/>
      <c r="AB229" s="174" t="str">
        <f t="shared" si="15"/>
        <v>2066 год</v>
      </c>
      <c r="AC229" s="329"/>
      <c r="AD229" s="1727"/>
      <c r="AE229" s="1726"/>
      <c r="AF229" s="1726"/>
      <c r="AG229" s="1727"/>
      <c r="AH229" s="1726"/>
      <c r="AI229" s="1727"/>
      <c r="AJ229" s="1726"/>
      <c r="AK229" s="1728"/>
      <c r="AL229" s="324"/>
      <c r="AM229" s="1184"/>
      <c r="AN229" s="973" cm="1">
        <f t="array" ref="AN229">K229</f>
        <v>2066</v>
      </c>
      <c r="AO229" s="973" t="s">
        <v>2259</v>
      </c>
      <c r="AP229" s="983" cm="1">
        <f t="array" ref="AP229">AP228</f>
        <v>0</v>
      </c>
      <c r="AQ229" s="626"/>
      <c r="AR229" s="626"/>
    </row>
    <row r="230" spans="1:44" s="1872" customFormat="1" ht="14.25" hidden="1" customHeight="1" x14ac:dyDescent="0.15">
      <c r="A230" s="1184"/>
      <c r="B230" s="367" t="b">
        <f t="shared" si="14"/>
        <v>0</v>
      </c>
      <c r="C230" s="1184"/>
      <c r="D230" s="1184"/>
      <c r="E230" s="626">
        <v>15</v>
      </c>
      <c r="F230" s="3" t="str" cm="1">
        <f t="array" aca="1" ref="F230" ca="1">OFFSET(E230,-1,1)</f>
        <v>2</v>
      </c>
      <c r="G230" s="17" cm="1">
        <f t="array" ref="G230">G229</f>
        <v>0</v>
      </c>
      <c r="H230" s="1184"/>
      <c r="I230" s="1184"/>
      <c r="J230" s="1184"/>
      <c r="K230" s="77">
        <f>first_year+43</f>
        <v>2067</v>
      </c>
      <c r="L230" s="1184"/>
      <c r="M230" s="1184"/>
      <c r="N230" s="1184"/>
      <c r="O230" s="1184"/>
      <c r="P230" s="1184"/>
      <c r="Q230" s="1184"/>
      <c r="R230" s="1184"/>
      <c r="S230" s="1184"/>
      <c r="T230" s="388" t="b" cm="1">
        <f t="array" aca="1" ref="T230" ca="1">T229</f>
        <v>0</v>
      </c>
      <c r="U230" s="1184"/>
      <c r="V230" s="1184"/>
      <c r="W230" s="1184"/>
      <c r="X230" s="2032"/>
      <c r="Y230" s="2032"/>
      <c r="Z230" s="2012"/>
      <c r="AA230" s="2127"/>
      <c r="AB230" s="174" t="str">
        <f t="shared" si="15"/>
        <v>2067 год</v>
      </c>
      <c r="AC230" s="329"/>
      <c r="AD230" s="1727"/>
      <c r="AE230" s="1726"/>
      <c r="AF230" s="1726"/>
      <c r="AG230" s="1727"/>
      <c r="AH230" s="1726"/>
      <c r="AI230" s="1727"/>
      <c r="AJ230" s="1726"/>
      <c r="AK230" s="1728"/>
      <c r="AL230" s="324"/>
      <c r="AM230" s="1184"/>
      <c r="AN230" s="973" cm="1">
        <f t="array" ref="AN230">K230</f>
        <v>2067</v>
      </c>
      <c r="AO230" s="973" t="s">
        <v>2259</v>
      </c>
      <c r="AP230" s="983" cm="1">
        <f t="array" ref="AP230">AP229</f>
        <v>0</v>
      </c>
      <c r="AQ230" s="626"/>
      <c r="AR230" s="626"/>
    </row>
    <row r="231" spans="1:44" s="1873" customFormat="1" ht="14.25" hidden="1" customHeight="1" x14ac:dyDescent="0.15">
      <c r="A231" s="1184"/>
      <c r="B231" s="367" t="b">
        <f t="shared" si="14"/>
        <v>0</v>
      </c>
      <c r="C231" s="1184"/>
      <c r="D231" s="1184"/>
      <c r="E231" s="626">
        <v>15</v>
      </c>
      <c r="F231" s="3" t="str" cm="1">
        <f t="array" aca="1" ref="F231" ca="1">OFFSET(E231,-1,1)</f>
        <v>2</v>
      </c>
      <c r="G231" s="17" cm="1">
        <f t="array" ref="G231">G230</f>
        <v>0</v>
      </c>
      <c r="H231" s="1184"/>
      <c r="I231" s="1184"/>
      <c r="J231" s="1184"/>
      <c r="K231" s="77">
        <f>first_year+44</f>
        <v>2068</v>
      </c>
      <c r="L231" s="1184"/>
      <c r="M231" s="1184"/>
      <c r="N231" s="1184"/>
      <c r="O231" s="1184"/>
      <c r="P231" s="1184"/>
      <c r="Q231" s="1184"/>
      <c r="R231" s="1184"/>
      <c r="S231" s="1184"/>
      <c r="T231" s="388" t="b" cm="1">
        <f t="array" aca="1" ref="T231" ca="1">T230</f>
        <v>0</v>
      </c>
      <c r="U231" s="1184"/>
      <c r="V231" s="1184"/>
      <c r="W231" s="1184"/>
      <c r="X231" s="2032"/>
      <c r="Y231" s="2032"/>
      <c r="Z231" s="2012"/>
      <c r="AA231" s="2127"/>
      <c r="AB231" s="174" t="str">
        <f t="shared" si="15"/>
        <v>2068 год</v>
      </c>
      <c r="AC231" s="329"/>
      <c r="AD231" s="1727"/>
      <c r="AE231" s="1726"/>
      <c r="AF231" s="1726"/>
      <c r="AG231" s="1727"/>
      <c r="AH231" s="1726"/>
      <c r="AI231" s="1727"/>
      <c r="AJ231" s="1726"/>
      <c r="AK231" s="1728"/>
      <c r="AL231" s="324"/>
      <c r="AM231" s="1184"/>
      <c r="AN231" s="973" cm="1">
        <f t="array" ref="AN231">K231</f>
        <v>2068</v>
      </c>
      <c r="AO231" s="973" t="s">
        <v>2259</v>
      </c>
      <c r="AP231" s="983" cm="1">
        <f t="array" ref="AP231">AP230</f>
        <v>0</v>
      </c>
      <c r="AQ231" s="626"/>
      <c r="AR231" s="626"/>
    </row>
    <row r="232" spans="1:44" s="1874" customFormat="1" ht="14.25" hidden="1" customHeight="1" x14ac:dyDescent="0.15">
      <c r="A232" s="1184"/>
      <c r="B232" s="367" t="b">
        <f t="shared" si="14"/>
        <v>0</v>
      </c>
      <c r="C232" s="1184"/>
      <c r="D232" s="1184"/>
      <c r="E232" s="626">
        <v>15</v>
      </c>
      <c r="F232" s="3" t="str" cm="1">
        <f t="array" aca="1" ref="F232" ca="1">OFFSET(E232,-1,1)</f>
        <v>2</v>
      </c>
      <c r="G232" s="17" cm="1">
        <f t="array" ref="G232">G231</f>
        <v>0</v>
      </c>
      <c r="H232" s="1184"/>
      <c r="I232" s="1184"/>
      <c r="J232" s="1184"/>
      <c r="K232" s="77">
        <f>first_year+45</f>
        <v>2069</v>
      </c>
      <c r="L232" s="1184"/>
      <c r="M232" s="1184"/>
      <c r="N232" s="1184"/>
      <c r="O232" s="1184"/>
      <c r="P232" s="1184"/>
      <c r="Q232" s="1184"/>
      <c r="R232" s="1184"/>
      <c r="S232" s="1184"/>
      <c r="T232" s="388" t="b" cm="1">
        <f t="array" aca="1" ref="T232" ca="1">T231</f>
        <v>0</v>
      </c>
      <c r="U232" s="1184"/>
      <c r="V232" s="1184"/>
      <c r="W232" s="1184"/>
      <c r="X232" s="2032"/>
      <c r="Y232" s="2032"/>
      <c r="Z232" s="2012"/>
      <c r="AA232" s="2127"/>
      <c r="AB232" s="174" t="str">
        <f t="shared" si="15"/>
        <v>2069 год</v>
      </c>
      <c r="AC232" s="329"/>
      <c r="AD232" s="1727"/>
      <c r="AE232" s="1726"/>
      <c r="AF232" s="1726"/>
      <c r="AG232" s="1727"/>
      <c r="AH232" s="1726"/>
      <c r="AI232" s="1727"/>
      <c r="AJ232" s="1726"/>
      <c r="AK232" s="1728"/>
      <c r="AL232" s="324"/>
      <c r="AM232" s="1184"/>
      <c r="AN232" s="973" cm="1">
        <f t="array" ref="AN232">K232</f>
        <v>2069</v>
      </c>
      <c r="AO232" s="973" t="s">
        <v>2259</v>
      </c>
      <c r="AP232" s="983" cm="1">
        <f t="array" ref="AP232">AP231</f>
        <v>0</v>
      </c>
      <c r="AQ232" s="626"/>
      <c r="AR232" s="626"/>
    </row>
    <row r="233" spans="1:44" s="1875" customFormat="1" ht="14.25" hidden="1" customHeight="1" x14ac:dyDescent="0.15">
      <c r="A233" s="1184"/>
      <c r="B233" s="367" t="b">
        <f t="shared" si="14"/>
        <v>0</v>
      </c>
      <c r="C233" s="1184"/>
      <c r="D233" s="1184"/>
      <c r="E233" s="626">
        <v>15</v>
      </c>
      <c r="F233" s="3" t="str" cm="1">
        <f t="array" aca="1" ref="F233" ca="1">OFFSET(E233,-1,1)</f>
        <v>2</v>
      </c>
      <c r="G233" s="17" cm="1">
        <f t="array" ref="G233">G232</f>
        <v>0</v>
      </c>
      <c r="H233" s="1184"/>
      <c r="I233" s="1184"/>
      <c r="J233" s="1184"/>
      <c r="K233" s="77">
        <f>first_year+46</f>
        <v>2070</v>
      </c>
      <c r="L233" s="1184"/>
      <c r="M233" s="1184"/>
      <c r="N233" s="1184"/>
      <c r="O233" s="1184"/>
      <c r="P233" s="1184"/>
      <c r="Q233" s="1184"/>
      <c r="R233" s="1184"/>
      <c r="S233" s="1184"/>
      <c r="T233" s="388" t="b" cm="1">
        <f t="array" aca="1" ref="T233" ca="1">T232</f>
        <v>0</v>
      </c>
      <c r="U233" s="1184"/>
      <c r="V233" s="1184"/>
      <c r="W233" s="1184"/>
      <c r="X233" s="2032"/>
      <c r="Y233" s="2032"/>
      <c r="Z233" s="2012"/>
      <c r="AA233" s="2127"/>
      <c r="AB233" s="174" t="str">
        <f t="shared" si="15"/>
        <v>2070 год</v>
      </c>
      <c r="AC233" s="329"/>
      <c r="AD233" s="1727"/>
      <c r="AE233" s="1726"/>
      <c r="AF233" s="1726"/>
      <c r="AG233" s="1727"/>
      <c r="AH233" s="1726"/>
      <c r="AI233" s="1727"/>
      <c r="AJ233" s="1726"/>
      <c r="AK233" s="1728"/>
      <c r="AL233" s="324"/>
      <c r="AM233" s="1184"/>
      <c r="AN233" s="973" cm="1">
        <f t="array" ref="AN233">K233</f>
        <v>2070</v>
      </c>
      <c r="AO233" s="973" t="s">
        <v>2259</v>
      </c>
      <c r="AP233" s="983" cm="1">
        <f t="array" ref="AP233">AP232</f>
        <v>0</v>
      </c>
      <c r="AQ233" s="626"/>
      <c r="AR233" s="626"/>
    </row>
    <row r="234" spans="1:44" s="1876" customFormat="1" ht="14.25" hidden="1" customHeight="1" x14ac:dyDescent="0.15">
      <c r="A234" s="1184"/>
      <c r="B234" s="367" t="b">
        <f t="shared" si="14"/>
        <v>0</v>
      </c>
      <c r="C234" s="1184"/>
      <c r="D234" s="1184"/>
      <c r="E234" s="626">
        <v>15</v>
      </c>
      <c r="F234" s="3" t="str" cm="1">
        <f t="array" aca="1" ref="F234" ca="1">OFFSET(E234,-1,1)</f>
        <v>2</v>
      </c>
      <c r="G234" s="17" cm="1">
        <f t="array" ref="G234">G233</f>
        <v>0</v>
      </c>
      <c r="H234" s="1184"/>
      <c r="I234" s="1184"/>
      <c r="J234" s="1184"/>
      <c r="K234" s="77">
        <f>first_year+47</f>
        <v>2071</v>
      </c>
      <c r="L234" s="1184"/>
      <c r="M234" s="1184"/>
      <c r="N234" s="1184"/>
      <c r="O234" s="1184"/>
      <c r="P234" s="1184"/>
      <c r="Q234" s="1184"/>
      <c r="R234" s="1184"/>
      <c r="S234" s="1184"/>
      <c r="T234" s="388" t="b" cm="1">
        <f t="array" aca="1" ref="T234" ca="1">T233</f>
        <v>0</v>
      </c>
      <c r="U234" s="1184"/>
      <c r="V234" s="1184"/>
      <c r="W234" s="1184"/>
      <c r="X234" s="2032"/>
      <c r="Y234" s="2032"/>
      <c r="Z234" s="2012"/>
      <c r="AA234" s="2127"/>
      <c r="AB234" s="174" t="str">
        <f t="shared" si="15"/>
        <v>2071 год</v>
      </c>
      <c r="AC234" s="329"/>
      <c r="AD234" s="1727"/>
      <c r="AE234" s="1726"/>
      <c r="AF234" s="1726"/>
      <c r="AG234" s="1727"/>
      <c r="AH234" s="1726"/>
      <c r="AI234" s="1727"/>
      <c r="AJ234" s="1726"/>
      <c r="AK234" s="1728"/>
      <c r="AL234" s="324"/>
      <c r="AM234" s="1184"/>
      <c r="AN234" s="973" cm="1">
        <f t="array" ref="AN234">K234</f>
        <v>2071</v>
      </c>
      <c r="AO234" s="973" t="s">
        <v>2259</v>
      </c>
      <c r="AP234" s="983" cm="1">
        <f t="array" ref="AP234">AP233</f>
        <v>0</v>
      </c>
      <c r="AQ234" s="626"/>
      <c r="AR234" s="626"/>
    </row>
    <row r="235" spans="1:44" s="1877" customFormat="1" ht="14.25" hidden="1" customHeight="1" x14ac:dyDescent="0.15">
      <c r="A235" s="1184"/>
      <c r="B235" s="367" t="b">
        <f t="shared" si="14"/>
        <v>0</v>
      </c>
      <c r="C235" s="1184"/>
      <c r="D235" s="1184"/>
      <c r="E235" s="626">
        <v>15</v>
      </c>
      <c r="F235" s="3" t="str" cm="1">
        <f t="array" aca="1" ref="F235" ca="1">OFFSET(E235,-1,1)</f>
        <v>2</v>
      </c>
      <c r="G235" s="17" cm="1">
        <f t="array" ref="G235">G234</f>
        <v>0</v>
      </c>
      <c r="H235" s="1184"/>
      <c r="I235" s="1184"/>
      <c r="J235" s="1184"/>
      <c r="K235" s="77">
        <f>first_year+48</f>
        <v>2072</v>
      </c>
      <c r="L235" s="1184"/>
      <c r="M235" s="1184"/>
      <c r="N235" s="1184"/>
      <c r="O235" s="1184"/>
      <c r="P235" s="1184"/>
      <c r="Q235" s="1184"/>
      <c r="R235" s="1184"/>
      <c r="S235" s="1184"/>
      <c r="T235" s="388" t="b" cm="1">
        <f t="array" aca="1" ref="T235" ca="1">T234</f>
        <v>0</v>
      </c>
      <c r="U235" s="1184"/>
      <c r="V235" s="1184"/>
      <c r="W235" s="1184"/>
      <c r="X235" s="2032"/>
      <c r="Y235" s="2032"/>
      <c r="Z235" s="2012"/>
      <c r="AA235" s="2127"/>
      <c r="AB235" s="174" t="str">
        <f t="shared" si="15"/>
        <v>2072 год</v>
      </c>
      <c r="AC235" s="329"/>
      <c r="AD235" s="1727"/>
      <c r="AE235" s="1726"/>
      <c r="AF235" s="1726"/>
      <c r="AG235" s="1727"/>
      <c r="AH235" s="1726"/>
      <c r="AI235" s="1727"/>
      <c r="AJ235" s="1726"/>
      <c r="AK235" s="1728"/>
      <c r="AL235" s="324"/>
      <c r="AM235" s="1184"/>
      <c r="AN235" s="973" cm="1">
        <f t="array" ref="AN235">K235</f>
        <v>2072</v>
      </c>
      <c r="AO235" s="973" t="s">
        <v>2259</v>
      </c>
      <c r="AP235" s="983" cm="1">
        <f t="array" ref="AP235">AP234</f>
        <v>0</v>
      </c>
      <c r="AQ235" s="626"/>
      <c r="AR235" s="626"/>
    </row>
    <row r="236" spans="1:44" s="1878" customFormat="1" ht="14.25" hidden="1" customHeight="1" x14ac:dyDescent="0.15">
      <c r="A236" s="1184"/>
      <c r="B236" s="367" t="b">
        <f t="shared" si="14"/>
        <v>0</v>
      </c>
      <c r="C236" s="1184"/>
      <c r="D236" s="1184"/>
      <c r="E236" s="626">
        <v>15</v>
      </c>
      <c r="F236" s="3" t="str" cm="1">
        <f t="array" aca="1" ref="F236" ca="1">OFFSET(E236,-1,1)</f>
        <v>2</v>
      </c>
      <c r="G236" s="17" cm="1">
        <f t="array" ref="G236">G235</f>
        <v>0</v>
      </c>
      <c r="H236" s="1184"/>
      <c r="I236" s="1184"/>
      <c r="J236" s="1184"/>
      <c r="K236" s="77">
        <f>first_year+49</f>
        <v>2073</v>
      </c>
      <c r="L236" s="1184"/>
      <c r="M236" s="1184"/>
      <c r="N236" s="1184"/>
      <c r="O236" s="1184"/>
      <c r="P236" s="1184"/>
      <c r="Q236" s="1184"/>
      <c r="R236" s="1184"/>
      <c r="S236" s="1184"/>
      <c r="T236" s="388" t="b" cm="1">
        <f t="array" aca="1" ref="T236" ca="1">T235</f>
        <v>0</v>
      </c>
      <c r="U236" s="1184"/>
      <c r="V236" s="1184"/>
      <c r="W236" s="1184"/>
      <c r="X236" s="2032"/>
      <c r="Y236" s="2032"/>
      <c r="Z236" s="2012"/>
      <c r="AA236" s="2127"/>
      <c r="AB236" s="174" t="str">
        <f t="shared" si="15"/>
        <v>2073 год</v>
      </c>
      <c r="AC236" s="329"/>
      <c r="AD236" s="1727"/>
      <c r="AE236" s="1726"/>
      <c r="AF236" s="1726"/>
      <c r="AG236" s="1727"/>
      <c r="AH236" s="1726"/>
      <c r="AI236" s="1727"/>
      <c r="AJ236" s="1726"/>
      <c r="AK236" s="1728"/>
      <c r="AL236" s="324"/>
      <c r="AM236" s="1184"/>
      <c r="AN236" s="973" cm="1">
        <f t="array" ref="AN236">K236</f>
        <v>2073</v>
      </c>
      <c r="AO236" s="973" t="s">
        <v>2259</v>
      </c>
      <c r="AP236" s="983" cm="1">
        <f t="array" ref="AP236">AP235</f>
        <v>0</v>
      </c>
      <c r="AQ236" s="626"/>
      <c r="AR236" s="626"/>
    </row>
    <row r="237" spans="1:44" s="461" customFormat="1" ht="14.25" customHeight="1" x14ac:dyDescent="0.15">
      <c r="A237" s="1217"/>
      <c r="B237" s="350"/>
      <c r="C237" s="1217"/>
      <c r="D237" s="1217"/>
      <c r="E237" s="542">
        <v>15</v>
      </c>
      <c r="F237" s="3" t="str" cm="1">
        <f t="array" aca="1" ref="F237" ca="1">OFFSET(E237,-1,1)</f>
        <v>2</v>
      </c>
      <c r="G237" s="41" t="str" cm="1">
        <f t="array" ref="G237">AB237</f>
        <v>транспортировка</v>
      </c>
      <c r="H237" s="1217"/>
      <c r="I237" s="1217"/>
      <c r="J237" s="1217"/>
      <c r="K237" s="1217"/>
      <c r="L237" s="1217"/>
      <c r="M237" s="1217"/>
      <c r="N237" s="1217"/>
      <c r="O237" s="1217"/>
      <c r="P237" s="1217"/>
      <c r="Q237" s="1217"/>
      <c r="R237" s="1217"/>
      <c r="S237" s="1217"/>
      <c r="T237" s="388" t="b">
        <f ca="1">AND(F237&gt;0,Y237&gt;0)</f>
        <v>1</v>
      </c>
      <c r="U237" s="1217"/>
      <c r="V237" s="1217"/>
      <c r="W237" s="41"/>
      <c r="X237" s="2032"/>
      <c r="Y237" s="2032" t="s">
        <v>282</v>
      </c>
      <c r="Z237" s="2012"/>
      <c r="AA237" s="2127" t="s">
        <v>173</v>
      </c>
      <c r="AB237" s="2136" t="s">
        <v>2261</v>
      </c>
      <c r="AC237" s="2136"/>
      <c r="AD237" s="2136"/>
      <c r="AE237" s="2136"/>
      <c r="AF237" s="2136"/>
      <c r="AG237" s="2136"/>
      <c r="AH237" s="2136"/>
      <c r="AI237" s="2136"/>
      <c r="AJ237" s="2136"/>
      <c r="AK237" s="2137"/>
      <c r="AL237" s="323"/>
      <c r="AM237" s="1217"/>
      <c r="AN237" s="906"/>
      <c r="AO237" s="973" t="s">
        <v>2259</v>
      </c>
      <c r="AP237" s="988" t="str" cm="1">
        <f t="array" ref="AP237">AB237</f>
        <v>транспортировка</v>
      </c>
      <c r="AQ237" s="542"/>
      <c r="AR237" s="542" t="b">
        <v>1</v>
      </c>
    </row>
    <row r="238" spans="1:44" s="1879" customFormat="1" ht="14.65" customHeight="1" x14ac:dyDescent="0.15">
      <c r="A238" s="1184"/>
      <c r="B238" s="367" t="b">
        <f t="shared" ref="B238:B269" si="16">K238&lt;first_year+PERIOD_LENGTH</f>
        <v>1</v>
      </c>
      <c r="C238" s="1184"/>
      <c r="D238" s="1184"/>
      <c r="E238" s="626">
        <v>15</v>
      </c>
      <c r="F238" s="3" t="str" cm="1">
        <f t="array" aca="1" ref="F238" ca="1">OFFSET(E238,-1,1)</f>
        <v>2</v>
      </c>
      <c r="G238" s="17" t="str" cm="1">
        <f t="array" ref="G238">G237</f>
        <v>транспортировка</v>
      </c>
      <c r="H238" s="1184"/>
      <c r="I238" s="1184"/>
      <c r="J238" s="1184"/>
      <c r="K238" s="77" cm="1">
        <f t="array" ref="K238">first_year</f>
        <v>2024</v>
      </c>
      <c r="L238" s="1184"/>
      <c r="M238" s="1184"/>
      <c r="N238" s="1184"/>
      <c r="O238" s="1184"/>
      <c r="P238" s="1184"/>
      <c r="Q238" s="1184"/>
      <c r="R238" s="1184"/>
      <c r="S238" s="1184"/>
      <c r="T238" s="388" t="b" cm="1">
        <f t="array" aca="1" ref="T238" ca="1">T237</f>
        <v>1</v>
      </c>
      <c r="U238" s="1184"/>
      <c r="V238" s="1184"/>
      <c r="W238" s="1184"/>
      <c r="X238" s="2032"/>
      <c r="Y238" s="2032"/>
      <c r="Z238" s="2012"/>
      <c r="AA238" s="2127"/>
      <c r="AB238" s="219" t="str">
        <f t="shared" ref="AB238:AB269" si="17">K238&amp;" год"</f>
        <v>2024 год</v>
      </c>
      <c r="AC238" s="220">
        <v>14646.98</v>
      </c>
      <c r="AD238" s="233"/>
      <c r="AE238" s="220"/>
      <c r="AF238" s="220"/>
      <c r="AG238" s="233">
        <v>0.05</v>
      </c>
      <c r="AH238" s="220"/>
      <c r="AI238" s="233"/>
      <c r="AJ238" s="220"/>
      <c r="AK238" s="325"/>
      <c r="AL238" s="324"/>
      <c r="AM238" s="1184"/>
      <c r="AN238" s="973" cm="1">
        <f t="array" ref="AN238">K238</f>
        <v>2024</v>
      </c>
      <c r="AO238" s="973" t="s">
        <v>2259</v>
      </c>
      <c r="AP238" s="983" t="str" cm="1">
        <f t="array" ref="AP238">AP237</f>
        <v>транспортировка</v>
      </c>
      <c r="AQ238" s="626"/>
      <c r="AR238" s="626"/>
    </row>
    <row r="239" spans="1:44" s="1880" customFormat="1" ht="14.65" customHeight="1" x14ac:dyDescent="0.15">
      <c r="A239" s="1184"/>
      <c r="B239" s="367" t="b">
        <f t="shared" si="16"/>
        <v>1</v>
      </c>
      <c r="C239" s="1184"/>
      <c r="D239" s="1184"/>
      <c r="E239" s="626">
        <v>15</v>
      </c>
      <c r="F239" s="3" t="str" cm="1">
        <f t="array" aca="1" ref="F239" ca="1">OFFSET(E239,-1,1)</f>
        <v>2</v>
      </c>
      <c r="G239" s="17" t="str" cm="1">
        <f t="array" ref="G239">G238</f>
        <v>транспортировка</v>
      </c>
      <c r="H239" s="1184"/>
      <c r="I239" s="1184"/>
      <c r="J239" s="1184"/>
      <c r="K239" s="77">
        <f>first_year+1</f>
        <v>2025</v>
      </c>
      <c r="L239" s="1184"/>
      <c r="M239" s="1184"/>
      <c r="N239" s="1184"/>
      <c r="O239" s="1184"/>
      <c r="P239" s="1184"/>
      <c r="Q239" s="1184"/>
      <c r="R239" s="1184"/>
      <c r="S239" s="1184"/>
      <c r="T239" s="388" t="b" cm="1">
        <f t="array" aca="1" ref="T239" ca="1">T238</f>
        <v>1</v>
      </c>
      <c r="U239" s="1184"/>
      <c r="V239" s="1184"/>
      <c r="W239" s="1184"/>
      <c r="X239" s="2032"/>
      <c r="Y239" s="2032"/>
      <c r="Z239" s="2012"/>
      <c r="AA239" s="2127"/>
      <c r="AB239" s="174" t="str">
        <f t="shared" si="17"/>
        <v>2025 год</v>
      </c>
      <c r="AC239" s="329"/>
      <c r="AD239" s="233"/>
      <c r="AE239" s="220"/>
      <c r="AF239" s="220"/>
      <c r="AG239" s="233">
        <v>0.05</v>
      </c>
      <c r="AH239" s="220"/>
      <c r="AI239" s="233"/>
      <c r="AJ239" s="220"/>
      <c r="AK239" s="325"/>
      <c r="AL239" s="324"/>
      <c r="AM239" s="1184"/>
      <c r="AN239" s="973" cm="1">
        <f t="array" ref="AN239">K239</f>
        <v>2025</v>
      </c>
      <c r="AO239" s="973" t="s">
        <v>2259</v>
      </c>
      <c r="AP239" s="983" t="str" cm="1">
        <f t="array" ref="AP239">AP238</f>
        <v>транспортировка</v>
      </c>
      <c r="AQ239" s="626"/>
      <c r="AR239" s="626"/>
    </row>
    <row r="240" spans="1:44" s="1881" customFormat="1" ht="14.65" customHeight="1" x14ac:dyDescent="0.15">
      <c r="A240" s="1184"/>
      <c r="B240" s="367" t="b">
        <f t="shared" si="16"/>
        <v>1</v>
      </c>
      <c r="C240" s="1184"/>
      <c r="D240" s="1184"/>
      <c r="E240" s="626">
        <v>15</v>
      </c>
      <c r="F240" s="3" t="str" cm="1">
        <f t="array" aca="1" ref="F240" ca="1">OFFSET(E240,-1,1)</f>
        <v>2</v>
      </c>
      <c r="G240" s="17" t="str" cm="1">
        <f t="array" ref="G240">G239</f>
        <v>транспортировка</v>
      </c>
      <c r="H240" s="1184"/>
      <c r="I240" s="1184"/>
      <c r="J240" s="1184"/>
      <c r="K240" s="77">
        <f>first_year+2</f>
        <v>2026</v>
      </c>
      <c r="L240" s="1184"/>
      <c r="M240" s="1184"/>
      <c r="N240" s="1184"/>
      <c r="O240" s="1184"/>
      <c r="P240" s="1184"/>
      <c r="Q240" s="1184"/>
      <c r="R240" s="1184"/>
      <c r="S240" s="1184"/>
      <c r="T240" s="388" t="b" cm="1">
        <f t="array" aca="1" ref="T240" ca="1">T239</f>
        <v>1</v>
      </c>
      <c r="U240" s="1184"/>
      <c r="V240" s="1184"/>
      <c r="W240" s="1184"/>
      <c r="X240" s="2032"/>
      <c r="Y240" s="2032"/>
      <c r="Z240" s="2012"/>
      <c r="AA240" s="2127"/>
      <c r="AB240" s="174" t="str">
        <f t="shared" si="17"/>
        <v>2026 год</v>
      </c>
      <c r="AC240" s="329"/>
      <c r="AD240" s="233"/>
      <c r="AE240" s="220"/>
      <c r="AF240" s="220"/>
      <c r="AG240" s="233">
        <v>0.05</v>
      </c>
      <c r="AH240" s="220"/>
      <c r="AI240" s="233"/>
      <c r="AJ240" s="220"/>
      <c r="AK240" s="325"/>
      <c r="AL240" s="324"/>
      <c r="AM240" s="1184"/>
      <c r="AN240" s="973" cm="1">
        <f t="array" ref="AN240">K240</f>
        <v>2026</v>
      </c>
      <c r="AO240" s="973" t="s">
        <v>2259</v>
      </c>
      <c r="AP240" s="983" t="str" cm="1">
        <f t="array" ref="AP240">AP239</f>
        <v>транспортировка</v>
      </c>
      <c r="AQ240" s="626"/>
      <c r="AR240" s="626"/>
    </row>
    <row r="241" spans="1:44" s="1882" customFormat="1" ht="14.65" customHeight="1" x14ac:dyDescent="0.15">
      <c r="A241" s="1184"/>
      <c r="B241" s="367" t="b">
        <f t="shared" si="16"/>
        <v>1</v>
      </c>
      <c r="C241" s="1184"/>
      <c r="D241" s="1184"/>
      <c r="E241" s="626">
        <v>15</v>
      </c>
      <c r="F241" s="3" t="str" cm="1">
        <f t="array" aca="1" ref="F241" ca="1">OFFSET(E241,-1,1)</f>
        <v>2</v>
      </c>
      <c r="G241" s="17" t="str" cm="1">
        <f t="array" ref="G241">G240</f>
        <v>транспортировка</v>
      </c>
      <c r="H241" s="1184"/>
      <c r="I241" s="1184"/>
      <c r="J241" s="1184"/>
      <c r="K241" s="77">
        <f>first_year+3</f>
        <v>2027</v>
      </c>
      <c r="L241" s="1184"/>
      <c r="M241" s="1184"/>
      <c r="N241" s="1184"/>
      <c r="O241" s="1184"/>
      <c r="P241" s="1184"/>
      <c r="Q241" s="1184"/>
      <c r="R241" s="1184"/>
      <c r="S241" s="1184"/>
      <c r="T241" s="388" t="b" cm="1">
        <f t="array" aca="1" ref="T241" ca="1">T240</f>
        <v>1</v>
      </c>
      <c r="U241" s="1184"/>
      <c r="V241" s="1184"/>
      <c r="W241" s="1184"/>
      <c r="X241" s="2032"/>
      <c r="Y241" s="2032"/>
      <c r="Z241" s="2012"/>
      <c r="AA241" s="2127"/>
      <c r="AB241" s="174" t="str">
        <f t="shared" si="17"/>
        <v>2027 год</v>
      </c>
      <c r="AC241" s="329"/>
      <c r="AD241" s="233"/>
      <c r="AE241" s="220"/>
      <c r="AF241" s="220"/>
      <c r="AG241" s="233">
        <v>0.05</v>
      </c>
      <c r="AH241" s="220"/>
      <c r="AI241" s="233"/>
      <c r="AJ241" s="220"/>
      <c r="AK241" s="325"/>
      <c r="AL241" s="324"/>
      <c r="AM241" s="1184"/>
      <c r="AN241" s="973" cm="1">
        <f t="array" ref="AN241">K241</f>
        <v>2027</v>
      </c>
      <c r="AO241" s="973" t="s">
        <v>2259</v>
      </c>
      <c r="AP241" s="983" t="str" cm="1">
        <f t="array" ref="AP241">AP240</f>
        <v>транспортировка</v>
      </c>
      <c r="AQ241" s="626"/>
      <c r="AR241" s="626"/>
    </row>
    <row r="242" spans="1:44" s="1883" customFormat="1" ht="14.65" customHeight="1" x14ac:dyDescent="0.15">
      <c r="A242" s="1184"/>
      <c r="B242" s="367" t="b">
        <f t="shared" si="16"/>
        <v>1</v>
      </c>
      <c r="C242" s="1184"/>
      <c r="D242" s="1184"/>
      <c r="E242" s="626">
        <v>15</v>
      </c>
      <c r="F242" s="3" t="str" cm="1">
        <f t="array" aca="1" ref="F242" ca="1">OFFSET(E242,-1,1)</f>
        <v>2</v>
      </c>
      <c r="G242" s="17" t="str" cm="1">
        <f t="array" ref="G242">G241</f>
        <v>транспортировка</v>
      </c>
      <c r="H242" s="1184"/>
      <c r="I242" s="1184"/>
      <c r="J242" s="1184"/>
      <c r="K242" s="77">
        <f>first_year+4</f>
        <v>2028</v>
      </c>
      <c r="L242" s="1184"/>
      <c r="M242" s="1184"/>
      <c r="N242" s="1184"/>
      <c r="O242" s="1184"/>
      <c r="P242" s="1184"/>
      <c r="Q242" s="1184"/>
      <c r="R242" s="1184"/>
      <c r="S242" s="1184"/>
      <c r="T242" s="388" t="b" cm="1">
        <f t="array" aca="1" ref="T242" ca="1">T241</f>
        <v>1</v>
      </c>
      <c r="U242" s="1184"/>
      <c r="V242" s="1184"/>
      <c r="W242" s="1184"/>
      <c r="X242" s="2032"/>
      <c r="Y242" s="2032"/>
      <c r="Z242" s="2012"/>
      <c r="AA242" s="2127"/>
      <c r="AB242" s="174" t="str">
        <f t="shared" si="17"/>
        <v>2028 год</v>
      </c>
      <c r="AC242" s="329"/>
      <c r="AD242" s="233"/>
      <c r="AE242" s="220"/>
      <c r="AF242" s="220"/>
      <c r="AG242" s="233">
        <v>0.05</v>
      </c>
      <c r="AH242" s="220"/>
      <c r="AI242" s="233"/>
      <c r="AJ242" s="220"/>
      <c r="AK242" s="325"/>
      <c r="AL242" s="324"/>
      <c r="AM242" s="1184"/>
      <c r="AN242" s="973" cm="1">
        <f t="array" ref="AN242">K242</f>
        <v>2028</v>
      </c>
      <c r="AO242" s="973" t="s">
        <v>2259</v>
      </c>
      <c r="AP242" s="983" t="str" cm="1">
        <f t="array" ref="AP242">AP241</f>
        <v>транспортировка</v>
      </c>
      <c r="AQ242" s="626"/>
      <c r="AR242" s="626"/>
    </row>
    <row r="243" spans="1:44" s="1884" customFormat="1" ht="14.65" customHeight="1" x14ac:dyDescent="0.15">
      <c r="A243" s="1184"/>
      <c r="B243" s="367" t="b">
        <f t="shared" si="16"/>
        <v>1</v>
      </c>
      <c r="C243" s="1184"/>
      <c r="D243" s="1184"/>
      <c r="E243" s="626">
        <v>15</v>
      </c>
      <c r="F243" s="3" t="str" cm="1">
        <f t="array" aca="1" ref="F243" ca="1">OFFSET(E243,-1,1)</f>
        <v>2</v>
      </c>
      <c r="G243" s="17" t="str" cm="1">
        <f t="array" ref="G243">G242</f>
        <v>транспортировка</v>
      </c>
      <c r="H243" s="1184"/>
      <c r="I243" s="1184"/>
      <c r="J243" s="1184"/>
      <c r="K243" s="77">
        <f>first_year+5</f>
        <v>2029</v>
      </c>
      <c r="L243" s="1184"/>
      <c r="M243" s="1184"/>
      <c r="N243" s="1184"/>
      <c r="O243" s="1184"/>
      <c r="P243" s="1184"/>
      <c r="Q243" s="1184"/>
      <c r="R243" s="1184"/>
      <c r="S243" s="1184"/>
      <c r="T243" s="388" t="b" cm="1">
        <f t="array" aca="1" ref="T243" ca="1">T242</f>
        <v>1</v>
      </c>
      <c r="U243" s="1184"/>
      <c r="V243" s="1184"/>
      <c r="W243" s="1184"/>
      <c r="X243" s="2032"/>
      <c r="Y243" s="2032"/>
      <c r="Z243" s="2012"/>
      <c r="AA243" s="2127"/>
      <c r="AB243" s="174" t="str">
        <f t="shared" si="17"/>
        <v>2029 год</v>
      </c>
      <c r="AC243" s="329"/>
      <c r="AD243" s="233"/>
      <c r="AE243" s="220"/>
      <c r="AF243" s="220"/>
      <c r="AG243" s="233">
        <v>0.05</v>
      </c>
      <c r="AH243" s="220"/>
      <c r="AI243" s="233"/>
      <c r="AJ243" s="220"/>
      <c r="AK243" s="325"/>
      <c r="AL243" s="324"/>
      <c r="AM243" s="1184"/>
      <c r="AN243" s="973" cm="1">
        <f t="array" ref="AN243">K243</f>
        <v>2029</v>
      </c>
      <c r="AO243" s="973" t="s">
        <v>2259</v>
      </c>
      <c r="AP243" s="983" t="str" cm="1">
        <f t="array" ref="AP243">AP242</f>
        <v>транспортировка</v>
      </c>
      <c r="AQ243" s="626"/>
      <c r="AR243" s="626"/>
    </row>
    <row r="244" spans="1:44" s="1885" customFormat="1" ht="14.65" customHeight="1" x14ac:dyDescent="0.15">
      <c r="A244" s="1184"/>
      <c r="B244" s="367" t="b">
        <f t="shared" si="16"/>
        <v>1</v>
      </c>
      <c r="C244" s="1184"/>
      <c r="D244" s="1184"/>
      <c r="E244" s="626">
        <v>15</v>
      </c>
      <c r="F244" s="3" t="str" cm="1">
        <f t="array" aca="1" ref="F244" ca="1">OFFSET(E244,-1,1)</f>
        <v>2</v>
      </c>
      <c r="G244" s="17" t="str" cm="1">
        <f t="array" ref="G244">G243</f>
        <v>транспортировка</v>
      </c>
      <c r="H244" s="1184"/>
      <c r="I244" s="1184"/>
      <c r="J244" s="1184"/>
      <c r="K244" s="77">
        <f>first_year+6</f>
        <v>2030</v>
      </c>
      <c r="L244" s="1184"/>
      <c r="M244" s="1184"/>
      <c r="N244" s="1184"/>
      <c r="O244" s="1184"/>
      <c r="P244" s="1184"/>
      <c r="Q244" s="1184"/>
      <c r="R244" s="1184"/>
      <c r="S244" s="1184"/>
      <c r="T244" s="388" t="b" cm="1">
        <f t="array" aca="1" ref="T244" ca="1">T243</f>
        <v>1</v>
      </c>
      <c r="U244" s="1184"/>
      <c r="V244" s="1184"/>
      <c r="W244" s="1184"/>
      <c r="X244" s="2032"/>
      <c r="Y244" s="2032"/>
      <c r="Z244" s="2012"/>
      <c r="AA244" s="2127"/>
      <c r="AB244" s="174" t="str">
        <f t="shared" si="17"/>
        <v>2030 год</v>
      </c>
      <c r="AC244" s="329"/>
      <c r="AD244" s="233"/>
      <c r="AE244" s="220"/>
      <c r="AF244" s="220"/>
      <c r="AG244" s="233">
        <v>0.05</v>
      </c>
      <c r="AH244" s="220"/>
      <c r="AI244" s="233"/>
      <c r="AJ244" s="220"/>
      <c r="AK244" s="325"/>
      <c r="AL244" s="324"/>
      <c r="AM244" s="1184"/>
      <c r="AN244" s="973" cm="1">
        <f t="array" ref="AN244">K244</f>
        <v>2030</v>
      </c>
      <c r="AO244" s="973" t="s">
        <v>2259</v>
      </c>
      <c r="AP244" s="983" t="str" cm="1">
        <f t="array" ref="AP244">AP243</f>
        <v>транспортировка</v>
      </c>
      <c r="AQ244" s="626"/>
      <c r="AR244" s="626"/>
    </row>
    <row r="245" spans="1:44" s="1886" customFormat="1" ht="14.65" customHeight="1" x14ac:dyDescent="0.15">
      <c r="A245" s="1184"/>
      <c r="B245" s="367" t="b">
        <f t="shared" si="16"/>
        <v>1</v>
      </c>
      <c r="C245" s="1184"/>
      <c r="D245" s="1184"/>
      <c r="E245" s="626">
        <v>15</v>
      </c>
      <c r="F245" s="3" t="str" cm="1">
        <f t="array" aca="1" ref="F245" ca="1">OFFSET(E245,-1,1)</f>
        <v>2</v>
      </c>
      <c r="G245" s="17" t="str" cm="1">
        <f t="array" ref="G245">G244</f>
        <v>транспортировка</v>
      </c>
      <c r="H245" s="1184"/>
      <c r="I245" s="1184"/>
      <c r="J245" s="1184"/>
      <c r="K245" s="77">
        <f>first_year+7</f>
        <v>2031</v>
      </c>
      <c r="L245" s="1184"/>
      <c r="M245" s="1184"/>
      <c r="N245" s="1184"/>
      <c r="O245" s="1184"/>
      <c r="P245" s="1184"/>
      <c r="Q245" s="1184"/>
      <c r="R245" s="1184"/>
      <c r="S245" s="1184"/>
      <c r="T245" s="388" t="b" cm="1">
        <f t="array" aca="1" ref="T245" ca="1">T244</f>
        <v>1</v>
      </c>
      <c r="U245" s="1184"/>
      <c r="V245" s="1184"/>
      <c r="W245" s="1184"/>
      <c r="X245" s="2032"/>
      <c r="Y245" s="2032"/>
      <c r="Z245" s="2012"/>
      <c r="AA245" s="2127"/>
      <c r="AB245" s="174" t="str">
        <f t="shared" si="17"/>
        <v>2031 год</v>
      </c>
      <c r="AC245" s="329"/>
      <c r="AD245" s="233"/>
      <c r="AE245" s="220"/>
      <c r="AF245" s="220"/>
      <c r="AG245" s="233">
        <v>0.05</v>
      </c>
      <c r="AH245" s="220"/>
      <c r="AI245" s="233"/>
      <c r="AJ245" s="220"/>
      <c r="AK245" s="325"/>
      <c r="AL245" s="324"/>
      <c r="AM245" s="1184"/>
      <c r="AN245" s="973" cm="1">
        <f t="array" ref="AN245">K245</f>
        <v>2031</v>
      </c>
      <c r="AO245" s="973" t="s">
        <v>2259</v>
      </c>
      <c r="AP245" s="983" t="str" cm="1">
        <f t="array" ref="AP245">AP244</f>
        <v>транспортировка</v>
      </c>
      <c r="AQ245" s="626"/>
      <c r="AR245" s="626"/>
    </row>
    <row r="246" spans="1:44" s="1887" customFormat="1" ht="14.65" customHeight="1" x14ac:dyDescent="0.15">
      <c r="A246" s="1184"/>
      <c r="B246" s="367" t="b">
        <f t="shared" si="16"/>
        <v>1</v>
      </c>
      <c r="C246" s="1184"/>
      <c r="D246" s="1184"/>
      <c r="E246" s="626">
        <v>15</v>
      </c>
      <c r="F246" s="3" t="str" cm="1">
        <f t="array" aca="1" ref="F246" ca="1">OFFSET(E246,-1,1)</f>
        <v>2</v>
      </c>
      <c r="G246" s="17" t="str" cm="1">
        <f t="array" ref="G246">G245</f>
        <v>транспортировка</v>
      </c>
      <c r="H246" s="1184"/>
      <c r="I246" s="1184"/>
      <c r="J246" s="1184"/>
      <c r="K246" s="77">
        <f>first_year+8</f>
        <v>2032</v>
      </c>
      <c r="L246" s="1184"/>
      <c r="M246" s="1184"/>
      <c r="N246" s="1184"/>
      <c r="O246" s="1184"/>
      <c r="P246" s="1184"/>
      <c r="Q246" s="1184"/>
      <c r="R246" s="1184"/>
      <c r="S246" s="1184"/>
      <c r="T246" s="388" t="b" cm="1">
        <f t="array" aca="1" ref="T246" ca="1">T245</f>
        <v>1</v>
      </c>
      <c r="U246" s="1184"/>
      <c r="V246" s="1184"/>
      <c r="W246" s="1184"/>
      <c r="X246" s="2032"/>
      <c r="Y246" s="2032"/>
      <c r="Z246" s="2012"/>
      <c r="AA246" s="2127"/>
      <c r="AB246" s="174" t="str">
        <f t="shared" si="17"/>
        <v>2032 год</v>
      </c>
      <c r="AC246" s="329"/>
      <c r="AD246" s="233"/>
      <c r="AE246" s="220"/>
      <c r="AF246" s="220"/>
      <c r="AG246" s="233">
        <v>0.05</v>
      </c>
      <c r="AH246" s="220"/>
      <c r="AI246" s="233"/>
      <c r="AJ246" s="220"/>
      <c r="AK246" s="325"/>
      <c r="AL246" s="324"/>
      <c r="AM246" s="1184"/>
      <c r="AN246" s="973" cm="1">
        <f t="array" ref="AN246">K246</f>
        <v>2032</v>
      </c>
      <c r="AO246" s="973" t="s">
        <v>2259</v>
      </c>
      <c r="AP246" s="983" t="str" cm="1">
        <f t="array" ref="AP246">AP245</f>
        <v>транспортировка</v>
      </c>
      <c r="AQ246" s="626"/>
      <c r="AR246" s="626"/>
    </row>
    <row r="247" spans="1:44" s="1888" customFormat="1" ht="14.25" hidden="1" customHeight="1" x14ac:dyDescent="0.15">
      <c r="A247" s="1184"/>
      <c r="B247" s="367" t="b">
        <f t="shared" si="16"/>
        <v>0</v>
      </c>
      <c r="C247" s="1184"/>
      <c r="D247" s="1184"/>
      <c r="E247" s="626">
        <v>15</v>
      </c>
      <c r="F247" s="3" t="str" cm="1">
        <f t="array" aca="1" ref="F247" ca="1">OFFSET(E247,-1,1)</f>
        <v>2</v>
      </c>
      <c r="G247" s="17" t="str" cm="1">
        <f t="array" ref="G247">G246</f>
        <v>транспортировка</v>
      </c>
      <c r="H247" s="1184"/>
      <c r="I247" s="1184"/>
      <c r="J247" s="1184"/>
      <c r="K247" s="77">
        <f>first_year+9</f>
        <v>2033</v>
      </c>
      <c r="L247" s="1184"/>
      <c r="M247" s="1184"/>
      <c r="N247" s="1184"/>
      <c r="O247" s="1184"/>
      <c r="P247" s="1184"/>
      <c r="Q247" s="1184"/>
      <c r="R247" s="1184"/>
      <c r="S247" s="1184"/>
      <c r="T247" s="388" t="b" cm="1">
        <f t="array" aca="1" ref="T247" ca="1">T246</f>
        <v>1</v>
      </c>
      <c r="U247" s="1184"/>
      <c r="V247" s="1184"/>
      <c r="W247" s="1184"/>
      <c r="X247" s="2032"/>
      <c r="Y247" s="2032"/>
      <c r="Z247" s="2012"/>
      <c r="AA247" s="2127"/>
      <c r="AB247" s="174" t="str">
        <f t="shared" si="17"/>
        <v>2033 год</v>
      </c>
      <c r="AC247" s="329"/>
      <c r="AD247" s="1727"/>
      <c r="AE247" s="1726"/>
      <c r="AF247" s="1726"/>
      <c r="AG247" s="1727"/>
      <c r="AH247" s="1726"/>
      <c r="AI247" s="1727"/>
      <c r="AJ247" s="1726"/>
      <c r="AK247" s="1728"/>
      <c r="AL247" s="324"/>
      <c r="AM247" s="1184"/>
      <c r="AN247" s="973" cm="1">
        <f t="array" ref="AN247">K247</f>
        <v>2033</v>
      </c>
      <c r="AO247" s="973" t="s">
        <v>2259</v>
      </c>
      <c r="AP247" s="983" t="str" cm="1">
        <f t="array" ref="AP247">AP246</f>
        <v>транспортировка</v>
      </c>
      <c r="AQ247" s="626"/>
      <c r="AR247" s="626"/>
    </row>
    <row r="248" spans="1:44" s="1889" customFormat="1" ht="14.25" hidden="1" customHeight="1" x14ac:dyDescent="0.15">
      <c r="A248" s="1184"/>
      <c r="B248" s="367" t="b">
        <f t="shared" si="16"/>
        <v>0</v>
      </c>
      <c r="C248" s="1184"/>
      <c r="D248" s="1184"/>
      <c r="E248" s="626">
        <v>15</v>
      </c>
      <c r="F248" s="3" t="str" cm="1">
        <f t="array" aca="1" ref="F248" ca="1">OFFSET(E248,-1,1)</f>
        <v>2</v>
      </c>
      <c r="G248" s="17" t="str" cm="1">
        <f t="array" ref="G248">G247</f>
        <v>транспортировка</v>
      </c>
      <c r="H248" s="1184"/>
      <c r="I248" s="1184"/>
      <c r="J248" s="1184"/>
      <c r="K248" s="77">
        <f>first_year+10</f>
        <v>2034</v>
      </c>
      <c r="L248" s="1184"/>
      <c r="M248" s="1184"/>
      <c r="N248" s="1184"/>
      <c r="O248" s="1184"/>
      <c r="P248" s="1184"/>
      <c r="Q248" s="1184"/>
      <c r="R248" s="1184"/>
      <c r="S248" s="1184"/>
      <c r="T248" s="388" t="b" cm="1">
        <f t="array" aca="1" ref="T248" ca="1">T247</f>
        <v>1</v>
      </c>
      <c r="U248" s="1184"/>
      <c r="V248" s="1184"/>
      <c r="W248" s="1184"/>
      <c r="X248" s="2032"/>
      <c r="Y248" s="2032"/>
      <c r="Z248" s="2012"/>
      <c r="AA248" s="2127"/>
      <c r="AB248" s="174" t="str">
        <f t="shared" si="17"/>
        <v>2034 год</v>
      </c>
      <c r="AC248" s="329"/>
      <c r="AD248" s="1727"/>
      <c r="AE248" s="1726"/>
      <c r="AF248" s="1726"/>
      <c r="AG248" s="1727"/>
      <c r="AH248" s="1726"/>
      <c r="AI248" s="1727"/>
      <c r="AJ248" s="1726"/>
      <c r="AK248" s="1728"/>
      <c r="AL248" s="324"/>
      <c r="AM248" s="1184"/>
      <c r="AN248" s="973" cm="1">
        <f t="array" ref="AN248">K248</f>
        <v>2034</v>
      </c>
      <c r="AO248" s="973" t="s">
        <v>2259</v>
      </c>
      <c r="AP248" s="983" t="str" cm="1">
        <f t="array" ref="AP248">AP247</f>
        <v>транспортировка</v>
      </c>
      <c r="AQ248" s="626"/>
      <c r="AR248" s="626"/>
    </row>
    <row r="249" spans="1:44" s="1890" customFormat="1" ht="14.25" hidden="1" customHeight="1" x14ac:dyDescent="0.15">
      <c r="A249" s="1184"/>
      <c r="B249" s="367" t="b">
        <f t="shared" si="16"/>
        <v>0</v>
      </c>
      <c r="C249" s="1184"/>
      <c r="D249" s="1184"/>
      <c r="E249" s="626">
        <v>15</v>
      </c>
      <c r="F249" s="3" t="str" cm="1">
        <f t="array" aca="1" ref="F249" ca="1">OFFSET(E249,-1,1)</f>
        <v>2</v>
      </c>
      <c r="G249" s="17" t="str" cm="1">
        <f t="array" ref="G249">G248</f>
        <v>транспортировка</v>
      </c>
      <c r="H249" s="1184"/>
      <c r="I249" s="1184"/>
      <c r="J249" s="1184"/>
      <c r="K249" s="77">
        <f>first_year+11</f>
        <v>2035</v>
      </c>
      <c r="L249" s="1184"/>
      <c r="M249" s="1184"/>
      <c r="N249" s="1184"/>
      <c r="O249" s="1184"/>
      <c r="P249" s="1184"/>
      <c r="Q249" s="1184"/>
      <c r="R249" s="1184"/>
      <c r="S249" s="1184"/>
      <c r="T249" s="388" t="b" cm="1">
        <f t="array" aca="1" ref="T249" ca="1">T248</f>
        <v>1</v>
      </c>
      <c r="U249" s="1184"/>
      <c r="V249" s="1184"/>
      <c r="W249" s="1184"/>
      <c r="X249" s="2032"/>
      <c r="Y249" s="2032"/>
      <c r="Z249" s="2012"/>
      <c r="AA249" s="2127"/>
      <c r="AB249" s="174" t="str">
        <f t="shared" si="17"/>
        <v>2035 год</v>
      </c>
      <c r="AC249" s="329"/>
      <c r="AD249" s="1727"/>
      <c r="AE249" s="1726"/>
      <c r="AF249" s="1726"/>
      <c r="AG249" s="1727"/>
      <c r="AH249" s="1726"/>
      <c r="AI249" s="1727"/>
      <c r="AJ249" s="1726"/>
      <c r="AK249" s="1728"/>
      <c r="AL249" s="324"/>
      <c r="AM249" s="1184"/>
      <c r="AN249" s="973" cm="1">
        <f t="array" ref="AN249">K249</f>
        <v>2035</v>
      </c>
      <c r="AO249" s="973" t="s">
        <v>2259</v>
      </c>
      <c r="AP249" s="983" t="str" cm="1">
        <f t="array" ref="AP249">AP248</f>
        <v>транспортировка</v>
      </c>
      <c r="AQ249" s="626"/>
      <c r="AR249" s="626"/>
    </row>
    <row r="250" spans="1:44" s="1891" customFormat="1" ht="14.25" hidden="1" customHeight="1" x14ac:dyDescent="0.15">
      <c r="A250" s="1184"/>
      <c r="B250" s="367" t="b">
        <f t="shared" si="16"/>
        <v>0</v>
      </c>
      <c r="C250" s="1184"/>
      <c r="D250" s="1184"/>
      <c r="E250" s="626">
        <v>15</v>
      </c>
      <c r="F250" s="3" t="str" cm="1">
        <f t="array" aca="1" ref="F250" ca="1">OFFSET(E250,-1,1)</f>
        <v>2</v>
      </c>
      <c r="G250" s="17" t="str" cm="1">
        <f t="array" ref="G250">G249</f>
        <v>транспортировка</v>
      </c>
      <c r="H250" s="1184"/>
      <c r="I250" s="1184"/>
      <c r="J250" s="1184"/>
      <c r="K250" s="77">
        <f>first_year+12</f>
        <v>2036</v>
      </c>
      <c r="L250" s="1184"/>
      <c r="M250" s="1184"/>
      <c r="N250" s="1184"/>
      <c r="O250" s="1184"/>
      <c r="P250" s="1184"/>
      <c r="Q250" s="1184"/>
      <c r="R250" s="1184"/>
      <c r="S250" s="1184"/>
      <c r="T250" s="388" t="b" cm="1">
        <f t="array" aca="1" ref="T250" ca="1">T249</f>
        <v>1</v>
      </c>
      <c r="U250" s="1184"/>
      <c r="V250" s="1184"/>
      <c r="W250" s="1184"/>
      <c r="X250" s="2032"/>
      <c r="Y250" s="2032"/>
      <c r="Z250" s="2012"/>
      <c r="AA250" s="2127"/>
      <c r="AB250" s="174" t="str">
        <f t="shared" si="17"/>
        <v>2036 год</v>
      </c>
      <c r="AC250" s="329"/>
      <c r="AD250" s="1727"/>
      <c r="AE250" s="1726"/>
      <c r="AF250" s="1726"/>
      <c r="AG250" s="1727"/>
      <c r="AH250" s="1726"/>
      <c r="AI250" s="1727"/>
      <c r="AJ250" s="1726"/>
      <c r="AK250" s="1728"/>
      <c r="AL250" s="324"/>
      <c r="AM250" s="1184"/>
      <c r="AN250" s="973" cm="1">
        <f t="array" ref="AN250">K250</f>
        <v>2036</v>
      </c>
      <c r="AO250" s="973" t="s">
        <v>2259</v>
      </c>
      <c r="AP250" s="983" t="str" cm="1">
        <f t="array" ref="AP250">AP249</f>
        <v>транспортировка</v>
      </c>
      <c r="AQ250" s="626"/>
      <c r="AR250" s="626"/>
    </row>
    <row r="251" spans="1:44" s="1892" customFormat="1" ht="14.25" hidden="1" customHeight="1" x14ac:dyDescent="0.15">
      <c r="A251" s="1184"/>
      <c r="B251" s="367" t="b">
        <f t="shared" si="16"/>
        <v>0</v>
      </c>
      <c r="C251" s="1184"/>
      <c r="D251" s="1184"/>
      <c r="E251" s="626">
        <v>15</v>
      </c>
      <c r="F251" s="3" t="str" cm="1">
        <f t="array" aca="1" ref="F251" ca="1">OFFSET(E251,-1,1)</f>
        <v>2</v>
      </c>
      <c r="G251" s="17" t="str" cm="1">
        <f t="array" ref="G251">G250</f>
        <v>транспортировка</v>
      </c>
      <c r="H251" s="1184"/>
      <c r="I251" s="1184"/>
      <c r="J251" s="1184"/>
      <c r="K251" s="77">
        <f>first_year+13</f>
        <v>2037</v>
      </c>
      <c r="L251" s="1184"/>
      <c r="M251" s="1184"/>
      <c r="N251" s="1184"/>
      <c r="O251" s="1184"/>
      <c r="P251" s="1184"/>
      <c r="Q251" s="1184"/>
      <c r="R251" s="1184"/>
      <c r="S251" s="1184"/>
      <c r="T251" s="388" t="b" cm="1">
        <f t="array" aca="1" ref="T251" ca="1">T250</f>
        <v>1</v>
      </c>
      <c r="U251" s="1184"/>
      <c r="V251" s="1184"/>
      <c r="W251" s="1184"/>
      <c r="X251" s="2032"/>
      <c r="Y251" s="2032"/>
      <c r="Z251" s="2012"/>
      <c r="AA251" s="2127"/>
      <c r="AB251" s="174" t="str">
        <f t="shared" si="17"/>
        <v>2037 год</v>
      </c>
      <c r="AC251" s="329"/>
      <c r="AD251" s="1727"/>
      <c r="AE251" s="1726"/>
      <c r="AF251" s="1726"/>
      <c r="AG251" s="1727"/>
      <c r="AH251" s="1726"/>
      <c r="AI251" s="1727"/>
      <c r="AJ251" s="1726"/>
      <c r="AK251" s="1728"/>
      <c r="AL251" s="324"/>
      <c r="AM251" s="1184"/>
      <c r="AN251" s="973" cm="1">
        <f t="array" ref="AN251">K251</f>
        <v>2037</v>
      </c>
      <c r="AO251" s="973" t="s">
        <v>2259</v>
      </c>
      <c r="AP251" s="983" t="str" cm="1">
        <f t="array" ref="AP251">AP250</f>
        <v>транспортировка</v>
      </c>
      <c r="AQ251" s="626"/>
      <c r="AR251" s="626"/>
    </row>
    <row r="252" spans="1:44" s="1893" customFormat="1" ht="14.25" hidden="1" customHeight="1" x14ac:dyDescent="0.15">
      <c r="A252" s="1184"/>
      <c r="B252" s="367" t="b">
        <f t="shared" si="16"/>
        <v>0</v>
      </c>
      <c r="C252" s="1184"/>
      <c r="D252" s="1184"/>
      <c r="E252" s="626">
        <v>15</v>
      </c>
      <c r="F252" s="3" t="str" cm="1">
        <f t="array" aca="1" ref="F252" ca="1">OFFSET(E252,-1,1)</f>
        <v>2</v>
      </c>
      <c r="G252" s="17" t="str" cm="1">
        <f t="array" ref="G252">G251</f>
        <v>транспортировка</v>
      </c>
      <c r="H252" s="1184"/>
      <c r="I252" s="1184"/>
      <c r="J252" s="1184"/>
      <c r="K252" s="77">
        <f>first_year+14</f>
        <v>2038</v>
      </c>
      <c r="L252" s="1184"/>
      <c r="M252" s="1184"/>
      <c r="N252" s="1184"/>
      <c r="O252" s="1184"/>
      <c r="P252" s="1184"/>
      <c r="Q252" s="1184"/>
      <c r="R252" s="1184"/>
      <c r="S252" s="1184"/>
      <c r="T252" s="388" t="b" cm="1">
        <f t="array" aca="1" ref="T252" ca="1">T251</f>
        <v>1</v>
      </c>
      <c r="U252" s="1184"/>
      <c r="V252" s="1184"/>
      <c r="W252" s="1184"/>
      <c r="X252" s="2032"/>
      <c r="Y252" s="2032"/>
      <c r="Z252" s="2012"/>
      <c r="AA252" s="2127"/>
      <c r="AB252" s="174" t="str">
        <f t="shared" si="17"/>
        <v>2038 год</v>
      </c>
      <c r="AC252" s="329"/>
      <c r="AD252" s="1727"/>
      <c r="AE252" s="1726"/>
      <c r="AF252" s="1726"/>
      <c r="AG252" s="1727"/>
      <c r="AH252" s="1726"/>
      <c r="AI252" s="1727"/>
      <c r="AJ252" s="1726"/>
      <c r="AK252" s="1728"/>
      <c r="AL252" s="324"/>
      <c r="AM252" s="1184"/>
      <c r="AN252" s="973" cm="1">
        <f t="array" ref="AN252">K252</f>
        <v>2038</v>
      </c>
      <c r="AO252" s="973" t="s">
        <v>2259</v>
      </c>
      <c r="AP252" s="983" t="str" cm="1">
        <f t="array" ref="AP252">AP251</f>
        <v>транспортировка</v>
      </c>
      <c r="AQ252" s="626"/>
      <c r="AR252" s="626"/>
    </row>
    <row r="253" spans="1:44" s="1894" customFormat="1" ht="14.25" hidden="1" customHeight="1" x14ac:dyDescent="0.15">
      <c r="A253" s="1184"/>
      <c r="B253" s="367" t="b">
        <f t="shared" si="16"/>
        <v>0</v>
      </c>
      <c r="C253" s="1184"/>
      <c r="D253" s="1184"/>
      <c r="E253" s="626">
        <v>15</v>
      </c>
      <c r="F253" s="3" t="str" cm="1">
        <f t="array" aca="1" ref="F253" ca="1">OFFSET(E253,-1,1)</f>
        <v>2</v>
      </c>
      <c r="G253" s="17" t="str" cm="1">
        <f t="array" ref="G253">G252</f>
        <v>транспортировка</v>
      </c>
      <c r="H253" s="1184"/>
      <c r="I253" s="1184"/>
      <c r="J253" s="1184"/>
      <c r="K253" s="77">
        <f>first_year+15</f>
        <v>2039</v>
      </c>
      <c r="L253" s="1184"/>
      <c r="M253" s="1184"/>
      <c r="N253" s="1184"/>
      <c r="O253" s="1184"/>
      <c r="P253" s="1184"/>
      <c r="Q253" s="1184"/>
      <c r="R253" s="1184"/>
      <c r="S253" s="1184"/>
      <c r="T253" s="388" t="b" cm="1">
        <f t="array" aca="1" ref="T253" ca="1">T252</f>
        <v>1</v>
      </c>
      <c r="U253" s="1184"/>
      <c r="V253" s="1184"/>
      <c r="W253" s="1184"/>
      <c r="X253" s="2032"/>
      <c r="Y253" s="2032"/>
      <c r="Z253" s="2012"/>
      <c r="AA253" s="2127"/>
      <c r="AB253" s="174" t="str">
        <f t="shared" si="17"/>
        <v>2039 год</v>
      </c>
      <c r="AC253" s="329"/>
      <c r="AD253" s="1727"/>
      <c r="AE253" s="1726"/>
      <c r="AF253" s="1726"/>
      <c r="AG253" s="1727"/>
      <c r="AH253" s="1726"/>
      <c r="AI253" s="1727"/>
      <c r="AJ253" s="1726"/>
      <c r="AK253" s="1728"/>
      <c r="AL253" s="324"/>
      <c r="AM253" s="1184"/>
      <c r="AN253" s="973" cm="1">
        <f t="array" ref="AN253">K253</f>
        <v>2039</v>
      </c>
      <c r="AO253" s="973" t="s">
        <v>2259</v>
      </c>
      <c r="AP253" s="983" t="str" cm="1">
        <f t="array" ref="AP253">AP252</f>
        <v>транспортировка</v>
      </c>
      <c r="AQ253" s="626"/>
      <c r="AR253" s="626"/>
    </row>
    <row r="254" spans="1:44" s="1895" customFormat="1" ht="14.25" hidden="1" customHeight="1" x14ac:dyDescent="0.15">
      <c r="A254" s="1184"/>
      <c r="B254" s="367" t="b">
        <f t="shared" si="16"/>
        <v>0</v>
      </c>
      <c r="C254" s="1184"/>
      <c r="D254" s="1184"/>
      <c r="E254" s="626">
        <v>15</v>
      </c>
      <c r="F254" s="3" t="str" cm="1">
        <f t="array" aca="1" ref="F254" ca="1">OFFSET(E254,-1,1)</f>
        <v>2</v>
      </c>
      <c r="G254" s="17" t="str" cm="1">
        <f t="array" ref="G254">G253</f>
        <v>транспортировка</v>
      </c>
      <c r="H254" s="1184"/>
      <c r="I254" s="1184"/>
      <c r="J254" s="1184"/>
      <c r="K254" s="77">
        <f>first_year+16</f>
        <v>2040</v>
      </c>
      <c r="L254" s="1184"/>
      <c r="M254" s="1184"/>
      <c r="N254" s="1184"/>
      <c r="O254" s="1184"/>
      <c r="P254" s="1184"/>
      <c r="Q254" s="1184"/>
      <c r="R254" s="1184"/>
      <c r="S254" s="1184"/>
      <c r="T254" s="388" t="b" cm="1">
        <f t="array" aca="1" ref="T254" ca="1">T253</f>
        <v>1</v>
      </c>
      <c r="U254" s="1184"/>
      <c r="V254" s="1184"/>
      <c r="W254" s="1184"/>
      <c r="X254" s="2032"/>
      <c r="Y254" s="2032"/>
      <c r="Z254" s="2012"/>
      <c r="AA254" s="2127"/>
      <c r="AB254" s="174" t="str">
        <f t="shared" si="17"/>
        <v>2040 год</v>
      </c>
      <c r="AC254" s="329"/>
      <c r="AD254" s="1727"/>
      <c r="AE254" s="1726"/>
      <c r="AF254" s="1726"/>
      <c r="AG254" s="1727"/>
      <c r="AH254" s="1726"/>
      <c r="AI254" s="1727"/>
      <c r="AJ254" s="1726"/>
      <c r="AK254" s="1728"/>
      <c r="AL254" s="324"/>
      <c r="AM254" s="1184"/>
      <c r="AN254" s="973" cm="1">
        <f t="array" ref="AN254">K254</f>
        <v>2040</v>
      </c>
      <c r="AO254" s="973" t="s">
        <v>2259</v>
      </c>
      <c r="AP254" s="983" t="str" cm="1">
        <f t="array" ref="AP254">AP253</f>
        <v>транспортировка</v>
      </c>
      <c r="AQ254" s="626"/>
      <c r="AR254" s="626"/>
    </row>
    <row r="255" spans="1:44" s="1896" customFormat="1" ht="14.25" hidden="1" customHeight="1" x14ac:dyDescent="0.15">
      <c r="A255" s="1184"/>
      <c r="B255" s="367" t="b">
        <f t="shared" si="16"/>
        <v>0</v>
      </c>
      <c r="C255" s="1184"/>
      <c r="D255" s="1184"/>
      <c r="E255" s="626">
        <v>15</v>
      </c>
      <c r="F255" s="3" t="str" cm="1">
        <f t="array" aca="1" ref="F255" ca="1">OFFSET(E255,-1,1)</f>
        <v>2</v>
      </c>
      <c r="G255" s="17" t="str" cm="1">
        <f t="array" ref="G255">G254</f>
        <v>транспортировка</v>
      </c>
      <c r="H255" s="1184"/>
      <c r="I255" s="1184"/>
      <c r="J255" s="1184"/>
      <c r="K255" s="77">
        <f>first_year+17</f>
        <v>2041</v>
      </c>
      <c r="L255" s="1184"/>
      <c r="M255" s="1184"/>
      <c r="N255" s="1184"/>
      <c r="O255" s="1184"/>
      <c r="P255" s="1184"/>
      <c r="Q255" s="1184"/>
      <c r="R255" s="1184"/>
      <c r="S255" s="1184"/>
      <c r="T255" s="388" t="b" cm="1">
        <f t="array" aca="1" ref="T255" ca="1">T254</f>
        <v>1</v>
      </c>
      <c r="U255" s="1184"/>
      <c r="V255" s="1184"/>
      <c r="W255" s="1184"/>
      <c r="X255" s="2032"/>
      <c r="Y255" s="2032"/>
      <c r="Z255" s="2012"/>
      <c r="AA255" s="2127"/>
      <c r="AB255" s="174" t="str">
        <f t="shared" si="17"/>
        <v>2041 год</v>
      </c>
      <c r="AC255" s="329"/>
      <c r="AD255" s="1727"/>
      <c r="AE255" s="1726"/>
      <c r="AF255" s="1726"/>
      <c r="AG255" s="1727"/>
      <c r="AH255" s="1726"/>
      <c r="AI255" s="1727"/>
      <c r="AJ255" s="1726"/>
      <c r="AK255" s="1728"/>
      <c r="AL255" s="324"/>
      <c r="AM255" s="1184"/>
      <c r="AN255" s="973" cm="1">
        <f t="array" ref="AN255">K255</f>
        <v>2041</v>
      </c>
      <c r="AO255" s="973" t="s">
        <v>2259</v>
      </c>
      <c r="AP255" s="983" t="str" cm="1">
        <f t="array" ref="AP255">AP254</f>
        <v>транспортировка</v>
      </c>
      <c r="AQ255" s="626"/>
      <c r="AR255" s="626"/>
    </row>
    <row r="256" spans="1:44" s="1897" customFormat="1" ht="14.25" hidden="1" customHeight="1" x14ac:dyDescent="0.15">
      <c r="A256" s="1184"/>
      <c r="B256" s="367" t="b">
        <f t="shared" si="16"/>
        <v>0</v>
      </c>
      <c r="C256" s="1184"/>
      <c r="D256" s="1184"/>
      <c r="E256" s="626">
        <v>15</v>
      </c>
      <c r="F256" s="3" t="str" cm="1">
        <f t="array" aca="1" ref="F256" ca="1">OFFSET(E256,-1,1)</f>
        <v>2</v>
      </c>
      <c r="G256" s="17" t="str" cm="1">
        <f t="array" ref="G256">G255</f>
        <v>транспортировка</v>
      </c>
      <c r="H256" s="1184"/>
      <c r="I256" s="1184"/>
      <c r="J256" s="1184"/>
      <c r="K256" s="77">
        <f>first_year+18</f>
        <v>2042</v>
      </c>
      <c r="L256" s="1184"/>
      <c r="M256" s="1184"/>
      <c r="N256" s="1184"/>
      <c r="O256" s="1184"/>
      <c r="P256" s="1184"/>
      <c r="Q256" s="1184"/>
      <c r="R256" s="1184"/>
      <c r="S256" s="1184"/>
      <c r="T256" s="388" t="b" cm="1">
        <f t="array" aca="1" ref="T256" ca="1">T255</f>
        <v>1</v>
      </c>
      <c r="U256" s="1184"/>
      <c r="V256" s="1184"/>
      <c r="W256" s="1184"/>
      <c r="X256" s="2032"/>
      <c r="Y256" s="2032"/>
      <c r="Z256" s="2012"/>
      <c r="AA256" s="2127"/>
      <c r="AB256" s="174" t="str">
        <f t="shared" si="17"/>
        <v>2042 год</v>
      </c>
      <c r="AC256" s="329"/>
      <c r="AD256" s="1727"/>
      <c r="AE256" s="1726"/>
      <c r="AF256" s="1726"/>
      <c r="AG256" s="1727"/>
      <c r="AH256" s="1726"/>
      <c r="AI256" s="1727"/>
      <c r="AJ256" s="1726"/>
      <c r="AK256" s="1728"/>
      <c r="AL256" s="324"/>
      <c r="AM256" s="1184"/>
      <c r="AN256" s="973" cm="1">
        <f t="array" ref="AN256">K256</f>
        <v>2042</v>
      </c>
      <c r="AO256" s="973" t="s">
        <v>2259</v>
      </c>
      <c r="AP256" s="983" t="str" cm="1">
        <f t="array" ref="AP256">AP255</f>
        <v>транспортировка</v>
      </c>
      <c r="AQ256" s="626"/>
      <c r="AR256" s="626"/>
    </row>
    <row r="257" spans="1:44" s="1898" customFormat="1" ht="14.25" hidden="1" customHeight="1" x14ac:dyDescent="0.15">
      <c r="A257" s="1184"/>
      <c r="B257" s="367" t="b">
        <f t="shared" si="16"/>
        <v>0</v>
      </c>
      <c r="C257" s="1184"/>
      <c r="D257" s="1184"/>
      <c r="E257" s="626">
        <v>15</v>
      </c>
      <c r="F257" s="3" t="str" cm="1">
        <f t="array" aca="1" ref="F257" ca="1">OFFSET(E257,-1,1)</f>
        <v>2</v>
      </c>
      <c r="G257" s="17" t="str" cm="1">
        <f t="array" ref="G257">G256</f>
        <v>транспортировка</v>
      </c>
      <c r="H257" s="1184"/>
      <c r="I257" s="1184"/>
      <c r="J257" s="1184"/>
      <c r="K257" s="77">
        <f>first_year+19</f>
        <v>2043</v>
      </c>
      <c r="L257" s="1184"/>
      <c r="M257" s="1184"/>
      <c r="N257" s="1184"/>
      <c r="O257" s="1184"/>
      <c r="P257" s="1184"/>
      <c r="Q257" s="1184"/>
      <c r="R257" s="1184"/>
      <c r="S257" s="1184"/>
      <c r="T257" s="388" t="b" cm="1">
        <f t="array" aca="1" ref="T257" ca="1">T256</f>
        <v>1</v>
      </c>
      <c r="U257" s="1184"/>
      <c r="V257" s="1184"/>
      <c r="W257" s="1184"/>
      <c r="X257" s="2032"/>
      <c r="Y257" s="2032"/>
      <c r="Z257" s="2012"/>
      <c r="AA257" s="2127"/>
      <c r="AB257" s="174" t="str">
        <f t="shared" si="17"/>
        <v>2043 год</v>
      </c>
      <c r="AC257" s="329"/>
      <c r="AD257" s="1727"/>
      <c r="AE257" s="1726"/>
      <c r="AF257" s="1726"/>
      <c r="AG257" s="1727"/>
      <c r="AH257" s="1726"/>
      <c r="AI257" s="1727"/>
      <c r="AJ257" s="1726"/>
      <c r="AK257" s="1728"/>
      <c r="AL257" s="324"/>
      <c r="AM257" s="1184"/>
      <c r="AN257" s="973" cm="1">
        <f t="array" ref="AN257">K257</f>
        <v>2043</v>
      </c>
      <c r="AO257" s="973" t="s">
        <v>2259</v>
      </c>
      <c r="AP257" s="983" t="str" cm="1">
        <f t="array" ref="AP257">AP256</f>
        <v>транспортировка</v>
      </c>
      <c r="AQ257" s="626"/>
      <c r="AR257" s="626"/>
    </row>
    <row r="258" spans="1:44" s="1899" customFormat="1" ht="14.25" hidden="1" customHeight="1" x14ac:dyDescent="0.15">
      <c r="A258" s="1184"/>
      <c r="B258" s="367" t="b">
        <f t="shared" si="16"/>
        <v>0</v>
      </c>
      <c r="C258" s="1184"/>
      <c r="D258" s="1184"/>
      <c r="E258" s="626">
        <v>15</v>
      </c>
      <c r="F258" s="3" t="str" cm="1">
        <f t="array" aca="1" ref="F258" ca="1">OFFSET(E258,-1,1)</f>
        <v>2</v>
      </c>
      <c r="G258" s="17" t="str" cm="1">
        <f t="array" ref="G258">G257</f>
        <v>транспортировка</v>
      </c>
      <c r="H258" s="1184"/>
      <c r="I258" s="1184"/>
      <c r="J258" s="1184"/>
      <c r="K258" s="77">
        <f>first_year+20</f>
        <v>2044</v>
      </c>
      <c r="L258" s="1184"/>
      <c r="M258" s="1184"/>
      <c r="N258" s="1184"/>
      <c r="O258" s="1184"/>
      <c r="P258" s="1184"/>
      <c r="Q258" s="1184"/>
      <c r="R258" s="1184"/>
      <c r="S258" s="1184"/>
      <c r="T258" s="388" t="b" cm="1">
        <f t="array" aca="1" ref="T258" ca="1">T257</f>
        <v>1</v>
      </c>
      <c r="U258" s="1184"/>
      <c r="V258" s="1184"/>
      <c r="W258" s="1184"/>
      <c r="X258" s="2032"/>
      <c r="Y258" s="2032"/>
      <c r="Z258" s="2012"/>
      <c r="AA258" s="2127"/>
      <c r="AB258" s="174" t="str">
        <f t="shared" si="17"/>
        <v>2044 год</v>
      </c>
      <c r="AC258" s="329"/>
      <c r="AD258" s="1727"/>
      <c r="AE258" s="1726"/>
      <c r="AF258" s="1726"/>
      <c r="AG258" s="1727"/>
      <c r="AH258" s="1726"/>
      <c r="AI258" s="1727"/>
      <c r="AJ258" s="1726"/>
      <c r="AK258" s="1728"/>
      <c r="AL258" s="324"/>
      <c r="AM258" s="1184"/>
      <c r="AN258" s="973" cm="1">
        <f t="array" ref="AN258">K258</f>
        <v>2044</v>
      </c>
      <c r="AO258" s="973" t="s">
        <v>2259</v>
      </c>
      <c r="AP258" s="983" t="str" cm="1">
        <f t="array" ref="AP258">AP257</f>
        <v>транспортировка</v>
      </c>
      <c r="AQ258" s="626"/>
      <c r="AR258" s="626"/>
    </row>
    <row r="259" spans="1:44" s="1900" customFormat="1" ht="14.25" hidden="1" customHeight="1" x14ac:dyDescent="0.15">
      <c r="A259" s="1184"/>
      <c r="B259" s="367" t="b">
        <f t="shared" si="16"/>
        <v>0</v>
      </c>
      <c r="C259" s="1184"/>
      <c r="D259" s="1184"/>
      <c r="E259" s="626">
        <v>15</v>
      </c>
      <c r="F259" s="3" t="str" cm="1">
        <f t="array" aca="1" ref="F259" ca="1">OFFSET(E259,-1,1)</f>
        <v>2</v>
      </c>
      <c r="G259" s="17" t="str" cm="1">
        <f t="array" ref="G259">G258</f>
        <v>транспортировка</v>
      </c>
      <c r="H259" s="1184"/>
      <c r="I259" s="1184"/>
      <c r="J259" s="1184"/>
      <c r="K259" s="77">
        <f>first_year+21</f>
        <v>2045</v>
      </c>
      <c r="L259" s="1184"/>
      <c r="M259" s="1184"/>
      <c r="N259" s="1184"/>
      <c r="O259" s="1184"/>
      <c r="P259" s="1184"/>
      <c r="Q259" s="1184"/>
      <c r="R259" s="1184"/>
      <c r="S259" s="1184"/>
      <c r="T259" s="388" t="b" cm="1">
        <f t="array" aca="1" ref="T259" ca="1">T258</f>
        <v>1</v>
      </c>
      <c r="U259" s="1184"/>
      <c r="V259" s="1184"/>
      <c r="W259" s="1184"/>
      <c r="X259" s="2032"/>
      <c r="Y259" s="2032"/>
      <c r="Z259" s="2012"/>
      <c r="AA259" s="2127"/>
      <c r="AB259" s="174" t="str">
        <f t="shared" si="17"/>
        <v>2045 год</v>
      </c>
      <c r="AC259" s="329"/>
      <c r="AD259" s="1727"/>
      <c r="AE259" s="1726"/>
      <c r="AF259" s="1726"/>
      <c r="AG259" s="1727"/>
      <c r="AH259" s="1726"/>
      <c r="AI259" s="1727"/>
      <c r="AJ259" s="1726"/>
      <c r="AK259" s="1728"/>
      <c r="AL259" s="324"/>
      <c r="AM259" s="1184"/>
      <c r="AN259" s="973" cm="1">
        <f t="array" ref="AN259">K259</f>
        <v>2045</v>
      </c>
      <c r="AO259" s="973" t="s">
        <v>2259</v>
      </c>
      <c r="AP259" s="983" t="str" cm="1">
        <f t="array" ref="AP259">AP258</f>
        <v>транспортировка</v>
      </c>
      <c r="AQ259" s="626"/>
      <c r="AR259" s="626"/>
    </row>
    <row r="260" spans="1:44" s="1901" customFormat="1" ht="14.25" hidden="1" customHeight="1" x14ac:dyDescent="0.15">
      <c r="A260" s="1184"/>
      <c r="B260" s="367" t="b">
        <f t="shared" si="16"/>
        <v>0</v>
      </c>
      <c r="C260" s="1184"/>
      <c r="D260" s="1184"/>
      <c r="E260" s="626">
        <v>15</v>
      </c>
      <c r="F260" s="3" t="str" cm="1">
        <f t="array" aca="1" ref="F260" ca="1">OFFSET(E260,-1,1)</f>
        <v>2</v>
      </c>
      <c r="G260" s="17" t="str" cm="1">
        <f t="array" ref="G260">G259</f>
        <v>транспортировка</v>
      </c>
      <c r="H260" s="1184"/>
      <c r="I260" s="1184"/>
      <c r="J260" s="1184"/>
      <c r="K260" s="77">
        <f>first_year+22</f>
        <v>2046</v>
      </c>
      <c r="L260" s="1184"/>
      <c r="M260" s="1184"/>
      <c r="N260" s="1184"/>
      <c r="O260" s="1184"/>
      <c r="P260" s="1184"/>
      <c r="Q260" s="1184"/>
      <c r="R260" s="1184"/>
      <c r="S260" s="1184"/>
      <c r="T260" s="388" t="b" cm="1">
        <f t="array" aca="1" ref="T260" ca="1">T259</f>
        <v>1</v>
      </c>
      <c r="U260" s="1184"/>
      <c r="V260" s="1184"/>
      <c r="W260" s="1184"/>
      <c r="X260" s="2032"/>
      <c r="Y260" s="2032"/>
      <c r="Z260" s="2012"/>
      <c r="AA260" s="2127"/>
      <c r="AB260" s="174" t="str">
        <f t="shared" si="17"/>
        <v>2046 год</v>
      </c>
      <c r="AC260" s="329"/>
      <c r="AD260" s="1727"/>
      <c r="AE260" s="1726"/>
      <c r="AF260" s="1726"/>
      <c r="AG260" s="1727"/>
      <c r="AH260" s="1726"/>
      <c r="AI260" s="1727"/>
      <c r="AJ260" s="1726"/>
      <c r="AK260" s="1728"/>
      <c r="AL260" s="324"/>
      <c r="AM260" s="1184"/>
      <c r="AN260" s="973" cm="1">
        <f t="array" ref="AN260">K260</f>
        <v>2046</v>
      </c>
      <c r="AO260" s="973" t="s">
        <v>2259</v>
      </c>
      <c r="AP260" s="983" t="str" cm="1">
        <f t="array" ref="AP260">AP259</f>
        <v>транспортировка</v>
      </c>
      <c r="AQ260" s="626"/>
      <c r="AR260" s="626"/>
    </row>
    <row r="261" spans="1:44" s="1902" customFormat="1" ht="14.25" hidden="1" customHeight="1" x14ac:dyDescent="0.15">
      <c r="A261" s="1184"/>
      <c r="B261" s="367" t="b">
        <f t="shared" si="16"/>
        <v>0</v>
      </c>
      <c r="C261" s="1184"/>
      <c r="D261" s="1184"/>
      <c r="E261" s="626">
        <v>15</v>
      </c>
      <c r="F261" s="3" t="str" cm="1">
        <f t="array" aca="1" ref="F261" ca="1">OFFSET(E261,-1,1)</f>
        <v>2</v>
      </c>
      <c r="G261" s="17" t="str" cm="1">
        <f t="array" ref="G261">G260</f>
        <v>транспортировка</v>
      </c>
      <c r="H261" s="1184"/>
      <c r="I261" s="1184"/>
      <c r="J261" s="1184"/>
      <c r="K261" s="77">
        <f>first_year+23</f>
        <v>2047</v>
      </c>
      <c r="L261" s="1184"/>
      <c r="M261" s="1184"/>
      <c r="N261" s="1184"/>
      <c r="O261" s="1184"/>
      <c r="P261" s="1184"/>
      <c r="Q261" s="1184"/>
      <c r="R261" s="1184"/>
      <c r="S261" s="1184"/>
      <c r="T261" s="388" t="b" cm="1">
        <f t="array" aca="1" ref="T261" ca="1">T260</f>
        <v>1</v>
      </c>
      <c r="U261" s="1184"/>
      <c r="V261" s="1184"/>
      <c r="W261" s="1184"/>
      <c r="X261" s="2032"/>
      <c r="Y261" s="2032"/>
      <c r="Z261" s="2012"/>
      <c r="AA261" s="2127"/>
      <c r="AB261" s="174" t="str">
        <f t="shared" si="17"/>
        <v>2047 год</v>
      </c>
      <c r="AC261" s="329"/>
      <c r="AD261" s="1727"/>
      <c r="AE261" s="1726"/>
      <c r="AF261" s="1726"/>
      <c r="AG261" s="1727"/>
      <c r="AH261" s="1726"/>
      <c r="AI261" s="1727"/>
      <c r="AJ261" s="1726"/>
      <c r="AK261" s="1728"/>
      <c r="AL261" s="324"/>
      <c r="AM261" s="1184"/>
      <c r="AN261" s="973" cm="1">
        <f t="array" ref="AN261">K261</f>
        <v>2047</v>
      </c>
      <c r="AO261" s="973" t="s">
        <v>2259</v>
      </c>
      <c r="AP261" s="983" t="str" cm="1">
        <f t="array" ref="AP261">AP260</f>
        <v>транспортировка</v>
      </c>
      <c r="AQ261" s="626"/>
      <c r="AR261" s="626"/>
    </row>
    <row r="262" spans="1:44" s="1903" customFormat="1" ht="14.25" hidden="1" customHeight="1" x14ac:dyDescent="0.15">
      <c r="A262" s="1184"/>
      <c r="B262" s="367" t="b">
        <f t="shared" si="16"/>
        <v>0</v>
      </c>
      <c r="C262" s="1184"/>
      <c r="D262" s="1184"/>
      <c r="E262" s="626">
        <v>15</v>
      </c>
      <c r="F262" s="3" t="str" cm="1">
        <f t="array" aca="1" ref="F262" ca="1">OFFSET(E262,-1,1)</f>
        <v>2</v>
      </c>
      <c r="G262" s="17" t="str" cm="1">
        <f t="array" ref="G262">G261</f>
        <v>транспортировка</v>
      </c>
      <c r="H262" s="1184"/>
      <c r="I262" s="1184"/>
      <c r="J262" s="1184"/>
      <c r="K262" s="77">
        <f>first_year+24</f>
        <v>2048</v>
      </c>
      <c r="L262" s="1184"/>
      <c r="M262" s="1184"/>
      <c r="N262" s="1184"/>
      <c r="O262" s="1184"/>
      <c r="P262" s="1184"/>
      <c r="Q262" s="1184"/>
      <c r="R262" s="1184"/>
      <c r="S262" s="1184"/>
      <c r="T262" s="388" t="b" cm="1">
        <f t="array" aca="1" ref="T262" ca="1">T261</f>
        <v>1</v>
      </c>
      <c r="U262" s="1184"/>
      <c r="V262" s="1184"/>
      <c r="W262" s="1184"/>
      <c r="X262" s="2032"/>
      <c r="Y262" s="2032"/>
      <c r="Z262" s="2012"/>
      <c r="AA262" s="2127"/>
      <c r="AB262" s="174" t="str">
        <f t="shared" si="17"/>
        <v>2048 год</v>
      </c>
      <c r="AC262" s="329"/>
      <c r="AD262" s="1727"/>
      <c r="AE262" s="1726"/>
      <c r="AF262" s="1726"/>
      <c r="AG262" s="1727"/>
      <c r="AH262" s="1726"/>
      <c r="AI262" s="1727"/>
      <c r="AJ262" s="1726"/>
      <c r="AK262" s="1728"/>
      <c r="AL262" s="324"/>
      <c r="AM262" s="1184"/>
      <c r="AN262" s="973" cm="1">
        <f t="array" ref="AN262">K262</f>
        <v>2048</v>
      </c>
      <c r="AO262" s="973" t="s">
        <v>2259</v>
      </c>
      <c r="AP262" s="983" t="str" cm="1">
        <f t="array" ref="AP262">AP261</f>
        <v>транспортировка</v>
      </c>
      <c r="AQ262" s="626"/>
      <c r="AR262" s="626"/>
    </row>
    <row r="263" spans="1:44" s="1904" customFormat="1" ht="14.25" hidden="1" customHeight="1" x14ac:dyDescent="0.15">
      <c r="A263" s="1184"/>
      <c r="B263" s="367" t="b">
        <f t="shared" si="16"/>
        <v>0</v>
      </c>
      <c r="C263" s="1184"/>
      <c r="D263" s="1184"/>
      <c r="E263" s="626">
        <v>15</v>
      </c>
      <c r="F263" s="3" t="str" cm="1">
        <f t="array" aca="1" ref="F263" ca="1">OFFSET(E263,-1,1)</f>
        <v>2</v>
      </c>
      <c r="G263" s="17" t="str" cm="1">
        <f t="array" ref="G263">G262</f>
        <v>транспортировка</v>
      </c>
      <c r="H263" s="1184"/>
      <c r="I263" s="1184"/>
      <c r="J263" s="1184"/>
      <c r="K263" s="77">
        <f>first_year+25</f>
        <v>2049</v>
      </c>
      <c r="L263" s="1184"/>
      <c r="M263" s="1184"/>
      <c r="N263" s="1184"/>
      <c r="O263" s="1184"/>
      <c r="P263" s="1184"/>
      <c r="Q263" s="1184"/>
      <c r="R263" s="1184"/>
      <c r="S263" s="1184"/>
      <c r="T263" s="388" t="b" cm="1">
        <f t="array" aca="1" ref="T263" ca="1">T262</f>
        <v>1</v>
      </c>
      <c r="U263" s="1184"/>
      <c r="V263" s="1184"/>
      <c r="W263" s="1184"/>
      <c r="X263" s="2032"/>
      <c r="Y263" s="2032"/>
      <c r="Z263" s="2012"/>
      <c r="AA263" s="2127"/>
      <c r="AB263" s="174" t="str">
        <f t="shared" si="17"/>
        <v>2049 год</v>
      </c>
      <c r="AC263" s="329"/>
      <c r="AD263" s="1727"/>
      <c r="AE263" s="1726"/>
      <c r="AF263" s="1726"/>
      <c r="AG263" s="1727"/>
      <c r="AH263" s="1726"/>
      <c r="AI263" s="1727"/>
      <c r="AJ263" s="1726"/>
      <c r="AK263" s="1728"/>
      <c r="AL263" s="324"/>
      <c r="AM263" s="1184"/>
      <c r="AN263" s="973" cm="1">
        <f t="array" ref="AN263">K263</f>
        <v>2049</v>
      </c>
      <c r="AO263" s="973" t="s">
        <v>2259</v>
      </c>
      <c r="AP263" s="983" t="str" cm="1">
        <f t="array" ref="AP263">AP262</f>
        <v>транспортировка</v>
      </c>
      <c r="AQ263" s="626"/>
      <c r="AR263" s="626"/>
    </row>
    <row r="264" spans="1:44" s="1905" customFormat="1" ht="14.25" hidden="1" customHeight="1" x14ac:dyDescent="0.15">
      <c r="A264" s="1184"/>
      <c r="B264" s="367" t="b">
        <f t="shared" si="16"/>
        <v>0</v>
      </c>
      <c r="C264" s="1184"/>
      <c r="D264" s="1184"/>
      <c r="E264" s="626">
        <v>15</v>
      </c>
      <c r="F264" s="3" t="str" cm="1">
        <f t="array" aca="1" ref="F264" ca="1">OFFSET(E264,-1,1)</f>
        <v>2</v>
      </c>
      <c r="G264" s="17" t="str" cm="1">
        <f t="array" ref="G264">G263</f>
        <v>транспортировка</v>
      </c>
      <c r="H264" s="1184"/>
      <c r="I264" s="1184"/>
      <c r="J264" s="1184"/>
      <c r="K264" s="77">
        <f>first_year+26</f>
        <v>2050</v>
      </c>
      <c r="L264" s="1184"/>
      <c r="M264" s="1184"/>
      <c r="N264" s="1184"/>
      <c r="O264" s="1184"/>
      <c r="P264" s="1184"/>
      <c r="Q264" s="1184"/>
      <c r="R264" s="1184"/>
      <c r="S264" s="1184"/>
      <c r="T264" s="388" t="b" cm="1">
        <f t="array" aca="1" ref="T264" ca="1">T263</f>
        <v>1</v>
      </c>
      <c r="U264" s="1184"/>
      <c r="V264" s="1184"/>
      <c r="W264" s="1184"/>
      <c r="X264" s="2032"/>
      <c r="Y264" s="2032"/>
      <c r="Z264" s="2012"/>
      <c r="AA264" s="2127"/>
      <c r="AB264" s="174" t="str">
        <f t="shared" si="17"/>
        <v>2050 год</v>
      </c>
      <c r="AC264" s="329"/>
      <c r="AD264" s="1727"/>
      <c r="AE264" s="1726"/>
      <c r="AF264" s="1726"/>
      <c r="AG264" s="1727"/>
      <c r="AH264" s="1726"/>
      <c r="AI264" s="1727"/>
      <c r="AJ264" s="1726"/>
      <c r="AK264" s="1728"/>
      <c r="AL264" s="324"/>
      <c r="AM264" s="1184"/>
      <c r="AN264" s="973" cm="1">
        <f t="array" ref="AN264">K264</f>
        <v>2050</v>
      </c>
      <c r="AO264" s="973" t="s">
        <v>2259</v>
      </c>
      <c r="AP264" s="983" t="str" cm="1">
        <f t="array" ref="AP264">AP263</f>
        <v>транспортировка</v>
      </c>
      <c r="AQ264" s="626"/>
      <c r="AR264" s="626"/>
    </row>
    <row r="265" spans="1:44" s="1906" customFormat="1" ht="14.25" hidden="1" customHeight="1" x14ac:dyDescent="0.15">
      <c r="A265" s="1184"/>
      <c r="B265" s="367" t="b">
        <f t="shared" si="16"/>
        <v>0</v>
      </c>
      <c r="C265" s="1184"/>
      <c r="D265" s="1184"/>
      <c r="E265" s="626">
        <v>15</v>
      </c>
      <c r="F265" s="3" t="str" cm="1">
        <f t="array" aca="1" ref="F265" ca="1">OFFSET(E265,-1,1)</f>
        <v>2</v>
      </c>
      <c r="G265" s="17" t="str" cm="1">
        <f t="array" ref="G265">G264</f>
        <v>транспортировка</v>
      </c>
      <c r="H265" s="1184"/>
      <c r="I265" s="1184"/>
      <c r="J265" s="1184"/>
      <c r="K265" s="77">
        <f>first_year+27</f>
        <v>2051</v>
      </c>
      <c r="L265" s="1184"/>
      <c r="M265" s="1184"/>
      <c r="N265" s="1184"/>
      <c r="O265" s="1184"/>
      <c r="P265" s="1184"/>
      <c r="Q265" s="1184"/>
      <c r="R265" s="1184"/>
      <c r="S265" s="1184"/>
      <c r="T265" s="388" t="b" cm="1">
        <f t="array" aca="1" ref="T265" ca="1">T264</f>
        <v>1</v>
      </c>
      <c r="U265" s="1184"/>
      <c r="V265" s="1184"/>
      <c r="W265" s="1184"/>
      <c r="X265" s="2032"/>
      <c r="Y265" s="2032"/>
      <c r="Z265" s="2012"/>
      <c r="AA265" s="2127"/>
      <c r="AB265" s="174" t="str">
        <f t="shared" si="17"/>
        <v>2051 год</v>
      </c>
      <c r="AC265" s="329"/>
      <c r="AD265" s="1727"/>
      <c r="AE265" s="1726"/>
      <c r="AF265" s="1726"/>
      <c r="AG265" s="1727"/>
      <c r="AH265" s="1726"/>
      <c r="AI265" s="1727"/>
      <c r="AJ265" s="1726"/>
      <c r="AK265" s="1728"/>
      <c r="AL265" s="324"/>
      <c r="AM265" s="1184"/>
      <c r="AN265" s="973" cm="1">
        <f t="array" ref="AN265">K265</f>
        <v>2051</v>
      </c>
      <c r="AO265" s="973" t="s">
        <v>2259</v>
      </c>
      <c r="AP265" s="983" t="str" cm="1">
        <f t="array" ref="AP265">AP264</f>
        <v>транспортировка</v>
      </c>
      <c r="AQ265" s="626"/>
      <c r="AR265" s="626"/>
    </row>
    <row r="266" spans="1:44" s="1907" customFormat="1" ht="14.25" hidden="1" customHeight="1" x14ac:dyDescent="0.15">
      <c r="A266" s="1184"/>
      <c r="B266" s="367" t="b">
        <f t="shared" si="16"/>
        <v>0</v>
      </c>
      <c r="C266" s="1184"/>
      <c r="D266" s="1184"/>
      <c r="E266" s="626">
        <v>15</v>
      </c>
      <c r="F266" s="3" t="str" cm="1">
        <f t="array" aca="1" ref="F266" ca="1">OFFSET(E266,-1,1)</f>
        <v>2</v>
      </c>
      <c r="G266" s="17" t="str" cm="1">
        <f t="array" ref="G266">G265</f>
        <v>транспортировка</v>
      </c>
      <c r="H266" s="1184"/>
      <c r="I266" s="1184"/>
      <c r="J266" s="1184"/>
      <c r="K266" s="77">
        <f>first_year+28</f>
        <v>2052</v>
      </c>
      <c r="L266" s="1184"/>
      <c r="M266" s="1184"/>
      <c r="N266" s="1184"/>
      <c r="O266" s="1184"/>
      <c r="P266" s="1184"/>
      <c r="Q266" s="1184"/>
      <c r="R266" s="1184"/>
      <c r="S266" s="1184"/>
      <c r="T266" s="388" t="b" cm="1">
        <f t="array" aca="1" ref="T266" ca="1">T265</f>
        <v>1</v>
      </c>
      <c r="U266" s="1184"/>
      <c r="V266" s="1184"/>
      <c r="W266" s="1184"/>
      <c r="X266" s="2032"/>
      <c r="Y266" s="2032"/>
      <c r="Z266" s="2012"/>
      <c r="AA266" s="2127"/>
      <c r="AB266" s="174" t="str">
        <f t="shared" si="17"/>
        <v>2052 год</v>
      </c>
      <c r="AC266" s="329"/>
      <c r="AD266" s="1727"/>
      <c r="AE266" s="1726"/>
      <c r="AF266" s="1726"/>
      <c r="AG266" s="1727"/>
      <c r="AH266" s="1726"/>
      <c r="AI266" s="1727"/>
      <c r="AJ266" s="1726"/>
      <c r="AK266" s="1728"/>
      <c r="AL266" s="324"/>
      <c r="AM266" s="1184"/>
      <c r="AN266" s="973" cm="1">
        <f t="array" ref="AN266">K266</f>
        <v>2052</v>
      </c>
      <c r="AO266" s="973" t="s">
        <v>2259</v>
      </c>
      <c r="AP266" s="983" t="str" cm="1">
        <f t="array" ref="AP266">AP265</f>
        <v>транспортировка</v>
      </c>
      <c r="AQ266" s="626"/>
      <c r="AR266" s="626"/>
    </row>
    <row r="267" spans="1:44" s="1908" customFormat="1" ht="14.25" hidden="1" customHeight="1" x14ac:dyDescent="0.15">
      <c r="A267" s="1184"/>
      <c r="B267" s="367" t="b">
        <f t="shared" si="16"/>
        <v>0</v>
      </c>
      <c r="C267" s="1184"/>
      <c r="D267" s="1184"/>
      <c r="E267" s="626">
        <v>15</v>
      </c>
      <c r="F267" s="3" t="str" cm="1">
        <f t="array" aca="1" ref="F267" ca="1">OFFSET(E267,-1,1)</f>
        <v>2</v>
      </c>
      <c r="G267" s="17" t="str" cm="1">
        <f t="array" ref="G267">G266</f>
        <v>транспортировка</v>
      </c>
      <c r="H267" s="1184"/>
      <c r="I267" s="1184"/>
      <c r="J267" s="1184"/>
      <c r="K267" s="77">
        <f>first_year+29</f>
        <v>2053</v>
      </c>
      <c r="L267" s="1184"/>
      <c r="M267" s="1184"/>
      <c r="N267" s="1184"/>
      <c r="O267" s="1184"/>
      <c r="P267" s="1184"/>
      <c r="Q267" s="1184"/>
      <c r="R267" s="1184"/>
      <c r="S267" s="1184"/>
      <c r="T267" s="388" t="b" cm="1">
        <f t="array" aca="1" ref="T267" ca="1">T266</f>
        <v>1</v>
      </c>
      <c r="U267" s="1184"/>
      <c r="V267" s="1184"/>
      <c r="W267" s="1184"/>
      <c r="X267" s="2032"/>
      <c r="Y267" s="2032"/>
      <c r="Z267" s="2012"/>
      <c r="AA267" s="2127"/>
      <c r="AB267" s="174" t="str">
        <f t="shared" si="17"/>
        <v>2053 год</v>
      </c>
      <c r="AC267" s="329"/>
      <c r="AD267" s="1727"/>
      <c r="AE267" s="1726"/>
      <c r="AF267" s="1726"/>
      <c r="AG267" s="1727"/>
      <c r="AH267" s="1726"/>
      <c r="AI267" s="1727"/>
      <c r="AJ267" s="1726"/>
      <c r="AK267" s="1728"/>
      <c r="AL267" s="324"/>
      <c r="AM267" s="1184"/>
      <c r="AN267" s="973" cm="1">
        <f t="array" ref="AN267">K267</f>
        <v>2053</v>
      </c>
      <c r="AO267" s="973" t="s">
        <v>2259</v>
      </c>
      <c r="AP267" s="983" t="str" cm="1">
        <f t="array" ref="AP267">AP266</f>
        <v>транспортировка</v>
      </c>
      <c r="AQ267" s="626"/>
      <c r="AR267" s="626"/>
    </row>
    <row r="268" spans="1:44" s="1909" customFormat="1" ht="14.25" hidden="1" customHeight="1" x14ac:dyDescent="0.15">
      <c r="A268" s="1184"/>
      <c r="B268" s="367" t="b">
        <f t="shared" si="16"/>
        <v>0</v>
      </c>
      <c r="C268" s="1184"/>
      <c r="D268" s="1184"/>
      <c r="E268" s="626">
        <v>15</v>
      </c>
      <c r="F268" s="3" t="str" cm="1">
        <f t="array" aca="1" ref="F268" ca="1">OFFSET(E268,-1,1)</f>
        <v>2</v>
      </c>
      <c r="G268" s="17" t="str" cm="1">
        <f t="array" ref="G268">G267</f>
        <v>транспортировка</v>
      </c>
      <c r="H268" s="1184"/>
      <c r="I268" s="1184"/>
      <c r="J268" s="1184"/>
      <c r="K268" s="77">
        <f>first_year+30</f>
        <v>2054</v>
      </c>
      <c r="L268" s="1184"/>
      <c r="M268" s="1184"/>
      <c r="N268" s="1184"/>
      <c r="O268" s="1184"/>
      <c r="P268" s="1184"/>
      <c r="Q268" s="1184"/>
      <c r="R268" s="1184"/>
      <c r="S268" s="1184"/>
      <c r="T268" s="388" t="b" cm="1">
        <f t="array" aca="1" ref="T268" ca="1">T267</f>
        <v>1</v>
      </c>
      <c r="U268" s="1184"/>
      <c r="V268" s="1184"/>
      <c r="W268" s="1184"/>
      <c r="X268" s="2032"/>
      <c r="Y268" s="2032"/>
      <c r="Z268" s="2012"/>
      <c r="AA268" s="2127"/>
      <c r="AB268" s="174" t="str">
        <f t="shared" si="17"/>
        <v>2054 год</v>
      </c>
      <c r="AC268" s="329"/>
      <c r="AD268" s="1727"/>
      <c r="AE268" s="1726"/>
      <c r="AF268" s="1726"/>
      <c r="AG268" s="1727"/>
      <c r="AH268" s="1726"/>
      <c r="AI268" s="1727"/>
      <c r="AJ268" s="1726"/>
      <c r="AK268" s="1728"/>
      <c r="AL268" s="324"/>
      <c r="AM268" s="1184"/>
      <c r="AN268" s="973" cm="1">
        <f t="array" ref="AN268">K268</f>
        <v>2054</v>
      </c>
      <c r="AO268" s="973" t="s">
        <v>2259</v>
      </c>
      <c r="AP268" s="983" t="str" cm="1">
        <f t="array" ref="AP268">AP267</f>
        <v>транспортировка</v>
      </c>
      <c r="AQ268" s="626"/>
      <c r="AR268" s="626"/>
    </row>
    <row r="269" spans="1:44" s="1910" customFormat="1" ht="14.25" hidden="1" customHeight="1" x14ac:dyDescent="0.15">
      <c r="A269" s="1184"/>
      <c r="B269" s="367" t="b">
        <f t="shared" si="16"/>
        <v>0</v>
      </c>
      <c r="C269" s="1184"/>
      <c r="D269" s="1184"/>
      <c r="E269" s="626">
        <v>15</v>
      </c>
      <c r="F269" s="3" t="str" cm="1">
        <f t="array" aca="1" ref="F269" ca="1">OFFSET(E269,-1,1)</f>
        <v>2</v>
      </c>
      <c r="G269" s="17" t="str" cm="1">
        <f t="array" ref="G269">G268</f>
        <v>транспортировка</v>
      </c>
      <c r="H269" s="1184"/>
      <c r="I269" s="1184"/>
      <c r="J269" s="1184"/>
      <c r="K269" s="77">
        <f>first_year+31</f>
        <v>2055</v>
      </c>
      <c r="L269" s="1184"/>
      <c r="M269" s="1184"/>
      <c r="N269" s="1184"/>
      <c r="O269" s="1184"/>
      <c r="P269" s="1184"/>
      <c r="Q269" s="1184"/>
      <c r="R269" s="1184"/>
      <c r="S269" s="1184"/>
      <c r="T269" s="388" t="b" cm="1">
        <f t="array" aca="1" ref="T269" ca="1">T268</f>
        <v>1</v>
      </c>
      <c r="U269" s="1184"/>
      <c r="V269" s="1184"/>
      <c r="W269" s="1184"/>
      <c r="X269" s="2032"/>
      <c r="Y269" s="2032"/>
      <c r="Z269" s="2012"/>
      <c r="AA269" s="2127"/>
      <c r="AB269" s="174" t="str">
        <f t="shared" si="17"/>
        <v>2055 год</v>
      </c>
      <c r="AC269" s="329"/>
      <c r="AD269" s="1727"/>
      <c r="AE269" s="1726"/>
      <c r="AF269" s="1726"/>
      <c r="AG269" s="1727"/>
      <c r="AH269" s="1726"/>
      <c r="AI269" s="1727"/>
      <c r="AJ269" s="1726"/>
      <c r="AK269" s="1728"/>
      <c r="AL269" s="324"/>
      <c r="AM269" s="1184"/>
      <c r="AN269" s="973" cm="1">
        <f t="array" ref="AN269">K269</f>
        <v>2055</v>
      </c>
      <c r="AO269" s="973" t="s">
        <v>2259</v>
      </c>
      <c r="AP269" s="983" t="str" cm="1">
        <f t="array" ref="AP269">AP268</f>
        <v>транспортировка</v>
      </c>
      <c r="AQ269" s="626"/>
      <c r="AR269" s="626"/>
    </row>
    <row r="270" spans="1:44" s="1911" customFormat="1" ht="14.25" hidden="1" customHeight="1" x14ac:dyDescent="0.15">
      <c r="A270" s="1184"/>
      <c r="B270" s="367" t="b">
        <f t="shared" ref="B270:B287" si="18">K270&lt;first_year+PERIOD_LENGTH</f>
        <v>0</v>
      </c>
      <c r="C270" s="1184"/>
      <c r="D270" s="1184"/>
      <c r="E270" s="626">
        <v>15</v>
      </c>
      <c r="F270" s="3" t="str" cm="1">
        <f t="array" aca="1" ref="F270" ca="1">OFFSET(E270,-1,1)</f>
        <v>2</v>
      </c>
      <c r="G270" s="17" t="str" cm="1">
        <f t="array" ref="G270">G269</f>
        <v>транспортировка</v>
      </c>
      <c r="H270" s="1184"/>
      <c r="I270" s="1184"/>
      <c r="J270" s="1184"/>
      <c r="K270" s="77">
        <f>first_year+32</f>
        <v>2056</v>
      </c>
      <c r="L270" s="1184"/>
      <c r="M270" s="1184"/>
      <c r="N270" s="1184"/>
      <c r="O270" s="1184"/>
      <c r="P270" s="1184"/>
      <c r="Q270" s="1184"/>
      <c r="R270" s="1184"/>
      <c r="S270" s="1184"/>
      <c r="T270" s="388" t="b" cm="1">
        <f t="array" aca="1" ref="T270" ca="1">T269</f>
        <v>1</v>
      </c>
      <c r="U270" s="1184"/>
      <c r="V270" s="1184"/>
      <c r="W270" s="1184"/>
      <c r="X270" s="2032"/>
      <c r="Y270" s="2032"/>
      <c r="Z270" s="2012"/>
      <c r="AA270" s="2127"/>
      <c r="AB270" s="174" t="str">
        <f t="shared" ref="AB270:AB287" si="19">K270&amp;" год"</f>
        <v>2056 год</v>
      </c>
      <c r="AC270" s="329"/>
      <c r="AD270" s="1727"/>
      <c r="AE270" s="1726"/>
      <c r="AF270" s="1726"/>
      <c r="AG270" s="1727"/>
      <c r="AH270" s="1726"/>
      <c r="AI270" s="1727"/>
      <c r="AJ270" s="1726"/>
      <c r="AK270" s="1728"/>
      <c r="AL270" s="324"/>
      <c r="AM270" s="1184"/>
      <c r="AN270" s="973" cm="1">
        <f t="array" ref="AN270">K270</f>
        <v>2056</v>
      </c>
      <c r="AO270" s="973" t="s">
        <v>2259</v>
      </c>
      <c r="AP270" s="983" t="str" cm="1">
        <f t="array" ref="AP270">AP269</f>
        <v>транспортировка</v>
      </c>
      <c r="AQ270" s="626"/>
      <c r="AR270" s="626"/>
    </row>
    <row r="271" spans="1:44" s="1912" customFormat="1" ht="14.25" hidden="1" customHeight="1" x14ac:dyDescent="0.15">
      <c r="A271" s="1184"/>
      <c r="B271" s="367" t="b">
        <f t="shared" si="18"/>
        <v>0</v>
      </c>
      <c r="C271" s="1184"/>
      <c r="D271" s="1184"/>
      <c r="E271" s="626">
        <v>15</v>
      </c>
      <c r="F271" s="3" t="str" cm="1">
        <f t="array" aca="1" ref="F271" ca="1">OFFSET(E271,-1,1)</f>
        <v>2</v>
      </c>
      <c r="G271" s="17" t="str" cm="1">
        <f t="array" ref="G271">G270</f>
        <v>транспортировка</v>
      </c>
      <c r="H271" s="1184"/>
      <c r="I271" s="1184"/>
      <c r="J271" s="1184"/>
      <c r="K271" s="77">
        <f>first_year+33</f>
        <v>2057</v>
      </c>
      <c r="L271" s="1184"/>
      <c r="M271" s="1184"/>
      <c r="N271" s="1184"/>
      <c r="O271" s="1184"/>
      <c r="P271" s="1184"/>
      <c r="Q271" s="1184"/>
      <c r="R271" s="1184"/>
      <c r="S271" s="1184"/>
      <c r="T271" s="388" t="b" cm="1">
        <f t="array" aca="1" ref="T271" ca="1">T270</f>
        <v>1</v>
      </c>
      <c r="U271" s="1184"/>
      <c r="V271" s="1184"/>
      <c r="W271" s="1184"/>
      <c r="X271" s="2032"/>
      <c r="Y271" s="2032"/>
      <c r="Z271" s="2012"/>
      <c r="AA271" s="2127"/>
      <c r="AB271" s="174" t="str">
        <f t="shared" si="19"/>
        <v>2057 год</v>
      </c>
      <c r="AC271" s="329"/>
      <c r="AD271" s="1727"/>
      <c r="AE271" s="1726"/>
      <c r="AF271" s="1726"/>
      <c r="AG271" s="1727"/>
      <c r="AH271" s="1726"/>
      <c r="AI271" s="1727"/>
      <c r="AJ271" s="1726"/>
      <c r="AK271" s="1728"/>
      <c r="AL271" s="324"/>
      <c r="AM271" s="1184"/>
      <c r="AN271" s="973" cm="1">
        <f t="array" ref="AN271">K271</f>
        <v>2057</v>
      </c>
      <c r="AO271" s="973" t="s">
        <v>2259</v>
      </c>
      <c r="AP271" s="983" t="str" cm="1">
        <f t="array" ref="AP271">AP270</f>
        <v>транспортировка</v>
      </c>
      <c r="AQ271" s="626"/>
      <c r="AR271" s="626"/>
    </row>
    <row r="272" spans="1:44" s="1913" customFormat="1" ht="14.25" hidden="1" customHeight="1" x14ac:dyDescent="0.15">
      <c r="A272" s="1184"/>
      <c r="B272" s="367" t="b">
        <f t="shared" si="18"/>
        <v>0</v>
      </c>
      <c r="C272" s="1184"/>
      <c r="D272" s="1184"/>
      <c r="E272" s="626">
        <v>15</v>
      </c>
      <c r="F272" s="3" t="str" cm="1">
        <f t="array" aca="1" ref="F272" ca="1">OFFSET(E272,-1,1)</f>
        <v>2</v>
      </c>
      <c r="G272" s="17" t="str" cm="1">
        <f t="array" ref="G272">G271</f>
        <v>транспортировка</v>
      </c>
      <c r="H272" s="1184"/>
      <c r="I272" s="1184"/>
      <c r="J272" s="1184"/>
      <c r="K272" s="77">
        <f>first_year+34</f>
        <v>2058</v>
      </c>
      <c r="L272" s="1184"/>
      <c r="M272" s="1184"/>
      <c r="N272" s="1184"/>
      <c r="O272" s="1184"/>
      <c r="P272" s="1184"/>
      <c r="Q272" s="1184"/>
      <c r="R272" s="1184"/>
      <c r="S272" s="1184"/>
      <c r="T272" s="388" t="b" cm="1">
        <f t="array" aca="1" ref="T272" ca="1">T271</f>
        <v>1</v>
      </c>
      <c r="U272" s="1184"/>
      <c r="V272" s="1184"/>
      <c r="W272" s="1184"/>
      <c r="X272" s="2032"/>
      <c r="Y272" s="2032"/>
      <c r="Z272" s="2012"/>
      <c r="AA272" s="2127"/>
      <c r="AB272" s="174" t="str">
        <f t="shared" si="19"/>
        <v>2058 год</v>
      </c>
      <c r="AC272" s="329"/>
      <c r="AD272" s="1727"/>
      <c r="AE272" s="1726"/>
      <c r="AF272" s="1726"/>
      <c r="AG272" s="1727"/>
      <c r="AH272" s="1726"/>
      <c r="AI272" s="1727"/>
      <c r="AJ272" s="1726"/>
      <c r="AK272" s="1728"/>
      <c r="AL272" s="324"/>
      <c r="AM272" s="1184"/>
      <c r="AN272" s="973" cm="1">
        <f t="array" ref="AN272">K272</f>
        <v>2058</v>
      </c>
      <c r="AO272" s="973" t="s">
        <v>2259</v>
      </c>
      <c r="AP272" s="983" t="str" cm="1">
        <f t="array" ref="AP272">AP271</f>
        <v>транспортировка</v>
      </c>
      <c r="AQ272" s="626"/>
      <c r="AR272" s="626"/>
    </row>
    <row r="273" spans="1:44" s="1914" customFormat="1" ht="14.25" hidden="1" customHeight="1" x14ac:dyDescent="0.15">
      <c r="A273" s="1184"/>
      <c r="B273" s="367" t="b">
        <f t="shared" si="18"/>
        <v>0</v>
      </c>
      <c r="C273" s="1184"/>
      <c r="D273" s="1184"/>
      <c r="E273" s="626">
        <v>15</v>
      </c>
      <c r="F273" s="3" t="str" cm="1">
        <f t="array" aca="1" ref="F273" ca="1">OFFSET(E273,-1,1)</f>
        <v>2</v>
      </c>
      <c r="G273" s="17" t="str" cm="1">
        <f t="array" ref="G273">G272</f>
        <v>транспортировка</v>
      </c>
      <c r="H273" s="1184"/>
      <c r="I273" s="1184"/>
      <c r="J273" s="1184"/>
      <c r="K273" s="77">
        <f>first_year+35</f>
        <v>2059</v>
      </c>
      <c r="L273" s="1184"/>
      <c r="M273" s="1184"/>
      <c r="N273" s="1184"/>
      <c r="O273" s="1184"/>
      <c r="P273" s="1184"/>
      <c r="Q273" s="1184"/>
      <c r="R273" s="1184"/>
      <c r="S273" s="1184"/>
      <c r="T273" s="388" t="b" cm="1">
        <f t="array" aca="1" ref="T273" ca="1">T272</f>
        <v>1</v>
      </c>
      <c r="U273" s="1184"/>
      <c r="V273" s="1184"/>
      <c r="W273" s="1184"/>
      <c r="X273" s="2032"/>
      <c r="Y273" s="2032"/>
      <c r="Z273" s="2012"/>
      <c r="AA273" s="2127"/>
      <c r="AB273" s="174" t="str">
        <f t="shared" si="19"/>
        <v>2059 год</v>
      </c>
      <c r="AC273" s="329"/>
      <c r="AD273" s="1727"/>
      <c r="AE273" s="1726"/>
      <c r="AF273" s="1726"/>
      <c r="AG273" s="1727"/>
      <c r="AH273" s="1726"/>
      <c r="AI273" s="1727"/>
      <c r="AJ273" s="1726"/>
      <c r="AK273" s="1728"/>
      <c r="AL273" s="324"/>
      <c r="AM273" s="1184"/>
      <c r="AN273" s="973" cm="1">
        <f t="array" ref="AN273">K273</f>
        <v>2059</v>
      </c>
      <c r="AO273" s="973" t="s">
        <v>2259</v>
      </c>
      <c r="AP273" s="983" t="str" cm="1">
        <f t="array" ref="AP273">AP272</f>
        <v>транспортировка</v>
      </c>
      <c r="AQ273" s="626"/>
      <c r="AR273" s="626"/>
    </row>
    <row r="274" spans="1:44" s="1915" customFormat="1" ht="14.25" hidden="1" customHeight="1" x14ac:dyDescent="0.15">
      <c r="A274" s="1184"/>
      <c r="B274" s="367" t="b">
        <f t="shared" si="18"/>
        <v>0</v>
      </c>
      <c r="C274" s="1184"/>
      <c r="D274" s="1184"/>
      <c r="E274" s="626">
        <v>15</v>
      </c>
      <c r="F274" s="3" t="str" cm="1">
        <f t="array" aca="1" ref="F274" ca="1">OFFSET(E274,-1,1)</f>
        <v>2</v>
      </c>
      <c r="G274" s="17" t="str" cm="1">
        <f t="array" ref="G274">G273</f>
        <v>транспортировка</v>
      </c>
      <c r="H274" s="1184"/>
      <c r="I274" s="1184"/>
      <c r="J274" s="1184"/>
      <c r="K274" s="77">
        <f>first_year+36</f>
        <v>2060</v>
      </c>
      <c r="L274" s="1184"/>
      <c r="M274" s="1184"/>
      <c r="N274" s="1184"/>
      <c r="O274" s="1184"/>
      <c r="P274" s="1184"/>
      <c r="Q274" s="1184"/>
      <c r="R274" s="1184"/>
      <c r="S274" s="1184"/>
      <c r="T274" s="388" t="b" cm="1">
        <f t="array" aca="1" ref="T274" ca="1">T273</f>
        <v>1</v>
      </c>
      <c r="U274" s="1184"/>
      <c r="V274" s="1184"/>
      <c r="W274" s="1184"/>
      <c r="X274" s="2032"/>
      <c r="Y274" s="2032"/>
      <c r="Z274" s="2012"/>
      <c r="AA274" s="2127"/>
      <c r="AB274" s="174" t="str">
        <f t="shared" si="19"/>
        <v>2060 год</v>
      </c>
      <c r="AC274" s="329"/>
      <c r="AD274" s="1727"/>
      <c r="AE274" s="1726"/>
      <c r="AF274" s="1726"/>
      <c r="AG274" s="1727"/>
      <c r="AH274" s="1726"/>
      <c r="AI274" s="1727"/>
      <c r="AJ274" s="1726"/>
      <c r="AK274" s="1728"/>
      <c r="AL274" s="324"/>
      <c r="AM274" s="1184"/>
      <c r="AN274" s="973" cm="1">
        <f t="array" ref="AN274">K274</f>
        <v>2060</v>
      </c>
      <c r="AO274" s="973" t="s">
        <v>2259</v>
      </c>
      <c r="AP274" s="983" t="str" cm="1">
        <f t="array" ref="AP274">AP273</f>
        <v>транспортировка</v>
      </c>
      <c r="AQ274" s="626"/>
      <c r="AR274" s="626"/>
    </row>
    <row r="275" spans="1:44" s="1916" customFormat="1" ht="14.25" hidden="1" customHeight="1" x14ac:dyDescent="0.15">
      <c r="A275" s="1184"/>
      <c r="B275" s="367" t="b">
        <f t="shared" si="18"/>
        <v>0</v>
      </c>
      <c r="C275" s="1184"/>
      <c r="D275" s="1184"/>
      <c r="E275" s="626">
        <v>15</v>
      </c>
      <c r="F275" s="3" t="str" cm="1">
        <f t="array" aca="1" ref="F275" ca="1">OFFSET(E275,-1,1)</f>
        <v>2</v>
      </c>
      <c r="G275" s="17" t="str" cm="1">
        <f t="array" ref="G275">G274</f>
        <v>транспортировка</v>
      </c>
      <c r="H275" s="1184"/>
      <c r="I275" s="1184"/>
      <c r="J275" s="1184"/>
      <c r="K275" s="77">
        <f>first_year+37</f>
        <v>2061</v>
      </c>
      <c r="L275" s="1184"/>
      <c r="M275" s="1184"/>
      <c r="N275" s="1184"/>
      <c r="O275" s="1184"/>
      <c r="P275" s="1184"/>
      <c r="Q275" s="1184"/>
      <c r="R275" s="1184"/>
      <c r="S275" s="1184"/>
      <c r="T275" s="388" t="b" cm="1">
        <f t="array" aca="1" ref="T275" ca="1">T274</f>
        <v>1</v>
      </c>
      <c r="U275" s="1184"/>
      <c r="V275" s="1184"/>
      <c r="W275" s="1184"/>
      <c r="X275" s="2032"/>
      <c r="Y275" s="2032"/>
      <c r="Z275" s="2012"/>
      <c r="AA275" s="2127"/>
      <c r="AB275" s="174" t="str">
        <f t="shared" si="19"/>
        <v>2061 год</v>
      </c>
      <c r="AC275" s="329"/>
      <c r="AD275" s="1727"/>
      <c r="AE275" s="1726"/>
      <c r="AF275" s="1726"/>
      <c r="AG275" s="1727"/>
      <c r="AH275" s="1726"/>
      <c r="AI275" s="1727"/>
      <c r="AJ275" s="1726"/>
      <c r="AK275" s="1728"/>
      <c r="AL275" s="324"/>
      <c r="AM275" s="1184"/>
      <c r="AN275" s="973" cm="1">
        <f t="array" ref="AN275">K275</f>
        <v>2061</v>
      </c>
      <c r="AO275" s="973" t="s">
        <v>2259</v>
      </c>
      <c r="AP275" s="983" t="str" cm="1">
        <f t="array" ref="AP275">AP274</f>
        <v>транспортировка</v>
      </c>
      <c r="AQ275" s="626"/>
      <c r="AR275" s="626"/>
    </row>
    <row r="276" spans="1:44" s="1917" customFormat="1" ht="14.25" hidden="1" customHeight="1" x14ac:dyDescent="0.15">
      <c r="A276" s="1184"/>
      <c r="B276" s="367" t="b">
        <f t="shared" si="18"/>
        <v>0</v>
      </c>
      <c r="C276" s="1184"/>
      <c r="D276" s="1184"/>
      <c r="E276" s="626">
        <v>15</v>
      </c>
      <c r="F276" s="3" t="str" cm="1">
        <f t="array" aca="1" ref="F276" ca="1">OFFSET(E276,-1,1)</f>
        <v>2</v>
      </c>
      <c r="G276" s="17" t="str" cm="1">
        <f t="array" ref="G276">G275</f>
        <v>транспортировка</v>
      </c>
      <c r="H276" s="1184"/>
      <c r="I276" s="1184"/>
      <c r="J276" s="1184"/>
      <c r="K276" s="77">
        <f>first_year+38</f>
        <v>2062</v>
      </c>
      <c r="L276" s="1184"/>
      <c r="M276" s="1184"/>
      <c r="N276" s="1184"/>
      <c r="O276" s="1184"/>
      <c r="P276" s="1184"/>
      <c r="Q276" s="1184"/>
      <c r="R276" s="1184"/>
      <c r="S276" s="1184"/>
      <c r="T276" s="388" t="b" cm="1">
        <f t="array" aca="1" ref="T276" ca="1">T275</f>
        <v>1</v>
      </c>
      <c r="U276" s="1184"/>
      <c r="V276" s="1184"/>
      <c r="W276" s="1184"/>
      <c r="X276" s="2032"/>
      <c r="Y276" s="2032"/>
      <c r="Z276" s="2012"/>
      <c r="AA276" s="2127"/>
      <c r="AB276" s="174" t="str">
        <f t="shared" si="19"/>
        <v>2062 год</v>
      </c>
      <c r="AC276" s="329"/>
      <c r="AD276" s="1727"/>
      <c r="AE276" s="1726"/>
      <c r="AF276" s="1726"/>
      <c r="AG276" s="1727"/>
      <c r="AH276" s="1726"/>
      <c r="AI276" s="1727"/>
      <c r="AJ276" s="1726"/>
      <c r="AK276" s="1728"/>
      <c r="AL276" s="324"/>
      <c r="AM276" s="1184"/>
      <c r="AN276" s="973" cm="1">
        <f t="array" ref="AN276">K276</f>
        <v>2062</v>
      </c>
      <c r="AO276" s="973" t="s">
        <v>2259</v>
      </c>
      <c r="AP276" s="983" t="str" cm="1">
        <f t="array" ref="AP276">AP275</f>
        <v>транспортировка</v>
      </c>
      <c r="AQ276" s="626"/>
      <c r="AR276" s="626"/>
    </row>
    <row r="277" spans="1:44" s="1918" customFormat="1" ht="14.25" hidden="1" customHeight="1" x14ac:dyDescent="0.15">
      <c r="A277" s="1184"/>
      <c r="B277" s="367" t="b">
        <f t="shared" si="18"/>
        <v>0</v>
      </c>
      <c r="C277" s="1184"/>
      <c r="D277" s="1184"/>
      <c r="E277" s="626">
        <v>15</v>
      </c>
      <c r="F277" s="3" t="str" cm="1">
        <f t="array" aca="1" ref="F277" ca="1">OFFSET(E277,-1,1)</f>
        <v>2</v>
      </c>
      <c r="G277" s="17" t="str" cm="1">
        <f t="array" ref="G277">G276</f>
        <v>транспортировка</v>
      </c>
      <c r="H277" s="1184"/>
      <c r="I277" s="1184"/>
      <c r="J277" s="1184"/>
      <c r="K277" s="77">
        <f>first_year+39</f>
        <v>2063</v>
      </c>
      <c r="L277" s="1184"/>
      <c r="M277" s="1184"/>
      <c r="N277" s="1184"/>
      <c r="O277" s="1184"/>
      <c r="P277" s="1184"/>
      <c r="Q277" s="1184"/>
      <c r="R277" s="1184"/>
      <c r="S277" s="1184"/>
      <c r="T277" s="388" t="b" cm="1">
        <f t="array" aca="1" ref="T277" ca="1">T276</f>
        <v>1</v>
      </c>
      <c r="U277" s="1184"/>
      <c r="V277" s="1184"/>
      <c r="W277" s="1184"/>
      <c r="X277" s="2032"/>
      <c r="Y277" s="2032"/>
      <c r="Z277" s="2012"/>
      <c r="AA277" s="2127"/>
      <c r="AB277" s="174" t="str">
        <f t="shared" si="19"/>
        <v>2063 год</v>
      </c>
      <c r="AC277" s="329"/>
      <c r="AD277" s="1727"/>
      <c r="AE277" s="1726"/>
      <c r="AF277" s="1726"/>
      <c r="AG277" s="1727"/>
      <c r="AH277" s="1726"/>
      <c r="AI277" s="1727"/>
      <c r="AJ277" s="1726"/>
      <c r="AK277" s="1728"/>
      <c r="AL277" s="324"/>
      <c r="AM277" s="1184"/>
      <c r="AN277" s="973" cm="1">
        <f t="array" ref="AN277">K277</f>
        <v>2063</v>
      </c>
      <c r="AO277" s="973" t="s">
        <v>2259</v>
      </c>
      <c r="AP277" s="983" t="str" cm="1">
        <f t="array" ref="AP277">AP276</f>
        <v>транспортировка</v>
      </c>
      <c r="AQ277" s="626"/>
      <c r="AR277" s="626"/>
    </row>
    <row r="278" spans="1:44" s="1919" customFormat="1" ht="14.25" hidden="1" customHeight="1" x14ac:dyDescent="0.15">
      <c r="A278" s="1184"/>
      <c r="B278" s="367" t="b">
        <f t="shared" si="18"/>
        <v>0</v>
      </c>
      <c r="C278" s="1184"/>
      <c r="D278" s="1184"/>
      <c r="E278" s="626">
        <v>15</v>
      </c>
      <c r="F278" s="3" t="str" cm="1">
        <f t="array" aca="1" ref="F278" ca="1">OFFSET(E278,-1,1)</f>
        <v>2</v>
      </c>
      <c r="G278" s="17" t="str" cm="1">
        <f t="array" ref="G278">G277</f>
        <v>транспортировка</v>
      </c>
      <c r="H278" s="1184"/>
      <c r="I278" s="1184"/>
      <c r="J278" s="1184"/>
      <c r="K278" s="77">
        <f>first_year+40</f>
        <v>2064</v>
      </c>
      <c r="L278" s="1184"/>
      <c r="M278" s="1184"/>
      <c r="N278" s="1184"/>
      <c r="O278" s="1184"/>
      <c r="P278" s="1184"/>
      <c r="Q278" s="1184"/>
      <c r="R278" s="1184"/>
      <c r="S278" s="1184"/>
      <c r="T278" s="388" t="b" cm="1">
        <f t="array" aca="1" ref="T278" ca="1">T277</f>
        <v>1</v>
      </c>
      <c r="U278" s="1184"/>
      <c r="V278" s="1184"/>
      <c r="W278" s="1184"/>
      <c r="X278" s="2032"/>
      <c r="Y278" s="2032"/>
      <c r="Z278" s="2012"/>
      <c r="AA278" s="2127"/>
      <c r="AB278" s="174" t="str">
        <f t="shared" si="19"/>
        <v>2064 год</v>
      </c>
      <c r="AC278" s="329"/>
      <c r="AD278" s="1727"/>
      <c r="AE278" s="1726"/>
      <c r="AF278" s="1726"/>
      <c r="AG278" s="1727"/>
      <c r="AH278" s="1726"/>
      <c r="AI278" s="1727"/>
      <c r="AJ278" s="1726"/>
      <c r="AK278" s="1728"/>
      <c r="AL278" s="324"/>
      <c r="AM278" s="1184"/>
      <c r="AN278" s="973" cm="1">
        <f t="array" ref="AN278">K278</f>
        <v>2064</v>
      </c>
      <c r="AO278" s="973" t="s">
        <v>2259</v>
      </c>
      <c r="AP278" s="983" t="str" cm="1">
        <f t="array" ref="AP278">AP277</f>
        <v>транспортировка</v>
      </c>
      <c r="AQ278" s="626"/>
      <c r="AR278" s="626"/>
    </row>
    <row r="279" spans="1:44" s="1920" customFormat="1" ht="14.25" hidden="1" customHeight="1" x14ac:dyDescent="0.15">
      <c r="A279" s="1184"/>
      <c r="B279" s="367" t="b">
        <f t="shared" si="18"/>
        <v>0</v>
      </c>
      <c r="C279" s="1184"/>
      <c r="D279" s="1184"/>
      <c r="E279" s="626">
        <v>15</v>
      </c>
      <c r="F279" s="3" t="str" cm="1">
        <f t="array" aca="1" ref="F279" ca="1">OFFSET(E279,-1,1)</f>
        <v>2</v>
      </c>
      <c r="G279" s="17" t="str" cm="1">
        <f t="array" ref="G279">G278</f>
        <v>транспортировка</v>
      </c>
      <c r="H279" s="1184"/>
      <c r="I279" s="1184"/>
      <c r="J279" s="1184"/>
      <c r="K279" s="77">
        <f>first_year+41</f>
        <v>2065</v>
      </c>
      <c r="L279" s="1184"/>
      <c r="M279" s="1184"/>
      <c r="N279" s="1184"/>
      <c r="O279" s="1184"/>
      <c r="P279" s="1184"/>
      <c r="Q279" s="1184"/>
      <c r="R279" s="1184"/>
      <c r="S279" s="1184"/>
      <c r="T279" s="388" t="b" cm="1">
        <f t="array" aca="1" ref="T279" ca="1">T278</f>
        <v>1</v>
      </c>
      <c r="U279" s="1184"/>
      <c r="V279" s="1184"/>
      <c r="W279" s="1184"/>
      <c r="X279" s="2032"/>
      <c r="Y279" s="2032"/>
      <c r="Z279" s="2012"/>
      <c r="AA279" s="2127"/>
      <c r="AB279" s="174" t="str">
        <f t="shared" si="19"/>
        <v>2065 год</v>
      </c>
      <c r="AC279" s="329"/>
      <c r="AD279" s="1727"/>
      <c r="AE279" s="1726"/>
      <c r="AF279" s="1726"/>
      <c r="AG279" s="1727"/>
      <c r="AH279" s="1726"/>
      <c r="AI279" s="1727"/>
      <c r="AJ279" s="1726"/>
      <c r="AK279" s="1728"/>
      <c r="AL279" s="324"/>
      <c r="AM279" s="1184"/>
      <c r="AN279" s="973" cm="1">
        <f t="array" ref="AN279">K279</f>
        <v>2065</v>
      </c>
      <c r="AO279" s="973" t="s">
        <v>2259</v>
      </c>
      <c r="AP279" s="983" t="str" cm="1">
        <f t="array" ref="AP279">AP278</f>
        <v>транспортировка</v>
      </c>
      <c r="AQ279" s="626"/>
      <c r="AR279" s="626"/>
    </row>
    <row r="280" spans="1:44" s="1921" customFormat="1" ht="14.25" hidden="1" customHeight="1" x14ac:dyDescent="0.15">
      <c r="A280" s="1184"/>
      <c r="B280" s="367" t="b">
        <f t="shared" si="18"/>
        <v>0</v>
      </c>
      <c r="C280" s="1184"/>
      <c r="D280" s="1184"/>
      <c r="E280" s="626">
        <v>15</v>
      </c>
      <c r="F280" s="3" t="str" cm="1">
        <f t="array" aca="1" ref="F280" ca="1">OFFSET(E280,-1,1)</f>
        <v>2</v>
      </c>
      <c r="G280" s="17" t="str" cm="1">
        <f t="array" ref="G280">G279</f>
        <v>транспортировка</v>
      </c>
      <c r="H280" s="1184"/>
      <c r="I280" s="1184"/>
      <c r="J280" s="1184"/>
      <c r="K280" s="77">
        <f>first_year+42</f>
        <v>2066</v>
      </c>
      <c r="L280" s="1184"/>
      <c r="M280" s="1184"/>
      <c r="N280" s="1184"/>
      <c r="O280" s="1184"/>
      <c r="P280" s="1184"/>
      <c r="Q280" s="1184"/>
      <c r="R280" s="1184"/>
      <c r="S280" s="1184"/>
      <c r="T280" s="388" t="b" cm="1">
        <f t="array" aca="1" ref="T280" ca="1">T279</f>
        <v>1</v>
      </c>
      <c r="U280" s="1184"/>
      <c r="V280" s="1184"/>
      <c r="W280" s="1184"/>
      <c r="X280" s="2032"/>
      <c r="Y280" s="2032"/>
      <c r="Z280" s="2012"/>
      <c r="AA280" s="2127"/>
      <c r="AB280" s="174" t="str">
        <f t="shared" si="19"/>
        <v>2066 год</v>
      </c>
      <c r="AC280" s="329"/>
      <c r="AD280" s="1727"/>
      <c r="AE280" s="1726"/>
      <c r="AF280" s="1726"/>
      <c r="AG280" s="1727"/>
      <c r="AH280" s="1726"/>
      <c r="AI280" s="1727"/>
      <c r="AJ280" s="1726"/>
      <c r="AK280" s="1728"/>
      <c r="AL280" s="324"/>
      <c r="AM280" s="1184"/>
      <c r="AN280" s="973" cm="1">
        <f t="array" ref="AN280">K280</f>
        <v>2066</v>
      </c>
      <c r="AO280" s="973" t="s">
        <v>2259</v>
      </c>
      <c r="AP280" s="983" t="str" cm="1">
        <f t="array" ref="AP280">AP279</f>
        <v>транспортировка</v>
      </c>
      <c r="AQ280" s="626"/>
      <c r="AR280" s="626"/>
    </row>
    <row r="281" spans="1:44" s="1922" customFormat="1" ht="14.25" hidden="1" customHeight="1" x14ac:dyDescent="0.15">
      <c r="A281" s="1184"/>
      <c r="B281" s="367" t="b">
        <f t="shared" si="18"/>
        <v>0</v>
      </c>
      <c r="C281" s="1184"/>
      <c r="D281" s="1184"/>
      <c r="E281" s="626">
        <v>15</v>
      </c>
      <c r="F281" s="3" t="str" cm="1">
        <f t="array" aca="1" ref="F281" ca="1">OFFSET(E281,-1,1)</f>
        <v>2</v>
      </c>
      <c r="G281" s="17" t="str" cm="1">
        <f t="array" ref="G281">G280</f>
        <v>транспортировка</v>
      </c>
      <c r="H281" s="1184"/>
      <c r="I281" s="1184"/>
      <c r="J281" s="1184"/>
      <c r="K281" s="77">
        <f>first_year+43</f>
        <v>2067</v>
      </c>
      <c r="L281" s="1184"/>
      <c r="M281" s="1184"/>
      <c r="N281" s="1184"/>
      <c r="O281" s="1184"/>
      <c r="P281" s="1184"/>
      <c r="Q281" s="1184"/>
      <c r="R281" s="1184"/>
      <c r="S281" s="1184"/>
      <c r="T281" s="388" t="b" cm="1">
        <f t="array" aca="1" ref="T281" ca="1">T280</f>
        <v>1</v>
      </c>
      <c r="U281" s="1184"/>
      <c r="V281" s="1184"/>
      <c r="W281" s="1184"/>
      <c r="X281" s="2032"/>
      <c r="Y281" s="2032"/>
      <c r="Z281" s="2012"/>
      <c r="AA281" s="2127"/>
      <c r="AB281" s="174" t="str">
        <f t="shared" si="19"/>
        <v>2067 год</v>
      </c>
      <c r="AC281" s="329"/>
      <c r="AD281" s="1727"/>
      <c r="AE281" s="1726"/>
      <c r="AF281" s="1726"/>
      <c r="AG281" s="1727"/>
      <c r="AH281" s="1726"/>
      <c r="AI281" s="1727"/>
      <c r="AJ281" s="1726"/>
      <c r="AK281" s="1728"/>
      <c r="AL281" s="324"/>
      <c r="AM281" s="1184"/>
      <c r="AN281" s="973" cm="1">
        <f t="array" ref="AN281">K281</f>
        <v>2067</v>
      </c>
      <c r="AO281" s="973" t="s">
        <v>2259</v>
      </c>
      <c r="AP281" s="983" t="str" cm="1">
        <f t="array" ref="AP281">AP280</f>
        <v>транспортировка</v>
      </c>
      <c r="AQ281" s="626"/>
      <c r="AR281" s="626"/>
    </row>
    <row r="282" spans="1:44" s="1923" customFormat="1" ht="14.25" hidden="1" customHeight="1" x14ac:dyDescent="0.15">
      <c r="A282" s="1184"/>
      <c r="B282" s="367" t="b">
        <f t="shared" si="18"/>
        <v>0</v>
      </c>
      <c r="C282" s="1184"/>
      <c r="D282" s="1184"/>
      <c r="E282" s="626">
        <v>15</v>
      </c>
      <c r="F282" s="3" t="str" cm="1">
        <f t="array" aca="1" ref="F282" ca="1">OFFSET(E282,-1,1)</f>
        <v>2</v>
      </c>
      <c r="G282" s="17" t="str" cm="1">
        <f t="array" ref="G282">G281</f>
        <v>транспортировка</v>
      </c>
      <c r="H282" s="1184"/>
      <c r="I282" s="1184"/>
      <c r="J282" s="1184"/>
      <c r="K282" s="77">
        <f>first_year+44</f>
        <v>2068</v>
      </c>
      <c r="L282" s="1184"/>
      <c r="M282" s="1184"/>
      <c r="N282" s="1184"/>
      <c r="O282" s="1184"/>
      <c r="P282" s="1184"/>
      <c r="Q282" s="1184"/>
      <c r="R282" s="1184"/>
      <c r="S282" s="1184"/>
      <c r="T282" s="388" t="b" cm="1">
        <f t="array" aca="1" ref="T282" ca="1">T281</f>
        <v>1</v>
      </c>
      <c r="U282" s="1184"/>
      <c r="V282" s="1184"/>
      <c r="W282" s="1184"/>
      <c r="X282" s="2032"/>
      <c r="Y282" s="2032"/>
      <c r="Z282" s="2012"/>
      <c r="AA282" s="2127"/>
      <c r="AB282" s="174" t="str">
        <f t="shared" si="19"/>
        <v>2068 год</v>
      </c>
      <c r="AC282" s="329"/>
      <c r="AD282" s="1727"/>
      <c r="AE282" s="1726"/>
      <c r="AF282" s="1726"/>
      <c r="AG282" s="1727"/>
      <c r="AH282" s="1726"/>
      <c r="AI282" s="1727"/>
      <c r="AJ282" s="1726"/>
      <c r="AK282" s="1728"/>
      <c r="AL282" s="324"/>
      <c r="AM282" s="1184"/>
      <c r="AN282" s="973" cm="1">
        <f t="array" ref="AN282">K282</f>
        <v>2068</v>
      </c>
      <c r="AO282" s="973" t="s">
        <v>2259</v>
      </c>
      <c r="AP282" s="983" t="str" cm="1">
        <f t="array" ref="AP282">AP281</f>
        <v>транспортировка</v>
      </c>
      <c r="AQ282" s="626"/>
      <c r="AR282" s="626"/>
    </row>
    <row r="283" spans="1:44" s="1924" customFormat="1" ht="14.25" hidden="1" customHeight="1" x14ac:dyDescent="0.15">
      <c r="A283" s="1184"/>
      <c r="B283" s="367" t="b">
        <f t="shared" si="18"/>
        <v>0</v>
      </c>
      <c r="C283" s="1184"/>
      <c r="D283" s="1184"/>
      <c r="E283" s="626">
        <v>15</v>
      </c>
      <c r="F283" s="3" t="str" cm="1">
        <f t="array" aca="1" ref="F283" ca="1">OFFSET(E283,-1,1)</f>
        <v>2</v>
      </c>
      <c r="G283" s="17" t="str" cm="1">
        <f t="array" ref="G283">G282</f>
        <v>транспортировка</v>
      </c>
      <c r="H283" s="1184"/>
      <c r="I283" s="1184"/>
      <c r="J283" s="1184"/>
      <c r="K283" s="77">
        <f>first_year+45</f>
        <v>2069</v>
      </c>
      <c r="L283" s="1184"/>
      <c r="M283" s="1184"/>
      <c r="N283" s="1184"/>
      <c r="O283" s="1184"/>
      <c r="P283" s="1184"/>
      <c r="Q283" s="1184"/>
      <c r="R283" s="1184"/>
      <c r="S283" s="1184"/>
      <c r="T283" s="388" t="b" cm="1">
        <f t="array" aca="1" ref="T283" ca="1">T282</f>
        <v>1</v>
      </c>
      <c r="U283" s="1184"/>
      <c r="V283" s="1184"/>
      <c r="W283" s="1184"/>
      <c r="X283" s="2032"/>
      <c r="Y283" s="2032"/>
      <c r="Z283" s="2012"/>
      <c r="AA283" s="2127"/>
      <c r="AB283" s="174" t="str">
        <f t="shared" si="19"/>
        <v>2069 год</v>
      </c>
      <c r="AC283" s="329"/>
      <c r="AD283" s="1727"/>
      <c r="AE283" s="1726"/>
      <c r="AF283" s="1726"/>
      <c r="AG283" s="1727"/>
      <c r="AH283" s="1726"/>
      <c r="AI283" s="1727"/>
      <c r="AJ283" s="1726"/>
      <c r="AK283" s="1728"/>
      <c r="AL283" s="324"/>
      <c r="AM283" s="1184"/>
      <c r="AN283" s="973" cm="1">
        <f t="array" ref="AN283">K283</f>
        <v>2069</v>
      </c>
      <c r="AO283" s="973" t="s">
        <v>2259</v>
      </c>
      <c r="AP283" s="983" t="str" cm="1">
        <f t="array" ref="AP283">AP282</f>
        <v>транспортировка</v>
      </c>
      <c r="AQ283" s="626"/>
      <c r="AR283" s="626"/>
    </row>
    <row r="284" spans="1:44" s="1925" customFormat="1" ht="14.25" hidden="1" customHeight="1" x14ac:dyDescent="0.15">
      <c r="A284" s="1184"/>
      <c r="B284" s="367" t="b">
        <f t="shared" si="18"/>
        <v>0</v>
      </c>
      <c r="C284" s="1184"/>
      <c r="D284" s="1184"/>
      <c r="E284" s="626">
        <v>15</v>
      </c>
      <c r="F284" s="3" t="str" cm="1">
        <f t="array" aca="1" ref="F284" ca="1">OFFSET(E284,-1,1)</f>
        <v>2</v>
      </c>
      <c r="G284" s="17" t="str" cm="1">
        <f t="array" ref="G284">G283</f>
        <v>транспортировка</v>
      </c>
      <c r="H284" s="1184"/>
      <c r="I284" s="1184"/>
      <c r="J284" s="1184"/>
      <c r="K284" s="77">
        <f>first_year+46</f>
        <v>2070</v>
      </c>
      <c r="L284" s="1184"/>
      <c r="M284" s="1184"/>
      <c r="N284" s="1184"/>
      <c r="O284" s="1184"/>
      <c r="P284" s="1184"/>
      <c r="Q284" s="1184"/>
      <c r="R284" s="1184"/>
      <c r="S284" s="1184"/>
      <c r="T284" s="388" t="b" cm="1">
        <f t="array" aca="1" ref="T284" ca="1">T283</f>
        <v>1</v>
      </c>
      <c r="U284" s="1184"/>
      <c r="V284" s="1184"/>
      <c r="W284" s="1184"/>
      <c r="X284" s="2032"/>
      <c r="Y284" s="2032"/>
      <c r="Z284" s="2012"/>
      <c r="AA284" s="2127"/>
      <c r="AB284" s="174" t="str">
        <f t="shared" si="19"/>
        <v>2070 год</v>
      </c>
      <c r="AC284" s="329"/>
      <c r="AD284" s="1727"/>
      <c r="AE284" s="1726"/>
      <c r="AF284" s="1726"/>
      <c r="AG284" s="1727"/>
      <c r="AH284" s="1726"/>
      <c r="AI284" s="1727"/>
      <c r="AJ284" s="1726"/>
      <c r="AK284" s="1728"/>
      <c r="AL284" s="324"/>
      <c r="AM284" s="1184"/>
      <c r="AN284" s="973" cm="1">
        <f t="array" ref="AN284">K284</f>
        <v>2070</v>
      </c>
      <c r="AO284" s="973" t="s">
        <v>2259</v>
      </c>
      <c r="AP284" s="983" t="str" cm="1">
        <f t="array" ref="AP284">AP283</f>
        <v>транспортировка</v>
      </c>
      <c r="AQ284" s="626"/>
      <c r="AR284" s="626"/>
    </row>
    <row r="285" spans="1:44" s="1926" customFormat="1" ht="14.25" hidden="1" customHeight="1" x14ac:dyDescent="0.15">
      <c r="A285" s="1184"/>
      <c r="B285" s="367" t="b">
        <f t="shared" si="18"/>
        <v>0</v>
      </c>
      <c r="C285" s="1184"/>
      <c r="D285" s="1184"/>
      <c r="E285" s="626">
        <v>15</v>
      </c>
      <c r="F285" s="3" t="str" cm="1">
        <f t="array" aca="1" ref="F285" ca="1">OFFSET(E285,-1,1)</f>
        <v>2</v>
      </c>
      <c r="G285" s="17" t="str" cm="1">
        <f t="array" ref="G285">G284</f>
        <v>транспортировка</v>
      </c>
      <c r="H285" s="1184"/>
      <c r="I285" s="1184"/>
      <c r="J285" s="1184"/>
      <c r="K285" s="77">
        <f>first_year+47</f>
        <v>2071</v>
      </c>
      <c r="L285" s="1184"/>
      <c r="M285" s="1184"/>
      <c r="N285" s="1184"/>
      <c r="O285" s="1184"/>
      <c r="P285" s="1184"/>
      <c r="Q285" s="1184"/>
      <c r="R285" s="1184"/>
      <c r="S285" s="1184"/>
      <c r="T285" s="388" t="b" cm="1">
        <f t="array" aca="1" ref="T285" ca="1">T284</f>
        <v>1</v>
      </c>
      <c r="U285" s="1184"/>
      <c r="V285" s="1184"/>
      <c r="W285" s="1184"/>
      <c r="X285" s="2032"/>
      <c r="Y285" s="2032"/>
      <c r="Z285" s="2012"/>
      <c r="AA285" s="2127"/>
      <c r="AB285" s="174" t="str">
        <f t="shared" si="19"/>
        <v>2071 год</v>
      </c>
      <c r="AC285" s="329"/>
      <c r="AD285" s="1727"/>
      <c r="AE285" s="1726"/>
      <c r="AF285" s="1726"/>
      <c r="AG285" s="1727"/>
      <c r="AH285" s="1726"/>
      <c r="AI285" s="1727"/>
      <c r="AJ285" s="1726"/>
      <c r="AK285" s="1728"/>
      <c r="AL285" s="324"/>
      <c r="AM285" s="1184"/>
      <c r="AN285" s="973" cm="1">
        <f t="array" ref="AN285">K285</f>
        <v>2071</v>
      </c>
      <c r="AO285" s="973" t="s">
        <v>2259</v>
      </c>
      <c r="AP285" s="983" t="str" cm="1">
        <f t="array" ref="AP285">AP284</f>
        <v>транспортировка</v>
      </c>
      <c r="AQ285" s="626"/>
      <c r="AR285" s="626"/>
    </row>
    <row r="286" spans="1:44" s="1927" customFormat="1" ht="14.25" hidden="1" customHeight="1" x14ac:dyDescent="0.15">
      <c r="A286" s="1184"/>
      <c r="B286" s="367" t="b">
        <f t="shared" si="18"/>
        <v>0</v>
      </c>
      <c r="C286" s="1184"/>
      <c r="D286" s="1184"/>
      <c r="E286" s="626">
        <v>15</v>
      </c>
      <c r="F286" s="3" t="str" cm="1">
        <f t="array" aca="1" ref="F286" ca="1">OFFSET(E286,-1,1)</f>
        <v>2</v>
      </c>
      <c r="G286" s="17" t="str" cm="1">
        <f t="array" ref="G286">G285</f>
        <v>транспортировка</v>
      </c>
      <c r="H286" s="1184"/>
      <c r="I286" s="1184"/>
      <c r="J286" s="1184"/>
      <c r="K286" s="77">
        <f>first_year+48</f>
        <v>2072</v>
      </c>
      <c r="L286" s="1184"/>
      <c r="M286" s="1184"/>
      <c r="N286" s="1184"/>
      <c r="O286" s="1184"/>
      <c r="P286" s="1184"/>
      <c r="Q286" s="1184"/>
      <c r="R286" s="1184"/>
      <c r="S286" s="1184"/>
      <c r="T286" s="388" t="b" cm="1">
        <f t="array" aca="1" ref="T286" ca="1">T285</f>
        <v>1</v>
      </c>
      <c r="U286" s="1184"/>
      <c r="V286" s="1184"/>
      <c r="W286" s="1184"/>
      <c r="X286" s="2032"/>
      <c r="Y286" s="2032"/>
      <c r="Z286" s="2012"/>
      <c r="AA286" s="2127"/>
      <c r="AB286" s="174" t="str">
        <f t="shared" si="19"/>
        <v>2072 год</v>
      </c>
      <c r="AC286" s="329"/>
      <c r="AD286" s="1727"/>
      <c r="AE286" s="1726"/>
      <c r="AF286" s="1726"/>
      <c r="AG286" s="1727"/>
      <c r="AH286" s="1726"/>
      <c r="AI286" s="1727"/>
      <c r="AJ286" s="1726"/>
      <c r="AK286" s="1728"/>
      <c r="AL286" s="324"/>
      <c r="AM286" s="1184"/>
      <c r="AN286" s="973" cm="1">
        <f t="array" ref="AN286">K286</f>
        <v>2072</v>
      </c>
      <c r="AO286" s="973" t="s">
        <v>2259</v>
      </c>
      <c r="AP286" s="983" t="str" cm="1">
        <f t="array" ref="AP286">AP285</f>
        <v>транспортировка</v>
      </c>
      <c r="AQ286" s="626"/>
      <c r="AR286" s="626"/>
    </row>
    <row r="287" spans="1:44" s="1928" customFormat="1" ht="14.25" hidden="1" customHeight="1" x14ac:dyDescent="0.15">
      <c r="A287" s="1184"/>
      <c r="B287" s="367" t="b">
        <f t="shared" si="18"/>
        <v>0</v>
      </c>
      <c r="C287" s="1184"/>
      <c r="D287" s="1184"/>
      <c r="E287" s="626">
        <v>15</v>
      </c>
      <c r="F287" s="3" t="str" cm="1">
        <f t="array" aca="1" ref="F287" ca="1">OFFSET(E287,-1,1)</f>
        <v>2</v>
      </c>
      <c r="G287" s="17" t="str" cm="1">
        <f t="array" ref="G287">G286</f>
        <v>транспортировка</v>
      </c>
      <c r="H287" s="1184"/>
      <c r="I287" s="1184"/>
      <c r="J287" s="1184"/>
      <c r="K287" s="77">
        <f>first_year+49</f>
        <v>2073</v>
      </c>
      <c r="L287" s="1184"/>
      <c r="M287" s="1184"/>
      <c r="N287" s="1184"/>
      <c r="O287" s="1184"/>
      <c r="P287" s="1184"/>
      <c r="Q287" s="1184"/>
      <c r="R287" s="1184"/>
      <c r="S287" s="1184"/>
      <c r="T287" s="388" t="b" cm="1">
        <f t="array" aca="1" ref="T287" ca="1">T286</f>
        <v>1</v>
      </c>
      <c r="U287" s="1184"/>
      <c r="V287" s="1184"/>
      <c r="W287" s="1184"/>
      <c r="X287" s="2032"/>
      <c r="Y287" s="2032"/>
      <c r="Z287" s="2012"/>
      <c r="AA287" s="2127"/>
      <c r="AB287" s="174" t="str">
        <f t="shared" si="19"/>
        <v>2073 год</v>
      </c>
      <c r="AC287" s="329"/>
      <c r="AD287" s="1727"/>
      <c r="AE287" s="1726"/>
      <c r="AF287" s="1726"/>
      <c r="AG287" s="1727"/>
      <c r="AH287" s="1726"/>
      <c r="AI287" s="1727"/>
      <c r="AJ287" s="1726"/>
      <c r="AK287" s="1728"/>
      <c r="AL287" s="324"/>
      <c r="AM287" s="1184"/>
      <c r="AN287" s="973" cm="1">
        <f t="array" ref="AN287">K287</f>
        <v>2073</v>
      </c>
      <c r="AO287" s="973" t="s">
        <v>2259</v>
      </c>
      <c r="AP287" s="983" t="str" cm="1">
        <f t="array" ref="AP287">AP286</f>
        <v>транспортировка</v>
      </c>
      <c r="AQ287" s="626"/>
      <c r="AR287" s="626"/>
    </row>
    <row r="288" spans="1:44" s="1334" customFormat="1" ht="14.25" customHeight="1" x14ac:dyDescent="0.15">
      <c r="A288" s="77"/>
      <c r="B288" s="354"/>
      <c r="C288" s="77"/>
      <c r="D288" s="77"/>
      <c r="E288" s="626">
        <v>15</v>
      </c>
      <c r="F288" s="1090" t="str" cm="1">
        <f t="array" aca="1" ref="F288" ca="1">OFFSET(E288,-1,1)</f>
        <v>2</v>
      </c>
      <c r="G288" s="77" t="str">
        <f>"!== 'не определено'"</f>
        <v>!== 'не определено'</v>
      </c>
      <c r="H288" s="77"/>
      <c r="I288" s="77"/>
      <c r="J288" s="77"/>
      <c r="K288" s="77"/>
      <c r="L288" s="77"/>
      <c r="M288" s="77"/>
      <c r="N288" s="77"/>
      <c r="O288" s="77"/>
      <c r="P288" s="77"/>
      <c r="Q288" s="77"/>
      <c r="R288" s="77"/>
      <c r="S288" s="77"/>
      <c r="T288" s="388" t="b">
        <f ca="1">F288&gt;0</f>
        <v>1</v>
      </c>
      <c r="U288" s="77"/>
      <c r="V288" s="77"/>
      <c r="W288" s="748" t="s">
        <v>2260</v>
      </c>
      <c r="X288" s="2032"/>
      <c r="Y288" s="77"/>
      <c r="Z288" s="2012"/>
      <c r="AA288" s="77"/>
      <c r="AB288" s="850" t="s">
        <v>176</v>
      </c>
      <c r="AC288" s="221"/>
      <c r="AD288" s="221"/>
      <c r="AE288" s="221"/>
      <c r="AF288" s="221"/>
      <c r="AG288" s="221"/>
      <c r="AH288" s="221"/>
      <c r="AI288" s="221"/>
      <c r="AJ288" s="221"/>
      <c r="AK288" s="221"/>
      <c r="AL288" s="324"/>
      <c r="AN288" s="913"/>
      <c r="AO288" s="913"/>
      <c r="AP288" s="913"/>
      <c r="AQ288" s="916" t="s">
        <v>2259</v>
      </c>
      <c r="AR288" s="548"/>
    </row>
    <row r="289" spans="1:44" ht="10.9" customHeight="1" x14ac:dyDescent="0.15">
      <c r="E289" s="626">
        <v>11.25</v>
      </c>
      <c r="U289" s="619" t="s">
        <v>176</v>
      </c>
      <c r="V289" s="632" t="s">
        <v>2262</v>
      </c>
      <c r="AN289" s="915"/>
      <c r="AO289" s="915"/>
      <c r="AP289" s="915"/>
      <c r="AQ289" s="599"/>
      <c r="AR289" s="599"/>
    </row>
    <row r="290" spans="1:44" ht="14.65" customHeight="1" x14ac:dyDescent="0.15">
      <c r="E290" s="556">
        <v>15</v>
      </c>
      <c r="AB290" s="2039" t="s">
        <v>402</v>
      </c>
      <c r="AC290" s="2039"/>
      <c r="AD290" s="2039"/>
      <c r="AE290" s="2039"/>
      <c r="AF290" s="2039"/>
      <c r="AG290" s="2039"/>
      <c r="AH290" s="2039"/>
      <c r="AI290" s="2039"/>
      <c r="AJ290" s="2039"/>
      <c r="AK290" s="2039"/>
    </row>
    <row r="291" spans="1:44" ht="14.65" customHeight="1" x14ac:dyDescent="0.15">
      <c r="E291" s="556">
        <v>15</v>
      </c>
      <c r="AA291" s="585"/>
      <c r="AB291" s="2123" t="s">
        <v>2263</v>
      </c>
      <c r="AC291" s="2123"/>
      <c r="AD291" s="2123"/>
      <c r="AE291" s="2123"/>
      <c r="AF291" s="2123"/>
      <c r="AG291" s="2123"/>
      <c r="AH291" s="2122"/>
      <c r="AI291" s="2122"/>
      <c r="AJ291" s="2122"/>
      <c r="AK291" s="2122"/>
    </row>
    <row r="292" spans="1:44" ht="14.65" hidden="1" customHeight="1" x14ac:dyDescent="0.15">
      <c r="E292" s="556">
        <v>15</v>
      </c>
      <c r="T292" s="17" t="b">
        <f>ROW(W292)&gt;ROW(W$292)</f>
        <v>0</v>
      </c>
      <c r="W292" s="17" t="s">
        <v>172</v>
      </c>
      <c r="AA292" s="342" t="s">
        <v>173</v>
      </c>
      <c r="AB292" s="2122" t="s">
        <v>147</v>
      </c>
      <c r="AC292" s="2122"/>
      <c r="AD292" s="2122"/>
      <c r="AE292" s="2122"/>
      <c r="AF292" s="2122"/>
      <c r="AG292" s="2122"/>
      <c r="AH292" s="2122"/>
      <c r="AI292" s="2122"/>
      <c r="AJ292" s="2122"/>
      <c r="AK292" s="2130"/>
    </row>
    <row r="293" spans="1:44" s="1334" customFormat="1" ht="14.25" customHeight="1" x14ac:dyDescent="0.15">
      <c r="A293" s="1214"/>
      <c r="B293" s="1083"/>
      <c r="C293" s="1214"/>
      <c r="D293" s="1214"/>
      <c r="E293" s="556">
        <v>15</v>
      </c>
      <c r="F293" s="1214"/>
      <c r="G293" s="1214"/>
      <c r="H293" s="1214"/>
      <c r="I293" s="1214"/>
      <c r="J293" s="1214"/>
      <c r="K293" s="1214"/>
      <c r="L293" s="1214"/>
      <c r="M293" s="1214"/>
      <c r="N293" s="1214"/>
      <c r="O293" s="1214"/>
      <c r="P293" s="1214"/>
      <c r="Q293" s="1214"/>
      <c r="R293" s="1214"/>
      <c r="S293" s="1214"/>
      <c r="T293" s="17" t="b">
        <f>ROW(W293)&gt;ROW(W$292)</f>
        <v>1</v>
      </c>
      <c r="U293" s="1214"/>
      <c r="V293" s="1214"/>
      <c r="W293" s="17"/>
      <c r="X293" s="1214"/>
      <c r="Y293" s="1214" t="s">
        <v>147</v>
      </c>
      <c r="Z293" s="1214"/>
      <c r="AA293" s="342" t="s">
        <v>173</v>
      </c>
      <c r="AB293" s="2123" t="s">
        <v>2264</v>
      </c>
      <c r="AC293" s="2123"/>
      <c r="AD293" s="2123"/>
      <c r="AE293" s="2123"/>
      <c r="AF293" s="2123"/>
      <c r="AG293" s="2123"/>
      <c r="AH293" s="2123"/>
      <c r="AI293" s="2123"/>
      <c r="AJ293" s="2123"/>
      <c r="AK293" s="2138"/>
      <c r="AL293" s="1214"/>
      <c r="AM293" s="1214"/>
      <c r="AN293" s="1216"/>
      <c r="AO293" s="1216"/>
      <c r="AP293" s="1216"/>
      <c r="AQ293" s="1215"/>
      <c r="AR293" s="1215"/>
    </row>
    <row r="294" spans="1:44" s="1334" customFormat="1" ht="14.25" customHeight="1" x14ac:dyDescent="0.15">
      <c r="A294" s="1214"/>
      <c r="B294" s="1083"/>
      <c r="C294" s="1214"/>
      <c r="D294" s="1214"/>
      <c r="E294" s="556">
        <v>15</v>
      </c>
      <c r="F294" s="1214"/>
      <c r="G294" s="1214"/>
      <c r="H294" s="1214"/>
      <c r="I294" s="1214"/>
      <c r="J294" s="1214"/>
      <c r="K294" s="1214"/>
      <c r="L294" s="1214"/>
      <c r="M294" s="1214"/>
      <c r="N294" s="1214"/>
      <c r="O294" s="1214"/>
      <c r="P294" s="1214"/>
      <c r="Q294" s="1214"/>
      <c r="R294" s="1214"/>
      <c r="S294" s="1214"/>
      <c r="T294" s="17" t="b">
        <f>ROW(W294)&gt;ROW(W$292)</f>
        <v>1</v>
      </c>
      <c r="U294" s="1214"/>
      <c r="V294" s="1214"/>
      <c r="W294" s="17"/>
      <c r="X294" s="1214"/>
      <c r="Y294" s="1214" t="s">
        <v>147</v>
      </c>
      <c r="Z294" s="1214"/>
      <c r="AA294" s="342" t="s">
        <v>173</v>
      </c>
      <c r="AB294" s="2123" t="s">
        <v>2265</v>
      </c>
      <c r="AC294" s="2123"/>
      <c r="AD294" s="2123"/>
      <c r="AE294" s="2123"/>
      <c r="AF294" s="2123"/>
      <c r="AG294" s="2123"/>
      <c r="AH294" s="2123"/>
      <c r="AI294" s="2123"/>
      <c r="AJ294" s="2123"/>
      <c r="AK294" s="2138"/>
      <c r="AL294" s="1214"/>
      <c r="AM294" s="1214"/>
      <c r="AN294" s="1216"/>
      <c r="AO294" s="1216"/>
      <c r="AP294" s="1216"/>
      <c r="AQ294" s="1215"/>
      <c r="AR294" s="1215"/>
    </row>
    <row r="295" spans="1:44" ht="14.65" customHeight="1" x14ac:dyDescent="0.15">
      <c r="E295" s="556">
        <v>15</v>
      </c>
      <c r="W295" s="748" t="s">
        <v>403</v>
      </c>
      <c r="AB295" s="571"/>
      <c r="AC295" s="437" t="s">
        <v>404</v>
      </c>
      <c r="AD295" s="230"/>
      <c r="AE295" s="230"/>
      <c r="AF295" s="230"/>
      <c r="AG295" s="230"/>
      <c r="AH295" s="230"/>
      <c r="AI295" s="230"/>
      <c r="AJ295" s="230"/>
      <c r="AK295" s="633"/>
    </row>
    <row r="296" spans="1:44" ht="10.7" customHeight="1" x14ac:dyDescent="0.15">
      <c r="E296" s="556">
        <v>11</v>
      </c>
      <c r="AL296" s="348"/>
    </row>
  </sheetData>
  <sheetProtection formatColumns="0" formatRows="0" insertRows="0" deleteColumns="0" deleteRows="0" sort="0" autoFilter="0"/>
  <mergeCells count="31">
    <mergeCell ref="AB293:AK293"/>
    <mergeCell ref="AB294:AK294"/>
    <mergeCell ref="X185:X288"/>
    <mergeCell ref="Z185:Z288"/>
    <mergeCell ref="Y186:Y236"/>
    <mergeCell ref="AA186:AA236"/>
    <mergeCell ref="AB186:AK186"/>
    <mergeCell ref="Y237:Y287"/>
    <mergeCell ref="AA237:AA287"/>
    <mergeCell ref="AB237:AK237"/>
    <mergeCell ref="X81:X184"/>
    <mergeCell ref="Z81:Z184"/>
    <mergeCell ref="Y82:Y132"/>
    <mergeCell ref="AA82:AA132"/>
    <mergeCell ref="AB82:AK82"/>
    <mergeCell ref="Y133:Y183"/>
    <mergeCell ref="AA133:AA183"/>
    <mergeCell ref="AB133:AK133"/>
    <mergeCell ref="AB291:AK291"/>
    <mergeCell ref="AB290:AK290"/>
    <mergeCell ref="AB292:AK292"/>
    <mergeCell ref="AB24:AB26"/>
    <mergeCell ref="AC24:AC25"/>
    <mergeCell ref="AD24:AD25"/>
    <mergeCell ref="AE24:AE25"/>
    <mergeCell ref="AF24:AK24"/>
    <mergeCell ref="X28:X80"/>
    <mergeCell ref="Z28:Z80"/>
    <mergeCell ref="Y29:Y79"/>
    <mergeCell ref="AA29:AA79"/>
    <mergeCell ref="AB29:AK29"/>
  </mergeCells>
  <dataValidations count="1">
    <dataValidation type="decimal" allowBlank="1" showErrorMessage="1" errorTitle="Ошибка" error="Допускается ввод только неотрицательных чисел!" sqref="AK30:AK80 AK83:AK132 AK134:AK184 AK187:AK236 AK238:AK288 AJ30:AJ80 AJ83:AJ132 AJ134:AJ184 AJ187:AJ236 AJ238:AJ288 AI30:AI80 AI83:AI132 AI134:AI184 AI187:AI236 AI238:AI288 AH30:AH80 AH83:AH132 AH134:AH184 AH187:AH236 AH238:AH288 AG30:AG80 AG83:AG132 AG134:AG184 AG187:AG236 AG238:AG288 AF30:AF80 AF83:AF132 AF134:AF184 AF187:AF236 AF238:AF288 AE30:AE80 AE83:AE132 AE134:AE184 AE187:AE236 AE238:AE288 AD30:AD80 AD83:AD132 AD134:AD184 AD187:AD236 AD238:AD288 AC30:AC80 AC83:AC132 AC134:AC184 AC187:AC236 AC238:AC288" xr:uid="{00000000-0002-0000-1F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1CC08-1DB8-BB68-8CC8-E9C7B1ABDF28}">
  <sheetPr>
    <tabColor rgb="FF002060"/>
    <outlinePr summaryBelow="0" summaryRight="0"/>
    <pageSetUpPr fitToPage="1"/>
  </sheetPr>
  <dimension ref="A1:AP31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x14ac:dyDescent="0.15"/>
  <cols>
    <col min="1" max="1" width="5.140625" style="591" hidden="1" customWidth="1"/>
    <col min="2" max="2" width="9.28515625" style="1128" hidden="1" customWidth="1"/>
    <col min="3" max="3" width="5.140625" style="1128" hidden="1" customWidth="1"/>
    <col min="4" max="4" width="2.7109375" style="1128" hidden="1" customWidth="1"/>
    <col min="5" max="5" width="5.7109375" style="1081" hidden="1" customWidth="1"/>
    <col min="6" max="6" width="2.7109375" style="1128" hidden="1" customWidth="1"/>
    <col min="7" max="7" width="7.5703125" style="1128" hidden="1" customWidth="1"/>
    <col min="8" max="9" width="2.7109375" style="1128" hidden="1" customWidth="1"/>
    <col min="10" max="10" width="8.140625" style="1128" hidden="1" customWidth="1"/>
    <col min="11" max="18" width="2.7109375" style="1128" hidden="1" customWidth="1"/>
    <col min="19" max="19" width="4.42578125" style="1128" hidden="1" customWidth="1"/>
    <col min="20" max="20" width="9.140625" style="1128" hidden="1" customWidth="1"/>
    <col min="21" max="21" width="5.85546875" style="1128" hidden="1" customWidth="1"/>
    <col min="22" max="23" width="6.140625" style="1128" hidden="1" customWidth="1"/>
    <col min="24" max="25" width="5.5703125" style="1128" hidden="1" customWidth="1"/>
    <col min="26" max="26" width="5.28515625" style="1128" hidden="1" customWidth="1"/>
    <col min="27" max="27" width="3" style="1128" customWidth="1"/>
    <col min="28" max="28" width="11" style="1128" customWidth="1"/>
    <col min="29" max="29" width="58" style="1128" customWidth="1"/>
    <col min="30" max="30" width="11" style="1333" customWidth="1"/>
    <col min="31" max="31" width="18.28515625" style="1333" customWidth="1"/>
    <col min="32" max="32" width="8.7109375" style="1194"/>
    <col min="33" max="33" width="8.7109375" style="1194" hidden="1"/>
    <col min="34" max="36" width="8.7109375" style="1195" hidden="1"/>
    <col min="37" max="38" width="8.7109375" style="1196" hidden="1"/>
    <col min="39" max="42" width="8.7109375" hidden="1"/>
  </cols>
  <sheetData>
    <row r="1" spans="1:42" ht="11.25" hidden="1" customHeight="1" x14ac:dyDescent="0.15">
      <c r="E1" s="411"/>
      <c r="F1" s="411" t="s">
        <v>319</v>
      </c>
      <c r="H1" s="411" t="s">
        <v>330</v>
      </c>
      <c r="I1" s="411" t="s">
        <v>354</v>
      </c>
      <c r="T1" s="388" t="s">
        <v>92</v>
      </c>
      <c r="U1" s="388" t="s">
        <v>97</v>
      </c>
      <c r="V1" s="388" t="s">
        <v>93</v>
      </c>
      <c r="W1" s="388" t="s">
        <v>94</v>
      </c>
      <c r="X1" s="388" t="s">
        <v>95</v>
      </c>
      <c r="Y1" s="390" t="s">
        <v>321</v>
      </c>
      <c r="Z1" s="388" t="s">
        <v>99</v>
      </c>
      <c r="AA1" s="390" t="s">
        <v>96</v>
      </c>
      <c r="AB1" s="337"/>
      <c r="AC1" s="389" t="s">
        <v>98</v>
      </c>
      <c r="AH1" s="910" t="s">
        <v>322</v>
      </c>
      <c r="AI1" s="910" t="s">
        <v>323</v>
      </c>
      <c r="AJ1" s="910" t="s">
        <v>324</v>
      </c>
      <c r="AK1" s="580" t="s">
        <v>327</v>
      </c>
      <c r="AL1" s="580" t="s">
        <v>328</v>
      </c>
    </row>
    <row r="2" spans="1:42" ht="11.25" hidden="1" customHeight="1" x14ac:dyDescent="0.15">
      <c r="B2" s="1172" t="s">
        <v>18</v>
      </c>
      <c r="E2" s="411"/>
    </row>
    <row r="3" spans="1:42" ht="11.25" hidden="1" customHeight="1" x14ac:dyDescent="0.15">
      <c r="E3" s="411"/>
    </row>
    <row r="4" spans="1:42" ht="11.25" hidden="1" customHeight="1" x14ac:dyDescent="0.15">
      <c r="E4" s="411"/>
    </row>
    <row r="5" spans="1:42" s="1081" customFormat="1" ht="11.25" hidden="1" customHeight="1" x14ac:dyDescent="0.15">
      <c r="A5" s="591"/>
      <c r="B5" s="411"/>
      <c r="C5" s="411"/>
      <c r="D5" s="411"/>
      <c r="E5" s="573" t="s">
        <v>19</v>
      </c>
      <c r="AA5" s="573">
        <v>3</v>
      </c>
      <c r="AB5" s="573">
        <v>11</v>
      </c>
      <c r="AC5" s="573">
        <v>58</v>
      </c>
      <c r="AD5" s="575">
        <v>11</v>
      </c>
      <c r="AE5" s="575">
        <v>18.29</v>
      </c>
      <c r="AF5" s="580" t="s">
        <v>329</v>
      </c>
      <c r="AG5" s="580"/>
      <c r="AH5" s="910"/>
      <c r="AI5" s="910"/>
      <c r="AJ5" s="910"/>
      <c r="AK5" s="580"/>
      <c r="AL5" s="580"/>
      <c r="AM5" s="599"/>
      <c r="AN5" s="599"/>
      <c r="AO5" s="599"/>
      <c r="AP5" s="599"/>
    </row>
    <row r="6" spans="1:42" ht="13.5" hidden="1" customHeight="1" x14ac:dyDescent="0.15">
      <c r="A6" s="591" t="s">
        <v>357</v>
      </c>
      <c r="AE6" s="478">
        <f>god-2</f>
        <v>2024</v>
      </c>
    </row>
    <row r="7" spans="1:42" ht="11.25" hidden="1" customHeight="1" x14ac:dyDescent="0.15">
      <c r="AE7" s="478"/>
    </row>
    <row r="8" spans="1:42" ht="11.25" hidden="1" customHeight="1" x14ac:dyDescent="0.15">
      <c r="AE8" s="478"/>
    </row>
    <row r="9" spans="1:42" ht="11.25" hidden="1" customHeight="1" x14ac:dyDescent="0.15">
      <c r="AE9" s="478" cm="1">
        <f t="array" ref="AE9">god</f>
        <v>2026</v>
      </c>
    </row>
    <row r="10" spans="1:42" s="1082" customFormat="1" ht="11.25" hidden="1" customHeight="1" x14ac:dyDescent="0.15">
      <c r="A10" s="984" t="s">
        <v>337</v>
      </c>
      <c r="AC10" s="934" t="s">
        <v>324</v>
      </c>
      <c r="AD10" s="935"/>
      <c r="AE10" s="985"/>
      <c r="AF10" s="910"/>
      <c r="AG10" s="910"/>
      <c r="AH10" s="910"/>
      <c r="AI10" s="910"/>
      <c r="AJ10" s="910"/>
      <c r="AK10" s="580"/>
      <c r="AL10" s="580"/>
      <c r="AM10" s="915"/>
      <c r="AN10" s="915"/>
      <c r="AO10" s="915"/>
      <c r="AP10" s="915"/>
    </row>
    <row r="11" spans="1:42" ht="11.25" hidden="1" customHeight="1" x14ac:dyDescent="0.15">
      <c r="AE11" s="478"/>
    </row>
    <row r="12" spans="1:42" ht="11.25" hidden="1" customHeight="1" x14ac:dyDescent="0.15">
      <c r="AE12" s="478"/>
    </row>
    <row r="13" spans="1:42" ht="11.25" hidden="1" customHeight="1" x14ac:dyDescent="0.15">
      <c r="AE13" s="478"/>
    </row>
    <row r="14" spans="1:42" ht="11.25" hidden="1" customHeight="1" x14ac:dyDescent="0.15">
      <c r="AE14" s="478"/>
    </row>
    <row r="15" spans="1:42" ht="11.25" hidden="1" customHeight="1" x14ac:dyDescent="0.15">
      <c r="AE15" s="478"/>
    </row>
    <row r="16" spans="1:42" ht="11.25" hidden="1" customHeight="1" x14ac:dyDescent="0.15">
      <c r="AE16" s="478"/>
    </row>
    <row r="17" spans="1:42" ht="11.25" hidden="1" customHeight="1" x14ac:dyDescent="0.15">
      <c r="AE17" s="440"/>
    </row>
    <row r="18" spans="1:42" ht="11.25" hidden="1" customHeight="1" x14ac:dyDescent="0.15">
      <c r="A18" s="591" t="s">
        <v>365</v>
      </c>
      <c r="AC18" s="411" t="s">
        <v>194</v>
      </c>
    </row>
    <row r="19" spans="1:42" ht="11.25" hidden="1" customHeight="1" x14ac:dyDescent="0.15"/>
    <row r="20" spans="1:42" ht="11.25" hidden="1" customHeight="1" x14ac:dyDescent="0.15"/>
    <row r="21" spans="1:42" ht="14.65" customHeight="1" x14ac:dyDescent="0.15">
      <c r="E21" s="573">
        <v>15</v>
      </c>
      <c r="AA21" s="411"/>
      <c r="AC21" s="446" t="str" cm="1">
        <f t="array" ref="AC21">tpl_title</f>
        <v>Кемеровская область / 2026 / ООО "Чистая вода" (ИНН:4246023100, КПП:424601001) / ДПР: 2024-2032</v>
      </c>
    </row>
    <row r="22" spans="1:42" ht="43.9" customHeight="1" x14ac:dyDescent="0.15">
      <c r="E22" s="573">
        <v>45</v>
      </c>
      <c r="AB22" s="2139"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2140"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2141"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2140"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r="23" spans="1:42" ht="10.9" customHeight="1" x14ac:dyDescent="0.15">
      <c r="E23" s="573">
        <v>11.25</v>
      </c>
      <c r="AB23" s="2051"/>
      <c r="AC23" s="2051"/>
      <c r="AD23" s="2051"/>
      <c r="AE23" s="2051"/>
    </row>
    <row r="24" spans="1:42" ht="14.65" customHeight="1" x14ac:dyDescent="0.15">
      <c r="E24" s="573">
        <v>15</v>
      </c>
      <c r="AB24" s="2035" t="s">
        <v>813</v>
      </c>
      <c r="AC24" s="2083" t="s">
        <v>194</v>
      </c>
      <c r="AD24" s="2035" t="s">
        <v>367</v>
      </c>
      <c r="AE24" s="1240" t="str">
        <f>god-2&amp;" год"</f>
        <v>2024 год</v>
      </c>
    </row>
    <row r="25" spans="1:42" ht="48.75" customHeight="1" x14ac:dyDescent="0.15">
      <c r="E25" s="573">
        <v>50</v>
      </c>
      <c r="AB25" s="2035"/>
      <c r="AC25" s="2083"/>
      <c r="AD25" s="2078"/>
      <c r="AE25" s="479" t="s">
        <v>2266</v>
      </c>
    </row>
    <row r="26" spans="1:42" ht="11.25" hidden="1" customHeight="1" x14ac:dyDescent="0.15">
      <c r="E26" s="573">
        <v>0</v>
      </c>
      <c r="AB26" s="644"/>
      <c r="AC26" s="643"/>
      <c r="AD26" s="644"/>
      <c r="AE26" s="650"/>
    </row>
    <row r="27" spans="1:42" ht="14.65" hidden="1" customHeight="1" x14ac:dyDescent="0.15">
      <c r="E27" s="573">
        <v>15</v>
      </c>
      <c r="F27" s="755" cm="1">
        <f t="array" ref="F27">X27</f>
        <v>0</v>
      </c>
      <c r="G27" s="411" t="s">
        <v>824</v>
      </c>
      <c r="T27" s="388" t="b">
        <f>X27&gt;0</f>
        <v>0</v>
      </c>
      <c r="V27" s="411" t="s">
        <v>271</v>
      </c>
      <c r="X27" s="2066">
        <v>0</v>
      </c>
      <c r="Z27" s="2067"/>
      <c r="AB27" s="141" t="str" cm="1">
        <f t="array" ref="AB27">INDEX('Общие сведения'!$AG$185:$AG$228,MATCH($X27,'Общие сведения'!$Z$185:$Z$228,0))</f>
        <v xml:space="preserve">Тариф 0 () - </v>
      </c>
      <c r="AC27" s="99"/>
      <c r="AD27" s="93"/>
      <c r="AE27" s="1173">
        <f>AE28+AE78+AE115</f>
        <v>0</v>
      </c>
      <c r="AM27" s="1929"/>
      <c r="AN27" s="1929"/>
      <c r="AO27" s="1929"/>
      <c r="AP27" s="1929"/>
    </row>
    <row r="28" spans="1:42" ht="14.65" hidden="1" customHeight="1" x14ac:dyDescent="0.15">
      <c r="E28" s="573">
        <v>15</v>
      </c>
      <c r="F28" s="3" cm="1">
        <f t="array" aca="1" ref="F28" ca="1">OFFSET(E28,-1,1)</f>
        <v>0</v>
      </c>
      <c r="H28" s="411" t="s">
        <v>331</v>
      </c>
      <c r="T28" s="388" t="b" cm="1">
        <f t="array" ref="T28">T27</f>
        <v>0</v>
      </c>
      <c r="X28" s="2066"/>
      <c r="Z28" s="2067"/>
      <c r="AB28" s="1174" t="s">
        <v>282</v>
      </c>
      <c r="AC28" s="1175" t="s">
        <v>1890</v>
      </c>
      <c r="AD28" s="1176" t="s">
        <v>831</v>
      </c>
      <c r="AE28" s="1241">
        <f>AE29+AE47+AE55+AE75</f>
        <v>0</v>
      </c>
      <c r="AH28" s="910" t="s">
        <v>555</v>
      </c>
      <c r="AM28" s="1929"/>
      <c r="AN28" s="1929"/>
      <c r="AO28" s="1929"/>
      <c r="AP28" s="1929"/>
    </row>
    <row r="29" spans="1:42" ht="14.65" hidden="1" customHeight="1" x14ac:dyDescent="0.15">
      <c r="E29" s="573">
        <v>15</v>
      </c>
      <c r="F29" s="3" cm="1">
        <f t="array" aca="1" ref="F29" ca="1">OFFSET(E29,-1,1)</f>
        <v>0</v>
      </c>
      <c r="H29" s="411" t="s">
        <v>494</v>
      </c>
      <c r="T29" s="388" t="b" cm="1">
        <f t="array" ref="T29">T28</f>
        <v>0</v>
      </c>
      <c r="X29" s="2066"/>
      <c r="Z29" s="2067"/>
      <c r="AB29" s="1177" t="s">
        <v>910</v>
      </c>
      <c r="AC29" s="1178" t="s">
        <v>1680</v>
      </c>
      <c r="AD29" s="1179" t="s">
        <v>831</v>
      </c>
      <c r="AE29" s="480">
        <f>AE30+AE31+AE32+AE37+AE38+AE39</f>
        <v>0</v>
      </c>
      <c r="AH29" s="910" t="s">
        <v>1106</v>
      </c>
      <c r="AM29" s="1929"/>
      <c r="AN29" s="1929"/>
      <c r="AO29" s="1929"/>
      <c r="AP29" s="1929"/>
    </row>
    <row r="30" spans="1:42" ht="14.65" hidden="1" customHeight="1" x14ac:dyDescent="0.15">
      <c r="E30" s="573">
        <v>15</v>
      </c>
      <c r="F30" s="3" cm="1">
        <f t="array" aca="1" ref="F30" ca="1">OFFSET(E30,-1,1)</f>
        <v>0</v>
      </c>
      <c r="H30" s="411" t="s">
        <v>1016</v>
      </c>
      <c r="T30" s="388" t="b" cm="1">
        <f t="array" ref="T30">T29</f>
        <v>0</v>
      </c>
      <c r="X30" s="2066"/>
      <c r="Z30" s="2067"/>
      <c r="AB30" s="636" t="s">
        <v>1017</v>
      </c>
      <c r="AC30" s="1180" t="s">
        <v>2267</v>
      </c>
      <c r="AD30" s="471" t="s">
        <v>831</v>
      </c>
      <c r="AE30" s="1930"/>
      <c r="AH30" s="910" t="s">
        <v>1214</v>
      </c>
      <c r="AM30" s="1929"/>
      <c r="AN30" s="1929"/>
      <c r="AO30" s="1929"/>
      <c r="AP30" s="1929"/>
    </row>
    <row r="31" spans="1:42" ht="21.95" hidden="1" customHeight="1" x14ac:dyDescent="0.15">
      <c r="E31" s="573">
        <v>22.5</v>
      </c>
      <c r="F31" s="3" cm="1">
        <f t="array" aca="1" ref="F31" ca="1">OFFSET(E31,-1,1)</f>
        <v>0</v>
      </c>
      <c r="H31" s="411" t="s">
        <v>1020</v>
      </c>
      <c r="T31" s="388" t="b" cm="1">
        <f t="array" ref="T31">T30</f>
        <v>0</v>
      </c>
      <c r="X31" s="2066"/>
      <c r="Z31" s="2067"/>
      <c r="AB31" s="636" t="s">
        <v>1021</v>
      </c>
      <c r="AC31" s="472" t="s">
        <v>1898</v>
      </c>
      <c r="AD31" s="471" t="s">
        <v>831</v>
      </c>
      <c r="AE31" s="1930"/>
      <c r="AH31" s="910" t="s">
        <v>1713</v>
      </c>
      <c r="AM31" s="1929"/>
      <c r="AN31" s="1929"/>
      <c r="AO31" s="1929"/>
      <c r="AP31" s="1929"/>
    </row>
    <row r="32" spans="1:42" ht="32.85" hidden="1" customHeight="1" x14ac:dyDescent="0.15">
      <c r="E32" s="573">
        <v>33.75</v>
      </c>
      <c r="F32" s="3" cm="1">
        <f t="array" aca="1" ref="F32" ca="1">OFFSET(E32,-1,1)</f>
        <v>0</v>
      </c>
      <c r="H32" s="411" t="s">
        <v>1276</v>
      </c>
      <c r="T32" s="388" t="b" cm="1">
        <f t="array" ref="T32">T31</f>
        <v>0</v>
      </c>
      <c r="X32" s="2066"/>
      <c r="Z32" s="2067"/>
      <c r="AB32" s="636" t="s">
        <v>1277</v>
      </c>
      <c r="AC32" s="472" t="s">
        <v>2268</v>
      </c>
      <c r="AD32" s="471" t="s">
        <v>831</v>
      </c>
      <c r="AE32" s="480">
        <f>AE33+AE36</f>
        <v>0</v>
      </c>
      <c r="AH32" s="910" t="s">
        <v>1715</v>
      </c>
      <c r="AM32" s="1929"/>
      <c r="AN32" s="1929"/>
      <c r="AO32" s="1929"/>
      <c r="AP32" s="1929"/>
    </row>
    <row r="33" spans="5:42" ht="21.95" hidden="1" customHeight="1" x14ac:dyDescent="0.15">
      <c r="E33" s="573">
        <v>22.5</v>
      </c>
      <c r="F33" s="3" cm="1">
        <f t="array" aca="1" ref="F33" ca="1">OFFSET(E33,-1,1)</f>
        <v>0</v>
      </c>
      <c r="H33" s="411" t="s">
        <v>2269</v>
      </c>
      <c r="T33" s="388" t="b" cm="1">
        <f t="array" ref="T33">T32</f>
        <v>0</v>
      </c>
      <c r="X33" s="2066"/>
      <c r="Z33" s="2067"/>
      <c r="AB33" s="636" t="s">
        <v>2270</v>
      </c>
      <c r="AC33" s="1181" t="s">
        <v>2271</v>
      </c>
      <c r="AD33" s="471" t="s">
        <v>831</v>
      </c>
      <c r="AE33" s="1930"/>
      <c r="AH33" s="910" t="s">
        <v>1717</v>
      </c>
      <c r="AM33" s="1929"/>
      <c r="AN33" s="1929"/>
      <c r="AO33" s="1929"/>
      <c r="AP33" s="1929"/>
    </row>
    <row r="34" spans="5:42" ht="21.95" hidden="1" customHeight="1" x14ac:dyDescent="0.15">
      <c r="E34" s="573">
        <v>22.5</v>
      </c>
      <c r="F34" s="3" cm="1">
        <f t="array" aca="1" ref="F34" ca="1">OFFSET(E34,-1,1)</f>
        <v>0</v>
      </c>
      <c r="H34" s="411" t="s">
        <v>2272</v>
      </c>
      <c r="T34" s="388" t="b" cm="1">
        <f t="array" ref="T34">T33</f>
        <v>0</v>
      </c>
      <c r="X34" s="2066"/>
      <c r="Z34" s="2067"/>
      <c r="AB34" s="636" t="s">
        <v>2273</v>
      </c>
      <c r="AC34" s="1182" t="s">
        <v>2274</v>
      </c>
      <c r="AD34" s="471" t="s">
        <v>2275</v>
      </c>
      <c r="AE34" s="1930"/>
      <c r="AH34" s="910" t="s">
        <v>2276</v>
      </c>
      <c r="AM34" s="1929"/>
      <c r="AN34" s="1929"/>
      <c r="AO34" s="1929"/>
      <c r="AP34" s="1929"/>
    </row>
    <row r="35" spans="5:42" ht="21.95" hidden="1" customHeight="1" x14ac:dyDescent="0.15">
      <c r="E35" s="573">
        <v>22.5</v>
      </c>
      <c r="F35" s="3" cm="1">
        <f t="array" aca="1" ref="F35" ca="1">OFFSET(E35,-1,1)</f>
        <v>0</v>
      </c>
      <c r="H35" s="411" t="s">
        <v>2277</v>
      </c>
      <c r="T35" s="388" t="b" cm="1">
        <f t="array" ref="T35">T34</f>
        <v>0</v>
      </c>
      <c r="X35" s="2066"/>
      <c r="Z35" s="2067"/>
      <c r="AB35" s="636" t="s">
        <v>2278</v>
      </c>
      <c r="AC35" s="474" t="s">
        <v>2279</v>
      </c>
      <c r="AD35" s="471" t="s">
        <v>2280</v>
      </c>
      <c r="AE35" s="1930"/>
      <c r="AH35" s="910" t="s">
        <v>2281</v>
      </c>
      <c r="AM35" s="1929"/>
      <c r="AN35" s="1929"/>
      <c r="AO35" s="1929"/>
      <c r="AP35" s="1929"/>
    </row>
    <row r="36" spans="5:42" ht="21.95" hidden="1" customHeight="1" x14ac:dyDescent="0.15">
      <c r="E36" s="573">
        <v>22.5</v>
      </c>
      <c r="F36" s="3" cm="1">
        <f t="array" aca="1" ref="F36" ca="1">OFFSET(E36,-1,1)</f>
        <v>0</v>
      </c>
      <c r="H36" s="411" t="s">
        <v>2282</v>
      </c>
      <c r="T36" s="388" t="b" cm="1">
        <f t="array" ref="T36">T35</f>
        <v>0</v>
      </c>
      <c r="X36" s="2066"/>
      <c r="Z36" s="2067"/>
      <c r="AB36" s="636" t="s">
        <v>2283</v>
      </c>
      <c r="AC36" s="473" t="s">
        <v>2284</v>
      </c>
      <c r="AD36" s="471" t="s">
        <v>831</v>
      </c>
      <c r="AE36" s="1930"/>
      <c r="AH36" s="910" t="s">
        <v>1719</v>
      </c>
      <c r="AM36" s="1929"/>
      <c r="AN36" s="1929"/>
      <c r="AO36" s="1929"/>
      <c r="AP36" s="1929"/>
    </row>
    <row r="37" spans="5:42" ht="14.65" hidden="1" customHeight="1" x14ac:dyDescent="0.15">
      <c r="E37" s="573">
        <v>15</v>
      </c>
      <c r="F37" s="3" cm="1">
        <f t="array" aca="1" ref="F37" ca="1">OFFSET(E37,-1,1)</f>
        <v>0</v>
      </c>
      <c r="H37" s="411" t="s">
        <v>1280</v>
      </c>
      <c r="T37" s="388" t="b" cm="1">
        <f t="array" ref="T37">T36</f>
        <v>0</v>
      </c>
      <c r="X37" s="2066"/>
      <c r="Z37" s="2067"/>
      <c r="AB37" s="636" t="s">
        <v>1281</v>
      </c>
      <c r="AC37" s="472" t="s">
        <v>2285</v>
      </c>
      <c r="AD37" s="471" t="s">
        <v>831</v>
      </c>
      <c r="AE37" s="1930"/>
      <c r="AH37" s="910" t="s">
        <v>2079</v>
      </c>
      <c r="AM37" s="1929"/>
      <c r="AN37" s="1929"/>
      <c r="AO37" s="1929"/>
      <c r="AP37" s="1929"/>
    </row>
    <row r="38" spans="5:42" ht="14.65" hidden="1" customHeight="1" x14ac:dyDescent="0.15">
      <c r="E38" s="573">
        <v>15</v>
      </c>
      <c r="F38" s="3" cm="1">
        <f t="array" aca="1" ref="F38" ca="1">OFFSET(E38,-1,1)</f>
        <v>0</v>
      </c>
      <c r="H38" s="411" t="s">
        <v>2286</v>
      </c>
      <c r="T38" s="388" t="b" cm="1">
        <f t="array" ref="T38">T37</f>
        <v>0</v>
      </c>
      <c r="X38" s="2066"/>
      <c r="Z38" s="2067"/>
      <c r="AB38" s="636" t="s">
        <v>1284</v>
      </c>
      <c r="AC38" s="472" t="s">
        <v>1904</v>
      </c>
      <c r="AD38" s="471" t="s">
        <v>831</v>
      </c>
      <c r="AE38" s="1930"/>
      <c r="AH38" s="910" t="s">
        <v>1724</v>
      </c>
      <c r="AM38" s="1929"/>
      <c r="AN38" s="1929"/>
      <c r="AO38" s="1929"/>
      <c r="AP38" s="1929"/>
    </row>
    <row r="39" spans="5:42" ht="14.65" hidden="1" customHeight="1" x14ac:dyDescent="0.15">
      <c r="E39" s="573">
        <v>15</v>
      </c>
      <c r="F39" s="3" cm="1">
        <f t="array" aca="1" ref="F39" ca="1">OFFSET(E39,-1,1)</f>
        <v>0</v>
      </c>
      <c r="H39" s="411" t="s">
        <v>2287</v>
      </c>
      <c r="T39" s="388" t="b" cm="1">
        <f t="array" ref="T39">T38</f>
        <v>0</v>
      </c>
      <c r="X39" s="2066"/>
      <c r="Z39" s="2067"/>
      <c r="AB39" s="636" t="s">
        <v>2288</v>
      </c>
      <c r="AC39" s="472" t="s">
        <v>2289</v>
      </c>
      <c r="AD39" s="471" t="s">
        <v>831</v>
      </c>
      <c r="AE39" s="480">
        <f>SUM(AE40:AE46)</f>
        <v>0</v>
      </c>
      <c r="AH39" s="910" t="s">
        <v>1728</v>
      </c>
      <c r="AM39" s="1929"/>
      <c r="AN39" s="1929"/>
      <c r="AO39" s="1929"/>
      <c r="AP39" s="1929"/>
    </row>
    <row r="40" spans="5:42" ht="14.65" hidden="1" customHeight="1" x14ac:dyDescent="0.15">
      <c r="E40" s="573">
        <v>15</v>
      </c>
      <c r="F40" s="3" cm="1">
        <f t="array" aca="1" ref="F40" ca="1">OFFSET(E40,-1,1)</f>
        <v>0</v>
      </c>
      <c r="H40" s="411" t="s">
        <v>2290</v>
      </c>
      <c r="T40" s="388" t="b" cm="1">
        <f t="array" ref="T40">T39</f>
        <v>0</v>
      </c>
      <c r="X40" s="2066"/>
      <c r="Z40" s="2067"/>
      <c r="AB40" s="636" t="s">
        <v>2291</v>
      </c>
      <c r="AC40" s="473" t="s">
        <v>1735</v>
      </c>
      <c r="AD40" s="471" t="s">
        <v>831</v>
      </c>
      <c r="AE40" s="1930"/>
      <c r="AH40" s="910" t="s">
        <v>2292</v>
      </c>
      <c r="AM40" s="1929"/>
      <c r="AN40" s="1929"/>
      <c r="AO40" s="1929"/>
      <c r="AP40" s="1929"/>
    </row>
    <row r="41" spans="5:42" ht="21.95" hidden="1" customHeight="1" x14ac:dyDescent="0.15">
      <c r="E41" s="573">
        <v>22.5</v>
      </c>
      <c r="F41" s="3" cm="1">
        <f t="array" aca="1" ref="F41" ca="1">OFFSET(E41,-1,1)</f>
        <v>0</v>
      </c>
      <c r="H41" s="411" t="s">
        <v>2293</v>
      </c>
      <c r="T41" s="388" t="b" cm="1">
        <f t="array" ref="T41">T40</f>
        <v>0</v>
      </c>
      <c r="X41" s="2066"/>
      <c r="Z41" s="2067"/>
      <c r="AB41" s="636" t="s">
        <v>2294</v>
      </c>
      <c r="AC41" s="473" t="s">
        <v>1912</v>
      </c>
      <c r="AD41" s="471" t="s">
        <v>831</v>
      </c>
      <c r="AE41" s="1930"/>
      <c r="AH41" s="973" t="s">
        <v>1913</v>
      </c>
      <c r="AM41" s="1929"/>
      <c r="AN41" s="1929"/>
      <c r="AO41" s="1929"/>
      <c r="AP41" s="1929"/>
    </row>
    <row r="42" spans="5:42" ht="21.95" hidden="1" customHeight="1" x14ac:dyDescent="0.15">
      <c r="E42" s="573">
        <v>22.5</v>
      </c>
      <c r="F42" s="3" cm="1">
        <f t="array" aca="1" ref="F42" ca="1">OFFSET(E42,-1,1)</f>
        <v>0</v>
      </c>
      <c r="H42" s="411" t="s">
        <v>2295</v>
      </c>
      <c r="T42" s="388" t="b" cm="1">
        <f t="array" ref="T42">T41</f>
        <v>0</v>
      </c>
      <c r="X42" s="2066"/>
      <c r="Z42" s="2067"/>
      <c r="AB42" s="636" t="s">
        <v>2296</v>
      </c>
      <c r="AC42" s="473" t="s">
        <v>1916</v>
      </c>
      <c r="AD42" s="471" t="s">
        <v>831</v>
      </c>
      <c r="AE42" s="1930"/>
      <c r="AH42" s="973" t="s">
        <v>1917</v>
      </c>
      <c r="AM42" s="1929"/>
      <c r="AN42" s="1929"/>
      <c r="AO42" s="1929"/>
      <c r="AP42" s="1929"/>
    </row>
    <row r="43" spans="5:42" ht="21.95" hidden="1" customHeight="1" x14ac:dyDescent="0.15">
      <c r="E43" s="573">
        <v>22.5</v>
      </c>
      <c r="F43" s="3" cm="1">
        <f t="array" aca="1" ref="F43" ca="1">OFFSET(E43,-1,1)</f>
        <v>0</v>
      </c>
      <c r="H43" s="411" t="s">
        <v>2297</v>
      </c>
      <c r="T43" s="388" t="b" cm="1">
        <f t="array" ref="T43">T42</f>
        <v>0</v>
      </c>
      <c r="X43" s="2066"/>
      <c r="Z43" s="2067"/>
      <c r="AB43" s="636" t="s">
        <v>2298</v>
      </c>
      <c r="AC43" s="473" t="s">
        <v>2299</v>
      </c>
      <c r="AD43" s="471" t="s">
        <v>831</v>
      </c>
      <c r="AE43" s="1930"/>
      <c r="AH43" s="973" t="s">
        <v>1921</v>
      </c>
      <c r="AM43" s="1929"/>
      <c r="AN43" s="1929"/>
      <c r="AO43" s="1929"/>
      <c r="AP43" s="1929"/>
    </row>
    <row r="44" spans="5:42" ht="54.75" hidden="1" customHeight="1" x14ac:dyDescent="0.15">
      <c r="E44" s="573">
        <v>56.25</v>
      </c>
      <c r="F44" s="3" cm="1">
        <f t="array" aca="1" ref="F44" ca="1">OFFSET(E44,-1,1)</f>
        <v>0</v>
      </c>
      <c r="H44" s="411" t="s">
        <v>2300</v>
      </c>
      <c r="T44" s="388" t="b" cm="1">
        <f t="array" ref="T44">T43</f>
        <v>0</v>
      </c>
      <c r="X44" s="2066"/>
      <c r="Z44" s="2067"/>
      <c r="AB44" s="636" t="s">
        <v>2301</v>
      </c>
      <c r="AC44" s="473" t="s">
        <v>1924</v>
      </c>
      <c r="AD44" s="471" t="s">
        <v>831</v>
      </c>
      <c r="AE44" s="1930"/>
      <c r="AH44" s="973" t="s">
        <v>1740</v>
      </c>
      <c r="AM44" s="1929"/>
      <c r="AN44" s="1929"/>
      <c r="AO44" s="1929"/>
      <c r="AP44" s="1929"/>
    </row>
    <row r="45" spans="5:42" ht="14.65" hidden="1" customHeight="1" x14ac:dyDescent="0.15">
      <c r="E45" s="573">
        <v>15</v>
      </c>
      <c r="F45" s="3" cm="1">
        <f t="array" aca="1" ref="F45" ca="1">OFFSET(E45,-1,1)</f>
        <v>0</v>
      </c>
      <c r="H45" s="411" t="s">
        <v>2302</v>
      </c>
      <c r="T45" s="388" t="b" cm="1">
        <f t="array" ref="T45">T44</f>
        <v>0</v>
      </c>
      <c r="X45" s="2066"/>
      <c r="Z45" s="2067"/>
      <c r="AB45" s="636" t="s">
        <v>2303</v>
      </c>
      <c r="AC45" s="473" t="s">
        <v>1743</v>
      </c>
      <c r="AD45" s="471" t="s">
        <v>831</v>
      </c>
      <c r="AE45" s="1930"/>
      <c r="AH45" s="973" t="s">
        <v>1744</v>
      </c>
      <c r="AM45" s="1929"/>
      <c r="AN45" s="1929"/>
      <c r="AO45" s="1929"/>
      <c r="AP45" s="1929"/>
    </row>
    <row r="46" spans="5:42" ht="14.65" hidden="1" customHeight="1" x14ac:dyDescent="0.15">
      <c r="E46" s="573">
        <v>15</v>
      </c>
      <c r="F46" s="3" cm="1">
        <f t="array" aca="1" ref="F46" ca="1">OFFSET(E46,-1,1)</f>
        <v>0</v>
      </c>
      <c r="H46" s="411" t="s">
        <v>2304</v>
      </c>
      <c r="T46" s="388" t="b" cm="1">
        <f t="array" ref="T46">T45</f>
        <v>0</v>
      </c>
      <c r="X46" s="2066"/>
      <c r="Z46" s="2067"/>
      <c r="AB46" s="636" t="s">
        <v>2305</v>
      </c>
      <c r="AC46" s="473" t="s">
        <v>1204</v>
      </c>
      <c r="AD46" s="471" t="s">
        <v>831</v>
      </c>
      <c r="AE46" s="1930"/>
      <c r="AH46" s="973" t="s">
        <v>1728</v>
      </c>
      <c r="AM46" s="1929"/>
      <c r="AN46" s="1929"/>
      <c r="AO46" s="1929"/>
      <c r="AP46" s="1929"/>
    </row>
    <row r="47" spans="5:42" ht="14.65" hidden="1" customHeight="1" x14ac:dyDescent="0.25">
      <c r="E47" s="573">
        <v>15</v>
      </c>
      <c r="F47" s="3" cm="1">
        <f t="array" aca="1" ref="F47" ca="1">OFFSET(E47,-1,1)</f>
        <v>0</v>
      </c>
      <c r="H47" s="411" t="s">
        <v>498</v>
      </c>
      <c r="T47" s="388" t="b" cm="1">
        <f t="array" ref="T47">T46</f>
        <v>0</v>
      </c>
      <c r="X47" s="2066"/>
      <c r="Z47" s="2067"/>
      <c r="AB47" s="636" t="s">
        <v>913</v>
      </c>
      <c r="AC47" s="470" t="s">
        <v>2306</v>
      </c>
      <c r="AD47" s="471" t="s">
        <v>831</v>
      </c>
      <c r="AE47" s="480">
        <f>AE48+AE49+AE50</f>
        <v>0</v>
      </c>
      <c r="AH47" s="972" t="s">
        <v>1749</v>
      </c>
      <c r="AM47" s="1929"/>
      <c r="AN47" s="1929"/>
      <c r="AO47" s="1929"/>
      <c r="AP47" s="1929"/>
    </row>
    <row r="48" spans="5:42" ht="14.65" hidden="1" customHeight="1" x14ac:dyDescent="0.25">
      <c r="E48" s="573">
        <v>15</v>
      </c>
      <c r="F48" s="3" cm="1">
        <f t="array" aca="1" ref="F48" ca="1">OFFSET(E48,-1,1)</f>
        <v>0</v>
      </c>
      <c r="H48" s="411" t="s">
        <v>1301</v>
      </c>
      <c r="T48" s="388" t="b" cm="1">
        <f t="array" ref="T48">T47</f>
        <v>0</v>
      </c>
      <c r="X48" s="2066"/>
      <c r="Z48" s="2067"/>
      <c r="AB48" s="636" t="s">
        <v>1302</v>
      </c>
      <c r="AC48" s="472" t="s">
        <v>2307</v>
      </c>
      <c r="AD48" s="471" t="s">
        <v>831</v>
      </c>
      <c r="AE48" s="1930"/>
      <c r="AH48" s="971" t="s">
        <v>1751</v>
      </c>
      <c r="AM48" s="1929"/>
      <c r="AN48" s="1929"/>
      <c r="AO48" s="1929"/>
      <c r="AP48" s="1929"/>
    </row>
    <row r="49" spans="5:42" ht="14.65" hidden="1" customHeight="1" x14ac:dyDescent="0.15">
      <c r="E49" s="573">
        <v>15</v>
      </c>
      <c r="F49" s="3" cm="1">
        <f t="array" aca="1" ref="F49" ca="1">OFFSET(E49,-1,1)</f>
        <v>0</v>
      </c>
      <c r="H49" s="411" t="s">
        <v>1304</v>
      </c>
      <c r="T49" s="388" t="b" cm="1">
        <f t="array" ref="T49">T48</f>
        <v>0</v>
      </c>
      <c r="X49" s="2066"/>
      <c r="Z49" s="2067"/>
      <c r="AB49" s="636" t="s">
        <v>1305</v>
      </c>
      <c r="AC49" s="472" t="s">
        <v>2308</v>
      </c>
      <c r="AD49" s="471" t="s">
        <v>831</v>
      </c>
      <c r="AE49" s="1930"/>
      <c r="AH49" s="973" t="s">
        <v>1932</v>
      </c>
      <c r="AM49" s="1929"/>
      <c r="AN49" s="1929"/>
      <c r="AO49" s="1929"/>
      <c r="AP49" s="1929"/>
    </row>
    <row r="50" spans="5:42" ht="21.95" hidden="1" customHeight="1" x14ac:dyDescent="0.25">
      <c r="E50" s="573">
        <v>22.5</v>
      </c>
      <c r="F50" s="3" cm="1">
        <f t="array" aca="1" ref="F50" ca="1">OFFSET(E50,-1,1)</f>
        <v>0</v>
      </c>
      <c r="H50" s="411" t="s">
        <v>1308</v>
      </c>
      <c r="T50" s="388" t="b" cm="1">
        <f t="array" ref="T50">T49</f>
        <v>0</v>
      </c>
      <c r="X50" s="2066"/>
      <c r="Z50" s="2067"/>
      <c r="AB50" s="636" t="s">
        <v>1309</v>
      </c>
      <c r="AC50" s="472" t="s">
        <v>2309</v>
      </c>
      <c r="AD50" s="471" t="s">
        <v>831</v>
      </c>
      <c r="AE50" s="480">
        <f>AE51+AE54</f>
        <v>0</v>
      </c>
      <c r="AH50" s="971" t="s">
        <v>1753</v>
      </c>
      <c r="AM50" s="1929"/>
      <c r="AN50" s="1929"/>
      <c r="AO50" s="1929"/>
      <c r="AP50" s="1929"/>
    </row>
    <row r="51" spans="5:42" ht="14.65" hidden="1" customHeight="1" x14ac:dyDescent="0.25">
      <c r="E51" s="573">
        <v>15</v>
      </c>
      <c r="F51" s="3" cm="1">
        <f t="array" aca="1" ref="F51" ca="1">OFFSET(E51,-1,1)</f>
        <v>0</v>
      </c>
      <c r="H51" s="411" t="s">
        <v>1454</v>
      </c>
      <c r="T51" s="388" t="b" cm="1">
        <f t="array" ref="T51">T50</f>
        <v>0</v>
      </c>
      <c r="X51" s="2066"/>
      <c r="Z51" s="2067"/>
      <c r="AB51" s="636" t="s">
        <v>1901</v>
      </c>
      <c r="AC51" s="473" t="s">
        <v>1755</v>
      </c>
      <c r="AD51" s="471" t="s">
        <v>831</v>
      </c>
      <c r="AE51" s="1930"/>
      <c r="AH51" s="971" t="s">
        <v>1756</v>
      </c>
      <c r="AM51" s="1929"/>
      <c r="AN51" s="1929"/>
      <c r="AO51" s="1929"/>
      <c r="AP51" s="1929"/>
    </row>
    <row r="52" spans="5:42" ht="14.65" hidden="1" customHeight="1" x14ac:dyDescent="0.15">
      <c r="E52" s="573">
        <v>15</v>
      </c>
      <c r="F52" s="3" cm="1">
        <f t="array" aca="1" ref="F52" ca="1">OFFSET(E52,-1,1)</f>
        <v>0</v>
      </c>
      <c r="H52" s="411" t="s">
        <v>2310</v>
      </c>
      <c r="T52" s="388" t="b" cm="1">
        <f t="array" ref="T52">T51</f>
        <v>0</v>
      </c>
      <c r="X52" s="2066"/>
      <c r="Z52" s="2067"/>
      <c r="AB52" s="636" t="s">
        <v>2311</v>
      </c>
      <c r="AC52" s="474" t="s">
        <v>2312</v>
      </c>
      <c r="AD52" s="471" t="s">
        <v>2275</v>
      </c>
      <c r="AE52" s="1930"/>
      <c r="AH52" s="910" t="s">
        <v>2313</v>
      </c>
      <c r="AM52" s="1929"/>
      <c r="AN52" s="1929"/>
      <c r="AO52" s="1929"/>
      <c r="AP52" s="1929"/>
    </row>
    <row r="53" spans="5:42" ht="14.65" hidden="1" customHeight="1" x14ac:dyDescent="0.15">
      <c r="E53" s="573">
        <v>15</v>
      </c>
      <c r="F53" s="3" cm="1">
        <f t="array" aca="1" ref="F53" ca="1">OFFSET(E53,-1,1)</f>
        <v>0</v>
      </c>
      <c r="H53" s="411" t="s">
        <v>2314</v>
      </c>
      <c r="T53" s="388" t="b" cm="1">
        <f t="array" ref="T53">T52</f>
        <v>0</v>
      </c>
      <c r="X53" s="2066"/>
      <c r="Z53" s="2067"/>
      <c r="AB53" s="636" t="s">
        <v>2315</v>
      </c>
      <c r="AC53" s="474" t="s">
        <v>2316</v>
      </c>
      <c r="AD53" s="471" t="s">
        <v>2280</v>
      </c>
      <c r="AE53" s="1930"/>
      <c r="AH53" s="910" t="s">
        <v>2317</v>
      </c>
      <c r="AM53" s="1929"/>
      <c r="AN53" s="1929"/>
      <c r="AO53" s="1929"/>
      <c r="AP53" s="1929"/>
    </row>
    <row r="54" spans="5:42" ht="21.95" hidden="1" customHeight="1" x14ac:dyDescent="0.25">
      <c r="E54" s="573">
        <v>22.5</v>
      </c>
      <c r="F54" s="3" cm="1">
        <f t="array" aca="1" ref="F54" ca="1">OFFSET(E54,-1,1)</f>
        <v>0</v>
      </c>
      <c r="H54" s="411" t="s">
        <v>1458</v>
      </c>
      <c r="T54" s="388" t="b" cm="1">
        <f t="array" ref="T54">T53</f>
        <v>0</v>
      </c>
      <c r="X54" s="2066"/>
      <c r="Z54" s="2067"/>
      <c r="AB54" s="636" t="s">
        <v>1902</v>
      </c>
      <c r="AC54" s="473" t="s">
        <v>1938</v>
      </c>
      <c r="AD54" s="471" t="s">
        <v>831</v>
      </c>
      <c r="AE54" s="1930"/>
      <c r="AH54" s="971" t="s">
        <v>1759</v>
      </c>
      <c r="AM54" s="1929"/>
      <c r="AN54" s="1929"/>
      <c r="AO54" s="1929"/>
      <c r="AP54" s="1929"/>
    </row>
    <row r="55" spans="5:42" ht="14.65" hidden="1" customHeight="1" x14ac:dyDescent="0.25">
      <c r="E55" s="573">
        <v>15</v>
      </c>
      <c r="F55" s="3" cm="1">
        <f t="array" aca="1" ref="F55" ca="1">OFFSET(E55,-1,1)</f>
        <v>0</v>
      </c>
      <c r="H55" s="411" t="s">
        <v>501</v>
      </c>
      <c r="T55" s="388" t="b" cm="1">
        <f t="array" ref="T55">T54</f>
        <v>0</v>
      </c>
      <c r="X55" s="2066"/>
      <c r="Z55" s="2067"/>
      <c r="AB55" s="636" t="s">
        <v>916</v>
      </c>
      <c r="AC55" s="470" t="s">
        <v>1939</v>
      </c>
      <c r="AD55" s="471" t="s">
        <v>831</v>
      </c>
      <c r="AE55" s="480">
        <f>AE56+AE62+AE67+AE68+AE69+AE70+AE71</f>
        <v>0</v>
      </c>
      <c r="AH55" s="972" t="s">
        <v>1761</v>
      </c>
      <c r="AM55" s="1929"/>
      <c r="AN55" s="1929"/>
      <c r="AO55" s="1929"/>
      <c r="AP55" s="1929"/>
    </row>
    <row r="56" spans="5:42" ht="21.95" hidden="1" customHeight="1" x14ac:dyDescent="0.25">
      <c r="E56" s="573">
        <v>22.5</v>
      </c>
      <c r="F56" s="3" cm="1">
        <f t="array" aca="1" ref="F56" ca="1">OFFSET(E56,-1,1)</f>
        <v>0</v>
      </c>
      <c r="H56" s="411" t="s">
        <v>1314</v>
      </c>
      <c r="T56" s="388" t="b" cm="1">
        <f t="array" ref="T56">T55</f>
        <v>0</v>
      </c>
      <c r="X56" s="2066"/>
      <c r="Z56" s="2067"/>
      <c r="AB56" s="636" t="s">
        <v>1315</v>
      </c>
      <c r="AC56" s="472" t="s">
        <v>1762</v>
      </c>
      <c r="AD56" s="471" t="s">
        <v>831</v>
      </c>
      <c r="AE56" s="480">
        <f>SUM(AE57:AE61)</f>
        <v>0</v>
      </c>
      <c r="AH56" s="971" t="s">
        <v>1157</v>
      </c>
      <c r="AM56" s="1929"/>
      <c r="AN56" s="1929"/>
      <c r="AO56" s="1929"/>
      <c r="AP56" s="1929"/>
    </row>
    <row r="57" spans="5:42" ht="14.65" hidden="1" customHeight="1" x14ac:dyDescent="0.15">
      <c r="E57" s="573">
        <v>15</v>
      </c>
      <c r="F57" s="3" cm="1">
        <f t="array" aca="1" ref="F57" ca="1">OFFSET(E57,-1,1)</f>
        <v>0</v>
      </c>
      <c r="H57" s="411" t="s">
        <v>2318</v>
      </c>
      <c r="T57" s="388" t="b" cm="1">
        <f t="array" ref="T57">T56</f>
        <v>0</v>
      </c>
      <c r="X57" s="2066"/>
      <c r="Z57" s="2067"/>
      <c r="AB57" s="636" t="s">
        <v>2319</v>
      </c>
      <c r="AC57" s="473" t="s">
        <v>1159</v>
      </c>
      <c r="AD57" s="471" t="s">
        <v>831</v>
      </c>
      <c r="AE57" s="1930"/>
      <c r="AH57" s="973" t="s">
        <v>1160</v>
      </c>
      <c r="AM57" s="1929"/>
      <c r="AN57" s="1929"/>
      <c r="AO57" s="1929"/>
      <c r="AP57" s="1929"/>
    </row>
    <row r="58" spans="5:42" ht="14.65" hidden="1" customHeight="1" x14ac:dyDescent="0.15">
      <c r="E58" s="573">
        <v>15</v>
      </c>
      <c r="F58" s="3" cm="1">
        <f t="array" aca="1" ref="F58" ca="1">OFFSET(E58,-1,1)</f>
        <v>0</v>
      </c>
      <c r="H58" s="411" t="s">
        <v>2320</v>
      </c>
      <c r="T58" s="388" t="b" cm="1">
        <f t="array" ref="T58">T57</f>
        <v>0</v>
      </c>
      <c r="X58" s="2066"/>
      <c r="Z58" s="2067"/>
      <c r="AB58" s="636" t="s">
        <v>2321</v>
      </c>
      <c r="AC58" s="473" t="s">
        <v>1162</v>
      </c>
      <c r="AD58" s="471" t="s">
        <v>831</v>
      </c>
      <c r="AE58" s="1930"/>
      <c r="AH58" s="973" t="s">
        <v>1163</v>
      </c>
      <c r="AM58" s="1929"/>
      <c r="AN58" s="1929"/>
      <c r="AO58" s="1929"/>
      <c r="AP58" s="1929"/>
    </row>
    <row r="59" spans="5:42" ht="14.65" hidden="1" customHeight="1" x14ac:dyDescent="0.15">
      <c r="E59" s="573">
        <v>15</v>
      </c>
      <c r="F59" s="3" cm="1">
        <f t="array" aca="1" ref="F59" ca="1">OFFSET(E59,-1,1)</f>
        <v>0</v>
      </c>
      <c r="H59" s="411" t="s">
        <v>2322</v>
      </c>
      <c r="T59" s="388" t="b" cm="1">
        <f t="array" ref="T59">T58</f>
        <v>0</v>
      </c>
      <c r="X59" s="2066"/>
      <c r="Z59" s="2067"/>
      <c r="AB59" s="636" t="s">
        <v>2323</v>
      </c>
      <c r="AC59" s="473" t="s">
        <v>1165</v>
      </c>
      <c r="AD59" s="471" t="s">
        <v>831</v>
      </c>
      <c r="AE59" s="1930"/>
      <c r="AH59" s="973" t="s">
        <v>1166</v>
      </c>
      <c r="AM59" s="1929"/>
      <c r="AN59" s="1929"/>
      <c r="AO59" s="1929"/>
      <c r="AP59" s="1929"/>
    </row>
    <row r="60" spans="5:42" ht="14.65" hidden="1" customHeight="1" x14ac:dyDescent="0.15">
      <c r="E60" s="573">
        <v>15</v>
      </c>
      <c r="F60" s="3" cm="1">
        <f t="array" aca="1" ref="F60" ca="1">OFFSET(E60,-1,1)</f>
        <v>0</v>
      </c>
      <c r="H60" s="411" t="s">
        <v>2324</v>
      </c>
      <c r="T60" s="388" t="b" cm="1">
        <f t="array" ref="T60">T59</f>
        <v>0</v>
      </c>
      <c r="X60" s="2066"/>
      <c r="Z60" s="2067"/>
      <c r="AB60" s="636" t="s">
        <v>2325</v>
      </c>
      <c r="AC60" s="473" t="s">
        <v>1168</v>
      </c>
      <c r="AD60" s="471" t="s">
        <v>831</v>
      </c>
      <c r="AE60" s="1930"/>
      <c r="AH60" s="973" t="s">
        <v>1169</v>
      </c>
      <c r="AM60" s="1929"/>
      <c r="AN60" s="1929"/>
      <c r="AO60" s="1929"/>
      <c r="AP60" s="1929"/>
    </row>
    <row r="61" spans="5:42" ht="14.65" hidden="1" customHeight="1" x14ac:dyDescent="0.15">
      <c r="E61" s="573">
        <v>15</v>
      </c>
      <c r="F61" s="3" cm="1">
        <f t="array" aca="1" ref="F61" ca="1">OFFSET(E61,-1,1)</f>
        <v>0</v>
      </c>
      <c r="H61" s="411" t="s">
        <v>2326</v>
      </c>
      <c r="T61" s="388" t="b" cm="1">
        <f t="array" ref="T61">T60</f>
        <v>0</v>
      </c>
      <c r="X61" s="2066"/>
      <c r="Z61" s="2067"/>
      <c r="AB61" s="636" t="s">
        <v>2327</v>
      </c>
      <c r="AC61" s="473" t="s">
        <v>1176</v>
      </c>
      <c r="AD61" s="471" t="s">
        <v>831</v>
      </c>
      <c r="AE61" s="1930"/>
      <c r="AH61" s="973" t="s">
        <v>1177</v>
      </c>
      <c r="AM61" s="1929"/>
      <c r="AN61" s="1929"/>
      <c r="AO61" s="1929"/>
      <c r="AP61" s="1929"/>
    </row>
    <row r="62" spans="5:42" ht="32.85" hidden="1" customHeight="1" x14ac:dyDescent="0.25">
      <c r="E62" s="573">
        <v>33.75</v>
      </c>
      <c r="F62" s="3" cm="1">
        <f t="array" aca="1" ref="F62" ca="1">OFFSET(E62,-1,1)</f>
        <v>0</v>
      </c>
      <c r="H62" s="411" t="s">
        <v>1318</v>
      </c>
      <c r="T62" s="388" t="b" cm="1">
        <f t="array" ref="T62">T61</f>
        <v>0</v>
      </c>
      <c r="X62" s="2066"/>
      <c r="Z62" s="2067"/>
      <c r="AB62" s="636" t="s">
        <v>1319</v>
      </c>
      <c r="AC62" s="472" t="s">
        <v>2328</v>
      </c>
      <c r="AD62" s="471" t="s">
        <v>831</v>
      </c>
      <c r="AE62" s="480">
        <f>AE63+AE66</f>
        <v>0</v>
      </c>
      <c r="AH62" s="971" t="s">
        <v>1764</v>
      </c>
      <c r="AM62" s="1929"/>
      <c r="AN62" s="1929"/>
      <c r="AO62" s="1929"/>
      <c r="AP62" s="1929"/>
    </row>
    <row r="63" spans="5:42" ht="21.95" hidden="1" customHeight="1" x14ac:dyDescent="0.25">
      <c r="E63" s="573">
        <v>22.5</v>
      </c>
      <c r="F63" s="3" cm="1">
        <f t="array" aca="1" ref="F63" ca="1">OFFSET(E63,-1,1)</f>
        <v>0</v>
      </c>
      <c r="H63" s="411" t="s">
        <v>2329</v>
      </c>
      <c r="T63" s="388" t="b" cm="1">
        <f t="array" ref="T63">T62</f>
        <v>0</v>
      </c>
      <c r="X63" s="2066"/>
      <c r="Z63" s="2067"/>
      <c r="AB63" s="636" t="s">
        <v>2330</v>
      </c>
      <c r="AC63" s="473" t="s">
        <v>1765</v>
      </c>
      <c r="AD63" s="471" t="s">
        <v>831</v>
      </c>
      <c r="AE63" s="1930"/>
      <c r="AH63" s="971" t="s">
        <v>1154</v>
      </c>
      <c r="AM63" s="1929"/>
      <c r="AN63" s="1929"/>
      <c r="AO63" s="1929"/>
      <c r="AP63" s="1929"/>
    </row>
    <row r="64" spans="5:42" ht="14.65" hidden="1" customHeight="1" x14ac:dyDescent="0.15">
      <c r="E64" s="573">
        <v>15</v>
      </c>
      <c r="F64" s="3" cm="1">
        <f t="array" aca="1" ref="F64" ca="1">OFFSET(E64,-1,1)</f>
        <v>0</v>
      </c>
      <c r="H64" s="411" t="s">
        <v>2331</v>
      </c>
      <c r="T64" s="388" t="b" cm="1">
        <f t="array" ref="T64">T63</f>
        <v>0</v>
      </c>
      <c r="X64" s="2066"/>
      <c r="Z64" s="2067"/>
      <c r="AB64" s="636" t="s">
        <v>2332</v>
      </c>
      <c r="AC64" s="474" t="s">
        <v>2333</v>
      </c>
      <c r="AD64" s="471" t="s">
        <v>2275</v>
      </c>
      <c r="AE64" s="1930"/>
      <c r="AH64" s="910" t="s">
        <v>2334</v>
      </c>
      <c r="AM64" s="1929"/>
      <c r="AN64" s="1929"/>
      <c r="AO64" s="1929"/>
      <c r="AP64" s="1929"/>
    </row>
    <row r="65" spans="1:42" ht="21.95" hidden="1" customHeight="1" x14ac:dyDescent="0.15">
      <c r="E65" s="573">
        <v>22.5</v>
      </c>
      <c r="F65" s="3" cm="1">
        <f t="array" aca="1" ref="F65" ca="1">OFFSET(E65,-1,1)</f>
        <v>0</v>
      </c>
      <c r="H65" s="411" t="s">
        <v>2335</v>
      </c>
      <c r="T65" s="388" t="b" cm="1">
        <f t="array" ref="T65">T64</f>
        <v>0</v>
      </c>
      <c r="X65" s="2066"/>
      <c r="Z65" s="2067"/>
      <c r="AB65" s="636" t="s">
        <v>2336</v>
      </c>
      <c r="AC65" s="474" t="s">
        <v>2337</v>
      </c>
      <c r="AD65" s="471" t="s">
        <v>2280</v>
      </c>
      <c r="AE65" s="1930"/>
      <c r="AH65" s="910" t="s">
        <v>2338</v>
      </c>
      <c r="AM65" s="1929"/>
      <c r="AN65" s="1929"/>
      <c r="AO65" s="1929"/>
      <c r="AP65" s="1929"/>
    </row>
    <row r="66" spans="1:42" ht="21.95" hidden="1" customHeight="1" x14ac:dyDescent="0.25">
      <c r="E66" s="573">
        <v>22.5</v>
      </c>
      <c r="F66" s="3" cm="1">
        <f t="array" aca="1" ref="F66" ca="1">OFFSET(E66,-1,1)</f>
        <v>0</v>
      </c>
      <c r="H66" s="411" t="s">
        <v>2339</v>
      </c>
      <c r="T66" s="388" t="b" cm="1">
        <f t="array" ref="T66">T65</f>
        <v>0</v>
      </c>
      <c r="X66" s="2066"/>
      <c r="Z66" s="2067"/>
      <c r="AB66" s="636" t="s">
        <v>2340</v>
      </c>
      <c r="AC66" s="473" t="s">
        <v>1962</v>
      </c>
      <c r="AD66" s="471" t="s">
        <v>831</v>
      </c>
      <c r="AE66" s="1930"/>
      <c r="AH66" s="971" t="s">
        <v>1767</v>
      </c>
      <c r="AM66" s="1929"/>
      <c r="AN66" s="1929"/>
      <c r="AO66" s="1929"/>
      <c r="AP66" s="1929"/>
    </row>
    <row r="67" spans="1:42" ht="21.95" hidden="1" customHeight="1" x14ac:dyDescent="0.25">
      <c r="E67" s="573">
        <v>22.5</v>
      </c>
      <c r="F67" s="3" cm="1">
        <f t="array" aca="1" ref="F67" ca="1">OFFSET(E67,-1,1)</f>
        <v>0</v>
      </c>
      <c r="H67" s="411" t="s">
        <v>1322</v>
      </c>
      <c r="T67" s="388" t="b" cm="1">
        <f t="array" ref="T67">T66</f>
        <v>0</v>
      </c>
      <c r="X67" s="2066"/>
      <c r="Z67" s="2067"/>
      <c r="AB67" s="636" t="s">
        <v>1323</v>
      </c>
      <c r="AC67" s="472" t="s">
        <v>2341</v>
      </c>
      <c r="AD67" s="471" t="s">
        <v>831</v>
      </c>
      <c r="AE67" s="1930"/>
      <c r="AH67" s="971" t="s">
        <v>1185</v>
      </c>
      <c r="AM67" s="1929"/>
      <c r="AN67" s="1929"/>
      <c r="AO67" s="1929"/>
      <c r="AP67" s="1929"/>
    </row>
    <row r="68" spans="1:42" ht="14.65" hidden="1" customHeight="1" x14ac:dyDescent="0.25">
      <c r="E68" s="573">
        <v>15</v>
      </c>
      <c r="F68" s="3" cm="1">
        <f t="array" aca="1" ref="F68" ca="1">OFFSET(E68,-1,1)</f>
        <v>0</v>
      </c>
      <c r="H68" s="411" t="s">
        <v>2342</v>
      </c>
      <c r="T68" s="388" t="b" cm="1">
        <f t="array" ref="T68">T67</f>
        <v>0</v>
      </c>
      <c r="X68" s="2066"/>
      <c r="Z68" s="2067"/>
      <c r="AB68" s="636" t="s">
        <v>2343</v>
      </c>
      <c r="AC68" s="472" t="s">
        <v>1187</v>
      </c>
      <c r="AD68" s="471" t="s">
        <v>831</v>
      </c>
      <c r="AE68" s="1930"/>
      <c r="AH68" s="971" t="s">
        <v>1188</v>
      </c>
      <c r="AM68" s="1929"/>
      <c r="AN68" s="1929"/>
      <c r="AO68" s="1929"/>
      <c r="AP68" s="1929"/>
    </row>
    <row r="69" spans="1:42" ht="14.65" hidden="1" customHeight="1" x14ac:dyDescent="0.25">
      <c r="E69" s="573">
        <v>15</v>
      </c>
      <c r="F69" s="3" cm="1">
        <f t="array" aca="1" ref="F69" ca="1">OFFSET(E69,-1,1)</f>
        <v>0</v>
      </c>
      <c r="H69" s="411" t="s">
        <v>2344</v>
      </c>
      <c r="T69" s="388" t="b" cm="1">
        <f t="array" ref="T69">T68</f>
        <v>0</v>
      </c>
      <c r="X69" s="2066"/>
      <c r="Z69" s="2067"/>
      <c r="AB69" s="636" t="s">
        <v>2345</v>
      </c>
      <c r="AC69" s="472" t="s">
        <v>1190</v>
      </c>
      <c r="AD69" s="471" t="s">
        <v>831</v>
      </c>
      <c r="AE69" s="1930"/>
      <c r="AH69" s="971" t="s">
        <v>1191</v>
      </c>
      <c r="AM69" s="1929"/>
      <c r="AN69" s="1929"/>
      <c r="AO69" s="1929"/>
      <c r="AP69" s="1929"/>
    </row>
    <row r="70" spans="1:42" ht="21.95" hidden="1" customHeight="1" x14ac:dyDescent="0.25">
      <c r="E70" s="573">
        <v>22.5</v>
      </c>
      <c r="F70" s="3" cm="1">
        <f t="array" aca="1" ref="F70" ca="1">OFFSET(E70,-1,1)</f>
        <v>0</v>
      </c>
      <c r="H70" s="411" t="s">
        <v>2346</v>
      </c>
      <c r="T70" s="388" t="b" cm="1">
        <f t="array" ref="T70">T69</f>
        <v>0</v>
      </c>
      <c r="X70" s="2066"/>
      <c r="Z70" s="2067"/>
      <c r="AB70" s="636" t="s">
        <v>2347</v>
      </c>
      <c r="AC70" s="472" t="s">
        <v>2348</v>
      </c>
      <c r="AD70" s="471" t="s">
        <v>831</v>
      </c>
      <c r="AE70" s="1930"/>
      <c r="AH70" s="971" t="s">
        <v>1769</v>
      </c>
      <c r="AM70" s="1929"/>
      <c r="AN70" s="1929"/>
      <c r="AO70" s="1929"/>
      <c r="AP70" s="1929"/>
    </row>
    <row r="71" spans="1:42" ht="14.65" hidden="1" customHeight="1" x14ac:dyDescent="0.25">
      <c r="E71" s="573">
        <v>15</v>
      </c>
      <c r="F71" s="3" cm="1">
        <f t="array" aca="1" ref="F71" ca="1">OFFSET(E71,-1,1)</f>
        <v>0</v>
      </c>
      <c r="H71" s="411" t="s">
        <v>2349</v>
      </c>
      <c r="T71" s="388" t="b" cm="1">
        <f t="array" ref="T71">T70</f>
        <v>0</v>
      </c>
      <c r="X71" s="2066"/>
      <c r="Z71" s="2067"/>
      <c r="AB71" s="636" t="s">
        <v>2350</v>
      </c>
      <c r="AC71" s="472" t="s">
        <v>2351</v>
      </c>
      <c r="AD71" s="471" t="s">
        <v>831</v>
      </c>
      <c r="AE71" s="480">
        <f>AE72+AE73+AE74</f>
        <v>0</v>
      </c>
      <c r="AH71" s="971" t="s">
        <v>1771</v>
      </c>
      <c r="AM71" s="1929"/>
      <c r="AN71" s="1929"/>
      <c r="AO71" s="1929"/>
      <c r="AP71" s="1929"/>
    </row>
    <row r="72" spans="1:42" ht="14.65" hidden="1" customHeight="1" x14ac:dyDescent="0.25">
      <c r="E72" s="573">
        <v>15</v>
      </c>
      <c r="F72" s="3" cm="1">
        <f t="array" aca="1" ref="F72" ca="1">OFFSET(E72,-1,1)</f>
        <v>0</v>
      </c>
      <c r="H72" s="411" t="s">
        <v>2352</v>
      </c>
      <c r="T72" s="388" t="b" cm="1">
        <f t="array" ref="T72">T71</f>
        <v>0</v>
      </c>
      <c r="X72" s="2066"/>
      <c r="Z72" s="2067"/>
      <c r="AB72" s="636" t="s">
        <v>2353</v>
      </c>
      <c r="AC72" s="473" t="s">
        <v>2354</v>
      </c>
      <c r="AD72" s="471" t="s">
        <v>831</v>
      </c>
      <c r="AE72" s="1930"/>
      <c r="AH72" s="971" t="s">
        <v>1775</v>
      </c>
      <c r="AM72" s="1929"/>
      <c r="AN72" s="1929"/>
      <c r="AO72" s="1929"/>
      <c r="AP72" s="1929"/>
    </row>
    <row r="73" spans="1:42" ht="14.65" hidden="1" customHeight="1" x14ac:dyDescent="0.25">
      <c r="E73" s="573">
        <v>15</v>
      </c>
      <c r="F73" s="3" cm="1">
        <f t="array" aca="1" ref="F73" ca="1">OFFSET(E73,-1,1)</f>
        <v>0</v>
      </c>
      <c r="H73" s="411" t="s">
        <v>2355</v>
      </c>
      <c r="T73" s="388" t="b" cm="1">
        <f t="array" ref="T73">T72</f>
        <v>0</v>
      </c>
      <c r="X73" s="2066"/>
      <c r="Z73" s="2067"/>
      <c r="AB73" s="637" t="s">
        <v>2356</v>
      </c>
      <c r="AC73" s="475" t="s">
        <v>2357</v>
      </c>
      <c r="AD73" s="476" t="s">
        <v>831</v>
      </c>
      <c r="AE73" s="1930"/>
      <c r="AH73" s="971" t="s">
        <v>1778</v>
      </c>
      <c r="AM73" s="1929"/>
      <c r="AN73" s="1929"/>
      <c r="AO73" s="1929"/>
      <c r="AP73" s="1929"/>
    </row>
    <row r="74" spans="1:42" ht="14.65" hidden="1" customHeight="1" x14ac:dyDescent="0.25">
      <c r="E74" s="573">
        <v>15</v>
      </c>
      <c r="F74" s="3" cm="1">
        <f t="array" aca="1" ref="F74" ca="1">OFFSET(E74,-1,1)</f>
        <v>0</v>
      </c>
      <c r="H74" s="411" t="s">
        <v>2358</v>
      </c>
      <c r="T74" s="388" t="b" cm="1">
        <f t="array" ref="T74">T73</f>
        <v>0</v>
      </c>
      <c r="X74" s="2066"/>
      <c r="Z74" s="2067"/>
      <c r="AB74" s="637" t="s">
        <v>2359</v>
      </c>
      <c r="AC74" s="475" t="s">
        <v>1204</v>
      </c>
      <c r="AD74" s="476" t="s">
        <v>831</v>
      </c>
      <c r="AE74" s="1930"/>
      <c r="AH74" s="971" t="s">
        <v>1781</v>
      </c>
      <c r="AM74" s="1929"/>
      <c r="AN74" s="1929"/>
      <c r="AO74" s="1929"/>
      <c r="AP74" s="1929"/>
    </row>
    <row r="75" spans="1:42" ht="14.65" hidden="1" customHeight="1" x14ac:dyDescent="0.15">
      <c r="E75" s="573">
        <v>15</v>
      </c>
      <c r="F75" s="3" cm="1">
        <f t="array" aca="1" ref="F75" ca="1">OFFSET(E75,-1,1)</f>
        <v>0</v>
      </c>
      <c r="H75" s="411" t="s">
        <v>505</v>
      </c>
      <c r="T75" s="388" t="b" cm="1">
        <f t="array" ref="T75">T74</f>
        <v>0</v>
      </c>
      <c r="X75" s="2066"/>
      <c r="Z75" s="2067"/>
      <c r="AB75" s="637" t="s">
        <v>919</v>
      </c>
      <c r="AC75" s="477" t="s">
        <v>2360</v>
      </c>
      <c r="AD75" s="476" t="s">
        <v>831</v>
      </c>
      <c r="AE75" s="480">
        <f>SUM(AE76:AE77)</f>
        <v>0</v>
      </c>
      <c r="AH75" s="973" t="s">
        <v>2361</v>
      </c>
      <c r="AM75" s="1929"/>
      <c r="AN75" s="1929"/>
      <c r="AO75" s="1929"/>
      <c r="AP75" s="1929"/>
    </row>
    <row r="76" spans="1:42" ht="14.65" hidden="1" customHeight="1" x14ac:dyDescent="0.15">
      <c r="E76" s="573">
        <v>15</v>
      </c>
      <c r="F76" s="3" cm="1">
        <f t="array" aca="1" ref="F76" ca="1">OFFSET(E76,-1,1)</f>
        <v>0</v>
      </c>
      <c r="H76" s="411" t="s">
        <v>505</v>
      </c>
      <c r="I76" s="486" cm="1">
        <f t="array" ref="I76">AC76</f>
        <v>0</v>
      </c>
      <c r="T76" s="388" t="b">
        <f ca="1">AND(F76&gt;0,Y76&gt;0)</f>
        <v>0</v>
      </c>
      <c r="W76" s="478" t="s">
        <v>172</v>
      </c>
      <c r="X76" s="2066"/>
      <c r="Y76" s="411">
        <v>0</v>
      </c>
      <c r="Z76" s="2067"/>
      <c r="AA76" s="1183" t="s">
        <v>173</v>
      </c>
      <c r="AB76" s="636" t="str">
        <f>"1.4."&amp;Y76</f>
        <v>1.4.0</v>
      </c>
      <c r="AC76" s="1931"/>
      <c r="AD76" s="471" t="s">
        <v>831</v>
      </c>
      <c r="AE76" s="1932"/>
      <c r="AH76" s="973" t="s">
        <v>2361</v>
      </c>
      <c r="AI76" s="910" t="s">
        <v>2362</v>
      </c>
      <c r="AJ76" s="910" cm="1">
        <f t="array" ref="AJ76">AC76</f>
        <v>0</v>
      </c>
      <c r="AL76" s="580" t="b">
        <v>1</v>
      </c>
      <c r="AM76" s="1929"/>
      <c r="AN76" s="1929"/>
      <c r="AO76" s="1929"/>
      <c r="AP76" s="1929"/>
    </row>
    <row r="77" spans="1:42" ht="14.65" hidden="1" customHeight="1" x14ac:dyDescent="0.15">
      <c r="E77" s="573">
        <v>15</v>
      </c>
      <c r="F77" s="3" cm="1">
        <f t="array" aca="1" ref="F77" ca="1">OFFSET(E77,-1,1)</f>
        <v>0</v>
      </c>
      <c r="I77" s="1184" t="str">
        <f>"!== 'не определено' &amp;&amp; row.l1_4 !== null"</f>
        <v>!== 'не определено' &amp;&amp; row.l1_4 !== null</v>
      </c>
      <c r="T77" s="388" t="b">
        <f ca="1">F77&gt;0</f>
        <v>0</v>
      </c>
      <c r="W77" s="1326" t="s">
        <v>396</v>
      </c>
      <c r="X77" s="2066"/>
      <c r="Z77" s="2067"/>
      <c r="AB77" s="1185"/>
      <c r="AC77" s="1186" t="s">
        <v>176</v>
      </c>
      <c r="AD77" s="1187"/>
      <c r="AE77" s="1243"/>
      <c r="AK77" s="580" t="s">
        <v>2362</v>
      </c>
      <c r="AM77" s="1929"/>
      <c r="AN77" s="1929"/>
      <c r="AO77" s="1929"/>
      <c r="AP77" s="1929"/>
    </row>
    <row r="78" spans="1:42" ht="14.65" hidden="1" customHeight="1" x14ac:dyDescent="0.15">
      <c r="E78" s="573">
        <v>15</v>
      </c>
      <c r="F78" s="3" cm="1">
        <f t="array" aca="1" ref="F78" ca="1">OFFSET(E78,-1,1)</f>
        <v>0</v>
      </c>
      <c r="H78" s="411" t="s">
        <v>332</v>
      </c>
      <c r="T78" s="388" t="b" cm="1">
        <f t="array" aca="1" ref="T78" ca="1">T77</f>
        <v>0</v>
      </c>
      <c r="X78" s="2066"/>
      <c r="Z78" s="2067"/>
      <c r="AB78" s="635" t="s">
        <v>289</v>
      </c>
      <c r="AC78" s="468" t="s">
        <v>1987</v>
      </c>
      <c r="AD78" s="469" t="s">
        <v>831</v>
      </c>
      <c r="AE78" s="480">
        <f>AE79+AE91+AE92+AE102+AE103+AE104+AE107+AE108+AE109+AE110+AE111+AE112</f>
        <v>0</v>
      </c>
      <c r="AH78" s="910" t="s">
        <v>2363</v>
      </c>
      <c r="AM78" s="1929"/>
      <c r="AN78" s="1929"/>
      <c r="AO78" s="1929"/>
      <c r="AP78" s="1929"/>
    </row>
    <row r="79" spans="1:42" s="1321" customFormat="1" ht="26.25" hidden="1" customHeight="1" x14ac:dyDescent="0.15">
      <c r="A79" s="591"/>
      <c r="B79" s="411"/>
      <c r="C79" s="411"/>
      <c r="D79" s="411"/>
      <c r="E79" s="573">
        <v>27</v>
      </c>
      <c r="F79" s="446" cm="1">
        <f t="array" aca="1" ref="F79" ca="1">OFFSET(E79,-1,1)</f>
        <v>0</v>
      </c>
      <c r="G79" s="411"/>
      <c r="H79" s="411"/>
      <c r="I79" s="411"/>
      <c r="J79" s="411"/>
      <c r="K79" s="411"/>
      <c r="L79" s="411"/>
      <c r="M79" s="411"/>
      <c r="N79" s="411"/>
      <c r="O79" s="411"/>
      <c r="P79" s="411"/>
      <c r="Q79" s="411"/>
      <c r="R79" s="411"/>
      <c r="S79" s="411"/>
      <c r="T79" s="388" t="b" cm="1">
        <f t="array" aca="1" ref="T79" ca="1">T78</f>
        <v>0</v>
      </c>
      <c r="U79" s="411"/>
      <c r="V79" s="411"/>
      <c r="W79" s="411"/>
      <c r="X79" s="2066"/>
      <c r="Y79" s="411"/>
      <c r="Z79" s="2067"/>
      <c r="AA79" s="411"/>
      <c r="AB79" s="1177" t="s">
        <v>566</v>
      </c>
      <c r="AC79" s="1188" t="s">
        <v>1989</v>
      </c>
      <c r="AD79" s="1176" t="s">
        <v>831</v>
      </c>
      <c r="AE79" s="480">
        <f>SUM(AE80:AE90)</f>
        <v>0</v>
      </c>
      <c r="AF79" s="1016"/>
      <c r="AG79" s="1016"/>
      <c r="AH79" s="973" t="s">
        <v>1205</v>
      </c>
      <c r="AI79" s="967"/>
      <c r="AJ79" s="967"/>
      <c r="AK79" s="876"/>
      <c r="AL79" s="876"/>
    </row>
    <row r="80" spans="1:42" s="1321" customFormat="1" ht="14.65" hidden="1" customHeight="1" x14ac:dyDescent="0.15">
      <c r="A80" s="591"/>
      <c r="B80" s="411"/>
      <c r="C80" s="411"/>
      <c r="D80" s="411"/>
      <c r="E80" s="573">
        <v>15</v>
      </c>
      <c r="F80" s="446" cm="1">
        <f t="array" aca="1" ref="F80" ca="1">OFFSET(E80,-1,1)</f>
        <v>0</v>
      </c>
      <c r="G80" s="411"/>
      <c r="H80" s="411"/>
      <c r="I80" s="411"/>
      <c r="J80" s="411"/>
      <c r="K80" s="411"/>
      <c r="L80" s="411"/>
      <c r="M80" s="411"/>
      <c r="N80" s="411"/>
      <c r="O80" s="411"/>
      <c r="P80" s="411"/>
      <c r="Q80" s="411"/>
      <c r="R80" s="411"/>
      <c r="S80" s="411"/>
      <c r="T80" s="388" t="b" cm="1">
        <f t="array" aca="1" ref="T80" ca="1">T79</f>
        <v>0</v>
      </c>
      <c r="U80" s="411"/>
      <c r="V80" s="411"/>
      <c r="W80" s="411"/>
      <c r="X80" s="2066"/>
      <c r="Y80" s="411"/>
      <c r="Z80" s="2067"/>
      <c r="AA80" s="411"/>
      <c r="AB80" s="1177" t="s">
        <v>520</v>
      </c>
      <c r="AC80" s="1180" t="s">
        <v>1991</v>
      </c>
      <c r="AD80" s="1179" t="s">
        <v>831</v>
      </c>
      <c r="AE80" s="1933"/>
      <c r="AF80" s="1016"/>
      <c r="AG80" s="1016"/>
      <c r="AH80" s="973" t="s">
        <v>2364</v>
      </c>
      <c r="AI80" s="967"/>
      <c r="AJ80" s="967"/>
      <c r="AK80" s="876"/>
      <c r="AL80" s="876"/>
    </row>
    <row r="81" spans="1:42" s="1321" customFormat="1" ht="14.65" hidden="1" customHeight="1" x14ac:dyDescent="0.15">
      <c r="A81" s="591"/>
      <c r="B81" s="411"/>
      <c r="C81" s="411"/>
      <c r="D81" s="411"/>
      <c r="E81" s="573">
        <v>15</v>
      </c>
      <c r="F81" s="446" cm="1">
        <f t="array" aca="1" ref="F81" ca="1">OFFSET(E81,-1,1)</f>
        <v>0</v>
      </c>
      <c r="G81" s="411"/>
      <c r="H81" s="411"/>
      <c r="I81" s="411"/>
      <c r="J81" s="411"/>
      <c r="K81" s="411"/>
      <c r="L81" s="411"/>
      <c r="M81" s="411"/>
      <c r="N81" s="411"/>
      <c r="O81" s="411"/>
      <c r="P81" s="411"/>
      <c r="Q81" s="411"/>
      <c r="R81" s="411"/>
      <c r="S81" s="411"/>
      <c r="T81" s="388" t="b" cm="1">
        <f t="array" aca="1" ref="T81" ca="1">T80</f>
        <v>0</v>
      </c>
      <c r="U81" s="411"/>
      <c r="V81" s="411"/>
      <c r="W81" s="411"/>
      <c r="X81" s="2066"/>
      <c r="Y81" s="411"/>
      <c r="Z81" s="2067"/>
      <c r="AA81" s="411"/>
      <c r="AB81" s="1177" t="s">
        <v>1992</v>
      </c>
      <c r="AC81" s="1180" t="s">
        <v>1993</v>
      </c>
      <c r="AD81" s="1179" t="s">
        <v>831</v>
      </c>
      <c r="AE81" s="1933"/>
      <c r="AF81" s="1016"/>
      <c r="AG81" s="1016"/>
      <c r="AH81" s="973" t="s">
        <v>2365</v>
      </c>
      <c r="AI81" s="967"/>
      <c r="AJ81" s="967"/>
      <c r="AK81" s="876"/>
      <c r="AL81" s="876"/>
    </row>
    <row r="82" spans="1:42" s="1321" customFormat="1" ht="14.65" hidden="1" customHeight="1" x14ac:dyDescent="0.15">
      <c r="A82" s="591"/>
      <c r="B82" s="411"/>
      <c r="C82" s="411"/>
      <c r="D82" s="411"/>
      <c r="E82" s="573">
        <v>15</v>
      </c>
      <c r="F82" s="446" cm="1">
        <f t="array" aca="1" ref="F82" ca="1">OFFSET(E82,-1,1)</f>
        <v>0</v>
      </c>
      <c r="G82" s="411"/>
      <c r="H82" s="411"/>
      <c r="I82" s="411"/>
      <c r="J82" s="411"/>
      <c r="K82" s="411"/>
      <c r="L82" s="411"/>
      <c r="M82" s="411"/>
      <c r="N82" s="411"/>
      <c r="O82" s="411"/>
      <c r="P82" s="411"/>
      <c r="Q82" s="411"/>
      <c r="R82" s="411"/>
      <c r="S82" s="411"/>
      <c r="T82" s="388" t="b" cm="1">
        <f t="array" aca="1" ref="T82" ca="1">T81</f>
        <v>0</v>
      </c>
      <c r="U82" s="411"/>
      <c r="V82" s="411"/>
      <c r="W82" s="411"/>
      <c r="X82" s="2066"/>
      <c r="Y82" s="411"/>
      <c r="Z82" s="2067"/>
      <c r="AA82" s="411"/>
      <c r="AB82" s="1177" t="s">
        <v>1994</v>
      </c>
      <c r="AC82" s="1180" t="s">
        <v>1995</v>
      </c>
      <c r="AD82" s="1179" t="s">
        <v>831</v>
      </c>
      <c r="AE82" s="1933"/>
      <c r="AF82" s="1016"/>
      <c r="AG82" s="1016"/>
      <c r="AH82" s="973" t="s">
        <v>2366</v>
      </c>
      <c r="AI82" s="967"/>
      <c r="AJ82" s="967"/>
      <c r="AK82" s="876"/>
      <c r="AL82" s="876"/>
    </row>
    <row r="83" spans="1:42" s="1321" customFormat="1" ht="14.65" hidden="1" customHeight="1" x14ac:dyDescent="0.15">
      <c r="A83" s="591"/>
      <c r="B83" s="411"/>
      <c r="C83" s="411"/>
      <c r="D83" s="411"/>
      <c r="E83" s="573">
        <v>15</v>
      </c>
      <c r="F83" s="446" cm="1">
        <f t="array" aca="1" ref="F83" ca="1">OFFSET(E83,-1,1)</f>
        <v>0</v>
      </c>
      <c r="G83" s="411"/>
      <c r="H83" s="411"/>
      <c r="I83" s="411"/>
      <c r="J83" s="411"/>
      <c r="K83" s="411"/>
      <c r="L83" s="411"/>
      <c r="M83" s="411"/>
      <c r="N83" s="411"/>
      <c r="O83" s="411"/>
      <c r="P83" s="411"/>
      <c r="Q83" s="411"/>
      <c r="R83" s="411"/>
      <c r="S83" s="411"/>
      <c r="T83" s="388" t="b" cm="1">
        <f t="array" aca="1" ref="T83" ca="1">T82</f>
        <v>0</v>
      </c>
      <c r="U83" s="411"/>
      <c r="V83" s="411"/>
      <c r="W83" s="411"/>
      <c r="X83" s="2066"/>
      <c r="Y83" s="411"/>
      <c r="Z83" s="2067"/>
      <c r="AA83" s="411"/>
      <c r="AB83" s="1177" t="s">
        <v>1997</v>
      </c>
      <c r="AC83" s="1180" t="s">
        <v>1998</v>
      </c>
      <c r="AD83" s="1179" t="s">
        <v>831</v>
      </c>
      <c r="AE83" s="1933"/>
      <c r="AF83" s="1016"/>
      <c r="AG83" s="1016"/>
      <c r="AH83" s="973" t="s">
        <v>2367</v>
      </c>
      <c r="AI83" s="967"/>
      <c r="AJ83" s="967"/>
      <c r="AK83" s="876"/>
      <c r="AL83" s="876"/>
    </row>
    <row r="84" spans="1:42" s="1321" customFormat="1" ht="14.65" hidden="1" customHeight="1" x14ac:dyDescent="0.15">
      <c r="A84" s="591"/>
      <c r="B84" s="411"/>
      <c r="C84" s="411"/>
      <c r="D84" s="411"/>
      <c r="E84" s="573">
        <v>15</v>
      </c>
      <c r="F84" s="446" cm="1">
        <f t="array" aca="1" ref="F84" ca="1">OFFSET(E84,-1,1)</f>
        <v>0</v>
      </c>
      <c r="G84" s="411"/>
      <c r="H84" s="411"/>
      <c r="I84" s="411"/>
      <c r="J84" s="411"/>
      <c r="K84" s="411"/>
      <c r="L84" s="411"/>
      <c r="M84" s="411"/>
      <c r="N84" s="411"/>
      <c r="O84" s="411"/>
      <c r="P84" s="411"/>
      <c r="Q84" s="411"/>
      <c r="R84" s="411"/>
      <c r="S84" s="411"/>
      <c r="T84" s="388" t="b" cm="1">
        <f t="array" aca="1" ref="T84" ca="1">T83</f>
        <v>0</v>
      </c>
      <c r="U84" s="411"/>
      <c r="V84" s="411"/>
      <c r="W84" s="411"/>
      <c r="X84" s="2066"/>
      <c r="Y84" s="411"/>
      <c r="Z84" s="2067"/>
      <c r="AA84" s="411"/>
      <c r="AB84" s="1177" t="s">
        <v>2000</v>
      </c>
      <c r="AC84" s="1180" t="s">
        <v>2001</v>
      </c>
      <c r="AD84" s="1179" t="s">
        <v>831</v>
      </c>
      <c r="AE84" s="1933"/>
      <c r="AF84" s="1016"/>
      <c r="AG84" s="1016"/>
      <c r="AH84" s="973" t="s">
        <v>2368</v>
      </c>
      <c r="AI84" s="967"/>
      <c r="AJ84" s="967"/>
      <c r="AK84" s="876"/>
      <c r="AL84" s="876"/>
    </row>
    <row r="85" spans="1:42" s="1321" customFormat="1" ht="26.25" hidden="1" customHeight="1" x14ac:dyDescent="0.15">
      <c r="A85" s="591"/>
      <c r="B85" s="411"/>
      <c r="C85" s="411"/>
      <c r="D85" s="411"/>
      <c r="E85" s="573">
        <v>27</v>
      </c>
      <c r="F85" s="446" cm="1">
        <f t="array" aca="1" ref="F85" ca="1">OFFSET(E85,-1,1)</f>
        <v>0</v>
      </c>
      <c r="G85" s="411"/>
      <c r="H85" s="411"/>
      <c r="I85" s="411"/>
      <c r="J85" s="411"/>
      <c r="K85" s="411"/>
      <c r="L85" s="411"/>
      <c r="M85" s="411"/>
      <c r="N85" s="411"/>
      <c r="O85" s="411"/>
      <c r="P85" s="411"/>
      <c r="Q85" s="411"/>
      <c r="R85" s="411"/>
      <c r="S85" s="411"/>
      <c r="T85" s="388" t="b" cm="1">
        <f t="array" aca="1" ref="T85" ca="1">T84</f>
        <v>0</v>
      </c>
      <c r="U85" s="411"/>
      <c r="V85" s="411"/>
      <c r="W85" s="411"/>
      <c r="X85" s="2066"/>
      <c r="Y85" s="411"/>
      <c r="Z85" s="2067"/>
      <c r="AA85" s="411"/>
      <c r="AB85" s="1177" t="s">
        <v>2003</v>
      </c>
      <c r="AC85" s="1180" t="s">
        <v>2004</v>
      </c>
      <c r="AD85" s="1179" t="s">
        <v>831</v>
      </c>
      <c r="AE85" s="1933"/>
      <c r="AF85" s="1016"/>
      <c r="AG85" s="1016"/>
      <c r="AH85" s="973" t="s">
        <v>2369</v>
      </c>
      <c r="AI85" s="967"/>
      <c r="AJ85" s="967"/>
      <c r="AK85" s="876"/>
      <c r="AL85" s="876"/>
    </row>
    <row r="86" spans="1:42" s="1321" customFormat="1" ht="14.65" hidden="1" customHeight="1" x14ac:dyDescent="0.15">
      <c r="A86" s="591"/>
      <c r="B86" s="411"/>
      <c r="C86" s="411"/>
      <c r="D86" s="411"/>
      <c r="E86" s="573">
        <v>15</v>
      </c>
      <c r="F86" s="446" cm="1">
        <f t="array" aca="1" ref="F86" ca="1">OFFSET(E86,-1,1)</f>
        <v>0</v>
      </c>
      <c r="G86" s="411"/>
      <c r="H86" s="411"/>
      <c r="I86" s="411"/>
      <c r="J86" s="411"/>
      <c r="K86" s="411"/>
      <c r="L86" s="411"/>
      <c r="M86" s="411"/>
      <c r="N86" s="411"/>
      <c r="O86" s="411"/>
      <c r="P86" s="411"/>
      <c r="Q86" s="411"/>
      <c r="R86" s="411"/>
      <c r="S86" s="411"/>
      <c r="T86" s="388" t="b" cm="1">
        <f t="array" aca="1" ref="T86" ca="1">T85</f>
        <v>0</v>
      </c>
      <c r="U86" s="411"/>
      <c r="V86" s="411"/>
      <c r="W86" s="411"/>
      <c r="X86" s="2066"/>
      <c r="Y86" s="411"/>
      <c r="Z86" s="2067"/>
      <c r="AA86" s="411"/>
      <c r="AB86" s="1177" t="s">
        <v>2007</v>
      </c>
      <c r="AC86" s="1180" t="s">
        <v>2008</v>
      </c>
      <c r="AD86" s="1179" t="s">
        <v>831</v>
      </c>
      <c r="AE86" s="1933"/>
      <c r="AF86" s="1016"/>
      <c r="AG86" s="1016"/>
      <c r="AH86" s="973" t="s">
        <v>2370</v>
      </c>
      <c r="AI86" s="967"/>
      <c r="AJ86" s="967"/>
      <c r="AK86" s="876"/>
      <c r="AL86" s="876"/>
    </row>
    <row r="87" spans="1:42" s="1321" customFormat="1" ht="14.65" hidden="1" customHeight="1" x14ac:dyDescent="0.15">
      <c r="A87" s="591"/>
      <c r="B87" s="411"/>
      <c r="C87" s="411"/>
      <c r="D87" s="411"/>
      <c r="E87" s="573">
        <v>15</v>
      </c>
      <c r="F87" s="446" cm="1">
        <f t="array" aca="1" ref="F87" ca="1">OFFSET(E87,-1,1)</f>
        <v>0</v>
      </c>
      <c r="G87" s="411"/>
      <c r="H87" s="411"/>
      <c r="I87" s="411"/>
      <c r="J87" s="411"/>
      <c r="K87" s="411"/>
      <c r="L87" s="411"/>
      <c r="M87" s="411"/>
      <c r="N87" s="411"/>
      <c r="O87" s="411"/>
      <c r="P87" s="411"/>
      <c r="Q87" s="411"/>
      <c r="R87" s="411"/>
      <c r="S87" s="411"/>
      <c r="T87" s="388" t="b" cm="1">
        <f t="array" aca="1" ref="T87" ca="1">T86</f>
        <v>0</v>
      </c>
      <c r="U87" s="411"/>
      <c r="V87" s="411"/>
      <c r="W87" s="411"/>
      <c r="X87" s="2066"/>
      <c r="Y87" s="411"/>
      <c r="Z87" s="2067"/>
      <c r="AA87" s="411"/>
      <c r="AB87" s="1177" t="s">
        <v>2011</v>
      </c>
      <c r="AC87" s="1180" t="s">
        <v>2012</v>
      </c>
      <c r="AD87" s="1179" t="s">
        <v>831</v>
      </c>
      <c r="AE87" s="1933"/>
      <c r="AF87" s="1016"/>
      <c r="AG87" s="1016"/>
      <c r="AH87" s="973" t="s">
        <v>2371</v>
      </c>
      <c r="AI87" s="967"/>
      <c r="AJ87" s="967"/>
      <c r="AK87" s="876"/>
      <c r="AL87" s="876"/>
    </row>
    <row r="88" spans="1:42" s="1321" customFormat="1" ht="14.65" hidden="1" customHeight="1" x14ac:dyDescent="0.15">
      <c r="A88" s="591"/>
      <c r="B88" s="411"/>
      <c r="C88" s="411"/>
      <c r="D88" s="411"/>
      <c r="E88" s="573">
        <v>15</v>
      </c>
      <c r="F88" s="446" cm="1">
        <f t="array" aca="1" ref="F88" ca="1">OFFSET(E88,-1,1)</f>
        <v>0</v>
      </c>
      <c r="G88" s="411"/>
      <c r="H88" s="411"/>
      <c r="I88" s="411"/>
      <c r="J88" s="411"/>
      <c r="K88" s="411"/>
      <c r="L88" s="411"/>
      <c r="M88" s="411"/>
      <c r="N88" s="411"/>
      <c r="O88" s="411"/>
      <c r="P88" s="411"/>
      <c r="Q88" s="411"/>
      <c r="R88" s="411"/>
      <c r="S88" s="411"/>
      <c r="T88" s="388" t="b" cm="1">
        <f t="array" aca="1" ref="T88" ca="1">T87</f>
        <v>0</v>
      </c>
      <c r="U88" s="411"/>
      <c r="V88" s="411"/>
      <c r="W88" s="411"/>
      <c r="X88" s="2066"/>
      <c r="Y88" s="411"/>
      <c r="Z88" s="2067"/>
      <c r="AA88" s="411"/>
      <c r="AB88" s="1177" t="s">
        <v>2014</v>
      </c>
      <c r="AC88" s="1180" t="s">
        <v>2015</v>
      </c>
      <c r="AD88" s="1179" t="s">
        <v>831</v>
      </c>
      <c r="AE88" s="1933"/>
      <c r="AF88" s="1016"/>
      <c r="AG88" s="1016"/>
      <c r="AH88" s="973" t="s">
        <v>2372</v>
      </c>
      <c r="AI88" s="967"/>
      <c r="AJ88" s="967"/>
      <c r="AK88" s="876"/>
      <c r="AL88" s="876"/>
    </row>
    <row r="89" spans="1:42" s="1321" customFormat="1" ht="14.65" hidden="1" customHeight="1" x14ac:dyDescent="0.15">
      <c r="A89" s="591"/>
      <c r="B89" s="411"/>
      <c r="C89" s="411"/>
      <c r="D89" s="411"/>
      <c r="E89" s="573">
        <v>15</v>
      </c>
      <c r="F89" s="446" cm="1">
        <f t="array" aca="1" ref="F89" ca="1">OFFSET(E89,-1,1)</f>
        <v>0</v>
      </c>
      <c r="G89" s="411"/>
      <c r="H89" s="411"/>
      <c r="I89" s="411"/>
      <c r="J89" s="411"/>
      <c r="K89" s="411"/>
      <c r="L89" s="411"/>
      <c r="M89" s="411"/>
      <c r="N89" s="411"/>
      <c r="O89" s="411"/>
      <c r="P89" s="411"/>
      <c r="Q89" s="411"/>
      <c r="R89" s="411"/>
      <c r="S89" s="411"/>
      <c r="T89" s="388" t="b" cm="1">
        <f t="array" aca="1" ref="T89" ca="1">T88</f>
        <v>0</v>
      </c>
      <c r="U89" s="411"/>
      <c r="V89" s="411"/>
      <c r="W89" s="411"/>
      <c r="X89" s="2066"/>
      <c r="Y89" s="411"/>
      <c r="Z89" s="2067"/>
      <c r="AA89" s="411"/>
      <c r="AB89" s="1177" t="s">
        <v>2017</v>
      </c>
      <c r="AC89" s="1180" t="s">
        <v>2018</v>
      </c>
      <c r="AD89" s="1179" t="s">
        <v>831</v>
      </c>
      <c r="AE89" s="1933"/>
      <c r="AF89" s="1016"/>
      <c r="AG89" s="1016"/>
      <c r="AH89" s="973" t="s">
        <v>2373</v>
      </c>
      <c r="AI89" s="967"/>
      <c r="AJ89" s="967"/>
      <c r="AK89" s="876"/>
      <c r="AL89" s="876"/>
    </row>
    <row r="90" spans="1:42" s="1321" customFormat="1" ht="14.65" hidden="1" customHeight="1" x14ac:dyDescent="0.15">
      <c r="A90" s="591"/>
      <c r="B90" s="411"/>
      <c r="C90" s="411"/>
      <c r="D90" s="411"/>
      <c r="E90" s="573">
        <v>15</v>
      </c>
      <c r="F90" s="446" cm="1">
        <f t="array" aca="1" ref="F90" ca="1">OFFSET(E90,-1,1)</f>
        <v>0</v>
      </c>
      <c r="G90" s="411"/>
      <c r="H90" s="411"/>
      <c r="I90" s="411"/>
      <c r="J90" s="411"/>
      <c r="K90" s="411"/>
      <c r="L90" s="411"/>
      <c r="M90" s="411"/>
      <c r="N90" s="411"/>
      <c r="O90" s="411"/>
      <c r="P90" s="411"/>
      <c r="Q90" s="411"/>
      <c r="R90" s="411"/>
      <c r="S90" s="411"/>
      <c r="T90" s="388" t="b" cm="1">
        <f t="array" aca="1" ref="T90" ca="1">T89</f>
        <v>0</v>
      </c>
      <c r="U90" s="411"/>
      <c r="V90" s="411"/>
      <c r="W90" s="411"/>
      <c r="X90" s="2066"/>
      <c r="Y90" s="411"/>
      <c r="Z90" s="2067"/>
      <c r="AA90" s="411"/>
      <c r="AB90" s="1177" t="s">
        <v>2019</v>
      </c>
      <c r="AC90" s="1180" t="s">
        <v>2020</v>
      </c>
      <c r="AD90" s="1179" t="s">
        <v>831</v>
      </c>
      <c r="AE90" s="1933"/>
      <c r="AF90" s="1016"/>
      <c r="AG90" s="1016"/>
      <c r="AH90" s="973" t="s">
        <v>2374</v>
      </c>
      <c r="AI90" s="967"/>
      <c r="AJ90" s="967"/>
      <c r="AK90" s="876"/>
      <c r="AL90" s="876"/>
    </row>
    <row r="91" spans="1:42" s="1321" customFormat="1" ht="14.65" hidden="1" customHeight="1" x14ac:dyDescent="0.15">
      <c r="A91" s="591"/>
      <c r="B91" s="411"/>
      <c r="C91" s="411"/>
      <c r="D91" s="411"/>
      <c r="E91" s="573">
        <v>15</v>
      </c>
      <c r="F91" s="446" cm="1">
        <f t="array" aca="1" ref="F91" ca="1">OFFSET(E91,-1,1)</f>
        <v>0</v>
      </c>
      <c r="G91" s="411"/>
      <c r="H91" s="411"/>
      <c r="I91" s="411"/>
      <c r="J91" s="411"/>
      <c r="K91" s="411"/>
      <c r="L91" s="411"/>
      <c r="M91" s="411"/>
      <c r="N91" s="411"/>
      <c r="O91" s="411"/>
      <c r="P91" s="411"/>
      <c r="Q91" s="411"/>
      <c r="R91" s="411"/>
      <c r="S91" s="411"/>
      <c r="T91" s="388" t="b" cm="1">
        <f t="array" aca="1" ref="T91" ca="1">T90</f>
        <v>0</v>
      </c>
      <c r="U91" s="411"/>
      <c r="V91" s="411"/>
      <c r="W91" s="411"/>
      <c r="X91" s="2066"/>
      <c r="Y91" s="411"/>
      <c r="Z91" s="2067"/>
      <c r="AA91" s="411"/>
      <c r="AB91" s="1177" t="s">
        <v>570</v>
      </c>
      <c r="AC91" s="1178" t="s">
        <v>2021</v>
      </c>
      <c r="AD91" s="1179" t="s">
        <v>831</v>
      </c>
      <c r="AE91" s="1933"/>
      <c r="AF91" s="1016"/>
      <c r="AG91" s="1016"/>
      <c r="AH91" s="973" t="s">
        <v>2375</v>
      </c>
      <c r="AI91" s="967"/>
      <c r="AJ91" s="967"/>
      <c r="AK91" s="876"/>
      <c r="AL91" s="876"/>
    </row>
    <row r="92" spans="1:42" ht="14.65" hidden="1" customHeight="1" x14ac:dyDescent="0.15">
      <c r="E92" s="573">
        <v>15</v>
      </c>
      <c r="F92" s="3" cm="1">
        <f t="array" aca="1" ref="F92" ca="1">OFFSET(E92,-1,1)</f>
        <v>0</v>
      </c>
      <c r="H92" s="411" t="s">
        <v>515</v>
      </c>
      <c r="T92" s="388" t="b" cm="1">
        <f t="array" aca="1" ref="T92" ca="1">T78</f>
        <v>0</v>
      </c>
      <c r="X92" s="2066"/>
      <c r="Z92" s="2067"/>
      <c r="AB92" s="636" t="s">
        <v>574</v>
      </c>
      <c r="AC92" s="470" t="s">
        <v>2376</v>
      </c>
      <c r="AD92" s="471" t="s">
        <v>831</v>
      </c>
      <c r="AE92" s="480">
        <f>SUM(AE93:AE101)</f>
        <v>0</v>
      </c>
      <c r="AH92" s="979" t="s">
        <v>1233</v>
      </c>
      <c r="AM92" s="1929"/>
      <c r="AN92" s="1929"/>
      <c r="AO92" s="1929"/>
      <c r="AP92" s="1929"/>
    </row>
    <row r="93" spans="1:42" ht="14.65" hidden="1" customHeight="1" x14ac:dyDescent="0.15">
      <c r="E93" s="573">
        <v>15</v>
      </c>
      <c r="F93" s="3" cm="1">
        <f t="array" aca="1" ref="F93" ca="1">OFFSET(E93,-1,1)</f>
        <v>0</v>
      </c>
      <c r="H93" s="411" t="s">
        <v>1754</v>
      </c>
      <c r="T93" s="388" t="b" cm="1">
        <f t="array" aca="1" ref="T93" ca="1">T92</f>
        <v>0</v>
      </c>
      <c r="X93" s="2066"/>
      <c r="Z93" s="2067"/>
      <c r="AB93" s="636" t="s">
        <v>531</v>
      </c>
      <c r="AC93" s="472" t="s">
        <v>1248</v>
      </c>
      <c r="AD93" s="471" t="s">
        <v>831</v>
      </c>
      <c r="AE93" s="1930"/>
      <c r="AH93" s="973" t="s">
        <v>2024</v>
      </c>
      <c r="AM93" s="1929"/>
      <c r="AN93" s="1929"/>
      <c r="AO93" s="1929"/>
      <c r="AP93" s="1929"/>
    </row>
    <row r="94" spans="1:42" ht="14.65" hidden="1" customHeight="1" x14ac:dyDescent="0.15">
      <c r="E94" s="573">
        <v>15</v>
      </c>
      <c r="F94" s="3" cm="1">
        <f t="array" aca="1" ref="F94" ca="1">OFFSET(E94,-1,1)</f>
        <v>0</v>
      </c>
      <c r="H94" s="411" t="s">
        <v>1757</v>
      </c>
      <c r="T94" s="388" t="b" cm="1">
        <f t="array" aca="1" ref="T94" ca="1">T93</f>
        <v>0</v>
      </c>
      <c r="X94" s="2066"/>
      <c r="Z94" s="2067"/>
      <c r="AB94" s="636" t="s">
        <v>1459</v>
      </c>
      <c r="AC94" s="472" t="s">
        <v>2377</v>
      </c>
      <c r="AD94" s="471" t="s">
        <v>831</v>
      </c>
      <c r="AE94" s="1930"/>
      <c r="AH94" s="973" t="s">
        <v>2027</v>
      </c>
      <c r="AM94" s="1929"/>
      <c r="AN94" s="1929"/>
      <c r="AO94" s="1929"/>
      <c r="AP94" s="1929"/>
    </row>
    <row r="95" spans="1:42" ht="14.65" hidden="1" customHeight="1" x14ac:dyDescent="0.15">
      <c r="E95" s="573">
        <v>15</v>
      </c>
      <c r="F95" s="3" cm="1">
        <f t="array" aca="1" ref="F95" ca="1">OFFSET(E95,-1,1)</f>
        <v>0</v>
      </c>
      <c r="H95" s="411" t="s">
        <v>2378</v>
      </c>
      <c r="T95" s="388" t="b" cm="1">
        <f t="array" aca="1" ref="T95" ca="1">T94</f>
        <v>0</v>
      </c>
      <c r="X95" s="2066"/>
      <c r="Z95" s="2067"/>
      <c r="AB95" s="636" t="s">
        <v>1464</v>
      </c>
      <c r="AC95" s="472" t="s">
        <v>2379</v>
      </c>
      <c r="AD95" s="471" t="s">
        <v>831</v>
      </c>
      <c r="AE95" s="1930"/>
      <c r="AH95" s="973" t="s">
        <v>2030</v>
      </c>
      <c r="AM95" s="1929"/>
      <c r="AN95" s="1929"/>
      <c r="AO95" s="1929"/>
      <c r="AP95" s="1929"/>
    </row>
    <row r="96" spans="1:42" ht="14.65" hidden="1" customHeight="1" x14ac:dyDescent="0.15">
      <c r="E96" s="573">
        <v>15</v>
      </c>
      <c r="F96" s="3" cm="1">
        <f t="array" aca="1" ref="F96" ca="1">OFFSET(E96,-1,1)</f>
        <v>0</v>
      </c>
      <c r="H96" s="411" t="s">
        <v>2380</v>
      </c>
      <c r="T96" s="388" t="b" cm="1">
        <f t="array" aca="1" ref="T96" ca="1">T95</f>
        <v>0</v>
      </c>
      <c r="X96" s="2066"/>
      <c r="Z96" s="2067"/>
      <c r="AB96" s="636" t="s">
        <v>2032</v>
      </c>
      <c r="AC96" s="472" t="s">
        <v>1241</v>
      </c>
      <c r="AD96" s="471" t="s">
        <v>831</v>
      </c>
      <c r="AE96" s="1930"/>
      <c r="AH96" s="973" t="s">
        <v>2034</v>
      </c>
      <c r="AM96" s="1929"/>
      <c r="AN96" s="1929"/>
      <c r="AO96" s="1929"/>
      <c r="AP96" s="1929"/>
    </row>
    <row r="97" spans="1:42" ht="14.65" hidden="1" customHeight="1" x14ac:dyDescent="0.15">
      <c r="E97" s="573">
        <v>15</v>
      </c>
      <c r="F97" s="3" cm="1">
        <f t="array" aca="1" ref="F97" ca="1">OFFSET(E97,-1,1)</f>
        <v>0</v>
      </c>
      <c r="H97" s="411" t="s">
        <v>2381</v>
      </c>
      <c r="T97" s="388" t="b" cm="1">
        <f t="array" aca="1" ref="T97" ca="1">T96</f>
        <v>0</v>
      </c>
      <c r="X97" s="2066"/>
      <c r="Z97" s="2067"/>
      <c r="AB97" s="636" t="s">
        <v>2036</v>
      </c>
      <c r="AC97" s="472" t="s">
        <v>1243</v>
      </c>
      <c r="AD97" s="471" t="s">
        <v>831</v>
      </c>
      <c r="AE97" s="1930"/>
      <c r="AH97" s="973" t="s">
        <v>2038</v>
      </c>
      <c r="AM97" s="1929"/>
      <c r="AN97" s="1929"/>
      <c r="AO97" s="1929"/>
      <c r="AP97" s="1929"/>
    </row>
    <row r="98" spans="1:42" ht="14.65" hidden="1" customHeight="1" x14ac:dyDescent="0.15">
      <c r="E98" s="573">
        <v>15</v>
      </c>
      <c r="F98" s="3" cm="1">
        <f t="array" aca="1" ref="F98" ca="1">OFFSET(E98,-1,1)</f>
        <v>0</v>
      </c>
      <c r="H98" s="411" t="s">
        <v>2382</v>
      </c>
      <c r="T98" s="388" t="b" cm="1">
        <f t="array" aca="1" ref="T98" ca="1">T97</f>
        <v>0</v>
      </c>
      <c r="X98" s="2066"/>
      <c r="Z98" s="2067"/>
      <c r="AB98" s="636" t="s">
        <v>2040</v>
      </c>
      <c r="AC98" s="472" t="s">
        <v>1234</v>
      </c>
      <c r="AD98" s="471" t="s">
        <v>831</v>
      </c>
      <c r="AE98" s="1930"/>
      <c r="AH98" s="973" t="s">
        <v>2042</v>
      </c>
      <c r="AM98" s="1929"/>
      <c r="AN98" s="1929"/>
      <c r="AO98" s="1929"/>
      <c r="AP98" s="1929"/>
    </row>
    <row r="99" spans="1:42" s="1321" customFormat="1" ht="14.65" hidden="1" customHeight="1" x14ac:dyDescent="0.15">
      <c r="A99" s="591"/>
      <c r="B99" s="411"/>
      <c r="C99" s="411"/>
      <c r="D99" s="411"/>
      <c r="E99" s="573">
        <v>15</v>
      </c>
      <c r="F99" s="446" cm="1">
        <f t="array" aca="1" ref="F99" ca="1">OFFSET(E99,-1,1)</f>
        <v>0</v>
      </c>
      <c r="G99" s="411"/>
      <c r="H99" s="411"/>
      <c r="I99" s="411"/>
      <c r="J99" s="411"/>
      <c r="K99" s="411"/>
      <c r="L99" s="411"/>
      <c r="M99" s="411"/>
      <c r="N99" s="411"/>
      <c r="O99" s="411"/>
      <c r="P99" s="411"/>
      <c r="Q99" s="411"/>
      <c r="R99" s="411"/>
      <c r="S99" s="411"/>
      <c r="T99" s="388" t="b" cm="1">
        <f t="array" aca="1" ref="T99" ca="1">T98</f>
        <v>0</v>
      </c>
      <c r="U99" s="411"/>
      <c r="V99" s="411"/>
      <c r="W99" s="411"/>
      <c r="X99" s="2066"/>
      <c r="Y99" s="411"/>
      <c r="Z99" s="2067"/>
      <c r="AA99" s="411"/>
      <c r="AB99" s="1177" t="s">
        <v>2044</v>
      </c>
      <c r="AC99" s="1180" t="s">
        <v>2383</v>
      </c>
      <c r="AD99" s="1179" t="s">
        <v>831</v>
      </c>
      <c r="AE99" s="1933"/>
      <c r="AF99" s="1016"/>
      <c r="AG99" s="1016"/>
      <c r="AH99" s="973" t="s">
        <v>1251</v>
      </c>
      <c r="AI99" s="967"/>
      <c r="AJ99" s="967"/>
      <c r="AK99" s="876"/>
      <c r="AL99" s="876"/>
    </row>
    <row r="100" spans="1:42" s="1321" customFormat="1" ht="14.65" hidden="1" customHeight="1" x14ac:dyDescent="0.15">
      <c r="A100" s="591"/>
      <c r="B100" s="411"/>
      <c r="C100" s="411"/>
      <c r="D100" s="411"/>
      <c r="E100" s="573">
        <v>15</v>
      </c>
      <c r="F100" s="446" cm="1">
        <f t="array" aca="1" ref="F100" ca="1">OFFSET(E100,-1,1)</f>
        <v>0</v>
      </c>
      <c r="G100" s="411"/>
      <c r="H100" s="411"/>
      <c r="I100" s="411"/>
      <c r="J100" s="411"/>
      <c r="K100" s="411"/>
      <c r="L100" s="411"/>
      <c r="M100" s="411"/>
      <c r="N100" s="411"/>
      <c r="O100" s="411"/>
      <c r="P100" s="411"/>
      <c r="Q100" s="411"/>
      <c r="R100" s="411"/>
      <c r="S100" s="411"/>
      <c r="T100" s="388" t="b" cm="1">
        <f t="array" aca="1" ref="T100" ca="1">T99</f>
        <v>0</v>
      </c>
      <c r="U100" s="411"/>
      <c r="V100" s="411"/>
      <c r="W100" s="411"/>
      <c r="X100" s="2066"/>
      <c r="Y100" s="411"/>
      <c r="Z100" s="2067"/>
      <c r="AA100" s="411"/>
      <c r="AB100" s="1177" t="s">
        <v>2048</v>
      </c>
      <c r="AC100" s="1180" t="s">
        <v>1252</v>
      </c>
      <c r="AD100" s="1179" t="s">
        <v>831</v>
      </c>
      <c r="AE100" s="1933"/>
      <c r="AF100" s="1016"/>
      <c r="AG100" s="1016"/>
      <c r="AH100" s="973" t="s">
        <v>2384</v>
      </c>
      <c r="AI100" s="967"/>
      <c r="AJ100" s="967"/>
      <c r="AK100" s="876"/>
      <c r="AL100" s="876"/>
    </row>
    <row r="101" spans="1:42" ht="14.65" hidden="1" customHeight="1" x14ac:dyDescent="0.15">
      <c r="E101" s="573">
        <v>15</v>
      </c>
      <c r="F101" s="3" cm="1">
        <f t="array" aca="1" ref="F101" ca="1">OFFSET(E101,-1,1)</f>
        <v>0</v>
      </c>
      <c r="H101" s="411" t="s">
        <v>2385</v>
      </c>
      <c r="T101" s="388" t="b" cm="1">
        <f t="array" aca="1" ref="T101" ca="1">T98</f>
        <v>0</v>
      </c>
      <c r="X101" s="2066"/>
      <c r="Z101" s="2067"/>
      <c r="AB101" s="636" t="s">
        <v>2050</v>
      </c>
      <c r="AC101" s="472" t="s">
        <v>1254</v>
      </c>
      <c r="AD101" s="471" t="s">
        <v>831</v>
      </c>
      <c r="AE101" s="1930"/>
      <c r="AH101" s="973" t="s">
        <v>2056</v>
      </c>
      <c r="AM101" s="1929"/>
      <c r="AN101" s="1929"/>
      <c r="AO101" s="1929"/>
      <c r="AP101" s="1929"/>
    </row>
    <row r="102" spans="1:42" ht="14.65" hidden="1" customHeight="1" x14ac:dyDescent="0.15">
      <c r="E102" s="573">
        <v>15</v>
      </c>
      <c r="F102" s="3" cm="1">
        <f t="array" aca="1" ref="F102" ca="1">OFFSET(E102,-1,1)</f>
        <v>0</v>
      </c>
      <c r="H102" s="411" t="s">
        <v>930</v>
      </c>
      <c r="T102" s="388" t="b" cm="1">
        <f t="array" aca="1" ref="T102" ca="1">T101</f>
        <v>0</v>
      </c>
      <c r="X102" s="2066"/>
      <c r="Z102" s="2067"/>
      <c r="AB102" s="636" t="s">
        <v>933</v>
      </c>
      <c r="AC102" s="472" t="s">
        <v>1031</v>
      </c>
      <c r="AD102" s="471" t="s">
        <v>831</v>
      </c>
      <c r="AE102" s="1930"/>
      <c r="AH102" s="973" t="s">
        <v>1185</v>
      </c>
      <c r="AM102" s="1929"/>
      <c r="AN102" s="1929"/>
      <c r="AO102" s="1929"/>
      <c r="AP102" s="1929"/>
    </row>
    <row r="103" spans="1:42" ht="14.65" hidden="1" customHeight="1" x14ac:dyDescent="0.15">
      <c r="E103" s="573">
        <v>15</v>
      </c>
      <c r="F103" s="3" cm="1">
        <f t="array" aca="1" ref="F103" ca="1">OFFSET(E103,-1,1)</f>
        <v>0</v>
      </c>
      <c r="H103" s="411" t="s">
        <v>2059</v>
      </c>
      <c r="T103" s="388" t="b" cm="1">
        <f t="array" aca="1" ref="T103" ca="1">T102</f>
        <v>0</v>
      </c>
      <c r="X103" s="2066"/>
      <c r="Z103" s="2067"/>
      <c r="AB103" s="636" t="s">
        <v>936</v>
      </c>
      <c r="AC103" s="470" t="s">
        <v>1431</v>
      </c>
      <c r="AD103" s="471" t="s">
        <v>831</v>
      </c>
      <c r="AE103" s="1930"/>
      <c r="AH103" s="980" t="s">
        <v>1798</v>
      </c>
      <c r="AM103" s="1929"/>
      <c r="AN103" s="1929"/>
      <c r="AO103" s="1929"/>
      <c r="AP103" s="1929"/>
    </row>
    <row r="104" spans="1:42" ht="14.65" hidden="1" customHeight="1" x14ac:dyDescent="0.15">
      <c r="E104" s="573">
        <v>15</v>
      </c>
      <c r="F104" s="3" cm="1">
        <f t="array" aca="1" ref="F104" ca="1">OFFSET(E104,-1,1)</f>
        <v>0</v>
      </c>
      <c r="H104" s="411" t="s">
        <v>2067</v>
      </c>
      <c r="T104" s="388" t="b" cm="1">
        <f t="array" aca="1" ref="T104" ca="1">T103</f>
        <v>0</v>
      </c>
      <c r="X104" s="2066"/>
      <c r="Z104" s="2067"/>
      <c r="AB104" s="636" t="s">
        <v>1479</v>
      </c>
      <c r="AC104" s="470" t="s">
        <v>1441</v>
      </c>
      <c r="AD104" s="471" t="s">
        <v>831</v>
      </c>
      <c r="AE104" s="480">
        <f>AE105+AE106</f>
        <v>0</v>
      </c>
      <c r="AH104" s="973" t="s">
        <v>2072</v>
      </c>
      <c r="AM104" s="1929"/>
      <c r="AN104" s="1929"/>
      <c r="AO104" s="1929"/>
      <c r="AP104" s="1929"/>
    </row>
    <row r="105" spans="1:42" ht="14.65" hidden="1" customHeight="1" x14ac:dyDescent="0.15">
      <c r="E105" s="573">
        <v>15</v>
      </c>
      <c r="F105" s="3" cm="1">
        <f t="array" aca="1" ref="F105" ca="1">OFFSET(E105,-1,1)</f>
        <v>0</v>
      </c>
      <c r="H105" s="411" t="s">
        <v>2386</v>
      </c>
      <c r="T105" s="388" t="b" cm="1">
        <f t="array" aca="1" ref="T105" ca="1">T104</f>
        <v>0</v>
      </c>
      <c r="X105" s="2066"/>
      <c r="Z105" s="2067"/>
      <c r="AB105" s="636" t="s">
        <v>2063</v>
      </c>
      <c r="AC105" s="472" t="s">
        <v>2387</v>
      </c>
      <c r="AD105" s="471" t="s">
        <v>831</v>
      </c>
      <c r="AE105" s="1930"/>
      <c r="AH105" s="973" t="s">
        <v>1222</v>
      </c>
      <c r="AM105" s="1929"/>
      <c r="AN105" s="1929"/>
      <c r="AO105" s="1929"/>
      <c r="AP105" s="1929"/>
    </row>
    <row r="106" spans="1:42" ht="21.95" hidden="1" customHeight="1" x14ac:dyDescent="0.15">
      <c r="E106" s="573">
        <v>22.5</v>
      </c>
      <c r="F106" s="3" cm="1">
        <f t="array" aca="1" ref="F106" ca="1">OFFSET(E106,-1,1)</f>
        <v>0</v>
      </c>
      <c r="H106" s="411" t="s">
        <v>2388</v>
      </c>
      <c r="T106" s="388" t="b" cm="1">
        <f t="array" aca="1" ref="T106" ca="1">T105</f>
        <v>0</v>
      </c>
      <c r="X106" s="2066"/>
      <c r="Z106" s="2067"/>
      <c r="AB106" s="636" t="s">
        <v>2389</v>
      </c>
      <c r="AC106" s="472" t="s">
        <v>2390</v>
      </c>
      <c r="AD106" s="471" t="s">
        <v>831</v>
      </c>
      <c r="AE106" s="1930"/>
      <c r="AH106" s="973" t="s">
        <v>2079</v>
      </c>
      <c r="AM106" s="1929"/>
      <c r="AN106" s="1929"/>
      <c r="AO106" s="1929"/>
      <c r="AP106" s="1929"/>
    </row>
    <row r="107" spans="1:42" ht="76.7" hidden="1" customHeight="1" x14ac:dyDescent="0.15">
      <c r="E107" s="573">
        <v>78.75</v>
      </c>
      <c r="F107" s="3" cm="1">
        <f t="array" aca="1" ref="F107" ca="1">OFFSET(E107,-1,1)</f>
        <v>0</v>
      </c>
      <c r="H107" s="411" t="s">
        <v>2071</v>
      </c>
      <c r="T107" s="388" t="b" cm="1">
        <f t="array" aca="1" ref="T107" ca="1">T106</f>
        <v>0</v>
      </c>
      <c r="X107" s="2066"/>
      <c r="Z107" s="2067"/>
      <c r="AB107" s="636" t="s">
        <v>1484</v>
      </c>
      <c r="AC107" s="1189" t="s">
        <v>1415</v>
      </c>
      <c r="AD107" s="471" t="s">
        <v>831</v>
      </c>
      <c r="AE107" s="1930"/>
      <c r="AH107" s="973" t="s">
        <v>2057</v>
      </c>
      <c r="AM107" s="1929"/>
      <c r="AN107" s="1929"/>
      <c r="AO107" s="1929"/>
      <c r="AP107" s="1929"/>
    </row>
    <row r="108" spans="1:42" s="1321" customFormat="1" ht="14.65" hidden="1" customHeight="1" x14ac:dyDescent="0.15">
      <c r="A108" s="591"/>
      <c r="B108" s="411"/>
      <c r="C108" s="411"/>
      <c r="D108" s="411"/>
      <c r="E108" s="573">
        <v>15</v>
      </c>
      <c r="F108" s="446" cm="1">
        <f t="array" aca="1" ref="F108" ca="1">OFFSET(E108,-1,1)</f>
        <v>0</v>
      </c>
      <c r="G108" s="411"/>
      <c r="H108" s="411"/>
      <c r="I108" s="411"/>
      <c r="J108" s="411"/>
      <c r="K108" s="411"/>
      <c r="L108" s="411"/>
      <c r="M108" s="411"/>
      <c r="N108" s="411"/>
      <c r="O108" s="411"/>
      <c r="P108" s="411"/>
      <c r="Q108" s="411"/>
      <c r="R108" s="411"/>
      <c r="S108" s="411"/>
      <c r="T108" s="388" t="b" cm="1">
        <f t="array" aca="1" ref="T108" ca="1">T107</f>
        <v>0</v>
      </c>
      <c r="U108" s="411"/>
      <c r="V108" s="411"/>
      <c r="W108" s="411"/>
      <c r="X108" s="2066"/>
      <c r="Y108" s="411"/>
      <c r="Z108" s="2067"/>
      <c r="AA108" s="411"/>
      <c r="AB108" s="1177" t="s">
        <v>2068</v>
      </c>
      <c r="AC108" s="1189" t="s">
        <v>1011</v>
      </c>
      <c r="AD108" s="1179" t="s">
        <v>831</v>
      </c>
      <c r="AE108" s="1933"/>
      <c r="AF108" s="1016"/>
      <c r="AG108" s="1016"/>
      <c r="AH108" s="973" t="s">
        <v>1013</v>
      </c>
      <c r="AI108" s="967"/>
      <c r="AJ108" s="967"/>
      <c r="AK108" s="876"/>
      <c r="AL108" s="876"/>
    </row>
    <row r="109" spans="1:42" s="1321" customFormat="1" ht="14.65" hidden="1" customHeight="1" x14ac:dyDescent="0.15">
      <c r="A109" s="591"/>
      <c r="B109" s="411"/>
      <c r="C109" s="411"/>
      <c r="D109" s="411"/>
      <c r="E109" s="573">
        <v>15</v>
      </c>
      <c r="F109" s="446" cm="1">
        <f t="array" aca="1" ref="F109" ca="1">OFFSET(E109,-1,1)</f>
        <v>0</v>
      </c>
      <c r="G109" s="411"/>
      <c r="H109" s="411"/>
      <c r="I109" s="411"/>
      <c r="J109" s="411"/>
      <c r="K109" s="411"/>
      <c r="L109" s="411"/>
      <c r="M109" s="411"/>
      <c r="N109" s="411"/>
      <c r="O109" s="411"/>
      <c r="P109" s="411"/>
      <c r="Q109" s="411"/>
      <c r="R109" s="411"/>
      <c r="S109" s="411"/>
      <c r="T109" s="388" t="b" cm="1">
        <f t="array" aca="1" ref="T109" ca="1">T108</f>
        <v>0</v>
      </c>
      <c r="U109" s="411"/>
      <c r="V109" s="411"/>
      <c r="W109" s="411"/>
      <c r="X109" s="2066"/>
      <c r="Y109" s="411"/>
      <c r="Z109" s="2067"/>
      <c r="AA109" s="411"/>
      <c r="AB109" s="1177" t="s">
        <v>1503</v>
      </c>
      <c r="AC109" s="1189" t="s">
        <v>1426</v>
      </c>
      <c r="AD109" s="1179" t="s">
        <v>831</v>
      </c>
      <c r="AE109" s="1933"/>
      <c r="AF109" s="1016"/>
      <c r="AG109" s="1016"/>
      <c r="AH109" s="973" t="s">
        <v>2391</v>
      </c>
      <c r="AI109" s="967"/>
      <c r="AJ109" s="967"/>
      <c r="AK109" s="876"/>
      <c r="AL109" s="876"/>
    </row>
    <row r="110" spans="1:42" ht="14.65" hidden="1" customHeight="1" x14ac:dyDescent="0.15">
      <c r="E110" s="573">
        <v>15</v>
      </c>
      <c r="F110" s="3" cm="1">
        <f t="array" aca="1" ref="F110" ca="1">OFFSET(E110,-1,1)</f>
        <v>0</v>
      </c>
      <c r="H110" s="411" t="s">
        <v>2392</v>
      </c>
      <c r="T110" s="388" t="b" cm="1">
        <f t="array" aca="1" ref="T110" ca="1">T107</f>
        <v>0</v>
      </c>
      <c r="X110" s="2066"/>
      <c r="Z110" s="2067"/>
      <c r="AB110" s="636" t="s">
        <v>1507</v>
      </c>
      <c r="AC110" s="470" t="s">
        <v>2393</v>
      </c>
      <c r="AD110" s="471" t="s">
        <v>831</v>
      </c>
      <c r="AE110" s="1930"/>
      <c r="AH110" s="910" t="s">
        <v>2394</v>
      </c>
      <c r="AM110" s="1929"/>
      <c r="AN110" s="1929"/>
      <c r="AO110" s="1929"/>
      <c r="AP110" s="1929"/>
    </row>
    <row r="111" spans="1:42" s="1321" customFormat="1" ht="32.1" hidden="1" customHeight="1" x14ac:dyDescent="0.15">
      <c r="A111" s="591"/>
      <c r="B111" s="411"/>
      <c r="C111" s="411"/>
      <c r="D111" s="411"/>
      <c r="E111" s="573">
        <v>33</v>
      </c>
      <c r="F111" s="446" cm="1">
        <f t="array" aca="1" ref="F111" ca="1">OFFSET(E111,-1,1)</f>
        <v>0</v>
      </c>
      <c r="G111" s="411"/>
      <c r="H111" s="411"/>
      <c r="I111" s="411"/>
      <c r="J111" s="411"/>
      <c r="K111" s="411"/>
      <c r="L111" s="411"/>
      <c r="M111" s="411"/>
      <c r="N111" s="411"/>
      <c r="O111" s="411"/>
      <c r="P111" s="411"/>
      <c r="Q111" s="411"/>
      <c r="R111" s="411"/>
      <c r="S111" s="411"/>
      <c r="T111" s="388" t="b" cm="1">
        <f t="array" aca="1" ref="T111" ca="1">T110</f>
        <v>0</v>
      </c>
      <c r="U111" s="411"/>
      <c r="V111" s="411"/>
      <c r="W111" s="411"/>
      <c r="X111" s="2066"/>
      <c r="Y111" s="411"/>
      <c r="Z111" s="2067"/>
      <c r="AA111" s="411"/>
      <c r="AB111" s="1177" t="s">
        <v>1510</v>
      </c>
      <c r="AC111" s="1178" t="s">
        <v>2081</v>
      </c>
      <c r="AD111" s="1179" t="s">
        <v>831</v>
      </c>
      <c r="AE111" s="1933"/>
      <c r="AF111" s="1016"/>
      <c r="AG111" s="1016"/>
      <c r="AH111" s="967" t="s">
        <v>2395</v>
      </c>
      <c r="AI111" s="967"/>
      <c r="AJ111" s="967"/>
      <c r="AK111" s="876"/>
      <c r="AL111" s="876"/>
    </row>
    <row r="112" spans="1:42" ht="14.65" hidden="1" customHeight="1" x14ac:dyDescent="0.15">
      <c r="E112" s="573">
        <v>15</v>
      </c>
      <c r="F112" s="3" cm="1">
        <f t="array" aca="1" ref="F112" ca="1">OFFSET(E112,-1,1)</f>
        <v>0</v>
      </c>
      <c r="H112" s="411" t="s">
        <v>2396</v>
      </c>
      <c r="T112" s="388" t="b" cm="1">
        <f t="array" aca="1" ref="T112" ca="1">T110</f>
        <v>0</v>
      </c>
      <c r="X112" s="2066"/>
      <c r="Z112" s="2067"/>
      <c r="AB112" s="636" t="s">
        <v>2397</v>
      </c>
      <c r="AC112" s="470" t="s">
        <v>2398</v>
      </c>
      <c r="AD112" s="471" t="s">
        <v>831</v>
      </c>
      <c r="AE112" s="480">
        <f>SUM(AE113:AE114)</f>
        <v>0</v>
      </c>
      <c r="AH112" s="910" t="s">
        <v>2399</v>
      </c>
      <c r="AM112" s="1929"/>
      <c r="AN112" s="1929"/>
      <c r="AO112" s="1929"/>
      <c r="AP112" s="1929"/>
    </row>
    <row r="113" spans="1:42" ht="14.65" hidden="1" customHeight="1" x14ac:dyDescent="0.15">
      <c r="E113" s="573">
        <v>15</v>
      </c>
      <c r="F113" s="3" cm="1">
        <f t="array" aca="1" ref="F113" ca="1">OFFSET(E113,-1,1)</f>
        <v>0</v>
      </c>
      <c r="H113" s="411" t="s">
        <v>2396</v>
      </c>
      <c r="I113" s="486" cm="1">
        <f t="array" ref="I113">AC113</f>
        <v>0</v>
      </c>
      <c r="T113" s="388" t="b">
        <f ca="1">AND(F113&gt;0,Y113&gt;0)</f>
        <v>0</v>
      </c>
      <c r="W113" s="478" t="s">
        <v>172</v>
      </c>
      <c r="X113" s="2066"/>
      <c r="Y113" s="411">
        <v>0</v>
      </c>
      <c r="Z113" s="2067"/>
      <c r="AA113" s="586" t="s">
        <v>173</v>
      </c>
      <c r="AB113" s="636" t="str">
        <f>"2.12."&amp;Y113</f>
        <v>2.12.0</v>
      </c>
      <c r="AC113" s="1931"/>
      <c r="AD113" s="471" t="s">
        <v>831</v>
      </c>
      <c r="AE113" s="1932"/>
      <c r="AH113" s="910" t="s">
        <v>2399</v>
      </c>
      <c r="AI113" s="910" t="s">
        <v>2400</v>
      </c>
      <c r="AJ113" s="915" cm="1">
        <f t="array" ref="AJ113">AC113</f>
        <v>0</v>
      </c>
      <c r="AL113" s="580" t="b">
        <v>1</v>
      </c>
      <c r="AM113" s="1929"/>
      <c r="AN113" s="1929"/>
      <c r="AO113" s="1929"/>
      <c r="AP113" s="1929"/>
    </row>
    <row r="114" spans="1:42" ht="14.65" hidden="1" customHeight="1" x14ac:dyDescent="0.15">
      <c r="E114" s="573">
        <v>15</v>
      </c>
      <c r="F114" s="3" cm="1">
        <f t="array" aca="1" ref="F114" ca="1">OFFSET(E114,-1,1)</f>
        <v>0</v>
      </c>
      <c r="I114" s="77" t="str">
        <f>"!== 'не определено' &amp;&amp; row.l2_13 !== null"</f>
        <v>!== 'не определено' &amp;&amp; row.l2_13 !== null</v>
      </c>
      <c r="T114" s="388" t="b">
        <f ca="1">F114&gt;0</f>
        <v>0</v>
      </c>
      <c r="W114" s="748" t="s">
        <v>894</v>
      </c>
      <c r="X114" s="2066"/>
      <c r="Z114" s="2067"/>
      <c r="AB114" s="1185"/>
      <c r="AC114" s="1244" t="s">
        <v>176</v>
      </c>
      <c r="AD114" s="1187"/>
      <c r="AE114" s="1243"/>
      <c r="AK114" s="580" t="s">
        <v>2400</v>
      </c>
      <c r="AM114" s="1929"/>
      <c r="AN114" s="1929"/>
      <c r="AO114" s="1929"/>
      <c r="AP114" s="1929"/>
    </row>
    <row r="115" spans="1:42" ht="14.65" hidden="1" customHeight="1" x14ac:dyDescent="0.15">
      <c r="E115" s="573">
        <v>15</v>
      </c>
      <c r="F115" s="3" cm="1">
        <f t="array" aca="1" ref="F115" ca="1">OFFSET(E115,-1,1)</f>
        <v>0</v>
      </c>
      <c r="G115" s="411" t="s">
        <v>49</v>
      </c>
      <c r="H115" s="411" t="s">
        <v>333</v>
      </c>
      <c r="T115" s="388" t="b" cm="1">
        <f t="array" aca="1" ref="T115" ca="1">T114</f>
        <v>0</v>
      </c>
      <c r="X115" s="2066"/>
      <c r="Z115" s="2067"/>
      <c r="AB115" s="635" t="s">
        <v>329</v>
      </c>
      <c r="AC115" s="468" t="s">
        <v>2084</v>
      </c>
      <c r="AD115" s="469" t="s">
        <v>831</v>
      </c>
      <c r="AE115" s="1934"/>
      <c r="AH115" s="910" t="s">
        <v>1692</v>
      </c>
      <c r="AM115" s="1929"/>
      <c r="AN115" s="1929"/>
      <c r="AO115" s="1929"/>
      <c r="AP115" s="1929"/>
    </row>
    <row r="116" spans="1:42" s="1334" customFormat="1" ht="14.25" customHeight="1" x14ac:dyDescent="0.15">
      <c r="A116" s="591"/>
      <c r="B116" s="1128"/>
      <c r="C116" s="1128"/>
      <c r="D116" s="1128"/>
      <c r="E116" s="573">
        <v>15</v>
      </c>
      <c r="F116" s="755" t="str" cm="1">
        <f t="array" ref="F116">X116</f>
        <v>1</v>
      </c>
      <c r="G116" s="411" t="s">
        <v>824</v>
      </c>
      <c r="H116" s="1128"/>
      <c r="I116" s="1128"/>
      <c r="J116" s="1128"/>
      <c r="K116" s="1128"/>
      <c r="L116" s="1128"/>
      <c r="M116" s="1128"/>
      <c r="N116" s="1128"/>
      <c r="O116" s="1128"/>
      <c r="P116" s="1128"/>
      <c r="Q116" s="1128"/>
      <c r="R116" s="1128"/>
      <c r="S116" s="1128"/>
      <c r="T116" s="388" t="b">
        <f>X116&gt;0</f>
        <v>1</v>
      </c>
      <c r="U116" s="1128"/>
      <c r="V116" s="411" t="str" cm="1">
        <f t="array" ref="V116">'ДПР (концессии)'!$AB$81</f>
        <v>Тариф 1 (Водоснабжение) - тариф на питьевую воду</v>
      </c>
      <c r="W116" s="1128"/>
      <c r="X116" s="2066" t="s">
        <v>282</v>
      </c>
      <c r="Y116" s="1128"/>
      <c r="Z116" s="2067"/>
      <c r="AA116" s="1128"/>
      <c r="AB116" s="141" t="str" cm="1">
        <f t="array" ref="AB116">'ДПР (концессии)'!$AB$81</f>
        <v>Тариф 1 (Водоснабжение) - тариф на питьевую воду</v>
      </c>
      <c r="AC116" s="99"/>
      <c r="AD116" s="93"/>
      <c r="AE116" s="1173">
        <f>AE117+AE167+AE204</f>
        <v>0</v>
      </c>
      <c r="AF116" s="1194"/>
      <c r="AG116" s="1194"/>
      <c r="AH116" s="1195"/>
      <c r="AI116" s="1195"/>
      <c r="AJ116" s="1195"/>
      <c r="AK116" s="1196"/>
      <c r="AL116" s="1196"/>
    </row>
    <row r="117" spans="1:42" s="1334" customFormat="1" ht="14.25" customHeight="1" x14ac:dyDescent="0.15">
      <c r="A117" s="591"/>
      <c r="B117" s="1128"/>
      <c r="C117" s="1128"/>
      <c r="D117" s="1128"/>
      <c r="E117" s="573">
        <v>15</v>
      </c>
      <c r="F117" s="3" t="str" cm="1">
        <f t="array" aca="1" ref="F117" ca="1">OFFSET(E117,-1,1)</f>
        <v>1</v>
      </c>
      <c r="G117" s="1128"/>
      <c r="H117" s="411" t="s">
        <v>331</v>
      </c>
      <c r="I117" s="1128"/>
      <c r="J117" s="1128"/>
      <c r="K117" s="1128"/>
      <c r="L117" s="1128"/>
      <c r="M117" s="1128"/>
      <c r="N117" s="1128"/>
      <c r="O117" s="1128"/>
      <c r="P117" s="1128"/>
      <c r="Q117" s="1128"/>
      <c r="R117" s="1128"/>
      <c r="S117" s="1128"/>
      <c r="T117" s="388" t="b" cm="1">
        <f t="array" ref="T117">T116</f>
        <v>1</v>
      </c>
      <c r="U117" s="1128"/>
      <c r="V117" s="1128"/>
      <c r="W117" s="1128"/>
      <c r="X117" s="2066"/>
      <c r="Y117" s="1128"/>
      <c r="Z117" s="2067"/>
      <c r="AA117" s="1128"/>
      <c r="AB117" s="1174" t="s">
        <v>282</v>
      </c>
      <c r="AC117" s="1175" t="s">
        <v>1890</v>
      </c>
      <c r="AD117" s="1176" t="s">
        <v>831</v>
      </c>
      <c r="AE117" s="1241">
        <f>AE118+AE136+AE144+AE164</f>
        <v>0</v>
      </c>
      <c r="AF117" s="1194"/>
      <c r="AG117" s="1194"/>
      <c r="AH117" s="910" t="s">
        <v>555</v>
      </c>
      <c r="AI117" s="1195"/>
      <c r="AJ117" s="1195"/>
      <c r="AK117" s="1196"/>
      <c r="AL117" s="1196"/>
    </row>
    <row r="118" spans="1:42" s="1334" customFormat="1" ht="14.25" customHeight="1" x14ac:dyDescent="0.15">
      <c r="A118" s="591"/>
      <c r="B118" s="1128"/>
      <c r="C118" s="1128"/>
      <c r="D118" s="1128"/>
      <c r="E118" s="573">
        <v>15</v>
      </c>
      <c r="F118" s="3" t="str" cm="1">
        <f t="array" aca="1" ref="F118" ca="1">OFFSET(E118,-1,1)</f>
        <v>1</v>
      </c>
      <c r="G118" s="1128"/>
      <c r="H118" s="411" t="s">
        <v>494</v>
      </c>
      <c r="I118" s="1128"/>
      <c r="J118" s="1128"/>
      <c r="K118" s="1128"/>
      <c r="L118" s="1128"/>
      <c r="M118" s="1128"/>
      <c r="N118" s="1128"/>
      <c r="O118" s="1128"/>
      <c r="P118" s="1128"/>
      <c r="Q118" s="1128"/>
      <c r="R118" s="1128"/>
      <c r="S118" s="1128"/>
      <c r="T118" s="388" t="b" cm="1">
        <f t="array" ref="T118">T117</f>
        <v>1</v>
      </c>
      <c r="U118" s="1128"/>
      <c r="V118" s="1128"/>
      <c r="W118" s="1128"/>
      <c r="X118" s="2066"/>
      <c r="Y118" s="1128"/>
      <c r="Z118" s="2067"/>
      <c r="AA118" s="1128"/>
      <c r="AB118" s="1177" t="s">
        <v>910</v>
      </c>
      <c r="AC118" s="1178" t="s">
        <v>1680</v>
      </c>
      <c r="AD118" s="1179" t="s">
        <v>831</v>
      </c>
      <c r="AE118" s="480">
        <f>AE119+AE120+AE121+AE126+AE127+AE128</f>
        <v>0</v>
      </c>
      <c r="AF118" s="1194"/>
      <c r="AG118" s="1194"/>
      <c r="AH118" s="910" t="s">
        <v>1106</v>
      </c>
      <c r="AI118" s="1195"/>
      <c r="AJ118" s="1195"/>
      <c r="AK118" s="1196"/>
      <c r="AL118" s="1196"/>
    </row>
    <row r="119" spans="1:42" s="1334" customFormat="1" ht="14.25" customHeight="1" x14ac:dyDescent="0.15">
      <c r="A119" s="591"/>
      <c r="B119" s="1128"/>
      <c r="C119" s="1128"/>
      <c r="D119" s="1128"/>
      <c r="E119" s="573">
        <v>15</v>
      </c>
      <c r="F119" s="3" t="str" cm="1">
        <f t="array" aca="1" ref="F119" ca="1">OFFSET(E119,-1,1)</f>
        <v>1</v>
      </c>
      <c r="G119" s="1128"/>
      <c r="H119" s="411" t="s">
        <v>1016</v>
      </c>
      <c r="I119" s="1128"/>
      <c r="J119" s="1128"/>
      <c r="K119" s="1128"/>
      <c r="L119" s="1128"/>
      <c r="M119" s="1128"/>
      <c r="N119" s="1128"/>
      <c r="O119" s="1128"/>
      <c r="P119" s="1128"/>
      <c r="Q119" s="1128"/>
      <c r="R119" s="1128"/>
      <c r="S119" s="1128"/>
      <c r="T119" s="388" t="b" cm="1">
        <f t="array" ref="T119">T118</f>
        <v>1</v>
      </c>
      <c r="U119" s="1128"/>
      <c r="V119" s="1128"/>
      <c r="W119" s="1128"/>
      <c r="X119" s="2066"/>
      <c r="Y119" s="1128"/>
      <c r="Z119" s="2067"/>
      <c r="AA119" s="1128"/>
      <c r="AB119" s="636" t="s">
        <v>1017</v>
      </c>
      <c r="AC119" s="1180" t="s">
        <v>2267</v>
      </c>
      <c r="AD119" s="471" t="s">
        <v>831</v>
      </c>
      <c r="AE119" s="1242"/>
      <c r="AF119" s="1194"/>
      <c r="AG119" s="1194"/>
      <c r="AH119" s="910" t="s">
        <v>1214</v>
      </c>
      <c r="AI119" s="1195"/>
      <c r="AJ119" s="1195"/>
      <c r="AK119" s="1196"/>
      <c r="AL119" s="1196"/>
    </row>
    <row r="120" spans="1:42" s="1334" customFormat="1" ht="21.75" customHeight="1" x14ac:dyDescent="0.15">
      <c r="A120" s="591"/>
      <c r="B120" s="1128"/>
      <c r="C120" s="1128"/>
      <c r="D120" s="1128"/>
      <c r="E120" s="573">
        <v>22.5</v>
      </c>
      <c r="F120" s="3" t="str" cm="1">
        <f t="array" aca="1" ref="F120" ca="1">OFFSET(E120,-1,1)</f>
        <v>1</v>
      </c>
      <c r="G120" s="1128"/>
      <c r="H120" s="411" t="s">
        <v>1020</v>
      </c>
      <c r="I120" s="1128"/>
      <c r="J120" s="1128"/>
      <c r="K120" s="1128"/>
      <c r="L120" s="1128"/>
      <c r="M120" s="1128"/>
      <c r="N120" s="1128"/>
      <c r="O120" s="1128"/>
      <c r="P120" s="1128"/>
      <c r="Q120" s="1128"/>
      <c r="R120" s="1128"/>
      <c r="S120" s="1128"/>
      <c r="T120" s="388" t="b" cm="1">
        <f t="array" ref="T120">T119</f>
        <v>1</v>
      </c>
      <c r="U120" s="1128"/>
      <c r="V120" s="1128"/>
      <c r="W120" s="1128"/>
      <c r="X120" s="2066"/>
      <c r="Y120" s="1128"/>
      <c r="Z120" s="2067"/>
      <c r="AA120" s="1128"/>
      <c r="AB120" s="636" t="s">
        <v>1021</v>
      </c>
      <c r="AC120" s="472" t="s">
        <v>1898</v>
      </c>
      <c r="AD120" s="471" t="s">
        <v>831</v>
      </c>
      <c r="AE120" s="1242"/>
      <c r="AF120" s="1194"/>
      <c r="AG120" s="1194"/>
      <c r="AH120" s="910" t="s">
        <v>1713</v>
      </c>
      <c r="AI120" s="1195"/>
      <c r="AJ120" s="1195"/>
      <c r="AK120" s="1196"/>
      <c r="AL120" s="1196"/>
    </row>
    <row r="121" spans="1:42" s="1334" customFormat="1" ht="32.25" customHeight="1" x14ac:dyDescent="0.15">
      <c r="A121" s="591"/>
      <c r="B121" s="1128"/>
      <c r="C121" s="1128"/>
      <c r="D121" s="1128"/>
      <c r="E121" s="573">
        <v>33.75</v>
      </c>
      <c r="F121" s="3" t="str" cm="1">
        <f t="array" aca="1" ref="F121" ca="1">OFFSET(E121,-1,1)</f>
        <v>1</v>
      </c>
      <c r="G121" s="1128"/>
      <c r="H121" s="411" t="s">
        <v>1276</v>
      </c>
      <c r="I121" s="1128"/>
      <c r="J121" s="1128"/>
      <c r="K121" s="1128"/>
      <c r="L121" s="1128"/>
      <c r="M121" s="1128"/>
      <c r="N121" s="1128"/>
      <c r="O121" s="1128"/>
      <c r="P121" s="1128"/>
      <c r="Q121" s="1128"/>
      <c r="R121" s="1128"/>
      <c r="S121" s="1128"/>
      <c r="T121" s="388" t="b" cm="1">
        <f t="array" ref="T121">T120</f>
        <v>1</v>
      </c>
      <c r="U121" s="1128"/>
      <c r="V121" s="1128"/>
      <c r="W121" s="1128"/>
      <c r="X121" s="2066"/>
      <c r="Y121" s="1128"/>
      <c r="Z121" s="2067"/>
      <c r="AA121" s="1128"/>
      <c r="AB121" s="636" t="s">
        <v>1277</v>
      </c>
      <c r="AC121" s="472" t="s">
        <v>2268</v>
      </c>
      <c r="AD121" s="471" t="s">
        <v>831</v>
      </c>
      <c r="AE121" s="480">
        <f>AE122+AE125</f>
        <v>0</v>
      </c>
      <c r="AF121" s="1194"/>
      <c r="AG121" s="1194"/>
      <c r="AH121" s="910" t="s">
        <v>1715</v>
      </c>
      <c r="AI121" s="1195"/>
      <c r="AJ121" s="1195"/>
      <c r="AK121" s="1196"/>
      <c r="AL121" s="1196"/>
    </row>
    <row r="122" spans="1:42" s="1334" customFormat="1" ht="21.75" customHeight="1" x14ac:dyDescent="0.15">
      <c r="A122" s="591"/>
      <c r="B122" s="1128"/>
      <c r="C122" s="1128"/>
      <c r="D122" s="1128"/>
      <c r="E122" s="573">
        <v>22.5</v>
      </c>
      <c r="F122" s="3" t="str" cm="1">
        <f t="array" aca="1" ref="F122" ca="1">OFFSET(E122,-1,1)</f>
        <v>1</v>
      </c>
      <c r="G122" s="1128"/>
      <c r="H122" s="411" t="s">
        <v>2269</v>
      </c>
      <c r="I122" s="1128"/>
      <c r="J122" s="1128"/>
      <c r="K122" s="1128"/>
      <c r="L122" s="1128"/>
      <c r="M122" s="1128"/>
      <c r="N122" s="1128"/>
      <c r="O122" s="1128"/>
      <c r="P122" s="1128"/>
      <c r="Q122" s="1128"/>
      <c r="R122" s="1128"/>
      <c r="S122" s="1128"/>
      <c r="T122" s="388" t="b" cm="1">
        <f t="array" ref="T122">T121</f>
        <v>1</v>
      </c>
      <c r="U122" s="1128"/>
      <c r="V122" s="1128"/>
      <c r="W122" s="1128"/>
      <c r="X122" s="2066"/>
      <c r="Y122" s="1128"/>
      <c r="Z122" s="2067"/>
      <c r="AA122" s="1128"/>
      <c r="AB122" s="636" t="s">
        <v>2270</v>
      </c>
      <c r="AC122" s="1181" t="s">
        <v>2271</v>
      </c>
      <c r="AD122" s="471" t="s">
        <v>831</v>
      </c>
      <c r="AE122" s="1242"/>
      <c r="AF122" s="1194"/>
      <c r="AG122" s="1194"/>
      <c r="AH122" s="910" t="s">
        <v>1717</v>
      </c>
      <c r="AI122" s="1195"/>
      <c r="AJ122" s="1195"/>
      <c r="AK122" s="1196"/>
      <c r="AL122" s="1196"/>
    </row>
    <row r="123" spans="1:42" s="1334" customFormat="1" ht="21.75" customHeight="1" x14ac:dyDescent="0.15">
      <c r="A123" s="591"/>
      <c r="B123" s="1128"/>
      <c r="C123" s="1128"/>
      <c r="D123" s="1128"/>
      <c r="E123" s="573">
        <v>22.5</v>
      </c>
      <c r="F123" s="3" t="str" cm="1">
        <f t="array" aca="1" ref="F123" ca="1">OFFSET(E123,-1,1)</f>
        <v>1</v>
      </c>
      <c r="G123" s="1128"/>
      <c r="H123" s="411" t="s">
        <v>2272</v>
      </c>
      <c r="I123" s="1128"/>
      <c r="J123" s="1128"/>
      <c r="K123" s="1128"/>
      <c r="L123" s="1128"/>
      <c r="M123" s="1128"/>
      <c r="N123" s="1128"/>
      <c r="O123" s="1128"/>
      <c r="P123" s="1128"/>
      <c r="Q123" s="1128"/>
      <c r="R123" s="1128"/>
      <c r="S123" s="1128"/>
      <c r="T123" s="388" t="b" cm="1">
        <f t="array" ref="T123">T122</f>
        <v>1</v>
      </c>
      <c r="U123" s="1128"/>
      <c r="V123" s="1128"/>
      <c r="W123" s="1128"/>
      <c r="X123" s="2066"/>
      <c r="Y123" s="1128"/>
      <c r="Z123" s="2067"/>
      <c r="AA123" s="1128"/>
      <c r="AB123" s="636" t="s">
        <v>2273</v>
      </c>
      <c r="AC123" s="1182" t="s">
        <v>2274</v>
      </c>
      <c r="AD123" s="471" t="s">
        <v>2275</v>
      </c>
      <c r="AE123" s="1242"/>
      <c r="AF123" s="1194"/>
      <c r="AG123" s="1194"/>
      <c r="AH123" s="910" t="s">
        <v>2276</v>
      </c>
      <c r="AI123" s="1195"/>
      <c r="AJ123" s="1195"/>
      <c r="AK123" s="1196"/>
      <c r="AL123" s="1196"/>
    </row>
    <row r="124" spans="1:42" s="1334" customFormat="1" ht="21.75" customHeight="1" x14ac:dyDescent="0.15">
      <c r="A124" s="591"/>
      <c r="B124" s="1128"/>
      <c r="C124" s="1128"/>
      <c r="D124" s="1128"/>
      <c r="E124" s="573">
        <v>22.5</v>
      </c>
      <c r="F124" s="3" t="str" cm="1">
        <f t="array" aca="1" ref="F124" ca="1">OFFSET(E124,-1,1)</f>
        <v>1</v>
      </c>
      <c r="G124" s="1128"/>
      <c r="H124" s="411" t="s">
        <v>2277</v>
      </c>
      <c r="I124" s="1128"/>
      <c r="J124" s="1128"/>
      <c r="K124" s="1128"/>
      <c r="L124" s="1128"/>
      <c r="M124" s="1128"/>
      <c r="N124" s="1128"/>
      <c r="O124" s="1128"/>
      <c r="P124" s="1128"/>
      <c r="Q124" s="1128"/>
      <c r="R124" s="1128"/>
      <c r="S124" s="1128"/>
      <c r="T124" s="388" t="b" cm="1">
        <f t="array" ref="T124">T123</f>
        <v>1</v>
      </c>
      <c r="U124" s="1128"/>
      <c r="V124" s="1128"/>
      <c r="W124" s="1128"/>
      <c r="X124" s="2066"/>
      <c r="Y124" s="1128"/>
      <c r="Z124" s="2067"/>
      <c r="AA124" s="1128"/>
      <c r="AB124" s="636" t="s">
        <v>2278</v>
      </c>
      <c r="AC124" s="474" t="s">
        <v>2279</v>
      </c>
      <c r="AD124" s="471" t="s">
        <v>2280</v>
      </c>
      <c r="AE124" s="1242"/>
      <c r="AF124" s="1194"/>
      <c r="AG124" s="1194"/>
      <c r="AH124" s="910" t="s">
        <v>2281</v>
      </c>
      <c r="AI124" s="1195"/>
      <c r="AJ124" s="1195"/>
      <c r="AK124" s="1196"/>
      <c r="AL124" s="1196"/>
    </row>
    <row r="125" spans="1:42" s="1334" customFormat="1" ht="21.75" customHeight="1" x14ac:dyDescent="0.15">
      <c r="A125" s="591"/>
      <c r="B125" s="1128"/>
      <c r="C125" s="1128"/>
      <c r="D125" s="1128"/>
      <c r="E125" s="573">
        <v>22.5</v>
      </c>
      <c r="F125" s="3" t="str" cm="1">
        <f t="array" aca="1" ref="F125" ca="1">OFFSET(E125,-1,1)</f>
        <v>1</v>
      </c>
      <c r="G125" s="1128"/>
      <c r="H125" s="411" t="s">
        <v>2282</v>
      </c>
      <c r="I125" s="1128"/>
      <c r="J125" s="1128"/>
      <c r="K125" s="1128"/>
      <c r="L125" s="1128"/>
      <c r="M125" s="1128"/>
      <c r="N125" s="1128"/>
      <c r="O125" s="1128"/>
      <c r="P125" s="1128"/>
      <c r="Q125" s="1128"/>
      <c r="R125" s="1128"/>
      <c r="S125" s="1128"/>
      <c r="T125" s="388" t="b" cm="1">
        <f t="array" ref="T125">T124</f>
        <v>1</v>
      </c>
      <c r="U125" s="1128"/>
      <c r="V125" s="1128"/>
      <c r="W125" s="1128"/>
      <c r="X125" s="2066"/>
      <c r="Y125" s="1128"/>
      <c r="Z125" s="2067"/>
      <c r="AA125" s="1128"/>
      <c r="AB125" s="636" t="s">
        <v>2283</v>
      </c>
      <c r="AC125" s="473" t="s">
        <v>2284</v>
      </c>
      <c r="AD125" s="471" t="s">
        <v>831</v>
      </c>
      <c r="AE125" s="1242"/>
      <c r="AF125" s="1194"/>
      <c r="AG125" s="1194"/>
      <c r="AH125" s="910" t="s">
        <v>1719</v>
      </c>
      <c r="AI125" s="1195"/>
      <c r="AJ125" s="1195"/>
      <c r="AK125" s="1196"/>
      <c r="AL125" s="1196"/>
    </row>
    <row r="126" spans="1:42" s="1334" customFormat="1" ht="14.25" customHeight="1" x14ac:dyDescent="0.15">
      <c r="A126" s="591"/>
      <c r="B126" s="1128"/>
      <c r="C126" s="1128"/>
      <c r="D126" s="1128"/>
      <c r="E126" s="573">
        <v>15</v>
      </c>
      <c r="F126" s="3" t="str" cm="1">
        <f t="array" aca="1" ref="F126" ca="1">OFFSET(E126,-1,1)</f>
        <v>1</v>
      </c>
      <c r="G126" s="1128"/>
      <c r="H126" s="411" t="s">
        <v>1280</v>
      </c>
      <c r="I126" s="1128"/>
      <c r="J126" s="1128"/>
      <c r="K126" s="1128"/>
      <c r="L126" s="1128"/>
      <c r="M126" s="1128"/>
      <c r="N126" s="1128"/>
      <c r="O126" s="1128"/>
      <c r="P126" s="1128"/>
      <c r="Q126" s="1128"/>
      <c r="R126" s="1128"/>
      <c r="S126" s="1128"/>
      <c r="T126" s="388" t="b" cm="1">
        <f t="array" ref="T126">T125</f>
        <v>1</v>
      </c>
      <c r="U126" s="1128"/>
      <c r="V126" s="1128"/>
      <c r="W126" s="1128"/>
      <c r="X126" s="2066"/>
      <c r="Y126" s="1128"/>
      <c r="Z126" s="2067"/>
      <c r="AA126" s="1128"/>
      <c r="AB126" s="636" t="s">
        <v>1281</v>
      </c>
      <c r="AC126" s="472" t="s">
        <v>2285</v>
      </c>
      <c r="AD126" s="471" t="s">
        <v>831</v>
      </c>
      <c r="AE126" s="1242"/>
      <c r="AF126" s="1194"/>
      <c r="AG126" s="1194"/>
      <c r="AH126" s="910" t="s">
        <v>2079</v>
      </c>
      <c r="AI126" s="1195"/>
      <c r="AJ126" s="1195"/>
      <c r="AK126" s="1196"/>
      <c r="AL126" s="1196"/>
    </row>
    <row r="127" spans="1:42" s="1334" customFormat="1" ht="14.25" customHeight="1" x14ac:dyDescent="0.15">
      <c r="A127" s="591"/>
      <c r="B127" s="1128"/>
      <c r="C127" s="1128"/>
      <c r="D127" s="1128"/>
      <c r="E127" s="573">
        <v>15</v>
      </c>
      <c r="F127" s="3" t="str" cm="1">
        <f t="array" aca="1" ref="F127" ca="1">OFFSET(E127,-1,1)</f>
        <v>1</v>
      </c>
      <c r="G127" s="1128"/>
      <c r="H127" s="411" t="s">
        <v>2286</v>
      </c>
      <c r="I127" s="1128"/>
      <c r="J127" s="1128"/>
      <c r="K127" s="1128"/>
      <c r="L127" s="1128"/>
      <c r="M127" s="1128"/>
      <c r="N127" s="1128"/>
      <c r="O127" s="1128"/>
      <c r="P127" s="1128"/>
      <c r="Q127" s="1128"/>
      <c r="R127" s="1128"/>
      <c r="S127" s="1128"/>
      <c r="T127" s="388" t="b" cm="1">
        <f t="array" ref="T127">T126</f>
        <v>1</v>
      </c>
      <c r="U127" s="1128"/>
      <c r="V127" s="1128"/>
      <c r="W127" s="1128"/>
      <c r="X127" s="2066"/>
      <c r="Y127" s="1128"/>
      <c r="Z127" s="2067"/>
      <c r="AA127" s="1128"/>
      <c r="AB127" s="636" t="s">
        <v>1284</v>
      </c>
      <c r="AC127" s="472" t="s">
        <v>1904</v>
      </c>
      <c r="AD127" s="471" t="s">
        <v>831</v>
      </c>
      <c r="AE127" s="1242"/>
      <c r="AF127" s="1194"/>
      <c r="AG127" s="1194"/>
      <c r="AH127" s="910" t="s">
        <v>1724</v>
      </c>
      <c r="AI127" s="1195"/>
      <c r="AJ127" s="1195"/>
      <c r="AK127" s="1196"/>
      <c r="AL127" s="1196"/>
    </row>
    <row r="128" spans="1:42" s="1334" customFormat="1" ht="14.25" customHeight="1" x14ac:dyDescent="0.15">
      <c r="A128" s="591"/>
      <c r="B128" s="1128"/>
      <c r="C128" s="1128"/>
      <c r="D128" s="1128"/>
      <c r="E128" s="573">
        <v>15</v>
      </c>
      <c r="F128" s="3" t="str" cm="1">
        <f t="array" aca="1" ref="F128" ca="1">OFFSET(E128,-1,1)</f>
        <v>1</v>
      </c>
      <c r="G128" s="1128"/>
      <c r="H128" s="411" t="s">
        <v>2287</v>
      </c>
      <c r="I128" s="1128"/>
      <c r="J128" s="1128"/>
      <c r="K128" s="1128"/>
      <c r="L128" s="1128"/>
      <c r="M128" s="1128"/>
      <c r="N128" s="1128"/>
      <c r="O128" s="1128"/>
      <c r="P128" s="1128"/>
      <c r="Q128" s="1128"/>
      <c r="R128" s="1128"/>
      <c r="S128" s="1128"/>
      <c r="T128" s="388" t="b" cm="1">
        <f t="array" ref="T128">T127</f>
        <v>1</v>
      </c>
      <c r="U128" s="1128"/>
      <c r="V128" s="1128"/>
      <c r="W128" s="1128"/>
      <c r="X128" s="2066"/>
      <c r="Y128" s="1128"/>
      <c r="Z128" s="2067"/>
      <c r="AA128" s="1128"/>
      <c r="AB128" s="636" t="s">
        <v>2288</v>
      </c>
      <c r="AC128" s="472" t="s">
        <v>2289</v>
      </c>
      <c r="AD128" s="471" t="s">
        <v>831</v>
      </c>
      <c r="AE128" s="480">
        <f>SUM(AE129:AE135)</f>
        <v>0</v>
      </c>
      <c r="AF128" s="1194"/>
      <c r="AG128" s="1194"/>
      <c r="AH128" s="910" t="s">
        <v>1728</v>
      </c>
      <c r="AI128" s="1195"/>
      <c r="AJ128" s="1195"/>
      <c r="AK128" s="1196"/>
      <c r="AL128" s="1196"/>
    </row>
    <row r="129" spans="1:38" s="1334" customFormat="1" ht="14.25" customHeight="1" x14ac:dyDescent="0.15">
      <c r="A129" s="591"/>
      <c r="B129" s="1128"/>
      <c r="C129" s="1128"/>
      <c r="D129" s="1128"/>
      <c r="E129" s="573">
        <v>15</v>
      </c>
      <c r="F129" s="3" t="str" cm="1">
        <f t="array" aca="1" ref="F129" ca="1">OFFSET(E129,-1,1)</f>
        <v>1</v>
      </c>
      <c r="G129" s="1128"/>
      <c r="H129" s="411" t="s">
        <v>2290</v>
      </c>
      <c r="I129" s="1128"/>
      <c r="J129" s="1128"/>
      <c r="K129" s="1128"/>
      <c r="L129" s="1128"/>
      <c r="M129" s="1128"/>
      <c r="N129" s="1128"/>
      <c r="O129" s="1128"/>
      <c r="P129" s="1128"/>
      <c r="Q129" s="1128"/>
      <c r="R129" s="1128"/>
      <c r="S129" s="1128"/>
      <c r="T129" s="388" t="b" cm="1">
        <f t="array" ref="T129">T128</f>
        <v>1</v>
      </c>
      <c r="U129" s="1128"/>
      <c r="V129" s="1128"/>
      <c r="W129" s="1128"/>
      <c r="X129" s="2066"/>
      <c r="Y129" s="1128"/>
      <c r="Z129" s="2067"/>
      <c r="AA129" s="1128"/>
      <c r="AB129" s="636" t="s">
        <v>2291</v>
      </c>
      <c r="AC129" s="473" t="s">
        <v>1735</v>
      </c>
      <c r="AD129" s="471" t="s">
        <v>831</v>
      </c>
      <c r="AE129" s="1242"/>
      <c r="AF129" s="1194"/>
      <c r="AG129" s="1194"/>
      <c r="AH129" s="910" t="s">
        <v>2292</v>
      </c>
      <c r="AI129" s="1195"/>
      <c r="AJ129" s="1195"/>
      <c r="AK129" s="1196"/>
      <c r="AL129" s="1196"/>
    </row>
    <row r="130" spans="1:38" s="1334" customFormat="1" ht="21.75" customHeight="1" x14ac:dyDescent="0.15">
      <c r="A130" s="591"/>
      <c r="B130" s="1128"/>
      <c r="C130" s="1128"/>
      <c r="D130" s="1128"/>
      <c r="E130" s="573">
        <v>22.5</v>
      </c>
      <c r="F130" s="3" t="str" cm="1">
        <f t="array" aca="1" ref="F130" ca="1">OFFSET(E130,-1,1)</f>
        <v>1</v>
      </c>
      <c r="G130" s="1128"/>
      <c r="H130" s="411" t="s">
        <v>2293</v>
      </c>
      <c r="I130" s="1128"/>
      <c r="J130" s="1128"/>
      <c r="K130" s="1128"/>
      <c r="L130" s="1128"/>
      <c r="M130" s="1128"/>
      <c r="N130" s="1128"/>
      <c r="O130" s="1128"/>
      <c r="P130" s="1128"/>
      <c r="Q130" s="1128"/>
      <c r="R130" s="1128"/>
      <c r="S130" s="1128"/>
      <c r="T130" s="388" t="b" cm="1">
        <f t="array" ref="T130">T129</f>
        <v>1</v>
      </c>
      <c r="U130" s="1128"/>
      <c r="V130" s="1128"/>
      <c r="W130" s="1128"/>
      <c r="X130" s="2066"/>
      <c r="Y130" s="1128"/>
      <c r="Z130" s="2067"/>
      <c r="AA130" s="1128"/>
      <c r="AB130" s="636" t="s">
        <v>2294</v>
      </c>
      <c r="AC130" s="473" t="s">
        <v>1912</v>
      </c>
      <c r="AD130" s="471" t="s">
        <v>831</v>
      </c>
      <c r="AE130" s="1242"/>
      <c r="AF130" s="1194"/>
      <c r="AG130" s="1194"/>
      <c r="AH130" s="973" t="s">
        <v>1913</v>
      </c>
      <c r="AI130" s="1195"/>
      <c r="AJ130" s="1195"/>
      <c r="AK130" s="1196"/>
      <c r="AL130" s="1196"/>
    </row>
    <row r="131" spans="1:38" s="1334" customFormat="1" ht="21.75" customHeight="1" x14ac:dyDescent="0.15">
      <c r="A131" s="591"/>
      <c r="B131" s="1128"/>
      <c r="C131" s="1128"/>
      <c r="D131" s="1128"/>
      <c r="E131" s="573">
        <v>22.5</v>
      </c>
      <c r="F131" s="3" t="str" cm="1">
        <f t="array" aca="1" ref="F131" ca="1">OFFSET(E131,-1,1)</f>
        <v>1</v>
      </c>
      <c r="G131" s="1128"/>
      <c r="H131" s="411" t="s">
        <v>2295</v>
      </c>
      <c r="I131" s="1128"/>
      <c r="J131" s="1128"/>
      <c r="K131" s="1128"/>
      <c r="L131" s="1128"/>
      <c r="M131" s="1128"/>
      <c r="N131" s="1128"/>
      <c r="O131" s="1128"/>
      <c r="P131" s="1128"/>
      <c r="Q131" s="1128"/>
      <c r="R131" s="1128"/>
      <c r="S131" s="1128"/>
      <c r="T131" s="388" t="b" cm="1">
        <f t="array" ref="T131">T130</f>
        <v>1</v>
      </c>
      <c r="U131" s="1128"/>
      <c r="V131" s="1128"/>
      <c r="W131" s="1128"/>
      <c r="X131" s="2066"/>
      <c r="Y131" s="1128"/>
      <c r="Z131" s="2067"/>
      <c r="AA131" s="1128"/>
      <c r="AB131" s="636" t="s">
        <v>2296</v>
      </c>
      <c r="AC131" s="473" t="s">
        <v>1916</v>
      </c>
      <c r="AD131" s="471" t="s">
        <v>831</v>
      </c>
      <c r="AE131" s="1242"/>
      <c r="AF131" s="1194"/>
      <c r="AG131" s="1194"/>
      <c r="AH131" s="973" t="s">
        <v>1917</v>
      </c>
      <c r="AI131" s="1195"/>
      <c r="AJ131" s="1195"/>
      <c r="AK131" s="1196"/>
      <c r="AL131" s="1196"/>
    </row>
    <row r="132" spans="1:38" s="1334" customFormat="1" ht="21.75" customHeight="1" x14ac:dyDescent="0.15">
      <c r="A132" s="591"/>
      <c r="B132" s="1128"/>
      <c r="C132" s="1128"/>
      <c r="D132" s="1128"/>
      <c r="E132" s="573">
        <v>22.5</v>
      </c>
      <c r="F132" s="3" t="str" cm="1">
        <f t="array" aca="1" ref="F132" ca="1">OFFSET(E132,-1,1)</f>
        <v>1</v>
      </c>
      <c r="G132" s="1128"/>
      <c r="H132" s="411" t="s">
        <v>2297</v>
      </c>
      <c r="I132" s="1128"/>
      <c r="J132" s="1128"/>
      <c r="K132" s="1128"/>
      <c r="L132" s="1128"/>
      <c r="M132" s="1128"/>
      <c r="N132" s="1128"/>
      <c r="O132" s="1128"/>
      <c r="P132" s="1128"/>
      <c r="Q132" s="1128"/>
      <c r="R132" s="1128"/>
      <c r="S132" s="1128"/>
      <c r="T132" s="388" t="b" cm="1">
        <f t="array" ref="T132">T131</f>
        <v>1</v>
      </c>
      <c r="U132" s="1128"/>
      <c r="V132" s="1128"/>
      <c r="W132" s="1128"/>
      <c r="X132" s="2066"/>
      <c r="Y132" s="1128"/>
      <c r="Z132" s="2067"/>
      <c r="AA132" s="1128"/>
      <c r="AB132" s="636" t="s">
        <v>2298</v>
      </c>
      <c r="AC132" s="473" t="s">
        <v>2299</v>
      </c>
      <c r="AD132" s="471" t="s">
        <v>831</v>
      </c>
      <c r="AE132" s="1242"/>
      <c r="AF132" s="1194"/>
      <c r="AG132" s="1194"/>
      <c r="AH132" s="973" t="s">
        <v>1921</v>
      </c>
      <c r="AI132" s="1195"/>
      <c r="AJ132" s="1195"/>
      <c r="AK132" s="1196"/>
      <c r="AL132" s="1196"/>
    </row>
    <row r="133" spans="1:38" s="1334" customFormat="1" ht="54.75" customHeight="1" x14ac:dyDescent="0.15">
      <c r="A133" s="591"/>
      <c r="B133" s="1128"/>
      <c r="C133" s="1128"/>
      <c r="D133" s="1128"/>
      <c r="E133" s="573">
        <v>56.25</v>
      </c>
      <c r="F133" s="3" t="str" cm="1">
        <f t="array" aca="1" ref="F133" ca="1">OFFSET(E133,-1,1)</f>
        <v>1</v>
      </c>
      <c r="G133" s="1128"/>
      <c r="H133" s="411" t="s">
        <v>2300</v>
      </c>
      <c r="I133" s="1128"/>
      <c r="J133" s="1128"/>
      <c r="K133" s="1128"/>
      <c r="L133" s="1128"/>
      <c r="M133" s="1128"/>
      <c r="N133" s="1128"/>
      <c r="O133" s="1128"/>
      <c r="P133" s="1128"/>
      <c r="Q133" s="1128"/>
      <c r="R133" s="1128"/>
      <c r="S133" s="1128"/>
      <c r="T133" s="388" t="b" cm="1">
        <f t="array" ref="T133">T132</f>
        <v>1</v>
      </c>
      <c r="U133" s="1128"/>
      <c r="V133" s="1128"/>
      <c r="W133" s="1128"/>
      <c r="X133" s="2066"/>
      <c r="Y133" s="1128"/>
      <c r="Z133" s="2067"/>
      <c r="AA133" s="1128"/>
      <c r="AB133" s="636" t="s">
        <v>2301</v>
      </c>
      <c r="AC133" s="473" t="s">
        <v>1924</v>
      </c>
      <c r="AD133" s="471" t="s">
        <v>831</v>
      </c>
      <c r="AE133" s="1242"/>
      <c r="AF133" s="1194"/>
      <c r="AG133" s="1194"/>
      <c r="AH133" s="973" t="s">
        <v>1740</v>
      </c>
      <c r="AI133" s="1195"/>
      <c r="AJ133" s="1195"/>
      <c r="AK133" s="1196"/>
      <c r="AL133" s="1196"/>
    </row>
    <row r="134" spans="1:38" s="1334" customFormat="1" ht="14.25" customHeight="1" x14ac:dyDescent="0.15">
      <c r="A134" s="591"/>
      <c r="B134" s="1128"/>
      <c r="C134" s="1128"/>
      <c r="D134" s="1128"/>
      <c r="E134" s="573">
        <v>15</v>
      </c>
      <c r="F134" s="3" t="str" cm="1">
        <f t="array" aca="1" ref="F134" ca="1">OFFSET(E134,-1,1)</f>
        <v>1</v>
      </c>
      <c r="G134" s="1128"/>
      <c r="H134" s="411" t="s">
        <v>2302</v>
      </c>
      <c r="I134" s="1128"/>
      <c r="J134" s="1128"/>
      <c r="K134" s="1128"/>
      <c r="L134" s="1128"/>
      <c r="M134" s="1128"/>
      <c r="N134" s="1128"/>
      <c r="O134" s="1128"/>
      <c r="P134" s="1128"/>
      <c r="Q134" s="1128"/>
      <c r="R134" s="1128"/>
      <c r="S134" s="1128"/>
      <c r="T134" s="388" t="b" cm="1">
        <f t="array" ref="T134">T133</f>
        <v>1</v>
      </c>
      <c r="U134" s="1128"/>
      <c r="V134" s="1128"/>
      <c r="W134" s="1128"/>
      <c r="X134" s="2066"/>
      <c r="Y134" s="1128"/>
      <c r="Z134" s="2067"/>
      <c r="AA134" s="1128"/>
      <c r="AB134" s="636" t="s">
        <v>2303</v>
      </c>
      <c r="AC134" s="473" t="s">
        <v>1743</v>
      </c>
      <c r="AD134" s="471" t="s">
        <v>831</v>
      </c>
      <c r="AE134" s="1242"/>
      <c r="AF134" s="1194"/>
      <c r="AG134" s="1194"/>
      <c r="AH134" s="973" t="s">
        <v>1744</v>
      </c>
      <c r="AI134" s="1195"/>
      <c r="AJ134" s="1195"/>
      <c r="AK134" s="1196"/>
      <c r="AL134" s="1196"/>
    </row>
    <row r="135" spans="1:38" s="1334" customFormat="1" ht="14.25" customHeight="1" x14ac:dyDescent="0.15">
      <c r="A135" s="591"/>
      <c r="B135" s="1128"/>
      <c r="C135" s="1128"/>
      <c r="D135" s="1128"/>
      <c r="E135" s="573">
        <v>15</v>
      </c>
      <c r="F135" s="3" t="str" cm="1">
        <f t="array" aca="1" ref="F135" ca="1">OFFSET(E135,-1,1)</f>
        <v>1</v>
      </c>
      <c r="G135" s="1128"/>
      <c r="H135" s="411" t="s">
        <v>2304</v>
      </c>
      <c r="I135" s="1128"/>
      <c r="J135" s="1128"/>
      <c r="K135" s="1128"/>
      <c r="L135" s="1128"/>
      <c r="M135" s="1128"/>
      <c r="N135" s="1128"/>
      <c r="O135" s="1128"/>
      <c r="P135" s="1128"/>
      <c r="Q135" s="1128"/>
      <c r="R135" s="1128"/>
      <c r="S135" s="1128"/>
      <c r="T135" s="388" t="b" cm="1">
        <f t="array" ref="T135">T134</f>
        <v>1</v>
      </c>
      <c r="U135" s="1128"/>
      <c r="V135" s="1128"/>
      <c r="W135" s="1128"/>
      <c r="X135" s="2066"/>
      <c r="Y135" s="1128"/>
      <c r="Z135" s="2067"/>
      <c r="AA135" s="1128"/>
      <c r="AB135" s="636" t="s">
        <v>2305</v>
      </c>
      <c r="AC135" s="473" t="s">
        <v>1204</v>
      </c>
      <c r="AD135" s="471" t="s">
        <v>831</v>
      </c>
      <c r="AE135" s="1242"/>
      <c r="AF135" s="1194"/>
      <c r="AG135" s="1194"/>
      <c r="AH135" s="973" t="s">
        <v>1728</v>
      </c>
      <c r="AI135" s="1195"/>
      <c r="AJ135" s="1195"/>
      <c r="AK135" s="1196"/>
      <c r="AL135" s="1196"/>
    </row>
    <row r="136" spans="1:38" s="1334" customFormat="1" ht="14.25" customHeight="1" x14ac:dyDescent="0.25">
      <c r="A136" s="591"/>
      <c r="B136" s="1128"/>
      <c r="C136" s="1128"/>
      <c r="D136" s="1128"/>
      <c r="E136" s="573">
        <v>15</v>
      </c>
      <c r="F136" s="3" t="str" cm="1">
        <f t="array" aca="1" ref="F136" ca="1">OFFSET(E136,-1,1)</f>
        <v>1</v>
      </c>
      <c r="G136" s="1128"/>
      <c r="H136" s="411" t="s">
        <v>498</v>
      </c>
      <c r="I136" s="1128"/>
      <c r="J136" s="1128"/>
      <c r="K136" s="1128"/>
      <c r="L136" s="1128"/>
      <c r="M136" s="1128"/>
      <c r="N136" s="1128"/>
      <c r="O136" s="1128"/>
      <c r="P136" s="1128"/>
      <c r="Q136" s="1128"/>
      <c r="R136" s="1128"/>
      <c r="S136" s="1128"/>
      <c r="T136" s="388" t="b" cm="1">
        <f t="array" ref="T136">T135</f>
        <v>1</v>
      </c>
      <c r="U136" s="1128"/>
      <c r="V136" s="1128"/>
      <c r="W136" s="1128"/>
      <c r="X136" s="2066"/>
      <c r="Y136" s="1128"/>
      <c r="Z136" s="2067"/>
      <c r="AA136" s="1128"/>
      <c r="AB136" s="636" t="s">
        <v>913</v>
      </c>
      <c r="AC136" s="470" t="s">
        <v>2306</v>
      </c>
      <c r="AD136" s="471" t="s">
        <v>831</v>
      </c>
      <c r="AE136" s="480">
        <f>AE137+AE138+AE139</f>
        <v>0</v>
      </c>
      <c r="AF136" s="1194"/>
      <c r="AG136" s="1194"/>
      <c r="AH136" s="972" t="s">
        <v>1749</v>
      </c>
      <c r="AI136" s="1195"/>
      <c r="AJ136" s="1195"/>
      <c r="AK136" s="1196"/>
      <c r="AL136" s="1196"/>
    </row>
    <row r="137" spans="1:38" s="1334" customFormat="1" ht="14.25" customHeight="1" x14ac:dyDescent="0.25">
      <c r="A137" s="591"/>
      <c r="B137" s="1128"/>
      <c r="C137" s="1128"/>
      <c r="D137" s="1128"/>
      <c r="E137" s="573">
        <v>15</v>
      </c>
      <c r="F137" s="3" t="str" cm="1">
        <f t="array" aca="1" ref="F137" ca="1">OFFSET(E137,-1,1)</f>
        <v>1</v>
      </c>
      <c r="G137" s="1128"/>
      <c r="H137" s="411" t="s">
        <v>1301</v>
      </c>
      <c r="I137" s="1128"/>
      <c r="J137" s="1128"/>
      <c r="K137" s="1128"/>
      <c r="L137" s="1128"/>
      <c r="M137" s="1128"/>
      <c r="N137" s="1128"/>
      <c r="O137" s="1128"/>
      <c r="P137" s="1128"/>
      <c r="Q137" s="1128"/>
      <c r="R137" s="1128"/>
      <c r="S137" s="1128"/>
      <c r="T137" s="388" t="b" cm="1">
        <f t="array" ref="T137">T136</f>
        <v>1</v>
      </c>
      <c r="U137" s="1128"/>
      <c r="V137" s="1128"/>
      <c r="W137" s="1128"/>
      <c r="X137" s="2066"/>
      <c r="Y137" s="1128"/>
      <c r="Z137" s="2067"/>
      <c r="AA137" s="1128"/>
      <c r="AB137" s="636" t="s">
        <v>1302</v>
      </c>
      <c r="AC137" s="472" t="s">
        <v>2307</v>
      </c>
      <c r="AD137" s="471" t="s">
        <v>831</v>
      </c>
      <c r="AE137" s="1242"/>
      <c r="AF137" s="1194"/>
      <c r="AG137" s="1194"/>
      <c r="AH137" s="971" t="s">
        <v>1751</v>
      </c>
      <c r="AI137" s="1195"/>
      <c r="AJ137" s="1195"/>
      <c r="AK137" s="1196"/>
      <c r="AL137" s="1196"/>
    </row>
    <row r="138" spans="1:38" s="1334" customFormat="1" ht="14.25" customHeight="1" x14ac:dyDescent="0.15">
      <c r="A138" s="591"/>
      <c r="B138" s="1128"/>
      <c r="C138" s="1128"/>
      <c r="D138" s="1128"/>
      <c r="E138" s="573">
        <v>15</v>
      </c>
      <c r="F138" s="3" t="str" cm="1">
        <f t="array" aca="1" ref="F138" ca="1">OFFSET(E138,-1,1)</f>
        <v>1</v>
      </c>
      <c r="G138" s="1128"/>
      <c r="H138" s="411" t="s">
        <v>1304</v>
      </c>
      <c r="I138" s="1128"/>
      <c r="J138" s="1128"/>
      <c r="K138" s="1128"/>
      <c r="L138" s="1128"/>
      <c r="M138" s="1128"/>
      <c r="N138" s="1128"/>
      <c r="O138" s="1128"/>
      <c r="P138" s="1128"/>
      <c r="Q138" s="1128"/>
      <c r="R138" s="1128"/>
      <c r="S138" s="1128"/>
      <c r="T138" s="388" t="b" cm="1">
        <f t="array" ref="T138">T137</f>
        <v>1</v>
      </c>
      <c r="U138" s="1128"/>
      <c r="V138" s="1128"/>
      <c r="W138" s="1128"/>
      <c r="X138" s="2066"/>
      <c r="Y138" s="1128"/>
      <c r="Z138" s="2067"/>
      <c r="AA138" s="1128"/>
      <c r="AB138" s="636" t="s">
        <v>1305</v>
      </c>
      <c r="AC138" s="472" t="s">
        <v>2308</v>
      </c>
      <c r="AD138" s="471" t="s">
        <v>831</v>
      </c>
      <c r="AE138" s="1242"/>
      <c r="AF138" s="1194"/>
      <c r="AG138" s="1194"/>
      <c r="AH138" s="973" t="s">
        <v>1932</v>
      </c>
      <c r="AI138" s="1195"/>
      <c r="AJ138" s="1195"/>
      <c r="AK138" s="1196"/>
      <c r="AL138" s="1196"/>
    </row>
    <row r="139" spans="1:38" s="1334" customFormat="1" ht="21.75" customHeight="1" x14ac:dyDescent="0.25">
      <c r="A139" s="591"/>
      <c r="B139" s="1128"/>
      <c r="C139" s="1128"/>
      <c r="D139" s="1128"/>
      <c r="E139" s="573">
        <v>22.5</v>
      </c>
      <c r="F139" s="3" t="str" cm="1">
        <f t="array" aca="1" ref="F139" ca="1">OFFSET(E139,-1,1)</f>
        <v>1</v>
      </c>
      <c r="G139" s="1128"/>
      <c r="H139" s="411" t="s">
        <v>1308</v>
      </c>
      <c r="I139" s="1128"/>
      <c r="J139" s="1128"/>
      <c r="K139" s="1128"/>
      <c r="L139" s="1128"/>
      <c r="M139" s="1128"/>
      <c r="N139" s="1128"/>
      <c r="O139" s="1128"/>
      <c r="P139" s="1128"/>
      <c r="Q139" s="1128"/>
      <c r="R139" s="1128"/>
      <c r="S139" s="1128"/>
      <c r="T139" s="388" t="b" cm="1">
        <f t="array" ref="T139">T138</f>
        <v>1</v>
      </c>
      <c r="U139" s="1128"/>
      <c r="V139" s="1128"/>
      <c r="W139" s="1128"/>
      <c r="X139" s="2066"/>
      <c r="Y139" s="1128"/>
      <c r="Z139" s="2067"/>
      <c r="AA139" s="1128"/>
      <c r="AB139" s="636" t="s">
        <v>1309</v>
      </c>
      <c r="AC139" s="472" t="s">
        <v>2309</v>
      </c>
      <c r="AD139" s="471" t="s">
        <v>831</v>
      </c>
      <c r="AE139" s="480">
        <f>AE140+AE143</f>
        <v>0</v>
      </c>
      <c r="AF139" s="1194"/>
      <c r="AG139" s="1194"/>
      <c r="AH139" s="971" t="s">
        <v>1753</v>
      </c>
      <c r="AI139" s="1195"/>
      <c r="AJ139" s="1195"/>
      <c r="AK139" s="1196"/>
      <c r="AL139" s="1196"/>
    </row>
    <row r="140" spans="1:38" s="1334" customFormat="1" ht="14.25" customHeight="1" x14ac:dyDescent="0.25">
      <c r="A140" s="591"/>
      <c r="B140" s="1128"/>
      <c r="C140" s="1128"/>
      <c r="D140" s="1128"/>
      <c r="E140" s="573">
        <v>15</v>
      </c>
      <c r="F140" s="3" t="str" cm="1">
        <f t="array" aca="1" ref="F140" ca="1">OFFSET(E140,-1,1)</f>
        <v>1</v>
      </c>
      <c r="G140" s="1128"/>
      <c r="H140" s="411" t="s">
        <v>1454</v>
      </c>
      <c r="I140" s="1128"/>
      <c r="J140" s="1128"/>
      <c r="K140" s="1128"/>
      <c r="L140" s="1128"/>
      <c r="M140" s="1128"/>
      <c r="N140" s="1128"/>
      <c r="O140" s="1128"/>
      <c r="P140" s="1128"/>
      <c r="Q140" s="1128"/>
      <c r="R140" s="1128"/>
      <c r="S140" s="1128"/>
      <c r="T140" s="388" t="b" cm="1">
        <f t="array" ref="T140">T139</f>
        <v>1</v>
      </c>
      <c r="U140" s="1128"/>
      <c r="V140" s="1128"/>
      <c r="W140" s="1128"/>
      <c r="X140" s="2066"/>
      <c r="Y140" s="1128"/>
      <c r="Z140" s="2067"/>
      <c r="AA140" s="1128"/>
      <c r="AB140" s="636" t="s">
        <v>1901</v>
      </c>
      <c r="AC140" s="473" t="s">
        <v>1755</v>
      </c>
      <c r="AD140" s="471" t="s">
        <v>831</v>
      </c>
      <c r="AE140" s="1242"/>
      <c r="AF140" s="1194"/>
      <c r="AG140" s="1194"/>
      <c r="AH140" s="971" t="s">
        <v>1756</v>
      </c>
      <c r="AI140" s="1195"/>
      <c r="AJ140" s="1195"/>
      <c r="AK140" s="1196"/>
      <c r="AL140" s="1196"/>
    </row>
    <row r="141" spans="1:38" s="1334" customFormat="1" ht="14.25" customHeight="1" x14ac:dyDescent="0.15">
      <c r="A141" s="591"/>
      <c r="B141" s="1128"/>
      <c r="C141" s="1128"/>
      <c r="D141" s="1128"/>
      <c r="E141" s="573">
        <v>15</v>
      </c>
      <c r="F141" s="3" t="str" cm="1">
        <f t="array" aca="1" ref="F141" ca="1">OFFSET(E141,-1,1)</f>
        <v>1</v>
      </c>
      <c r="G141" s="1128"/>
      <c r="H141" s="411" t="s">
        <v>2310</v>
      </c>
      <c r="I141" s="1128"/>
      <c r="J141" s="1128"/>
      <c r="K141" s="1128"/>
      <c r="L141" s="1128"/>
      <c r="M141" s="1128"/>
      <c r="N141" s="1128"/>
      <c r="O141" s="1128"/>
      <c r="P141" s="1128"/>
      <c r="Q141" s="1128"/>
      <c r="R141" s="1128"/>
      <c r="S141" s="1128"/>
      <c r="T141" s="388" t="b" cm="1">
        <f t="array" ref="T141">T140</f>
        <v>1</v>
      </c>
      <c r="U141" s="1128"/>
      <c r="V141" s="1128"/>
      <c r="W141" s="1128"/>
      <c r="X141" s="2066"/>
      <c r="Y141" s="1128"/>
      <c r="Z141" s="2067"/>
      <c r="AA141" s="1128"/>
      <c r="AB141" s="636" t="s">
        <v>2311</v>
      </c>
      <c r="AC141" s="474" t="s">
        <v>2312</v>
      </c>
      <c r="AD141" s="471" t="s">
        <v>2275</v>
      </c>
      <c r="AE141" s="1242"/>
      <c r="AF141" s="1194"/>
      <c r="AG141" s="1194"/>
      <c r="AH141" s="910" t="s">
        <v>2313</v>
      </c>
      <c r="AI141" s="1195"/>
      <c r="AJ141" s="1195"/>
      <c r="AK141" s="1196"/>
      <c r="AL141" s="1196"/>
    </row>
    <row r="142" spans="1:38" s="1334" customFormat="1" ht="14.25" customHeight="1" x14ac:dyDescent="0.15">
      <c r="A142" s="591"/>
      <c r="B142" s="1128"/>
      <c r="C142" s="1128"/>
      <c r="D142" s="1128"/>
      <c r="E142" s="573">
        <v>15</v>
      </c>
      <c r="F142" s="3" t="str" cm="1">
        <f t="array" aca="1" ref="F142" ca="1">OFFSET(E142,-1,1)</f>
        <v>1</v>
      </c>
      <c r="G142" s="1128"/>
      <c r="H142" s="411" t="s">
        <v>2314</v>
      </c>
      <c r="I142" s="1128"/>
      <c r="J142" s="1128"/>
      <c r="K142" s="1128"/>
      <c r="L142" s="1128"/>
      <c r="M142" s="1128"/>
      <c r="N142" s="1128"/>
      <c r="O142" s="1128"/>
      <c r="P142" s="1128"/>
      <c r="Q142" s="1128"/>
      <c r="R142" s="1128"/>
      <c r="S142" s="1128"/>
      <c r="T142" s="388" t="b" cm="1">
        <f t="array" ref="T142">T141</f>
        <v>1</v>
      </c>
      <c r="U142" s="1128"/>
      <c r="V142" s="1128"/>
      <c r="W142" s="1128"/>
      <c r="X142" s="2066"/>
      <c r="Y142" s="1128"/>
      <c r="Z142" s="2067"/>
      <c r="AA142" s="1128"/>
      <c r="AB142" s="636" t="s">
        <v>2315</v>
      </c>
      <c r="AC142" s="474" t="s">
        <v>2316</v>
      </c>
      <c r="AD142" s="471" t="s">
        <v>2280</v>
      </c>
      <c r="AE142" s="1242"/>
      <c r="AF142" s="1194"/>
      <c r="AG142" s="1194"/>
      <c r="AH142" s="910" t="s">
        <v>2317</v>
      </c>
      <c r="AI142" s="1195"/>
      <c r="AJ142" s="1195"/>
      <c r="AK142" s="1196"/>
      <c r="AL142" s="1196"/>
    </row>
    <row r="143" spans="1:38" s="1334" customFormat="1" ht="21.75" customHeight="1" x14ac:dyDescent="0.25">
      <c r="A143" s="591"/>
      <c r="B143" s="1128"/>
      <c r="C143" s="1128"/>
      <c r="D143" s="1128"/>
      <c r="E143" s="573">
        <v>22.5</v>
      </c>
      <c r="F143" s="3" t="str" cm="1">
        <f t="array" aca="1" ref="F143" ca="1">OFFSET(E143,-1,1)</f>
        <v>1</v>
      </c>
      <c r="G143" s="1128"/>
      <c r="H143" s="411" t="s">
        <v>1458</v>
      </c>
      <c r="I143" s="1128"/>
      <c r="J143" s="1128"/>
      <c r="K143" s="1128"/>
      <c r="L143" s="1128"/>
      <c r="M143" s="1128"/>
      <c r="N143" s="1128"/>
      <c r="O143" s="1128"/>
      <c r="P143" s="1128"/>
      <c r="Q143" s="1128"/>
      <c r="R143" s="1128"/>
      <c r="S143" s="1128"/>
      <c r="T143" s="388" t="b" cm="1">
        <f t="array" ref="T143">T142</f>
        <v>1</v>
      </c>
      <c r="U143" s="1128"/>
      <c r="V143" s="1128"/>
      <c r="W143" s="1128"/>
      <c r="X143" s="2066"/>
      <c r="Y143" s="1128"/>
      <c r="Z143" s="2067"/>
      <c r="AA143" s="1128"/>
      <c r="AB143" s="636" t="s">
        <v>1902</v>
      </c>
      <c r="AC143" s="473" t="s">
        <v>1938</v>
      </c>
      <c r="AD143" s="471" t="s">
        <v>831</v>
      </c>
      <c r="AE143" s="1242"/>
      <c r="AF143" s="1194"/>
      <c r="AG143" s="1194"/>
      <c r="AH143" s="971" t="s">
        <v>1759</v>
      </c>
      <c r="AI143" s="1195"/>
      <c r="AJ143" s="1195"/>
      <c r="AK143" s="1196"/>
      <c r="AL143" s="1196"/>
    </row>
    <row r="144" spans="1:38" s="1334" customFormat="1" ht="14.25" customHeight="1" x14ac:dyDescent="0.25">
      <c r="A144" s="591"/>
      <c r="B144" s="1128"/>
      <c r="C144" s="1128"/>
      <c r="D144" s="1128"/>
      <c r="E144" s="573">
        <v>15</v>
      </c>
      <c r="F144" s="3" t="str" cm="1">
        <f t="array" aca="1" ref="F144" ca="1">OFFSET(E144,-1,1)</f>
        <v>1</v>
      </c>
      <c r="G144" s="1128"/>
      <c r="H144" s="411" t="s">
        <v>501</v>
      </c>
      <c r="I144" s="1128"/>
      <c r="J144" s="1128"/>
      <c r="K144" s="1128"/>
      <c r="L144" s="1128"/>
      <c r="M144" s="1128"/>
      <c r="N144" s="1128"/>
      <c r="O144" s="1128"/>
      <c r="P144" s="1128"/>
      <c r="Q144" s="1128"/>
      <c r="R144" s="1128"/>
      <c r="S144" s="1128"/>
      <c r="T144" s="388" t="b" cm="1">
        <f t="array" ref="T144">T143</f>
        <v>1</v>
      </c>
      <c r="U144" s="1128"/>
      <c r="V144" s="1128"/>
      <c r="W144" s="1128"/>
      <c r="X144" s="2066"/>
      <c r="Y144" s="1128"/>
      <c r="Z144" s="2067"/>
      <c r="AA144" s="1128"/>
      <c r="AB144" s="636" t="s">
        <v>916</v>
      </c>
      <c r="AC144" s="470" t="s">
        <v>1939</v>
      </c>
      <c r="AD144" s="471" t="s">
        <v>831</v>
      </c>
      <c r="AE144" s="480">
        <f>AE145+AE151+AE156+AE157+AE158+AE159+AE160</f>
        <v>0</v>
      </c>
      <c r="AF144" s="1194"/>
      <c r="AG144" s="1194"/>
      <c r="AH144" s="972" t="s">
        <v>1761</v>
      </c>
      <c r="AI144" s="1195"/>
      <c r="AJ144" s="1195"/>
      <c r="AK144" s="1196"/>
      <c r="AL144" s="1196"/>
    </row>
    <row r="145" spans="1:38" s="1334" customFormat="1" ht="21.75" customHeight="1" x14ac:dyDescent="0.25">
      <c r="A145" s="591"/>
      <c r="B145" s="1128"/>
      <c r="C145" s="1128"/>
      <c r="D145" s="1128"/>
      <c r="E145" s="573">
        <v>22.5</v>
      </c>
      <c r="F145" s="3" t="str" cm="1">
        <f t="array" aca="1" ref="F145" ca="1">OFFSET(E145,-1,1)</f>
        <v>1</v>
      </c>
      <c r="G145" s="1128"/>
      <c r="H145" s="411" t="s">
        <v>1314</v>
      </c>
      <c r="I145" s="1128"/>
      <c r="J145" s="1128"/>
      <c r="K145" s="1128"/>
      <c r="L145" s="1128"/>
      <c r="M145" s="1128"/>
      <c r="N145" s="1128"/>
      <c r="O145" s="1128"/>
      <c r="P145" s="1128"/>
      <c r="Q145" s="1128"/>
      <c r="R145" s="1128"/>
      <c r="S145" s="1128"/>
      <c r="T145" s="388" t="b" cm="1">
        <f t="array" ref="T145">T144</f>
        <v>1</v>
      </c>
      <c r="U145" s="1128"/>
      <c r="V145" s="1128"/>
      <c r="W145" s="1128"/>
      <c r="X145" s="2066"/>
      <c r="Y145" s="1128"/>
      <c r="Z145" s="2067"/>
      <c r="AA145" s="1128"/>
      <c r="AB145" s="636" t="s">
        <v>1315</v>
      </c>
      <c r="AC145" s="472" t="s">
        <v>1762</v>
      </c>
      <c r="AD145" s="471" t="s">
        <v>831</v>
      </c>
      <c r="AE145" s="480">
        <f>SUM(AE146:AE150)</f>
        <v>0</v>
      </c>
      <c r="AF145" s="1194"/>
      <c r="AG145" s="1194"/>
      <c r="AH145" s="971" t="s">
        <v>1157</v>
      </c>
      <c r="AI145" s="1195"/>
      <c r="AJ145" s="1195"/>
      <c r="AK145" s="1196"/>
      <c r="AL145" s="1196"/>
    </row>
    <row r="146" spans="1:38" s="1334" customFormat="1" ht="14.25" customHeight="1" x14ac:dyDescent="0.15">
      <c r="A146" s="591"/>
      <c r="B146" s="1128"/>
      <c r="C146" s="1128"/>
      <c r="D146" s="1128"/>
      <c r="E146" s="573">
        <v>15</v>
      </c>
      <c r="F146" s="3" t="str" cm="1">
        <f t="array" aca="1" ref="F146" ca="1">OFFSET(E146,-1,1)</f>
        <v>1</v>
      </c>
      <c r="G146" s="1128"/>
      <c r="H146" s="411" t="s">
        <v>2318</v>
      </c>
      <c r="I146" s="1128"/>
      <c r="J146" s="1128"/>
      <c r="K146" s="1128"/>
      <c r="L146" s="1128"/>
      <c r="M146" s="1128"/>
      <c r="N146" s="1128"/>
      <c r="O146" s="1128"/>
      <c r="P146" s="1128"/>
      <c r="Q146" s="1128"/>
      <c r="R146" s="1128"/>
      <c r="S146" s="1128"/>
      <c r="T146" s="388" t="b" cm="1">
        <f t="array" ref="T146">T145</f>
        <v>1</v>
      </c>
      <c r="U146" s="1128"/>
      <c r="V146" s="1128"/>
      <c r="W146" s="1128"/>
      <c r="X146" s="2066"/>
      <c r="Y146" s="1128"/>
      <c r="Z146" s="2067"/>
      <c r="AA146" s="1128"/>
      <c r="AB146" s="636" t="s">
        <v>2319</v>
      </c>
      <c r="AC146" s="473" t="s">
        <v>1159</v>
      </c>
      <c r="AD146" s="471" t="s">
        <v>831</v>
      </c>
      <c r="AE146" s="1242"/>
      <c r="AF146" s="1194"/>
      <c r="AG146" s="1194"/>
      <c r="AH146" s="973" t="s">
        <v>1160</v>
      </c>
      <c r="AI146" s="1195"/>
      <c r="AJ146" s="1195"/>
      <c r="AK146" s="1196"/>
      <c r="AL146" s="1196"/>
    </row>
    <row r="147" spans="1:38" s="1334" customFormat="1" ht="14.25" customHeight="1" x14ac:dyDescent="0.15">
      <c r="A147" s="591"/>
      <c r="B147" s="1128"/>
      <c r="C147" s="1128"/>
      <c r="D147" s="1128"/>
      <c r="E147" s="573">
        <v>15</v>
      </c>
      <c r="F147" s="3" t="str" cm="1">
        <f t="array" aca="1" ref="F147" ca="1">OFFSET(E147,-1,1)</f>
        <v>1</v>
      </c>
      <c r="G147" s="1128"/>
      <c r="H147" s="411" t="s">
        <v>2320</v>
      </c>
      <c r="I147" s="1128"/>
      <c r="J147" s="1128"/>
      <c r="K147" s="1128"/>
      <c r="L147" s="1128"/>
      <c r="M147" s="1128"/>
      <c r="N147" s="1128"/>
      <c r="O147" s="1128"/>
      <c r="P147" s="1128"/>
      <c r="Q147" s="1128"/>
      <c r="R147" s="1128"/>
      <c r="S147" s="1128"/>
      <c r="T147" s="388" t="b" cm="1">
        <f t="array" ref="T147">T146</f>
        <v>1</v>
      </c>
      <c r="U147" s="1128"/>
      <c r="V147" s="1128"/>
      <c r="W147" s="1128"/>
      <c r="X147" s="2066"/>
      <c r="Y147" s="1128"/>
      <c r="Z147" s="2067"/>
      <c r="AA147" s="1128"/>
      <c r="AB147" s="636" t="s">
        <v>2321</v>
      </c>
      <c r="AC147" s="473" t="s">
        <v>1162</v>
      </c>
      <c r="AD147" s="471" t="s">
        <v>831</v>
      </c>
      <c r="AE147" s="1242"/>
      <c r="AF147" s="1194"/>
      <c r="AG147" s="1194"/>
      <c r="AH147" s="973" t="s">
        <v>1163</v>
      </c>
      <c r="AI147" s="1195"/>
      <c r="AJ147" s="1195"/>
      <c r="AK147" s="1196"/>
      <c r="AL147" s="1196"/>
    </row>
    <row r="148" spans="1:38" s="1334" customFormat="1" ht="14.25" customHeight="1" x14ac:dyDescent="0.15">
      <c r="A148" s="591"/>
      <c r="B148" s="1128"/>
      <c r="C148" s="1128"/>
      <c r="D148" s="1128"/>
      <c r="E148" s="573">
        <v>15</v>
      </c>
      <c r="F148" s="3" t="str" cm="1">
        <f t="array" aca="1" ref="F148" ca="1">OFFSET(E148,-1,1)</f>
        <v>1</v>
      </c>
      <c r="G148" s="1128"/>
      <c r="H148" s="411" t="s">
        <v>2322</v>
      </c>
      <c r="I148" s="1128"/>
      <c r="J148" s="1128"/>
      <c r="K148" s="1128"/>
      <c r="L148" s="1128"/>
      <c r="M148" s="1128"/>
      <c r="N148" s="1128"/>
      <c r="O148" s="1128"/>
      <c r="P148" s="1128"/>
      <c r="Q148" s="1128"/>
      <c r="R148" s="1128"/>
      <c r="S148" s="1128"/>
      <c r="T148" s="388" t="b" cm="1">
        <f t="array" ref="T148">T147</f>
        <v>1</v>
      </c>
      <c r="U148" s="1128"/>
      <c r="V148" s="1128"/>
      <c r="W148" s="1128"/>
      <c r="X148" s="2066"/>
      <c r="Y148" s="1128"/>
      <c r="Z148" s="2067"/>
      <c r="AA148" s="1128"/>
      <c r="AB148" s="636" t="s">
        <v>2323</v>
      </c>
      <c r="AC148" s="473" t="s">
        <v>1165</v>
      </c>
      <c r="AD148" s="471" t="s">
        <v>831</v>
      </c>
      <c r="AE148" s="1242"/>
      <c r="AF148" s="1194"/>
      <c r="AG148" s="1194"/>
      <c r="AH148" s="973" t="s">
        <v>1166</v>
      </c>
      <c r="AI148" s="1195"/>
      <c r="AJ148" s="1195"/>
      <c r="AK148" s="1196"/>
      <c r="AL148" s="1196"/>
    </row>
    <row r="149" spans="1:38" s="1334" customFormat="1" ht="14.25" customHeight="1" x14ac:dyDescent="0.15">
      <c r="A149" s="591"/>
      <c r="B149" s="1128"/>
      <c r="C149" s="1128"/>
      <c r="D149" s="1128"/>
      <c r="E149" s="573">
        <v>15</v>
      </c>
      <c r="F149" s="3" t="str" cm="1">
        <f t="array" aca="1" ref="F149" ca="1">OFFSET(E149,-1,1)</f>
        <v>1</v>
      </c>
      <c r="G149" s="1128"/>
      <c r="H149" s="411" t="s">
        <v>2324</v>
      </c>
      <c r="I149" s="1128"/>
      <c r="J149" s="1128"/>
      <c r="K149" s="1128"/>
      <c r="L149" s="1128"/>
      <c r="M149" s="1128"/>
      <c r="N149" s="1128"/>
      <c r="O149" s="1128"/>
      <c r="P149" s="1128"/>
      <c r="Q149" s="1128"/>
      <c r="R149" s="1128"/>
      <c r="S149" s="1128"/>
      <c r="T149" s="388" t="b" cm="1">
        <f t="array" ref="T149">T148</f>
        <v>1</v>
      </c>
      <c r="U149" s="1128"/>
      <c r="V149" s="1128"/>
      <c r="W149" s="1128"/>
      <c r="X149" s="2066"/>
      <c r="Y149" s="1128"/>
      <c r="Z149" s="2067"/>
      <c r="AA149" s="1128"/>
      <c r="AB149" s="636" t="s">
        <v>2325</v>
      </c>
      <c r="AC149" s="473" t="s">
        <v>1168</v>
      </c>
      <c r="AD149" s="471" t="s">
        <v>831</v>
      </c>
      <c r="AE149" s="1242"/>
      <c r="AF149" s="1194"/>
      <c r="AG149" s="1194"/>
      <c r="AH149" s="973" t="s">
        <v>1169</v>
      </c>
      <c r="AI149" s="1195"/>
      <c r="AJ149" s="1195"/>
      <c r="AK149" s="1196"/>
      <c r="AL149" s="1196"/>
    </row>
    <row r="150" spans="1:38" s="1334" customFormat="1" ht="14.25" customHeight="1" x14ac:dyDescent="0.15">
      <c r="A150" s="591"/>
      <c r="B150" s="1128"/>
      <c r="C150" s="1128"/>
      <c r="D150" s="1128"/>
      <c r="E150" s="573">
        <v>15</v>
      </c>
      <c r="F150" s="3" t="str" cm="1">
        <f t="array" aca="1" ref="F150" ca="1">OFFSET(E150,-1,1)</f>
        <v>1</v>
      </c>
      <c r="G150" s="1128"/>
      <c r="H150" s="411" t="s">
        <v>2326</v>
      </c>
      <c r="I150" s="1128"/>
      <c r="J150" s="1128"/>
      <c r="K150" s="1128"/>
      <c r="L150" s="1128"/>
      <c r="M150" s="1128"/>
      <c r="N150" s="1128"/>
      <c r="O150" s="1128"/>
      <c r="P150" s="1128"/>
      <c r="Q150" s="1128"/>
      <c r="R150" s="1128"/>
      <c r="S150" s="1128"/>
      <c r="T150" s="388" t="b" cm="1">
        <f t="array" ref="T150">T149</f>
        <v>1</v>
      </c>
      <c r="U150" s="1128"/>
      <c r="V150" s="1128"/>
      <c r="W150" s="1128"/>
      <c r="X150" s="2066"/>
      <c r="Y150" s="1128"/>
      <c r="Z150" s="2067"/>
      <c r="AA150" s="1128"/>
      <c r="AB150" s="636" t="s">
        <v>2327</v>
      </c>
      <c r="AC150" s="473" t="s">
        <v>1176</v>
      </c>
      <c r="AD150" s="471" t="s">
        <v>831</v>
      </c>
      <c r="AE150" s="1242"/>
      <c r="AF150" s="1194"/>
      <c r="AG150" s="1194"/>
      <c r="AH150" s="973" t="s">
        <v>1177</v>
      </c>
      <c r="AI150" s="1195"/>
      <c r="AJ150" s="1195"/>
      <c r="AK150" s="1196"/>
      <c r="AL150" s="1196"/>
    </row>
    <row r="151" spans="1:38" s="1334" customFormat="1" ht="32.25" customHeight="1" x14ac:dyDescent="0.25">
      <c r="A151" s="591"/>
      <c r="B151" s="1128"/>
      <c r="C151" s="1128"/>
      <c r="D151" s="1128"/>
      <c r="E151" s="573">
        <v>33.75</v>
      </c>
      <c r="F151" s="3" t="str" cm="1">
        <f t="array" aca="1" ref="F151" ca="1">OFFSET(E151,-1,1)</f>
        <v>1</v>
      </c>
      <c r="G151" s="1128"/>
      <c r="H151" s="411" t="s">
        <v>1318</v>
      </c>
      <c r="I151" s="1128"/>
      <c r="J151" s="1128"/>
      <c r="K151" s="1128"/>
      <c r="L151" s="1128"/>
      <c r="M151" s="1128"/>
      <c r="N151" s="1128"/>
      <c r="O151" s="1128"/>
      <c r="P151" s="1128"/>
      <c r="Q151" s="1128"/>
      <c r="R151" s="1128"/>
      <c r="S151" s="1128"/>
      <c r="T151" s="388" t="b" cm="1">
        <f t="array" ref="T151">T150</f>
        <v>1</v>
      </c>
      <c r="U151" s="1128"/>
      <c r="V151" s="1128"/>
      <c r="W151" s="1128"/>
      <c r="X151" s="2066"/>
      <c r="Y151" s="1128"/>
      <c r="Z151" s="2067"/>
      <c r="AA151" s="1128"/>
      <c r="AB151" s="636" t="s">
        <v>1319</v>
      </c>
      <c r="AC151" s="472" t="s">
        <v>2328</v>
      </c>
      <c r="AD151" s="471" t="s">
        <v>831</v>
      </c>
      <c r="AE151" s="480">
        <f>AE152+AE155</f>
        <v>0</v>
      </c>
      <c r="AF151" s="1194"/>
      <c r="AG151" s="1194"/>
      <c r="AH151" s="971" t="s">
        <v>1764</v>
      </c>
      <c r="AI151" s="1195"/>
      <c r="AJ151" s="1195"/>
      <c r="AK151" s="1196"/>
      <c r="AL151" s="1196"/>
    </row>
    <row r="152" spans="1:38" s="1334" customFormat="1" ht="21.75" customHeight="1" x14ac:dyDescent="0.25">
      <c r="A152" s="591"/>
      <c r="B152" s="1128"/>
      <c r="C152" s="1128"/>
      <c r="D152" s="1128"/>
      <c r="E152" s="573">
        <v>22.5</v>
      </c>
      <c r="F152" s="3" t="str" cm="1">
        <f t="array" aca="1" ref="F152" ca="1">OFFSET(E152,-1,1)</f>
        <v>1</v>
      </c>
      <c r="G152" s="1128"/>
      <c r="H152" s="411" t="s">
        <v>2329</v>
      </c>
      <c r="I152" s="1128"/>
      <c r="J152" s="1128"/>
      <c r="K152" s="1128"/>
      <c r="L152" s="1128"/>
      <c r="M152" s="1128"/>
      <c r="N152" s="1128"/>
      <c r="O152" s="1128"/>
      <c r="P152" s="1128"/>
      <c r="Q152" s="1128"/>
      <c r="R152" s="1128"/>
      <c r="S152" s="1128"/>
      <c r="T152" s="388" t="b" cm="1">
        <f t="array" ref="T152">T151</f>
        <v>1</v>
      </c>
      <c r="U152" s="1128"/>
      <c r="V152" s="1128"/>
      <c r="W152" s="1128"/>
      <c r="X152" s="2066"/>
      <c r="Y152" s="1128"/>
      <c r="Z152" s="2067"/>
      <c r="AA152" s="1128"/>
      <c r="AB152" s="636" t="s">
        <v>2330</v>
      </c>
      <c r="AC152" s="473" t="s">
        <v>1765</v>
      </c>
      <c r="AD152" s="471" t="s">
        <v>831</v>
      </c>
      <c r="AE152" s="1242"/>
      <c r="AF152" s="1194"/>
      <c r="AG152" s="1194"/>
      <c r="AH152" s="971" t="s">
        <v>1154</v>
      </c>
      <c r="AI152" s="1195"/>
      <c r="AJ152" s="1195"/>
      <c r="AK152" s="1196"/>
      <c r="AL152" s="1196"/>
    </row>
    <row r="153" spans="1:38" s="1334" customFormat="1" ht="14.25" customHeight="1" x14ac:dyDescent="0.15">
      <c r="A153" s="591"/>
      <c r="B153" s="1128"/>
      <c r="C153" s="1128"/>
      <c r="D153" s="1128"/>
      <c r="E153" s="573">
        <v>15</v>
      </c>
      <c r="F153" s="3" t="str" cm="1">
        <f t="array" aca="1" ref="F153" ca="1">OFFSET(E153,-1,1)</f>
        <v>1</v>
      </c>
      <c r="G153" s="1128"/>
      <c r="H153" s="411" t="s">
        <v>2331</v>
      </c>
      <c r="I153" s="1128"/>
      <c r="J153" s="1128"/>
      <c r="K153" s="1128"/>
      <c r="L153" s="1128"/>
      <c r="M153" s="1128"/>
      <c r="N153" s="1128"/>
      <c r="O153" s="1128"/>
      <c r="P153" s="1128"/>
      <c r="Q153" s="1128"/>
      <c r="R153" s="1128"/>
      <c r="S153" s="1128"/>
      <c r="T153" s="388" t="b" cm="1">
        <f t="array" ref="T153">T152</f>
        <v>1</v>
      </c>
      <c r="U153" s="1128"/>
      <c r="V153" s="1128"/>
      <c r="W153" s="1128"/>
      <c r="X153" s="2066"/>
      <c r="Y153" s="1128"/>
      <c r="Z153" s="2067"/>
      <c r="AA153" s="1128"/>
      <c r="AB153" s="636" t="s">
        <v>2332</v>
      </c>
      <c r="AC153" s="474" t="s">
        <v>2333</v>
      </c>
      <c r="AD153" s="471" t="s">
        <v>2275</v>
      </c>
      <c r="AE153" s="1242"/>
      <c r="AF153" s="1194"/>
      <c r="AG153" s="1194"/>
      <c r="AH153" s="910" t="s">
        <v>2334</v>
      </c>
      <c r="AI153" s="1195"/>
      <c r="AJ153" s="1195"/>
      <c r="AK153" s="1196"/>
      <c r="AL153" s="1196"/>
    </row>
    <row r="154" spans="1:38" s="1334" customFormat="1" ht="21.75" customHeight="1" x14ac:dyDescent="0.15">
      <c r="A154" s="591"/>
      <c r="B154" s="1128"/>
      <c r="C154" s="1128"/>
      <c r="D154" s="1128"/>
      <c r="E154" s="573">
        <v>22.5</v>
      </c>
      <c r="F154" s="3" t="str" cm="1">
        <f t="array" aca="1" ref="F154" ca="1">OFFSET(E154,-1,1)</f>
        <v>1</v>
      </c>
      <c r="G154" s="1128"/>
      <c r="H154" s="411" t="s">
        <v>2335</v>
      </c>
      <c r="I154" s="1128"/>
      <c r="J154" s="1128"/>
      <c r="K154" s="1128"/>
      <c r="L154" s="1128"/>
      <c r="M154" s="1128"/>
      <c r="N154" s="1128"/>
      <c r="O154" s="1128"/>
      <c r="P154" s="1128"/>
      <c r="Q154" s="1128"/>
      <c r="R154" s="1128"/>
      <c r="S154" s="1128"/>
      <c r="T154" s="388" t="b" cm="1">
        <f t="array" ref="T154">T153</f>
        <v>1</v>
      </c>
      <c r="U154" s="1128"/>
      <c r="V154" s="1128"/>
      <c r="W154" s="1128"/>
      <c r="X154" s="2066"/>
      <c r="Y154" s="1128"/>
      <c r="Z154" s="2067"/>
      <c r="AA154" s="1128"/>
      <c r="AB154" s="636" t="s">
        <v>2336</v>
      </c>
      <c r="AC154" s="474" t="s">
        <v>2337</v>
      </c>
      <c r="AD154" s="471" t="s">
        <v>2280</v>
      </c>
      <c r="AE154" s="1242"/>
      <c r="AF154" s="1194"/>
      <c r="AG154" s="1194"/>
      <c r="AH154" s="910" t="s">
        <v>2338</v>
      </c>
      <c r="AI154" s="1195"/>
      <c r="AJ154" s="1195"/>
      <c r="AK154" s="1196"/>
      <c r="AL154" s="1196"/>
    </row>
    <row r="155" spans="1:38" s="1334" customFormat="1" ht="21.75" customHeight="1" x14ac:dyDescent="0.25">
      <c r="A155" s="591"/>
      <c r="B155" s="1128"/>
      <c r="C155" s="1128"/>
      <c r="D155" s="1128"/>
      <c r="E155" s="573">
        <v>22.5</v>
      </c>
      <c r="F155" s="3" t="str" cm="1">
        <f t="array" aca="1" ref="F155" ca="1">OFFSET(E155,-1,1)</f>
        <v>1</v>
      </c>
      <c r="G155" s="1128"/>
      <c r="H155" s="411" t="s">
        <v>2339</v>
      </c>
      <c r="I155" s="1128"/>
      <c r="J155" s="1128"/>
      <c r="K155" s="1128"/>
      <c r="L155" s="1128"/>
      <c r="M155" s="1128"/>
      <c r="N155" s="1128"/>
      <c r="O155" s="1128"/>
      <c r="P155" s="1128"/>
      <c r="Q155" s="1128"/>
      <c r="R155" s="1128"/>
      <c r="S155" s="1128"/>
      <c r="T155" s="388" t="b" cm="1">
        <f t="array" ref="T155">T154</f>
        <v>1</v>
      </c>
      <c r="U155" s="1128"/>
      <c r="V155" s="1128"/>
      <c r="W155" s="1128"/>
      <c r="X155" s="2066"/>
      <c r="Y155" s="1128"/>
      <c r="Z155" s="2067"/>
      <c r="AA155" s="1128"/>
      <c r="AB155" s="636" t="s">
        <v>2340</v>
      </c>
      <c r="AC155" s="473" t="s">
        <v>1962</v>
      </c>
      <c r="AD155" s="471" t="s">
        <v>831</v>
      </c>
      <c r="AE155" s="1242"/>
      <c r="AF155" s="1194"/>
      <c r="AG155" s="1194"/>
      <c r="AH155" s="971" t="s">
        <v>1767</v>
      </c>
      <c r="AI155" s="1195"/>
      <c r="AJ155" s="1195"/>
      <c r="AK155" s="1196"/>
      <c r="AL155" s="1196"/>
    </row>
    <row r="156" spans="1:38" s="1334" customFormat="1" ht="21.75" customHeight="1" x14ac:dyDescent="0.25">
      <c r="A156" s="591"/>
      <c r="B156" s="1128"/>
      <c r="C156" s="1128"/>
      <c r="D156" s="1128"/>
      <c r="E156" s="573">
        <v>22.5</v>
      </c>
      <c r="F156" s="3" t="str" cm="1">
        <f t="array" aca="1" ref="F156" ca="1">OFFSET(E156,-1,1)</f>
        <v>1</v>
      </c>
      <c r="G156" s="1128"/>
      <c r="H156" s="411" t="s">
        <v>1322</v>
      </c>
      <c r="I156" s="1128"/>
      <c r="J156" s="1128"/>
      <c r="K156" s="1128"/>
      <c r="L156" s="1128"/>
      <c r="M156" s="1128"/>
      <c r="N156" s="1128"/>
      <c r="O156" s="1128"/>
      <c r="P156" s="1128"/>
      <c r="Q156" s="1128"/>
      <c r="R156" s="1128"/>
      <c r="S156" s="1128"/>
      <c r="T156" s="388" t="b" cm="1">
        <f t="array" ref="T156">T155</f>
        <v>1</v>
      </c>
      <c r="U156" s="1128"/>
      <c r="V156" s="1128"/>
      <c r="W156" s="1128"/>
      <c r="X156" s="2066"/>
      <c r="Y156" s="1128"/>
      <c r="Z156" s="2067"/>
      <c r="AA156" s="1128"/>
      <c r="AB156" s="636" t="s">
        <v>1323</v>
      </c>
      <c r="AC156" s="472" t="s">
        <v>2341</v>
      </c>
      <c r="AD156" s="471" t="s">
        <v>831</v>
      </c>
      <c r="AE156" s="1242"/>
      <c r="AF156" s="1194"/>
      <c r="AG156" s="1194"/>
      <c r="AH156" s="971" t="s">
        <v>1185</v>
      </c>
      <c r="AI156" s="1195"/>
      <c r="AJ156" s="1195"/>
      <c r="AK156" s="1196"/>
      <c r="AL156" s="1196"/>
    </row>
    <row r="157" spans="1:38" s="1334" customFormat="1" ht="14.25" customHeight="1" x14ac:dyDescent="0.25">
      <c r="A157" s="591"/>
      <c r="B157" s="1128"/>
      <c r="C157" s="1128"/>
      <c r="D157" s="1128"/>
      <c r="E157" s="573">
        <v>15</v>
      </c>
      <c r="F157" s="3" t="str" cm="1">
        <f t="array" aca="1" ref="F157" ca="1">OFFSET(E157,-1,1)</f>
        <v>1</v>
      </c>
      <c r="G157" s="1128"/>
      <c r="H157" s="411" t="s">
        <v>2342</v>
      </c>
      <c r="I157" s="1128"/>
      <c r="J157" s="1128"/>
      <c r="K157" s="1128"/>
      <c r="L157" s="1128"/>
      <c r="M157" s="1128"/>
      <c r="N157" s="1128"/>
      <c r="O157" s="1128"/>
      <c r="P157" s="1128"/>
      <c r="Q157" s="1128"/>
      <c r="R157" s="1128"/>
      <c r="S157" s="1128"/>
      <c r="T157" s="388" t="b" cm="1">
        <f t="array" ref="T157">T156</f>
        <v>1</v>
      </c>
      <c r="U157" s="1128"/>
      <c r="V157" s="1128"/>
      <c r="W157" s="1128"/>
      <c r="X157" s="2066"/>
      <c r="Y157" s="1128"/>
      <c r="Z157" s="2067"/>
      <c r="AA157" s="1128"/>
      <c r="AB157" s="636" t="s">
        <v>2343</v>
      </c>
      <c r="AC157" s="472" t="s">
        <v>1187</v>
      </c>
      <c r="AD157" s="471" t="s">
        <v>831</v>
      </c>
      <c r="AE157" s="1242"/>
      <c r="AF157" s="1194"/>
      <c r="AG157" s="1194"/>
      <c r="AH157" s="971" t="s">
        <v>1188</v>
      </c>
      <c r="AI157" s="1195"/>
      <c r="AJ157" s="1195"/>
      <c r="AK157" s="1196"/>
      <c r="AL157" s="1196"/>
    </row>
    <row r="158" spans="1:38" s="1334" customFormat="1" ht="14.25" customHeight="1" x14ac:dyDescent="0.25">
      <c r="A158" s="591"/>
      <c r="B158" s="1128"/>
      <c r="C158" s="1128"/>
      <c r="D158" s="1128"/>
      <c r="E158" s="573">
        <v>15</v>
      </c>
      <c r="F158" s="3" t="str" cm="1">
        <f t="array" aca="1" ref="F158" ca="1">OFFSET(E158,-1,1)</f>
        <v>1</v>
      </c>
      <c r="G158" s="1128"/>
      <c r="H158" s="411" t="s">
        <v>2344</v>
      </c>
      <c r="I158" s="1128"/>
      <c r="J158" s="1128"/>
      <c r="K158" s="1128"/>
      <c r="L158" s="1128"/>
      <c r="M158" s="1128"/>
      <c r="N158" s="1128"/>
      <c r="O158" s="1128"/>
      <c r="P158" s="1128"/>
      <c r="Q158" s="1128"/>
      <c r="R158" s="1128"/>
      <c r="S158" s="1128"/>
      <c r="T158" s="388" t="b" cm="1">
        <f t="array" ref="T158">T157</f>
        <v>1</v>
      </c>
      <c r="U158" s="1128"/>
      <c r="V158" s="1128"/>
      <c r="W158" s="1128"/>
      <c r="X158" s="2066"/>
      <c r="Y158" s="1128"/>
      <c r="Z158" s="2067"/>
      <c r="AA158" s="1128"/>
      <c r="AB158" s="636" t="s">
        <v>2345</v>
      </c>
      <c r="AC158" s="472" t="s">
        <v>1190</v>
      </c>
      <c r="AD158" s="471" t="s">
        <v>831</v>
      </c>
      <c r="AE158" s="1242"/>
      <c r="AF158" s="1194"/>
      <c r="AG158" s="1194"/>
      <c r="AH158" s="971" t="s">
        <v>1191</v>
      </c>
      <c r="AI158" s="1195"/>
      <c r="AJ158" s="1195"/>
      <c r="AK158" s="1196"/>
      <c r="AL158" s="1196"/>
    </row>
    <row r="159" spans="1:38" s="1334" customFormat="1" ht="21.75" customHeight="1" x14ac:dyDescent="0.25">
      <c r="A159" s="591"/>
      <c r="B159" s="1128"/>
      <c r="C159" s="1128"/>
      <c r="D159" s="1128"/>
      <c r="E159" s="573">
        <v>22.5</v>
      </c>
      <c r="F159" s="3" t="str" cm="1">
        <f t="array" aca="1" ref="F159" ca="1">OFFSET(E159,-1,1)</f>
        <v>1</v>
      </c>
      <c r="G159" s="1128"/>
      <c r="H159" s="411" t="s">
        <v>2346</v>
      </c>
      <c r="I159" s="1128"/>
      <c r="J159" s="1128"/>
      <c r="K159" s="1128"/>
      <c r="L159" s="1128"/>
      <c r="M159" s="1128"/>
      <c r="N159" s="1128"/>
      <c r="O159" s="1128"/>
      <c r="P159" s="1128"/>
      <c r="Q159" s="1128"/>
      <c r="R159" s="1128"/>
      <c r="S159" s="1128"/>
      <c r="T159" s="388" t="b" cm="1">
        <f t="array" ref="T159">T158</f>
        <v>1</v>
      </c>
      <c r="U159" s="1128"/>
      <c r="V159" s="1128"/>
      <c r="W159" s="1128"/>
      <c r="X159" s="2066"/>
      <c r="Y159" s="1128"/>
      <c r="Z159" s="2067"/>
      <c r="AA159" s="1128"/>
      <c r="AB159" s="636" t="s">
        <v>2347</v>
      </c>
      <c r="AC159" s="472" t="s">
        <v>2348</v>
      </c>
      <c r="AD159" s="471" t="s">
        <v>831</v>
      </c>
      <c r="AE159" s="1242"/>
      <c r="AF159" s="1194"/>
      <c r="AG159" s="1194"/>
      <c r="AH159" s="971" t="s">
        <v>1769</v>
      </c>
      <c r="AI159" s="1195"/>
      <c r="AJ159" s="1195"/>
      <c r="AK159" s="1196"/>
      <c r="AL159" s="1196"/>
    </row>
    <row r="160" spans="1:38" s="1334" customFormat="1" ht="14.25" customHeight="1" x14ac:dyDescent="0.25">
      <c r="A160" s="591"/>
      <c r="B160" s="1128"/>
      <c r="C160" s="1128"/>
      <c r="D160" s="1128"/>
      <c r="E160" s="573">
        <v>15</v>
      </c>
      <c r="F160" s="3" t="str" cm="1">
        <f t="array" aca="1" ref="F160" ca="1">OFFSET(E160,-1,1)</f>
        <v>1</v>
      </c>
      <c r="G160" s="1128"/>
      <c r="H160" s="411" t="s">
        <v>2349</v>
      </c>
      <c r="I160" s="1128"/>
      <c r="J160" s="1128"/>
      <c r="K160" s="1128"/>
      <c r="L160" s="1128"/>
      <c r="M160" s="1128"/>
      <c r="N160" s="1128"/>
      <c r="O160" s="1128"/>
      <c r="P160" s="1128"/>
      <c r="Q160" s="1128"/>
      <c r="R160" s="1128"/>
      <c r="S160" s="1128"/>
      <c r="T160" s="388" t="b" cm="1">
        <f t="array" ref="T160">T159</f>
        <v>1</v>
      </c>
      <c r="U160" s="1128"/>
      <c r="V160" s="1128"/>
      <c r="W160" s="1128"/>
      <c r="X160" s="2066"/>
      <c r="Y160" s="1128"/>
      <c r="Z160" s="2067"/>
      <c r="AA160" s="1128"/>
      <c r="AB160" s="636" t="s">
        <v>2350</v>
      </c>
      <c r="AC160" s="472" t="s">
        <v>2351</v>
      </c>
      <c r="AD160" s="471" t="s">
        <v>831</v>
      </c>
      <c r="AE160" s="480">
        <f>AE161+AE162+AE163</f>
        <v>0</v>
      </c>
      <c r="AF160" s="1194"/>
      <c r="AG160" s="1194"/>
      <c r="AH160" s="971" t="s">
        <v>1771</v>
      </c>
      <c r="AI160" s="1195"/>
      <c r="AJ160" s="1195"/>
      <c r="AK160" s="1196"/>
      <c r="AL160" s="1196"/>
    </row>
    <row r="161" spans="1:38" s="1334" customFormat="1" ht="14.25" customHeight="1" x14ac:dyDescent="0.25">
      <c r="A161" s="591"/>
      <c r="B161" s="1128"/>
      <c r="C161" s="1128"/>
      <c r="D161" s="1128"/>
      <c r="E161" s="573">
        <v>15</v>
      </c>
      <c r="F161" s="3" t="str" cm="1">
        <f t="array" aca="1" ref="F161" ca="1">OFFSET(E161,-1,1)</f>
        <v>1</v>
      </c>
      <c r="G161" s="1128"/>
      <c r="H161" s="411" t="s">
        <v>2352</v>
      </c>
      <c r="I161" s="1128"/>
      <c r="J161" s="1128"/>
      <c r="K161" s="1128"/>
      <c r="L161" s="1128"/>
      <c r="M161" s="1128"/>
      <c r="N161" s="1128"/>
      <c r="O161" s="1128"/>
      <c r="P161" s="1128"/>
      <c r="Q161" s="1128"/>
      <c r="R161" s="1128"/>
      <c r="S161" s="1128"/>
      <c r="T161" s="388" t="b" cm="1">
        <f t="array" ref="T161">T160</f>
        <v>1</v>
      </c>
      <c r="U161" s="1128"/>
      <c r="V161" s="1128"/>
      <c r="W161" s="1128"/>
      <c r="X161" s="2066"/>
      <c r="Y161" s="1128"/>
      <c r="Z161" s="2067"/>
      <c r="AA161" s="1128"/>
      <c r="AB161" s="636" t="s">
        <v>2353</v>
      </c>
      <c r="AC161" s="473" t="s">
        <v>2354</v>
      </c>
      <c r="AD161" s="471" t="s">
        <v>831</v>
      </c>
      <c r="AE161" s="1242"/>
      <c r="AF161" s="1194"/>
      <c r="AG161" s="1194"/>
      <c r="AH161" s="971" t="s">
        <v>1775</v>
      </c>
      <c r="AI161" s="1195"/>
      <c r="AJ161" s="1195"/>
      <c r="AK161" s="1196"/>
      <c r="AL161" s="1196"/>
    </row>
    <row r="162" spans="1:38" s="1334" customFormat="1" ht="14.25" customHeight="1" x14ac:dyDescent="0.25">
      <c r="A162" s="591"/>
      <c r="B162" s="1128"/>
      <c r="C162" s="1128"/>
      <c r="D162" s="1128"/>
      <c r="E162" s="573">
        <v>15</v>
      </c>
      <c r="F162" s="3" t="str" cm="1">
        <f t="array" aca="1" ref="F162" ca="1">OFFSET(E162,-1,1)</f>
        <v>1</v>
      </c>
      <c r="G162" s="1128"/>
      <c r="H162" s="411" t="s">
        <v>2355</v>
      </c>
      <c r="I162" s="1128"/>
      <c r="J162" s="1128"/>
      <c r="K162" s="1128"/>
      <c r="L162" s="1128"/>
      <c r="M162" s="1128"/>
      <c r="N162" s="1128"/>
      <c r="O162" s="1128"/>
      <c r="P162" s="1128"/>
      <c r="Q162" s="1128"/>
      <c r="R162" s="1128"/>
      <c r="S162" s="1128"/>
      <c r="T162" s="388" t="b" cm="1">
        <f t="array" ref="T162">T161</f>
        <v>1</v>
      </c>
      <c r="U162" s="1128"/>
      <c r="V162" s="1128"/>
      <c r="W162" s="1128"/>
      <c r="X162" s="2066"/>
      <c r="Y162" s="1128"/>
      <c r="Z162" s="2067"/>
      <c r="AA162" s="1128"/>
      <c r="AB162" s="637" t="s">
        <v>2356</v>
      </c>
      <c r="AC162" s="475" t="s">
        <v>2357</v>
      </c>
      <c r="AD162" s="476" t="s">
        <v>831</v>
      </c>
      <c r="AE162" s="1242"/>
      <c r="AF162" s="1194"/>
      <c r="AG162" s="1194"/>
      <c r="AH162" s="971" t="s">
        <v>1778</v>
      </c>
      <c r="AI162" s="1195"/>
      <c r="AJ162" s="1195"/>
      <c r="AK162" s="1196"/>
      <c r="AL162" s="1196"/>
    </row>
    <row r="163" spans="1:38" s="1334" customFormat="1" ht="14.25" customHeight="1" x14ac:dyDescent="0.25">
      <c r="A163" s="591"/>
      <c r="B163" s="1128"/>
      <c r="C163" s="1128"/>
      <c r="D163" s="1128"/>
      <c r="E163" s="573">
        <v>15</v>
      </c>
      <c r="F163" s="3" t="str" cm="1">
        <f t="array" aca="1" ref="F163" ca="1">OFFSET(E163,-1,1)</f>
        <v>1</v>
      </c>
      <c r="G163" s="1128"/>
      <c r="H163" s="411" t="s">
        <v>2358</v>
      </c>
      <c r="I163" s="1128"/>
      <c r="J163" s="1128"/>
      <c r="K163" s="1128"/>
      <c r="L163" s="1128"/>
      <c r="M163" s="1128"/>
      <c r="N163" s="1128"/>
      <c r="O163" s="1128"/>
      <c r="P163" s="1128"/>
      <c r="Q163" s="1128"/>
      <c r="R163" s="1128"/>
      <c r="S163" s="1128"/>
      <c r="T163" s="388" t="b" cm="1">
        <f t="array" ref="T163">T162</f>
        <v>1</v>
      </c>
      <c r="U163" s="1128"/>
      <c r="V163" s="1128"/>
      <c r="W163" s="1128"/>
      <c r="X163" s="2066"/>
      <c r="Y163" s="1128"/>
      <c r="Z163" s="2067"/>
      <c r="AA163" s="1128"/>
      <c r="AB163" s="637" t="s">
        <v>2359</v>
      </c>
      <c r="AC163" s="475" t="s">
        <v>1204</v>
      </c>
      <c r="AD163" s="476" t="s">
        <v>831</v>
      </c>
      <c r="AE163" s="1242"/>
      <c r="AF163" s="1194"/>
      <c r="AG163" s="1194"/>
      <c r="AH163" s="971" t="s">
        <v>1781</v>
      </c>
      <c r="AI163" s="1195"/>
      <c r="AJ163" s="1195"/>
      <c r="AK163" s="1196"/>
      <c r="AL163" s="1196"/>
    </row>
    <row r="164" spans="1:38" s="1334" customFormat="1" ht="14.25" customHeight="1" x14ac:dyDescent="0.15">
      <c r="A164" s="591"/>
      <c r="B164" s="1128"/>
      <c r="C164" s="1128"/>
      <c r="D164" s="1128"/>
      <c r="E164" s="573">
        <v>15</v>
      </c>
      <c r="F164" s="3" t="str" cm="1">
        <f t="array" aca="1" ref="F164" ca="1">OFFSET(E164,-1,1)</f>
        <v>1</v>
      </c>
      <c r="G164" s="1128"/>
      <c r="H164" s="411" t="s">
        <v>505</v>
      </c>
      <c r="I164" s="1128"/>
      <c r="J164" s="1128"/>
      <c r="K164" s="1128"/>
      <c r="L164" s="1128"/>
      <c r="M164" s="1128"/>
      <c r="N164" s="1128"/>
      <c r="O164" s="1128"/>
      <c r="P164" s="1128"/>
      <c r="Q164" s="1128"/>
      <c r="R164" s="1128"/>
      <c r="S164" s="1128"/>
      <c r="T164" s="388" t="b" cm="1">
        <f t="array" ref="T164">T163</f>
        <v>1</v>
      </c>
      <c r="U164" s="1128"/>
      <c r="V164" s="1128"/>
      <c r="W164" s="1128"/>
      <c r="X164" s="2066"/>
      <c r="Y164" s="1128"/>
      <c r="Z164" s="2067"/>
      <c r="AA164" s="1128"/>
      <c r="AB164" s="637" t="s">
        <v>919</v>
      </c>
      <c r="AC164" s="477" t="s">
        <v>2360</v>
      </c>
      <c r="AD164" s="476" t="s">
        <v>831</v>
      </c>
      <c r="AE164" s="480">
        <f>SUM(AE165:AE166)</f>
        <v>0</v>
      </c>
      <c r="AF164" s="1194"/>
      <c r="AG164" s="1194"/>
      <c r="AH164" s="973" t="s">
        <v>2361</v>
      </c>
      <c r="AI164" s="1195"/>
      <c r="AJ164" s="1195"/>
      <c r="AK164" s="1196"/>
      <c r="AL164" s="1196"/>
    </row>
    <row r="165" spans="1:38" s="1334" customFormat="1" ht="14.25" hidden="1" customHeight="1" x14ac:dyDescent="0.15">
      <c r="A165" s="591"/>
      <c r="B165" s="1128"/>
      <c r="C165" s="1128"/>
      <c r="D165" s="1128"/>
      <c r="E165" s="573">
        <v>15</v>
      </c>
      <c r="F165" s="3" t="str" cm="1">
        <f t="array" aca="1" ref="F165" ca="1">OFFSET(E165,-1,1)</f>
        <v>1</v>
      </c>
      <c r="G165" s="1128"/>
      <c r="H165" s="411" t="s">
        <v>505</v>
      </c>
      <c r="I165" s="486" cm="1">
        <f t="array" ref="I165">AC165</f>
        <v>0</v>
      </c>
      <c r="J165" s="1128"/>
      <c r="K165" s="1128"/>
      <c r="L165" s="1128"/>
      <c r="M165" s="1128"/>
      <c r="N165" s="1128"/>
      <c r="O165" s="1128"/>
      <c r="P165" s="1128"/>
      <c r="Q165" s="1128"/>
      <c r="R165" s="1128"/>
      <c r="S165" s="1128"/>
      <c r="T165" s="388" t="b">
        <f ca="1">AND(F165&gt;0,Y165&gt;0)</f>
        <v>0</v>
      </c>
      <c r="U165" s="1128"/>
      <c r="V165" s="1128"/>
      <c r="W165" s="478" t="s">
        <v>172</v>
      </c>
      <c r="X165" s="2066"/>
      <c r="Y165" s="411">
        <v>0</v>
      </c>
      <c r="Z165" s="2067"/>
      <c r="AA165" s="1183" t="s">
        <v>173</v>
      </c>
      <c r="AB165" s="636" t="str">
        <f>"1.4."&amp;Y165</f>
        <v>1.4.0</v>
      </c>
      <c r="AC165" s="1931"/>
      <c r="AD165" s="471" t="s">
        <v>831</v>
      </c>
      <c r="AE165" s="1932"/>
      <c r="AF165" s="1194"/>
      <c r="AG165" s="1194"/>
      <c r="AH165" s="973" t="s">
        <v>2361</v>
      </c>
      <c r="AI165" s="910" t="s">
        <v>2362</v>
      </c>
      <c r="AJ165" s="910" cm="1">
        <f t="array" ref="AJ165">AC165</f>
        <v>0</v>
      </c>
      <c r="AK165" s="1196"/>
      <c r="AL165" s="580" t="b">
        <v>1</v>
      </c>
    </row>
    <row r="166" spans="1:38" s="1334" customFormat="1" ht="14.25" customHeight="1" x14ac:dyDescent="0.15">
      <c r="A166" s="591"/>
      <c r="B166" s="1128"/>
      <c r="C166" s="1128"/>
      <c r="D166" s="1128"/>
      <c r="E166" s="573">
        <v>15</v>
      </c>
      <c r="F166" s="3" t="str" cm="1">
        <f t="array" aca="1" ref="F166" ca="1">OFFSET(E166,-1,1)</f>
        <v>1</v>
      </c>
      <c r="G166" s="1128"/>
      <c r="H166" s="1128"/>
      <c r="I166" s="1184" t="str">
        <f>"!== 'не определено' &amp;&amp; row.l1_4 !== null"</f>
        <v>!== 'не определено' &amp;&amp; row.l1_4 !== null</v>
      </c>
      <c r="J166" s="1128"/>
      <c r="K166" s="1128"/>
      <c r="L166" s="1128"/>
      <c r="M166" s="1128"/>
      <c r="N166" s="1128"/>
      <c r="O166" s="1128"/>
      <c r="P166" s="1128"/>
      <c r="Q166" s="1128"/>
      <c r="R166" s="1128"/>
      <c r="S166" s="1128"/>
      <c r="T166" s="388" t="b">
        <f ca="1">F166&gt;0</f>
        <v>1</v>
      </c>
      <c r="U166" s="1128"/>
      <c r="V166" s="1128"/>
      <c r="W166" s="1326" t="s">
        <v>396</v>
      </c>
      <c r="X166" s="2066"/>
      <c r="Y166" s="1128"/>
      <c r="Z166" s="2067"/>
      <c r="AA166" s="1128"/>
      <c r="AB166" s="1185"/>
      <c r="AC166" s="1186" t="s">
        <v>176</v>
      </c>
      <c r="AD166" s="1187"/>
      <c r="AE166" s="1243"/>
      <c r="AF166" s="1194"/>
      <c r="AG166" s="1194"/>
      <c r="AH166" s="1195"/>
      <c r="AI166" s="1195"/>
      <c r="AJ166" s="1195"/>
      <c r="AK166" s="580" t="s">
        <v>2362</v>
      </c>
      <c r="AL166" s="1196"/>
    </row>
    <row r="167" spans="1:38" s="1334" customFormat="1" ht="14.25" customHeight="1" x14ac:dyDescent="0.15">
      <c r="A167" s="591"/>
      <c r="B167" s="1128"/>
      <c r="C167" s="1128"/>
      <c r="D167" s="1128"/>
      <c r="E167" s="573">
        <v>15</v>
      </c>
      <c r="F167" s="3" t="str" cm="1">
        <f t="array" aca="1" ref="F167" ca="1">OFFSET(E167,-1,1)</f>
        <v>1</v>
      </c>
      <c r="G167" s="1128"/>
      <c r="H167" s="411" t="s">
        <v>332</v>
      </c>
      <c r="I167" s="1128"/>
      <c r="J167" s="1128"/>
      <c r="K167" s="1128"/>
      <c r="L167" s="1128"/>
      <c r="M167" s="1128"/>
      <c r="N167" s="1128"/>
      <c r="O167" s="1128"/>
      <c r="P167" s="1128"/>
      <c r="Q167" s="1128"/>
      <c r="R167" s="1128"/>
      <c r="S167" s="1128"/>
      <c r="T167" s="388" t="b" cm="1">
        <f t="array" aca="1" ref="T167" ca="1">T166</f>
        <v>1</v>
      </c>
      <c r="U167" s="1128"/>
      <c r="V167" s="1128"/>
      <c r="W167" s="1128"/>
      <c r="X167" s="2066"/>
      <c r="Y167" s="1128"/>
      <c r="Z167" s="2067"/>
      <c r="AA167" s="1128"/>
      <c r="AB167" s="635" t="s">
        <v>289</v>
      </c>
      <c r="AC167" s="468" t="s">
        <v>1987</v>
      </c>
      <c r="AD167" s="469" t="s">
        <v>831</v>
      </c>
      <c r="AE167" s="480">
        <f>AE168+AE180+AE181+AE191+AE192+AE193+AE196+AE197+AE198+AE199+AE200+AE201</f>
        <v>0</v>
      </c>
      <c r="AF167" s="1194"/>
      <c r="AG167" s="1194"/>
      <c r="AH167" s="910" t="s">
        <v>2363</v>
      </c>
      <c r="AI167" s="1195"/>
      <c r="AJ167" s="1195"/>
      <c r="AK167" s="1196"/>
      <c r="AL167" s="1196"/>
    </row>
    <row r="168" spans="1:38" s="1321" customFormat="1" ht="26.25" customHeight="1" x14ac:dyDescent="0.15">
      <c r="A168" s="591"/>
      <c r="B168" s="411"/>
      <c r="C168" s="411"/>
      <c r="D168" s="411"/>
      <c r="E168" s="573">
        <v>27</v>
      </c>
      <c r="F168" s="446" t="str" cm="1">
        <f t="array" aca="1" ref="F168" ca="1">OFFSET(E168,-1,1)</f>
        <v>1</v>
      </c>
      <c r="G168" s="411"/>
      <c r="H168" s="411"/>
      <c r="I168" s="411"/>
      <c r="J168" s="411"/>
      <c r="K168" s="411"/>
      <c r="L168" s="411"/>
      <c r="M168" s="411"/>
      <c r="N168" s="411"/>
      <c r="O168" s="411"/>
      <c r="P168" s="411"/>
      <c r="Q168" s="411"/>
      <c r="R168" s="411"/>
      <c r="S168" s="411"/>
      <c r="T168" s="388" t="b" cm="1">
        <f t="array" aca="1" ref="T168" ca="1">T167</f>
        <v>1</v>
      </c>
      <c r="U168" s="411"/>
      <c r="V168" s="411"/>
      <c r="W168" s="411"/>
      <c r="X168" s="2066"/>
      <c r="Y168" s="411"/>
      <c r="Z168" s="2067"/>
      <c r="AA168" s="411"/>
      <c r="AB168" s="1177" t="s">
        <v>566</v>
      </c>
      <c r="AC168" s="1188" t="s">
        <v>1989</v>
      </c>
      <c r="AD168" s="1176" t="s">
        <v>831</v>
      </c>
      <c r="AE168" s="480">
        <f>SUM(AE169:AE179)</f>
        <v>0</v>
      </c>
      <c r="AF168" s="1016"/>
      <c r="AG168" s="1016"/>
      <c r="AH168" s="973" t="s">
        <v>1205</v>
      </c>
      <c r="AI168" s="967"/>
      <c r="AJ168" s="967"/>
      <c r="AK168" s="876"/>
      <c r="AL168" s="876"/>
    </row>
    <row r="169" spans="1:38" s="1321" customFormat="1" ht="14.25" customHeight="1" x14ac:dyDescent="0.15">
      <c r="A169" s="591"/>
      <c r="B169" s="411"/>
      <c r="C169" s="411"/>
      <c r="D169" s="411"/>
      <c r="E169" s="573">
        <v>15</v>
      </c>
      <c r="F169" s="446" t="str" cm="1">
        <f t="array" aca="1" ref="F169" ca="1">OFFSET(E169,-1,1)</f>
        <v>1</v>
      </c>
      <c r="G169" s="411"/>
      <c r="H169" s="411"/>
      <c r="I169" s="411"/>
      <c r="J169" s="411"/>
      <c r="K169" s="411"/>
      <c r="L169" s="411"/>
      <c r="M169" s="411"/>
      <c r="N169" s="411"/>
      <c r="O169" s="411"/>
      <c r="P169" s="411"/>
      <c r="Q169" s="411"/>
      <c r="R169" s="411"/>
      <c r="S169" s="411"/>
      <c r="T169" s="388" t="b" cm="1">
        <f t="array" aca="1" ref="T169" ca="1">T168</f>
        <v>1</v>
      </c>
      <c r="U169" s="411"/>
      <c r="V169" s="411"/>
      <c r="W169" s="411"/>
      <c r="X169" s="2066"/>
      <c r="Y169" s="411"/>
      <c r="Z169" s="2067"/>
      <c r="AA169" s="411"/>
      <c r="AB169" s="1177" t="s">
        <v>520</v>
      </c>
      <c r="AC169" s="1180" t="s">
        <v>1991</v>
      </c>
      <c r="AD169" s="1179" t="s">
        <v>831</v>
      </c>
      <c r="AE169" s="481"/>
      <c r="AF169" s="1016"/>
      <c r="AG169" s="1016"/>
      <c r="AH169" s="973" t="s">
        <v>2364</v>
      </c>
      <c r="AI169" s="967"/>
      <c r="AJ169" s="967"/>
      <c r="AK169" s="876"/>
      <c r="AL169" s="876"/>
    </row>
    <row r="170" spans="1:38" s="1321" customFormat="1" ht="14.25" customHeight="1" x14ac:dyDescent="0.15">
      <c r="A170" s="591"/>
      <c r="B170" s="411"/>
      <c r="C170" s="411"/>
      <c r="D170" s="411"/>
      <c r="E170" s="573">
        <v>15</v>
      </c>
      <c r="F170" s="446" t="str" cm="1">
        <f t="array" aca="1" ref="F170" ca="1">OFFSET(E170,-1,1)</f>
        <v>1</v>
      </c>
      <c r="G170" s="411"/>
      <c r="H170" s="411"/>
      <c r="I170" s="411"/>
      <c r="J170" s="411"/>
      <c r="K170" s="411"/>
      <c r="L170" s="411"/>
      <c r="M170" s="411"/>
      <c r="N170" s="411"/>
      <c r="O170" s="411"/>
      <c r="P170" s="411"/>
      <c r="Q170" s="411"/>
      <c r="R170" s="411"/>
      <c r="S170" s="411"/>
      <c r="T170" s="388" t="b" cm="1">
        <f t="array" aca="1" ref="T170" ca="1">T169</f>
        <v>1</v>
      </c>
      <c r="U170" s="411"/>
      <c r="V170" s="411"/>
      <c r="W170" s="411"/>
      <c r="X170" s="2066"/>
      <c r="Y170" s="411"/>
      <c r="Z170" s="2067"/>
      <c r="AA170" s="411"/>
      <c r="AB170" s="1177" t="s">
        <v>1992</v>
      </c>
      <c r="AC170" s="1180" t="s">
        <v>1993</v>
      </c>
      <c r="AD170" s="1179" t="s">
        <v>831</v>
      </c>
      <c r="AE170" s="481"/>
      <c r="AF170" s="1016"/>
      <c r="AG170" s="1016"/>
      <c r="AH170" s="973" t="s">
        <v>2365</v>
      </c>
      <c r="AI170" s="967"/>
      <c r="AJ170" s="967"/>
      <c r="AK170" s="876"/>
      <c r="AL170" s="876"/>
    </row>
    <row r="171" spans="1:38" s="1321" customFormat="1" ht="14.25" customHeight="1" x14ac:dyDescent="0.15">
      <c r="A171" s="591"/>
      <c r="B171" s="411"/>
      <c r="C171" s="411"/>
      <c r="D171" s="411"/>
      <c r="E171" s="573">
        <v>15</v>
      </c>
      <c r="F171" s="446" t="str" cm="1">
        <f t="array" aca="1" ref="F171" ca="1">OFFSET(E171,-1,1)</f>
        <v>1</v>
      </c>
      <c r="G171" s="411"/>
      <c r="H171" s="411"/>
      <c r="I171" s="411"/>
      <c r="J171" s="411"/>
      <c r="K171" s="411"/>
      <c r="L171" s="411"/>
      <c r="M171" s="411"/>
      <c r="N171" s="411"/>
      <c r="O171" s="411"/>
      <c r="P171" s="411"/>
      <c r="Q171" s="411"/>
      <c r="R171" s="411"/>
      <c r="S171" s="411"/>
      <c r="T171" s="388" t="b" cm="1">
        <f t="array" aca="1" ref="T171" ca="1">T170</f>
        <v>1</v>
      </c>
      <c r="U171" s="411"/>
      <c r="V171" s="411"/>
      <c r="W171" s="411"/>
      <c r="X171" s="2066"/>
      <c r="Y171" s="411"/>
      <c r="Z171" s="2067"/>
      <c r="AA171" s="411"/>
      <c r="AB171" s="1177" t="s">
        <v>1994</v>
      </c>
      <c r="AC171" s="1180" t="s">
        <v>1995</v>
      </c>
      <c r="AD171" s="1179" t="s">
        <v>831</v>
      </c>
      <c r="AE171" s="481"/>
      <c r="AF171" s="1016"/>
      <c r="AG171" s="1016"/>
      <c r="AH171" s="973" t="s">
        <v>2366</v>
      </c>
      <c r="AI171" s="967"/>
      <c r="AJ171" s="967"/>
      <c r="AK171" s="876"/>
      <c r="AL171" s="876"/>
    </row>
    <row r="172" spans="1:38" s="1321" customFormat="1" ht="14.25" customHeight="1" x14ac:dyDescent="0.15">
      <c r="A172" s="591"/>
      <c r="B172" s="411"/>
      <c r="C172" s="411"/>
      <c r="D172" s="411"/>
      <c r="E172" s="573">
        <v>15</v>
      </c>
      <c r="F172" s="446" t="str" cm="1">
        <f t="array" aca="1" ref="F172" ca="1">OFFSET(E172,-1,1)</f>
        <v>1</v>
      </c>
      <c r="G172" s="411"/>
      <c r="H172" s="411"/>
      <c r="I172" s="411"/>
      <c r="J172" s="411"/>
      <c r="K172" s="411"/>
      <c r="L172" s="411"/>
      <c r="M172" s="411"/>
      <c r="N172" s="411"/>
      <c r="O172" s="411"/>
      <c r="P172" s="411"/>
      <c r="Q172" s="411"/>
      <c r="R172" s="411"/>
      <c r="S172" s="411"/>
      <c r="T172" s="388" t="b" cm="1">
        <f t="array" aca="1" ref="T172" ca="1">T171</f>
        <v>1</v>
      </c>
      <c r="U172" s="411"/>
      <c r="V172" s="411"/>
      <c r="W172" s="411"/>
      <c r="X172" s="2066"/>
      <c r="Y172" s="411"/>
      <c r="Z172" s="2067"/>
      <c r="AA172" s="411"/>
      <c r="AB172" s="1177" t="s">
        <v>1997</v>
      </c>
      <c r="AC172" s="1180" t="s">
        <v>1998</v>
      </c>
      <c r="AD172" s="1179" t="s">
        <v>831</v>
      </c>
      <c r="AE172" s="481"/>
      <c r="AF172" s="1016"/>
      <c r="AG172" s="1016"/>
      <c r="AH172" s="973" t="s">
        <v>2367</v>
      </c>
      <c r="AI172" s="967"/>
      <c r="AJ172" s="967"/>
      <c r="AK172" s="876"/>
      <c r="AL172" s="876"/>
    </row>
    <row r="173" spans="1:38" s="1321" customFormat="1" ht="14.25" customHeight="1" x14ac:dyDescent="0.15">
      <c r="A173" s="591"/>
      <c r="B173" s="411"/>
      <c r="C173" s="411"/>
      <c r="D173" s="411"/>
      <c r="E173" s="573">
        <v>15</v>
      </c>
      <c r="F173" s="446" t="str" cm="1">
        <f t="array" aca="1" ref="F173" ca="1">OFFSET(E173,-1,1)</f>
        <v>1</v>
      </c>
      <c r="G173" s="411"/>
      <c r="H173" s="411"/>
      <c r="I173" s="411"/>
      <c r="J173" s="411"/>
      <c r="K173" s="411"/>
      <c r="L173" s="411"/>
      <c r="M173" s="411"/>
      <c r="N173" s="411"/>
      <c r="O173" s="411"/>
      <c r="P173" s="411"/>
      <c r="Q173" s="411"/>
      <c r="R173" s="411"/>
      <c r="S173" s="411"/>
      <c r="T173" s="388" t="b" cm="1">
        <f t="array" aca="1" ref="T173" ca="1">T172</f>
        <v>1</v>
      </c>
      <c r="U173" s="411"/>
      <c r="V173" s="411"/>
      <c r="W173" s="411"/>
      <c r="X173" s="2066"/>
      <c r="Y173" s="411"/>
      <c r="Z173" s="2067"/>
      <c r="AA173" s="411"/>
      <c r="AB173" s="1177" t="s">
        <v>2000</v>
      </c>
      <c r="AC173" s="1180" t="s">
        <v>2001</v>
      </c>
      <c r="AD173" s="1179" t="s">
        <v>831</v>
      </c>
      <c r="AE173" s="481"/>
      <c r="AF173" s="1016"/>
      <c r="AG173" s="1016"/>
      <c r="AH173" s="973" t="s">
        <v>2368</v>
      </c>
      <c r="AI173" s="967"/>
      <c r="AJ173" s="967"/>
      <c r="AK173" s="876"/>
      <c r="AL173" s="876"/>
    </row>
    <row r="174" spans="1:38" s="1321" customFormat="1" ht="26.25" customHeight="1" x14ac:dyDescent="0.15">
      <c r="A174" s="591"/>
      <c r="B174" s="411"/>
      <c r="C174" s="411"/>
      <c r="D174" s="411"/>
      <c r="E174" s="573">
        <v>27</v>
      </c>
      <c r="F174" s="446" t="str" cm="1">
        <f t="array" aca="1" ref="F174" ca="1">OFFSET(E174,-1,1)</f>
        <v>1</v>
      </c>
      <c r="G174" s="411"/>
      <c r="H174" s="411"/>
      <c r="I174" s="411"/>
      <c r="J174" s="411"/>
      <c r="K174" s="411"/>
      <c r="L174" s="411"/>
      <c r="M174" s="411"/>
      <c r="N174" s="411"/>
      <c r="O174" s="411"/>
      <c r="P174" s="411"/>
      <c r="Q174" s="411"/>
      <c r="R174" s="411"/>
      <c r="S174" s="411"/>
      <c r="T174" s="388" t="b" cm="1">
        <f t="array" aca="1" ref="T174" ca="1">T173</f>
        <v>1</v>
      </c>
      <c r="U174" s="411"/>
      <c r="V174" s="411"/>
      <c r="W174" s="411"/>
      <c r="X174" s="2066"/>
      <c r="Y174" s="411"/>
      <c r="Z174" s="2067"/>
      <c r="AA174" s="411"/>
      <c r="AB174" s="1177" t="s">
        <v>2003</v>
      </c>
      <c r="AC174" s="1180" t="s">
        <v>2004</v>
      </c>
      <c r="AD174" s="1179" t="s">
        <v>831</v>
      </c>
      <c r="AE174" s="481"/>
      <c r="AF174" s="1016"/>
      <c r="AG174" s="1016"/>
      <c r="AH174" s="973" t="s">
        <v>2369</v>
      </c>
      <c r="AI174" s="967"/>
      <c r="AJ174" s="967"/>
      <c r="AK174" s="876"/>
      <c r="AL174" s="876"/>
    </row>
    <row r="175" spans="1:38" s="1321" customFormat="1" ht="14.25" customHeight="1" x14ac:dyDescent="0.15">
      <c r="A175" s="591"/>
      <c r="B175" s="411"/>
      <c r="C175" s="411"/>
      <c r="D175" s="411"/>
      <c r="E175" s="573">
        <v>15</v>
      </c>
      <c r="F175" s="446" t="str" cm="1">
        <f t="array" aca="1" ref="F175" ca="1">OFFSET(E175,-1,1)</f>
        <v>1</v>
      </c>
      <c r="G175" s="411"/>
      <c r="H175" s="411"/>
      <c r="I175" s="411"/>
      <c r="J175" s="411"/>
      <c r="K175" s="411"/>
      <c r="L175" s="411"/>
      <c r="M175" s="411"/>
      <c r="N175" s="411"/>
      <c r="O175" s="411"/>
      <c r="P175" s="411"/>
      <c r="Q175" s="411"/>
      <c r="R175" s="411"/>
      <c r="S175" s="411"/>
      <c r="T175" s="388" t="b" cm="1">
        <f t="array" aca="1" ref="T175" ca="1">T174</f>
        <v>1</v>
      </c>
      <c r="U175" s="411"/>
      <c r="V175" s="411"/>
      <c r="W175" s="411"/>
      <c r="X175" s="2066"/>
      <c r="Y175" s="411"/>
      <c r="Z175" s="2067"/>
      <c r="AA175" s="411"/>
      <c r="AB175" s="1177" t="s">
        <v>2007</v>
      </c>
      <c r="AC175" s="1180" t="s">
        <v>2008</v>
      </c>
      <c r="AD175" s="1179" t="s">
        <v>831</v>
      </c>
      <c r="AE175" s="481"/>
      <c r="AF175" s="1016"/>
      <c r="AG175" s="1016"/>
      <c r="AH175" s="973" t="s">
        <v>2370</v>
      </c>
      <c r="AI175" s="967"/>
      <c r="AJ175" s="967"/>
      <c r="AK175" s="876"/>
      <c r="AL175" s="876"/>
    </row>
    <row r="176" spans="1:38" s="1321" customFormat="1" ht="14.25" customHeight="1" x14ac:dyDescent="0.15">
      <c r="A176" s="591"/>
      <c r="B176" s="411"/>
      <c r="C176" s="411"/>
      <c r="D176" s="411"/>
      <c r="E176" s="573">
        <v>15</v>
      </c>
      <c r="F176" s="446" t="str" cm="1">
        <f t="array" aca="1" ref="F176" ca="1">OFFSET(E176,-1,1)</f>
        <v>1</v>
      </c>
      <c r="G176" s="411"/>
      <c r="H176" s="411"/>
      <c r="I176" s="411"/>
      <c r="J176" s="411"/>
      <c r="K176" s="411"/>
      <c r="L176" s="411"/>
      <c r="M176" s="411"/>
      <c r="N176" s="411"/>
      <c r="O176" s="411"/>
      <c r="P176" s="411"/>
      <c r="Q176" s="411"/>
      <c r="R176" s="411"/>
      <c r="S176" s="411"/>
      <c r="T176" s="388" t="b" cm="1">
        <f t="array" aca="1" ref="T176" ca="1">T175</f>
        <v>1</v>
      </c>
      <c r="U176" s="411"/>
      <c r="V176" s="411"/>
      <c r="W176" s="411"/>
      <c r="X176" s="2066"/>
      <c r="Y176" s="411"/>
      <c r="Z176" s="2067"/>
      <c r="AA176" s="411"/>
      <c r="AB176" s="1177" t="s">
        <v>2011</v>
      </c>
      <c r="AC176" s="1180" t="s">
        <v>2012</v>
      </c>
      <c r="AD176" s="1179" t="s">
        <v>831</v>
      </c>
      <c r="AE176" s="481"/>
      <c r="AF176" s="1016"/>
      <c r="AG176" s="1016"/>
      <c r="AH176" s="973" t="s">
        <v>2371</v>
      </c>
      <c r="AI176" s="967"/>
      <c r="AJ176" s="967"/>
      <c r="AK176" s="876"/>
      <c r="AL176" s="876"/>
    </row>
    <row r="177" spans="1:38" s="1321" customFormat="1" ht="14.25" customHeight="1" x14ac:dyDescent="0.15">
      <c r="A177" s="591"/>
      <c r="B177" s="411"/>
      <c r="C177" s="411"/>
      <c r="D177" s="411"/>
      <c r="E177" s="573">
        <v>15</v>
      </c>
      <c r="F177" s="446" t="str" cm="1">
        <f t="array" aca="1" ref="F177" ca="1">OFFSET(E177,-1,1)</f>
        <v>1</v>
      </c>
      <c r="G177" s="411"/>
      <c r="H177" s="411"/>
      <c r="I177" s="411"/>
      <c r="J177" s="411"/>
      <c r="K177" s="411"/>
      <c r="L177" s="411"/>
      <c r="M177" s="411"/>
      <c r="N177" s="411"/>
      <c r="O177" s="411"/>
      <c r="P177" s="411"/>
      <c r="Q177" s="411"/>
      <c r="R177" s="411"/>
      <c r="S177" s="411"/>
      <c r="T177" s="388" t="b" cm="1">
        <f t="array" aca="1" ref="T177" ca="1">T176</f>
        <v>1</v>
      </c>
      <c r="U177" s="411"/>
      <c r="V177" s="411"/>
      <c r="W177" s="411"/>
      <c r="X177" s="2066"/>
      <c r="Y177" s="411"/>
      <c r="Z177" s="2067"/>
      <c r="AA177" s="411"/>
      <c r="AB177" s="1177" t="s">
        <v>2014</v>
      </c>
      <c r="AC177" s="1180" t="s">
        <v>2015</v>
      </c>
      <c r="AD177" s="1179" t="s">
        <v>831</v>
      </c>
      <c r="AE177" s="481"/>
      <c r="AF177" s="1016"/>
      <c r="AG177" s="1016"/>
      <c r="AH177" s="973" t="s">
        <v>2372</v>
      </c>
      <c r="AI177" s="967"/>
      <c r="AJ177" s="967"/>
      <c r="AK177" s="876"/>
      <c r="AL177" s="876"/>
    </row>
    <row r="178" spans="1:38" s="1321" customFormat="1" ht="14.25" customHeight="1" x14ac:dyDescent="0.15">
      <c r="A178" s="591"/>
      <c r="B178" s="411"/>
      <c r="C178" s="411"/>
      <c r="D178" s="411"/>
      <c r="E178" s="573">
        <v>15</v>
      </c>
      <c r="F178" s="446" t="str" cm="1">
        <f t="array" aca="1" ref="F178" ca="1">OFFSET(E178,-1,1)</f>
        <v>1</v>
      </c>
      <c r="G178" s="411"/>
      <c r="H178" s="411"/>
      <c r="I178" s="411"/>
      <c r="J178" s="411"/>
      <c r="K178" s="411"/>
      <c r="L178" s="411"/>
      <c r="M178" s="411"/>
      <c r="N178" s="411"/>
      <c r="O178" s="411"/>
      <c r="P178" s="411"/>
      <c r="Q178" s="411"/>
      <c r="R178" s="411"/>
      <c r="S178" s="411"/>
      <c r="T178" s="388" t="b" cm="1">
        <f t="array" aca="1" ref="T178" ca="1">T177</f>
        <v>1</v>
      </c>
      <c r="U178" s="411"/>
      <c r="V178" s="411"/>
      <c r="W178" s="411"/>
      <c r="X178" s="2066"/>
      <c r="Y178" s="411"/>
      <c r="Z178" s="2067"/>
      <c r="AA178" s="411"/>
      <c r="AB178" s="1177" t="s">
        <v>2017</v>
      </c>
      <c r="AC178" s="1180" t="s">
        <v>2018</v>
      </c>
      <c r="AD178" s="1179" t="s">
        <v>831</v>
      </c>
      <c r="AE178" s="481"/>
      <c r="AF178" s="1016"/>
      <c r="AG178" s="1016"/>
      <c r="AH178" s="973" t="s">
        <v>2373</v>
      </c>
      <c r="AI178" s="967"/>
      <c r="AJ178" s="967"/>
      <c r="AK178" s="876"/>
      <c r="AL178" s="876"/>
    </row>
    <row r="179" spans="1:38" s="1321" customFormat="1" ht="14.25" customHeight="1" x14ac:dyDescent="0.15">
      <c r="A179" s="591"/>
      <c r="B179" s="411"/>
      <c r="C179" s="411"/>
      <c r="D179" s="411"/>
      <c r="E179" s="573">
        <v>15</v>
      </c>
      <c r="F179" s="446" t="str" cm="1">
        <f t="array" aca="1" ref="F179" ca="1">OFFSET(E179,-1,1)</f>
        <v>1</v>
      </c>
      <c r="G179" s="411"/>
      <c r="H179" s="411"/>
      <c r="I179" s="411"/>
      <c r="J179" s="411"/>
      <c r="K179" s="411"/>
      <c r="L179" s="411"/>
      <c r="M179" s="411"/>
      <c r="N179" s="411"/>
      <c r="O179" s="411"/>
      <c r="P179" s="411"/>
      <c r="Q179" s="411"/>
      <c r="R179" s="411"/>
      <c r="S179" s="411"/>
      <c r="T179" s="388" t="b" cm="1">
        <f t="array" aca="1" ref="T179" ca="1">T178</f>
        <v>1</v>
      </c>
      <c r="U179" s="411"/>
      <c r="V179" s="411"/>
      <c r="W179" s="411"/>
      <c r="X179" s="2066"/>
      <c r="Y179" s="411"/>
      <c r="Z179" s="2067"/>
      <c r="AA179" s="411"/>
      <c r="AB179" s="1177" t="s">
        <v>2019</v>
      </c>
      <c r="AC179" s="1180" t="s">
        <v>2020</v>
      </c>
      <c r="AD179" s="1179" t="s">
        <v>831</v>
      </c>
      <c r="AE179" s="481"/>
      <c r="AF179" s="1016"/>
      <c r="AG179" s="1016"/>
      <c r="AH179" s="973" t="s">
        <v>2374</v>
      </c>
      <c r="AI179" s="967"/>
      <c r="AJ179" s="967"/>
      <c r="AK179" s="876"/>
      <c r="AL179" s="876"/>
    </row>
    <row r="180" spans="1:38" s="1321" customFormat="1" ht="14.25" customHeight="1" x14ac:dyDescent="0.15">
      <c r="A180" s="591"/>
      <c r="B180" s="411"/>
      <c r="C180" s="411"/>
      <c r="D180" s="411"/>
      <c r="E180" s="573">
        <v>15</v>
      </c>
      <c r="F180" s="446" t="str" cm="1">
        <f t="array" aca="1" ref="F180" ca="1">OFFSET(E180,-1,1)</f>
        <v>1</v>
      </c>
      <c r="G180" s="411"/>
      <c r="H180" s="411"/>
      <c r="I180" s="411"/>
      <c r="J180" s="411"/>
      <c r="K180" s="411"/>
      <c r="L180" s="411"/>
      <c r="M180" s="411"/>
      <c r="N180" s="411"/>
      <c r="O180" s="411"/>
      <c r="P180" s="411"/>
      <c r="Q180" s="411"/>
      <c r="R180" s="411"/>
      <c r="S180" s="411"/>
      <c r="T180" s="388" t="b" cm="1">
        <f t="array" aca="1" ref="T180" ca="1">T179</f>
        <v>1</v>
      </c>
      <c r="U180" s="411"/>
      <c r="V180" s="411"/>
      <c r="W180" s="411"/>
      <c r="X180" s="2066"/>
      <c r="Y180" s="411"/>
      <c r="Z180" s="2067"/>
      <c r="AA180" s="411"/>
      <c r="AB180" s="1177" t="s">
        <v>570</v>
      </c>
      <c r="AC180" s="1178" t="s">
        <v>2021</v>
      </c>
      <c r="AD180" s="1179" t="s">
        <v>831</v>
      </c>
      <c r="AE180" s="481"/>
      <c r="AF180" s="1016"/>
      <c r="AG180" s="1016"/>
      <c r="AH180" s="973" t="s">
        <v>2375</v>
      </c>
      <c r="AI180" s="967"/>
      <c r="AJ180" s="967"/>
      <c r="AK180" s="876"/>
      <c r="AL180" s="876"/>
    </row>
    <row r="181" spans="1:38" s="1334" customFormat="1" ht="14.25" customHeight="1" x14ac:dyDescent="0.15">
      <c r="A181" s="591"/>
      <c r="B181" s="1128"/>
      <c r="C181" s="1128"/>
      <c r="D181" s="1128"/>
      <c r="E181" s="573">
        <v>15</v>
      </c>
      <c r="F181" s="3" t="str" cm="1">
        <f t="array" aca="1" ref="F181" ca="1">OFFSET(E181,-1,1)</f>
        <v>1</v>
      </c>
      <c r="G181" s="1128"/>
      <c r="H181" s="411" t="s">
        <v>515</v>
      </c>
      <c r="I181" s="1128"/>
      <c r="J181" s="1128"/>
      <c r="K181" s="1128"/>
      <c r="L181" s="1128"/>
      <c r="M181" s="1128"/>
      <c r="N181" s="1128"/>
      <c r="O181" s="1128"/>
      <c r="P181" s="1128"/>
      <c r="Q181" s="1128"/>
      <c r="R181" s="1128"/>
      <c r="S181" s="1128"/>
      <c r="T181" s="388" t="b" cm="1">
        <f t="array" aca="1" ref="T181" ca="1">T167</f>
        <v>1</v>
      </c>
      <c r="U181" s="1128"/>
      <c r="V181" s="1128"/>
      <c r="W181" s="1128"/>
      <c r="X181" s="2066"/>
      <c r="Y181" s="1128"/>
      <c r="Z181" s="2067"/>
      <c r="AA181" s="1128"/>
      <c r="AB181" s="636" t="s">
        <v>574</v>
      </c>
      <c r="AC181" s="470" t="s">
        <v>2376</v>
      </c>
      <c r="AD181" s="471" t="s">
        <v>831</v>
      </c>
      <c r="AE181" s="480">
        <f>SUM(AE182:AE190)</f>
        <v>0</v>
      </c>
      <c r="AF181" s="1194"/>
      <c r="AG181" s="1194"/>
      <c r="AH181" s="979" t="s">
        <v>1233</v>
      </c>
      <c r="AI181" s="1195"/>
      <c r="AJ181" s="1195"/>
      <c r="AK181" s="1196"/>
      <c r="AL181" s="1196"/>
    </row>
    <row r="182" spans="1:38" s="1334" customFormat="1" ht="14.25" customHeight="1" x14ac:dyDescent="0.15">
      <c r="A182" s="591"/>
      <c r="B182" s="1128"/>
      <c r="C182" s="1128"/>
      <c r="D182" s="1128"/>
      <c r="E182" s="573">
        <v>15</v>
      </c>
      <c r="F182" s="3" t="str" cm="1">
        <f t="array" aca="1" ref="F182" ca="1">OFFSET(E182,-1,1)</f>
        <v>1</v>
      </c>
      <c r="G182" s="1128"/>
      <c r="H182" s="411" t="s">
        <v>1754</v>
      </c>
      <c r="I182" s="1128"/>
      <c r="J182" s="1128"/>
      <c r="K182" s="1128"/>
      <c r="L182" s="1128"/>
      <c r="M182" s="1128"/>
      <c r="N182" s="1128"/>
      <c r="O182" s="1128"/>
      <c r="P182" s="1128"/>
      <c r="Q182" s="1128"/>
      <c r="R182" s="1128"/>
      <c r="S182" s="1128"/>
      <c r="T182" s="388" t="b" cm="1">
        <f t="array" aca="1" ref="T182" ca="1">T181</f>
        <v>1</v>
      </c>
      <c r="U182" s="1128"/>
      <c r="V182" s="1128"/>
      <c r="W182" s="1128"/>
      <c r="X182" s="2066"/>
      <c r="Y182" s="1128"/>
      <c r="Z182" s="2067"/>
      <c r="AA182" s="1128"/>
      <c r="AB182" s="636" t="s">
        <v>531</v>
      </c>
      <c r="AC182" s="472" t="s">
        <v>1248</v>
      </c>
      <c r="AD182" s="471" t="s">
        <v>831</v>
      </c>
      <c r="AE182" s="1242"/>
      <c r="AF182" s="1194"/>
      <c r="AG182" s="1194"/>
      <c r="AH182" s="973" t="s">
        <v>2024</v>
      </c>
      <c r="AI182" s="1195"/>
      <c r="AJ182" s="1195"/>
      <c r="AK182" s="1196"/>
      <c r="AL182" s="1196"/>
    </row>
    <row r="183" spans="1:38" s="1334" customFormat="1" ht="14.25" customHeight="1" x14ac:dyDescent="0.15">
      <c r="A183" s="591"/>
      <c r="B183" s="1128"/>
      <c r="C183" s="1128"/>
      <c r="D183" s="1128"/>
      <c r="E183" s="573">
        <v>15</v>
      </c>
      <c r="F183" s="3" t="str" cm="1">
        <f t="array" aca="1" ref="F183" ca="1">OFFSET(E183,-1,1)</f>
        <v>1</v>
      </c>
      <c r="G183" s="1128"/>
      <c r="H183" s="411" t="s">
        <v>1757</v>
      </c>
      <c r="I183" s="1128"/>
      <c r="J183" s="1128"/>
      <c r="K183" s="1128"/>
      <c r="L183" s="1128"/>
      <c r="M183" s="1128"/>
      <c r="N183" s="1128"/>
      <c r="O183" s="1128"/>
      <c r="P183" s="1128"/>
      <c r="Q183" s="1128"/>
      <c r="R183" s="1128"/>
      <c r="S183" s="1128"/>
      <c r="T183" s="388" t="b" cm="1">
        <f t="array" aca="1" ref="T183" ca="1">T182</f>
        <v>1</v>
      </c>
      <c r="U183" s="1128"/>
      <c r="V183" s="1128"/>
      <c r="W183" s="1128"/>
      <c r="X183" s="2066"/>
      <c r="Y183" s="1128"/>
      <c r="Z183" s="2067"/>
      <c r="AA183" s="1128"/>
      <c r="AB183" s="636" t="s">
        <v>1459</v>
      </c>
      <c r="AC183" s="472" t="s">
        <v>2377</v>
      </c>
      <c r="AD183" s="471" t="s">
        <v>831</v>
      </c>
      <c r="AE183" s="1242"/>
      <c r="AF183" s="1194"/>
      <c r="AG183" s="1194"/>
      <c r="AH183" s="973" t="s">
        <v>2027</v>
      </c>
      <c r="AI183" s="1195"/>
      <c r="AJ183" s="1195"/>
      <c r="AK183" s="1196"/>
      <c r="AL183" s="1196"/>
    </row>
    <row r="184" spans="1:38" s="1334" customFormat="1" ht="14.25" customHeight="1" x14ac:dyDescent="0.15">
      <c r="A184" s="591"/>
      <c r="B184" s="1128"/>
      <c r="C184" s="1128"/>
      <c r="D184" s="1128"/>
      <c r="E184" s="573">
        <v>15</v>
      </c>
      <c r="F184" s="3" t="str" cm="1">
        <f t="array" aca="1" ref="F184" ca="1">OFFSET(E184,-1,1)</f>
        <v>1</v>
      </c>
      <c r="G184" s="1128"/>
      <c r="H184" s="411" t="s">
        <v>2378</v>
      </c>
      <c r="I184" s="1128"/>
      <c r="J184" s="1128"/>
      <c r="K184" s="1128"/>
      <c r="L184" s="1128"/>
      <c r="M184" s="1128"/>
      <c r="N184" s="1128"/>
      <c r="O184" s="1128"/>
      <c r="P184" s="1128"/>
      <c r="Q184" s="1128"/>
      <c r="R184" s="1128"/>
      <c r="S184" s="1128"/>
      <c r="T184" s="388" t="b" cm="1">
        <f t="array" aca="1" ref="T184" ca="1">T183</f>
        <v>1</v>
      </c>
      <c r="U184" s="1128"/>
      <c r="V184" s="1128"/>
      <c r="W184" s="1128"/>
      <c r="X184" s="2066"/>
      <c r="Y184" s="1128"/>
      <c r="Z184" s="2067"/>
      <c r="AA184" s="1128"/>
      <c r="AB184" s="636" t="s">
        <v>1464</v>
      </c>
      <c r="AC184" s="472" t="s">
        <v>2379</v>
      </c>
      <c r="AD184" s="471" t="s">
        <v>831</v>
      </c>
      <c r="AE184" s="1242"/>
      <c r="AF184" s="1194"/>
      <c r="AG184" s="1194"/>
      <c r="AH184" s="973" t="s">
        <v>2030</v>
      </c>
      <c r="AI184" s="1195"/>
      <c r="AJ184" s="1195"/>
      <c r="AK184" s="1196"/>
      <c r="AL184" s="1196"/>
    </row>
    <row r="185" spans="1:38" s="1334" customFormat="1" ht="14.25" customHeight="1" x14ac:dyDescent="0.15">
      <c r="A185" s="591"/>
      <c r="B185" s="1128"/>
      <c r="C185" s="1128"/>
      <c r="D185" s="1128"/>
      <c r="E185" s="573">
        <v>15</v>
      </c>
      <c r="F185" s="3" t="str" cm="1">
        <f t="array" aca="1" ref="F185" ca="1">OFFSET(E185,-1,1)</f>
        <v>1</v>
      </c>
      <c r="G185" s="1128"/>
      <c r="H185" s="411" t="s">
        <v>2380</v>
      </c>
      <c r="I185" s="1128"/>
      <c r="J185" s="1128"/>
      <c r="K185" s="1128"/>
      <c r="L185" s="1128"/>
      <c r="M185" s="1128"/>
      <c r="N185" s="1128"/>
      <c r="O185" s="1128"/>
      <c r="P185" s="1128"/>
      <c r="Q185" s="1128"/>
      <c r="R185" s="1128"/>
      <c r="S185" s="1128"/>
      <c r="T185" s="388" t="b" cm="1">
        <f t="array" aca="1" ref="T185" ca="1">T184</f>
        <v>1</v>
      </c>
      <c r="U185" s="1128"/>
      <c r="V185" s="1128"/>
      <c r="W185" s="1128"/>
      <c r="X185" s="2066"/>
      <c r="Y185" s="1128"/>
      <c r="Z185" s="2067"/>
      <c r="AA185" s="1128"/>
      <c r="AB185" s="636" t="s">
        <v>2032</v>
      </c>
      <c r="AC185" s="472" t="s">
        <v>1241</v>
      </c>
      <c r="AD185" s="471" t="s">
        <v>831</v>
      </c>
      <c r="AE185" s="1242"/>
      <c r="AF185" s="1194"/>
      <c r="AG185" s="1194"/>
      <c r="AH185" s="973" t="s">
        <v>2034</v>
      </c>
      <c r="AI185" s="1195"/>
      <c r="AJ185" s="1195"/>
      <c r="AK185" s="1196"/>
      <c r="AL185" s="1196"/>
    </row>
    <row r="186" spans="1:38" s="1334" customFormat="1" ht="14.25" customHeight="1" x14ac:dyDescent="0.15">
      <c r="A186" s="591"/>
      <c r="B186" s="1128"/>
      <c r="C186" s="1128"/>
      <c r="D186" s="1128"/>
      <c r="E186" s="573">
        <v>15</v>
      </c>
      <c r="F186" s="3" t="str" cm="1">
        <f t="array" aca="1" ref="F186" ca="1">OFFSET(E186,-1,1)</f>
        <v>1</v>
      </c>
      <c r="G186" s="1128"/>
      <c r="H186" s="411" t="s">
        <v>2381</v>
      </c>
      <c r="I186" s="1128"/>
      <c r="J186" s="1128"/>
      <c r="K186" s="1128"/>
      <c r="L186" s="1128"/>
      <c r="M186" s="1128"/>
      <c r="N186" s="1128"/>
      <c r="O186" s="1128"/>
      <c r="P186" s="1128"/>
      <c r="Q186" s="1128"/>
      <c r="R186" s="1128"/>
      <c r="S186" s="1128"/>
      <c r="T186" s="388" t="b" cm="1">
        <f t="array" aca="1" ref="T186" ca="1">T185</f>
        <v>1</v>
      </c>
      <c r="U186" s="1128"/>
      <c r="V186" s="1128"/>
      <c r="W186" s="1128"/>
      <c r="X186" s="2066"/>
      <c r="Y186" s="1128"/>
      <c r="Z186" s="2067"/>
      <c r="AA186" s="1128"/>
      <c r="AB186" s="636" t="s">
        <v>2036</v>
      </c>
      <c r="AC186" s="472" t="s">
        <v>1243</v>
      </c>
      <c r="AD186" s="471" t="s">
        <v>831</v>
      </c>
      <c r="AE186" s="1242"/>
      <c r="AF186" s="1194"/>
      <c r="AG186" s="1194"/>
      <c r="AH186" s="973" t="s">
        <v>2038</v>
      </c>
      <c r="AI186" s="1195"/>
      <c r="AJ186" s="1195"/>
      <c r="AK186" s="1196"/>
      <c r="AL186" s="1196"/>
    </row>
    <row r="187" spans="1:38" s="1334" customFormat="1" ht="14.25" customHeight="1" x14ac:dyDescent="0.15">
      <c r="A187" s="591"/>
      <c r="B187" s="1128"/>
      <c r="C187" s="1128"/>
      <c r="D187" s="1128"/>
      <c r="E187" s="573">
        <v>15</v>
      </c>
      <c r="F187" s="3" t="str" cm="1">
        <f t="array" aca="1" ref="F187" ca="1">OFFSET(E187,-1,1)</f>
        <v>1</v>
      </c>
      <c r="G187" s="1128"/>
      <c r="H187" s="411" t="s">
        <v>2382</v>
      </c>
      <c r="I187" s="1128"/>
      <c r="J187" s="1128"/>
      <c r="K187" s="1128"/>
      <c r="L187" s="1128"/>
      <c r="M187" s="1128"/>
      <c r="N187" s="1128"/>
      <c r="O187" s="1128"/>
      <c r="P187" s="1128"/>
      <c r="Q187" s="1128"/>
      <c r="R187" s="1128"/>
      <c r="S187" s="1128"/>
      <c r="T187" s="388" t="b" cm="1">
        <f t="array" aca="1" ref="T187" ca="1">T186</f>
        <v>1</v>
      </c>
      <c r="U187" s="1128"/>
      <c r="V187" s="1128"/>
      <c r="W187" s="1128"/>
      <c r="X187" s="2066"/>
      <c r="Y187" s="1128"/>
      <c r="Z187" s="2067"/>
      <c r="AA187" s="1128"/>
      <c r="AB187" s="636" t="s">
        <v>2040</v>
      </c>
      <c r="AC187" s="472" t="s">
        <v>1234</v>
      </c>
      <c r="AD187" s="471" t="s">
        <v>831</v>
      </c>
      <c r="AE187" s="1242"/>
      <c r="AF187" s="1194"/>
      <c r="AG187" s="1194"/>
      <c r="AH187" s="973" t="s">
        <v>2042</v>
      </c>
      <c r="AI187" s="1195"/>
      <c r="AJ187" s="1195"/>
      <c r="AK187" s="1196"/>
      <c r="AL187" s="1196"/>
    </row>
    <row r="188" spans="1:38" s="1321" customFormat="1" ht="14.25" customHeight="1" x14ac:dyDescent="0.15">
      <c r="A188" s="591"/>
      <c r="B188" s="411"/>
      <c r="C188" s="411"/>
      <c r="D188" s="411"/>
      <c r="E188" s="573">
        <v>15</v>
      </c>
      <c r="F188" s="446" t="str" cm="1">
        <f t="array" aca="1" ref="F188" ca="1">OFFSET(E188,-1,1)</f>
        <v>1</v>
      </c>
      <c r="G188" s="411"/>
      <c r="H188" s="411"/>
      <c r="I188" s="411"/>
      <c r="J188" s="411"/>
      <c r="K188" s="411"/>
      <c r="L188" s="411"/>
      <c r="M188" s="411"/>
      <c r="N188" s="411"/>
      <c r="O188" s="411"/>
      <c r="P188" s="411"/>
      <c r="Q188" s="411"/>
      <c r="R188" s="411"/>
      <c r="S188" s="411"/>
      <c r="T188" s="388" t="b" cm="1">
        <f t="array" aca="1" ref="T188" ca="1">T187</f>
        <v>1</v>
      </c>
      <c r="U188" s="411"/>
      <c r="V188" s="411"/>
      <c r="W188" s="411"/>
      <c r="X188" s="2066"/>
      <c r="Y188" s="411"/>
      <c r="Z188" s="2067"/>
      <c r="AA188" s="411"/>
      <c r="AB188" s="1177" t="s">
        <v>2044</v>
      </c>
      <c r="AC188" s="1180" t="s">
        <v>2383</v>
      </c>
      <c r="AD188" s="1179" t="s">
        <v>831</v>
      </c>
      <c r="AE188" s="481"/>
      <c r="AF188" s="1016"/>
      <c r="AG188" s="1016"/>
      <c r="AH188" s="973" t="s">
        <v>1251</v>
      </c>
      <c r="AI188" s="967"/>
      <c r="AJ188" s="967"/>
      <c r="AK188" s="876"/>
      <c r="AL188" s="876"/>
    </row>
    <row r="189" spans="1:38" s="1321" customFormat="1" ht="14.25" customHeight="1" x14ac:dyDescent="0.15">
      <c r="A189" s="591"/>
      <c r="B189" s="411"/>
      <c r="C189" s="411"/>
      <c r="D189" s="411"/>
      <c r="E189" s="573">
        <v>15</v>
      </c>
      <c r="F189" s="446" t="str" cm="1">
        <f t="array" aca="1" ref="F189" ca="1">OFFSET(E189,-1,1)</f>
        <v>1</v>
      </c>
      <c r="G189" s="411"/>
      <c r="H189" s="411"/>
      <c r="I189" s="411"/>
      <c r="J189" s="411"/>
      <c r="K189" s="411"/>
      <c r="L189" s="411"/>
      <c r="M189" s="411"/>
      <c r="N189" s="411"/>
      <c r="O189" s="411"/>
      <c r="P189" s="411"/>
      <c r="Q189" s="411"/>
      <c r="R189" s="411"/>
      <c r="S189" s="411"/>
      <c r="T189" s="388" t="b" cm="1">
        <f t="array" aca="1" ref="T189" ca="1">T188</f>
        <v>1</v>
      </c>
      <c r="U189" s="411"/>
      <c r="V189" s="411"/>
      <c r="W189" s="411"/>
      <c r="X189" s="2066"/>
      <c r="Y189" s="411"/>
      <c r="Z189" s="2067"/>
      <c r="AA189" s="411"/>
      <c r="AB189" s="1177" t="s">
        <v>2048</v>
      </c>
      <c r="AC189" s="1180" t="s">
        <v>1252</v>
      </c>
      <c r="AD189" s="1179" t="s">
        <v>831</v>
      </c>
      <c r="AE189" s="481"/>
      <c r="AF189" s="1016"/>
      <c r="AG189" s="1016"/>
      <c r="AH189" s="973" t="s">
        <v>2384</v>
      </c>
      <c r="AI189" s="967"/>
      <c r="AJ189" s="967"/>
      <c r="AK189" s="876"/>
      <c r="AL189" s="876"/>
    </row>
    <row r="190" spans="1:38" s="1334" customFormat="1" ht="14.25" customHeight="1" x14ac:dyDescent="0.15">
      <c r="A190" s="591"/>
      <c r="B190" s="1128"/>
      <c r="C190" s="1128"/>
      <c r="D190" s="1128"/>
      <c r="E190" s="573">
        <v>15</v>
      </c>
      <c r="F190" s="3" t="str" cm="1">
        <f t="array" aca="1" ref="F190" ca="1">OFFSET(E190,-1,1)</f>
        <v>1</v>
      </c>
      <c r="G190" s="1128"/>
      <c r="H190" s="411" t="s">
        <v>2385</v>
      </c>
      <c r="I190" s="1128"/>
      <c r="J190" s="1128"/>
      <c r="K190" s="1128"/>
      <c r="L190" s="1128"/>
      <c r="M190" s="1128"/>
      <c r="N190" s="1128"/>
      <c r="O190" s="1128"/>
      <c r="P190" s="1128"/>
      <c r="Q190" s="1128"/>
      <c r="R190" s="1128"/>
      <c r="S190" s="1128"/>
      <c r="T190" s="388" t="b" cm="1">
        <f t="array" aca="1" ref="T190" ca="1">T187</f>
        <v>1</v>
      </c>
      <c r="U190" s="1128"/>
      <c r="V190" s="1128"/>
      <c r="W190" s="1128"/>
      <c r="X190" s="2066"/>
      <c r="Y190" s="1128"/>
      <c r="Z190" s="2067"/>
      <c r="AA190" s="1128"/>
      <c r="AB190" s="636" t="s">
        <v>2050</v>
      </c>
      <c r="AC190" s="472" t="s">
        <v>1254</v>
      </c>
      <c r="AD190" s="471" t="s">
        <v>831</v>
      </c>
      <c r="AE190" s="1242"/>
      <c r="AF190" s="1194"/>
      <c r="AG190" s="1194"/>
      <c r="AH190" s="973" t="s">
        <v>2056</v>
      </c>
      <c r="AI190" s="1195"/>
      <c r="AJ190" s="1195"/>
      <c r="AK190" s="1196"/>
      <c r="AL190" s="1196"/>
    </row>
    <row r="191" spans="1:38" s="1334" customFormat="1" ht="14.25" customHeight="1" x14ac:dyDescent="0.15">
      <c r="A191" s="591"/>
      <c r="B191" s="1128"/>
      <c r="C191" s="1128"/>
      <c r="D191" s="1128"/>
      <c r="E191" s="573">
        <v>15</v>
      </c>
      <c r="F191" s="3" t="str" cm="1">
        <f t="array" aca="1" ref="F191" ca="1">OFFSET(E191,-1,1)</f>
        <v>1</v>
      </c>
      <c r="G191" s="1128"/>
      <c r="H191" s="411" t="s">
        <v>930</v>
      </c>
      <c r="I191" s="1128"/>
      <c r="J191" s="1128"/>
      <c r="K191" s="1128"/>
      <c r="L191" s="1128"/>
      <c r="M191" s="1128"/>
      <c r="N191" s="1128"/>
      <c r="O191" s="1128"/>
      <c r="P191" s="1128"/>
      <c r="Q191" s="1128"/>
      <c r="R191" s="1128"/>
      <c r="S191" s="1128"/>
      <c r="T191" s="388" t="b" cm="1">
        <f t="array" aca="1" ref="T191" ca="1">T190</f>
        <v>1</v>
      </c>
      <c r="U191" s="1128"/>
      <c r="V191" s="1128"/>
      <c r="W191" s="1128"/>
      <c r="X191" s="2066"/>
      <c r="Y191" s="1128"/>
      <c r="Z191" s="2067"/>
      <c r="AA191" s="1128"/>
      <c r="AB191" s="636" t="s">
        <v>933</v>
      </c>
      <c r="AC191" s="472" t="s">
        <v>1031</v>
      </c>
      <c r="AD191" s="471" t="s">
        <v>831</v>
      </c>
      <c r="AE191" s="1242"/>
      <c r="AF191" s="1194"/>
      <c r="AG191" s="1194"/>
      <c r="AH191" s="973" t="s">
        <v>1185</v>
      </c>
      <c r="AI191" s="1195"/>
      <c r="AJ191" s="1195"/>
      <c r="AK191" s="1196"/>
      <c r="AL191" s="1196"/>
    </row>
    <row r="192" spans="1:38" s="1334" customFormat="1" ht="14.25" customHeight="1" x14ac:dyDescent="0.15">
      <c r="A192" s="591"/>
      <c r="B192" s="1128"/>
      <c r="C192" s="1128"/>
      <c r="D192" s="1128"/>
      <c r="E192" s="573">
        <v>15</v>
      </c>
      <c r="F192" s="3" t="str" cm="1">
        <f t="array" aca="1" ref="F192" ca="1">OFFSET(E192,-1,1)</f>
        <v>1</v>
      </c>
      <c r="G192" s="1128"/>
      <c r="H192" s="411" t="s">
        <v>2059</v>
      </c>
      <c r="I192" s="1128"/>
      <c r="J192" s="1128"/>
      <c r="K192" s="1128"/>
      <c r="L192" s="1128"/>
      <c r="M192" s="1128"/>
      <c r="N192" s="1128"/>
      <c r="O192" s="1128"/>
      <c r="P192" s="1128"/>
      <c r="Q192" s="1128"/>
      <c r="R192" s="1128"/>
      <c r="S192" s="1128"/>
      <c r="T192" s="388" t="b" cm="1">
        <f t="array" aca="1" ref="T192" ca="1">T191</f>
        <v>1</v>
      </c>
      <c r="U192" s="1128"/>
      <c r="V192" s="1128"/>
      <c r="W192" s="1128"/>
      <c r="X192" s="2066"/>
      <c r="Y192" s="1128"/>
      <c r="Z192" s="2067"/>
      <c r="AA192" s="1128"/>
      <c r="AB192" s="636" t="s">
        <v>936</v>
      </c>
      <c r="AC192" s="470" t="s">
        <v>1431</v>
      </c>
      <c r="AD192" s="471" t="s">
        <v>831</v>
      </c>
      <c r="AE192" s="1242"/>
      <c r="AF192" s="1194"/>
      <c r="AG192" s="1194"/>
      <c r="AH192" s="980" t="s">
        <v>1798</v>
      </c>
      <c r="AI192" s="1195"/>
      <c r="AJ192" s="1195"/>
      <c r="AK192" s="1196"/>
      <c r="AL192" s="1196"/>
    </row>
    <row r="193" spans="1:38" s="1334" customFormat="1" ht="14.25" customHeight="1" x14ac:dyDescent="0.15">
      <c r="A193" s="591"/>
      <c r="B193" s="1128"/>
      <c r="C193" s="1128"/>
      <c r="D193" s="1128"/>
      <c r="E193" s="573">
        <v>15</v>
      </c>
      <c r="F193" s="3" t="str" cm="1">
        <f t="array" aca="1" ref="F193" ca="1">OFFSET(E193,-1,1)</f>
        <v>1</v>
      </c>
      <c r="G193" s="1128"/>
      <c r="H193" s="411" t="s">
        <v>2067</v>
      </c>
      <c r="I193" s="1128"/>
      <c r="J193" s="1128"/>
      <c r="K193" s="1128"/>
      <c r="L193" s="1128"/>
      <c r="M193" s="1128"/>
      <c r="N193" s="1128"/>
      <c r="O193" s="1128"/>
      <c r="P193" s="1128"/>
      <c r="Q193" s="1128"/>
      <c r="R193" s="1128"/>
      <c r="S193" s="1128"/>
      <c r="T193" s="388" t="b" cm="1">
        <f t="array" aca="1" ref="T193" ca="1">T192</f>
        <v>1</v>
      </c>
      <c r="U193" s="1128"/>
      <c r="V193" s="1128"/>
      <c r="W193" s="1128"/>
      <c r="X193" s="2066"/>
      <c r="Y193" s="1128"/>
      <c r="Z193" s="2067"/>
      <c r="AA193" s="1128"/>
      <c r="AB193" s="636" t="s">
        <v>1479</v>
      </c>
      <c r="AC193" s="470" t="s">
        <v>1441</v>
      </c>
      <c r="AD193" s="471" t="s">
        <v>831</v>
      </c>
      <c r="AE193" s="480">
        <f>AE194+AE195</f>
        <v>0</v>
      </c>
      <c r="AF193" s="1194"/>
      <c r="AG193" s="1194"/>
      <c r="AH193" s="973" t="s">
        <v>2072</v>
      </c>
      <c r="AI193" s="1195"/>
      <c r="AJ193" s="1195"/>
      <c r="AK193" s="1196"/>
      <c r="AL193" s="1196"/>
    </row>
    <row r="194" spans="1:38" s="1334" customFormat="1" ht="14.25" customHeight="1" x14ac:dyDescent="0.15">
      <c r="A194" s="591"/>
      <c r="B194" s="1128"/>
      <c r="C194" s="1128"/>
      <c r="D194" s="1128"/>
      <c r="E194" s="573">
        <v>15</v>
      </c>
      <c r="F194" s="3" t="str" cm="1">
        <f t="array" aca="1" ref="F194" ca="1">OFFSET(E194,-1,1)</f>
        <v>1</v>
      </c>
      <c r="G194" s="1128"/>
      <c r="H194" s="411" t="s">
        <v>2386</v>
      </c>
      <c r="I194" s="1128"/>
      <c r="J194" s="1128"/>
      <c r="K194" s="1128"/>
      <c r="L194" s="1128"/>
      <c r="M194" s="1128"/>
      <c r="N194" s="1128"/>
      <c r="O194" s="1128"/>
      <c r="P194" s="1128"/>
      <c r="Q194" s="1128"/>
      <c r="R194" s="1128"/>
      <c r="S194" s="1128"/>
      <c r="T194" s="388" t="b" cm="1">
        <f t="array" aca="1" ref="T194" ca="1">T193</f>
        <v>1</v>
      </c>
      <c r="U194" s="1128"/>
      <c r="V194" s="1128"/>
      <c r="W194" s="1128"/>
      <c r="X194" s="2066"/>
      <c r="Y194" s="1128"/>
      <c r="Z194" s="2067"/>
      <c r="AA194" s="1128"/>
      <c r="AB194" s="636" t="s">
        <v>2063</v>
      </c>
      <c r="AC194" s="472" t="s">
        <v>2387</v>
      </c>
      <c r="AD194" s="471" t="s">
        <v>831</v>
      </c>
      <c r="AE194" s="1242"/>
      <c r="AF194" s="1194"/>
      <c r="AG194" s="1194"/>
      <c r="AH194" s="973" t="s">
        <v>1222</v>
      </c>
      <c r="AI194" s="1195"/>
      <c r="AJ194" s="1195"/>
      <c r="AK194" s="1196"/>
      <c r="AL194" s="1196"/>
    </row>
    <row r="195" spans="1:38" s="1334" customFormat="1" ht="21.75" customHeight="1" x14ac:dyDescent="0.15">
      <c r="A195" s="591"/>
      <c r="B195" s="1128"/>
      <c r="C195" s="1128"/>
      <c r="D195" s="1128"/>
      <c r="E195" s="573">
        <v>22.5</v>
      </c>
      <c r="F195" s="3" t="str" cm="1">
        <f t="array" aca="1" ref="F195" ca="1">OFFSET(E195,-1,1)</f>
        <v>1</v>
      </c>
      <c r="G195" s="1128"/>
      <c r="H195" s="411" t="s">
        <v>2388</v>
      </c>
      <c r="I195" s="1128"/>
      <c r="J195" s="1128"/>
      <c r="K195" s="1128"/>
      <c r="L195" s="1128"/>
      <c r="M195" s="1128"/>
      <c r="N195" s="1128"/>
      <c r="O195" s="1128"/>
      <c r="P195" s="1128"/>
      <c r="Q195" s="1128"/>
      <c r="R195" s="1128"/>
      <c r="S195" s="1128"/>
      <c r="T195" s="388" t="b" cm="1">
        <f t="array" aca="1" ref="T195" ca="1">T194</f>
        <v>1</v>
      </c>
      <c r="U195" s="1128"/>
      <c r="V195" s="1128"/>
      <c r="W195" s="1128"/>
      <c r="X195" s="2066"/>
      <c r="Y195" s="1128"/>
      <c r="Z195" s="2067"/>
      <c r="AA195" s="1128"/>
      <c r="AB195" s="636" t="s">
        <v>2389</v>
      </c>
      <c r="AC195" s="472" t="s">
        <v>2390</v>
      </c>
      <c r="AD195" s="471" t="s">
        <v>831</v>
      </c>
      <c r="AE195" s="1242"/>
      <c r="AF195" s="1194"/>
      <c r="AG195" s="1194"/>
      <c r="AH195" s="973" t="s">
        <v>2079</v>
      </c>
      <c r="AI195" s="1195"/>
      <c r="AJ195" s="1195"/>
      <c r="AK195" s="1196"/>
      <c r="AL195" s="1196"/>
    </row>
    <row r="196" spans="1:38" s="1334" customFormat="1" ht="76.5" customHeight="1" x14ac:dyDescent="0.15">
      <c r="A196" s="591"/>
      <c r="B196" s="1128"/>
      <c r="C196" s="1128"/>
      <c r="D196" s="1128"/>
      <c r="E196" s="573">
        <v>78.75</v>
      </c>
      <c r="F196" s="3" t="str" cm="1">
        <f t="array" aca="1" ref="F196" ca="1">OFFSET(E196,-1,1)</f>
        <v>1</v>
      </c>
      <c r="G196" s="1128"/>
      <c r="H196" s="411" t="s">
        <v>2071</v>
      </c>
      <c r="I196" s="1128"/>
      <c r="J196" s="1128"/>
      <c r="K196" s="1128"/>
      <c r="L196" s="1128"/>
      <c r="M196" s="1128"/>
      <c r="N196" s="1128"/>
      <c r="O196" s="1128"/>
      <c r="P196" s="1128"/>
      <c r="Q196" s="1128"/>
      <c r="R196" s="1128"/>
      <c r="S196" s="1128"/>
      <c r="T196" s="388" t="b" cm="1">
        <f t="array" aca="1" ref="T196" ca="1">T195</f>
        <v>1</v>
      </c>
      <c r="U196" s="1128"/>
      <c r="V196" s="1128"/>
      <c r="W196" s="1128"/>
      <c r="X196" s="2066"/>
      <c r="Y196" s="1128"/>
      <c r="Z196" s="2067"/>
      <c r="AA196" s="1128"/>
      <c r="AB196" s="636" t="s">
        <v>1484</v>
      </c>
      <c r="AC196" s="1189" t="s">
        <v>1415</v>
      </c>
      <c r="AD196" s="471" t="s">
        <v>831</v>
      </c>
      <c r="AE196" s="1242"/>
      <c r="AF196" s="1194"/>
      <c r="AG196" s="1194"/>
      <c r="AH196" s="973" t="s">
        <v>2057</v>
      </c>
      <c r="AI196" s="1195"/>
      <c r="AJ196" s="1195"/>
      <c r="AK196" s="1196"/>
      <c r="AL196" s="1196"/>
    </row>
    <row r="197" spans="1:38" s="1321" customFormat="1" ht="14.25" customHeight="1" x14ac:dyDescent="0.15">
      <c r="A197" s="591"/>
      <c r="B197" s="411"/>
      <c r="C197" s="411"/>
      <c r="D197" s="411"/>
      <c r="E197" s="573">
        <v>15</v>
      </c>
      <c r="F197" s="446" t="str" cm="1">
        <f t="array" aca="1" ref="F197" ca="1">OFFSET(E197,-1,1)</f>
        <v>1</v>
      </c>
      <c r="G197" s="411"/>
      <c r="H197" s="411"/>
      <c r="I197" s="411"/>
      <c r="J197" s="411"/>
      <c r="K197" s="411"/>
      <c r="L197" s="411"/>
      <c r="M197" s="411"/>
      <c r="N197" s="411"/>
      <c r="O197" s="411"/>
      <c r="P197" s="411"/>
      <c r="Q197" s="411"/>
      <c r="R197" s="411"/>
      <c r="S197" s="411"/>
      <c r="T197" s="388" t="b" cm="1">
        <f t="array" aca="1" ref="T197" ca="1">T196</f>
        <v>1</v>
      </c>
      <c r="U197" s="411"/>
      <c r="V197" s="411"/>
      <c r="W197" s="411"/>
      <c r="X197" s="2066"/>
      <c r="Y197" s="411"/>
      <c r="Z197" s="2067"/>
      <c r="AA197" s="411"/>
      <c r="AB197" s="1177" t="s">
        <v>2068</v>
      </c>
      <c r="AC197" s="1189" t="s">
        <v>1011</v>
      </c>
      <c r="AD197" s="1179" t="s">
        <v>831</v>
      </c>
      <c r="AE197" s="481"/>
      <c r="AF197" s="1016"/>
      <c r="AG197" s="1016"/>
      <c r="AH197" s="973" t="s">
        <v>1013</v>
      </c>
      <c r="AI197" s="967"/>
      <c r="AJ197" s="967"/>
      <c r="AK197" s="876"/>
      <c r="AL197" s="876"/>
    </row>
    <row r="198" spans="1:38" s="1321" customFormat="1" ht="14.25" customHeight="1" x14ac:dyDescent="0.15">
      <c r="A198" s="591"/>
      <c r="B198" s="411"/>
      <c r="C198" s="411"/>
      <c r="D198" s="411"/>
      <c r="E198" s="573">
        <v>15</v>
      </c>
      <c r="F198" s="446" t="str" cm="1">
        <f t="array" aca="1" ref="F198" ca="1">OFFSET(E198,-1,1)</f>
        <v>1</v>
      </c>
      <c r="G198" s="411"/>
      <c r="H198" s="411"/>
      <c r="I198" s="411"/>
      <c r="J198" s="411"/>
      <c r="K198" s="411"/>
      <c r="L198" s="411"/>
      <c r="M198" s="411"/>
      <c r="N198" s="411"/>
      <c r="O198" s="411"/>
      <c r="P198" s="411"/>
      <c r="Q198" s="411"/>
      <c r="R198" s="411"/>
      <c r="S198" s="411"/>
      <c r="T198" s="388" t="b" cm="1">
        <f t="array" aca="1" ref="T198" ca="1">T197</f>
        <v>1</v>
      </c>
      <c r="U198" s="411"/>
      <c r="V198" s="411"/>
      <c r="W198" s="411"/>
      <c r="X198" s="2066"/>
      <c r="Y198" s="411"/>
      <c r="Z198" s="2067"/>
      <c r="AA198" s="411"/>
      <c r="AB198" s="1177" t="s">
        <v>1503</v>
      </c>
      <c r="AC198" s="1189" t="s">
        <v>1426</v>
      </c>
      <c r="AD198" s="1179" t="s">
        <v>831</v>
      </c>
      <c r="AE198" s="481"/>
      <c r="AF198" s="1016"/>
      <c r="AG198" s="1016"/>
      <c r="AH198" s="973" t="s">
        <v>2391</v>
      </c>
      <c r="AI198" s="967"/>
      <c r="AJ198" s="967"/>
      <c r="AK198" s="876"/>
      <c r="AL198" s="876"/>
    </row>
    <row r="199" spans="1:38" s="1334" customFormat="1" ht="14.25" customHeight="1" x14ac:dyDescent="0.15">
      <c r="A199" s="591"/>
      <c r="B199" s="1128"/>
      <c r="C199" s="1128"/>
      <c r="D199" s="1128"/>
      <c r="E199" s="573">
        <v>15</v>
      </c>
      <c r="F199" s="3" t="str" cm="1">
        <f t="array" aca="1" ref="F199" ca="1">OFFSET(E199,-1,1)</f>
        <v>1</v>
      </c>
      <c r="G199" s="1128"/>
      <c r="H199" s="411" t="s">
        <v>2392</v>
      </c>
      <c r="I199" s="1128"/>
      <c r="J199" s="1128"/>
      <c r="K199" s="1128"/>
      <c r="L199" s="1128"/>
      <c r="M199" s="1128"/>
      <c r="N199" s="1128"/>
      <c r="O199" s="1128"/>
      <c r="P199" s="1128"/>
      <c r="Q199" s="1128"/>
      <c r="R199" s="1128"/>
      <c r="S199" s="1128"/>
      <c r="T199" s="388" t="b" cm="1">
        <f t="array" aca="1" ref="T199" ca="1">T196</f>
        <v>1</v>
      </c>
      <c r="U199" s="1128"/>
      <c r="V199" s="1128"/>
      <c r="W199" s="1128"/>
      <c r="X199" s="2066"/>
      <c r="Y199" s="1128"/>
      <c r="Z199" s="2067"/>
      <c r="AA199" s="1128"/>
      <c r="AB199" s="636" t="s">
        <v>1507</v>
      </c>
      <c r="AC199" s="470" t="s">
        <v>2393</v>
      </c>
      <c r="AD199" s="471" t="s">
        <v>831</v>
      </c>
      <c r="AE199" s="1242"/>
      <c r="AF199" s="1194"/>
      <c r="AG199" s="1194"/>
      <c r="AH199" s="910" t="s">
        <v>2394</v>
      </c>
      <c r="AI199" s="1195"/>
      <c r="AJ199" s="1195"/>
      <c r="AK199" s="1196"/>
      <c r="AL199" s="1196"/>
    </row>
    <row r="200" spans="1:38" s="1321" customFormat="1" ht="31.5" customHeight="1" x14ac:dyDescent="0.15">
      <c r="A200" s="591"/>
      <c r="B200" s="411"/>
      <c r="C200" s="411"/>
      <c r="D200" s="411"/>
      <c r="E200" s="573">
        <v>33</v>
      </c>
      <c r="F200" s="446" t="str" cm="1">
        <f t="array" aca="1" ref="F200" ca="1">OFFSET(E200,-1,1)</f>
        <v>1</v>
      </c>
      <c r="G200" s="411"/>
      <c r="H200" s="411"/>
      <c r="I200" s="411"/>
      <c r="J200" s="411"/>
      <c r="K200" s="411"/>
      <c r="L200" s="411"/>
      <c r="M200" s="411"/>
      <c r="N200" s="411"/>
      <c r="O200" s="411"/>
      <c r="P200" s="411"/>
      <c r="Q200" s="411"/>
      <c r="R200" s="411"/>
      <c r="S200" s="411"/>
      <c r="T200" s="388" t="b" cm="1">
        <f t="array" aca="1" ref="T200" ca="1">T199</f>
        <v>1</v>
      </c>
      <c r="U200" s="411"/>
      <c r="V200" s="411"/>
      <c r="W200" s="411"/>
      <c r="X200" s="2066"/>
      <c r="Y200" s="411"/>
      <c r="Z200" s="2067"/>
      <c r="AA200" s="411"/>
      <c r="AB200" s="1177" t="s">
        <v>1510</v>
      </c>
      <c r="AC200" s="1178" t="s">
        <v>2081</v>
      </c>
      <c r="AD200" s="1179" t="s">
        <v>831</v>
      </c>
      <c r="AE200" s="481"/>
      <c r="AF200" s="1016"/>
      <c r="AG200" s="1016"/>
      <c r="AH200" s="967" t="s">
        <v>2395</v>
      </c>
      <c r="AI200" s="967"/>
      <c r="AJ200" s="967"/>
      <c r="AK200" s="876"/>
      <c r="AL200" s="876"/>
    </row>
    <row r="201" spans="1:38" s="1334" customFormat="1" ht="14.25" customHeight="1" x14ac:dyDescent="0.15">
      <c r="A201" s="591"/>
      <c r="B201" s="1128"/>
      <c r="C201" s="1128"/>
      <c r="D201" s="1128"/>
      <c r="E201" s="573">
        <v>15</v>
      </c>
      <c r="F201" s="3" t="str" cm="1">
        <f t="array" aca="1" ref="F201" ca="1">OFFSET(E201,-1,1)</f>
        <v>1</v>
      </c>
      <c r="G201" s="1128"/>
      <c r="H201" s="411" t="s">
        <v>2396</v>
      </c>
      <c r="I201" s="1128"/>
      <c r="J201" s="1128"/>
      <c r="K201" s="1128"/>
      <c r="L201" s="1128"/>
      <c r="M201" s="1128"/>
      <c r="N201" s="1128"/>
      <c r="O201" s="1128"/>
      <c r="P201" s="1128"/>
      <c r="Q201" s="1128"/>
      <c r="R201" s="1128"/>
      <c r="S201" s="1128"/>
      <c r="T201" s="388" t="b" cm="1">
        <f t="array" aca="1" ref="T201" ca="1">T199</f>
        <v>1</v>
      </c>
      <c r="U201" s="1128"/>
      <c r="V201" s="1128"/>
      <c r="W201" s="1128"/>
      <c r="X201" s="2066"/>
      <c r="Y201" s="1128"/>
      <c r="Z201" s="2067"/>
      <c r="AA201" s="1128"/>
      <c r="AB201" s="636" t="s">
        <v>2397</v>
      </c>
      <c r="AC201" s="470" t="s">
        <v>2398</v>
      </c>
      <c r="AD201" s="471" t="s">
        <v>831</v>
      </c>
      <c r="AE201" s="480">
        <f>SUM(AE202:AE203)</f>
        <v>0</v>
      </c>
      <c r="AF201" s="1194"/>
      <c r="AG201" s="1194"/>
      <c r="AH201" s="910" t="s">
        <v>2399</v>
      </c>
      <c r="AI201" s="1195"/>
      <c r="AJ201" s="1195"/>
      <c r="AK201" s="1196"/>
      <c r="AL201" s="1196"/>
    </row>
    <row r="202" spans="1:38" s="1334" customFormat="1" ht="14.25" hidden="1" customHeight="1" x14ac:dyDescent="0.15">
      <c r="A202" s="591"/>
      <c r="B202" s="1128"/>
      <c r="C202" s="1128"/>
      <c r="D202" s="1128"/>
      <c r="E202" s="573">
        <v>15</v>
      </c>
      <c r="F202" s="3" t="str" cm="1">
        <f t="array" aca="1" ref="F202" ca="1">OFFSET(E202,-1,1)</f>
        <v>1</v>
      </c>
      <c r="G202" s="1128"/>
      <c r="H202" s="411" t="s">
        <v>2396</v>
      </c>
      <c r="I202" s="486" cm="1">
        <f t="array" ref="I202">AC202</f>
        <v>0</v>
      </c>
      <c r="J202" s="1128"/>
      <c r="K202" s="1128"/>
      <c r="L202" s="1128"/>
      <c r="M202" s="1128"/>
      <c r="N202" s="1128"/>
      <c r="O202" s="1128"/>
      <c r="P202" s="1128"/>
      <c r="Q202" s="1128"/>
      <c r="R202" s="1128"/>
      <c r="S202" s="1128"/>
      <c r="T202" s="388" t="b">
        <f ca="1">AND(F202&gt;0,Y202&gt;0)</f>
        <v>0</v>
      </c>
      <c r="U202" s="1128"/>
      <c r="V202" s="1128"/>
      <c r="W202" s="478" t="s">
        <v>172</v>
      </c>
      <c r="X202" s="2066"/>
      <c r="Y202" s="411">
        <v>0</v>
      </c>
      <c r="Z202" s="2067"/>
      <c r="AA202" s="586" t="s">
        <v>173</v>
      </c>
      <c r="AB202" s="636" t="str">
        <f>"2.12."&amp;Y202</f>
        <v>2.12.0</v>
      </c>
      <c r="AC202" s="1931"/>
      <c r="AD202" s="471" t="s">
        <v>831</v>
      </c>
      <c r="AE202" s="1932"/>
      <c r="AF202" s="1194"/>
      <c r="AG202" s="1194"/>
      <c r="AH202" s="910" t="s">
        <v>2399</v>
      </c>
      <c r="AI202" s="910" t="s">
        <v>2400</v>
      </c>
      <c r="AJ202" s="915" cm="1">
        <f t="array" ref="AJ202">AC202</f>
        <v>0</v>
      </c>
      <c r="AK202" s="1196"/>
      <c r="AL202" s="580" t="b">
        <v>1</v>
      </c>
    </row>
    <row r="203" spans="1:38" s="1334" customFormat="1" ht="14.25" customHeight="1" x14ac:dyDescent="0.15">
      <c r="A203" s="591"/>
      <c r="B203" s="1128"/>
      <c r="C203" s="1128"/>
      <c r="D203" s="1128"/>
      <c r="E203" s="573">
        <v>15</v>
      </c>
      <c r="F203" s="3" t="str" cm="1">
        <f t="array" aca="1" ref="F203" ca="1">OFFSET(E203,-1,1)</f>
        <v>1</v>
      </c>
      <c r="G203" s="1128"/>
      <c r="H203" s="1128"/>
      <c r="I203" s="77" t="str">
        <f>"!== 'не определено' &amp;&amp; row.l2_13 !== null"</f>
        <v>!== 'не определено' &amp;&amp; row.l2_13 !== null</v>
      </c>
      <c r="J203" s="1128"/>
      <c r="K203" s="1128"/>
      <c r="L203" s="1128"/>
      <c r="M203" s="1128"/>
      <c r="N203" s="1128"/>
      <c r="O203" s="1128"/>
      <c r="P203" s="1128"/>
      <c r="Q203" s="1128"/>
      <c r="R203" s="1128"/>
      <c r="S203" s="1128"/>
      <c r="T203" s="388" t="b">
        <f ca="1">F203&gt;0</f>
        <v>1</v>
      </c>
      <c r="U203" s="1128"/>
      <c r="V203" s="1128"/>
      <c r="W203" s="748" t="s">
        <v>894</v>
      </c>
      <c r="X203" s="2066"/>
      <c r="Y203" s="1128"/>
      <c r="Z203" s="2067"/>
      <c r="AA203" s="1128"/>
      <c r="AB203" s="1185"/>
      <c r="AC203" s="1244" t="s">
        <v>176</v>
      </c>
      <c r="AD203" s="1187"/>
      <c r="AE203" s="1243"/>
      <c r="AF203" s="1194"/>
      <c r="AG203" s="1194"/>
      <c r="AH203" s="1195"/>
      <c r="AI203" s="1195"/>
      <c r="AJ203" s="1195"/>
      <c r="AK203" s="580" t="s">
        <v>2400</v>
      </c>
      <c r="AL203" s="1196"/>
    </row>
    <row r="204" spans="1:38" s="1334" customFormat="1" ht="14.25" customHeight="1" x14ac:dyDescent="0.15">
      <c r="A204" s="591"/>
      <c r="B204" s="1128"/>
      <c r="C204" s="1128"/>
      <c r="D204" s="1128"/>
      <c r="E204" s="573">
        <v>15</v>
      </c>
      <c r="F204" s="3" t="str" cm="1">
        <f t="array" aca="1" ref="F204" ca="1">OFFSET(E204,-1,1)</f>
        <v>1</v>
      </c>
      <c r="G204" s="411" t="s">
        <v>49</v>
      </c>
      <c r="H204" s="411" t="s">
        <v>333</v>
      </c>
      <c r="I204" s="1128"/>
      <c r="J204" s="1128"/>
      <c r="K204" s="1128"/>
      <c r="L204" s="1128"/>
      <c r="M204" s="1128"/>
      <c r="N204" s="1128"/>
      <c r="O204" s="1128"/>
      <c r="P204" s="1128"/>
      <c r="Q204" s="1128"/>
      <c r="R204" s="1128"/>
      <c r="S204" s="1128"/>
      <c r="T204" s="388" t="b" cm="1">
        <f t="array" aca="1" ref="T204" ca="1">T203</f>
        <v>1</v>
      </c>
      <c r="U204" s="1128"/>
      <c r="V204" s="1128"/>
      <c r="W204" s="1128"/>
      <c r="X204" s="2066"/>
      <c r="Y204" s="1128"/>
      <c r="Z204" s="2067"/>
      <c r="AA204" s="1128"/>
      <c r="AB204" s="635" t="s">
        <v>329</v>
      </c>
      <c r="AC204" s="468" t="s">
        <v>2084</v>
      </c>
      <c r="AD204" s="469" t="s">
        <v>831</v>
      </c>
      <c r="AE204" s="1245"/>
      <c r="AF204" s="1194"/>
      <c r="AG204" s="1194"/>
      <c r="AH204" s="910" t="s">
        <v>1692</v>
      </c>
      <c r="AI204" s="1195"/>
      <c r="AJ204" s="1195"/>
      <c r="AK204" s="1196"/>
      <c r="AL204" s="1196"/>
    </row>
    <row r="205" spans="1:38" s="1334" customFormat="1" ht="14.25" customHeight="1" x14ac:dyDescent="0.15">
      <c r="A205" s="591"/>
      <c r="B205" s="1128"/>
      <c r="C205" s="1128"/>
      <c r="D205" s="1128"/>
      <c r="E205" s="573">
        <v>15</v>
      </c>
      <c r="F205" s="755" t="str" cm="1">
        <f t="array" ref="F205">X205</f>
        <v>2</v>
      </c>
      <c r="G205" s="411" t="s">
        <v>824</v>
      </c>
      <c r="H205" s="1128"/>
      <c r="I205" s="1128"/>
      <c r="J205" s="1128"/>
      <c r="K205" s="1128"/>
      <c r="L205" s="1128"/>
      <c r="M205" s="1128"/>
      <c r="N205" s="1128"/>
      <c r="O205" s="1128"/>
      <c r="P205" s="1128"/>
      <c r="Q205" s="1128"/>
      <c r="R205" s="1128"/>
      <c r="S205" s="1128"/>
      <c r="T205" s="388" t="b">
        <f>X205&gt;0</f>
        <v>1</v>
      </c>
      <c r="U205" s="1128"/>
      <c r="V205" s="411" t="str" cm="1">
        <f t="array" ref="V205">'ДПР (концессии)'!$AB$185</f>
        <v>Тариф 2 (Водоотведение) - тариф на водоотведение</v>
      </c>
      <c r="W205" s="1128"/>
      <c r="X205" s="2066" t="s">
        <v>289</v>
      </c>
      <c r="Y205" s="1128"/>
      <c r="Z205" s="2067"/>
      <c r="AA205" s="1128"/>
      <c r="AB205" s="141" t="str" cm="1">
        <f t="array" ref="AB205">'ДПР (концессии)'!$AB$185</f>
        <v>Тариф 2 (Водоотведение) - тариф на водоотведение</v>
      </c>
      <c r="AC205" s="99"/>
      <c r="AD205" s="93"/>
      <c r="AE205" s="1173">
        <f>AE206+AE256+AE293</f>
        <v>0</v>
      </c>
      <c r="AF205" s="1194"/>
      <c r="AG205" s="1194"/>
      <c r="AH205" s="1195"/>
      <c r="AI205" s="1195"/>
      <c r="AJ205" s="1195"/>
      <c r="AK205" s="1196"/>
      <c r="AL205" s="1196"/>
    </row>
    <row r="206" spans="1:38" s="1334" customFormat="1" ht="14.25" customHeight="1" x14ac:dyDescent="0.15">
      <c r="A206" s="591"/>
      <c r="B206" s="1128"/>
      <c r="C206" s="1128"/>
      <c r="D206" s="1128"/>
      <c r="E206" s="573">
        <v>15</v>
      </c>
      <c r="F206" s="3" t="str" cm="1">
        <f t="array" aca="1" ref="F206" ca="1">OFFSET(E206,-1,1)</f>
        <v>2</v>
      </c>
      <c r="G206" s="1128"/>
      <c r="H206" s="411" t="s">
        <v>331</v>
      </c>
      <c r="I206" s="1128"/>
      <c r="J206" s="1128"/>
      <c r="K206" s="1128"/>
      <c r="L206" s="1128"/>
      <c r="M206" s="1128"/>
      <c r="N206" s="1128"/>
      <c r="O206" s="1128"/>
      <c r="P206" s="1128"/>
      <c r="Q206" s="1128"/>
      <c r="R206" s="1128"/>
      <c r="S206" s="1128"/>
      <c r="T206" s="388" t="b" cm="1">
        <f t="array" ref="T206">T205</f>
        <v>1</v>
      </c>
      <c r="U206" s="1128"/>
      <c r="V206" s="1128"/>
      <c r="W206" s="1128"/>
      <c r="X206" s="2066"/>
      <c r="Y206" s="1128"/>
      <c r="Z206" s="2067"/>
      <c r="AA206" s="1128"/>
      <c r="AB206" s="1174" t="s">
        <v>282</v>
      </c>
      <c r="AC206" s="1175" t="s">
        <v>1890</v>
      </c>
      <c r="AD206" s="1176" t="s">
        <v>831</v>
      </c>
      <c r="AE206" s="1241">
        <f>AE207+AE225+AE233+AE253</f>
        <v>0</v>
      </c>
      <c r="AF206" s="1194"/>
      <c r="AG206" s="1194"/>
      <c r="AH206" s="910" t="s">
        <v>555</v>
      </c>
      <c r="AI206" s="1195"/>
      <c r="AJ206" s="1195"/>
      <c r="AK206" s="1196"/>
      <c r="AL206" s="1196"/>
    </row>
    <row r="207" spans="1:38" s="1334" customFormat="1" ht="14.25" customHeight="1" x14ac:dyDescent="0.15">
      <c r="A207" s="591"/>
      <c r="B207" s="1128"/>
      <c r="C207" s="1128"/>
      <c r="D207" s="1128"/>
      <c r="E207" s="573">
        <v>15</v>
      </c>
      <c r="F207" s="3" t="str" cm="1">
        <f t="array" aca="1" ref="F207" ca="1">OFFSET(E207,-1,1)</f>
        <v>2</v>
      </c>
      <c r="G207" s="1128"/>
      <c r="H207" s="411" t="s">
        <v>494</v>
      </c>
      <c r="I207" s="1128"/>
      <c r="J207" s="1128"/>
      <c r="K207" s="1128"/>
      <c r="L207" s="1128"/>
      <c r="M207" s="1128"/>
      <c r="N207" s="1128"/>
      <c r="O207" s="1128"/>
      <c r="P207" s="1128"/>
      <c r="Q207" s="1128"/>
      <c r="R207" s="1128"/>
      <c r="S207" s="1128"/>
      <c r="T207" s="388" t="b" cm="1">
        <f t="array" ref="T207">T206</f>
        <v>1</v>
      </c>
      <c r="U207" s="1128"/>
      <c r="V207" s="1128"/>
      <c r="W207" s="1128"/>
      <c r="X207" s="2066"/>
      <c r="Y207" s="1128"/>
      <c r="Z207" s="2067"/>
      <c r="AA207" s="1128"/>
      <c r="AB207" s="1177" t="s">
        <v>910</v>
      </c>
      <c r="AC207" s="1178" t="s">
        <v>1680</v>
      </c>
      <c r="AD207" s="1179" t="s">
        <v>831</v>
      </c>
      <c r="AE207" s="480">
        <f>AE208+AE209+AE210+AE215+AE216+AE217</f>
        <v>0</v>
      </c>
      <c r="AF207" s="1194"/>
      <c r="AG207" s="1194"/>
      <c r="AH207" s="910" t="s">
        <v>1106</v>
      </c>
      <c r="AI207" s="1195"/>
      <c r="AJ207" s="1195"/>
      <c r="AK207" s="1196"/>
      <c r="AL207" s="1196"/>
    </row>
    <row r="208" spans="1:38" s="1334" customFormat="1" ht="14.25" customHeight="1" x14ac:dyDescent="0.15">
      <c r="A208" s="591"/>
      <c r="B208" s="1128"/>
      <c r="C208" s="1128"/>
      <c r="D208" s="1128"/>
      <c r="E208" s="573">
        <v>15</v>
      </c>
      <c r="F208" s="3" t="str" cm="1">
        <f t="array" aca="1" ref="F208" ca="1">OFFSET(E208,-1,1)</f>
        <v>2</v>
      </c>
      <c r="G208" s="1128"/>
      <c r="H208" s="411" t="s">
        <v>1016</v>
      </c>
      <c r="I208" s="1128"/>
      <c r="J208" s="1128"/>
      <c r="K208" s="1128"/>
      <c r="L208" s="1128"/>
      <c r="M208" s="1128"/>
      <c r="N208" s="1128"/>
      <c r="O208" s="1128"/>
      <c r="P208" s="1128"/>
      <c r="Q208" s="1128"/>
      <c r="R208" s="1128"/>
      <c r="S208" s="1128"/>
      <c r="T208" s="388" t="b" cm="1">
        <f t="array" ref="T208">T207</f>
        <v>1</v>
      </c>
      <c r="U208" s="1128"/>
      <c r="V208" s="1128"/>
      <c r="W208" s="1128"/>
      <c r="X208" s="2066"/>
      <c r="Y208" s="1128"/>
      <c r="Z208" s="2067"/>
      <c r="AA208" s="1128"/>
      <c r="AB208" s="636" t="s">
        <v>1017</v>
      </c>
      <c r="AC208" s="1180" t="s">
        <v>2267</v>
      </c>
      <c r="AD208" s="471" t="s">
        <v>831</v>
      </c>
      <c r="AE208" s="1242"/>
      <c r="AF208" s="1194"/>
      <c r="AG208" s="1194"/>
      <c r="AH208" s="910" t="s">
        <v>1214</v>
      </c>
      <c r="AI208" s="1195"/>
      <c r="AJ208" s="1195"/>
      <c r="AK208" s="1196"/>
      <c r="AL208" s="1196"/>
    </row>
    <row r="209" spans="1:38" s="1334" customFormat="1" ht="21.75" customHeight="1" x14ac:dyDescent="0.15">
      <c r="A209" s="591"/>
      <c r="B209" s="1128"/>
      <c r="C209" s="1128"/>
      <c r="D209" s="1128"/>
      <c r="E209" s="573">
        <v>22.5</v>
      </c>
      <c r="F209" s="3" t="str" cm="1">
        <f t="array" aca="1" ref="F209" ca="1">OFFSET(E209,-1,1)</f>
        <v>2</v>
      </c>
      <c r="G209" s="1128"/>
      <c r="H209" s="411" t="s">
        <v>1020</v>
      </c>
      <c r="I209" s="1128"/>
      <c r="J209" s="1128"/>
      <c r="K209" s="1128"/>
      <c r="L209" s="1128"/>
      <c r="M209" s="1128"/>
      <c r="N209" s="1128"/>
      <c r="O209" s="1128"/>
      <c r="P209" s="1128"/>
      <c r="Q209" s="1128"/>
      <c r="R209" s="1128"/>
      <c r="S209" s="1128"/>
      <c r="T209" s="388" t="b" cm="1">
        <f t="array" ref="T209">T208</f>
        <v>1</v>
      </c>
      <c r="U209" s="1128"/>
      <c r="V209" s="1128"/>
      <c r="W209" s="1128"/>
      <c r="X209" s="2066"/>
      <c r="Y209" s="1128"/>
      <c r="Z209" s="2067"/>
      <c r="AA209" s="1128"/>
      <c r="AB209" s="636" t="s">
        <v>1021</v>
      </c>
      <c r="AC209" s="472" t="s">
        <v>1898</v>
      </c>
      <c r="AD209" s="471" t="s">
        <v>831</v>
      </c>
      <c r="AE209" s="1242"/>
      <c r="AF209" s="1194"/>
      <c r="AG209" s="1194"/>
      <c r="AH209" s="910" t="s">
        <v>1713</v>
      </c>
      <c r="AI209" s="1195"/>
      <c r="AJ209" s="1195"/>
      <c r="AK209" s="1196"/>
      <c r="AL209" s="1196"/>
    </row>
    <row r="210" spans="1:38" s="1334" customFormat="1" ht="32.25" customHeight="1" x14ac:dyDescent="0.15">
      <c r="A210" s="591"/>
      <c r="B210" s="1128"/>
      <c r="C210" s="1128"/>
      <c r="D210" s="1128"/>
      <c r="E210" s="573">
        <v>33.75</v>
      </c>
      <c r="F210" s="3" t="str" cm="1">
        <f t="array" aca="1" ref="F210" ca="1">OFFSET(E210,-1,1)</f>
        <v>2</v>
      </c>
      <c r="G210" s="1128"/>
      <c r="H210" s="411" t="s">
        <v>1276</v>
      </c>
      <c r="I210" s="1128"/>
      <c r="J210" s="1128"/>
      <c r="K210" s="1128"/>
      <c r="L210" s="1128"/>
      <c r="M210" s="1128"/>
      <c r="N210" s="1128"/>
      <c r="O210" s="1128"/>
      <c r="P210" s="1128"/>
      <c r="Q210" s="1128"/>
      <c r="R210" s="1128"/>
      <c r="S210" s="1128"/>
      <c r="T210" s="388" t="b" cm="1">
        <f t="array" ref="T210">T209</f>
        <v>1</v>
      </c>
      <c r="U210" s="1128"/>
      <c r="V210" s="1128"/>
      <c r="W210" s="1128"/>
      <c r="X210" s="2066"/>
      <c r="Y210" s="1128"/>
      <c r="Z210" s="2067"/>
      <c r="AA210" s="1128"/>
      <c r="AB210" s="636" t="s">
        <v>1277</v>
      </c>
      <c r="AC210" s="472" t="s">
        <v>2268</v>
      </c>
      <c r="AD210" s="471" t="s">
        <v>831</v>
      </c>
      <c r="AE210" s="480">
        <f>AE211+AE214</f>
        <v>0</v>
      </c>
      <c r="AF210" s="1194"/>
      <c r="AG210" s="1194"/>
      <c r="AH210" s="910" t="s">
        <v>1715</v>
      </c>
      <c r="AI210" s="1195"/>
      <c r="AJ210" s="1195"/>
      <c r="AK210" s="1196"/>
      <c r="AL210" s="1196"/>
    </row>
    <row r="211" spans="1:38" s="1334" customFormat="1" ht="21.75" customHeight="1" x14ac:dyDescent="0.15">
      <c r="A211" s="591"/>
      <c r="B211" s="1128"/>
      <c r="C211" s="1128"/>
      <c r="D211" s="1128"/>
      <c r="E211" s="573">
        <v>22.5</v>
      </c>
      <c r="F211" s="3" t="str" cm="1">
        <f t="array" aca="1" ref="F211" ca="1">OFFSET(E211,-1,1)</f>
        <v>2</v>
      </c>
      <c r="G211" s="1128"/>
      <c r="H211" s="411" t="s">
        <v>2269</v>
      </c>
      <c r="I211" s="1128"/>
      <c r="J211" s="1128"/>
      <c r="K211" s="1128"/>
      <c r="L211" s="1128"/>
      <c r="M211" s="1128"/>
      <c r="N211" s="1128"/>
      <c r="O211" s="1128"/>
      <c r="P211" s="1128"/>
      <c r="Q211" s="1128"/>
      <c r="R211" s="1128"/>
      <c r="S211" s="1128"/>
      <c r="T211" s="388" t="b" cm="1">
        <f t="array" ref="T211">T210</f>
        <v>1</v>
      </c>
      <c r="U211" s="1128"/>
      <c r="V211" s="1128"/>
      <c r="W211" s="1128"/>
      <c r="X211" s="2066"/>
      <c r="Y211" s="1128"/>
      <c r="Z211" s="2067"/>
      <c r="AA211" s="1128"/>
      <c r="AB211" s="636" t="s">
        <v>2270</v>
      </c>
      <c r="AC211" s="1181" t="s">
        <v>2271</v>
      </c>
      <c r="AD211" s="471" t="s">
        <v>831</v>
      </c>
      <c r="AE211" s="1242"/>
      <c r="AF211" s="1194"/>
      <c r="AG211" s="1194"/>
      <c r="AH211" s="910" t="s">
        <v>1717</v>
      </c>
      <c r="AI211" s="1195"/>
      <c r="AJ211" s="1195"/>
      <c r="AK211" s="1196"/>
      <c r="AL211" s="1196"/>
    </row>
    <row r="212" spans="1:38" s="1334" customFormat="1" ht="21.75" customHeight="1" x14ac:dyDescent="0.15">
      <c r="A212" s="591"/>
      <c r="B212" s="1128"/>
      <c r="C212" s="1128"/>
      <c r="D212" s="1128"/>
      <c r="E212" s="573">
        <v>22.5</v>
      </c>
      <c r="F212" s="3" t="str" cm="1">
        <f t="array" aca="1" ref="F212" ca="1">OFFSET(E212,-1,1)</f>
        <v>2</v>
      </c>
      <c r="G212" s="1128"/>
      <c r="H212" s="411" t="s">
        <v>2272</v>
      </c>
      <c r="I212" s="1128"/>
      <c r="J212" s="1128"/>
      <c r="K212" s="1128"/>
      <c r="L212" s="1128"/>
      <c r="M212" s="1128"/>
      <c r="N212" s="1128"/>
      <c r="O212" s="1128"/>
      <c r="P212" s="1128"/>
      <c r="Q212" s="1128"/>
      <c r="R212" s="1128"/>
      <c r="S212" s="1128"/>
      <c r="T212" s="388" t="b" cm="1">
        <f t="array" ref="T212">T211</f>
        <v>1</v>
      </c>
      <c r="U212" s="1128"/>
      <c r="V212" s="1128"/>
      <c r="W212" s="1128"/>
      <c r="X212" s="2066"/>
      <c r="Y212" s="1128"/>
      <c r="Z212" s="2067"/>
      <c r="AA212" s="1128"/>
      <c r="AB212" s="636" t="s">
        <v>2273</v>
      </c>
      <c r="AC212" s="1182" t="s">
        <v>2274</v>
      </c>
      <c r="AD212" s="471" t="s">
        <v>2275</v>
      </c>
      <c r="AE212" s="1242"/>
      <c r="AF212" s="1194"/>
      <c r="AG212" s="1194"/>
      <c r="AH212" s="910" t="s">
        <v>2276</v>
      </c>
      <c r="AI212" s="1195"/>
      <c r="AJ212" s="1195"/>
      <c r="AK212" s="1196"/>
      <c r="AL212" s="1196"/>
    </row>
    <row r="213" spans="1:38" s="1334" customFormat="1" ht="21.75" customHeight="1" x14ac:dyDescent="0.15">
      <c r="A213" s="591"/>
      <c r="B213" s="1128"/>
      <c r="C213" s="1128"/>
      <c r="D213" s="1128"/>
      <c r="E213" s="573">
        <v>22.5</v>
      </c>
      <c r="F213" s="3" t="str" cm="1">
        <f t="array" aca="1" ref="F213" ca="1">OFFSET(E213,-1,1)</f>
        <v>2</v>
      </c>
      <c r="G213" s="1128"/>
      <c r="H213" s="411" t="s">
        <v>2277</v>
      </c>
      <c r="I213" s="1128"/>
      <c r="J213" s="1128"/>
      <c r="K213" s="1128"/>
      <c r="L213" s="1128"/>
      <c r="M213" s="1128"/>
      <c r="N213" s="1128"/>
      <c r="O213" s="1128"/>
      <c r="P213" s="1128"/>
      <c r="Q213" s="1128"/>
      <c r="R213" s="1128"/>
      <c r="S213" s="1128"/>
      <c r="T213" s="388" t="b" cm="1">
        <f t="array" ref="T213">T212</f>
        <v>1</v>
      </c>
      <c r="U213" s="1128"/>
      <c r="V213" s="1128"/>
      <c r="W213" s="1128"/>
      <c r="X213" s="2066"/>
      <c r="Y213" s="1128"/>
      <c r="Z213" s="2067"/>
      <c r="AA213" s="1128"/>
      <c r="AB213" s="636" t="s">
        <v>2278</v>
      </c>
      <c r="AC213" s="474" t="s">
        <v>2279</v>
      </c>
      <c r="AD213" s="471" t="s">
        <v>2280</v>
      </c>
      <c r="AE213" s="1242"/>
      <c r="AF213" s="1194"/>
      <c r="AG213" s="1194"/>
      <c r="AH213" s="910" t="s">
        <v>2281</v>
      </c>
      <c r="AI213" s="1195"/>
      <c r="AJ213" s="1195"/>
      <c r="AK213" s="1196"/>
      <c r="AL213" s="1196"/>
    </row>
    <row r="214" spans="1:38" s="1334" customFormat="1" ht="21.75" customHeight="1" x14ac:dyDescent="0.15">
      <c r="A214" s="591"/>
      <c r="B214" s="1128"/>
      <c r="C214" s="1128"/>
      <c r="D214" s="1128"/>
      <c r="E214" s="573">
        <v>22.5</v>
      </c>
      <c r="F214" s="3" t="str" cm="1">
        <f t="array" aca="1" ref="F214" ca="1">OFFSET(E214,-1,1)</f>
        <v>2</v>
      </c>
      <c r="G214" s="1128"/>
      <c r="H214" s="411" t="s">
        <v>2282</v>
      </c>
      <c r="I214" s="1128"/>
      <c r="J214" s="1128"/>
      <c r="K214" s="1128"/>
      <c r="L214" s="1128"/>
      <c r="M214" s="1128"/>
      <c r="N214" s="1128"/>
      <c r="O214" s="1128"/>
      <c r="P214" s="1128"/>
      <c r="Q214" s="1128"/>
      <c r="R214" s="1128"/>
      <c r="S214" s="1128"/>
      <c r="T214" s="388" t="b" cm="1">
        <f t="array" ref="T214">T213</f>
        <v>1</v>
      </c>
      <c r="U214" s="1128"/>
      <c r="V214" s="1128"/>
      <c r="W214" s="1128"/>
      <c r="X214" s="2066"/>
      <c r="Y214" s="1128"/>
      <c r="Z214" s="2067"/>
      <c r="AA214" s="1128"/>
      <c r="AB214" s="636" t="s">
        <v>2283</v>
      </c>
      <c r="AC214" s="473" t="s">
        <v>2284</v>
      </c>
      <c r="AD214" s="471" t="s">
        <v>831</v>
      </c>
      <c r="AE214" s="1242"/>
      <c r="AF214" s="1194"/>
      <c r="AG214" s="1194"/>
      <c r="AH214" s="910" t="s">
        <v>1719</v>
      </c>
      <c r="AI214" s="1195"/>
      <c r="AJ214" s="1195"/>
      <c r="AK214" s="1196"/>
      <c r="AL214" s="1196"/>
    </row>
    <row r="215" spans="1:38" s="1334" customFormat="1" ht="14.25" customHeight="1" x14ac:dyDescent="0.15">
      <c r="A215" s="591"/>
      <c r="B215" s="1128"/>
      <c r="C215" s="1128"/>
      <c r="D215" s="1128"/>
      <c r="E215" s="573">
        <v>15</v>
      </c>
      <c r="F215" s="3" t="str" cm="1">
        <f t="array" aca="1" ref="F215" ca="1">OFFSET(E215,-1,1)</f>
        <v>2</v>
      </c>
      <c r="G215" s="1128"/>
      <c r="H215" s="411" t="s">
        <v>1280</v>
      </c>
      <c r="I215" s="1128"/>
      <c r="J215" s="1128"/>
      <c r="K215" s="1128"/>
      <c r="L215" s="1128"/>
      <c r="M215" s="1128"/>
      <c r="N215" s="1128"/>
      <c r="O215" s="1128"/>
      <c r="P215" s="1128"/>
      <c r="Q215" s="1128"/>
      <c r="R215" s="1128"/>
      <c r="S215" s="1128"/>
      <c r="T215" s="388" t="b" cm="1">
        <f t="array" ref="T215">T214</f>
        <v>1</v>
      </c>
      <c r="U215" s="1128"/>
      <c r="V215" s="1128"/>
      <c r="W215" s="1128"/>
      <c r="X215" s="2066"/>
      <c r="Y215" s="1128"/>
      <c r="Z215" s="2067"/>
      <c r="AA215" s="1128"/>
      <c r="AB215" s="636" t="s">
        <v>1281</v>
      </c>
      <c r="AC215" s="472" t="s">
        <v>2285</v>
      </c>
      <c r="AD215" s="471" t="s">
        <v>831</v>
      </c>
      <c r="AE215" s="1242"/>
      <c r="AF215" s="1194"/>
      <c r="AG215" s="1194"/>
      <c r="AH215" s="910" t="s">
        <v>2079</v>
      </c>
      <c r="AI215" s="1195"/>
      <c r="AJ215" s="1195"/>
      <c r="AK215" s="1196"/>
      <c r="AL215" s="1196"/>
    </row>
    <row r="216" spans="1:38" s="1334" customFormat="1" ht="14.25" customHeight="1" x14ac:dyDescent="0.15">
      <c r="A216" s="591"/>
      <c r="B216" s="1128"/>
      <c r="C216" s="1128"/>
      <c r="D216" s="1128"/>
      <c r="E216" s="573">
        <v>15</v>
      </c>
      <c r="F216" s="3" t="str" cm="1">
        <f t="array" aca="1" ref="F216" ca="1">OFFSET(E216,-1,1)</f>
        <v>2</v>
      </c>
      <c r="G216" s="1128"/>
      <c r="H216" s="411" t="s">
        <v>2286</v>
      </c>
      <c r="I216" s="1128"/>
      <c r="J216" s="1128"/>
      <c r="K216" s="1128"/>
      <c r="L216" s="1128"/>
      <c r="M216" s="1128"/>
      <c r="N216" s="1128"/>
      <c r="O216" s="1128"/>
      <c r="P216" s="1128"/>
      <c r="Q216" s="1128"/>
      <c r="R216" s="1128"/>
      <c r="S216" s="1128"/>
      <c r="T216" s="388" t="b" cm="1">
        <f t="array" ref="T216">T215</f>
        <v>1</v>
      </c>
      <c r="U216" s="1128"/>
      <c r="V216" s="1128"/>
      <c r="W216" s="1128"/>
      <c r="X216" s="2066"/>
      <c r="Y216" s="1128"/>
      <c r="Z216" s="2067"/>
      <c r="AA216" s="1128"/>
      <c r="AB216" s="636" t="s">
        <v>1284</v>
      </c>
      <c r="AC216" s="472" t="s">
        <v>1904</v>
      </c>
      <c r="AD216" s="471" t="s">
        <v>831</v>
      </c>
      <c r="AE216" s="1242"/>
      <c r="AF216" s="1194"/>
      <c r="AG216" s="1194"/>
      <c r="AH216" s="910" t="s">
        <v>1724</v>
      </c>
      <c r="AI216" s="1195"/>
      <c r="AJ216" s="1195"/>
      <c r="AK216" s="1196"/>
      <c r="AL216" s="1196"/>
    </row>
    <row r="217" spans="1:38" s="1334" customFormat="1" ht="14.25" customHeight="1" x14ac:dyDescent="0.15">
      <c r="A217" s="591"/>
      <c r="B217" s="1128"/>
      <c r="C217" s="1128"/>
      <c r="D217" s="1128"/>
      <c r="E217" s="573">
        <v>15</v>
      </c>
      <c r="F217" s="3" t="str" cm="1">
        <f t="array" aca="1" ref="F217" ca="1">OFFSET(E217,-1,1)</f>
        <v>2</v>
      </c>
      <c r="G217" s="1128"/>
      <c r="H217" s="411" t="s">
        <v>2287</v>
      </c>
      <c r="I217" s="1128"/>
      <c r="J217" s="1128"/>
      <c r="K217" s="1128"/>
      <c r="L217" s="1128"/>
      <c r="M217" s="1128"/>
      <c r="N217" s="1128"/>
      <c r="O217" s="1128"/>
      <c r="P217" s="1128"/>
      <c r="Q217" s="1128"/>
      <c r="R217" s="1128"/>
      <c r="S217" s="1128"/>
      <c r="T217" s="388" t="b" cm="1">
        <f t="array" ref="T217">T216</f>
        <v>1</v>
      </c>
      <c r="U217" s="1128"/>
      <c r="V217" s="1128"/>
      <c r="W217" s="1128"/>
      <c r="X217" s="2066"/>
      <c r="Y217" s="1128"/>
      <c r="Z217" s="2067"/>
      <c r="AA217" s="1128"/>
      <c r="AB217" s="636" t="s">
        <v>2288</v>
      </c>
      <c r="AC217" s="472" t="s">
        <v>2289</v>
      </c>
      <c r="AD217" s="471" t="s">
        <v>831</v>
      </c>
      <c r="AE217" s="480">
        <f>SUM(AE218:AE224)</f>
        <v>0</v>
      </c>
      <c r="AF217" s="1194"/>
      <c r="AG217" s="1194"/>
      <c r="AH217" s="910" t="s">
        <v>1728</v>
      </c>
      <c r="AI217" s="1195"/>
      <c r="AJ217" s="1195"/>
      <c r="AK217" s="1196"/>
      <c r="AL217" s="1196"/>
    </row>
    <row r="218" spans="1:38" s="1334" customFormat="1" ht="14.25" customHeight="1" x14ac:dyDescent="0.15">
      <c r="A218" s="591"/>
      <c r="B218" s="1128"/>
      <c r="C218" s="1128"/>
      <c r="D218" s="1128"/>
      <c r="E218" s="573">
        <v>15</v>
      </c>
      <c r="F218" s="3" t="str" cm="1">
        <f t="array" aca="1" ref="F218" ca="1">OFFSET(E218,-1,1)</f>
        <v>2</v>
      </c>
      <c r="G218" s="1128"/>
      <c r="H218" s="411" t="s">
        <v>2290</v>
      </c>
      <c r="I218" s="1128"/>
      <c r="J218" s="1128"/>
      <c r="K218" s="1128"/>
      <c r="L218" s="1128"/>
      <c r="M218" s="1128"/>
      <c r="N218" s="1128"/>
      <c r="O218" s="1128"/>
      <c r="P218" s="1128"/>
      <c r="Q218" s="1128"/>
      <c r="R218" s="1128"/>
      <c r="S218" s="1128"/>
      <c r="T218" s="388" t="b" cm="1">
        <f t="array" ref="T218">T217</f>
        <v>1</v>
      </c>
      <c r="U218" s="1128"/>
      <c r="V218" s="1128"/>
      <c r="W218" s="1128"/>
      <c r="X218" s="2066"/>
      <c r="Y218" s="1128"/>
      <c r="Z218" s="2067"/>
      <c r="AA218" s="1128"/>
      <c r="AB218" s="636" t="s">
        <v>2291</v>
      </c>
      <c r="AC218" s="473" t="s">
        <v>1735</v>
      </c>
      <c r="AD218" s="471" t="s">
        <v>831</v>
      </c>
      <c r="AE218" s="1242"/>
      <c r="AF218" s="1194"/>
      <c r="AG218" s="1194"/>
      <c r="AH218" s="910" t="s">
        <v>2292</v>
      </c>
      <c r="AI218" s="1195"/>
      <c r="AJ218" s="1195"/>
      <c r="AK218" s="1196"/>
      <c r="AL218" s="1196"/>
    </row>
    <row r="219" spans="1:38" s="1334" customFormat="1" ht="21.75" customHeight="1" x14ac:dyDescent="0.15">
      <c r="A219" s="591"/>
      <c r="B219" s="1128"/>
      <c r="C219" s="1128"/>
      <c r="D219" s="1128"/>
      <c r="E219" s="573">
        <v>22.5</v>
      </c>
      <c r="F219" s="3" t="str" cm="1">
        <f t="array" aca="1" ref="F219" ca="1">OFFSET(E219,-1,1)</f>
        <v>2</v>
      </c>
      <c r="G219" s="1128"/>
      <c r="H219" s="411" t="s">
        <v>2293</v>
      </c>
      <c r="I219" s="1128"/>
      <c r="J219" s="1128"/>
      <c r="K219" s="1128"/>
      <c r="L219" s="1128"/>
      <c r="M219" s="1128"/>
      <c r="N219" s="1128"/>
      <c r="O219" s="1128"/>
      <c r="P219" s="1128"/>
      <c r="Q219" s="1128"/>
      <c r="R219" s="1128"/>
      <c r="S219" s="1128"/>
      <c r="T219" s="388" t="b" cm="1">
        <f t="array" ref="T219">T218</f>
        <v>1</v>
      </c>
      <c r="U219" s="1128"/>
      <c r="V219" s="1128"/>
      <c r="W219" s="1128"/>
      <c r="X219" s="2066"/>
      <c r="Y219" s="1128"/>
      <c r="Z219" s="2067"/>
      <c r="AA219" s="1128"/>
      <c r="AB219" s="636" t="s">
        <v>2294</v>
      </c>
      <c r="AC219" s="473" t="s">
        <v>1912</v>
      </c>
      <c r="AD219" s="471" t="s">
        <v>831</v>
      </c>
      <c r="AE219" s="1242"/>
      <c r="AF219" s="1194"/>
      <c r="AG219" s="1194"/>
      <c r="AH219" s="973" t="s">
        <v>1913</v>
      </c>
      <c r="AI219" s="1195"/>
      <c r="AJ219" s="1195"/>
      <c r="AK219" s="1196"/>
      <c r="AL219" s="1196"/>
    </row>
    <row r="220" spans="1:38" s="1334" customFormat="1" ht="21.75" customHeight="1" x14ac:dyDescent="0.15">
      <c r="A220" s="591"/>
      <c r="B220" s="1128"/>
      <c r="C220" s="1128"/>
      <c r="D220" s="1128"/>
      <c r="E220" s="573">
        <v>22.5</v>
      </c>
      <c r="F220" s="3" t="str" cm="1">
        <f t="array" aca="1" ref="F220" ca="1">OFFSET(E220,-1,1)</f>
        <v>2</v>
      </c>
      <c r="G220" s="1128"/>
      <c r="H220" s="411" t="s">
        <v>2295</v>
      </c>
      <c r="I220" s="1128"/>
      <c r="J220" s="1128"/>
      <c r="K220" s="1128"/>
      <c r="L220" s="1128"/>
      <c r="M220" s="1128"/>
      <c r="N220" s="1128"/>
      <c r="O220" s="1128"/>
      <c r="P220" s="1128"/>
      <c r="Q220" s="1128"/>
      <c r="R220" s="1128"/>
      <c r="S220" s="1128"/>
      <c r="T220" s="388" t="b" cm="1">
        <f t="array" ref="T220">T219</f>
        <v>1</v>
      </c>
      <c r="U220" s="1128"/>
      <c r="V220" s="1128"/>
      <c r="W220" s="1128"/>
      <c r="X220" s="2066"/>
      <c r="Y220" s="1128"/>
      <c r="Z220" s="2067"/>
      <c r="AA220" s="1128"/>
      <c r="AB220" s="636" t="s">
        <v>2296</v>
      </c>
      <c r="AC220" s="473" t="s">
        <v>1916</v>
      </c>
      <c r="AD220" s="471" t="s">
        <v>831</v>
      </c>
      <c r="AE220" s="1242"/>
      <c r="AF220" s="1194"/>
      <c r="AG220" s="1194"/>
      <c r="AH220" s="973" t="s">
        <v>1917</v>
      </c>
      <c r="AI220" s="1195"/>
      <c r="AJ220" s="1195"/>
      <c r="AK220" s="1196"/>
      <c r="AL220" s="1196"/>
    </row>
    <row r="221" spans="1:38" s="1334" customFormat="1" ht="21.75" customHeight="1" x14ac:dyDescent="0.15">
      <c r="A221" s="591"/>
      <c r="B221" s="1128"/>
      <c r="C221" s="1128"/>
      <c r="D221" s="1128"/>
      <c r="E221" s="573">
        <v>22.5</v>
      </c>
      <c r="F221" s="3" t="str" cm="1">
        <f t="array" aca="1" ref="F221" ca="1">OFFSET(E221,-1,1)</f>
        <v>2</v>
      </c>
      <c r="G221" s="1128"/>
      <c r="H221" s="411" t="s">
        <v>2297</v>
      </c>
      <c r="I221" s="1128"/>
      <c r="J221" s="1128"/>
      <c r="K221" s="1128"/>
      <c r="L221" s="1128"/>
      <c r="M221" s="1128"/>
      <c r="N221" s="1128"/>
      <c r="O221" s="1128"/>
      <c r="P221" s="1128"/>
      <c r="Q221" s="1128"/>
      <c r="R221" s="1128"/>
      <c r="S221" s="1128"/>
      <c r="T221" s="388" t="b" cm="1">
        <f t="array" ref="T221">T220</f>
        <v>1</v>
      </c>
      <c r="U221" s="1128"/>
      <c r="V221" s="1128"/>
      <c r="W221" s="1128"/>
      <c r="X221" s="2066"/>
      <c r="Y221" s="1128"/>
      <c r="Z221" s="2067"/>
      <c r="AA221" s="1128"/>
      <c r="AB221" s="636" t="s">
        <v>2298</v>
      </c>
      <c r="AC221" s="473" t="s">
        <v>2299</v>
      </c>
      <c r="AD221" s="471" t="s">
        <v>831</v>
      </c>
      <c r="AE221" s="1242"/>
      <c r="AF221" s="1194"/>
      <c r="AG221" s="1194"/>
      <c r="AH221" s="973" t="s">
        <v>1921</v>
      </c>
      <c r="AI221" s="1195"/>
      <c r="AJ221" s="1195"/>
      <c r="AK221" s="1196"/>
      <c r="AL221" s="1196"/>
    </row>
    <row r="222" spans="1:38" s="1334" customFormat="1" ht="54.75" customHeight="1" x14ac:dyDescent="0.15">
      <c r="A222" s="591"/>
      <c r="B222" s="1128"/>
      <c r="C222" s="1128"/>
      <c r="D222" s="1128"/>
      <c r="E222" s="573">
        <v>56.25</v>
      </c>
      <c r="F222" s="3" t="str" cm="1">
        <f t="array" aca="1" ref="F222" ca="1">OFFSET(E222,-1,1)</f>
        <v>2</v>
      </c>
      <c r="G222" s="1128"/>
      <c r="H222" s="411" t="s">
        <v>2300</v>
      </c>
      <c r="I222" s="1128"/>
      <c r="J222" s="1128"/>
      <c r="K222" s="1128"/>
      <c r="L222" s="1128"/>
      <c r="M222" s="1128"/>
      <c r="N222" s="1128"/>
      <c r="O222" s="1128"/>
      <c r="P222" s="1128"/>
      <c r="Q222" s="1128"/>
      <c r="R222" s="1128"/>
      <c r="S222" s="1128"/>
      <c r="T222" s="388" t="b" cm="1">
        <f t="array" ref="T222">T221</f>
        <v>1</v>
      </c>
      <c r="U222" s="1128"/>
      <c r="V222" s="1128"/>
      <c r="W222" s="1128"/>
      <c r="X222" s="2066"/>
      <c r="Y222" s="1128"/>
      <c r="Z222" s="2067"/>
      <c r="AA222" s="1128"/>
      <c r="AB222" s="636" t="s">
        <v>2301</v>
      </c>
      <c r="AC222" s="473" t="s">
        <v>1924</v>
      </c>
      <c r="AD222" s="471" t="s">
        <v>831</v>
      </c>
      <c r="AE222" s="1242"/>
      <c r="AF222" s="1194"/>
      <c r="AG222" s="1194"/>
      <c r="AH222" s="973" t="s">
        <v>1740</v>
      </c>
      <c r="AI222" s="1195"/>
      <c r="AJ222" s="1195"/>
      <c r="AK222" s="1196"/>
      <c r="AL222" s="1196"/>
    </row>
    <row r="223" spans="1:38" s="1334" customFormat="1" ht="14.25" customHeight="1" x14ac:dyDescent="0.15">
      <c r="A223" s="591"/>
      <c r="B223" s="1128"/>
      <c r="C223" s="1128"/>
      <c r="D223" s="1128"/>
      <c r="E223" s="573">
        <v>15</v>
      </c>
      <c r="F223" s="3" t="str" cm="1">
        <f t="array" aca="1" ref="F223" ca="1">OFFSET(E223,-1,1)</f>
        <v>2</v>
      </c>
      <c r="G223" s="1128"/>
      <c r="H223" s="411" t="s">
        <v>2302</v>
      </c>
      <c r="I223" s="1128"/>
      <c r="J223" s="1128"/>
      <c r="K223" s="1128"/>
      <c r="L223" s="1128"/>
      <c r="M223" s="1128"/>
      <c r="N223" s="1128"/>
      <c r="O223" s="1128"/>
      <c r="P223" s="1128"/>
      <c r="Q223" s="1128"/>
      <c r="R223" s="1128"/>
      <c r="S223" s="1128"/>
      <c r="T223" s="388" t="b" cm="1">
        <f t="array" ref="T223">T222</f>
        <v>1</v>
      </c>
      <c r="U223" s="1128"/>
      <c r="V223" s="1128"/>
      <c r="W223" s="1128"/>
      <c r="X223" s="2066"/>
      <c r="Y223" s="1128"/>
      <c r="Z223" s="2067"/>
      <c r="AA223" s="1128"/>
      <c r="AB223" s="636" t="s">
        <v>2303</v>
      </c>
      <c r="AC223" s="473" t="s">
        <v>1743</v>
      </c>
      <c r="AD223" s="471" t="s">
        <v>831</v>
      </c>
      <c r="AE223" s="1242"/>
      <c r="AF223" s="1194"/>
      <c r="AG223" s="1194"/>
      <c r="AH223" s="973" t="s">
        <v>1744</v>
      </c>
      <c r="AI223" s="1195"/>
      <c r="AJ223" s="1195"/>
      <c r="AK223" s="1196"/>
      <c r="AL223" s="1196"/>
    </row>
    <row r="224" spans="1:38" s="1334" customFormat="1" ht="14.25" customHeight="1" x14ac:dyDescent="0.15">
      <c r="A224" s="591"/>
      <c r="B224" s="1128"/>
      <c r="C224" s="1128"/>
      <c r="D224" s="1128"/>
      <c r="E224" s="573">
        <v>15</v>
      </c>
      <c r="F224" s="3" t="str" cm="1">
        <f t="array" aca="1" ref="F224" ca="1">OFFSET(E224,-1,1)</f>
        <v>2</v>
      </c>
      <c r="G224" s="1128"/>
      <c r="H224" s="411" t="s">
        <v>2304</v>
      </c>
      <c r="I224" s="1128"/>
      <c r="J224" s="1128"/>
      <c r="K224" s="1128"/>
      <c r="L224" s="1128"/>
      <c r="M224" s="1128"/>
      <c r="N224" s="1128"/>
      <c r="O224" s="1128"/>
      <c r="P224" s="1128"/>
      <c r="Q224" s="1128"/>
      <c r="R224" s="1128"/>
      <c r="S224" s="1128"/>
      <c r="T224" s="388" t="b" cm="1">
        <f t="array" ref="T224">T223</f>
        <v>1</v>
      </c>
      <c r="U224" s="1128"/>
      <c r="V224" s="1128"/>
      <c r="W224" s="1128"/>
      <c r="X224" s="2066"/>
      <c r="Y224" s="1128"/>
      <c r="Z224" s="2067"/>
      <c r="AA224" s="1128"/>
      <c r="AB224" s="636" t="s">
        <v>2305</v>
      </c>
      <c r="AC224" s="473" t="s">
        <v>1204</v>
      </c>
      <c r="AD224" s="471" t="s">
        <v>831</v>
      </c>
      <c r="AE224" s="1242"/>
      <c r="AF224" s="1194"/>
      <c r="AG224" s="1194"/>
      <c r="AH224" s="973" t="s">
        <v>1728</v>
      </c>
      <c r="AI224" s="1195"/>
      <c r="AJ224" s="1195"/>
      <c r="AK224" s="1196"/>
      <c r="AL224" s="1196"/>
    </row>
    <row r="225" spans="1:38" s="1334" customFormat="1" ht="14.25" customHeight="1" x14ac:dyDescent="0.25">
      <c r="A225" s="591"/>
      <c r="B225" s="1128"/>
      <c r="C225" s="1128"/>
      <c r="D225" s="1128"/>
      <c r="E225" s="573">
        <v>15</v>
      </c>
      <c r="F225" s="3" t="str" cm="1">
        <f t="array" aca="1" ref="F225" ca="1">OFFSET(E225,-1,1)</f>
        <v>2</v>
      </c>
      <c r="G225" s="1128"/>
      <c r="H225" s="411" t="s">
        <v>498</v>
      </c>
      <c r="I225" s="1128"/>
      <c r="J225" s="1128"/>
      <c r="K225" s="1128"/>
      <c r="L225" s="1128"/>
      <c r="M225" s="1128"/>
      <c r="N225" s="1128"/>
      <c r="O225" s="1128"/>
      <c r="P225" s="1128"/>
      <c r="Q225" s="1128"/>
      <c r="R225" s="1128"/>
      <c r="S225" s="1128"/>
      <c r="T225" s="388" t="b" cm="1">
        <f t="array" ref="T225">T224</f>
        <v>1</v>
      </c>
      <c r="U225" s="1128"/>
      <c r="V225" s="1128"/>
      <c r="W225" s="1128"/>
      <c r="X225" s="2066"/>
      <c r="Y225" s="1128"/>
      <c r="Z225" s="2067"/>
      <c r="AA225" s="1128"/>
      <c r="AB225" s="636" t="s">
        <v>913</v>
      </c>
      <c r="AC225" s="470" t="s">
        <v>2306</v>
      </c>
      <c r="AD225" s="471" t="s">
        <v>831</v>
      </c>
      <c r="AE225" s="480">
        <f>AE226+AE227+AE228</f>
        <v>0</v>
      </c>
      <c r="AF225" s="1194"/>
      <c r="AG225" s="1194"/>
      <c r="AH225" s="972" t="s">
        <v>1749</v>
      </c>
      <c r="AI225" s="1195"/>
      <c r="AJ225" s="1195"/>
      <c r="AK225" s="1196"/>
      <c r="AL225" s="1196"/>
    </row>
    <row r="226" spans="1:38" s="1334" customFormat="1" ht="14.25" customHeight="1" x14ac:dyDescent="0.25">
      <c r="A226" s="591"/>
      <c r="B226" s="1128"/>
      <c r="C226" s="1128"/>
      <c r="D226" s="1128"/>
      <c r="E226" s="573">
        <v>15</v>
      </c>
      <c r="F226" s="3" t="str" cm="1">
        <f t="array" aca="1" ref="F226" ca="1">OFFSET(E226,-1,1)</f>
        <v>2</v>
      </c>
      <c r="G226" s="1128"/>
      <c r="H226" s="411" t="s">
        <v>1301</v>
      </c>
      <c r="I226" s="1128"/>
      <c r="J226" s="1128"/>
      <c r="K226" s="1128"/>
      <c r="L226" s="1128"/>
      <c r="M226" s="1128"/>
      <c r="N226" s="1128"/>
      <c r="O226" s="1128"/>
      <c r="P226" s="1128"/>
      <c r="Q226" s="1128"/>
      <c r="R226" s="1128"/>
      <c r="S226" s="1128"/>
      <c r="T226" s="388" t="b" cm="1">
        <f t="array" ref="T226">T225</f>
        <v>1</v>
      </c>
      <c r="U226" s="1128"/>
      <c r="V226" s="1128"/>
      <c r="W226" s="1128"/>
      <c r="X226" s="2066"/>
      <c r="Y226" s="1128"/>
      <c r="Z226" s="2067"/>
      <c r="AA226" s="1128"/>
      <c r="AB226" s="636" t="s">
        <v>1302</v>
      </c>
      <c r="AC226" s="472" t="s">
        <v>2307</v>
      </c>
      <c r="AD226" s="471" t="s">
        <v>831</v>
      </c>
      <c r="AE226" s="1242"/>
      <c r="AF226" s="1194"/>
      <c r="AG226" s="1194"/>
      <c r="AH226" s="971" t="s">
        <v>1751</v>
      </c>
      <c r="AI226" s="1195"/>
      <c r="AJ226" s="1195"/>
      <c r="AK226" s="1196"/>
      <c r="AL226" s="1196"/>
    </row>
    <row r="227" spans="1:38" s="1334" customFormat="1" ht="14.25" customHeight="1" x14ac:dyDescent="0.15">
      <c r="A227" s="591"/>
      <c r="B227" s="1128"/>
      <c r="C227" s="1128"/>
      <c r="D227" s="1128"/>
      <c r="E227" s="573">
        <v>15</v>
      </c>
      <c r="F227" s="3" t="str" cm="1">
        <f t="array" aca="1" ref="F227" ca="1">OFFSET(E227,-1,1)</f>
        <v>2</v>
      </c>
      <c r="G227" s="1128"/>
      <c r="H227" s="411" t="s">
        <v>1304</v>
      </c>
      <c r="I227" s="1128"/>
      <c r="J227" s="1128"/>
      <c r="K227" s="1128"/>
      <c r="L227" s="1128"/>
      <c r="M227" s="1128"/>
      <c r="N227" s="1128"/>
      <c r="O227" s="1128"/>
      <c r="P227" s="1128"/>
      <c r="Q227" s="1128"/>
      <c r="R227" s="1128"/>
      <c r="S227" s="1128"/>
      <c r="T227" s="388" t="b" cm="1">
        <f t="array" ref="T227">T226</f>
        <v>1</v>
      </c>
      <c r="U227" s="1128"/>
      <c r="V227" s="1128"/>
      <c r="W227" s="1128"/>
      <c r="X227" s="2066"/>
      <c r="Y227" s="1128"/>
      <c r="Z227" s="2067"/>
      <c r="AA227" s="1128"/>
      <c r="AB227" s="636" t="s">
        <v>1305</v>
      </c>
      <c r="AC227" s="472" t="s">
        <v>2308</v>
      </c>
      <c r="AD227" s="471" t="s">
        <v>831</v>
      </c>
      <c r="AE227" s="1242"/>
      <c r="AF227" s="1194"/>
      <c r="AG227" s="1194"/>
      <c r="AH227" s="973" t="s">
        <v>1932</v>
      </c>
      <c r="AI227" s="1195"/>
      <c r="AJ227" s="1195"/>
      <c r="AK227" s="1196"/>
      <c r="AL227" s="1196"/>
    </row>
    <row r="228" spans="1:38" s="1334" customFormat="1" ht="21.75" customHeight="1" x14ac:dyDescent="0.25">
      <c r="A228" s="591"/>
      <c r="B228" s="1128"/>
      <c r="C228" s="1128"/>
      <c r="D228" s="1128"/>
      <c r="E228" s="573">
        <v>22.5</v>
      </c>
      <c r="F228" s="3" t="str" cm="1">
        <f t="array" aca="1" ref="F228" ca="1">OFFSET(E228,-1,1)</f>
        <v>2</v>
      </c>
      <c r="G228" s="1128"/>
      <c r="H228" s="411" t="s">
        <v>1308</v>
      </c>
      <c r="I228" s="1128"/>
      <c r="J228" s="1128"/>
      <c r="K228" s="1128"/>
      <c r="L228" s="1128"/>
      <c r="M228" s="1128"/>
      <c r="N228" s="1128"/>
      <c r="O228" s="1128"/>
      <c r="P228" s="1128"/>
      <c r="Q228" s="1128"/>
      <c r="R228" s="1128"/>
      <c r="S228" s="1128"/>
      <c r="T228" s="388" t="b" cm="1">
        <f t="array" ref="T228">T227</f>
        <v>1</v>
      </c>
      <c r="U228" s="1128"/>
      <c r="V228" s="1128"/>
      <c r="W228" s="1128"/>
      <c r="X228" s="2066"/>
      <c r="Y228" s="1128"/>
      <c r="Z228" s="2067"/>
      <c r="AA228" s="1128"/>
      <c r="AB228" s="636" t="s">
        <v>1309</v>
      </c>
      <c r="AC228" s="472" t="s">
        <v>2309</v>
      </c>
      <c r="AD228" s="471" t="s">
        <v>831</v>
      </c>
      <c r="AE228" s="480">
        <f>AE229+AE232</f>
        <v>0</v>
      </c>
      <c r="AF228" s="1194"/>
      <c r="AG228" s="1194"/>
      <c r="AH228" s="971" t="s">
        <v>1753</v>
      </c>
      <c r="AI228" s="1195"/>
      <c r="AJ228" s="1195"/>
      <c r="AK228" s="1196"/>
      <c r="AL228" s="1196"/>
    </row>
    <row r="229" spans="1:38" s="1334" customFormat="1" ht="14.25" customHeight="1" x14ac:dyDescent="0.25">
      <c r="A229" s="591"/>
      <c r="B229" s="1128"/>
      <c r="C229" s="1128"/>
      <c r="D229" s="1128"/>
      <c r="E229" s="573">
        <v>15</v>
      </c>
      <c r="F229" s="3" t="str" cm="1">
        <f t="array" aca="1" ref="F229" ca="1">OFFSET(E229,-1,1)</f>
        <v>2</v>
      </c>
      <c r="G229" s="1128"/>
      <c r="H229" s="411" t="s">
        <v>1454</v>
      </c>
      <c r="I229" s="1128"/>
      <c r="J229" s="1128"/>
      <c r="K229" s="1128"/>
      <c r="L229" s="1128"/>
      <c r="M229" s="1128"/>
      <c r="N229" s="1128"/>
      <c r="O229" s="1128"/>
      <c r="P229" s="1128"/>
      <c r="Q229" s="1128"/>
      <c r="R229" s="1128"/>
      <c r="S229" s="1128"/>
      <c r="T229" s="388" t="b" cm="1">
        <f t="array" ref="T229">T228</f>
        <v>1</v>
      </c>
      <c r="U229" s="1128"/>
      <c r="V229" s="1128"/>
      <c r="W229" s="1128"/>
      <c r="X229" s="2066"/>
      <c r="Y229" s="1128"/>
      <c r="Z229" s="2067"/>
      <c r="AA229" s="1128"/>
      <c r="AB229" s="636" t="s">
        <v>1901</v>
      </c>
      <c r="AC229" s="473" t="s">
        <v>1755</v>
      </c>
      <c r="AD229" s="471" t="s">
        <v>831</v>
      </c>
      <c r="AE229" s="1242"/>
      <c r="AF229" s="1194"/>
      <c r="AG229" s="1194"/>
      <c r="AH229" s="971" t="s">
        <v>1756</v>
      </c>
      <c r="AI229" s="1195"/>
      <c r="AJ229" s="1195"/>
      <c r="AK229" s="1196"/>
      <c r="AL229" s="1196"/>
    </row>
    <row r="230" spans="1:38" s="1334" customFormat="1" ht="14.25" customHeight="1" x14ac:dyDescent="0.15">
      <c r="A230" s="591"/>
      <c r="B230" s="1128"/>
      <c r="C230" s="1128"/>
      <c r="D230" s="1128"/>
      <c r="E230" s="573">
        <v>15</v>
      </c>
      <c r="F230" s="3" t="str" cm="1">
        <f t="array" aca="1" ref="F230" ca="1">OFFSET(E230,-1,1)</f>
        <v>2</v>
      </c>
      <c r="G230" s="1128"/>
      <c r="H230" s="411" t="s">
        <v>2310</v>
      </c>
      <c r="I230" s="1128"/>
      <c r="J230" s="1128"/>
      <c r="K230" s="1128"/>
      <c r="L230" s="1128"/>
      <c r="M230" s="1128"/>
      <c r="N230" s="1128"/>
      <c r="O230" s="1128"/>
      <c r="P230" s="1128"/>
      <c r="Q230" s="1128"/>
      <c r="R230" s="1128"/>
      <c r="S230" s="1128"/>
      <c r="T230" s="388" t="b" cm="1">
        <f t="array" ref="T230">T229</f>
        <v>1</v>
      </c>
      <c r="U230" s="1128"/>
      <c r="V230" s="1128"/>
      <c r="W230" s="1128"/>
      <c r="X230" s="2066"/>
      <c r="Y230" s="1128"/>
      <c r="Z230" s="2067"/>
      <c r="AA230" s="1128"/>
      <c r="AB230" s="636" t="s">
        <v>2311</v>
      </c>
      <c r="AC230" s="474" t="s">
        <v>2312</v>
      </c>
      <c r="AD230" s="471" t="s">
        <v>2275</v>
      </c>
      <c r="AE230" s="1242"/>
      <c r="AF230" s="1194"/>
      <c r="AG230" s="1194"/>
      <c r="AH230" s="910" t="s">
        <v>2313</v>
      </c>
      <c r="AI230" s="1195"/>
      <c r="AJ230" s="1195"/>
      <c r="AK230" s="1196"/>
      <c r="AL230" s="1196"/>
    </row>
    <row r="231" spans="1:38" s="1334" customFormat="1" ht="14.25" customHeight="1" x14ac:dyDescent="0.15">
      <c r="A231" s="591"/>
      <c r="B231" s="1128"/>
      <c r="C231" s="1128"/>
      <c r="D231" s="1128"/>
      <c r="E231" s="573">
        <v>15</v>
      </c>
      <c r="F231" s="3" t="str" cm="1">
        <f t="array" aca="1" ref="F231" ca="1">OFFSET(E231,-1,1)</f>
        <v>2</v>
      </c>
      <c r="G231" s="1128"/>
      <c r="H231" s="411" t="s">
        <v>2314</v>
      </c>
      <c r="I231" s="1128"/>
      <c r="J231" s="1128"/>
      <c r="K231" s="1128"/>
      <c r="L231" s="1128"/>
      <c r="M231" s="1128"/>
      <c r="N231" s="1128"/>
      <c r="O231" s="1128"/>
      <c r="P231" s="1128"/>
      <c r="Q231" s="1128"/>
      <c r="R231" s="1128"/>
      <c r="S231" s="1128"/>
      <c r="T231" s="388" t="b" cm="1">
        <f t="array" ref="T231">T230</f>
        <v>1</v>
      </c>
      <c r="U231" s="1128"/>
      <c r="V231" s="1128"/>
      <c r="W231" s="1128"/>
      <c r="X231" s="2066"/>
      <c r="Y231" s="1128"/>
      <c r="Z231" s="2067"/>
      <c r="AA231" s="1128"/>
      <c r="AB231" s="636" t="s">
        <v>2315</v>
      </c>
      <c r="AC231" s="474" t="s">
        <v>2316</v>
      </c>
      <c r="AD231" s="471" t="s">
        <v>2280</v>
      </c>
      <c r="AE231" s="1242"/>
      <c r="AF231" s="1194"/>
      <c r="AG231" s="1194"/>
      <c r="AH231" s="910" t="s">
        <v>2317</v>
      </c>
      <c r="AI231" s="1195"/>
      <c r="AJ231" s="1195"/>
      <c r="AK231" s="1196"/>
      <c r="AL231" s="1196"/>
    </row>
    <row r="232" spans="1:38" s="1334" customFormat="1" ht="21.75" customHeight="1" x14ac:dyDescent="0.25">
      <c r="A232" s="591"/>
      <c r="B232" s="1128"/>
      <c r="C232" s="1128"/>
      <c r="D232" s="1128"/>
      <c r="E232" s="573">
        <v>22.5</v>
      </c>
      <c r="F232" s="3" t="str" cm="1">
        <f t="array" aca="1" ref="F232" ca="1">OFFSET(E232,-1,1)</f>
        <v>2</v>
      </c>
      <c r="G232" s="1128"/>
      <c r="H232" s="411" t="s">
        <v>1458</v>
      </c>
      <c r="I232" s="1128"/>
      <c r="J232" s="1128"/>
      <c r="K232" s="1128"/>
      <c r="L232" s="1128"/>
      <c r="M232" s="1128"/>
      <c r="N232" s="1128"/>
      <c r="O232" s="1128"/>
      <c r="P232" s="1128"/>
      <c r="Q232" s="1128"/>
      <c r="R232" s="1128"/>
      <c r="S232" s="1128"/>
      <c r="T232" s="388" t="b" cm="1">
        <f t="array" ref="T232">T231</f>
        <v>1</v>
      </c>
      <c r="U232" s="1128"/>
      <c r="V232" s="1128"/>
      <c r="W232" s="1128"/>
      <c r="X232" s="2066"/>
      <c r="Y232" s="1128"/>
      <c r="Z232" s="2067"/>
      <c r="AA232" s="1128"/>
      <c r="AB232" s="636" t="s">
        <v>1902</v>
      </c>
      <c r="AC232" s="473" t="s">
        <v>1938</v>
      </c>
      <c r="AD232" s="471" t="s">
        <v>831</v>
      </c>
      <c r="AE232" s="1242"/>
      <c r="AF232" s="1194"/>
      <c r="AG232" s="1194"/>
      <c r="AH232" s="971" t="s">
        <v>1759</v>
      </c>
      <c r="AI232" s="1195"/>
      <c r="AJ232" s="1195"/>
      <c r="AK232" s="1196"/>
      <c r="AL232" s="1196"/>
    </row>
    <row r="233" spans="1:38" s="1334" customFormat="1" ht="14.25" customHeight="1" x14ac:dyDescent="0.25">
      <c r="A233" s="591"/>
      <c r="B233" s="1128"/>
      <c r="C233" s="1128"/>
      <c r="D233" s="1128"/>
      <c r="E233" s="573">
        <v>15</v>
      </c>
      <c r="F233" s="3" t="str" cm="1">
        <f t="array" aca="1" ref="F233" ca="1">OFFSET(E233,-1,1)</f>
        <v>2</v>
      </c>
      <c r="G233" s="1128"/>
      <c r="H233" s="411" t="s">
        <v>501</v>
      </c>
      <c r="I233" s="1128"/>
      <c r="J233" s="1128"/>
      <c r="K233" s="1128"/>
      <c r="L233" s="1128"/>
      <c r="M233" s="1128"/>
      <c r="N233" s="1128"/>
      <c r="O233" s="1128"/>
      <c r="P233" s="1128"/>
      <c r="Q233" s="1128"/>
      <c r="R233" s="1128"/>
      <c r="S233" s="1128"/>
      <c r="T233" s="388" t="b" cm="1">
        <f t="array" ref="T233">T232</f>
        <v>1</v>
      </c>
      <c r="U233" s="1128"/>
      <c r="V233" s="1128"/>
      <c r="W233" s="1128"/>
      <c r="X233" s="2066"/>
      <c r="Y233" s="1128"/>
      <c r="Z233" s="2067"/>
      <c r="AA233" s="1128"/>
      <c r="AB233" s="636" t="s">
        <v>916</v>
      </c>
      <c r="AC233" s="470" t="s">
        <v>1939</v>
      </c>
      <c r="AD233" s="471" t="s">
        <v>831</v>
      </c>
      <c r="AE233" s="480">
        <f>AE234+AE240+AE245+AE246+AE247+AE248+AE249</f>
        <v>0</v>
      </c>
      <c r="AF233" s="1194"/>
      <c r="AG233" s="1194"/>
      <c r="AH233" s="972" t="s">
        <v>1761</v>
      </c>
      <c r="AI233" s="1195"/>
      <c r="AJ233" s="1195"/>
      <c r="AK233" s="1196"/>
      <c r="AL233" s="1196"/>
    </row>
    <row r="234" spans="1:38" s="1334" customFormat="1" ht="21.75" customHeight="1" x14ac:dyDescent="0.25">
      <c r="A234" s="591"/>
      <c r="B234" s="1128"/>
      <c r="C234" s="1128"/>
      <c r="D234" s="1128"/>
      <c r="E234" s="573">
        <v>22.5</v>
      </c>
      <c r="F234" s="3" t="str" cm="1">
        <f t="array" aca="1" ref="F234" ca="1">OFFSET(E234,-1,1)</f>
        <v>2</v>
      </c>
      <c r="G234" s="1128"/>
      <c r="H234" s="411" t="s">
        <v>1314</v>
      </c>
      <c r="I234" s="1128"/>
      <c r="J234" s="1128"/>
      <c r="K234" s="1128"/>
      <c r="L234" s="1128"/>
      <c r="M234" s="1128"/>
      <c r="N234" s="1128"/>
      <c r="O234" s="1128"/>
      <c r="P234" s="1128"/>
      <c r="Q234" s="1128"/>
      <c r="R234" s="1128"/>
      <c r="S234" s="1128"/>
      <c r="T234" s="388" t="b" cm="1">
        <f t="array" ref="T234">T233</f>
        <v>1</v>
      </c>
      <c r="U234" s="1128"/>
      <c r="V234" s="1128"/>
      <c r="W234" s="1128"/>
      <c r="X234" s="2066"/>
      <c r="Y234" s="1128"/>
      <c r="Z234" s="2067"/>
      <c r="AA234" s="1128"/>
      <c r="AB234" s="636" t="s">
        <v>1315</v>
      </c>
      <c r="AC234" s="472" t="s">
        <v>1762</v>
      </c>
      <c r="AD234" s="471" t="s">
        <v>831</v>
      </c>
      <c r="AE234" s="480">
        <f>SUM(AE235:AE239)</f>
        <v>0</v>
      </c>
      <c r="AF234" s="1194"/>
      <c r="AG234" s="1194"/>
      <c r="AH234" s="971" t="s">
        <v>1157</v>
      </c>
      <c r="AI234" s="1195"/>
      <c r="AJ234" s="1195"/>
      <c r="AK234" s="1196"/>
      <c r="AL234" s="1196"/>
    </row>
    <row r="235" spans="1:38" s="1334" customFormat="1" ht="14.25" customHeight="1" x14ac:dyDescent="0.15">
      <c r="A235" s="591"/>
      <c r="B235" s="1128"/>
      <c r="C235" s="1128"/>
      <c r="D235" s="1128"/>
      <c r="E235" s="573">
        <v>15</v>
      </c>
      <c r="F235" s="3" t="str" cm="1">
        <f t="array" aca="1" ref="F235" ca="1">OFFSET(E235,-1,1)</f>
        <v>2</v>
      </c>
      <c r="G235" s="1128"/>
      <c r="H235" s="411" t="s">
        <v>2318</v>
      </c>
      <c r="I235" s="1128"/>
      <c r="J235" s="1128"/>
      <c r="K235" s="1128"/>
      <c r="L235" s="1128"/>
      <c r="M235" s="1128"/>
      <c r="N235" s="1128"/>
      <c r="O235" s="1128"/>
      <c r="P235" s="1128"/>
      <c r="Q235" s="1128"/>
      <c r="R235" s="1128"/>
      <c r="S235" s="1128"/>
      <c r="T235" s="388" t="b" cm="1">
        <f t="array" ref="T235">T234</f>
        <v>1</v>
      </c>
      <c r="U235" s="1128"/>
      <c r="V235" s="1128"/>
      <c r="W235" s="1128"/>
      <c r="X235" s="2066"/>
      <c r="Y235" s="1128"/>
      <c r="Z235" s="2067"/>
      <c r="AA235" s="1128"/>
      <c r="AB235" s="636" t="s">
        <v>2319</v>
      </c>
      <c r="AC235" s="473" t="s">
        <v>1159</v>
      </c>
      <c r="AD235" s="471" t="s">
        <v>831</v>
      </c>
      <c r="AE235" s="1242"/>
      <c r="AF235" s="1194"/>
      <c r="AG235" s="1194"/>
      <c r="AH235" s="973" t="s">
        <v>1160</v>
      </c>
      <c r="AI235" s="1195"/>
      <c r="AJ235" s="1195"/>
      <c r="AK235" s="1196"/>
      <c r="AL235" s="1196"/>
    </row>
    <row r="236" spans="1:38" s="1334" customFormat="1" ht="14.25" customHeight="1" x14ac:dyDescent="0.15">
      <c r="A236" s="591"/>
      <c r="B236" s="1128"/>
      <c r="C236" s="1128"/>
      <c r="D236" s="1128"/>
      <c r="E236" s="573">
        <v>15</v>
      </c>
      <c r="F236" s="3" t="str" cm="1">
        <f t="array" aca="1" ref="F236" ca="1">OFFSET(E236,-1,1)</f>
        <v>2</v>
      </c>
      <c r="G236" s="1128"/>
      <c r="H236" s="411" t="s">
        <v>2320</v>
      </c>
      <c r="I236" s="1128"/>
      <c r="J236" s="1128"/>
      <c r="K236" s="1128"/>
      <c r="L236" s="1128"/>
      <c r="M236" s="1128"/>
      <c r="N236" s="1128"/>
      <c r="O236" s="1128"/>
      <c r="P236" s="1128"/>
      <c r="Q236" s="1128"/>
      <c r="R236" s="1128"/>
      <c r="S236" s="1128"/>
      <c r="T236" s="388" t="b" cm="1">
        <f t="array" ref="T236">T235</f>
        <v>1</v>
      </c>
      <c r="U236" s="1128"/>
      <c r="V236" s="1128"/>
      <c r="W236" s="1128"/>
      <c r="X236" s="2066"/>
      <c r="Y236" s="1128"/>
      <c r="Z236" s="2067"/>
      <c r="AA236" s="1128"/>
      <c r="AB236" s="636" t="s">
        <v>2321</v>
      </c>
      <c r="AC236" s="473" t="s">
        <v>1162</v>
      </c>
      <c r="AD236" s="471" t="s">
        <v>831</v>
      </c>
      <c r="AE236" s="1242"/>
      <c r="AF236" s="1194"/>
      <c r="AG236" s="1194"/>
      <c r="AH236" s="973" t="s">
        <v>1163</v>
      </c>
      <c r="AI236" s="1195"/>
      <c r="AJ236" s="1195"/>
      <c r="AK236" s="1196"/>
      <c r="AL236" s="1196"/>
    </row>
    <row r="237" spans="1:38" s="1334" customFormat="1" ht="14.25" customHeight="1" x14ac:dyDescent="0.15">
      <c r="A237" s="591"/>
      <c r="B237" s="1128"/>
      <c r="C237" s="1128"/>
      <c r="D237" s="1128"/>
      <c r="E237" s="573">
        <v>15</v>
      </c>
      <c r="F237" s="3" t="str" cm="1">
        <f t="array" aca="1" ref="F237" ca="1">OFFSET(E237,-1,1)</f>
        <v>2</v>
      </c>
      <c r="G237" s="1128"/>
      <c r="H237" s="411" t="s">
        <v>2322</v>
      </c>
      <c r="I237" s="1128"/>
      <c r="J237" s="1128"/>
      <c r="K237" s="1128"/>
      <c r="L237" s="1128"/>
      <c r="M237" s="1128"/>
      <c r="N237" s="1128"/>
      <c r="O237" s="1128"/>
      <c r="P237" s="1128"/>
      <c r="Q237" s="1128"/>
      <c r="R237" s="1128"/>
      <c r="S237" s="1128"/>
      <c r="T237" s="388" t="b" cm="1">
        <f t="array" ref="T237">T236</f>
        <v>1</v>
      </c>
      <c r="U237" s="1128"/>
      <c r="V237" s="1128"/>
      <c r="W237" s="1128"/>
      <c r="X237" s="2066"/>
      <c r="Y237" s="1128"/>
      <c r="Z237" s="2067"/>
      <c r="AA237" s="1128"/>
      <c r="AB237" s="636" t="s">
        <v>2323</v>
      </c>
      <c r="AC237" s="473" t="s">
        <v>1165</v>
      </c>
      <c r="AD237" s="471" t="s">
        <v>831</v>
      </c>
      <c r="AE237" s="1242"/>
      <c r="AF237" s="1194"/>
      <c r="AG237" s="1194"/>
      <c r="AH237" s="973" t="s">
        <v>1166</v>
      </c>
      <c r="AI237" s="1195"/>
      <c r="AJ237" s="1195"/>
      <c r="AK237" s="1196"/>
      <c r="AL237" s="1196"/>
    </row>
    <row r="238" spans="1:38" s="1334" customFormat="1" ht="14.25" customHeight="1" x14ac:dyDescent="0.15">
      <c r="A238" s="591"/>
      <c r="B238" s="1128"/>
      <c r="C238" s="1128"/>
      <c r="D238" s="1128"/>
      <c r="E238" s="573">
        <v>15</v>
      </c>
      <c r="F238" s="3" t="str" cm="1">
        <f t="array" aca="1" ref="F238" ca="1">OFFSET(E238,-1,1)</f>
        <v>2</v>
      </c>
      <c r="G238" s="1128"/>
      <c r="H238" s="411" t="s">
        <v>2324</v>
      </c>
      <c r="I238" s="1128"/>
      <c r="J238" s="1128"/>
      <c r="K238" s="1128"/>
      <c r="L238" s="1128"/>
      <c r="M238" s="1128"/>
      <c r="N238" s="1128"/>
      <c r="O238" s="1128"/>
      <c r="P238" s="1128"/>
      <c r="Q238" s="1128"/>
      <c r="R238" s="1128"/>
      <c r="S238" s="1128"/>
      <c r="T238" s="388" t="b" cm="1">
        <f t="array" ref="T238">T237</f>
        <v>1</v>
      </c>
      <c r="U238" s="1128"/>
      <c r="V238" s="1128"/>
      <c r="W238" s="1128"/>
      <c r="X238" s="2066"/>
      <c r="Y238" s="1128"/>
      <c r="Z238" s="2067"/>
      <c r="AA238" s="1128"/>
      <c r="AB238" s="636" t="s">
        <v>2325</v>
      </c>
      <c r="AC238" s="473" t="s">
        <v>1168</v>
      </c>
      <c r="AD238" s="471" t="s">
        <v>831</v>
      </c>
      <c r="AE238" s="1242"/>
      <c r="AF238" s="1194"/>
      <c r="AG238" s="1194"/>
      <c r="AH238" s="973" t="s">
        <v>1169</v>
      </c>
      <c r="AI238" s="1195"/>
      <c r="AJ238" s="1195"/>
      <c r="AK238" s="1196"/>
      <c r="AL238" s="1196"/>
    </row>
    <row r="239" spans="1:38" s="1334" customFormat="1" ht="14.25" customHeight="1" x14ac:dyDescent="0.15">
      <c r="A239" s="591"/>
      <c r="B239" s="1128"/>
      <c r="C239" s="1128"/>
      <c r="D239" s="1128"/>
      <c r="E239" s="573">
        <v>15</v>
      </c>
      <c r="F239" s="3" t="str" cm="1">
        <f t="array" aca="1" ref="F239" ca="1">OFFSET(E239,-1,1)</f>
        <v>2</v>
      </c>
      <c r="G239" s="1128"/>
      <c r="H239" s="411" t="s">
        <v>2326</v>
      </c>
      <c r="I239" s="1128"/>
      <c r="J239" s="1128"/>
      <c r="K239" s="1128"/>
      <c r="L239" s="1128"/>
      <c r="M239" s="1128"/>
      <c r="N239" s="1128"/>
      <c r="O239" s="1128"/>
      <c r="P239" s="1128"/>
      <c r="Q239" s="1128"/>
      <c r="R239" s="1128"/>
      <c r="S239" s="1128"/>
      <c r="T239" s="388" t="b" cm="1">
        <f t="array" ref="T239">T238</f>
        <v>1</v>
      </c>
      <c r="U239" s="1128"/>
      <c r="V239" s="1128"/>
      <c r="W239" s="1128"/>
      <c r="X239" s="2066"/>
      <c r="Y239" s="1128"/>
      <c r="Z239" s="2067"/>
      <c r="AA239" s="1128"/>
      <c r="AB239" s="636" t="s">
        <v>2327</v>
      </c>
      <c r="AC239" s="473" t="s">
        <v>1176</v>
      </c>
      <c r="AD239" s="471" t="s">
        <v>831</v>
      </c>
      <c r="AE239" s="1242"/>
      <c r="AF239" s="1194"/>
      <c r="AG239" s="1194"/>
      <c r="AH239" s="973" t="s">
        <v>1177</v>
      </c>
      <c r="AI239" s="1195"/>
      <c r="AJ239" s="1195"/>
      <c r="AK239" s="1196"/>
      <c r="AL239" s="1196"/>
    </row>
    <row r="240" spans="1:38" s="1334" customFormat="1" ht="32.25" customHeight="1" x14ac:dyDescent="0.25">
      <c r="A240" s="591"/>
      <c r="B240" s="1128"/>
      <c r="C240" s="1128"/>
      <c r="D240" s="1128"/>
      <c r="E240" s="573">
        <v>33.75</v>
      </c>
      <c r="F240" s="3" t="str" cm="1">
        <f t="array" aca="1" ref="F240" ca="1">OFFSET(E240,-1,1)</f>
        <v>2</v>
      </c>
      <c r="G240" s="1128"/>
      <c r="H240" s="411" t="s">
        <v>1318</v>
      </c>
      <c r="I240" s="1128"/>
      <c r="J240" s="1128"/>
      <c r="K240" s="1128"/>
      <c r="L240" s="1128"/>
      <c r="M240" s="1128"/>
      <c r="N240" s="1128"/>
      <c r="O240" s="1128"/>
      <c r="P240" s="1128"/>
      <c r="Q240" s="1128"/>
      <c r="R240" s="1128"/>
      <c r="S240" s="1128"/>
      <c r="T240" s="388" t="b" cm="1">
        <f t="array" ref="T240">T239</f>
        <v>1</v>
      </c>
      <c r="U240" s="1128"/>
      <c r="V240" s="1128"/>
      <c r="W240" s="1128"/>
      <c r="X240" s="2066"/>
      <c r="Y240" s="1128"/>
      <c r="Z240" s="2067"/>
      <c r="AA240" s="1128"/>
      <c r="AB240" s="636" t="s">
        <v>1319</v>
      </c>
      <c r="AC240" s="472" t="s">
        <v>2328</v>
      </c>
      <c r="AD240" s="471" t="s">
        <v>831</v>
      </c>
      <c r="AE240" s="480">
        <f>AE241+AE244</f>
        <v>0</v>
      </c>
      <c r="AF240" s="1194"/>
      <c r="AG240" s="1194"/>
      <c r="AH240" s="971" t="s">
        <v>1764</v>
      </c>
      <c r="AI240" s="1195"/>
      <c r="AJ240" s="1195"/>
      <c r="AK240" s="1196"/>
      <c r="AL240" s="1196"/>
    </row>
    <row r="241" spans="1:38" s="1334" customFormat="1" ht="21.75" customHeight="1" x14ac:dyDescent="0.25">
      <c r="A241" s="591"/>
      <c r="B241" s="1128"/>
      <c r="C241" s="1128"/>
      <c r="D241" s="1128"/>
      <c r="E241" s="573">
        <v>22.5</v>
      </c>
      <c r="F241" s="3" t="str" cm="1">
        <f t="array" aca="1" ref="F241" ca="1">OFFSET(E241,-1,1)</f>
        <v>2</v>
      </c>
      <c r="G241" s="1128"/>
      <c r="H241" s="411" t="s">
        <v>2329</v>
      </c>
      <c r="I241" s="1128"/>
      <c r="J241" s="1128"/>
      <c r="K241" s="1128"/>
      <c r="L241" s="1128"/>
      <c r="M241" s="1128"/>
      <c r="N241" s="1128"/>
      <c r="O241" s="1128"/>
      <c r="P241" s="1128"/>
      <c r="Q241" s="1128"/>
      <c r="R241" s="1128"/>
      <c r="S241" s="1128"/>
      <c r="T241" s="388" t="b" cm="1">
        <f t="array" ref="T241">T240</f>
        <v>1</v>
      </c>
      <c r="U241" s="1128"/>
      <c r="V241" s="1128"/>
      <c r="W241" s="1128"/>
      <c r="X241" s="2066"/>
      <c r="Y241" s="1128"/>
      <c r="Z241" s="2067"/>
      <c r="AA241" s="1128"/>
      <c r="AB241" s="636" t="s">
        <v>2330</v>
      </c>
      <c r="AC241" s="473" t="s">
        <v>1765</v>
      </c>
      <c r="AD241" s="471" t="s">
        <v>831</v>
      </c>
      <c r="AE241" s="1242"/>
      <c r="AF241" s="1194"/>
      <c r="AG241" s="1194"/>
      <c r="AH241" s="971" t="s">
        <v>1154</v>
      </c>
      <c r="AI241" s="1195"/>
      <c r="AJ241" s="1195"/>
      <c r="AK241" s="1196"/>
      <c r="AL241" s="1196"/>
    </row>
    <row r="242" spans="1:38" s="1334" customFormat="1" ht="14.25" customHeight="1" x14ac:dyDescent="0.15">
      <c r="A242" s="591"/>
      <c r="B242" s="1128"/>
      <c r="C242" s="1128"/>
      <c r="D242" s="1128"/>
      <c r="E242" s="573">
        <v>15</v>
      </c>
      <c r="F242" s="3" t="str" cm="1">
        <f t="array" aca="1" ref="F242" ca="1">OFFSET(E242,-1,1)</f>
        <v>2</v>
      </c>
      <c r="G242" s="1128"/>
      <c r="H242" s="411" t="s">
        <v>2331</v>
      </c>
      <c r="I242" s="1128"/>
      <c r="J242" s="1128"/>
      <c r="K242" s="1128"/>
      <c r="L242" s="1128"/>
      <c r="M242" s="1128"/>
      <c r="N242" s="1128"/>
      <c r="O242" s="1128"/>
      <c r="P242" s="1128"/>
      <c r="Q242" s="1128"/>
      <c r="R242" s="1128"/>
      <c r="S242" s="1128"/>
      <c r="T242" s="388" t="b" cm="1">
        <f t="array" ref="T242">T241</f>
        <v>1</v>
      </c>
      <c r="U242" s="1128"/>
      <c r="V242" s="1128"/>
      <c r="W242" s="1128"/>
      <c r="X242" s="2066"/>
      <c r="Y242" s="1128"/>
      <c r="Z242" s="2067"/>
      <c r="AA242" s="1128"/>
      <c r="AB242" s="636" t="s">
        <v>2332</v>
      </c>
      <c r="AC242" s="474" t="s">
        <v>2333</v>
      </c>
      <c r="AD242" s="471" t="s">
        <v>2275</v>
      </c>
      <c r="AE242" s="1242"/>
      <c r="AF242" s="1194"/>
      <c r="AG242" s="1194"/>
      <c r="AH242" s="910" t="s">
        <v>2334</v>
      </c>
      <c r="AI242" s="1195"/>
      <c r="AJ242" s="1195"/>
      <c r="AK242" s="1196"/>
      <c r="AL242" s="1196"/>
    </row>
    <row r="243" spans="1:38" s="1334" customFormat="1" ht="21.75" customHeight="1" x14ac:dyDescent="0.15">
      <c r="A243" s="591"/>
      <c r="B243" s="1128"/>
      <c r="C243" s="1128"/>
      <c r="D243" s="1128"/>
      <c r="E243" s="573">
        <v>22.5</v>
      </c>
      <c r="F243" s="3" t="str" cm="1">
        <f t="array" aca="1" ref="F243" ca="1">OFFSET(E243,-1,1)</f>
        <v>2</v>
      </c>
      <c r="G243" s="1128"/>
      <c r="H243" s="411" t="s">
        <v>2335</v>
      </c>
      <c r="I243" s="1128"/>
      <c r="J243" s="1128"/>
      <c r="K243" s="1128"/>
      <c r="L243" s="1128"/>
      <c r="M243" s="1128"/>
      <c r="N243" s="1128"/>
      <c r="O243" s="1128"/>
      <c r="P243" s="1128"/>
      <c r="Q243" s="1128"/>
      <c r="R243" s="1128"/>
      <c r="S243" s="1128"/>
      <c r="T243" s="388" t="b" cm="1">
        <f t="array" ref="T243">T242</f>
        <v>1</v>
      </c>
      <c r="U243" s="1128"/>
      <c r="V243" s="1128"/>
      <c r="W243" s="1128"/>
      <c r="X243" s="2066"/>
      <c r="Y243" s="1128"/>
      <c r="Z243" s="2067"/>
      <c r="AA243" s="1128"/>
      <c r="AB243" s="636" t="s">
        <v>2336</v>
      </c>
      <c r="AC243" s="474" t="s">
        <v>2337</v>
      </c>
      <c r="AD243" s="471" t="s">
        <v>2280</v>
      </c>
      <c r="AE243" s="1242"/>
      <c r="AF243" s="1194"/>
      <c r="AG243" s="1194"/>
      <c r="AH243" s="910" t="s">
        <v>2338</v>
      </c>
      <c r="AI243" s="1195"/>
      <c r="AJ243" s="1195"/>
      <c r="AK243" s="1196"/>
      <c r="AL243" s="1196"/>
    </row>
    <row r="244" spans="1:38" s="1334" customFormat="1" ht="21.75" customHeight="1" x14ac:dyDescent="0.25">
      <c r="A244" s="591"/>
      <c r="B244" s="1128"/>
      <c r="C244" s="1128"/>
      <c r="D244" s="1128"/>
      <c r="E244" s="573">
        <v>22.5</v>
      </c>
      <c r="F244" s="3" t="str" cm="1">
        <f t="array" aca="1" ref="F244" ca="1">OFFSET(E244,-1,1)</f>
        <v>2</v>
      </c>
      <c r="G244" s="1128"/>
      <c r="H244" s="411" t="s">
        <v>2339</v>
      </c>
      <c r="I244" s="1128"/>
      <c r="J244" s="1128"/>
      <c r="K244" s="1128"/>
      <c r="L244" s="1128"/>
      <c r="M244" s="1128"/>
      <c r="N244" s="1128"/>
      <c r="O244" s="1128"/>
      <c r="P244" s="1128"/>
      <c r="Q244" s="1128"/>
      <c r="R244" s="1128"/>
      <c r="S244" s="1128"/>
      <c r="T244" s="388" t="b" cm="1">
        <f t="array" ref="T244">T243</f>
        <v>1</v>
      </c>
      <c r="U244" s="1128"/>
      <c r="V244" s="1128"/>
      <c r="W244" s="1128"/>
      <c r="X244" s="2066"/>
      <c r="Y244" s="1128"/>
      <c r="Z244" s="2067"/>
      <c r="AA244" s="1128"/>
      <c r="AB244" s="636" t="s">
        <v>2340</v>
      </c>
      <c r="AC244" s="473" t="s">
        <v>1962</v>
      </c>
      <c r="AD244" s="471" t="s">
        <v>831</v>
      </c>
      <c r="AE244" s="1242"/>
      <c r="AF244" s="1194"/>
      <c r="AG244" s="1194"/>
      <c r="AH244" s="971" t="s">
        <v>1767</v>
      </c>
      <c r="AI244" s="1195"/>
      <c r="AJ244" s="1195"/>
      <c r="AK244" s="1196"/>
      <c r="AL244" s="1196"/>
    </row>
    <row r="245" spans="1:38" s="1334" customFormat="1" ht="21.75" customHeight="1" x14ac:dyDescent="0.25">
      <c r="A245" s="591"/>
      <c r="B245" s="1128"/>
      <c r="C245" s="1128"/>
      <c r="D245" s="1128"/>
      <c r="E245" s="573">
        <v>22.5</v>
      </c>
      <c r="F245" s="3" t="str" cm="1">
        <f t="array" aca="1" ref="F245" ca="1">OFFSET(E245,-1,1)</f>
        <v>2</v>
      </c>
      <c r="G245" s="1128"/>
      <c r="H245" s="411" t="s">
        <v>1322</v>
      </c>
      <c r="I245" s="1128"/>
      <c r="J245" s="1128"/>
      <c r="K245" s="1128"/>
      <c r="L245" s="1128"/>
      <c r="M245" s="1128"/>
      <c r="N245" s="1128"/>
      <c r="O245" s="1128"/>
      <c r="P245" s="1128"/>
      <c r="Q245" s="1128"/>
      <c r="R245" s="1128"/>
      <c r="S245" s="1128"/>
      <c r="T245" s="388" t="b" cm="1">
        <f t="array" ref="T245">T244</f>
        <v>1</v>
      </c>
      <c r="U245" s="1128"/>
      <c r="V245" s="1128"/>
      <c r="W245" s="1128"/>
      <c r="X245" s="2066"/>
      <c r="Y245" s="1128"/>
      <c r="Z245" s="2067"/>
      <c r="AA245" s="1128"/>
      <c r="AB245" s="636" t="s">
        <v>1323</v>
      </c>
      <c r="AC245" s="472" t="s">
        <v>2341</v>
      </c>
      <c r="AD245" s="471" t="s">
        <v>831</v>
      </c>
      <c r="AE245" s="1242"/>
      <c r="AF245" s="1194"/>
      <c r="AG245" s="1194"/>
      <c r="AH245" s="971" t="s">
        <v>1185</v>
      </c>
      <c r="AI245" s="1195"/>
      <c r="AJ245" s="1195"/>
      <c r="AK245" s="1196"/>
      <c r="AL245" s="1196"/>
    </row>
    <row r="246" spans="1:38" s="1334" customFormat="1" ht="14.25" customHeight="1" x14ac:dyDescent="0.25">
      <c r="A246" s="591"/>
      <c r="B246" s="1128"/>
      <c r="C246" s="1128"/>
      <c r="D246" s="1128"/>
      <c r="E246" s="573">
        <v>15</v>
      </c>
      <c r="F246" s="3" t="str" cm="1">
        <f t="array" aca="1" ref="F246" ca="1">OFFSET(E246,-1,1)</f>
        <v>2</v>
      </c>
      <c r="G246" s="1128"/>
      <c r="H246" s="411" t="s">
        <v>2342</v>
      </c>
      <c r="I246" s="1128"/>
      <c r="J246" s="1128"/>
      <c r="K246" s="1128"/>
      <c r="L246" s="1128"/>
      <c r="M246" s="1128"/>
      <c r="N246" s="1128"/>
      <c r="O246" s="1128"/>
      <c r="P246" s="1128"/>
      <c r="Q246" s="1128"/>
      <c r="R246" s="1128"/>
      <c r="S246" s="1128"/>
      <c r="T246" s="388" t="b" cm="1">
        <f t="array" ref="T246">T245</f>
        <v>1</v>
      </c>
      <c r="U246" s="1128"/>
      <c r="V246" s="1128"/>
      <c r="W246" s="1128"/>
      <c r="X246" s="2066"/>
      <c r="Y246" s="1128"/>
      <c r="Z246" s="2067"/>
      <c r="AA246" s="1128"/>
      <c r="AB246" s="636" t="s">
        <v>2343</v>
      </c>
      <c r="AC246" s="472" t="s">
        <v>1187</v>
      </c>
      <c r="AD246" s="471" t="s">
        <v>831</v>
      </c>
      <c r="AE246" s="1242"/>
      <c r="AF246" s="1194"/>
      <c r="AG246" s="1194"/>
      <c r="AH246" s="971" t="s">
        <v>1188</v>
      </c>
      <c r="AI246" s="1195"/>
      <c r="AJ246" s="1195"/>
      <c r="AK246" s="1196"/>
      <c r="AL246" s="1196"/>
    </row>
    <row r="247" spans="1:38" s="1334" customFormat="1" ht="14.25" customHeight="1" x14ac:dyDescent="0.25">
      <c r="A247" s="591"/>
      <c r="B247" s="1128"/>
      <c r="C247" s="1128"/>
      <c r="D247" s="1128"/>
      <c r="E247" s="573">
        <v>15</v>
      </c>
      <c r="F247" s="3" t="str" cm="1">
        <f t="array" aca="1" ref="F247" ca="1">OFFSET(E247,-1,1)</f>
        <v>2</v>
      </c>
      <c r="G247" s="1128"/>
      <c r="H247" s="411" t="s">
        <v>2344</v>
      </c>
      <c r="I247" s="1128"/>
      <c r="J247" s="1128"/>
      <c r="K247" s="1128"/>
      <c r="L247" s="1128"/>
      <c r="M247" s="1128"/>
      <c r="N247" s="1128"/>
      <c r="O247" s="1128"/>
      <c r="P247" s="1128"/>
      <c r="Q247" s="1128"/>
      <c r="R247" s="1128"/>
      <c r="S247" s="1128"/>
      <c r="T247" s="388" t="b" cm="1">
        <f t="array" ref="T247">T246</f>
        <v>1</v>
      </c>
      <c r="U247" s="1128"/>
      <c r="V247" s="1128"/>
      <c r="W247" s="1128"/>
      <c r="X247" s="2066"/>
      <c r="Y247" s="1128"/>
      <c r="Z247" s="2067"/>
      <c r="AA247" s="1128"/>
      <c r="AB247" s="636" t="s">
        <v>2345</v>
      </c>
      <c r="AC247" s="472" t="s">
        <v>1190</v>
      </c>
      <c r="AD247" s="471" t="s">
        <v>831</v>
      </c>
      <c r="AE247" s="1242"/>
      <c r="AF247" s="1194"/>
      <c r="AG247" s="1194"/>
      <c r="AH247" s="971" t="s">
        <v>1191</v>
      </c>
      <c r="AI247" s="1195"/>
      <c r="AJ247" s="1195"/>
      <c r="AK247" s="1196"/>
      <c r="AL247" s="1196"/>
    </row>
    <row r="248" spans="1:38" s="1334" customFormat="1" ht="21.75" customHeight="1" x14ac:dyDescent="0.25">
      <c r="A248" s="591"/>
      <c r="B248" s="1128"/>
      <c r="C248" s="1128"/>
      <c r="D248" s="1128"/>
      <c r="E248" s="573">
        <v>22.5</v>
      </c>
      <c r="F248" s="3" t="str" cm="1">
        <f t="array" aca="1" ref="F248" ca="1">OFFSET(E248,-1,1)</f>
        <v>2</v>
      </c>
      <c r="G248" s="1128"/>
      <c r="H248" s="411" t="s">
        <v>2346</v>
      </c>
      <c r="I248" s="1128"/>
      <c r="J248" s="1128"/>
      <c r="K248" s="1128"/>
      <c r="L248" s="1128"/>
      <c r="M248" s="1128"/>
      <c r="N248" s="1128"/>
      <c r="O248" s="1128"/>
      <c r="P248" s="1128"/>
      <c r="Q248" s="1128"/>
      <c r="R248" s="1128"/>
      <c r="S248" s="1128"/>
      <c r="T248" s="388" t="b" cm="1">
        <f t="array" ref="T248">T247</f>
        <v>1</v>
      </c>
      <c r="U248" s="1128"/>
      <c r="V248" s="1128"/>
      <c r="W248" s="1128"/>
      <c r="X248" s="2066"/>
      <c r="Y248" s="1128"/>
      <c r="Z248" s="2067"/>
      <c r="AA248" s="1128"/>
      <c r="AB248" s="636" t="s">
        <v>2347</v>
      </c>
      <c r="AC248" s="472" t="s">
        <v>2348</v>
      </c>
      <c r="AD248" s="471" t="s">
        <v>831</v>
      </c>
      <c r="AE248" s="1242"/>
      <c r="AF248" s="1194"/>
      <c r="AG248" s="1194"/>
      <c r="AH248" s="971" t="s">
        <v>1769</v>
      </c>
      <c r="AI248" s="1195"/>
      <c r="AJ248" s="1195"/>
      <c r="AK248" s="1196"/>
      <c r="AL248" s="1196"/>
    </row>
    <row r="249" spans="1:38" s="1334" customFormat="1" ht="14.25" customHeight="1" x14ac:dyDescent="0.25">
      <c r="A249" s="591"/>
      <c r="B249" s="1128"/>
      <c r="C249" s="1128"/>
      <c r="D249" s="1128"/>
      <c r="E249" s="573">
        <v>15</v>
      </c>
      <c r="F249" s="3" t="str" cm="1">
        <f t="array" aca="1" ref="F249" ca="1">OFFSET(E249,-1,1)</f>
        <v>2</v>
      </c>
      <c r="G249" s="1128"/>
      <c r="H249" s="411" t="s">
        <v>2349</v>
      </c>
      <c r="I249" s="1128"/>
      <c r="J249" s="1128"/>
      <c r="K249" s="1128"/>
      <c r="L249" s="1128"/>
      <c r="M249" s="1128"/>
      <c r="N249" s="1128"/>
      <c r="O249" s="1128"/>
      <c r="P249" s="1128"/>
      <c r="Q249" s="1128"/>
      <c r="R249" s="1128"/>
      <c r="S249" s="1128"/>
      <c r="T249" s="388" t="b" cm="1">
        <f t="array" ref="T249">T248</f>
        <v>1</v>
      </c>
      <c r="U249" s="1128"/>
      <c r="V249" s="1128"/>
      <c r="W249" s="1128"/>
      <c r="X249" s="2066"/>
      <c r="Y249" s="1128"/>
      <c r="Z249" s="2067"/>
      <c r="AA249" s="1128"/>
      <c r="AB249" s="636" t="s">
        <v>2350</v>
      </c>
      <c r="AC249" s="472" t="s">
        <v>2351</v>
      </c>
      <c r="AD249" s="471" t="s">
        <v>831</v>
      </c>
      <c r="AE249" s="480">
        <f>AE250+AE251+AE252</f>
        <v>0</v>
      </c>
      <c r="AF249" s="1194"/>
      <c r="AG249" s="1194"/>
      <c r="AH249" s="971" t="s">
        <v>1771</v>
      </c>
      <c r="AI249" s="1195"/>
      <c r="AJ249" s="1195"/>
      <c r="AK249" s="1196"/>
      <c r="AL249" s="1196"/>
    </row>
    <row r="250" spans="1:38" s="1334" customFormat="1" ht="14.25" customHeight="1" x14ac:dyDescent="0.25">
      <c r="A250" s="591"/>
      <c r="B250" s="1128"/>
      <c r="C250" s="1128"/>
      <c r="D250" s="1128"/>
      <c r="E250" s="573">
        <v>15</v>
      </c>
      <c r="F250" s="3" t="str" cm="1">
        <f t="array" aca="1" ref="F250" ca="1">OFFSET(E250,-1,1)</f>
        <v>2</v>
      </c>
      <c r="G250" s="1128"/>
      <c r="H250" s="411" t="s">
        <v>2352</v>
      </c>
      <c r="I250" s="1128"/>
      <c r="J250" s="1128"/>
      <c r="K250" s="1128"/>
      <c r="L250" s="1128"/>
      <c r="M250" s="1128"/>
      <c r="N250" s="1128"/>
      <c r="O250" s="1128"/>
      <c r="P250" s="1128"/>
      <c r="Q250" s="1128"/>
      <c r="R250" s="1128"/>
      <c r="S250" s="1128"/>
      <c r="T250" s="388" t="b" cm="1">
        <f t="array" ref="T250">T249</f>
        <v>1</v>
      </c>
      <c r="U250" s="1128"/>
      <c r="V250" s="1128"/>
      <c r="W250" s="1128"/>
      <c r="X250" s="2066"/>
      <c r="Y250" s="1128"/>
      <c r="Z250" s="2067"/>
      <c r="AA250" s="1128"/>
      <c r="AB250" s="636" t="s">
        <v>2353</v>
      </c>
      <c r="AC250" s="473" t="s">
        <v>2354</v>
      </c>
      <c r="AD250" s="471" t="s">
        <v>831</v>
      </c>
      <c r="AE250" s="1242"/>
      <c r="AF250" s="1194"/>
      <c r="AG250" s="1194"/>
      <c r="AH250" s="971" t="s">
        <v>1775</v>
      </c>
      <c r="AI250" s="1195"/>
      <c r="AJ250" s="1195"/>
      <c r="AK250" s="1196"/>
      <c r="AL250" s="1196"/>
    </row>
    <row r="251" spans="1:38" s="1334" customFormat="1" ht="14.25" customHeight="1" x14ac:dyDescent="0.25">
      <c r="A251" s="591"/>
      <c r="B251" s="1128"/>
      <c r="C251" s="1128"/>
      <c r="D251" s="1128"/>
      <c r="E251" s="573">
        <v>15</v>
      </c>
      <c r="F251" s="3" t="str" cm="1">
        <f t="array" aca="1" ref="F251" ca="1">OFFSET(E251,-1,1)</f>
        <v>2</v>
      </c>
      <c r="G251" s="1128"/>
      <c r="H251" s="411" t="s">
        <v>2355</v>
      </c>
      <c r="I251" s="1128"/>
      <c r="J251" s="1128"/>
      <c r="K251" s="1128"/>
      <c r="L251" s="1128"/>
      <c r="M251" s="1128"/>
      <c r="N251" s="1128"/>
      <c r="O251" s="1128"/>
      <c r="P251" s="1128"/>
      <c r="Q251" s="1128"/>
      <c r="R251" s="1128"/>
      <c r="S251" s="1128"/>
      <c r="T251" s="388" t="b" cm="1">
        <f t="array" ref="T251">T250</f>
        <v>1</v>
      </c>
      <c r="U251" s="1128"/>
      <c r="V251" s="1128"/>
      <c r="W251" s="1128"/>
      <c r="X251" s="2066"/>
      <c r="Y251" s="1128"/>
      <c r="Z251" s="2067"/>
      <c r="AA251" s="1128"/>
      <c r="AB251" s="637" t="s">
        <v>2356</v>
      </c>
      <c r="AC251" s="475" t="s">
        <v>2357</v>
      </c>
      <c r="AD251" s="476" t="s">
        <v>831</v>
      </c>
      <c r="AE251" s="1242"/>
      <c r="AF251" s="1194"/>
      <c r="AG251" s="1194"/>
      <c r="AH251" s="971" t="s">
        <v>1778</v>
      </c>
      <c r="AI251" s="1195"/>
      <c r="AJ251" s="1195"/>
      <c r="AK251" s="1196"/>
      <c r="AL251" s="1196"/>
    </row>
    <row r="252" spans="1:38" s="1334" customFormat="1" ht="14.25" customHeight="1" x14ac:dyDescent="0.25">
      <c r="A252" s="591"/>
      <c r="B252" s="1128"/>
      <c r="C252" s="1128"/>
      <c r="D252" s="1128"/>
      <c r="E252" s="573">
        <v>15</v>
      </c>
      <c r="F252" s="3" t="str" cm="1">
        <f t="array" aca="1" ref="F252" ca="1">OFFSET(E252,-1,1)</f>
        <v>2</v>
      </c>
      <c r="G252" s="1128"/>
      <c r="H252" s="411" t="s">
        <v>2358</v>
      </c>
      <c r="I252" s="1128"/>
      <c r="J252" s="1128"/>
      <c r="K252" s="1128"/>
      <c r="L252" s="1128"/>
      <c r="M252" s="1128"/>
      <c r="N252" s="1128"/>
      <c r="O252" s="1128"/>
      <c r="P252" s="1128"/>
      <c r="Q252" s="1128"/>
      <c r="R252" s="1128"/>
      <c r="S252" s="1128"/>
      <c r="T252" s="388" t="b" cm="1">
        <f t="array" ref="T252">T251</f>
        <v>1</v>
      </c>
      <c r="U252" s="1128"/>
      <c r="V252" s="1128"/>
      <c r="W252" s="1128"/>
      <c r="X252" s="2066"/>
      <c r="Y252" s="1128"/>
      <c r="Z252" s="2067"/>
      <c r="AA252" s="1128"/>
      <c r="AB252" s="637" t="s">
        <v>2359</v>
      </c>
      <c r="AC252" s="475" t="s">
        <v>1204</v>
      </c>
      <c r="AD252" s="476" t="s">
        <v>831</v>
      </c>
      <c r="AE252" s="1242"/>
      <c r="AF252" s="1194"/>
      <c r="AG252" s="1194"/>
      <c r="AH252" s="971" t="s">
        <v>1781</v>
      </c>
      <c r="AI252" s="1195"/>
      <c r="AJ252" s="1195"/>
      <c r="AK252" s="1196"/>
      <c r="AL252" s="1196"/>
    </row>
    <row r="253" spans="1:38" s="1334" customFormat="1" ht="14.25" customHeight="1" x14ac:dyDescent="0.15">
      <c r="A253" s="591"/>
      <c r="B253" s="1128"/>
      <c r="C253" s="1128"/>
      <c r="D253" s="1128"/>
      <c r="E253" s="573">
        <v>15</v>
      </c>
      <c r="F253" s="3" t="str" cm="1">
        <f t="array" aca="1" ref="F253" ca="1">OFFSET(E253,-1,1)</f>
        <v>2</v>
      </c>
      <c r="G253" s="1128"/>
      <c r="H253" s="411" t="s">
        <v>505</v>
      </c>
      <c r="I253" s="1128"/>
      <c r="J253" s="1128"/>
      <c r="K253" s="1128"/>
      <c r="L253" s="1128"/>
      <c r="M253" s="1128"/>
      <c r="N253" s="1128"/>
      <c r="O253" s="1128"/>
      <c r="P253" s="1128"/>
      <c r="Q253" s="1128"/>
      <c r="R253" s="1128"/>
      <c r="S253" s="1128"/>
      <c r="T253" s="388" t="b" cm="1">
        <f t="array" ref="T253">T252</f>
        <v>1</v>
      </c>
      <c r="U253" s="1128"/>
      <c r="V253" s="1128"/>
      <c r="W253" s="1128"/>
      <c r="X253" s="2066"/>
      <c r="Y253" s="1128"/>
      <c r="Z253" s="2067"/>
      <c r="AA253" s="1128"/>
      <c r="AB253" s="637" t="s">
        <v>919</v>
      </c>
      <c r="AC253" s="477" t="s">
        <v>2360</v>
      </c>
      <c r="AD253" s="476" t="s">
        <v>831</v>
      </c>
      <c r="AE253" s="480">
        <f>SUM(AE254:AE255)</f>
        <v>0</v>
      </c>
      <c r="AF253" s="1194"/>
      <c r="AG253" s="1194"/>
      <c r="AH253" s="973" t="s">
        <v>2361</v>
      </c>
      <c r="AI253" s="1195"/>
      <c r="AJ253" s="1195"/>
      <c r="AK253" s="1196"/>
      <c r="AL253" s="1196"/>
    </row>
    <row r="254" spans="1:38" s="1334" customFormat="1" ht="14.25" hidden="1" customHeight="1" x14ac:dyDescent="0.15">
      <c r="A254" s="591"/>
      <c r="B254" s="1128"/>
      <c r="C254" s="1128"/>
      <c r="D254" s="1128"/>
      <c r="E254" s="573">
        <v>15</v>
      </c>
      <c r="F254" s="3" t="str" cm="1">
        <f t="array" aca="1" ref="F254" ca="1">OFFSET(E254,-1,1)</f>
        <v>2</v>
      </c>
      <c r="G254" s="1128"/>
      <c r="H254" s="411" t="s">
        <v>505</v>
      </c>
      <c r="I254" s="486" cm="1">
        <f t="array" ref="I254">AC254</f>
        <v>0</v>
      </c>
      <c r="J254" s="1128"/>
      <c r="K254" s="1128"/>
      <c r="L254" s="1128"/>
      <c r="M254" s="1128"/>
      <c r="N254" s="1128"/>
      <c r="O254" s="1128"/>
      <c r="P254" s="1128"/>
      <c r="Q254" s="1128"/>
      <c r="R254" s="1128"/>
      <c r="S254" s="1128"/>
      <c r="T254" s="388" t="b">
        <f ca="1">AND(F254&gt;0,Y254&gt;0)</f>
        <v>0</v>
      </c>
      <c r="U254" s="1128"/>
      <c r="V254" s="1128"/>
      <c r="W254" s="478" t="s">
        <v>172</v>
      </c>
      <c r="X254" s="2066"/>
      <c r="Y254" s="411">
        <v>0</v>
      </c>
      <c r="Z254" s="2067"/>
      <c r="AA254" s="1183" t="s">
        <v>173</v>
      </c>
      <c r="AB254" s="636" t="str">
        <f>"1.4."&amp;Y254</f>
        <v>1.4.0</v>
      </c>
      <c r="AC254" s="1931"/>
      <c r="AD254" s="471" t="s">
        <v>831</v>
      </c>
      <c r="AE254" s="1932"/>
      <c r="AF254" s="1194"/>
      <c r="AG254" s="1194"/>
      <c r="AH254" s="973" t="s">
        <v>2361</v>
      </c>
      <c r="AI254" s="910" t="s">
        <v>2362</v>
      </c>
      <c r="AJ254" s="910" cm="1">
        <f t="array" ref="AJ254">AC254</f>
        <v>0</v>
      </c>
      <c r="AK254" s="1196"/>
      <c r="AL254" s="580" t="b">
        <v>1</v>
      </c>
    </row>
    <row r="255" spans="1:38" s="1334" customFormat="1" ht="14.25" customHeight="1" x14ac:dyDescent="0.15">
      <c r="A255" s="591"/>
      <c r="B255" s="1128"/>
      <c r="C255" s="1128"/>
      <c r="D255" s="1128"/>
      <c r="E255" s="573">
        <v>15</v>
      </c>
      <c r="F255" s="3" t="str" cm="1">
        <f t="array" aca="1" ref="F255" ca="1">OFFSET(E255,-1,1)</f>
        <v>2</v>
      </c>
      <c r="G255" s="1128"/>
      <c r="H255" s="1128"/>
      <c r="I255" s="1184" t="str">
        <f>"!== 'не определено' &amp;&amp; row.l1_4 !== null"</f>
        <v>!== 'не определено' &amp;&amp; row.l1_4 !== null</v>
      </c>
      <c r="J255" s="1128"/>
      <c r="K255" s="1128"/>
      <c r="L255" s="1128"/>
      <c r="M255" s="1128"/>
      <c r="N255" s="1128"/>
      <c r="O255" s="1128"/>
      <c r="P255" s="1128"/>
      <c r="Q255" s="1128"/>
      <c r="R255" s="1128"/>
      <c r="S255" s="1128"/>
      <c r="T255" s="388" t="b">
        <f ca="1">F255&gt;0</f>
        <v>1</v>
      </c>
      <c r="U255" s="1128"/>
      <c r="V255" s="1128"/>
      <c r="W255" s="1326" t="s">
        <v>396</v>
      </c>
      <c r="X255" s="2066"/>
      <c r="Y255" s="1128"/>
      <c r="Z255" s="2067"/>
      <c r="AA255" s="1128"/>
      <c r="AB255" s="1185"/>
      <c r="AC255" s="1186" t="s">
        <v>176</v>
      </c>
      <c r="AD255" s="1187"/>
      <c r="AE255" s="1243"/>
      <c r="AF255" s="1194"/>
      <c r="AG255" s="1194"/>
      <c r="AH255" s="1195"/>
      <c r="AI255" s="1195"/>
      <c r="AJ255" s="1195"/>
      <c r="AK255" s="580" t="s">
        <v>2362</v>
      </c>
      <c r="AL255" s="1196"/>
    </row>
    <row r="256" spans="1:38" s="1334" customFormat="1" ht="14.25" customHeight="1" x14ac:dyDescent="0.15">
      <c r="A256" s="591"/>
      <c r="B256" s="1128"/>
      <c r="C256" s="1128"/>
      <c r="D256" s="1128"/>
      <c r="E256" s="573">
        <v>15</v>
      </c>
      <c r="F256" s="3" t="str" cm="1">
        <f t="array" aca="1" ref="F256" ca="1">OFFSET(E256,-1,1)</f>
        <v>2</v>
      </c>
      <c r="G256" s="1128"/>
      <c r="H256" s="411" t="s">
        <v>332</v>
      </c>
      <c r="I256" s="1128"/>
      <c r="J256" s="1128"/>
      <c r="K256" s="1128"/>
      <c r="L256" s="1128"/>
      <c r="M256" s="1128"/>
      <c r="N256" s="1128"/>
      <c r="O256" s="1128"/>
      <c r="P256" s="1128"/>
      <c r="Q256" s="1128"/>
      <c r="R256" s="1128"/>
      <c r="S256" s="1128"/>
      <c r="T256" s="388" t="b" cm="1">
        <f t="array" aca="1" ref="T256" ca="1">T255</f>
        <v>1</v>
      </c>
      <c r="U256" s="1128"/>
      <c r="V256" s="1128"/>
      <c r="W256" s="1128"/>
      <c r="X256" s="2066"/>
      <c r="Y256" s="1128"/>
      <c r="Z256" s="2067"/>
      <c r="AA256" s="1128"/>
      <c r="AB256" s="635" t="s">
        <v>289</v>
      </c>
      <c r="AC256" s="468" t="s">
        <v>1987</v>
      </c>
      <c r="AD256" s="469" t="s">
        <v>831</v>
      </c>
      <c r="AE256" s="480">
        <f>AE257+AE269+AE270+AE280+AE281+AE282+AE285+AE286+AE287+AE288+AE289+AE290</f>
        <v>0</v>
      </c>
      <c r="AF256" s="1194"/>
      <c r="AG256" s="1194"/>
      <c r="AH256" s="910" t="s">
        <v>2363</v>
      </c>
      <c r="AI256" s="1195"/>
      <c r="AJ256" s="1195"/>
      <c r="AK256" s="1196"/>
      <c r="AL256" s="1196"/>
    </row>
    <row r="257" spans="1:38" s="1321" customFormat="1" ht="26.25" customHeight="1" x14ac:dyDescent="0.15">
      <c r="A257" s="591"/>
      <c r="B257" s="411"/>
      <c r="C257" s="411"/>
      <c r="D257" s="411"/>
      <c r="E257" s="573">
        <v>27</v>
      </c>
      <c r="F257" s="446" t="str" cm="1">
        <f t="array" aca="1" ref="F257" ca="1">OFFSET(E257,-1,1)</f>
        <v>2</v>
      </c>
      <c r="G257" s="411"/>
      <c r="H257" s="411"/>
      <c r="I257" s="411"/>
      <c r="J257" s="411"/>
      <c r="K257" s="411"/>
      <c r="L257" s="411"/>
      <c r="M257" s="411"/>
      <c r="N257" s="411"/>
      <c r="O257" s="411"/>
      <c r="P257" s="411"/>
      <c r="Q257" s="411"/>
      <c r="R257" s="411"/>
      <c r="S257" s="411"/>
      <c r="T257" s="388" t="b" cm="1">
        <f t="array" aca="1" ref="T257" ca="1">T256</f>
        <v>1</v>
      </c>
      <c r="U257" s="411"/>
      <c r="V257" s="411"/>
      <c r="W257" s="411"/>
      <c r="X257" s="2066"/>
      <c r="Y257" s="411"/>
      <c r="Z257" s="2067"/>
      <c r="AA257" s="411"/>
      <c r="AB257" s="1177" t="s">
        <v>566</v>
      </c>
      <c r="AC257" s="1188" t="s">
        <v>1989</v>
      </c>
      <c r="AD257" s="1176" t="s">
        <v>831</v>
      </c>
      <c r="AE257" s="480">
        <f>SUM(AE258:AE268)</f>
        <v>0</v>
      </c>
      <c r="AF257" s="1016"/>
      <c r="AG257" s="1016"/>
      <c r="AH257" s="973" t="s">
        <v>1205</v>
      </c>
      <c r="AI257" s="967"/>
      <c r="AJ257" s="967"/>
      <c r="AK257" s="876"/>
      <c r="AL257" s="876"/>
    </row>
    <row r="258" spans="1:38" s="1321" customFormat="1" ht="14.25" customHeight="1" x14ac:dyDescent="0.15">
      <c r="A258" s="591"/>
      <c r="B258" s="411"/>
      <c r="C258" s="411"/>
      <c r="D258" s="411"/>
      <c r="E258" s="573">
        <v>15</v>
      </c>
      <c r="F258" s="446" t="str" cm="1">
        <f t="array" aca="1" ref="F258" ca="1">OFFSET(E258,-1,1)</f>
        <v>2</v>
      </c>
      <c r="G258" s="411"/>
      <c r="H258" s="411"/>
      <c r="I258" s="411"/>
      <c r="J258" s="411"/>
      <c r="K258" s="411"/>
      <c r="L258" s="411"/>
      <c r="M258" s="411"/>
      <c r="N258" s="411"/>
      <c r="O258" s="411"/>
      <c r="P258" s="411"/>
      <c r="Q258" s="411"/>
      <c r="R258" s="411"/>
      <c r="S258" s="411"/>
      <c r="T258" s="388" t="b" cm="1">
        <f t="array" aca="1" ref="T258" ca="1">T257</f>
        <v>1</v>
      </c>
      <c r="U258" s="411"/>
      <c r="V258" s="411"/>
      <c r="W258" s="411"/>
      <c r="X258" s="2066"/>
      <c r="Y258" s="411"/>
      <c r="Z258" s="2067"/>
      <c r="AA258" s="411"/>
      <c r="AB258" s="1177" t="s">
        <v>520</v>
      </c>
      <c r="AC258" s="1180" t="s">
        <v>1991</v>
      </c>
      <c r="AD258" s="1179" t="s">
        <v>831</v>
      </c>
      <c r="AE258" s="481"/>
      <c r="AF258" s="1016"/>
      <c r="AG258" s="1016"/>
      <c r="AH258" s="973" t="s">
        <v>2364</v>
      </c>
      <c r="AI258" s="967"/>
      <c r="AJ258" s="967"/>
      <c r="AK258" s="876"/>
      <c r="AL258" s="876"/>
    </row>
    <row r="259" spans="1:38" s="1321" customFormat="1" ht="14.25" customHeight="1" x14ac:dyDescent="0.15">
      <c r="A259" s="591"/>
      <c r="B259" s="411"/>
      <c r="C259" s="411"/>
      <c r="D259" s="411"/>
      <c r="E259" s="573">
        <v>15</v>
      </c>
      <c r="F259" s="446" t="str" cm="1">
        <f t="array" aca="1" ref="F259" ca="1">OFFSET(E259,-1,1)</f>
        <v>2</v>
      </c>
      <c r="G259" s="411"/>
      <c r="H259" s="411"/>
      <c r="I259" s="411"/>
      <c r="J259" s="411"/>
      <c r="K259" s="411"/>
      <c r="L259" s="411"/>
      <c r="M259" s="411"/>
      <c r="N259" s="411"/>
      <c r="O259" s="411"/>
      <c r="P259" s="411"/>
      <c r="Q259" s="411"/>
      <c r="R259" s="411"/>
      <c r="S259" s="411"/>
      <c r="T259" s="388" t="b" cm="1">
        <f t="array" aca="1" ref="T259" ca="1">T258</f>
        <v>1</v>
      </c>
      <c r="U259" s="411"/>
      <c r="V259" s="411"/>
      <c r="W259" s="411"/>
      <c r="X259" s="2066"/>
      <c r="Y259" s="411"/>
      <c r="Z259" s="2067"/>
      <c r="AA259" s="411"/>
      <c r="AB259" s="1177" t="s">
        <v>1992</v>
      </c>
      <c r="AC259" s="1180" t="s">
        <v>1993</v>
      </c>
      <c r="AD259" s="1179" t="s">
        <v>831</v>
      </c>
      <c r="AE259" s="481"/>
      <c r="AF259" s="1016"/>
      <c r="AG259" s="1016"/>
      <c r="AH259" s="973" t="s">
        <v>2365</v>
      </c>
      <c r="AI259" s="967"/>
      <c r="AJ259" s="967"/>
      <c r="AK259" s="876"/>
      <c r="AL259" s="876"/>
    </row>
    <row r="260" spans="1:38" s="1321" customFormat="1" ht="14.25" customHeight="1" x14ac:dyDescent="0.15">
      <c r="A260" s="591"/>
      <c r="B260" s="411"/>
      <c r="C260" s="411"/>
      <c r="D260" s="411"/>
      <c r="E260" s="573">
        <v>15</v>
      </c>
      <c r="F260" s="446" t="str" cm="1">
        <f t="array" aca="1" ref="F260" ca="1">OFFSET(E260,-1,1)</f>
        <v>2</v>
      </c>
      <c r="G260" s="411"/>
      <c r="H260" s="411"/>
      <c r="I260" s="411"/>
      <c r="J260" s="411"/>
      <c r="K260" s="411"/>
      <c r="L260" s="411"/>
      <c r="M260" s="411"/>
      <c r="N260" s="411"/>
      <c r="O260" s="411"/>
      <c r="P260" s="411"/>
      <c r="Q260" s="411"/>
      <c r="R260" s="411"/>
      <c r="S260" s="411"/>
      <c r="T260" s="388" t="b" cm="1">
        <f t="array" aca="1" ref="T260" ca="1">T259</f>
        <v>1</v>
      </c>
      <c r="U260" s="411"/>
      <c r="V260" s="411"/>
      <c r="W260" s="411"/>
      <c r="X260" s="2066"/>
      <c r="Y260" s="411"/>
      <c r="Z260" s="2067"/>
      <c r="AA260" s="411"/>
      <c r="AB260" s="1177" t="s">
        <v>1994</v>
      </c>
      <c r="AC260" s="1180" t="s">
        <v>1995</v>
      </c>
      <c r="AD260" s="1179" t="s">
        <v>831</v>
      </c>
      <c r="AE260" s="481"/>
      <c r="AF260" s="1016"/>
      <c r="AG260" s="1016"/>
      <c r="AH260" s="973" t="s">
        <v>2366</v>
      </c>
      <c r="AI260" s="967"/>
      <c r="AJ260" s="967"/>
      <c r="AK260" s="876"/>
      <c r="AL260" s="876"/>
    </row>
    <row r="261" spans="1:38" s="1321" customFormat="1" ht="14.25" customHeight="1" x14ac:dyDescent="0.15">
      <c r="A261" s="591"/>
      <c r="B261" s="411"/>
      <c r="C261" s="411"/>
      <c r="D261" s="411"/>
      <c r="E261" s="573">
        <v>15</v>
      </c>
      <c r="F261" s="446" t="str" cm="1">
        <f t="array" aca="1" ref="F261" ca="1">OFFSET(E261,-1,1)</f>
        <v>2</v>
      </c>
      <c r="G261" s="411"/>
      <c r="H261" s="411"/>
      <c r="I261" s="411"/>
      <c r="J261" s="411"/>
      <c r="K261" s="411"/>
      <c r="L261" s="411"/>
      <c r="M261" s="411"/>
      <c r="N261" s="411"/>
      <c r="O261" s="411"/>
      <c r="P261" s="411"/>
      <c r="Q261" s="411"/>
      <c r="R261" s="411"/>
      <c r="S261" s="411"/>
      <c r="T261" s="388" t="b" cm="1">
        <f t="array" aca="1" ref="T261" ca="1">T260</f>
        <v>1</v>
      </c>
      <c r="U261" s="411"/>
      <c r="V261" s="411"/>
      <c r="W261" s="411"/>
      <c r="X261" s="2066"/>
      <c r="Y261" s="411"/>
      <c r="Z261" s="2067"/>
      <c r="AA261" s="411"/>
      <c r="AB261" s="1177" t="s">
        <v>1997</v>
      </c>
      <c r="AC261" s="1180" t="s">
        <v>1998</v>
      </c>
      <c r="AD261" s="1179" t="s">
        <v>831</v>
      </c>
      <c r="AE261" s="481"/>
      <c r="AF261" s="1016"/>
      <c r="AG261" s="1016"/>
      <c r="AH261" s="973" t="s">
        <v>2367</v>
      </c>
      <c r="AI261" s="967"/>
      <c r="AJ261" s="967"/>
      <c r="AK261" s="876"/>
      <c r="AL261" s="876"/>
    </row>
    <row r="262" spans="1:38" s="1321" customFormat="1" ht="14.25" customHeight="1" x14ac:dyDescent="0.15">
      <c r="A262" s="591"/>
      <c r="B262" s="411"/>
      <c r="C262" s="411"/>
      <c r="D262" s="411"/>
      <c r="E262" s="573">
        <v>15</v>
      </c>
      <c r="F262" s="446" t="str" cm="1">
        <f t="array" aca="1" ref="F262" ca="1">OFFSET(E262,-1,1)</f>
        <v>2</v>
      </c>
      <c r="G262" s="411"/>
      <c r="H262" s="411"/>
      <c r="I262" s="411"/>
      <c r="J262" s="411"/>
      <c r="K262" s="411"/>
      <c r="L262" s="411"/>
      <c r="M262" s="411"/>
      <c r="N262" s="411"/>
      <c r="O262" s="411"/>
      <c r="P262" s="411"/>
      <c r="Q262" s="411"/>
      <c r="R262" s="411"/>
      <c r="S262" s="411"/>
      <c r="T262" s="388" t="b" cm="1">
        <f t="array" aca="1" ref="T262" ca="1">T261</f>
        <v>1</v>
      </c>
      <c r="U262" s="411"/>
      <c r="V262" s="411"/>
      <c r="W262" s="411"/>
      <c r="X262" s="2066"/>
      <c r="Y262" s="411"/>
      <c r="Z262" s="2067"/>
      <c r="AA262" s="411"/>
      <c r="AB262" s="1177" t="s">
        <v>2000</v>
      </c>
      <c r="AC262" s="1180" t="s">
        <v>2001</v>
      </c>
      <c r="AD262" s="1179" t="s">
        <v>831</v>
      </c>
      <c r="AE262" s="481"/>
      <c r="AF262" s="1016"/>
      <c r="AG262" s="1016"/>
      <c r="AH262" s="973" t="s">
        <v>2368</v>
      </c>
      <c r="AI262" s="967"/>
      <c r="AJ262" s="967"/>
      <c r="AK262" s="876"/>
      <c r="AL262" s="876"/>
    </row>
    <row r="263" spans="1:38" s="1321" customFormat="1" ht="26.25" customHeight="1" x14ac:dyDescent="0.15">
      <c r="A263" s="591"/>
      <c r="B263" s="411"/>
      <c r="C263" s="411"/>
      <c r="D263" s="411"/>
      <c r="E263" s="573">
        <v>27</v>
      </c>
      <c r="F263" s="446" t="str" cm="1">
        <f t="array" aca="1" ref="F263" ca="1">OFFSET(E263,-1,1)</f>
        <v>2</v>
      </c>
      <c r="G263" s="411"/>
      <c r="H263" s="411"/>
      <c r="I263" s="411"/>
      <c r="J263" s="411"/>
      <c r="K263" s="411"/>
      <c r="L263" s="411"/>
      <c r="M263" s="411"/>
      <c r="N263" s="411"/>
      <c r="O263" s="411"/>
      <c r="P263" s="411"/>
      <c r="Q263" s="411"/>
      <c r="R263" s="411"/>
      <c r="S263" s="411"/>
      <c r="T263" s="388" t="b" cm="1">
        <f t="array" aca="1" ref="T263" ca="1">T262</f>
        <v>1</v>
      </c>
      <c r="U263" s="411"/>
      <c r="V263" s="411"/>
      <c r="W263" s="411"/>
      <c r="X263" s="2066"/>
      <c r="Y263" s="411"/>
      <c r="Z263" s="2067"/>
      <c r="AA263" s="411"/>
      <c r="AB263" s="1177" t="s">
        <v>2003</v>
      </c>
      <c r="AC263" s="1180" t="s">
        <v>2004</v>
      </c>
      <c r="AD263" s="1179" t="s">
        <v>831</v>
      </c>
      <c r="AE263" s="481"/>
      <c r="AF263" s="1016"/>
      <c r="AG263" s="1016"/>
      <c r="AH263" s="973" t="s">
        <v>2369</v>
      </c>
      <c r="AI263" s="967"/>
      <c r="AJ263" s="967"/>
      <c r="AK263" s="876"/>
      <c r="AL263" s="876"/>
    </row>
    <row r="264" spans="1:38" s="1321" customFormat="1" ht="14.25" customHeight="1" x14ac:dyDescent="0.15">
      <c r="A264" s="591"/>
      <c r="B264" s="411"/>
      <c r="C264" s="411"/>
      <c r="D264" s="411"/>
      <c r="E264" s="573">
        <v>15</v>
      </c>
      <c r="F264" s="446" t="str" cm="1">
        <f t="array" aca="1" ref="F264" ca="1">OFFSET(E264,-1,1)</f>
        <v>2</v>
      </c>
      <c r="G264" s="411"/>
      <c r="H264" s="411"/>
      <c r="I264" s="411"/>
      <c r="J264" s="411"/>
      <c r="K264" s="411"/>
      <c r="L264" s="411"/>
      <c r="M264" s="411"/>
      <c r="N264" s="411"/>
      <c r="O264" s="411"/>
      <c r="P264" s="411"/>
      <c r="Q264" s="411"/>
      <c r="R264" s="411"/>
      <c r="S264" s="411"/>
      <c r="T264" s="388" t="b" cm="1">
        <f t="array" aca="1" ref="T264" ca="1">T263</f>
        <v>1</v>
      </c>
      <c r="U264" s="411"/>
      <c r="V264" s="411"/>
      <c r="W264" s="411"/>
      <c r="X264" s="2066"/>
      <c r="Y264" s="411"/>
      <c r="Z264" s="2067"/>
      <c r="AA264" s="411"/>
      <c r="AB264" s="1177" t="s">
        <v>2007</v>
      </c>
      <c r="AC264" s="1180" t="s">
        <v>2008</v>
      </c>
      <c r="AD264" s="1179" t="s">
        <v>831</v>
      </c>
      <c r="AE264" s="481"/>
      <c r="AF264" s="1016"/>
      <c r="AG264" s="1016"/>
      <c r="AH264" s="973" t="s">
        <v>2370</v>
      </c>
      <c r="AI264" s="967"/>
      <c r="AJ264" s="967"/>
      <c r="AK264" s="876"/>
      <c r="AL264" s="876"/>
    </row>
    <row r="265" spans="1:38" s="1321" customFormat="1" ht="14.25" customHeight="1" x14ac:dyDescent="0.15">
      <c r="A265" s="591"/>
      <c r="B265" s="411"/>
      <c r="C265" s="411"/>
      <c r="D265" s="411"/>
      <c r="E265" s="573">
        <v>15</v>
      </c>
      <c r="F265" s="446" t="str" cm="1">
        <f t="array" aca="1" ref="F265" ca="1">OFFSET(E265,-1,1)</f>
        <v>2</v>
      </c>
      <c r="G265" s="411"/>
      <c r="H265" s="411"/>
      <c r="I265" s="411"/>
      <c r="J265" s="411"/>
      <c r="K265" s="411"/>
      <c r="L265" s="411"/>
      <c r="M265" s="411"/>
      <c r="N265" s="411"/>
      <c r="O265" s="411"/>
      <c r="P265" s="411"/>
      <c r="Q265" s="411"/>
      <c r="R265" s="411"/>
      <c r="S265" s="411"/>
      <c r="T265" s="388" t="b" cm="1">
        <f t="array" aca="1" ref="T265" ca="1">T264</f>
        <v>1</v>
      </c>
      <c r="U265" s="411"/>
      <c r="V265" s="411"/>
      <c r="W265" s="411"/>
      <c r="X265" s="2066"/>
      <c r="Y265" s="411"/>
      <c r="Z265" s="2067"/>
      <c r="AA265" s="411"/>
      <c r="AB265" s="1177" t="s">
        <v>2011</v>
      </c>
      <c r="AC265" s="1180" t="s">
        <v>2012</v>
      </c>
      <c r="AD265" s="1179" t="s">
        <v>831</v>
      </c>
      <c r="AE265" s="481"/>
      <c r="AF265" s="1016"/>
      <c r="AG265" s="1016"/>
      <c r="AH265" s="973" t="s">
        <v>2371</v>
      </c>
      <c r="AI265" s="967"/>
      <c r="AJ265" s="967"/>
      <c r="AK265" s="876"/>
      <c r="AL265" s="876"/>
    </row>
    <row r="266" spans="1:38" s="1321" customFormat="1" ht="14.25" customHeight="1" x14ac:dyDescent="0.15">
      <c r="A266" s="591"/>
      <c r="B266" s="411"/>
      <c r="C266" s="411"/>
      <c r="D266" s="411"/>
      <c r="E266" s="573">
        <v>15</v>
      </c>
      <c r="F266" s="446" t="str" cm="1">
        <f t="array" aca="1" ref="F266" ca="1">OFFSET(E266,-1,1)</f>
        <v>2</v>
      </c>
      <c r="G266" s="411"/>
      <c r="H266" s="411"/>
      <c r="I266" s="411"/>
      <c r="J266" s="411"/>
      <c r="K266" s="411"/>
      <c r="L266" s="411"/>
      <c r="M266" s="411"/>
      <c r="N266" s="411"/>
      <c r="O266" s="411"/>
      <c r="P266" s="411"/>
      <c r="Q266" s="411"/>
      <c r="R266" s="411"/>
      <c r="S266" s="411"/>
      <c r="T266" s="388" t="b" cm="1">
        <f t="array" aca="1" ref="T266" ca="1">T265</f>
        <v>1</v>
      </c>
      <c r="U266" s="411"/>
      <c r="V266" s="411"/>
      <c r="W266" s="411"/>
      <c r="X266" s="2066"/>
      <c r="Y266" s="411"/>
      <c r="Z266" s="2067"/>
      <c r="AA266" s="411"/>
      <c r="AB266" s="1177" t="s">
        <v>2014</v>
      </c>
      <c r="AC266" s="1180" t="s">
        <v>2015</v>
      </c>
      <c r="AD266" s="1179" t="s">
        <v>831</v>
      </c>
      <c r="AE266" s="481"/>
      <c r="AF266" s="1016"/>
      <c r="AG266" s="1016"/>
      <c r="AH266" s="973" t="s">
        <v>2372</v>
      </c>
      <c r="AI266" s="967"/>
      <c r="AJ266" s="967"/>
      <c r="AK266" s="876"/>
      <c r="AL266" s="876"/>
    </row>
    <row r="267" spans="1:38" s="1321" customFormat="1" ht="14.25" customHeight="1" x14ac:dyDescent="0.15">
      <c r="A267" s="591"/>
      <c r="B267" s="411"/>
      <c r="C267" s="411"/>
      <c r="D267" s="411"/>
      <c r="E267" s="573">
        <v>15</v>
      </c>
      <c r="F267" s="446" t="str" cm="1">
        <f t="array" aca="1" ref="F267" ca="1">OFFSET(E267,-1,1)</f>
        <v>2</v>
      </c>
      <c r="G267" s="411"/>
      <c r="H267" s="411"/>
      <c r="I267" s="411"/>
      <c r="J267" s="411"/>
      <c r="K267" s="411"/>
      <c r="L267" s="411"/>
      <c r="M267" s="411"/>
      <c r="N267" s="411"/>
      <c r="O267" s="411"/>
      <c r="P267" s="411"/>
      <c r="Q267" s="411"/>
      <c r="R267" s="411"/>
      <c r="S267" s="411"/>
      <c r="T267" s="388" t="b" cm="1">
        <f t="array" aca="1" ref="T267" ca="1">T266</f>
        <v>1</v>
      </c>
      <c r="U267" s="411"/>
      <c r="V267" s="411"/>
      <c r="W267" s="411"/>
      <c r="X267" s="2066"/>
      <c r="Y267" s="411"/>
      <c r="Z267" s="2067"/>
      <c r="AA267" s="411"/>
      <c r="AB267" s="1177" t="s">
        <v>2017</v>
      </c>
      <c r="AC267" s="1180" t="s">
        <v>2018</v>
      </c>
      <c r="AD267" s="1179" t="s">
        <v>831</v>
      </c>
      <c r="AE267" s="481"/>
      <c r="AF267" s="1016"/>
      <c r="AG267" s="1016"/>
      <c r="AH267" s="973" t="s">
        <v>2373</v>
      </c>
      <c r="AI267" s="967"/>
      <c r="AJ267" s="967"/>
      <c r="AK267" s="876"/>
      <c r="AL267" s="876"/>
    </row>
    <row r="268" spans="1:38" s="1321" customFormat="1" ht="14.25" customHeight="1" x14ac:dyDescent="0.15">
      <c r="A268" s="591"/>
      <c r="B268" s="411"/>
      <c r="C268" s="411"/>
      <c r="D268" s="411"/>
      <c r="E268" s="573">
        <v>15</v>
      </c>
      <c r="F268" s="446" t="str" cm="1">
        <f t="array" aca="1" ref="F268" ca="1">OFFSET(E268,-1,1)</f>
        <v>2</v>
      </c>
      <c r="G268" s="411"/>
      <c r="H268" s="411"/>
      <c r="I268" s="411"/>
      <c r="J268" s="411"/>
      <c r="K268" s="411"/>
      <c r="L268" s="411"/>
      <c r="M268" s="411"/>
      <c r="N268" s="411"/>
      <c r="O268" s="411"/>
      <c r="P268" s="411"/>
      <c r="Q268" s="411"/>
      <c r="R268" s="411"/>
      <c r="S268" s="411"/>
      <c r="T268" s="388" t="b" cm="1">
        <f t="array" aca="1" ref="T268" ca="1">T267</f>
        <v>1</v>
      </c>
      <c r="U268" s="411"/>
      <c r="V268" s="411"/>
      <c r="W268" s="411"/>
      <c r="X268" s="2066"/>
      <c r="Y268" s="411"/>
      <c r="Z268" s="2067"/>
      <c r="AA268" s="411"/>
      <c r="AB268" s="1177" t="s">
        <v>2019</v>
      </c>
      <c r="AC268" s="1180" t="s">
        <v>2020</v>
      </c>
      <c r="AD268" s="1179" t="s">
        <v>831</v>
      </c>
      <c r="AE268" s="481"/>
      <c r="AF268" s="1016"/>
      <c r="AG268" s="1016"/>
      <c r="AH268" s="973" t="s">
        <v>2374</v>
      </c>
      <c r="AI268" s="967"/>
      <c r="AJ268" s="967"/>
      <c r="AK268" s="876"/>
      <c r="AL268" s="876"/>
    </row>
    <row r="269" spans="1:38" s="1321" customFormat="1" ht="14.25" customHeight="1" x14ac:dyDescent="0.15">
      <c r="A269" s="591"/>
      <c r="B269" s="411"/>
      <c r="C269" s="411"/>
      <c r="D269" s="411"/>
      <c r="E269" s="573">
        <v>15</v>
      </c>
      <c r="F269" s="446" t="str" cm="1">
        <f t="array" aca="1" ref="F269" ca="1">OFFSET(E269,-1,1)</f>
        <v>2</v>
      </c>
      <c r="G269" s="411"/>
      <c r="H269" s="411"/>
      <c r="I269" s="411"/>
      <c r="J269" s="411"/>
      <c r="K269" s="411"/>
      <c r="L269" s="411"/>
      <c r="M269" s="411"/>
      <c r="N269" s="411"/>
      <c r="O269" s="411"/>
      <c r="P269" s="411"/>
      <c r="Q269" s="411"/>
      <c r="R269" s="411"/>
      <c r="S269" s="411"/>
      <c r="T269" s="388" t="b" cm="1">
        <f t="array" aca="1" ref="T269" ca="1">T268</f>
        <v>1</v>
      </c>
      <c r="U269" s="411"/>
      <c r="V269" s="411"/>
      <c r="W269" s="411"/>
      <c r="X269" s="2066"/>
      <c r="Y269" s="411"/>
      <c r="Z269" s="2067"/>
      <c r="AA269" s="411"/>
      <c r="AB269" s="1177" t="s">
        <v>570</v>
      </c>
      <c r="AC269" s="1178" t="s">
        <v>2021</v>
      </c>
      <c r="AD269" s="1179" t="s">
        <v>831</v>
      </c>
      <c r="AE269" s="481"/>
      <c r="AF269" s="1016"/>
      <c r="AG269" s="1016"/>
      <c r="AH269" s="973" t="s">
        <v>2375</v>
      </c>
      <c r="AI269" s="967"/>
      <c r="AJ269" s="967"/>
      <c r="AK269" s="876"/>
      <c r="AL269" s="876"/>
    </row>
    <row r="270" spans="1:38" s="1334" customFormat="1" ht="14.25" customHeight="1" x14ac:dyDescent="0.15">
      <c r="A270" s="591"/>
      <c r="B270" s="1128"/>
      <c r="C270" s="1128"/>
      <c r="D270" s="1128"/>
      <c r="E270" s="573">
        <v>15</v>
      </c>
      <c r="F270" s="3" t="str" cm="1">
        <f t="array" aca="1" ref="F270" ca="1">OFFSET(E270,-1,1)</f>
        <v>2</v>
      </c>
      <c r="G270" s="1128"/>
      <c r="H270" s="411" t="s">
        <v>515</v>
      </c>
      <c r="I270" s="1128"/>
      <c r="J270" s="1128"/>
      <c r="K270" s="1128"/>
      <c r="L270" s="1128"/>
      <c r="M270" s="1128"/>
      <c r="N270" s="1128"/>
      <c r="O270" s="1128"/>
      <c r="P270" s="1128"/>
      <c r="Q270" s="1128"/>
      <c r="R270" s="1128"/>
      <c r="S270" s="1128"/>
      <c r="T270" s="388" t="b" cm="1">
        <f t="array" aca="1" ref="T270" ca="1">T256</f>
        <v>1</v>
      </c>
      <c r="U270" s="1128"/>
      <c r="V270" s="1128"/>
      <c r="W270" s="1128"/>
      <c r="X270" s="2066"/>
      <c r="Y270" s="1128"/>
      <c r="Z270" s="2067"/>
      <c r="AA270" s="1128"/>
      <c r="AB270" s="636" t="s">
        <v>574</v>
      </c>
      <c r="AC270" s="470" t="s">
        <v>2376</v>
      </c>
      <c r="AD270" s="471" t="s">
        <v>831</v>
      </c>
      <c r="AE270" s="480">
        <f>SUM(AE271:AE279)</f>
        <v>0</v>
      </c>
      <c r="AF270" s="1194"/>
      <c r="AG270" s="1194"/>
      <c r="AH270" s="979" t="s">
        <v>1233</v>
      </c>
      <c r="AI270" s="1195"/>
      <c r="AJ270" s="1195"/>
      <c r="AK270" s="1196"/>
      <c r="AL270" s="1196"/>
    </row>
    <row r="271" spans="1:38" s="1334" customFormat="1" ht="14.25" customHeight="1" x14ac:dyDescent="0.15">
      <c r="A271" s="591"/>
      <c r="B271" s="1128"/>
      <c r="C271" s="1128"/>
      <c r="D271" s="1128"/>
      <c r="E271" s="573">
        <v>15</v>
      </c>
      <c r="F271" s="3" t="str" cm="1">
        <f t="array" aca="1" ref="F271" ca="1">OFFSET(E271,-1,1)</f>
        <v>2</v>
      </c>
      <c r="G271" s="1128"/>
      <c r="H271" s="411" t="s">
        <v>1754</v>
      </c>
      <c r="I271" s="1128"/>
      <c r="J271" s="1128"/>
      <c r="K271" s="1128"/>
      <c r="L271" s="1128"/>
      <c r="M271" s="1128"/>
      <c r="N271" s="1128"/>
      <c r="O271" s="1128"/>
      <c r="P271" s="1128"/>
      <c r="Q271" s="1128"/>
      <c r="R271" s="1128"/>
      <c r="S271" s="1128"/>
      <c r="T271" s="388" t="b" cm="1">
        <f t="array" aca="1" ref="T271" ca="1">T270</f>
        <v>1</v>
      </c>
      <c r="U271" s="1128"/>
      <c r="V271" s="1128"/>
      <c r="W271" s="1128"/>
      <c r="X271" s="2066"/>
      <c r="Y271" s="1128"/>
      <c r="Z271" s="2067"/>
      <c r="AA271" s="1128"/>
      <c r="AB271" s="636" t="s">
        <v>531</v>
      </c>
      <c r="AC271" s="472" t="s">
        <v>1248</v>
      </c>
      <c r="AD271" s="471" t="s">
        <v>831</v>
      </c>
      <c r="AE271" s="1242"/>
      <c r="AF271" s="1194"/>
      <c r="AG271" s="1194"/>
      <c r="AH271" s="973" t="s">
        <v>2024</v>
      </c>
      <c r="AI271" s="1195"/>
      <c r="AJ271" s="1195"/>
      <c r="AK271" s="1196"/>
      <c r="AL271" s="1196"/>
    </row>
    <row r="272" spans="1:38" s="1334" customFormat="1" ht="14.25" customHeight="1" x14ac:dyDescent="0.15">
      <c r="A272" s="591"/>
      <c r="B272" s="1128"/>
      <c r="C272" s="1128"/>
      <c r="D272" s="1128"/>
      <c r="E272" s="573">
        <v>15</v>
      </c>
      <c r="F272" s="3" t="str" cm="1">
        <f t="array" aca="1" ref="F272" ca="1">OFFSET(E272,-1,1)</f>
        <v>2</v>
      </c>
      <c r="G272" s="1128"/>
      <c r="H272" s="411" t="s">
        <v>1757</v>
      </c>
      <c r="I272" s="1128"/>
      <c r="J272" s="1128"/>
      <c r="K272" s="1128"/>
      <c r="L272" s="1128"/>
      <c r="M272" s="1128"/>
      <c r="N272" s="1128"/>
      <c r="O272" s="1128"/>
      <c r="P272" s="1128"/>
      <c r="Q272" s="1128"/>
      <c r="R272" s="1128"/>
      <c r="S272" s="1128"/>
      <c r="T272" s="388" t="b" cm="1">
        <f t="array" aca="1" ref="T272" ca="1">T271</f>
        <v>1</v>
      </c>
      <c r="U272" s="1128"/>
      <c r="V272" s="1128"/>
      <c r="W272" s="1128"/>
      <c r="X272" s="2066"/>
      <c r="Y272" s="1128"/>
      <c r="Z272" s="2067"/>
      <c r="AA272" s="1128"/>
      <c r="AB272" s="636" t="s">
        <v>1459</v>
      </c>
      <c r="AC272" s="472" t="s">
        <v>2377</v>
      </c>
      <c r="AD272" s="471" t="s">
        <v>831</v>
      </c>
      <c r="AE272" s="1242"/>
      <c r="AF272" s="1194"/>
      <c r="AG272" s="1194"/>
      <c r="AH272" s="973" t="s">
        <v>2027</v>
      </c>
      <c r="AI272" s="1195"/>
      <c r="AJ272" s="1195"/>
      <c r="AK272" s="1196"/>
      <c r="AL272" s="1196"/>
    </row>
    <row r="273" spans="1:38" s="1334" customFormat="1" ht="14.25" customHeight="1" x14ac:dyDescent="0.15">
      <c r="A273" s="591"/>
      <c r="B273" s="1128"/>
      <c r="C273" s="1128"/>
      <c r="D273" s="1128"/>
      <c r="E273" s="573">
        <v>15</v>
      </c>
      <c r="F273" s="3" t="str" cm="1">
        <f t="array" aca="1" ref="F273" ca="1">OFFSET(E273,-1,1)</f>
        <v>2</v>
      </c>
      <c r="G273" s="1128"/>
      <c r="H273" s="411" t="s">
        <v>2378</v>
      </c>
      <c r="I273" s="1128"/>
      <c r="J273" s="1128"/>
      <c r="K273" s="1128"/>
      <c r="L273" s="1128"/>
      <c r="M273" s="1128"/>
      <c r="N273" s="1128"/>
      <c r="O273" s="1128"/>
      <c r="P273" s="1128"/>
      <c r="Q273" s="1128"/>
      <c r="R273" s="1128"/>
      <c r="S273" s="1128"/>
      <c r="T273" s="388" t="b" cm="1">
        <f t="array" aca="1" ref="T273" ca="1">T272</f>
        <v>1</v>
      </c>
      <c r="U273" s="1128"/>
      <c r="V273" s="1128"/>
      <c r="W273" s="1128"/>
      <c r="X273" s="2066"/>
      <c r="Y273" s="1128"/>
      <c r="Z273" s="2067"/>
      <c r="AA273" s="1128"/>
      <c r="AB273" s="636" t="s">
        <v>1464</v>
      </c>
      <c r="AC273" s="472" t="s">
        <v>2379</v>
      </c>
      <c r="AD273" s="471" t="s">
        <v>831</v>
      </c>
      <c r="AE273" s="1242"/>
      <c r="AF273" s="1194"/>
      <c r="AG273" s="1194"/>
      <c r="AH273" s="973" t="s">
        <v>2030</v>
      </c>
      <c r="AI273" s="1195"/>
      <c r="AJ273" s="1195"/>
      <c r="AK273" s="1196"/>
      <c r="AL273" s="1196"/>
    </row>
    <row r="274" spans="1:38" s="1334" customFormat="1" ht="14.25" customHeight="1" x14ac:dyDescent="0.15">
      <c r="A274" s="591"/>
      <c r="B274" s="1128"/>
      <c r="C274" s="1128"/>
      <c r="D274" s="1128"/>
      <c r="E274" s="573">
        <v>15</v>
      </c>
      <c r="F274" s="3" t="str" cm="1">
        <f t="array" aca="1" ref="F274" ca="1">OFFSET(E274,-1,1)</f>
        <v>2</v>
      </c>
      <c r="G274" s="1128"/>
      <c r="H274" s="411" t="s">
        <v>2380</v>
      </c>
      <c r="I274" s="1128"/>
      <c r="J274" s="1128"/>
      <c r="K274" s="1128"/>
      <c r="L274" s="1128"/>
      <c r="M274" s="1128"/>
      <c r="N274" s="1128"/>
      <c r="O274" s="1128"/>
      <c r="P274" s="1128"/>
      <c r="Q274" s="1128"/>
      <c r="R274" s="1128"/>
      <c r="S274" s="1128"/>
      <c r="T274" s="388" t="b" cm="1">
        <f t="array" aca="1" ref="T274" ca="1">T273</f>
        <v>1</v>
      </c>
      <c r="U274" s="1128"/>
      <c r="V274" s="1128"/>
      <c r="W274" s="1128"/>
      <c r="X274" s="2066"/>
      <c r="Y274" s="1128"/>
      <c r="Z274" s="2067"/>
      <c r="AA274" s="1128"/>
      <c r="AB274" s="636" t="s">
        <v>2032</v>
      </c>
      <c r="AC274" s="472" t="s">
        <v>1241</v>
      </c>
      <c r="AD274" s="471" t="s">
        <v>831</v>
      </c>
      <c r="AE274" s="1242"/>
      <c r="AF274" s="1194"/>
      <c r="AG274" s="1194"/>
      <c r="AH274" s="973" t="s">
        <v>2034</v>
      </c>
      <c r="AI274" s="1195"/>
      <c r="AJ274" s="1195"/>
      <c r="AK274" s="1196"/>
      <c r="AL274" s="1196"/>
    </row>
    <row r="275" spans="1:38" s="1334" customFormat="1" ht="14.25" customHeight="1" x14ac:dyDescent="0.15">
      <c r="A275" s="591"/>
      <c r="B275" s="1128"/>
      <c r="C275" s="1128"/>
      <c r="D275" s="1128"/>
      <c r="E275" s="573">
        <v>15</v>
      </c>
      <c r="F275" s="3" t="str" cm="1">
        <f t="array" aca="1" ref="F275" ca="1">OFFSET(E275,-1,1)</f>
        <v>2</v>
      </c>
      <c r="G275" s="1128"/>
      <c r="H275" s="411" t="s">
        <v>2381</v>
      </c>
      <c r="I275" s="1128"/>
      <c r="J275" s="1128"/>
      <c r="K275" s="1128"/>
      <c r="L275" s="1128"/>
      <c r="M275" s="1128"/>
      <c r="N275" s="1128"/>
      <c r="O275" s="1128"/>
      <c r="P275" s="1128"/>
      <c r="Q275" s="1128"/>
      <c r="R275" s="1128"/>
      <c r="S275" s="1128"/>
      <c r="T275" s="388" t="b" cm="1">
        <f t="array" aca="1" ref="T275" ca="1">T274</f>
        <v>1</v>
      </c>
      <c r="U275" s="1128"/>
      <c r="V275" s="1128"/>
      <c r="W275" s="1128"/>
      <c r="X275" s="2066"/>
      <c r="Y275" s="1128"/>
      <c r="Z275" s="2067"/>
      <c r="AA275" s="1128"/>
      <c r="AB275" s="636" t="s">
        <v>2036</v>
      </c>
      <c r="AC275" s="472" t="s">
        <v>1243</v>
      </c>
      <c r="AD275" s="471" t="s">
        <v>831</v>
      </c>
      <c r="AE275" s="1242"/>
      <c r="AF275" s="1194"/>
      <c r="AG275" s="1194"/>
      <c r="AH275" s="973" t="s">
        <v>2038</v>
      </c>
      <c r="AI275" s="1195"/>
      <c r="AJ275" s="1195"/>
      <c r="AK275" s="1196"/>
      <c r="AL275" s="1196"/>
    </row>
    <row r="276" spans="1:38" s="1334" customFormat="1" ht="14.25" customHeight="1" x14ac:dyDescent="0.15">
      <c r="A276" s="591"/>
      <c r="B276" s="1128"/>
      <c r="C276" s="1128"/>
      <c r="D276" s="1128"/>
      <c r="E276" s="573">
        <v>15</v>
      </c>
      <c r="F276" s="3" t="str" cm="1">
        <f t="array" aca="1" ref="F276" ca="1">OFFSET(E276,-1,1)</f>
        <v>2</v>
      </c>
      <c r="G276" s="1128"/>
      <c r="H276" s="411" t="s">
        <v>2382</v>
      </c>
      <c r="I276" s="1128"/>
      <c r="J276" s="1128"/>
      <c r="K276" s="1128"/>
      <c r="L276" s="1128"/>
      <c r="M276" s="1128"/>
      <c r="N276" s="1128"/>
      <c r="O276" s="1128"/>
      <c r="P276" s="1128"/>
      <c r="Q276" s="1128"/>
      <c r="R276" s="1128"/>
      <c r="S276" s="1128"/>
      <c r="T276" s="388" t="b" cm="1">
        <f t="array" aca="1" ref="T276" ca="1">T275</f>
        <v>1</v>
      </c>
      <c r="U276" s="1128"/>
      <c r="V276" s="1128"/>
      <c r="W276" s="1128"/>
      <c r="X276" s="2066"/>
      <c r="Y276" s="1128"/>
      <c r="Z276" s="2067"/>
      <c r="AA276" s="1128"/>
      <c r="AB276" s="636" t="s">
        <v>2040</v>
      </c>
      <c r="AC276" s="472" t="s">
        <v>1234</v>
      </c>
      <c r="AD276" s="471" t="s">
        <v>831</v>
      </c>
      <c r="AE276" s="1242"/>
      <c r="AF276" s="1194"/>
      <c r="AG276" s="1194"/>
      <c r="AH276" s="973" t="s">
        <v>2042</v>
      </c>
      <c r="AI276" s="1195"/>
      <c r="AJ276" s="1195"/>
      <c r="AK276" s="1196"/>
      <c r="AL276" s="1196"/>
    </row>
    <row r="277" spans="1:38" s="1321" customFormat="1" ht="14.25" customHeight="1" x14ac:dyDescent="0.15">
      <c r="A277" s="591"/>
      <c r="B277" s="411"/>
      <c r="C277" s="411"/>
      <c r="D277" s="411"/>
      <c r="E277" s="573">
        <v>15</v>
      </c>
      <c r="F277" s="446" t="str" cm="1">
        <f t="array" aca="1" ref="F277" ca="1">OFFSET(E277,-1,1)</f>
        <v>2</v>
      </c>
      <c r="G277" s="411"/>
      <c r="H277" s="411"/>
      <c r="I277" s="411"/>
      <c r="J277" s="411"/>
      <c r="K277" s="411"/>
      <c r="L277" s="411"/>
      <c r="M277" s="411"/>
      <c r="N277" s="411"/>
      <c r="O277" s="411"/>
      <c r="P277" s="411"/>
      <c r="Q277" s="411"/>
      <c r="R277" s="411"/>
      <c r="S277" s="411"/>
      <c r="T277" s="388" t="b" cm="1">
        <f t="array" aca="1" ref="T277" ca="1">T276</f>
        <v>1</v>
      </c>
      <c r="U277" s="411"/>
      <c r="V277" s="411"/>
      <c r="W277" s="411"/>
      <c r="X277" s="2066"/>
      <c r="Y277" s="411"/>
      <c r="Z277" s="2067"/>
      <c r="AA277" s="411"/>
      <c r="AB277" s="1177" t="s">
        <v>2044</v>
      </c>
      <c r="AC277" s="1180" t="s">
        <v>2383</v>
      </c>
      <c r="AD277" s="1179" t="s">
        <v>831</v>
      </c>
      <c r="AE277" s="481"/>
      <c r="AF277" s="1016"/>
      <c r="AG277" s="1016"/>
      <c r="AH277" s="973" t="s">
        <v>1251</v>
      </c>
      <c r="AI277" s="967"/>
      <c r="AJ277" s="967"/>
      <c r="AK277" s="876"/>
      <c r="AL277" s="876"/>
    </row>
    <row r="278" spans="1:38" s="1321" customFormat="1" ht="14.25" customHeight="1" x14ac:dyDescent="0.15">
      <c r="A278" s="591"/>
      <c r="B278" s="411"/>
      <c r="C278" s="411"/>
      <c r="D278" s="411"/>
      <c r="E278" s="573">
        <v>15</v>
      </c>
      <c r="F278" s="446" t="str" cm="1">
        <f t="array" aca="1" ref="F278" ca="1">OFFSET(E278,-1,1)</f>
        <v>2</v>
      </c>
      <c r="G278" s="411"/>
      <c r="H278" s="411"/>
      <c r="I278" s="411"/>
      <c r="J278" s="411"/>
      <c r="K278" s="411"/>
      <c r="L278" s="411"/>
      <c r="M278" s="411"/>
      <c r="N278" s="411"/>
      <c r="O278" s="411"/>
      <c r="P278" s="411"/>
      <c r="Q278" s="411"/>
      <c r="R278" s="411"/>
      <c r="S278" s="411"/>
      <c r="T278" s="388" t="b" cm="1">
        <f t="array" aca="1" ref="T278" ca="1">T277</f>
        <v>1</v>
      </c>
      <c r="U278" s="411"/>
      <c r="V278" s="411"/>
      <c r="W278" s="411"/>
      <c r="X278" s="2066"/>
      <c r="Y278" s="411"/>
      <c r="Z278" s="2067"/>
      <c r="AA278" s="411"/>
      <c r="AB278" s="1177" t="s">
        <v>2048</v>
      </c>
      <c r="AC278" s="1180" t="s">
        <v>1252</v>
      </c>
      <c r="AD278" s="1179" t="s">
        <v>831</v>
      </c>
      <c r="AE278" s="481"/>
      <c r="AF278" s="1016"/>
      <c r="AG278" s="1016"/>
      <c r="AH278" s="973" t="s">
        <v>2384</v>
      </c>
      <c r="AI278" s="967"/>
      <c r="AJ278" s="967"/>
      <c r="AK278" s="876"/>
      <c r="AL278" s="876"/>
    </row>
    <row r="279" spans="1:38" s="1334" customFormat="1" ht="14.25" customHeight="1" x14ac:dyDescent="0.15">
      <c r="A279" s="591"/>
      <c r="B279" s="1128"/>
      <c r="C279" s="1128"/>
      <c r="D279" s="1128"/>
      <c r="E279" s="573">
        <v>15</v>
      </c>
      <c r="F279" s="3" t="str" cm="1">
        <f t="array" aca="1" ref="F279" ca="1">OFFSET(E279,-1,1)</f>
        <v>2</v>
      </c>
      <c r="G279" s="1128"/>
      <c r="H279" s="411" t="s">
        <v>2385</v>
      </c>
      <c r="I279" s="1128"/>
      <c r="J279" s="1128"/>
      <c r="K279" s="1128"/>
      <c r="L279" s="1128"/>
      <c r="M279" s="1128"/>
      <c r="N279" s="1128"/>
      <c r="O279" s="1128"/>
      <c r="P279" s="1128"/>
      <c r="Q279" s="1128"/>
      <c r="R279" s="1128"/>
      <c r="S279" s="1128"/>
      <c r="T279" s="388" t="b" cm="1">
        <f t="array" aca="1" ref="T279" ca="1">T276</f>
        <v>1</v>
      </c>
      <c r="U279" s="1128"/>
      <c r="V279" s="1128"/>
      <c r="W279" s="1128"/>
      <c r="X279" s="2066"/>
      <c r="Y279" s="1128"/>
      <c r="Z279" s="2067"/>
      <c r="AA279" s="1128"/>
      <c r="AB279" s="636" t="s">
        <v>2050</v>
      </c>
      <c r="AC279" s="472" t="s">
        <v>1254</v>
      </c>
      <c r="AD279" s="471" t="s">
        <v>831</v>
      </c>
      <c r="AE279" s="1242"/>
      <c r="AF279" s="1194"/>
      <c r="AG279" s="1194"/>
      <c r="AH279" s="973" t="s">
        <v>2056</v>
      </c>
      <c r="AI279" s="1195"/>
      <c r="AJ279" s="1195"/>
      <c r="AK279" s="1196"/>
      <c r="AL279" s="1196"/>
    </row>
    <row r="280" spans="1:38" s="1334" customFormat="1" ht="14.25" customHeight="1" x14ac:dyDescent="0.15">
      <c r="A280" s="591"/>
      <c r="B280" s="1128"/>
      <c r="C280" s="1128"/>
      <c r="D280" s="1128"/>
      <c r="E280" s="573">
        <v>15</v>
      </c>
      <c r="F280" s="3" t="str" cm="1">
        <f t="array" aca="1" ref="F280" ca="1">OFFSET(E280,-1,1)</f>
        <v>2</v>
      </c>
      <c r="G280" s="1128"/>
      <c r="H280" s="411" t="s">
        <v>930</v>
      </c>
      <c r="I280" s="1128"/>
      <c r="J280" s="1128"/>
      <c r="K280" s="1128"/>
      <c r="L280" s="1128"/>
      <c r="M280" s="1128"/>
      <c r="N280" s="1128"/>
      <c r="O280" s="1128"/>
      <c r="P280" s="1128"/>
      <c r="Q280" s="1128"/>
      <c r="R280" s="1128"/>
      <c r="S280" s="1128"/>
      <c r="T280" s="388" t="b" cm="1">
        <f t="array" aca="1" ref="T280" ca="1">T279</f>
        <v>1</v>
      </c>
      <c r="U280" s="1128"/>
      <c r="V280" s="1128"/>
      <c r="W280" s="1128"/>
      <c r="X280" s="2066"/>
      <c r="Y280" s="1128"/>
      <c r="Z280" s="2067"/>
      <c r="AA280" s="1128"/>
      <c r="AB280" s="636" t="s">
        <v>933</v>
      </c>
      <c r="AC280" s="472" t="s">
        <v>1031</v>
      </c>
      <c r="AD280" s="471" t="s">
        <v>831</v>
      </c>
      <c r="AE280" s="1242"/>
      <c r="AF280" s="1194"/>
      <c r="AG280" s="1194"/>
      <c r="AH280" s="973" t="s">
        <v>1185</v>
      </c>
      <c r="AI280" s="1195"/>
      <c r="AJ280" s="1195"/>
      <c r="AK280" s="1196"/>
      <c r="AL280" s="1196"/>
    </row>
    <row r="281" spans="1:38" s="1334" customFormat="1" ht="14.25" customHeight="1" x14ac:dyDescent="0.15">
      <c r="A281" s="591"/>
      <c r="B281" s="1128"/>
      <c r="C281" s="1128"/>
      <c r="D281" s="1128"/>
      <c r="E281" s="573">
        <v>15</v>
      </c>
      <c r="F281" s="3" t="str" cm="1">
        <f t="array" aca="1" ref="F281" ca="1">OFFSET(E281,-1,1)</f>
        <v>2</v>
      </c>
      <c r="G281" s="1128"/>
      <c r="H281" s="411" t="s">
        <v>2059</v>
      </c>
      <c r="I281" s="1128"/>
      <c r="J281" s="1128"/>
      <c r="K281" s="1128"/>
      <c r="L281" s="1128"/>
      <c r="M281" s="1128"/>
      <c r="N281" s="1128"/>
      <c r="O281" s="1128"/>
      <c r="P281" s="1128"/>
      <c r="Q281" s="1128"/>
      <c r="R281" s="1128"/>
      <c r="S281" s="1128"/>
      <c r="T281" s="388" t="b" cm="1">
        <f t="array" aca="1" ref="T281" ca="1">T280</f>
        <v>1</v>
      </c>
      <c r="U281" s="1128"/>
      <c r="V281" s="1128"/>
      <c r="W281" s="1128"/>
      <c r="X281" s="2066"/>
      <c r="Y281" s="1128"/>
      <c r="Z281" s="2067"/>
      <c r="AA281" s="1128"/>
      <c r="AB281" s="636" t="s">
        <v>936</v>
      </c>
      <c r="AC281" s="470" t="s">
        <v>1431</v>
      </c>
      <c r="AD281" s="471" t="s">
        <v>831</v>
      </c>
      <c r="AE281" s="1242"/>
      <c r="AF281" s="1194"/>
      <c r="AG281" s="1194"/>
      <c r="AH281" s="980" t="s">
        <v>1798</v>
      </c>
      <c r="AI281" s="1195"/>
      <c r="AJ281" s="1195"/>
      <c r="AK281" s="1196"/>
      <c r="AL281" s="1196"/>
    </row>
    <row r="282" spans="1:38" s="1334" customFormat="1" ht="14.25" customHeight="1" x14ac:dyDescent="0.15">
      <c r="A282" s="591"/>
      <c r="B282" s="1128"/>
      <c r="C282" s="1128"/>
      <c r="D282" s="1128"/>
      <c r="E282" s="573">
        <v>15</v>
      </c>
      <c r="F282" s="3" t="str" cm="1">
        <f t="array" aca="1" ref="F282" ca="1">OFFSET(E282,-1,1)</f>
        <v>2</v>
      </c>
      <c r="G282" s="1128"/>
      <c r="H282" s="411" t="s">
        <v>2067</v>
      </c>
      <c r="I282" s="1128"/>
      <c r="J282" s="1128"/>
      <c r="K282" s="1128"/>
      <c r="L282" s="1128"/>
      <c r="M282" s="1128"/>
      <c r="N282" s="1128"/>
      <c r="O282" s="1128"/>
      <c r="P282" s="1128"/>
      <c r="Q282" s="1128"/>
      <c r="R282" s="1128"/>
      <c r="S282" s="1128"/>
      <c r="T282" s="388" t="b" cm="1">
        <f t="array" aca="1" ref="T282" ca="1">T281</f>
        <v>1</v>
      </c>
      <c r="U282" s="1128"/>
      <c r="V282" s="1128"/>
      <c r="W282" s="1128"/>
      <c r="X282" s="2066"/>
      <c r="Y282" s="1128"/>
      <c r="Z282" s="2067"/>
      <c r="AA282" s="1128"/>
      <c r="AB282" s="636" t="s">
        <v>1479</v>
      </c>
      <c r="AC282" s="470" t="s">
        <v>1441</v>
      </c>
      <c r="AD282" s="471" t="s">
        <v>831</v>
      </c>
      <c r="AE282" s="480">
        <f>AE283+AE284</f>
        <v>0</v>
      </c>
      <c r="AF282" s="1194"/>
      <c r="AG282" s="1194"/>
      <c r="AH282" s="973" t="s">
        <v>2072</v>
      </c>
      <c r="AI282" s="1195"/>
      <c r="AJ282" s="1195"/>
      <c r="AK282" s="1196"/>
      <c r="AL282" s="1196"/>
    </row>
    <row r="283" spans="1:38" s="1334" customFormat="1" ht="14.25" customHeight="1" x14ac:dyDescent="0.15">
      <c r="A283" s="591"/>
      <c r="B283" s="1128"/>
      <c r="C283" s="1128"/>
      <c r="D283" s="1128"/>
      <c r="E283" s="573">
        <v>15</v>
      </c>
      <c r="F283" s="3" t="str" cm="1">
        <f t="array" aca="1" ref="F283" ca="1">OFFSET(E283,-1,1)</f>
        <v>2</v>
      </c>
      <c r="G283" s="1128"/>
      <c r="H283" s="411" t="s">
        <v>2386</v>
      </c>
      <c r="I283" s="1128"/>
      <c r="J283" s="1128"/>
      <c r="K283" s="1128"/>
      <c r="L283" s="1128"/>
      <c r="M283" s="1128"/>
      <c r="N283" s="1128"/>
      <c r="O283" s="1128"/>
      <c r="P283" s="1128"/>
      <c r="Q283" s="1128"/>
      <c r="R283" s="1128"/>
      <c r="S283" s="1128"/>
      <c r="T283" s="388" t="b" cm="1">
        <f t="array" aca="1" ref="T283" ca="1">T282</f>
        <v>1</v>
      </c>
      <c r="U283" s="1128"/>
      <c r="V283" s="1128"/>
      <c r="W283" s="1128"/>
      <c r="X283" s="2066"/>
      <c r="Y283" s="1128"/>
      <c r="Z283" s="2067"/>
      <c r="AA283" s="1128"/>
      <c r="AB283" s="636" t="s">
        <v>2063</v>
      </c>
      <c r="AC283" s="472" t="s">
        <v>2387</v>
      </c>
      <c r="AD283" s="471" t="s">
        <v>831</v>
      </c>
      <c r="AE283" s="1242"/>
      <c r="AF283" s="1194"/>
      <c r="AG283" s="1194"/>
      <c r="AH283" s="973" t="s">
        <v>1222</v>
      </c>
      <c r="AI283" s="1195"/>
      <c r="AJ283" s="1195"/>
      <c r="AK283" s="1196"/>
      <c r="AL283" s="1196"/>
    </row>
    <row r="284" spans="1:38" s="1334" customFormat="1" ht="21.75" customHeight="1" x14ac:dyDescent="0.15">
      <c r="A284" s="591"/>
      <c r="B284" s="1128"/>
      <c r="C284" s="1128"/>
      <c r="D284" s="1128"/>
      <c r="E284" s="573">
        <v>22.5</v>
      </c>
      <c r="F284" s="3" t="str" cm="1">
        <f t="array" aca="1" ref="F284" ca="1">OFFSET(E284,-1,1)</f>
        <v>2</v>
      </c>
      <c r="G284" s="1128"/>
      <c r="H284" s="411" t="s">
        <v>2388</v>
      </c>
      <c r="I284" s="1128"/>
      <c r="J284" s="1128"/>
      <c r="K284" s="1128"/>
      <c r="L284" s="1128"/>
      <c r="M284" s="1128"/>
      <c r="N284" s="1128"/>
      <c r="O284" s="1128"/>
      <c r="P284" s="1128"/>
      <c r="Q284" s="1128"/>
      <c r="R284" s="1128"/>
      <c r="S284" s="1128"/>
      <c r="T284" s="388" t="b" cm="1">
        <f t="array" aca="1" ref="T284" ca="1">T283</f>
        <v>1</v>
      </c>
      <c r="U284" s="1128"/>
      <c r="V284" s="1128"/>
      <c r="W284" s="1128"/>
      <c r="X284" s="2066"/>
      <c r="Y284" s="1128"/>
      <c r="Z284" s="2067"/>
      <c r="AA284" s="1128"/>
      <c r="AB284" s="636" t="s">
        <v>2389</v>
      </c>
      <c r="AC284" s="472" t="s">
        <v>2390</v>
      </c>
      <c r="AD284" s="471" t="s">
        <v>831</v>
      </c>
      <c r="AE284" s="1242"/>
      <c r="AF284" s="1194"/>
      <c r="AG284" s="1194"/>
      <c r="AH284" s="973" t="s">
        <v>2079</v>
      </c>
      <c r="AI284" s="1195"/>
      <c r="AJ284" s="1195"/>
      <c r="AK284" s="1196"/>
      <c r="AL284" s="1196"/>
    </row>
    <row r="285" spans="1:38" s="1334" customFormat="1" ht="76.5" customHeight="1" x14ac:dyDescent="0.15">
      <c r="A285" s="591"/>
      <c r="B285" s="1128"/>
      <c r="C285" s="1128"/>
      <c r="D285" s="1128"/>
      <c r="E285" s="573">
        <v>78.75</v>
      </c>
      <c r="F285" s="3" t="str" cm="1">
        <f t="array" aca="1" ref="F285" ca="1">OFFSET(E285,-1,1)</f>
        <v>2</v>
      </c>
      <c r="G285" s="1128"/>
      <c r="H285" s="411" t="s">
        <v>2071</v>
      </c>
      <c r="I285" s="1128"/>
      <c r="J285" s="1128"/>
      <c r="K285" s="1128"/>
      <c r="L285" s="1128"/>
      <c r="M285" s="1128"/>
      <c r="N285" s="1128"/>
      <c r="O285" s="1128"/>
      <c r="P285" s="1128"/>
      <c r="Q285" s="1128"/>
      <c r="R285" s="1128"/>
      <c r="S285" s="1128"/>
      <c r="T285" s="388" t="b" cm="1">
        <f t="array" aca="1" ref="T285" ca="1">T284</f>
        <v>1</v>
      </c>
      <c r="U285" s="1128"/>
      <c r="V285" s="1128"/>
      <c r="W285" s="1128"/>
      <c r="X285" s="2066"/>
      <c r="Y285" s="1128"/>
      <c r="Z285" s="2067"/>
      <c r="AA285" s="1128"/>
      <c r="AB285" s="636" t="s">
        <v>1484</v>
      </c>
      <c r="AC285" s="1189" t="s">
        <v>1415</v>
      </c>
      <c r="AD285" s="471" t="s">
        <v>831</v>
      </c>
      <c r="AE285" s="1242"/>
      <c r="AF285" s="1194"/>
      <c r="AG285" s="1194"/>
      <c r="AH285" s="973" t="s">
        <v>2057</v>
      </c>
      <c r="AI285" s="1195"/>
      <c r="AJ285" s="1195"/>
      <c r="AK285" s="1196"/>
      <c r="AL285" s="1196"/>
    </row>
    <row r="286" spans="1:38" s="1321" customFormat="1" ht="14.25" customHeight="1" x14ac:dyDescent="0.15">
      <c r="A286" s="591"/>
      <c r="B286" s="411"/>
      <c r="C286" s="411"/>
      <c r="D286" s="411"/>
      <c r="E286" s="573">
        <v>15</v>
      </c>
      <c r="F286" s="446" t="str" cm="1">
        <f t="array" aca="1" ref="F286" ca="1">OFFSET(E286,-1,1)</f>
        <v>2</v>
      </c>
      <c r="G286" s="411"/>
      <c r="H286" s="411"/>
      <c r="I286" s="411"/>
      <c r="J286" s="411"/>
      <c r="K286" s="411"/>
      <c r="L286" s="411"/>
      <c r="M286" s="411"/>
      <c r="N286" s="411"/>
      <c r="O286" s="411"/>
      <c r="P286" s="411"/>
      <c r="Q286" s="411"/>
      <c r="R286" s="411"/>
      <c r="S286" s="411"/>
      <c r="T286" s="388" t="b" cm="1">
        <f t="array" aca="1" ref="T286" ca="1">T285</f>
        <v>1</v>
      </c>
      <c r="U286" s="411"/>
      <c r="V286" s="411"/>
      <c r="W286" s="411"/>
      <c r="X286" s="2066"/>
      <c r="Y286" s="411"/>
      <c r="Z286" s="2067"/>
      <c r="AA286" s="411"/>
      <c r="AB286" s="1177" t="s">
        <v>2068</v>
      </c>
      <c r="AC286" s="1189" t="s">
        <v>1011</v>
      </c>
      <c r="AD286" s="1179" t="s">
        <v>831</v>
      </c>
      <c r="AE286" s="481"/>
      <c r="AF286" s="1016"/>
      <c r="AG286" s="1016"/>
      <c r="AH286" s="973" t="s">
        <v>1013</v>
      </c>
      <c r="AI286" s="967"/>
      <c r="AJ286" s="967"/>
      <c r="AK286" s="876"/>
      <c r="AL286" s="876"/>
    </row>
    <row r="287" spans="1:38" s="1321" customFormat="1" ht="14.25" customHeight="1" x14ac:dyDescent="0.15">
      <c r="A287" s="591"/>
      <c r="B287" s="411"/>
      <c r="C287" s="411"/>
      <c r="D287" s="411"/>
      <c r="E287" s="573">
        <v>15</v>
      </c>
      <c r="F287" s="446" t="str" cm="1">
        <f t="array" aca="1" ref="F287" ca="1">OFFSET(E287,-1,1)</f>
        <v>2</v>
      </c>
      <c r="G287" s="411"/>
      <c r="H287" s="411"/>
      <c r="I287" s="411"/>
      <c r="J287" s="411"/>
      <c r="K287" s="411"/>
      <c r="L287" s="411"/>
      <c r="M287" s="411"/>
      <c r="N287" s="411"/>
      <c r="O287" s="411"/>
      <c r="P287" s="411"/>
      <c r="Q287" s="411"/>
      <c r="R287" s="411"/>
      <c r="S287" s="411"/>
      <c r="T287" s="388" t="b" cm="1">
        <f t="array" aca="1" ref="T287" ca="1">T286</f>
        <v>1</v>
      </c>
      <c r="U287" s="411"/>
      <c r="V287" s="411"/>
      <c r="W287" s="411"/>
      <c r="X287" s="2066"/>
      <c r="Y287" s="411"/>
      <c r="Z287" s="2067"/>
      <c r="AA287" s="411"/>
      <c r="AB287" s="1177" t="s">
        <v>1503</v>
      </c>
      <c r="AC287" s="1189" t="s">
        <v>1426</v>
      </c>
      <c r="AD287" s="1179" t="s">
        <v>831</v>
      </c>
      <c r="AE287" s="481"/>
      <c r="AF287" s="1016"/>
      <c r="AG287" s="1016"/>
      <c r="AH287" s="973" t="s">
        <v>2391</v>
      </c>
      <c r="AI287" s="967"/>
      <c r="AJ287" s="967"/>
      <c r="AK287" s="876"/>
      <c r="AL287" s="876"/>
    </row>
    <row r="288" spans="1:38" s="1334" customFormat="1" ht="14.25" customHeight="1" x14ac:dyDescent="0.15">
      <c r="A288" s="591"/>
      <c r="B288" s="1128"/>
      <c r="C288" s="1128"/>
      <c r="D288" s="1128"/>
      <c r="E288" s="573">
        <v>15</v>
      </c>
      <c r="F288" s="3" t="str" cm="1">
        <f t="array" aca="1" ref="F288" ca="1">OFFSET(E288,-1,1)</f>
        <v>2</v>
      </c>
      <c r="G288" s="1128"/>
      <c r="H288" s="411" t="s">
        <v>2392</v>
      </c>
      <c r="I288" s="1128"/>
      <c r="J288" s="1128"/>
      <c r="K288" s="1128"/>
      <c r="L288" s="1128"/>
      <c r="M288" s="1128"/>
      <c r="N288" s="1128"/>
      <c r="O288" s="1128"/>
      <c r="P288" s="1128"/>
      <c r="Q288" s="1128"/>
      <c r="R288" s="1128"/>
      <c r="S288" s="1128"/>
      <c r="T288" s="388" t="b" cm="1">
        <f t="array" aca="1" ref="T288" ca="1">T285</f>
        <v>1</v>
      </c>
      <c r="U288" s="1128"/>
      <c r="V288" s="1128"/>
      <c r="W288" s="1128"/>
      <c r="X288" s="2066"/>
      <c r="Y288" s="1128"/>
      <c r="Z288" s="2067"/>
      <c r="AA288" s="1128"/>
      <c r="AB288" s="636" t="s">
        <v>1507</v>
      </c>
      <c r="AC288" s="470" t="s">
        <v>2393</v>
      </c>
      <c r="AD288" s="471" t="s">
        <v>831</v>
      </c>
      <c r="AE288" s="1242"/>
      <c r="AF288" s="1194"/>
      <c r="AG288" s="1194"/>
      <c r="AH288" s="910" t="s">
        <v>2394</v>
      </c>
      <c r="AI288" s="1195"/>
      <c r="AJ288" s="1195"/>
      <c r="AK288" s="1196"/>
      <c r="AL288" s="1196"/>
    </row>
    <row r="289" spans="1:42" s="1321" customFormat="1" ht="31.5" customHeight="1" x14ac:dyDescent="0.15">
      <c r="A289" s="591"/>
      <c r="B289" s="411"/>
      <c r="C289" s="411"/>
      <c r="D289" s="411"/>
      <c r="E289" s="573">
        <v>33</v>
      </c>
      <c r="F289" s="446" t="str" cm="1">
        <f t="array" aca="1" ref="F289" ca="1">OFFSET(E289,-1,1)</f>
        <v>2</v>
      </c>
      <c r="G289" s="411"/>
      <c r="H289" s="411"/>
      <c r="I289" s="411"/>
      <c r="J289" s="411"/>
      <c r="K289" s="411"/>
      <c r="L289" s="411"/>
      <c r="M289" s="411"/>
      <c r="N289" s="411"/>
      <c r="O289" s="411"/>
      <c r="P289" s="411"/>
      <c r="Q289" s="411"/>
      <c r="R289" s="411"/>
      <c r="S289" s="411"/>
      <c r="T289" s="388" t="b" cm="1">
        <f t="array" aca="1" ref="T289" ca="1">T288</f>
        <v>1</v>
      </c>
      <c r="U289" s="411"/>
      <c r="V289" s="411"/>
      <c r="W289" s="411"/>
      <c r="X289" s="2066"/>
      <c r="Y289" s="411"/>
      <c r="Z289" s="2067"/>
      <c r="AA289" s="411"/>
      <c r="AB289" s="1177" t="s">
        <v>1510</v>
      </c>
      <c r="AC289" s="1178" t="s">
        <v>2081</v>
      </c>
      <c r="AD289" s="1179" t="s">
        <v>831</v>
      </c>
      <c r="AE289" s="481"/>
      <c r="AF289" s="1016"/>
      <c r="AG289" s="1016"/>
      <c r="AH289" s="967" t="s">
        <v>2395</v>
      </c>
      <c r="AI289" s="967"/>
      <c r="AJ289" s="967"/>
      <c r="AK289" s="876"/>
      <c r="AL289" s="876"/>
    </row>
    <row r="290" spans="1:42" s="1334" customFormat="1" ht="14.25" customHeight="1" x14ac:dyDescent="0.15">
      <c r="A290" s="591"/>
      <c r="B290" s="1128"/>
      <c r="C290" s="1128"/>
      <c r="D290" s="1128"/>
      <c r="E290" s="573">
        <v>15</v>
      </c>
      <c r="F290" s="3" t="str" cm="1">
        <f t="array" aca="1" ref="F290" ca="1">OFFSET(E290,-1,1)</f>
        <v>2</v>
      </c>
      <c r="G290" s="1128"/>
      <c r="H290" s="411" t="s">
        <v>2396</v>
      </c>
      <c r="I290" s="1128"/>
      <c r="J290" s="1128"/>
      <c r="K290" s="1128"/>
      <c r="L290" s="1128"/>
      <c r="M290" s="1128"/>
      <c r="N290" s="1128"/>
      <c r="O290" s="1128"/>
      <c r="P290" s="1128"/>
      <c r="Q290" s="1128"/>
      <c r="R290" s="1128"/>
      <c r="S290" s="1128"/>
      <c r="T290" s="388" t="b" cm="1">
        <f t="array" aca="1" ref="T290" ca="1">T288</f>
        <v>1</v>
      </c>
      <c r="U290" s="1128"/>
      <c r="V290" s="1128"/>
      <c r="W290" s="1128"/>
      <c r="X290" s="2066"/>
      <c r="Y290" s="1128"/>
      <c r="Z290" s="2067"/>
      <c r="AA290" s="1128"/>
      <c r="AB290" s="636" t="s">
        <v>2397</v>
      </c>
      <c r="AC290" s="470" t="s">
        <v>2398</v>
      </c>
      <c r="AD290" s="471" t="s">
        <v>831</v>
      </c>
      <c r="AE290" s="480">
        <f>SUM(AE291:AE292)</f>
        <v>0</v>
      </c>
      <c r="AF290" s="1194"/>
      <c r="AG290" s="1194"/>
      <c r="AH290" s="910" t="s">
        <v>2399</v>
      </c>
      <c r="AI290" s="1195"/>
      <c r="AJ290" s="1195"/>
      <c r="AK290" s="1196"/>
      <c r="AL290" s="1196"/>
    </row>
    <row r="291" spans="1:42" s="1334" customFormat="1" ht="14.25" hidden="1" customHeight="1" x14ac:dyDescent="0.15">
      <c r="A291" s="591"/>
      <c r="B291" s="1128"/>
      <c r="C291" s="1128"/>
      <c r="D291" s="1128"/>
      <c r="E291" s="573">
        <v>15</v>
      </c>
      <c r="F291" s="3" t="str" cm="1">
        <f t="array" aca="1" ref="F291" ca="1">OFFSET(E291,-1,1)</f>
        <v>2</v>
      </c>
      <c r="G291" s="1128"/>
      <c r="H291" s="411" t="s">
        <v>2396</v>
      </c>
      <c r="I291" s="486" cm="1">
        <f t="array" ref="I291">AC291</f>
        <v>0</v>
      </c>
      <c r="J291" s="1128"/>
      <c r="K291" s="1128"/>
      <c r="L291" s="1128"/>
      <c r="M291" s="1128"/>
      <c r="N291" s="1128"/>
      <c r="O291" s="1128"/>
      <c r="P291" s="1128"/>
      <c r="Q291" s="1128"/>
      <c r="R291" s="1128"/>
      <c r="S291" s="1128"/>
      <c r="T291" s="388" t="b">
        <f ca="1">AND(F291&gt;0,Y291&gt;0)</f>
        <v>0</v>
      </c>
      <c r="U291" s="1128"/>
      <c r="V291" s="1128"/>
      <c r="W291" s="478" t="s">
        <v>172</v>
      </c>
      <c r="X291" s="2066"/>
      <c r="Y291" s="411">
        <v>0</v>
      </c>
      <c r="Z291" s="2067"/>
      <c r="AA291" s="586" t="s">
        <v>173</v>
      </c>
      <c r="AB291" s="636" t="str">
        <f>"2.12."&amp;Y291</f>
        <v>2.12.0</v>
      </c>
      <c r="AC291" s="1931"/>
      <c r="AD291" s="471" t="s">
        <v>831</v>
      </c>
      <c r="AE291" s="1932"/>
      <c r="AF291" s="1194"/>
      <c r="AG291" s="1194"/>
      <c r="AH291" s="910" t="s">
        <v>2399</v>
      </c>
      <c r="AI291" s="910" t="s">
        <v>2400</v>
      </c>
      <c r="AJ291" s="915" cm="1">
        <f t="array" ref="AJ291">AC291</f>
        <v>0</v>
      </c>
      <c r="AK291" s="1196"/>
      <c r="AL291" s="580" t="b">
        <v>1</v>
      </c>
    </row>
    <row r="292" spans="1:42" s="1334" customFormat="1" ht="14.25" customHeight="1" x14ac:dyDescent="0.15">
      <c r="A292" s="591"/>
      <c r="B292" s="1128"/>
      <c r="C292" s="1128"/>
      <c r="D292" s="1128"/>
      <c r="E292" s="573">
        <v>15</v>
      </c>
      <c r="F292" s="3" t="str" cm="1">
        <f t="array" aca="1" ref="F292" ca="1">OFFSET(E292,-1,1)</f>
        <v>2</v>
      </c>
      <c r="G292" s="1128"/>
      <c r="H292" s="1128"/>
      <c r="I292" s="77" t="str">
        <f>"!== 'не определено' &amp;&amp; row.l2_13 !== null"</f>
        <v>!== 'не определено' &amp;&amp; row.l2_13 !== null</v>
      </c>
      <c r="J292" s="1128"/>
      <c r="K292" s="1128"/>
      <c r="L292" s="1128"/>
      <c r="M292" s="1128"/>
      <c r="N292" s="1128"/>
      <c r="O292" s="1128"/>
      <c r="P292" s="1128"/>
      <c r="Q292" s="1128"/>
      <c r="R292" s="1128"/>
      <c r="S292" s="1128"/>
      <c r="T292" s="388" t="b">
        <f ca="1">F292&gt;0</f>
        <v>1</v>
      </c>
      <c r="U292" s="1128"/>
      <c r="V292" s="1128"/>
      <c r="W292" s="748" t="s">
        <v>894</v>
      </c>
      <c r="X292" s="2066"/>
      <c r="Y292" s="1128"/>
      <c r="Z292" s="2067"/>
      <c r="AA292" s="1128"/>
      <c r="AB292" s="1185"/>
      <c r="AC292" s="1244" t="s">
        <v>176</v>
      </c>
      <c r="AD292" s="1187"/>
      <c r="AE292" s="1243"/>
      <c r="AF292" s="1194"/>
      <c r="AG292" s="1194"/>
      <c r="AH292" s="1195"/>
      <c r="AI292" s="1195"/>
      <c r="AJ292" s="1195"/>
      <c r="AK292" s="580" t="s">
        <v>2400</v>
      </c>
      <c r="AL292" s="1196"/>
    </row>
    <row r="293" spans="1:42" s="1334" customFormat="1" ht="14.25" customHeight="1" x14ac:dyDescent="0.15">
      <c r="A293" s="591"/>
      <c r="B293" s="1128"/>
      <c r="C293" s="1128"/>
      <c r="D293" s="1128"/>
      <c r="E293" s="573">
        <v>15</v>
      </c>
      <c r="F293" s="3" t="str" cm="1">
        <f t="array" aca="1" ref="F293" ca="1">OFFSET(E293,-1,1)</f>
        <v>2</v>
      </c>
      <c r="G293" s="411" t="s">
        <v>49</v>
      </c>
      <c r="H293" s="411" t="s">
        <v>333</v>
      </c>
      <c r="I293" s="1128"/>
      <c r="J293" s="1128"/>
      <c r="K293" s="1128"/>
      <c r="L293" s="1128"/>
      <c r="M293" s="1128"/>
      <c r="N293" s="1128"/>
      <c r="O293" s="1128"/>
      <c r="P293" s="1128"/>
      <c r="Q293" s="1128"/>
      <c r="R293" s="1128"/>
      <c r="S293" s="1128"/>
      <c r="T293" s="388" t="b" cm="1">
        <f t="array" aca="1" ref="T293" ca="1">T292</f>
        <v>1</v>
      </c>
      <c r="U293" s="1128"/>
      <c r="V293" s="1128"/>
      <c r="W293" s="1128"/>
      <c r="X293" s="2066"/>
      <c r="Y293" s="1128"/>
      <c r="Z293" s="2067"/>
      <c r="AA293" s="1128"/>
      <c r="AB293" s="635" t="s">
        <v>329</v>
      </c>
      <c r="AC293" s="468" t="s">
        <v>2084</v>
      </c>
      <c r="AD293" s="469" t="s">
        <v>831</v>
      </c>
      <c r="AE293" s="1245"/>
      <c r="AF293" s="1194"/>
      <c r="AG293" s="1194"/>
      <c r="AH293" s="910" t="s">
        <v>1692</v>
      </c>
      <c r="AI293" s="1195"/>
      <c r="AJ293" s="1195"/>
      <c r="AK293" s="1196"/>
      <c r="AL293" s="1196"/>
    </row>
    <row r="294" spans="1:42" ht="10.9" customHeight="1" x14ac:dyDescent="0.15">
      <c r="E294" s="573">
        <v>11.25</v>
      </c>
      <c r="U294" s="411" t="s">
        <v>176</v>
      </c>
      <c r="V294" s="1190" t="s">
        <v>2401</v>
      </c>
      <c r="AB294" s="1191"/>
      <c r="AC294" s="1192"/>
      <c r="AD294" s="1193"/>
      <c r="AE294" s="1246"/>
      <c r="AF294" s="405"/>
    </row>
    <row r="295" spans="1:42" s="1214" customFormat="1" ht="14.65" customHeight="1" x14ac:dyDescent="0.15">
      <c r="A295" s="1247"/>
      <c r="E295" s="1248">
        <v>15</v>
      </c>
      <c r="F295" s="1249"/>
      <c r="G295" s="1249"/>
      <c r="AB295" s="2035" t="s">
        <v>402</v>
      </c>
      <c r="AC295" s="2035"/>
      <c r="AD295" s="2035"/>
      <c r="AE295" s="2068"/>
      <c r="AF295" s="1194"/>
      <c r="AG295" s="1194"/>
      <c r="AH295" s="1195"/>
      <c r="AI295" s="1195"/>
      <c r="AJ295" s="1195"/>
      <c r="AK295" s="1196"/>
      <c r="AL295" s="1196"/>
      <c r="AM295" s="4"/>
      <c r="AN295" s="4"/>
      <c r="AO295" s="4"/>
      <c r="AP295" s="4"/>
    </row>
    <row r="296" spans="1:42" s="1214" customFormat="1" ht="14.65" customHeight="1" x14ac:dyDescent="0.15">
      <c r="A296" s="1247"/>
      <c r="E296" s="756">
        <v>15</v>
      </c>
      <c r="F296" s="1249"/>
      <c r="G296" s="1249"/>
      <c r="AB296" s="2069"/>
      <c r="AC296" s="2069"/>
      <c r="AD296" s="2069"/>
      <c r="AE296" s="2070"/>
      <c r="AF296" s="1194"/>
      <c r="AG296" s="1194"/>
      <c r="AH296" s="1195"/>
      <c r="AI296" s="1195"/>
      <c r="AJ296" s="1195"/>
      <c r="AK296" s="1196"/>
      <c r="AL296" s="1196"/>
      <c r="AM296" s="4"/>
      <c r="AN296" s="4"/>
      <c r="AO296" s="4"/>
      <c r="AP296" s="4"/>
    </row>
    <row r="297" spans="1:42" s="1214" customFormat="1" ht="14.65" hidden="1" customHeight="1" x14ac:dyDescent="0.15">
      <c r="A297" s="1247"/>
      <c r="E297" s="634">
        <v>15</v>
      </c>
      <c r="T297" s="388" t="b">
        <f>ROW(W297)&gt;ROW(W$297)</f>
        <v>0</v>
      </c>
      <c r="W297" s="478" t="s">
        <v>172</v>
      </c>
      <c r="AA297" s="1197" t="s">
        <v>173</v>
      </c>
      <c r="AB297" s="2072"/>
      <c r="AC297" s="2073"/>
      <c r="AD297" s="2073"/>
      <c r="AE297" s="2075"/>
      <c r="AF297" s="1194"/>
      <c r="AG297" s="1194"/>
      <c r="AH297" s="1195"/>
      <c r="AI297" s="1195"/>
      <c r="AJ297" s="1195"/>
      <c r="AK297" s="1196"/>
      <c r="AL297" s="1196"/>
      <c r="AM297" s="4"/>
      <c r="AN297" s="4"/>
      <c r="AO297" s="4"/>
      <c r="AP297" s="4"/>
    </row>
    <row r="298" spans="1:42" s="1214" customFormat="1" ht="14.65" customHeight="1" x14ac:dyDescent="0.15">
      <c r="A298" s="1247"/>
      <c r="E298" s="634">
        <v>15</v>
      </c>
      <c r="W298" s="748" t="s">
        <v>403</v>
      </c>
      <c r="AB298" s="1250"/>
      <c r="AC298" s="1251" t="s">
        <v>404</v>
      </c>
      <c r="AD298" s="1252"/>
      <c r="AE298" s="1253"/>
      <c r="AF298" s="1194"/>
      <c r="AG298" s="1194"/>
      <c r="AH298" s="1195"/>
      <c r="AI298" s="1195"/>
      <c r="AJ298" s="1195"/>
      <c r="AK298" s="1196"/>
      <c r="AL298" s="1196"/>
      <c r="AM298" s="4"/>
      <c r="AN298" s="4"/>
      <c r="AO298" s="4"/>
      <c r="AP298" s="4"/>
    </row>
    <row r="299" spans="1:42" ht="10.9" customHeight="1" x14ac:dyDescent="0.15">
      <c r="E299" s="573">
        <v>11.25</v>
      </c>
      <c r="AC299" s="461"/>
      <c r="AF299" s="337"/>
    </row>
    <row r="300" spans="1:42" ht="11.25" hidden="1" customHeight="1" x14ac:dyDescent="0.15">
      <c r="A300" s="337"/>
      <c r="B300" s="337"/>
      <c r="C300" s="337"/>
      <c r="D300" s="337"/>
      <c r="E300" s="580"/>
      <c r="F300" s="337"/>
      <c r="G300" s="337"/>
      <c r="H300" s="337"/>
      <c r="I300" s="337"/>
      <c r="J300" s="337"/>
      <c r="K300" s="337"/>
      <c r="L300" s="337"/>
      <c r="M300" s="337"/>
      <c r="N300" s="337"/>
      <c r="O300" s="337"/>
      <c r="P300" s="337"/>
      <c r="Q300" s="337"/>
      <c r="R300" s="337"/>
      <c r="S300" s="337"/>
      <c r="T300" s="337"/>
      <c r="U300" s="337"/>
      <c r="V300" s="337"/>
      <c r="W300" s="337"/>
      <c r="X300" s="337"/>
      <c r="Y300" s="337"/>
      <c r="Z300" s="337"/>
      <c r="AA300" s="337"/>
      <c r="AB300" s="337"/>
      <c r="AF300" s="337"/>
      <c r="AG300" s="337"/>
      <c r="AH300" s="910"/>
      <c r="AI300" s="910"/>
      <c r="AJ300" s="910"/>
      <c r="AK300" s="580"/>
      <c r="AL300" s="580"/>
    </row>
    <row r="301" spans="1:42" ht="11.25" hidden="1" customHeight="1" x14ac:dyDescent="0.15">
      <c r="A301" s="337"/>
      <c r="B301" s="337"/>
      <c r="C301" s="337"/>
      <c r="D301" s="337"/>
      <c r="E301" s="580"/>
      <c r="F301" s="337"/>
      <c r="G301" s="337"/>
      <c r="H301" s="337"/>
      <c r="I301" s="337"/>
      <c r="J301" s="337"/>
      <c r="K301" s="337"/>
      <c r="L301" s="337"/>
      <c r="M301" s="337"/>
      <c r="N301" s="337"/>
      <c r="O301" s="337"/>
      <c r="P301" s="337"/>
      <c r="Q301" s="337"/>
      <c r="R301" s="337"/>
      <c r="S301" s="337"/>
      <c r="T301" s="337"/>
      <c r="U301" s="337"/>
      <c r="V301" s="337"/>
      <c r="W301" s="337"/>
      <c r="X301" s="337"/>
      <c r="Y301" s="337"/>
      <c r="Z301" s="337"/>
      <c r="AA301" s="337"/>
      <c r="AB301" s="337"/>
      <c r="AF301" s="337"/>
      <c r="AG301" s="337"/>
      <c r="AH301" s="910"/>
      <c r="AI301" s="910"/>
      <c r="AJ301" s="910"/>
      <c r="AK301" s="580"/>
      <c r="AL301" s="580"/>
    </row>
    <row r="302" spans="1:42" ht="11.25" hidden="1" customHeight="1" x14ac:dyDescent="0.15">
      <c r="A302" s="337"/>
      <c r="B302" s="337"/>
      <c r="C302" s="337"/>
      <c r="D302" s="337"/>
      <c r="E302" s="580"/>
      <c r="F302" s="337"/>
      <c r="G302" s="337"/>
      <c r="H302" s="337"/>
      <c r="I302" s="337"/>
      <c r="J302" s="337"/>
      <c r="K302" s="337"/>
      <c r="L302" s="337"/>
      <c r="M302" s="337"/>
      <c r="N302" s="337"/>
      <c r="O302" s="337"/>
      <c r="P302" s="337"/>
      <c r="Q302" s="337"/>
      <c r="R302" s="337"/>
      <c r="S302" s="337"/>
      <c r="T302" s="337"/>
      <c r="U302" s="337"/>
      <c r="V302" s="337"/>
      <c r="W302" s="337"/>
      <c r="X302" s="337"/>
      <c r="Y302" s="337"/>
      <c r="Z302" s="337"/>
      <c r="AA302" s="337"/>
      <c r="AB302" s="337"/>
      <c r="AF302" s="337"/>
      <c r="AG302" s="337"/>
      <c r="AH302" s="910"/>
      <c r="AI302" s="910"/>
      <c r="AJ302" s="910"/>
      <c r="AK302" s="580"/>
      <c r="AL302" s="580"/>
    </row>
    <row r="303" spans="1:42" ht="11.25" hidden="1" customHeight="1" x14ac:dyDescent="0.15">
      <c r="A303" s="337"/>
      <c r="B303" s="337"/>
      <c r="C303" s="337"/>
      <c r="D303" s="337"/>
      <c r="E303" s="580"/>
      <c r="F303" s="337"/>
      <c r="G303" s="337"/>
      <c r="H303" s="337"/>
      <c r="I303" s="337"/>
      <c r="J303" s="337"/>
      <c r="K303" s="337"/>
      <c r="L303" s="337"/>
      <c r="M303" s="337"/>
      <c r="N303" s="337"/>
      <c r="O303" s="337"/>
      <c r="P303" s="337"/>
      <c r="Q303" s="337"/>
      <c r="R303" s="337"/>
      <c r="S303" s="337"/>
      <c r="T303" s="337"/>
      <c r="U303" s="337"/>
      <c r="V303" s="337"/>
      <c r="W303" s="337"/>
      <c r="X303" s="337"/>
      <c r="Y303" s="337"/>
      <c r="Z303" s="337"/>
      <c r="AA303" s="337"/>
      <c r="AB303" s="337"/>
      <c r="AF303" s="337"/>
      <c r="AG303" s="337"/>
      <c r="AH303" s="910"/>
      <c r="AI303" s="910"/>
      <c r="AJ303" s="910"/>
      <c r="AK303" s="580"/>
      <c r="AL303" s="580"/>
    </row>
    <row r="304" spans="1:42" ht="11.25" hidden="1" customHeight="1" x14ac:dyDescent="0.15">
      <c r="A304" s="337"/>
      <c r="B304" s="337"/>
      <c r="C304" s="337"/>
      <c r="D304" s="337"/>
      <c r="E304" s="580"/>
      <c r="F304" s="337"/>
      <c r="G304" s="337"/>
      <c r="H304" s="337"/>
      <c r="I304" s="337"/>
      <c r="J304" s="337"/>
      <c r="K304" s="337"/>
      <c r="L304" s="337"/>
      <c r="M304" s="337"/>
      <c r="N304" s="337"/>
      <c r="O304" s="337"/>
      <c r="P304" s="337"/>
      <c r="Q304" s="337"/>
      <c r="R304" s="337"/>
      <c r="S304" s="337"/>
      <c r="T304" s="337"/>
      <c r="U304" s="337"/>
      <c r="V304" s="337"/>
      <c r="W304" s="337"/>
      <c r="X304" s="337"/>
      <c r="Y304" s="337"/>
      <c r="Z304" s="337"/>
      <c r="AA304" s="337"/>
      <c r="AB304" s="337"/>
      <c r="AF304" s="337"/>
      <c r="AG304" s="337"/>
      <c r="AH304" s="910"/>
      <c r="AI304" s="910"/>
      <c r="AJ304" s="910"/>
      <c r="AK304" s="580"/>
      <c r="AL304" s="580"/>
    </row>
    <row r="305" spans="1:38" ht="11.25" hidden="1" customHeight="1" x14ac:dyDescent="0.15">
      <c r="A305" s="337"/>
      <c r="B305" s="337"/>
      <c r="C305" s="337"/>
      <c r="D305" s="337"/>
      <c r="E305" s="580"/>
      <c r="F305" s="337"/>
      <c r="G305" s="337"/>
      <c r="H305" s="337"/>
      <c r="I305" s="337"/>
      <c r="J305" s="337"/>
      <c r="K305" s="337"/>
      <c r="L305" s="337"/>
      <c r="M305" s="337"/>
      <c r="N305" s="337"/>
      <c r="O305" s="337"/>
      <c r="P305" s="337"/>
      <c r="Q305" s="337"/>
      <c r="R305" s="337"/>
      <c r="S305" s="337"/>
      <c r="T305" s="337"/>
      <c r="U305" s="337"/>
      <c r="V305" s="337"/>
      <c r="W305" s="337"/>
      <c r="X305" s="337"/>
      <c r="Y305" s="337"/>
      <c r="Z305" s="337"/>
      <c r="AA305" s="337"/>
      <c r="AB305" s="337"/>
      <c r="AF305" s="337"/>
      <c r="AG305" s="337"/>
      <c r="AH305" s="910"/>
      <c r="AI305" s="910"/>
      <c r="AJ305" s="910"/>
      <c r="AK305" s="580"/>
      <c r="AL305" s="580"/>
    </row>
    <row r="306" spans="1:38" ht="11.25" hidden="1" customHeight="1" x14ac:dyDescent="0.15">
      <c r="A306" s="337"/>
      <c r="B306" s="337"/>
      <c r="C306" s="337"/>
      <c r="D306" s="337"/>
      <c r="E306" s="580"/>
      <c r="F306" s="337"/>
      <c r="G306" s="337"/>
      <c r="H306" s="337"/>
      <c r="I306" s="337"/>
      <c r="J306" s="337"/>
      <c r="K306" s="337"/>
      <c r="L306" s="337"/>
      <c r="M306" s="337"/>
      <c r="N306" s="337"/>
      <c r="O306" s="337"/>
      <c r="P306" s="337"/>
      <c r="Q306" s="337"/>
      <c r="R306" s="337"/>
      <c r="S306" s="337"/>
      <c r="T306" s="337"/>
      <c r="U306" s="337"/>
      <c r="V306" s="337"/>
      <c r="W306" s="337"/>
      <c r="X306" s="337"/>
      <c r="Y306" s="337"/>
      <c r="Z306" s="337"/>
      <c r="AA306" s="337"/>
      <c r="AB306" s="337"/>
      <c r="AF306" s="337"/>
      <c r="AG306" s="337"/>
      <c r="AH306" s="910"/>
      <c r="AI306" s="910"/>
      <c r="AJ306" s="910"/>
      <c r="AK306" s="580"/>
      <c r="AL306" s="580"/>
    </row>
    <row r="307" spans="1:38" ht="11.25" hidden="1" customHeight="1" x14ac:dyDescent="0.15">
      <c r="A307" s="337"/>
      <c r="B307" s="337"/>
      <c r="C307" s="337"/>
      <c r="D307" s="337"/>
      <c r="E307" s="580"/>
      <c r="F307" s="337"/>
      <c r="G307" s="337"/>
      <c r="H307" s="337"/>
      <c r="I307" s="337"/>
      <c r="J307" s="337"/>
      <c r="K307" s="337"/>
      <c r="L307" s="337"/>
      <c r="M307" s="337"/>
      <c r="N307" s="337"/>
      <c r="O307" s="337"/>
      <c r="P307" s="337"/>
      <c r="Q307" s="337"/>
      <c r="R307" s="337"/>
      <c r="S307" s="337"/>
      <c r="T307" s="337"/>
      <c r="U307" s="337"/>
      <c r="V307" s="337"/>
      <c r="W307" s="337"/>
      <c r="X307" s="337"/>
      <c r="Y307" s="337"/>
      <c r="Z307" s="337"/>
      <c r="AA307" s="337"/>
      <c r="AB307" s="337"/>
      <c r="AF307" s="337"/>
      <c r="AG307" s="337"/>
      <c r="AH307" s="910"/>
      <c r="AI307" s="910"/>
      <c r="AJ307" s="910"/>
      <c r="AK307" s="580"/>
      <c r="AL307" s="580"/>
    </row>
    <row r="308" spans="1:38" ht="11.25" hidden="1" customHeight="1" x14ac:dyDescent="0.15">
      <c r="A308" s="337"/>
      <c r="B308" s="337"/>
      <c r="C308" s="337"/>
      <c r="D308" s="337"/>
      <c r="E308" s="580"/>
      <c r="F308" s="337"/>
      <c r="G308" s="337"/>
      <c r="H308" s="337"/>
      <c r="I308" s="337"/>
      <c r="J308" s="337"/>
      <c r="K308" s="337"/>
      <c r="L308" s="337"/>
      <c r="M308" s="337"/>
      <c r="N308" s="337"/>
      <c r="O308" s="337"/>
      <c r="P308" s="337"/>
      <c r="Q308" s="337"/>
      <c r="R308" s="337"/>
      <c r="S308" s="337"/>
      <c r="T308" s="337"/>
      <c r="U308" s="337"/>
      <c r="V308" s="337"/>
      <c r="W308" s="337"/>
      <c r="X308" s="337"/>
      <c r="Y308" s="337"/>
      <c r="Z308" s="337"/>
      <c r="AA308" s="337"/>
      <c r="AB308" s="337"/>
      <c r="AF308" s="337"/>
      <c r="AG308" s="337"/>
      <c r="AH308" s="910"/>
      <c r="AI308" s="910"/>
      <c r="AJ308" s="910"/>
      <c r="AK308" s="580"/>
      <c r="AL308" s="580"/>
    </row>
    <row r="309" spans="1:38" ht="11.25" hidden="1" customHeight="1" x14ac:dyDescent="0.15">
      <c r="A309" s="337"/>
      <c r="B309" s="337"/>
      <c r="C309" s="337"/>
      <c r="D309" s="337"/>
      <c r="E309" s="580"/>
      <c r="F309" s="337"/>
      <c r="G309" s="337"/>
      <c r="H309" s="337"/>
      <c r="I309" s="337"/>
      <c r="J309" s="337"/>
      <c r="K309" s="337"/>
      <c r="L309" s="337"/>
      <c r="M309" s="337"/>
      <c r="N309" s="337"/>
      <c r="O309" s="337"/>
      <c r="P309" s="337"/>
      <c r="Q309" s="337"/>
      <c r="R309" s="337"/>
      <c r="S309" s="337"/>
      <c r="T309" s="337"/>
      <c r="U309" s="337"/>
      <c r="V309" s="337"/>
      <c r="W309" s="337"/>
      <c r="X309" s="337"/>
      <c r="Y309" s="337"/>
      <c r="Z309" s="337"/>
      <c r="AA309" s="337"/>
      <c r="AB309" s="337"/>
      <c r="AF309" s="337"/>
      <c r="AG309" s="337"/>
      <c r="AH309" s="910"/>
      <c r="AI309" s="910"/>
      <c r="AJ309" s="910"/>
      <c r="AK309" s="580"/>
      <c r="AL309" s="580"/>
    </row>
    <row r="310" spans="1:38" ht="11.25" hidden="1" customHeight="1" x14ac:dyDescent="0.15">
      <c r="A310" s="337"/>
      <c r="B310" s="337"/>
      <c r="C310" s="337"/>
      <c r="D310" s="337"/>
      <c r="E310" s="580"/>
      <c r="F310" s="337"/>
      <c r="G310" s="337"/>
      <c r="H310" s="337"/>
      <c r="I310" s="337"/>
      <c r="J310" s="337"/>
      <c r="K310" s="337"/>
      <c r="L310" s="337"/>
      <c r="M310" s="337"/>
      <c r="N310" s="337"/>
      <c r="O310" s="337"/>
      <c r="P310" s="337"/>
      <c r="Q310" s="337"/>
      <c r="R310" s="337"/>
      <c r="S310" s="337"/>
      <c r="T310" s="337"/>
      <c r="U310" s="337"/>
      <c r="V310" s="337"/>
      <c r="W310" s="337"/>
      <c r="X310" s="337"/>
      <c r="Y310" s="337"/>
      <c r="Z310" s="337"/>
      <c r="AA310" s="337"/>
      <c r="AB310" s="337"/>
      <c r="AF310" s="337"/>
      <c r="AG310" s="337"/>
      <c r="AH310" s="910"/>
      <c r="AI310" s="910"/>
      <c r="AJ310" s="910"/>
      <c r="AK310" s="580"/>
      <c r="AL310" s="580"/>
    </row>
    <row r="311" spans="1:38" ht="11.25" hidden="1" customHeight="1" x14ac:dyDescent="0.15">
      <c r="A311" s="337"/>
      <c r="B311" s="337"/>
      <c r="C311" s="337"/>
      <c r="D311" s="337"/>
      <c r="E311" s="580"/>
      <c r="F311" s="337"/>
      <c r="G311" s="337"/>
      <c r="H311" s="337"/>
      <c r="I311" s="337"/>
      <c r="J311" s="337"/>
      <c r="K311" s="337"/>
      <c r="L311" s="337"/>
      <c r="M311" s="337"/>
      <c r="N311" s="337"/>
      <c r="O311" s="337"/>
      <c r="P311" s="337"/>
      <c r="Q311" s="337"/>
      <c r="R311" s="337"/>
      <c r="S311" s="337"/>
      <c r="T311" s="337"/>
      <c r="U311" s="337"/>
      <c r="V311" s="337"/>
      <c r="W311" s="337"/>
      <c r="X311" s="337"/>
      <c r="Y311" s="337"/>
      <c r="Z311" s="337"/>
      <c r="AA311" s="337"/>
      <c r="AB311" s="337"/>
      <c r="AF311" s="337"/>
      <c r="AG311" s="337"/>
      <c r="AH311" s="910"/>
      <c r="AI311" s="910"/>
      <c r="AJ311" s="910"/>
      <c r="AK311" s="580"/>
      <c r="AL311" s="580"/>
    </row>
    <row r="312" spans="1:38" ht="11.25" hidden="1" customHeight="1" x14ac:dyDescent="0.15">
      <c r="A312" s="337"/>
      <c r="B312" s="337"/>
      <c r="C312" s="337"/>
      <c r="D312" s="337"/>
      <c r="E312" s="580"/>
      <c r="F312" s="337"/>
      <c r="G312" s="337"/>
      <c r="H312" s="337"/>
      <c r="I312" s="337"/>
      <c r="J312" s="337"/>
      <c r="K312" s="337"/>
      <c r="L312" s="337"/>
      <c r="M312" s="337"/>
      <c r="N312" s="337"/>
      <c r="O312" s="337"/>
      <c r="P312" s="337"/>
      <c r="Q312" s="337"/>
      <c r="R312" s="337"/>
      <c r="S312" s="337"/>
      <c r="T312" s="337"/>
      <c r="U312" s="337"/>
      <c r="V312" s="337"/>
      <c r="W312" s="337"/>
      <c r="X312" s="337"/>
      <c r="Y312" s="337"/>
      <c r="Z312" s="337"/>
      <c r="AA312" s="337"/>
      <c r="AB312" s="337"/>
      <c r="AF312" s="337"/>
      <c r="AG312" s="337"/>
      <c r="AH312" s="910"/>
      <c r="AI312" s="910"/>
      <c r="AJ312" s="910"/>
      <c r="AK312" s="580"/>
      <c r="AL312" s="580"/>
    </row>
    <row r="313" spans="1:38" ht="11.25" hidden="1" customHeight="1" x14ac:dyDescent="0.15">
      <c r="A313" s="337"/>
      <c r="B313" s="337"/>
      <c r="C313" s="337"/>
      <c r="D313" s="337"/>
      <c r="E313" s="580"/>
      <c r="F313" s="337"/>
      <c r="G313" s="337"/>
      <c r="H313" s="337"/>
      <c r="I313" s="337"/>
      <c r="J313" s="337"/>
      <c r="K313" s="337"/>
      <c r="L313" s="337"/>
      <c r="M313" s="337"/>
      <c r="N313" s="337"/>
      <c r="O313" s="337"/>
      <c r="P313" s="337"/>
      <c r="Q313" s="337"/>
      <c r="R313" s="337"/>
      <c r="S313" s="337"/>
      <c r="T313" s="337"/>
      <c r="U313" s="337"/>
      <c r="V313" s="337"/>
      <c r="W313" s="337"/>
      <c r="X313" s="337"/>
      <c r="Y313" s="337"/>
      <c r="Z313" s="337"/>
      <c r="AA313" s="337"/>
      <c r="AB313" s="337"/>
      <c r="AF313" s="337"/>
      <c r="AG313" s="337"/>
      <c r="AH313" s="910"/>
      <c r="AI313" s="910"/>
      <c r="AJ313" s="910"/>
      <c r="AK313" s="580"/>
      <c r="AL313" s="580"/>
    </row>
    <row r="314" spans="1:38" ht="11.25" hidden="1" customHeight="1" x14ac:dyDescent="0.15">
      <c r="A314" s="337"/>
      <c r="B314" s="337"/>
      <c r="C314" s="337"/>
      <c r="D314" s="337"/>
      <c r="E314" s="580"/>
      <c r="F314" s="337"/>
      <c r="G314" s="337"/>
      <c r="H314" s="337"/>
      <c r="I314" s="337"/>
      <c r="J314" s="337"/>
      <c r="K314" s="337"/>
      <c r="L314" s="337"/>
      <c r="M314" s="337"/>
      <c r="N314" s="337"/>
      <c r="O314" s="337"/>
      <c r="P314" s="337"/>
      <c r="Q314" s="337"/>
      <c r="R314" s="337"/>
      <c r="S314" s="337"/>
      <c r="T314" s="337"/>
      <c r="U314" s="337"/>
      <c r="V314" s="337"/>
      <c r="W314" s="337"/>
      <c r="X314" s="337"/>
      <c r="Y314" s="337"/>
      <c r="Z314" s="337"/>
      <c r="AA314" s="337"/>
      <c r="AB314" s="337"/>
      <c r="AF314" s="337"/>
      <c r="AG314" s="337"/>
      <c r="AH314" s="910"/>
      <c r="AI314" s="910"/>
      <c r="AJ314" s="910"/>
      <c r="AK314" s="580"/>
      <c r="AL314" s="580"/>
    </row>
    <row r="315" spans="1:38" ht="11.25" hidden="1" customHeight="1" x14ac:dyDescent="0.15">
      <c r="A315" s="337"/>
      <c r="B315" s="337"/>
      <c r="C315" s="337"/>
      <c r="D315" s="337"/>
      <c r="E315" s="580"/>
      <c r="F315" s="337"/>
      <c r="G315" s="337"/>
      <c r="H315" s="337"/>
      <c r="I315" s="337"/>
      <c r="J315" s="337"/>
      <c r="K315" s="337"/>
      <c r="L315" s="337"/>
      <c r="M315" s="337"/>
      <c r="N315" s="337"/>
      <c r="O315" s="337"/>
      <c r="P315" s="337"/>
      <c r="Q315" s="337"/>
      <c r="R315" s="337"/>
      <c r="S315" s="337"/>
      <c r="T315" s="337"/>
      <c r="U315" s="337"/>
      <c r="V315" s="337"/>
      <c r="W315" s="337"/>
      <c r="X315" s="337"/>
      <c r="Y315" s="337"/>
      <c r="Z315" s="337"/>
      <c r="AA315" s="337"/>
      <c r="AB315" s="337"/>
      <c r="AF315" s="337"/>
      <c r="AG315" s="337"/>
      <c r="AH315" s="910"/>
      <c r="AI315" s="910"/>
      <c r="AJ315" s="910"/>
      <c r="AK315" s="580"/>
      <c r="AL315" s="580"/>
    </row>
    <row r="316" spans="1:38" ht="11.25" hidden="1" customHeight="1" x14ac:dyDescent="0.15">
      <c r="A316" s="337"/>
      <c r="B316" s="337"/>
      <c r="C316" s="337"/>
      <c r="D316" s="337"/>
      <c r="E316" s="580"/>
      <c r="F316" s="337"/>
      <c r="G316" s="337"/>
      <c r="H316" s="337"/>
      <c r="I316" s="337"/>
      <c r="J316" s="337"/>
      <c r="K316" s="337"/>
      <c r="L316" s="337"/>
      <c r="M316" s="337"/>
      <c r="N316" s="337"/>
      <c r="O316" s="337"/>
      <c r="P316" s="337"/>
      <c r="Q316" s="337"/>
      <c r="R316" s="337"/>
      <c r="S316" s="337"/>
      <c r="T316" s="337"/>
      <c r="U316" s="337"/>
      <c r="V316" s="337"/>
      <c r="W316" s="337"/>
      <c r="X316" s="337"/>
      <c r="Y316" s="337"/>
      <c r="Z316" s="337"/>
      <c r="AA316" s="337"/>
      <c r="AB316" s="337"/>
      <c r="AF316" s="337"/>
      <c r="AG316" s="337"/>
      <c r="AH316" s="910"/>
      <c r="AI316" s="910"/>
      <c r="AJ316" s="910"/>
      <c r="AK316" s="580"/>
      <c r="AL316" s="580"/>
    </row>
    <row r="317" spans="1:38" ht="11.25" hidden="1" customHeight="1" x14ac:dyDescent="0.15">
      <c r="A317" s="337"/>
      <c r="B317" s="337"/>
      <c r="C317" s="337"/>
      <c r="D317" s="337"/>
      <c r="E317" s="580"/>
      <c r="F317" s="337"/>
      <c r="G317" s="337"/>
      <c r="H317" s="337"/>
      <c r="I317" s="337"/>
      <c r="J317" s="337"/>
      <c r="K317" s="337"/>
      <c r="L317" s="337"/>
      <c r="M317" s="337"/>
      <c r="N317" s="337"/>
      <c r="O317" s="337"/>
      <c r="P317" s="337"/>
      <c r="Q317" s="337"/>
      <c r="R317" s="337"/>
      <c r="S317" s="337"/>
      <c r="T317" s="337"/>
      <c r="U317" s="337"/>
      <c r="V317" s="337"/>
      <c r="W317" s="337"/>
      <c r="X317" s="337"/>
      <c r="Y317" s="337"/>
      <c r="Z317" s="337"/>
      <c r="AA317" s="337"/>
      <c r="AB317" s="337"/>
      <c r="AF317" s="337"/>
      <c r="AG317" s="337"/>
      <c r="AH317" s="910"/>
      <c r="AI317" s="910"/>
      <c r="AJ317" s="910"/>
      <c r="AK317" s="580"/>
      <c r="AL317" s="580"/>
    </row>
    <row r="318" spans="1:38" ht="11.25" hidden="1" customHeight="1" x14ac:dyDescent="0.15">
      <c r="A318" s="337"/>
      <c r="B318" s="337"/>
      <c r="C318" s="337"/>
      <c r="D318" s="337"/>
      <c r="E318" s="580"/>
      <c r="F318" s="337"/>
      <c r="G318" s="337"/>
      <c r="H318" s="337"/>
      <c r="I318" s="337"/>
      <c r="J318" s="337"/>
      <c r="K318" s="337"/>
      <c r="L318" s="337"/>
      <c r="M318" s="337"/>
      <c r="N318" s="337"/>
      <c r="O318" s="337"/>
      <c r="P318" s="337"/>
      <c r="Q318" s="337"/>
      <c r="R318" s="337"/>
      <c r="S318" s="337"/>
      <c r="T318" s="337"/>
      <c r="U318" s="337"/>
      <c r="V318" s="337"/>
      <c r="W318" s="337"/>
      <c r="X318" s="337"/>
      <c r="Y318" s="337"/>
      <c r="Z318" s="337"/>
      <c r="AA318" s="337"/>
      <c r="AB318" s="337"/>
      <c r="AF318" s="337"/>
      <c r="AG318" s="337"/>
      <c r="AH318" s="910"/>
      <c r="AI318" s="910"/>
      <c r="AJ318" s="910"/>
      <c r="AK318" s="580"/>
      <c r="AL318" s="580"/>
    </row>
  </sheetData>
  <sheetProtection formatColumns="0" formatRows="0" insertRows="0" deleteColumns="0" deleteRows="0" sort="0" autoFilter="0"/>
  <mergeCells count="14">
    <mergeCell ref="AB22:AE22"/>
    <mergeCell ref="AB296:AE296"/>
    <mergeCell ref="AB297:AE297"/>
    <mergeCell ref="X27:X115"/>
    <mergeCell ref="Z27:Z115"/>
    <mergeCell ref="AB23:AE23"/>
    <mergeCell ref="AB24:AB25"/>
    <mergeCell ref="AC24:AC25"/>
    <mergeCell ref="AD24:AD25"/>
    <mergeCell ref="AB295:AE295"/>
    <mergeCell ref="X116:X204"/>
    <mergeCell ref="Z116:Z204"/>
    <mergeCell ref="X205:X293"/>
    <mergeCell ref="Z205:Z293"/>
  </mergeCell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86886-A9B8-6C13-61A8-15AA84F572B8}">
  <sheetPr>
    <tabColor rgb="FF92D050"/>
    <outlinePr summaryBelow="0" summaryRight="0"/>
    <pageSetUpPr fitToPage="1"/>
  </sheetPr>
  <dimension ref="A1:AI91"/>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x14ac:dyDescent="0.15"/>
  <cols>
    <col min="1" max="4" width="2.7109375" style="1128" hidden="1" customWidth="1"/>
    <col min="5" max="5" width="4.5703125" style="1081" hidden="1" customWidth="1"/>
    <col min="6" max="6" width="2.7109375" style="1128" hidden="1" customWidth="1"/>
    <col min="7" max="7" width="13.28515625" style="1128" hidden="1" customWidth="1"/>
    <col min="8" max="19" width="2.7109375" style="1128" hidden="1" customWidth="1"/>
    <col min="20" max="20" width="8.5703125" style="1128" hidden="1" customWidth="1"/>
    <col min="21" max="26" width="2.7109375" style="1128" hidden="1" customWidth="1"/>
    <col min="27" max="27" width="3" style="1128" customWidth="1"/>
    <col min="28" max="28" width="11" style="1128" customWidth="1"/>
    <col min="29" max="29" width="57" style="1128" customWidth="1"/>
    <col min="30" max="30" width="14.5703125" style="1333" customWidth="1"/>
    <col min="31" max="32" width="12.5703125" style="1333" customWidth="1"/>
    <col min="33" max="33" width="3" style="1128" customWidth="1"/>
    <col min="34" max="34" width="8.7109375" style="1128" hidden="1"/>
    <col min="35" max="35" width="8.7109375" style="1082" hidden="1"/>
  </cols>
  <sheetData>
    <row r="1" spans="1:35" ht="11.25" hidden="1" customHeight="1" x14ac:dyDescent="0.15">
      <c r="E1" s="411"/>
      <c r="F1" s="411" t="s">
        <v>319</v>
      </c>
      <c r="H1" s="411" t="s">
        <v>330</v>
      </c>
      <c r="T1" s="388" t="s">
        <v>92</v>
      </c>
      <c r="U1" s="388" t="s">
        <v>97</v>
      </c>
      <c r="V1" s="388" t="s">
        <v>93</v>
      </c>
      <c r="W1" s="388" t="s">
        <v>94</v>
      </c>
      <c r="X1" s="388" t="s">
        <v>95</v>
      </c>
      <c r="Y1" s="390" t="s">
        <v>321</v>
      </c>
      <c r="Z1" s="388" t="s">
        <v>99</v>
      </c>
      <c r="AA1" s="390" t="s">
        <v>96</v>
      </c>
      <c r="AC1" s="390" t="s">
        <v>98</v>
      </c>
      <c r="AI1" s="934" t="s">
        <v>322</v>
      </c>
    </row>
    <row r="2" spans="1:35" ht="11.25" hidden="1" customHeight="1" x14ac:dyDescent="0.15">
      <c r="B2" s="367" t="s">
        <v>18</v>
      </c>
      <c r="E2" s="411"/>
    </row>
    <row r="3" spans="1:35" ht="11.25" hidden="1" customHeight="1" x14ac:dyDescent="0.15">
      <c r="E3" s="411"/>
    </row>
    <row r="4" spans="1:35" ht="11.25" hidden="1" customHeight="1" x14ac:dyDescent="0.15">
      <c r="E4" s="411"/>
    </row>
    <row r="5" spans="1:35" s="1081" customFormat="1" ht="11.25" hidden="1" customHeight="1" x14ac:dyDescent="0.15">
      <c r="A5" s="411"/>
      <c r="B5" s="411"/>
      <c r="C5" s="411"/>
      <c r="D5" s="411"/>
      <c r="E5" s="573" t="s">
        <v>19</v>
      </c>
      <c r="AA5" s="573">
        <v>3</v>
      </c>
      <c r="AB5" s="573">
        <v>11</v>
      </c>
      <c r="AC5" s="573">
        <v>57</v>
      </c>
      <c r="AD5" s="575">
        <v>14.57</v>
      </c>
      <c r="AE5" s="575">
        <v>12.57</v>
      </c>
      <c r="AF5" s="575">
        <v>12.57</v>
      </c>
      <c r="AG5" s="573">
        <v>3</v>
      </c>
      <c r="AI5" s="934"/>
    </row>
    <row r="6" spans="1:35" ht="11.25" hidden="1" customHeight="1" x14ac:dyDescent="0.15">
      <c r="A6" s="411" t="s">
        <v>357</v>
      </c>
      <c r="AE6" s="482" cm="1">
        <f t="array" ref="AE6">god</f>
        <v>2026</v>
      </c>
      <c r="AF6" s="482" cm="1">
        <f t="array" ref="AF6">god</f>
        <v>2026</v>
      </c>
    </row>
    <row r="7" spans="1:35" ht="11.25" hidden="1" customHeight="1" x14ac:dyDescent="0.15">
      <c r="A7" s="411" t="s">
        <v>358</v>
      </c>
      <c r="AE7" s="482" t="str" cm="1">
        <f t="array" ref="AE7">AE25</f>
        <v>Предложение организации</v>
      </c>
      <c r="AF7" s="482" t="str" cm="1">
        <f t="array" ref="AF7">AF25</f>
        <v>Принято органом регулирования</v>
      </c>
    </row>
    <row r="8" spans="1:35" ht="11.25" hidden="1" customHeight="1" x14ac:dyDescent="0.15">
      <c r="AE8" s="482"/>
      <c r="AF8" s="482"/>
    </row>
    <row r="9" spans="1:35" s="1082" customFormat="1" ht="11.25" hidden="1" customHeight="1" x14ac:dyDescent="0.15">
      <c r="A9" s="934" t="s">
        <v>363</v>
      </c>
      <c r="AD9" s="935"/>
      <c r="AE9" s="986" t="str" cm="1">
        <f t="array" ref="AE9">AE25</f>
        <v>Предложение организации</v>
      </c>
      <c r="AF9" s="986" t="str" cm="1">
        <f t="array" ref="AF9">AF25</f>
        <v>Принято органом регулирования</v>
      </c>
    </row>
    <row r="10" spans="1:35" ht="11.25" hidden="1" customHeight="1" x14ac:dyDescent="0.15">
      <c r="AE10" s="482"/>
      <c r="AF10" s="482"/>
    </row>
    <row r="11" spans="1:35" ht="11.25" hidden="1" customHeight="1" x14ac:dyDescent="0.15">
      <c r="AE11" s="482"/>
      <c r="AF11" s="482"/>
    </row>
    <row r="12" spans="1:35" ht="11.25" hidden="1" customHeight="1" x14ac:dyDescent="0.15">
      <c r="AE12" s="482"/>
      <c r="AF12" s="482"/>
    </row>
    <row r="13" spans="1:35" ht="11.25" hidden="1" customHeight="1" x14ac:dyDescent="0.15">
      <c r="AE13" s="482"/>
      <c r="AF13" s="482"/>
    </row>
    <row r="14" spans="1:35" ht="11.25" hidden="1" customHeight="1" x14ac:dyDescent="0.15">
      <c r="AE14" s="482"/>
      <c r="AF14" s="482"/>
    </row>
    <row r="15" spans="1:35" ht="11.25" hidden="1" customHeight="1" x14ac:dyDescent="0.15">
      <c r="AE15" s="482"/>
      <c r="AF15" s="482"/>
    </row>
    <row r="16" spans="1:35" ht="11.25" hidden="1" customHeight="1" x14ac:dyDescent="0.15">
      <c r="AE16" s="482"/>
      <c r="AF16" s="482"/>
    </row>
    <row r="17" spans="5:35" ht="11.25" hidden="1" customHeight="1" x14ac:dyDescent="0.15">
      <c r="AE17" s="440"/>
      <c r="AF17" s="440"/>
    </row>
    <row r="18" spans="5:35" ht="11.25" hidden="1" customHeight="1" x14ac:dyDescent="0.15">
      <c r="AE18" s="445">
        <f ca="1">SUMIFS('Перечень объектов'!AH$24:AH$63,'Перечень объектов'!$F$24:$F$63,$F29,'Перечень объектов'!$L$24:$L$63,"ЭЭ")</f>
        <v>0</v>
      </c>
    </row>
    <row r="19" spans="5:35" ht="11.25" hidden="1" customHeight="1" x14ac:dyDescent="0.15"/>
    <row r="20" spans="5:35" ht="11.25" hidden="1" customHeight="1" x14ac:dyDescent="0.15"/>
    <row r="21" spans="5:35" ht="14.65" customHeight="1" x14ac:dyDescent="0.15">
      <c r="E21" s="573">
        <v>15</v>
      </c>
      <c r="AA21" s="411"/>
      <c r="AC21" s="446" t="str" cm="1">
        <f t="array" ref="AC21">tpl_title</f>
        <v>Кемеровская область / 2026 / ООО "Чистая вода" (ИНН:4246023100, КПП:424601001) / ДПР: 2024-2032</v>
      </c>
    </row>
    <row r="22" spans="5:35" ht="32.85" customHeight="1" x14ac:dyDescent="0.15">
      <c r="E22" s="573">
        <v>33.75</v>
      </c>
      <c r="AB22" s="2086" t="s">
        <v>90</v>
      </c>
      <c r="AC22" s="2087"/>
      <c r="AD22" s="2087"/>
      <c r="AE22" s="2087"/>
      <c r="AF22" s="2087"/>
    </row>
    <row r="23" spans="5:35" ht="10.9" customHeight="1" x14ac:dyDescent="0.15">
      <c r="E23" s="573">
        <v>11.25</v>
      </c>
      <c r="AB23" s="2051"/>
      <c r="AC23" s="2051"/>
      <c r="AD23" s="2051"/>
      <c r="AE23" s="2051"/>
      <c r="AF23" s="2051"/>
    </row>
    <row r="24" spans="5:35" ht="14.65" customHeight="1" x14ac:dyDescent="0.15">
      <c r="E24" s="573">
        <v>15</v>
      </c>
      <c r="AB24" s="2035" t="s">
        <v>813</v>
      </c>
      <c r="AC24" s="2083" t="s">
        <v>194</v>
      </c>
      <c r="AD24" s="2035" t="s">
        <v>367</v>
      </c>
      <c r="AE24" s="2143" t="str">
        <f>god&amp;" год"</f>
        <v>2026 год</v>
      </c>
      <c r="AF24" s="2144"/>
    </row>
    <row r="25" spans="5:35" ht="48.75" customHeight="1" x14ac:dyDescent="0.15">
      <c r="E25" s="573">
        <v>50</v>
      </c>
      <c r="AB25" s="2035"/>
      <c r="AC25" s="2083"/>
      <c r="AD25" s="2035"/>
      <c r="AE25" s="1254" t="s">
        <v>360</v>
      </c>
      <c r="AF25" s="680" t="s">
        <v>359</v>
      </c>
    </row>
    <row r="26" spans="5:35" ht="11.25" hidden="1" customHeight="1" x14ac:dyDescent="0.15">
      <c r="E26" s="573">
        <v>0</v>
      </c>
      <c r="AB26" s="646"/>
      <c r="AC26" s="658"/>
      <c r="AD26" s="646"/>
      <c r="AE26" s="1255"/>
      <c r="AF26" s="1255"/>
    </row>
    <row r="27" spans="5:35" ht="14.65" hidden="1" customHeight="1" x14ac:dyDescent="0.15">
      <c r="E27" s="573">
        <v>15</v>
      </c>
      <c r="F27" s="411" cm="1">
        <f t="array" ref="F27">X27</f>
        <v>0</v>
      </c>
      <c r="T27" s="388" t="b">
        <f>X27&gt;0</f>
        <v>0</v>
      </c>
      <c r="V27" s="411" t="s">
        <v>271</v>
      </c>
      <c r="X27" s="2066">
        <v>0</v>
      </c>
      <c r="Z27" s="2067"/>
      <c r="AB27" s="141" t="str" cm="1">
        <f t="array" ref="AB27">INDEX('Общие сведения'!$AG$185:$AG$228,MATCH($X27,'Общие сведения'!$Z$185:$Z$228,0))</f>
        <v xml:space="preserve">Тариф 0 () - </v>
      </c>
      <c r="AC27" s="1198"/>
      <c r="AD27" s="1199"/>
      <c r="AE27" s="1199"/>
      <c r="AF27" s="1200"/>
    </row>
    <row r="28" spans="5:35" s="448" customFormat="1" ht="21.95" hidden="1" customHeight="1" x14ac:dyDescent="0.15">
      <c r="E28" s="598">
        <v>22.5</v>
      </c>
      <c r="F28" s="3" cm="1">
        <f t="array" aca="1" ref="F28" ca="1">OFFSET(E28,-1,1)</f>
        <v>0</v>
      </c>
      <c r="H28" s="411" t="s">
        <v>331</v>
      </c>
      <c r="I28" s="411"/>
      <c r="J28" s="411"/>
      <c r="K28" s="411"/>
      <c r="T28" s="388" t="b" cm="1">
        <f t="array" ref="T28">T27</f>
        <v>0</v>
      </c>
      <c r="X28" s="2066"/>
      <c r="Z28" s="2067"/>
      <c r="AB28" s="438" t="s">
        <v>282</v>
      </c>
      <c r="AC28" s="454" t="s">
        <v>2402</v>
      </c>
      <c r="AD28" s="438" t="s">
        <v>831</v>
      </c>
      <c r="AE28" s="450">
        <f ca="1">(AE29+AE37)*AE35</f>
        <v>0</v>
      </c>
      <c r="AF28" s="450">
        <f ca="1">(AF29+AF37)*AF35</f>
        <v>0</v>
      </c>
      <c r="AI28" s="944" t="s">
        <v>2403</v>
      </c>
    </row>
    <row r="29" spans="5:35" ht="21.95" hidden="1" customHeight="1" x14ac:dyDescent="0.15">
      <c r="E29" s="573">
        <v>22.5</v>
      </c>
      <c r="F29" s="3" cm="1">
        <f t="array" aca="1" ref="F29" ca="1">OFFSET(E29,-1,1)</f>
        <v>0</v>
      </c>
      <c r="G29" s="411" t="s">
        <v>2404</v>
      </c>
      <c r="H29" s="411" t="s">
        <v>332</v>
      </c>
      <c r="K29" s="411" t="str">
        <f ca="1">F29&amp;G29</f>
        <v>0УТР</v>
      </c>
      <c r="L29" s="996" cm="1">
        <f t="array" ref="L29">AE29</f>
        <v>0</v>
      </c>
      <c r="M29" s="996" cm="1">
        <f t="array" ref="M29">AF29</f>
        <v>0</v>
      </c>
      <c r="T29" s="388" t="b" cm="1">
        <f t="array" ref="T29">T28</f>
        <v>0</v>
      </c>
      <c r="X29" s="2066"/>
      <c r="Z29" s="2067"/>
      <c r="AB29" s="438" t="s">
        <v>289</v>
      </c>
      <c r="AC29" s="449" t="s">
        <v>1052</v>
      </c>
      <c r="AD29" s="438" t="s">
        <v>1044</v>
      </c>
      <c r="AE29" s="995">
        <f>IF(AE34=0,0,(AE30-IF(SUMIFS('Перечень объектов'!AH$24:AH$63,'Перечень объектов'!$F$24:$F$63,$F29,'Перечень объектов'!$G$24:$G$63,"ЭЭ")&gt;0,0,AE31))/AE34)</f>
        <v>0</v>
      </c>
      <c r="AF29" s="995">
        <f>IF(AF34=0,0,(AF30-IF(SUMIFS('Перечень объектов'!AI$24:AI$63,'Перечень объектов'!$F$24:$F$63,$F29,'Перечень объектов'!$G$24:$G$63,"ЭЭ")&gt;0,0,AF31))/AF34)</f>
        <v>0</v>
      </c>
      <c r="AI29" s="934" t="s">
        <v>2405</v>
      </c>
    </row>
    <row r="30" spans="5:35" ht="32.85" hidden="1" customHeight="1" x14ac:dyDescent="0.15">
      <c r="E30" s="573">
        <v>33.75</v>
      </c>
      <c r="F30" s="3" cm="1">
        <f t="array" aca="1" ref="F30" ca="1">OFFSET(E30,-1,1)</f>
        <v>0</v>
      </c>
      <c r="H30" s="411" t="s">
        <v>512</v>
      </c>
      <c r="T30" s="388" t="b" cm="1">
        <f t="array" ref="T30">T29</f>
        <v>0</v>
      </c>
      <c r="X30" s="2066"/>
      <c r="Z30" s="2067"/>
      <c r="AB30" s="438" t="s">
        <v>566</v>
      </c>
      <c r="AC30" s="485" t="s">
        <v>2406</v>
      </c>
      <c r="AD30" s="438" t="s">
        <v>831</v>
      </c>
      <c r="AE30" s="1935"/>
      <c r="AF30" s="450">
        <f ca="1">SUMIFS(ГО!AE$25:AE$294,ГО!$F$25:$F$294,$F30,ГО!$G$25:$G$294,"Итог")*(1+AF32/100)*(1+AF33/100)</f>
        <v>0</v>
      </c>
      <c r="AI30" s="934" t="s">
        <v>2407</v>
      </c>
    </row>
    <row r="31" spans="5:35" s="448" customFormat="1" ht="14.65" hidden="1" customHeight="1" x14ac:dyDescent="0.15">
      <c r="E31" s="598">
        <v>15</v>
      </c>
      <c r="F31" s="3" cm="1">
        <f t="array" aca="1" ref="F31" ca="1">OFFSET(E31,-1,1)</f>
        <v>0</v>
      </c>
      <c r="H31" s="411" t="s">
        <v>1529</v>
      </c>
      <c r="I31" s="411"/>
      <c r="J31" s="411"/>
      <c r="K31" s="411"/>
      <c r="T31" s="388" t="b" cm="1">
        <f t="array" ref="T31">T30</f>
        <v>0</v>
      </c>
      <c r="X31" s="2066"/>
      <c r="Z31" s="2067"/>
      <c r="AB31" s="438" t="s">
        <v>520</v>
      </c>
      <c r="AC31" s="1201" t="s">
        <v>2408</v>
      </c>
      <c r="AD31" s="438" t="s">
        <v>831</v>
      </c>
      <c r="AE31" s="1935"/>
      <c r="AF31" s="450">
        <f ca="1">SUMIFS(ГО!AE$25:AE$294,ГО!$F$25:$F$294,$F31,ГО!$G$25:$G$294,"ЭЭ")*(1+AF32/100)*(1+AF33/100)</f>
        <v>0</v>
      </c>
      <c r="AI31" s="944" t="s">
        <v>1692</v>
      </c>
    </row>
    <row r="32" spans="5:35" s="448" customFormat="1" ht="14.65" hidden="1" customHeight="1" x14ac:dyDescent="0.15">
      <c r="E32" s="598">
        <v>15</v>
      </c>
      <c r="F32" s="3" cm="1">
        <f t="array" aca="1" ref="F32" ca="1">OFFSET(E32,-1,1)</f>
        <v>0</v>
      </c>
      <c r="H32" s="411" t="s">
        <v>515</v>
      </c>
      <c r="I32" s="411"/>
      <c r="J32" s="411"/>
      <c r="K32" s="411"/>
      <c r="T32" s="388" t="b" cm="1">
        <f t="array" ref="T32">T31</f>
        <v>0</v>
      </c>
      <c r="X32" s="2066"/>
      <c r="Z32" s="2067"/>
      <c r="AB32" s="438" t="s">
        <v>570</v>
      </c>
      <c r="AC32" s="485" t="str">
        <f>"индекс потребительских цен на "&amp;god-1&amp;" год"</f>
        <v>индекс потребительских цен на 2025 год</v>
      </c>
      <c r="AD32" s="438" t="s">
        <v>490</v>
      </c>
      <c r="AE32" s="1935"/>
      <c r="AF32" s="1935"/>
      <c r="AI32" s="944" t="s">
        <v>2409</v>
      </c>
    </row>
    <row r="33" spans="1:35" s="448" customFormat="1" ht="14.65" hidden="1" customHeight="1" x14ac:dyDescent="0.15">
      <c r="E33" s="598">
        <v>15</v>
      </c>
      <c r="F33" s="3" cm="1">
        <f t="array" aca="1" ref="F33" ca="1">OFFSET(E33,-1,1)</f>
        <v>0</v>
      </c>
      <c r="H33" s="411" t="s">
        <v>930</v>
      </c>
      <c r="I33" s="411"/>
      <c r="J33" s="411"/>
      <c r="K33" s="411"/>
      <c r="T33" s="388" t="b" cm="1">
        <f t="array" ref="T33">T32</f>
        <v>0</v>
      </c>
      <c r="X33" s="2066"/>
      <c r="Z33" s="2067"/>
      <c r="AB33" s="438" t="s">
        <v>574</v>
      </c>
      <c r="AC33" s="485" t="str">
        <f>"индекс потребительских цен на "&amp;god&amp;" год"</f>
        <v>индекс потребительских цен на 2026 год</v>
      </c>
      <c r="AD33" s="438" t="s">
        <v>490</v>
      </c>
      <c r="AE33" s="1935"/>
      <c r="AF33" s="1935"/>
      <c r="AI33" s="944" t="s">
        <v>2410</v>
      </c>
    </row>
    <row r="34" spans="1:35" s="448" customFormat="1" ht="21.95" hidden="1" customHeight="1" x14ac:dyDescent="0.15">
      <c r="E34" s="598">
        <v>22.5</v>
      </c>
      <c r="F34" s="3" cm="1">
        <f t="array" aca="1" ref="F34" ca="1">OFFSET(E34,-1,1)</f>
        <v>0</v>
      </c>
      <c r="H34" s="411" t="s">
        <v>932</v>
      </c>
      <c r="I34" s="411"/>
      <c r="J34" s="411"/>
      <c r="K34" s="411"/>
      <c r="T34" s="388" t="b" cm="1">
        <f t="array" ref="T34">T33</f>
        <v>0</v>
      </c>
      <c r="X34" s="2066"/>
      <c r="Z34" s="2067"/>
      <c r="AB34" s="438" t="s">
        <v>933</v>
      </c>
      <c r="AC34" s="485" t="s">
        <v>2411</v>
      </c>
      <c r="AD34" s="438" t="s">
        <v>823</v>
      </c>
      <c r="AE34" s="1935"/>
      <c r="AF34" s="1935"/>
      <c r="AI34" s="944" t="s">
        <v>2412</v>
      </c>
    </row>
    <row r="35" spans="1:35" s="448" customFormat="1" ht="14.65" hidden="1" customHeight="1" x14ac:dyDescent="0.15">
      <c r="E35" s="598">
        <v>15</v>
      </c>
      <c r="F35" s="3" cm="1">
        <f t="array" aca="1" ref="F35" ca="1">OFFSET(E35,-1,1)</f>
        <v>0</v>
      </c>
      <c r="H35" s="411" t="s">
        <v>333</v>
      </c>
      <c r="I35" s="411"/>
      <c r="J35" s="411"/>
      <c r="K35" s="411"/>
      <c r="T35" s="388" t="b" cm="1">
        <f t="array" ref="T35">T34</f>
        <v>0</v>
      </c>
      <c r="X35" s="2066"/>
      <c r="Z35" s="2067"/>
      <c r="AB35" s="438" t="s">
        <v>329</v>
      </c>
      <c r="AC35" s="1202" t="s">
        <v>2413</v>
      </c>
      <c r="AD35" s="438" t="s">
        <v>823</v>
      </c>
      <c r="AE35" s="453">
        <f ca="1">SUMIFS('Условные метры'!AL$27:AL$38,'Условные метры'!$F$27:$F$38,$F35,'Условные метры'!$G$27:$G$38,"Итог")</f>
        <v>0</v>
      </c>
      <c r="AF35" s="453">
        <f ca="1">SUMIFS('Условные метры'!AN$27:AN$38,'Условные метры'!$F$27:$F$38,$F35,'Условные метры'!$G$27:$G$38,"Итог")</f>
        <v>0</v>
      </c>
      <c r="AI35" s="944" t="s">
        <v>2414</v>
      </c>
    </row>
    <row r="36" spans="1:35" s="448" customFormat="1" ht="14.65" hidden="1" customHeight="1" x14ac:dyDescent="0.15">
      <c r="E36" s="598">
        <v>15</v>
      </c>
      <c r="F36" s="3" cm="1">
        <f t="array" aca="1" ref="F36" ca="1">OFFSET(E36,-1,1)</f>
        <v>0</v>
      </c>
      <c r="H36" s="411" t="s">
        <v>940</v>
      </c>
      <c r="I36" s="411"/>
      <c r="J36" s="411"/>
      <c r="K36" s="411"/>
      <c r="T36" s="388" t="b" cm="1">
        <f t="array" ref="T36">T35</f>
        <v>0</v>
      </c>
      <c r="X36" s="2066"/>
      <c r="Z36" s="2067"/>
      <c r="AB36" s="438" t="s">
        <v>580</v>
      </c>
      <c r="AC36" s="485" t="s">
        <v>2415</v>
      </c>
      <c r="AD36" s="438" t="s">
        <v>385</v>
      </c>
      <c r="AE36" s="453">
        <f ca="1">SUMIFS('Условные метры'!AK$27:AK$38,'Условные метры'!$F$27:$F$38,$F36,'Условные метры'!$G$27:$G$38,"Итог")</f>
        <v>0</v>
      </c>
      <c r="AF36" s="453">
        <f ca="1">SUMIFS('Условные метры'!AM$27:AM$38,'Условные метры'!$F$27:$F$38,$F36,'Условные метры'!$G$27:$G$38,"Итог")</f>
        <v>0</v>
      </c>
      <c r="AI36" s="944" t="s">
        <v>2416</v>
      </c>
    </row>
    <row r="37" spans="1:35" s="448" customFormat="1" ht="14.65" hidden="1" customHeight="1" x14ac:dyDescent="0.15">
      <c r="E37" s="598">
        <v>15</v>
      </c>
      <c r="F37" s="3" cm="1">
        <f t="array" aca="1" ref="F37" ca="1">OFFSET(E37,-1,1)</f>
        <v>0</v>
      </c>
      <c r="H37" s="411" t="s">
        <v>335</v>
      </c>
      <c r="I37" s="411"/>
      <c r="J37" s="411"/>
      <c r="K37" s="411"/>
      <c r="T37" s="388" t="b" cm="1">
        <f t="array" ref="T37">T36</f>
        <v>0</v>
      </c>
      <c r="X37" s="2066"/>
      <c r="Z37" s="2067"/>
      <c r="AB37" s="438" t="s">
        <v>441</v>
      </c>
      <c r="AC37" s="484" t="s">
        <v>2417</v>
      </c>
      <c r="AD37" s="438" t="s">
        <v>1044</v>
      </c>
      <c r="AE37" s="453">
        <f ca="1">SUMIFS('Амортизация (аналог)'!AE$25:AE$48,'Амортизация (аналог)'!$F$25:$F$48,$F37,'Амортизация (аналог)'!$AB$25:$AB$48,"2")</f>
        <v>0</v>
      </c>
      <c r="AF37" s="453">
        <f ca="1">SUMIFS('Амортизация (аналог)'!AF$25:AF$48,'Амортизация (аналог)'!$F$25:$F$48,$F37,'Амортизация (аналог)'!$AB$25:$AB$48,"2")</f>
        <v>0</v>
      </c>
      <c r="AI37" s="944" t="s">
        <v>2418</v>
      </c>
    </row>
    <row r="38" spans="1:35" s="448" customFormat="1" ht="14.65" hidden="1" customHeight="1" x14ac:dyDescent="0.15">
      <c r="E38" s="598">
        <v>15</v>
      </c>
      <c r="F38" s="3" cm="1">
        <f t="array" aca="1" ref="F38" ca="1">OFFSET(E38,-1,1)</f>
        <v>0</v>
      </c>
      <c r="H38" s="411" t="s">
        <v>565</v>
      </c>
      <c r="I38" s="411"/>
      <c r="J38" s="411"/>
      <c r="K38" s="411"/>
      <c r="T38" s="388" t="b" cm="1">
        <f t="array" ref="T38">T37</f>
        <v>0</v>
      </c>
      <c r="X38" s="2066"/>
      <c r="Z38" s="2067"/>
      <c r="AB38" s="438" t="s">
        <v>700</v>
      </c>
      <c r="AC38" s="1203" t="s">
        <v>2419</v>
      </c>
      <c r="AD38" s="438" t="s">
        <v>490</v>
      </c>
      <c r="AE38" s="450">
        <f>IF(AE29=0,0,AE37/AE29*100)</f>
        <v>0</v>
      </c>
      <c r="AF38" s="450">
        <f>IF(AF29=0,0,AF37/AF29*100)</f>
        <v>0</v>
      </c>
      <c r="AI38" s="944" t="s">
        <v>2420</v>
      </c>
    </row>
    <row r="39" spans="1:35" s="448" customFormat="1" ht="21.95" hidden="1" customHeight="1" x14ac:dyDescent="0.15">
      <c r="E39" s="598">
        <v>22.5</v>
      </c>
      <c r="F39" s="3" cm="1">
        <f t="array" aca="1" ref="F39" ca="1">OFFSET(E39,-1,1)</f>
        <v>0</v>
      </c>
      <c r="G39" s="77" t="s">
        <v>1597</v>
      </c>
      <c r="H39" s="411" t="s">
        <v>334</v>
      </c>
      <c r="I39" s="411"/>
      <c r="J39" s="411"/>
      <c r="K39" s="411"/>
      <c r="T39" s="388" t="b" cm="1">
        <f t="array" ref="T39">T38</f>
        <v>0</v>
      </c>
      <c r="X39" s="2066"/>
      <c r="Z39" s="2067"/>
      <c r="AB39" s="438" t="s">
        <v>444</v>
      </c>
      <c r="AC39" s="1204" t="s">
        <v>2421</v>
      </c>
      <c r="AD39" s="438" t="s">
        <v>2422</v>
      </c>
      <c r="AE39" s="453">
        <f ca="1">SUMIFS(Баланс!$AI$25:$AI$300,Баланс!$F$25:$F$300,$F39,Баланс!$G$25:$G$300,"ПО")</f>
        <v>0</v>
      </c>
      <c r="AF39" s="453">
        <f ca="1">SUMIFS(Баланс!$AS$25:$AS$300,Баланс!$F$25:$F$300,$F39,Баланс!$G$25:$G$300,"ПО")</f>
        <v>0</v>
      </c>
      <c r="AI39" s="944" t="s">
        <v>1066</v>
      </c>
    </row>
    <row r="40" spans="1:35" s="448" customFormat="1" ht="14.65" hidden="1" customHeight="1" x14ac:dyDescent="0.15">
      <c r="E40" s="598">
        <v>15</v>
      </c>
      <c r="F40" s="3" cm="1">
        <f t="array" aca="1" ref="F40" ca="1">OFFSET(E40,-1,1)</f>
        <v>0</v>
      </c>
      <c r="G40" s="1205" t="s">
        <v>1624</v>
      </c>
      <c r="H40" s="411" t="s">
        <v>579</v>
      </c>
      <c r="I40" s="411"/>
      <c r="J40" s="411"/>
      <c r="K40" s="411"/>
      <c r="T40" s="388" t="b" cm="1">
        <f t="array" ref="T40">T39</f>
        <v>0</v>
      </c>
      <c r="X40" s="2066"/>
      <c r="Z40" s="2067"/>
      <c r="AB40" s="438" t="s">
        <v>707</v>
      </c>
      <c r="AC40" s="1206" t="s">
        <v>2423</v>
      </c>
      <c r="AD40" s="438" t="s">
        <v>2422</v>
      </c>
      <c r="AE40" s="1936"/>
      <c r="AF40" s="1936"/>
      <c r="AI40" s="944" t="s">
        <v>2424</v>
      </c>
    </row>
    <row r="41" spans="1:35" s="448" customFormat="1" ht="14.65" hidden="1" customHeight="1" x14ac:dyDescent="0.15">
      <c r="E41" s="598">
        <v>15</v>
      </c>
      <c r="F41" s="3" cm="1">
        <f t="array" aca="1" ref="F41" ca="1">OFFSET(E41,-1,1)</f>
        <v>0</v>
      </c>
      <c r="G41" s="26" t="s">
        <v>1637</v>
      </c>
      <c r="H41" s="411" t="s">
        <v>583</v>
      </c>
      <c r="I41" s="411"/>
      <c r="J41" s="411"/>
      <c r="K41" s="411"/>
      <c r="T41" s="388" t="b" cm="1">
        <f t="array" ref="T41">T40</f>
        <v>0</v>
      </c>
      <c r="X41" s="2066"/>
      <c r="Z41" s="2067"/>
      <c r="AB41" s="438" t="s">
        <v>710</v>
      </c>
      <c r="AC41" s="1039" t="s">
        <v>2425</v>
      </c>
      <c r="AD41" s="438" t="s">
        <v>2422</v>
      </c>
      <c r="AE41" s="453">
        <f ca="1">AE39-AE40</f>
        <v>0</v>
      </c>
      <c r="AF41" s="453">
        <f ca="1">AF39-AF40</f>
        <v>0</v>
      </c>
      <c r="AI41" s="944" t="s">
        <v>2426</v>
      </c>
    </row>
    <row r="42" spans="1:35" s="448" customFormat="1" ht="14.65" hidden="1" customHeight="1" x14ac:dyDescent="0.15">
      <c r="E42" s="598">
        <v>15</v>
      </c>
      <c r="F42" s="3" cm="1">
        <f t="array" aca="1" ref="F42" ca="1">OFFSET(E42,-1,1)</f>
        <v>0</v>
      </c>
      <c r="H42" s="411" t="s">
        <v>544</v>
      </c>
      <c r="I42" s="411"/>
      <c r="J42" s="411"/>
      <c r="K42" s="411"/>
      <c r="T42" s="388" t="b" cm="1">
        <f t="array" ref="T42">T41</f>
        <v>0</v>
      </c>
      <c r="X42" s="2066"/>
      <c r="Z42" s="2067"/>
      <c r="AB42" s="438" t="s">
        <v>446</v>
      </c>
      <c r="AC42" s="483" t="s">
        <v>2427</v>
      </c>
      <c r="AD42" s="438" t="s">
        <v>1588</v>
      </c>
      <c r="AE42" s="450">
        <f ca="1">IF(AE39=0,0,AE28/AE39)</f>
        <v>0</v>
      </c>
      <c r="AF42" s="450">
        <f ca="1">IF(AF39=0,0,AF28/AF39)</f>
        <v>0</v>
      </c>
      <c r="AI42" s="944" t="s">
        <v>1115</v>
      </c>
    </row>
    <row r="43" spans="1:35" s="448" customFormat="1" ht="14.65" hidden="1" customHeight="1" x14ac:dyDescent="0.15">
      <c r="E43" s="598">
        <v>15</v>
      </c>
      <c r="F43" s="3" cm="1">
        <f t="array" aca="1" ref="F43" ca="1">OFFSET(E43,-1,1)</f>
        <v>0</v>
      </c>
      <c r="G43" s="26" t="s">
        <v>1585</v>
      </c>
      <c r="H43" s="411" t="s">
        <v>723</v>
      </c>
      <c r="I43" s="411"/>
      <c r="J43" s="411"/>
      <c r="K43" s="411"/>
      <c r="T43" s="388" t="b" cm="1">
        <f t="array" ref="T43">T42</f>
        <v>0</v>
      </c>
      <c r="X43" s="2066"/>
      <c r="Z43" s="2067"/>
      <c r="AB43" s="438" t="s">
        <v>2428</v>
      </c>
      <c r="AC43" s="1208" t="s">
        <v>2429</v>
      </c>
      <c r="AD43" s="438" t="s">
        <v>1588</v>
      </c>
      <c r="AE43" s="1935"/>
      <c r="AF43" s="1935"/>
      <c r="AI43" s="944" t="s">
        <v>2430</v>
      </c>
    </row>
    <row r="44" spans="1:35" s="448" customFormat="1" ht="14.65" hidden="1" customHeight="1" x14ac:dyDescent="0.15">
      <c r="E44" s="598">
        <v>15</v>
      </c>
      <c r="F44" s="3" cm="1">
        <f t="array" aca="1" ref="F44" ca="1">OFFSET(E44,-1,1)</f>
        <v>0</v>
      </c>
      <c r="G44" s="26" t="s">
        <v>1590</v>
      </c>
      <c r="H44" s="411" t="s">
        <v>726</v>
      </c>
      <c r="I44" s="411"/>
      <c r="J44" s="411"/>
      <c r="K44" s="411"/>
      <c r="T44" s="388" t="b" cm="1">
        <f t="array" ref="T44">T43</f>
        <v>0</v>
      </c>
      <c r="X44" s="2066"/>
      <c r="Z44" s="2067"/>
      <c r="AB44" s="438" t="s">
        <v>2431</v>
      </c>
      <c r="AC44" s="1040" t="s">
        <v>2432</v>
      </c>
      <c r="AD44" s="438" t="s">
        <v>1588</v>
      </c>
      <c r="AE44" s="1935">
        <f ca="1">IF(AE41=0,0,(AE28-AE43*AE40)/AE41)</f>
        <v>0</v>
      </c>
      <c r="AF44" s="1935">
        <f ca="1">IF(AF41=0,0,(AF28-AF43*AF40)/AF41)</f>
        <v>0</v>
      </c>
      <c r="AI44" s="944" t="s">
        <v>2433</v>
      </c>
    </row>
    <row r="45" spans="1:35" ht="14.65" hidden="1" customHeight="1" x14ac:dyDescent="0.15">
      <c r="E45" s="573">
        <v>15</v>
      </c>
      <c r="F45" s="3" cm="1">
        <f t="array" aca="1" ref="F45" ca="1">OFFSET(E45,-1,1)</f>
        <v>0</v>
      </c>
      <c r="H45" s="411" t="s">
        <v>702</v>
      </c>
      <c r="T45" s="388" t="b" cm="1">
        <f t="array" ref="T45">T44</f>
        <v>0</v>
      </c>
      <c r="X45" s="2066"/>
      <c r="Z45" s="2067"/>
      <c r="AB45" s="438" t="s">
        <v>599</v>
      </c>
      <c r="AC45" s="477" t="s">
        <v>2434</v>
      </c>
      <c r="AD45" s="438" t="s">
        <v>490</v>
      </c>
      <c r="AE45" s="450">
        <f>IF(AE43=0,0,AE44/AE43*100)</f>
        <v>0</v>
      </c>
      <c r="AF45" s="450">
        <f>IF(AF43=0,0,AF44/AF43*100)</f>
        <v>0</v>
      </c>
      <c r="AI45" s="934" t="s">
        <v>2435</v>
      </c>
    </row>
    <row r="46" spans="1:35" s="1334" customFormat="1" ht="14.25" customHeight="1" x14ac:dyDescent="0.15">
      <c r="A46" s="1128"/>
      <c r="B46" s="1128"/>
      <c r="C46" s="1128"/>
      <c r="D46" s="1128"/>
      <c r="E46" s="573">
        <v>15</v>
      </c>
      <c r="F46" s="411" t="str" cm="1">
        <f t="array" ref="F46">X46</f>
        <v>1</v>
      </c>
      <c r="G46" s="1128"/>
      <c r="H46" s="1128"/>
      <c r="I46" s="1128"/>
      <c r="J46" s="1128"/>
      <c r="K46" s="1128"/>
      <c r="L46" s="1128"/>
      <c r="M46" s="1128"/>
      <c r="N46" s="1128"/>
      <c r="O46" s="1128"/>
      <c r="P46" s="1128"/>
      <c r="Q46" s="1128"/>
      <c r="R46" s="1128"/>
      <c r="S46" s="1128"/>
      <c r="T46" s="388" t="b">
        <f>X46&gt;0</f>
        <v>1</v>
      </c>
      <c r="U46" s="1128"/>
      <c r="V46" s="411" t="str" cm="1">
        <f t="array" ref="V46">ГО!$AB$116</f>
        <v>Тариф 1 (Водоснабжение) - тариф на питьевую воду</v>
      </c>
      <c r="W46" s="1128"/>
      <c r="X46" s="2066" t="s">
        <v>282</v>
      </c>
      <c r="Y46" s="1128"/>
      <c r="Z46" s="2067"/>
      <c r="AA46" s="1128"/>
      <c r="AB46" s="141" t="str" cm="1">
        <f t="array" ref="AB46">ГО!$AB$116</f>
        <v>Тариф 1 (Водоснабжение) - тариф на питьевую воду</v>
      </c>
      <c r="AC46" s="1198"/>
      <c r="AD46" s="1199"/>
      <c r="AE46" s="1199"/>
      <c r="AF46" s="1200"/>
      <c r="AG46" s="1128"/>
      <c r="AH46" s="1128"/>
      <c r="AI46" s="1082"/>
    </row>
    <row r="47" spans="1:35" s="448" customFormat="1" ht="21.75" customHeight="1" x14ac:dyDescent="0.15">
      <c r="E47" s="598">
        <v>22.5</v>
      </c>
      <c r="F47" s="3" t="str" cm="1">
        <f t="array" aca="1" ref="F47" ca="1">OFFSET(E47,-1,1)</f>
        <v>1</v>
      </c>
      <c r="H47" s="411" t="s">
        <v>331</v>
      </c>
      <c r="I47" s="411"/>
      <c r="J47" s="411"/>
      <c r="K47" s="411"/>
      <c r="T47" s="388" t="b" cm="1">
        <f t="array" ref="T47">T46</f>
        <v>1</v>
      </c>
      <c r="X47" s="2066"/>
      <c r="Z47" s="2067"/>
      <c r="AB47" s="438" t="s">
        <v>282</v>
      </c>
      <c r="AC47" s="454" t="s">
        <v>2402</v>
      </c>
      <c r="AD47" s="438" t="s">
        <v>831</v>
      </c>
      <c r="AE47" s="450">
        <f ca="1">(AE48+AE56)*AE54</f>
        <v>0</v>
      </c>
      <c r="AF47" s="450">
        <f ca="1">(AF48+AF56)*AF54</f>
        <v>0</v>
      </c>
      <c r="AI47" s="944" t="s">
        <v>2403</v>
      </c>
    </row>
    <row r="48" spans="1:35" s="1334" customFormat="1" ht="21.75" customHeight="1" x14ac:dyDescent="0.15">
      <c r="A48" s="1128"/>
      <c r="B48" s="1128"/>
      <c r="C48" s="1128"/>
      <c r="D48" s="1128"/>
      <c r="E48" s="573">
        <v>22.5</v>
      </c>
      <c r="F48" s="3" t="str" cm="1">
        <f t="array" aca="1" ref="F48" ca="1">OFFSET(E48,-1,1)</f>
        <v>1</v>
      </c>
      <c r="G48" s="411" t="s">
        <v>2404</v>
      </c>
      <c r="H48" s="411" t="s">
        <v>332</v>
      </c>
      <c r="I48" s="1128"/>
      <c r="J48" s="1128"/>
      <c r="K48" s="411" t="str">
        <f ca="1">F48&amp;G48</f>
        <v>1УТР</v>
      </c>
      <c r="L48" s="996" cm="1">
        <f t="array" ref="L48">AE48</f>
        <v>0</v>
      </c>
      <c r="M48" s="996" cm="1">
        <f t="array" ref="M48">AF48</f>
        <v>0</v>
      </c>
      <c r="N48" s="1128"/>
      <c r="O48" s="1128"/>
      <c r="P48" s="1128"/>
      <c r="Q48" s="1128"/>
      <c r="R48" s="1128"/>
      <c r="S48" s="1128"/>
      <c r="T48" s="388" t="b" cm="1">
        <f t="array" ref="T48">T47</f>
        <v>1</v>
      </c>
      <c r="U48" s="1128"/>
      <c r="V48" s="1128"/>
      <c r="W48" s="1128"/>
      <c r="X48" s="2066"/>
      <c r="Y48" s="1128"/>
      <c r="Z48" s="2067"/>
      <c r="AA48" s="1128"/>
      <c r="AB48" s="438" t="s">
        <v>289</v>
      </c>
      <c r="AC48" s="449" t="s">
        <v>1052</v>
      </c>
      <c r="AD48" s="438" t="s">
        <v>1044</v>
      </c>
      <c r="AE48" s="995">
        <f>IF(AE53=0,0,(AE49-IF(SUMIFS('Перечень объектов'!AH$24:AH$63,'Перечень объектов'!$F$24:$F$63,$F48,'Перечень объектов'!$G$24:$G$63,"ЭЭ")&gt;0,0,AE50))/AE53)</f>
        <v>0</v>
      </c>
      <c r="AF48" s="995">
        <f>IF(AF53=0,0,(AF49-IF(SUMIFS('Перечень объектов'!AI$24:AI$63,'Перечень объектов'!$F$24:$F$63,$F48,'Перечень объектов'!$G$24:$G$63,"ЭЭ")&gt;0,0,AF50))/AF53)</f>
        <v>0</v>
      </c>
      <c r="AG48" s="1128"/>
      <c r="AH48" s="1128"/>
      <c r="AI48" s="934" t="s">
        <v>2405</v>
      </c>
    </row>
    <row r="49" spans="1:35" s="1334" customFormat="1" ht="32.25" customHeight="1" x14ac:dyDescent="0.15">
      <c r="A49" s="1128"/>
      <c r="B49" s="1128"/>
      <c r="C49" s="1128"/>
      <c r="D49" s="1128"/>
      <c r="E49" s="573">
        <v>33.75</v>
      </c>
      <c r="F49" s="3" t="str" cm="1">
        <f t="array" aca="1" ref="F49" ca="1">OFFSET(E49,-1,1)</f>
        <v>1</v>
      </c>
      <c r="G49" s="1128"/>
      <c r="H49" s="411" t="s">
        <v>512</v>
      </c>
      <c r="I49" s="1128"/>
      <c r="J49" s="1128"/>
      <c r="K49" s="1128"/>
      <c r="L49" s="1128"/>
      <c r="M49" s="1128"/>
      <c r="N49" s="1128"/>
      <c r="O49" s="1128"/>
      <c r="P49" s="1128"/>
      <c r="Q49" s="1128"/>
      <c r="R49" s="1128"/>
      <c r="S49" s="1128"/>
      <c r="T49" s="388" t="b" cm="1">
        <f t="array" ref="T49">T48</f>
        <v>1</v>
      </c>
      <c r="U49" s="1128"/>
      <c r="V49" s="1128"/>
      <c r="W49" s="1128"/>
      <c r="X49" s="2066"/>
      <c r="Y49" s="1128"/>
      <c r="Z49" s="2067"/>
      <c r="AA49" s="1128"/>
      <c r="AB49" s="438" t="s">
        <v>566</v>
      </c>
      <c r="AC49" s="485" t="s">
        <v>2406</v>
      </c>
      <c r="AD49" s="438" t="s">
        <v>831</v>
      </c>
      <c r="AE49" s="457"/>
      <c r="AF49" s="450">
        <f ca="1">SUMIFS(ГО!AE$25:AE$294,ГО!$F$25:$F$294,$F49,ГО!$G$25:$G$294,"Итог")*(1+AF51/100)*(1+AF52/100)</f>
        <v>0</v>
      </c>
      <c r="AG49" s="1128"/>
      <c r="AH49" s="1128"/>
      <c r="AI49" s="934" t="s">
        <v>2407</v>
      </c>
    </row>
    <row r="50" spans="1:35" s="448" customFormat="1" ht="14.25" customHeight="1" x14ac:dyDescent="0.15">
      <c r="E50" s="598">
        <v>15</v>
      </c>
      <c r="F50" s="3" t="str" cm="1">
        <f t="array" aca="1" ref="F50" ca="1">OFFSET(E50,-1,1)</f>
        <v>1</v>
      </c>
      <c r="H50" s="411" t="s">
        <v>1529</v>
      </c>
      <c r="I50" s="411"/>
      <c r="J50" s="411"/>
      <c r="K50" s="411"/>
      <c r="T50" s="388" t="b" cm="1">
        <f t="array" ref="T50">T49</f>
        <v>1</v>
      </c>
      <c r="X50" s="2066"/>
      <c r="Z50" s="2067"/>
      <c r="AB50" s="438" t="s">
        <v>520</v>
      </c>
      <c r="AC50" s="1201" t="s">
        <v>2408</v>
      </c>
      <c r="AD50" s="438" t="s">
        <v>831</v>
      </c>
      <c r="AE50" s="457"/>
      <c r="AF50" s="450">
        <f ca="1">SUMIFS(ГО!AE$25:AE$294,ГО!$F$25:$F$294,$F50,ГО!$G$25:$G$294,"ЭЭ")*(1+AF51/100)*(1+AF52/100)</f>
        <v>0</v>
      </c>
      <c r="AI50" s="944" t="s">
        <v>1692</v>
      </c>
    </row>
    <row r="51" spans="1:35" s="448" customFormat="1" ht="14.25" customHeight="1" x14ac:dyDescent="0.15">
      <c r="E51" s="598">
        <v>15</v>
      </c>
      <c r="F51" s="3" t="str" cm="1">
        <f t="array" aca="1" ref="F51" ca="1">OFFSET(E51,-1,1)</f>
        <v>1</v>
      </c>
      <c r="H51" s="411" t="s">
        <v>515</v>
      </c>
      <c r="I51" s="411"/>
      <c r="J51" s="411"/>
      <c r="K51" s="411"/>
      <c r="T51" s="388" t="b" cm="1">
        <f t="array" ref="T51">T50</f>
        <v>1</v>
      </c>
      <c r="X51" s="2066"/>
      <c r="Z51" s="2067"/>
      <c r="AB51" s="438" t="s">
        <v>570</v>
      </c>
      <c r="AC51" s="485" t="str">
        <f>"индекс потребительских цен на "&amp;god-1&amp;" год"</f>
        <v>индекс потребительских цен на 2025 год</v>
      </c>
      <c r="AD51" s="438" t="s">
        <v>490</v>
      </c>
      <c r="AE51" s="457"/>
      <c r="AF51" s="457"/>
      <c r="AI51" s="944" t="s">
        <v>2409</v>
      </c>
    </row>
    <row r="52" spans="1:35" s="448" customFormat="1" ht="14.25" customHeight="1" x14ac:dyDescent="0.15">
      <c r="E52" s="598">
        <v>15</v>
      </c>
      <c r="F52" s="3" t="str" cm="1">
        <f t="array" aca="1" ref="F52" ca="1">OFFSET(E52,-1,1)</f>
        <v>1</v>
      </c>
      <c r="H52" s="411" t="s">
        <v>930</v>
      </c>
      <c r="I52" s="411"/>
      <c r="J52" s="411"/>
      <c r="K52" s="411"/>
      <c r="T52" s="388" t="b" cm="1">
        <f t="array" ref="T52">T51</f>
        <v>1</v>
      </c>
      <c r="X52" s="2066"/>
      <c r="Z52" s="2067"/>
      <c r="AB52" s="438" t="s">
        <v>574</v>
      </c>
      <c r="AC52" s="485" t="str">
        <f>"индекс потребительских цен на "&amp;god&amp;" год"</f>
        <v>индекс потребительских цен на 2026 год</v>
      </c>
      <c r="AD52" s="438" t="s">
        <v>490</v>
      </c>
      <c r="AE52" s="457"/>
      <c r="AF52" s="457"/>
      <c r="AI52" s="944" t="s">
        <v>2410</v>
      </c>
    </row>
    <row r="53" spans="1:35" s="448" customFormat="1" ht="21.75" customHeight="1" x14ac:dyDescent="0.15">
      <c r="E53" s="598">
        <v>22.5</v>
      </c>
      <c r="F53" s="3" t="str" cm="1">
        <f t="array" aca="1" ref="F53" ca="1">OFFSET(E53,-1,1)</f>
        <v>1</v>
      </c>
      <c r="H53" s="411" t="s">
        <v>932</v>
      </c>
      <c r="I53" s="411"/>
      <c r="J53" s="411"/>
      <c r="K53" s="411"/>
      <c r="T53" s="388" t="b" cm="1">
        <f t="array" ref="T53">T52</f>
        <v>1</v>
      </c>
      <c r="X53" s="2066"/>
      <c r="Z53" s="2067"/>
      <c r="AB53" s="438" t="s">
        <v>933</v>
      </c>
      <c r="AC53" s="485" t="s">
        <v>2411</v>
      </c>
      <c r="AD53" s="438" t="s">
        <v>823</v>
      </c>
      <c r="AE53" s="457"/>
      <c r="AF53" s="457"/>
      <c r="AI53" s="944" t="s">
        <v>2412</v>
      </c>
    </row>
    <row r="54" spans="1:35" s="448" customFormat="1" ht="14.25" customHeight="1" x14ac:dyDescent="0.15">
      <c r="E54" s="598">
        <v>15</v>
      </c>
      <c r="F54" s="3" t="str" cm="1">
        <f t="array" aca="1" ref="F54" ca="1">OFFSET(E54,-1,1)</f>
        <v>1</v>
      </c>
      <c r="H54" s="411" t="s">
        <v>333</v>
      </c>
      <c r="I54" s="411"/>
      <c r="J54" s="411"/>
      <c r="K54" s="411"/>
      <c r="T54" s="388" t="b" cm="1">
        <f t="array" ref="T54">T53</f>
        <v>1</v>
      </c>
      <c r="X54" s="2066"/>
      <c r="Z54" s="2067"/>
      <c r="AB54" s="438" t="s">
        <v>329</v>
      </c>
      <c r="AC54" s="1202" t="s">
        <v>2413</v>
      </c>
      <c r="AD54" s="438" t="s">
        <v>823</v>
      </c>
      <c r="AE54" s="453">
        <f ca="1">SUMIFS('Условные метры'!AL$27:AL$38,'Условные метры'!$F$27:$F$38,$F54,'Условные метры'!$G$27:$G$38,"Итог")</f>
        <v>0</v>
      </c>
      <c r="AF54" s="453">
        <f ca="1">SUMIFS('Условные метры'!AN$27:AN$38,'Условные метры'!$F$27:$F$38,$F54,'Условные метры'!$G$27:$G$38,"Итог")</f>
        <v>0</v>
      </c>
      <c r="AI54" s="944" t="s">
        <v>2414</v>
      </c>
    </row>
    <row r="55" spans="1:35" s="448" customFormat="1" ht="14.25" customHeight="1" x14ac:dyDescent="0.15">
      <c r="E55" s="598">
        <v>15</v>
      </c>
      <c r="F55" s="3" t="str" cm="1">
        <f t="array" aca="1" ref="F55" ca="1">OFFSET(E55,-1,1)</f>
        <v>1</v>
      </c>
      <c r="H55" s="411" t="s">
        <v>940</v>
      </c>
      <c r="I55" s="411"/>
      <c r="J55" s="411"/>
      <c r="K55" s="411"/>
      <c r="T55" s="388" t="b" cm="1">
        <f t="array" ref="T55">T54</f>
        <v>1</v>
      </c>
      <c r="X55" s="2066"/>
      <c r="Z55" s="2067"/>
      <c r="AB55" s="438" t="s">
        <v>580</v>
      </c>
      <c r="AC55" s="485" t="s">
        <v>2415</v>
      </c>
      <c r="AD55" s="438" t="s">
        <v>385</v>
      </c>
      <c r="AE55" s="453">
        <f ca="1">SUMIFS('Условные метры'!AK$27:AK$38,'Условные метры'!$F$27:$F$38,$F55,'Условные метры'!$G$27:$G$38,"Итог")</f>
        <v>0</v>
      </c>
      <c r="AF55" s="453">
        <f ca="1">SUMIFS('Условные метры'!AM$27:AM$38,'Условные метры'!$F$27:$F$38,$F55,'Условные метры'!$G$27:$G$38,"Итог")</f>
        <v>0</v>
      </c>
      <c r="AI55" s="944" t="s">
        <v>2416</v>
      </c>
    </row>
    <row r="56" spans="1:35" s="448" customFormat="1" ht="14.25" customHeight="1" x14ac:dyDescent="0.15">
      <c r="E56" s="598">
        <v>15</v>
      </c>
      <c r="F56" s="3" t="str" cm="1">
        <f t="array" aca="1" ref="F56" ca="1">OFFSET(E56,-1,1)</f>
        <v>1</v>
      </c>
      <c r="H56" s="411" t="s">
        <v>335</v>
      </c>
      <c r="I56" s="411"/>
      <c r="J56" s="411"/>
      <c r="K56" s="411"/>
      <c r="T56" s="388" t="b" cm="1">
        <f t="array" ref="T56">T55</f>
        <v>1</v>
      </c>
      <c r="X56" s="2066"/>
      <c r="Z56" s="2067"/>
      <c r="AB56" s="438" t="s">
        <v>441</v>
      </c>
      <c r="AC56" s="484" t="s">
        <v>2417</v>
      </c>
      <c r="AD56" s="438" t="s">
        <v>1044</v>
      </c>
      <c r="AE56" s="453">
        <f ca="1">SUMIFS('Амортизация (аналог)'!AE$25:AE$48,'Амортизация (аналог)'!$F$25:$F$48,$F56,'Амортизация (аналог)'!$AB$25:$AB$48,"2")</f>
        <v>0</v>
      </c>
      <c r="AF56" s="453">
        <f ca="1">SUMIFS('Амортизация (аналог)'!AF$25:AF$48,'Амортизация (аналог)'!$F$25:$F$48,$F56,'Амортизация (аналог)'!$AB$25:$AB$48,"2")</f>
        <v>0</v>
      </c>
      <c r="AI56" s="944" t="s">
        <v>2418</v>
      </c>
    </row>
    <row r="57" spans="1:35" s="448" customFormat="1" ht="14.25" customHeight="1" x14ac:dyDescent="0.15">
      <c r="E57" s="598">
        <v>15</v>
      </c>
      <c r="F57" s="3" t="str" cm="1">
        <f t="array" aca="1" ref="F57" ca="1">OFFSET(E57,-1,1)</f>
        <v>1</v>
      </c>
      <c r="H57" s="411" t="s">
        <v>565</v>
      </c>
      <c r="I57" s="411"/>
      <c r="J57" s="411"/>
      <c r="K57" s="411"/>
      <c r="T57" s="388" t="b" cm="1">
        <f t="array" ref="T57">T56</f>
        <v>1</v>
      </c>
      <c r="X57" s="2066"/>
      <c r="Z57" s="2067"/>
      <c r="AB57" s="438" t="s">
        <v>700</v>
      </c>
      <c r="AC57" s="1203" t="s">
        <v>2419</v>
      </c>
      <c r="AD57" s="438" t="s">
        <v>490</v>
      </c>
      <c r="AE57" s="450">
        <f>IF(AE48=0,0,AE56/AE48*100)</f>
        <v>0</v>
      </c>
      <c r="AF57" s="450">
        <f>IF(AF48=0,0,AF56/AF48*100)</f>
        <v>0</v>
      </c>
      <c r="AI57" s="944" t="s">
        <v>2420</v>
      </c>
    </row>
    <row r="58" spans="1:35" s="448" customFormat="1" ht="21.75" customHeight="1" x14ac:dyDescent="0.15">
      <c r="E58" s="598">
        <v>22.5</v>
      </c>
      <c r="F58" s="3" t="str" cm="1">
        <f t="array" aca="1" ref="F58" ca="1">OFFSET(E58,-1,1)</f>
        <v>1</v>
      </c>
      <c r="G58" s="77" t="s">
        <v>1597</v>
      </c>
      <c r="H58" s="411" t="s">
        <v>334</v>
      </c>
      <c r="I58" s="411"/>
      <c r="J58" s="411"/>
      <c r="K58" s="411"/>
      <c r="T58" s="388" t="b" cm="1">
        <f t="array" ref="T58">T57</f>
        <v>1</v>
      </c>
      <c r="X58" s="2066"/>
      <c r="Z58" s="2067"/>
      <c r="AB58" s="438" t="s">
        <v>444</v>
      </c>
      <c r="AC58" s="1204" t="s">
        <v>2421</v>
      </c>
      <c r="AD58" s="438" t="s">
        <v>2422</v>
      </c>
      <c r="AE58" s="453">
        <f ca="1">SUMIFS(Баланс!$AI$25:$AI$300,Баланс!$F$25:$F$300,$F58,Баланс!$G$25:$G$300,"ПО")</f>
        <v>4334.1180000000004</v>
      </c>
      <c r="AF58" s="453">
        <f ca="1">SUMIFS(Баланс!$AS$25:$AS$300,Баланс!$F$25:$F$300,$F58,Баланс!$G$25:$G$300,"ПО")</f>
        <v>4336.8803100000005</v>
      </c>
      <c r="AI58" s="944" t="s">
        <v>1066</v>
      </c>
    </row>
    <row r="59" spans="1:35" s="448" customFormat="1" ht="14.25" customHeight="1" x14ac:dyDescent="0.15">
      <c r="E59" s="598">
        <v>15</v>
      </c>
      <c r="F59" s="3" t="str" cm="1">
        <f t="array" aca="1" ref="F59" ca="1">OFFSET(E59,-1,1)</f>
        <v>1</v>
      </c>
      <c r="G59" s="1205" t="s">
        <v>1624</v>
      </c>
      <c r="H59" s="411" t="s">
        <v>579</v>
      </c>
      <c r="I59" s="411"/>
      <c r="J59" s="411"/>
      <c r="K59" s="411"/>
      <c r="T59" s="388" t="b" cm="1">
        <f t="array" ref="T59">T58</f>
        <v>1</v>
      </c>
      <c r="X59" s="2066"/>
      <c r="Z59" s="2067"/>
      <c r="AB59" s="438" t="s">
        <v>707</v>
      </c>
      <c r="AC59" s="1206" t="s">
        <v>2423</v>
      </c>
      <c r="AD59" s="438" t="s">
        <v>2422</v>
      </c>
      <c r="AE59" s="1207"/>
      <c r="AF59" s="1207"/>
      <c r="AI59" s="944" t="s">
        <v>2424</v>
      </c>
    </row>
    <row r="60" spans="1:35" s="448" customFormat="1" ht="14.25" customHeight="1" x14ac:dyDescent="0.15">
      <c r="E60" s="598">
        <v>15</v>
      </c>
      <c r="F60" s="3" t="str" cm="1">
        <f t="array" aca="1" ref="F60" ca="1">OFFSET(E60,-1,1)</f>
        <v>1</v>
      </c>
      <c r="G60" s="26" t="s">
        <v>1637</v>
      </c>
      <c r="H60" s="411" t="s">
        <v>583</v>
      </c>
      <c r="I60" s="411"/>
      <c r="J60" s="411"/>
      <c r="K60" s="411"/>
      <c r="T60" s="388" t="b" cm="1">
        <f t="array" ref="T60">T59</f>
        <v>1</v>
      </c>
      <c r="X60" s="2066"/>
      <c r="Z60" s="2067"/>
      <c r="AB60" s="438" t="s">
        <v>710</v>
      </c>
      <c r="AC60" s="1039" t="s">
        <v>2425</v>
      </c>
      <c r="AD60" s="438" t="s">
        <v>2422</v>
      </c>
      <c r="AE60" s="453">
        <f ca="1">AE58-AE59</f>
        <v>4334.1180000000004</v>
      </c>
      <c r="AF60" s="453">
        <f ca="1">AF58-AF59</f>
        <v>4336.8803100000005</v>
      </c>
      <c r="AI60" s="944" t="s">
        <v>2426</v>
      </c>
    </row>
    <row r="61" spans="1:35" s="448" customFormat="1" ht="14.25" customHeight="1" x14ac:dyDescent="0.15">
      <c r="E61" s="598">
        <v>15</v>
      </c>
      <c r="F61" s="3" t="str" cm="1">
        <f t="array" aca="1" ref="F61" ca="1">OFFSET(E61,-1,1)</f>
        <v>1</v>
      </c>
      <c r="H61" s="411" t="s">
        <v>544</v>
      </c>
      <c r="I61" s="411"/>
      <c r="J61" s="411"/>
      <c r="K61" s="411"/>
      <c r="T61" s="388" t="b" cm="1">
        <f t="array" ref="T61">T60</f>
        <v>1</v>
      </c>
      <c r="X61" s="2066"/>
      <c r="Z61" s="2067"/>
      <c r="AB61" s="438" t="s">
        <v>446</v>
      </c>
      <c r="AC61" s="483" t="s">
        <v>2427</v>
      </c>
      <c r="AD61" s="438" t="s">
        <v>1588</v>
      </c>
      <c r="AE61" s="450">
        <f ca="1">IF(AE58=0,0,AE47/AE58)</f>
        <v>0</v>
      </c>
      <c r="AF61" s="450">
        <f ca="1">IF(AF58=0,0,AF47/AF58)</f>
        <v>0</v>
      </c>
      <c r="AI61" s="944" t="s">
        <v>1115</v>
      </c>
    </row>
    <row r="62" spans="1:35" s="448" customFormat="1" ht="14.25" customHeight="1" x14ac:dyDescent="0.15">
      <c r="E62" s="598">
        <v>15</v>
      </c>
      <c r="F62" s="3" t="str" cm="1">
        <f t="array" aca="1" ref="F62" ca="1">OFFSET(E62,-1,1)</f>
        <v>1</v>
      </c>
      <c r="G62" s="26" t="s">
        <v>1585</v>
      </c>
      <c r="H62" s="411" t="s">
        <v>723</v>
      </c>
      <c r="I62" s="411"/>
      <c r="J62" s="411"/>
      <c r="K62" s="411"/>
      <c r="T62" s="388" t="b" cm="1">
        <f t="array" ref="T62">T61</f>
        <v>1</v>
      </c>
      <c r="X62" s="2066"/>
      <c r="Z62" s="2067"/>
      <c r="AB62" s="438" t="s">
        <v>2428</v>
      </c>
      <c r="AC62" s="1208" t="s">
        <v>2429</v>
      </c>
      <c r="AD62" s="438" t="s">
        <v>1588</v>
      </c>
      <c r="AE62" s="457"/>
      <c r="AF62" s="457"/>
      <c r="AI62" s="944" t="s">
        <v>2430</v>
      </c>
    </row>
    <row r="63" spans="1:35" s="448" customFormat="1" ht="14.25" customHeight="1" x14ac:dyDescent="0.15">
      <c r="E63" s="598">
        <v>15</v>
      </c>
      <c r="F63" s="3" t="str" cm="1">
        <f t="array" aca="1" ref="F63" ca="1">OFFSET(E63,-1,1)</f>
        <v>1</v>
      </c>
      <c r="G63" s="26" t="s">
        <v>1590</v>
      </c>
      <c r="H63" s="411" t="s">
        <v>726</v>
      </c>
      <c r="I63" s="411"/>
      <c r="J63" s="411"/>
      <c r="K63" s="411"/>
      <c r="T63" s="388" t="b" cm="1">
        <f t="array" ref="T63">T62</f>
        <v>1</v>
      </c>
      <c r="X63" s="2066"/>
      <c r="Z63" s="2067"/>
      <c r="AB63" s="438" t="s">
        <v>2431</v>
      </c>
      <c r="AC63" s="1040" t="s">
        <v>2432</v>
      </c>
      <c r="AD63" s="438" t="s">
        <v>1588</v>
      </c>
      <c r="AE63" s="457">
        <f ca="1">IF(AE60=0,0,(AE47-AE62*AE59)/AE60)</f>
        <v>0</v>
      </c>
      <c r="AF63" s="457">
        <f ca="1">IF(AF60=0,0,(AF47-AF62*AF59)/AF60)</f>
        <v>0</v>
      </c>
      <c r="AI63" s="944" t="s">
        <v>2433</v>
      </c>
    </row>
    <row r="64" spans="1:35" s="1334" customFormat="1" ht="14.25" customHeight="1" x14ac:dyDescent="0.15">
      <c r="A64" s="1128"/>
      <c r="B64" s="1128"/>
      <c r="C64" s="1128"/>
      <c r="D64" s="1128"/>
      <c r="E64" s="573">
        <v>15</v>
      </c>
      <c r="F64" s="3" t="str" cm="1">
        <f t="array" aca="1" ref="F64" ca="1">OFFSET(E64,-1,1)</f>
        <v>1</v>
      </c>
      <c r="G64" s="1128"/>
      <c r="H64" s="411" t="s">
        <v>702</v>
      </c>
      <c r="I64" s="1128"/>
      <c r="J64" s="1128"/>
      <c r="K64" s="1128"/>
      <c r="L64" s="1128"/>
      <c r="M64" s="1128"/>
      <c r="N64" s="1128"/>
      <c r="O64" s="1128"/>
      <c r="P64" s="1128"/>
      <c r="Q64" s="1128"/>
      <c r="R64" s="1128"/>
      <c r="S64" s="1128"/>
      <c r="T64" s="388" t="b" cm="1">
        <f t="array" ref="T64">T63</f>
        <v>1</v>
      </c>
      <c r="U64" s="1128"/>
      <c r="V64" s="1128"/>
      <c r="W64" s="1128"/>
      <c r="X64" s="2066"/>
      <c r="Y64" s="1128"/>
      <c r="Z64" s="2067"/>
      <c r="AA64" s="1128"/>
      <c r="AB64" s="438" t="s">
        <v>599</v>
      </c>
      <c r="AC64" s="477" t="s">
        <v>2434</v>
      </c>
      <c r="AD64" s="438" t="s">
        <v>490</v>
      </c>
      <c r="AE64" s="450">
        <f>IF(AE62=0,0,AE63/AE62*100)</f>
        <v>0</v>
      </c>
      <c r="AF64" s="450">
        <f>IF(AF62=0,0,AF63/AF62*100)</f>
        <v>0</v>
      </c>
      <c r="AG64" s="1128"/>
      <c r="AH64" s="1128"/>
      <c r="AI64" s="934" t="s">
        <v>2435</v>
      </c>
    </row>
    <row r="65" spans="1:35" s="1334" customFormat="1" ht="14.25" customHeight="1" x14ac:dyDescent="0.15">
      <c r="A65" s="1128"/>
      <c r="B65" s="1128"/>
      <c r="C65" s="1128"/>
      <c r="D65" s="1128"/>
      <c r="E65" s="573">
        <v>15</v>
      </c>
      <c r="F65" s="411" t="str" cm="1">
        <f t="array" ref="F65">X65</f>
        <v>2</v>
      </c>
      <c r="G65" s="1128"/>
      <c r="H65" s="1128"/>
      <c r="I65" s="1128"/>
      <c r="J65" s="1128"/>
      <c r="K65" s="1128"/>
      <c r="L65" s="1128"/>
      <c r="M65" s="1128"/>
      <c r="N65" s="1128"/>
      <c r="O65" s="1128"/>
      <c r="P65" s="1128"/>
      <c r="Q65" s="1128"/>
      <c r="R65" s="1128"/>
      <c r="S65" s="1128"/>
      <c r="T65" s="388" t="b">
        <f>X65&gt;0</f>
        <v>1</v>
      </c>
      <c r="U65" s="1128"/>
      <c r="V65" s="411" t="str" cm="1">
        <f t="array" ref="V65">ГО!$AB$205</f>
        <v>Тариф 2 (Водоотведение) - тариф на водоотведение</v>
      </c>
      <c r="W65" s="1128"/>
      <c r="X65" s="2066" t="s">
        <v>289</v>
      </c>
      <c r="Y65" s="1128"/>
      <c r="Z65" s="2067"/>
      <c r="AA65" s="1128"/>
      <c r="AB65" s="141" t="str" cm="1">
        <f t="array" ref="AB65">ГО!$AB$205</f>
        <v>Тариф 2 (Водоотведение) - тариф на водоотведение</v>
      </c>
      <c r="AC65" s="1198"/>
      <c r="AD65" s="1199"/>
      <c r="AE65" s="1199"/>
      <c r="AF65" s="1200"/>
      <c r="AG65" s="1128"/>
      <c r="AH65" s="1128"/>
      <c r="AI65" s="1082"/>
    </row>
    <row r="66" spans="1:35" s="448" customFormat="1" ht="21.75" customHeight="1" x14ac:dyDescent="0.15">
      <c r="E66" s="598">
        <v>22.5</v>
      </c>
      <c r="F66" s="3" t="str" cm="1">
        <f t="array" aca="1" ref="F66" ca="1">OFFSET(E66,-1,1)</f>
        <v>2</v>
      </c>
      <c r="H66" s="411" t="s">
        <v>331</v>
      </c>
      <c r="I66" s="411"/>
      <c r="J66" s="411"/>
      <c r="K66" s="411"/>
      <c r="T66" s="388" t="b" cm="1">
        <f t="array" ref="T66">T65</f>
        <v>1</v>
      </c>
      <c r="X66" s="2066"/>
      <c r="Z66" s="2067"/>
      <c r="AB66" s="438" t="s">
        <v>282</v>
      </c>
      <c r="AC66" s="454" t="s">
        <v>2402</v>
      </c>
      <c r="AD66" s="438" t="s">
        <v>831</v>
      </c>
      <c r="AE66" s="450">
        <f ca="1">(AE67+AE75)*AE73</f>
        <v>0</v>
      </c>
      <c r="AF66" s="450">
        <f ca="1">(AF67+AF75)*AF73</f>
        <v>0</v>
      </c>
      <c r="AI66" s="944" t="s">
        <v>2403</v>
      </c>
    </row>
    <row r="67" spans="1:35" s="1334" customFormat="1" ht="21.75" customHeight="1" x14ac:dyDescent="0.15">
      <c r="A67" s="1128"/>
      <c r="B67" s="1128"/>
      <c r="C67" s="1128"/>
      <c r="D67" s="1128"/>
      <c r="E67" s="573">
        <v>22.5</v>
      </c>
      <c r="F67" s="3" t="str" cm="1">
        <f t="array" aca="1" ref="F67" ca="1">OFFSET(E67,-1,1)</f>
        <v>2</v>
      </c>
      <c r="G67" s="411" t="s">
        <v>2404</v>
      </c>
      <c r="H67" s="411" t="s">
        <v>332</v>
      </c>
      <c r="I67" s="1128"/>
      <c r="J67" s="1128"/>
      <c r="K67" s="411" t="str">
        <f ca="1">F67&amp;G67</f>
        <v>2УТР</v>
      </c>
      <c r="L67" s="996" cm="1">
        <f t="array" ref="L67">AE67</f>
        <v>0</v>
      </c>
      <c r="M67" s="996" cm="1">
        <f t="array" ref="M67">AF67</f>
        <v>0</v>
      </c>
      <c r="N67" s="1128"/>
      <c r="O67" s="1128"/>
      <c r="P67" s="1128"/>
      <c r="Q67" s="1128"/>
      <c r="R67" s="1128"/>
      <c r="S67" s="1128"/>
      <c r="T67" s="388" t="b" cm="1">
        <f t="array" ref="T67">T66</f>
        <v>1</v>
      </c>
      <c r="U67" s="1128"/>
      <c r="V67" s="1128"/>
      <c r="W67" s="1128"/>
      <c r="X67" s="2066"/>
      <c r="Y67" s="1128"/>
      <c r="Z67" s="2067"/>
      <c r="AA67" s="1128"/>
      <c r="AB67" s="438" t="s">
        <v>289</v>
      </c>
      <c r="AC67" s="449" t="s">
        <v>1052</v>
      </c>
      <c r="AD67" s="438" t="s">
        <v>1044</v>
      </c>
      <c r="AE67" s="995">
        <f>IF(AE72=0,0,(AE68-IF(SUMIFS('Перечень объектов'!AH$24:AH$63,'Перечень объектов'!$F$24:$F$63,$F67,'Перечень объектов'!$G$24:$G$63,"ЭЭ")&gt;0,0,AE69))/AE72)</f>
        <v>0</v>
      </c>
      <c r="AF67" s="995">
        <f>IF(AF72=0,0,(AF68-IF(SUMIFS('Перечень объектов'!AI$24:AI$63,'Перечень объектов'!$F$24:$F$63,$F67,'Перечень объектов'!$G$24:$G$63,"ЭЭ")&gt;0,0,AF69))/AF72)</f>
        <v>0</v>
      </c>
      <c r="AG67" s="1128"/>
      <c r="AH67" s="1128"/>
      <c r="AI67" s="934" t="s">
        <v>2405</v>
      </c>
    </row>
    <row r="68" spans="1:35" s="1334" customFormat="1" ht="32.25" customHeight="1" x14ac:dyDescent="0.15">
      <c r="A68" s="1128"/>
      <c r="B68" s="1128"/>
      <c r="C68" s="1128"/>
      <c r="D68" s="1128"/>
      <c r="E68" s="573">
        <v>33.75</v>
      </c>
      <c r="F68" s="3" t="str" cm="1">
        <f t="array" aca="1" ref="F68" ca="1">OFFSET(E68,-1,1)</f>
        <v>2</v>
      </c>
      <c r="G68" s="1128"/>
      <c r="H68" s="411" t="s">
        <v>512</v>
      </c>
      <c r="I68" s="1128"/>
      <c r="J68" s="1128"/>
      <c r="K68" s="1128"/>
      <c r="L68" s="1128"/>
      <c r="M68" s="1128"/>
      <c r="N68" s="1128"/>
      <c r="O68" s="1128"/>
      <c r="P68" s="1128"/>
      <c r="Q68" s="1128"/>
      <c r="R68" s="1128"/>
      <c r="S68" s="1128"/>
      <c r="T68" s="388" t="b" cm="1">
        <f t="array" ref="T68">T67</f>
        <v>1</v>
      </c>
      <c r="U68" s="1128"/>
      <c r="V68" s="1128"/>
      <c r="W68" s="1128"/>
      <c r="X68" s="2066"/>
      <c r="Y68" s="1128"/>
      <c r="Z68" s="2067"/>
      <c r="AA68" s="1128"/>
      <c r="AB68" s="438" t="s">
        <v>566</v>
      </c>
      <c r="AC68" s="485" t="s">
        <v>2406</v>
      </c>
      <c r="AD68" s="438" t="s">
        <v>831</v>
      </c>
      <c r="AE68" s="457"/>
      <c r="AF68" s="450">
        <f ca="1">SUMIFS(ГО!AE$25:AE$294,ГО!$F$25:$F$294,$F68,ГО!$G$25:$G$294,"Итог")*(1+AF70/100)*(1+AF71/100)</f>
        <v>0</v>
      </c>
      <c r="AG68" s="1128"/>
      <c r="AH68" s="1128"/>
      <c r="AI68" s="934" t="s">
        <v>2407</v>
      </c>
    </row>
    <row r="69" spans="1:35" s="448" customFormat="1" ht="14.25" customHeight="1" x14ac:dyDescent="0.15">
      <c r="E69" s="598">
        <v>15</v>
      </c>
      <c r="F69" s="3" t="str" cm="1">
        <f t="array" aca="1" ref="F69" ca="1">OFFSET(E69,-1,1)</f>
        <v>2</v>
      </c>
      <c r="H69" s="411" t="s">
        <v>1529</v>
      </c>
      <c r="I69" s="411"/>
      <c r="J69" s="411"/>
      <c r="K69" s="411"/>
      <c r="T69" s="388" t="b" cm="1">
        <f t="array" ref="T69">T68</f>
        <v>1</v>
      </c>
      <c r="X69" s="2066"/>
      <c r="Z69" s="2067"/>
      <c r="AB69" s="438" t="s">
        <v>520</v>
      </c>
      <c r="AC69" s="1201" t="s">
        <v>2408</v>
      </c>
      <c r="AD69" s="438" t="s">
        <v>831</v>
      </c>
      <c r="AE69" s="457"/>
      <c r="AF69" s="450">
        <f ca="1">SUMIFS(ГО!AE$25:AE$294,ГО!$F$25:$F$294,$F69,ГО!$G$25:$G$294,"ЭЭ")*(1+AF70/100)*(1+AF71/100)</f>
        <v>0</v>
      </c>
      <c r="AI69" s="944" t="s">
        <v>1692</v>
      </c>
    </row>
    <row r="70" spans="1:35" s="448" customFormat="1" ht="14.25" customHeight="1" x14ac:dyDescent="0.15">
      <c r="E70" s="598">
        <v>15</v>
      </c>
      <c r="F70" s="3" t="str" cm="1">
        <f t="array" aca="1" ref="F70" ca="1">OFFSET(E70,-1,1)</f>
        <v>2</v>
      </c>
      <c r="H70" s="411" t="s">
        <v>515</v>
      </c>
      <c r="I70" s="411"/>
      <c r="J70" s="411"/>
      <c r="K70" s="411"/>
      <c r="T70" s="388" t="b" cm="1">
        <f t="array" ref="T70">T69</f>
        <v>1</v>
      </c>
      <c r="X70" s="2066"/>
      <c r="Z70" s="2067"/>
      <c r="AB70" s="438" t="s">
        <v>570</v>
      </c>
      <c r="AC70" s="485" t="str">
        <f>"индекс потребительских цен на "&amp;god-1&amp;" год"</f>
        <v>индекс потребительских цен на 2025 год</v>
      </c>
      <c r="AD70" s="438" t="s">
        <v>490</v>
      </c>
      <c r="AE70" s="457"/>
      <c r="AF70" s="457"/>
      <c r="AI70" s="944" t="s">
        <v>2409</v>
      </c>
    </row>
    <row r="71" spans="1:35" s="448" customFormat="1" ht="14.25" customHeight="1" x14ac:dyDescent="0.15">
      <c r="E71" s="598">
        <v>15</v>
      </c>
      <c r="F71" s="3" t="str" cm="1">
        <f t="array" aca="1" ref="F71" ca="1">OFFSET(E71,-1,1)</f>
        <v>2</v>
      </c>
      <c r="H71" s="411" t="s">
        <v>930</v>
      </c>
      <c r="I71" s="411"/>
      <c r="J71" s="411"/>
      <c r="K71" s="411"/>
      <c r="T71" s="388" t="b" cm="1">
        <f t="array" ref="T71">T70</f>
        <v>1</v>
      </c>
      <c r="X71" s="2066"/>
      <c r="Z71" s="2067"/>
      <c r="AB71" s="438" t="s">
        <v>574</v>
      </c>
      <c r="AC71" s="485" t="str">
        <f>"индекс потребительских цен на "&amp;god&amp;" год"</f>
        <v>индекс потребительских цен на 2026 год</v>
      </c>
      <c r="AD71" s="438" t="s">
        <v>490</v>
      </c>
      <c r="AE71" s="457"/>
      <c r="AF71" s="457"/>
      <c r="AI71" s="944" t="s">
        <v>2410</v>
      </c>
    </row>
    <row r="72" spans="1:35" s="448" customFormat="1" ht="21.75" customHeight="1" x14ac:dyDescent="0.15">
      <c r="E72" s="598">
        <v>22.5</v>
      </c>
      <c r="F72" s="3" t="str" cm="1">
        <f t="array" aca="1" ref="F72" ca="1">OFFSET(E72,-1,1)</f>
        <v>2</v>
      </c>
      <c r="H72" s="411" t="s">
        <v>932</v>
      </c>
      <c r="I72" s="411"/>
      <c r="J72" s="411"/>
      <c r="K72" s="411"/>
      <c r="T72" s="388" t="b" cm="1">
        <f t="array" ref="T72">T71</f>
        <v>1</v>
      </c>
      <c r="X72" s="2066"/>
      <c r="Z72" s="2067"/>
      <c r="AB72" s="438" t="s">
        <v>933</v>
      </c>
      <c r="AC72" s="485" t="s">
        <v>2411</v>
      </c>
      <c r="AD72" s="438" t="s">
        <v>823</v>
      </c>
      <c r="AE72" s="457"/>
      <c r="AF72" s="457"/>
      <c r="AI72" s="944" t="s">
        <v>2412</v>
      </c>
    </row>
    <row r="73" spans="1:35" s="448" customFormat="1" ht="14.25" customHeight="1" x14ac:dyDescent="0.15">
      <c r="E73" s="598">
        <v>15</v>
      </c>
      <c r="F73" s="3" t="str" cm="1">
        <f t="array" aca="1" ref="F73" ca="1">OFFSET(E73,-1,1)</f>
        <v>2</v>
      </c>
      <c r="H73" s="411" t="s">
        <v>333</v>
      </c>
      <c r="I73" s="411"/>
      <c r="J73" s="411"/>
      <c r="K73" s="411"/>
      <c r="T73" s="388" t="b" cm="1">
        <f t="array" ref="T73">T72</f>
        <v>1</v>
      </c>
      <c r="X73" s="2066"/>
      <c r="Z73" s="2067"/>
      <c r="AB73" s="438" t="s">
        <v>329</v>
      </c>
      <c r="AC73" s="1202" t="s">
        <v>2413</v>
      </c>
      <c r="AD73" s="438" t="s">
        <v>823</v>
      </c>
      <c r="AE73" s="453">
        <f ca="1">SUMIFS('Условные метры'!AL$27:AL$38,'Условные метры'!$F$27:$F$38,$F73,'Условные метры'!$G$27:$G$38,"Итог")</f>
        <v>0</v>
      </c>
      <c r="AF73" s="453">
        <f ca="1">SUMIFS('Условные метры'!AN$27:AN$38,'Условные метры'!$F$27:$F$38,$F73,'Условные метры'!$G$27:$G$38,"Итог")</f>
        <v>0</v>
      </c>
      <c r="AI73" s="944" t="s">
        <v>2414</v>
      </c>
    </row>
    <row r="74" spans="1:35" s="448" customFormat="1" ht="14.25" customHeight="1" x14ac:dyDescent="0.15">
      <c r="E74" s="598">
        <v>15</v>
      </c>
      <c r="F74" s="3" t="str" cm="1">
        <f t="array" aca="1" ref="F74" ca="1">OFFSET(E74,-1,1)</f>
        <v>2</v>
      </c>
      <c r="H74" s="411" t="s">
        <v>940</v>
      </c>
      <c r="I74" s="411"/>
      <c r="J74" s="411"/>
      <c r="K74" s="411"/>
      <c r="T74" s="388" t="b" cm="1">
        <f t="array" ref="T74">T73</f>
        <v>1</v>
      </c>
      <c r="X74" s="2066"/>
      <c r="Z74" s="2067"/>
      <c r="AB74" s="438" t="s">
        <v>580</v>
      </c>
      <c r="AC74" s="485" t="s">
        <v>2415</v>
      </c>
      <c r="AD74" s="438" t="s">
        <v>385</v>
      </c>
      <c r="AE74" s="453">
        <f ca="1">SUMIFS('Условные метры'!AK$27:AK$38,'Условные метры'!$F$27:$F$38,$F74,'Условные метры'!$G$27:$G$38,"Итог")</f>
        <v>0</v>
      </c>
      <c r="AF74" s="453">
        <f ca="1">SUMIFS('Условные метры'!AM$27:AM$38,'Условные метры'!$F$27:$F$38,$F74,'Условные метры'!$G$27:$G$38,"Итог")</f>
        <v>0</v>
      </c>
      <c r="AI74" s="944" t="s">
        <v>2416</v>
      </c>
    </row>
    <row r="75" spans="1:35" s="448" customFormat="1" ht="14.25" customHeight="1" x14ac:dyDescent="0.15">
      <c r="E75" s="598">
        <v>15</v>
      </c>
      <c r="F75" s="3" t="str" cm="1">
        <f t="array" aca="1" ref="F75" ca="1">OFFSET(E75,-1,1)</f>
        <v>2</v>
      </c>
      <c r="H75" s="411" t="s">
        <v>335</v>
      </c>
      <c r="I75" s="411"/>
      <c r="J75" s="411"/>
      <c r="K75" s="411"/>
      <c r="T75" s="388" t="b" cm="1">
        <f t="array" ref="T75">T74</f>
        <v>1</v>
      </c>
      <c r="X75" s="2066"/>
      <c r="Z75" s="2067"/>
      <c r="AB75" s="438" t="s">
        <v>441</v>
      </c>
      <c r="AC75" s="484" t="s">
        <v>2417</v>
      </c>
      <c r="AD75" s="438" t="s">
        <v>1044</v>
      </c>
      <c r="AE75" s="453">
        <f ca="1">SUMIFS('Амортизация (аналог)'!AE$25:AE$48,'Амортизация (аналог)'!$F$25:$F$48,$F75,'Амортизация (аналог)'!$AB$25:$AB$48,"2")</f>
        <v>0</v>
      </c>
      <c r="AF75" s="453">
        <f ca="1">SUMIFS('Амортизация (аналог)'!AF$25:AF$48,'Амортизация (аналог)'!$F$25:$F$48,$F75,'Амортизация (аналог)'!$AB$25:$AB$48,"2")</f>
        <v>0</v>
      </c>
      <c r="AI75" s="944" t="s">
        <v>2418</v>
      </c>
    </row>
    <row r="76" spans="1:35" s="448" customFormat="1" ht="14.25" customHeight="1" x14ac:dyDescent="0.15">
      <c r="E76" s="598">
        <v>15</v>
      </c>
      <c r="F76" s="3" t="str" cm="1">
        <f t="array" aca="1" ref="F76" ca="1">OFFSET(E76,-1,1)</f>
        <v>2</v>
      </c>
      <c r="H76" s="411" t="s">
        <v>565</v>
      </c>
      <c r="I76" s="411"/>
      <c r="J76" s="411"/>
      <c r="K76" s="411"/>
      <c r="T76" s="388" t="b" cm="1">
        <f t="array" ref="T76">T75</f>
        <v>1</v>
      </c>
      <c r="X76" s="2066"/>
      <c r="Z76" s="2067"/>
      <c r="AB76" s="438" t="s">
        <v>700</v>
      </c>
      <c r="AC76" s="1203" t="s">
        <v>2419</v>
      </c>
      <c r="AD76" s="438" t="s">
        <v>490</v>
      </c>
      <c r="AE76" s="450">
        <f>IF(AE67=0,0,AE75/AE67*100)</f>
        <v>0</v>
      </c>
      <c r="AF76" s="450">
        <f>IF(AF67=0,0,AF75/AF67*100)</f>
        <v>0</v>
      </c>
      <c r="AI76" s="944" t="s">
        <v>2420</v>
      </c>
    </row>
    <row r="77" spans="1:35" s="448" customFormat="1" ht="21.75" customHeight="1" x14ac:dyDescent="0.15">
      <c r="E77" s="598">
        <v>22.5</v>
      </c>
      <c r="F77" s="3" t="str" cm="1">
        <f t="array" aca="1" ref="F77" ca="1">OFFSET(E77,-1,1)</f>
        <v>2</v>
      </c>
      <c r="G77" s="77" t="s">
        <v>1597</v>
      </c>
      <c r="H77" s="411" t="s">
        <v>334</v>
      </c>
      <c r="I77" s="411"/>
      <c r="J77" s="411"/>
      <c r="K77" s="411"/>
      <c r="T77" s="388" t="b" cm="1">
        <f t="array" ref="T77">T76</f>
        <v>1</v>
      </c>
      <c r="X77" s="2066"/>
      <c r="Z77" s="2067"/>
      <c r="AB77" s="438" t="s">
        <v>444</v>
      </c>
      <c r="AC77" s="1204" t="s">
        <v>2421</v>
      </c>
      <c r="AD77" s="438" t="s">
        <v>2422</v>
      </c>
      <c r="AE77" s="453">
        <f ca="1">SUMIFS(Баланс!$AI$25:$AI$300,Баланс!$F$25:$F$300,$F77,Баланс!$G$25:$G$300,"ПО")</f>
        <v>2636.9479999999999</v>
      </c>
      <c r="AF77" s="453">
        <f ca="1">SUMIFS(Баланс!$AS$25:$AS$300,Баланс!$F$25:$F$300,$F77,Баланс!$G$25:$G$300,"ПО")</f>
        <v>2451.4411899999996</v>
      </c>
      <c r="AI77" s="944" t="s">
        <v>1066</v>
      </c>
    </row>
    <row r="78" spans="1:35" s="448" customFormat="1" ht="14.25" customHeight="1" x14ac:dyDescent="0.15">
      <c r="E78" s="598">
        <v>15</v>
      </c>
      <c r="F78" s="3" t="str" cm="1">
        <f t="array" aca="1" ref="F78" ca="1">OFFSET(E78,-1,1)</f>
        <v>2</v>
      </c>
      <c r="G78" s="1205" t="s">
        <v>1624</v>
      </c>
      <c r="H78" s="411" t="s">
        <v>579</v>
      </c>
      <c r="I78" s="411"/>
      <c r="J78" s="411"/>
      <c r="K78" s="411"/>
      <c r="T78" s="388" t="b" cm="1">
        <f t="array" ref="T78">T77</f>
        <v>1</v>
      </c>
      <c r="X78" s="2066"/>
      <c r="Z78" s="2067"/>
      <c r="AB78" s="438" t="s">
        <v>707</v>
      </c>
      <c r="AC78" s="1206" t="s">
        <v>2423</v>
      </c>
      <c r="AD78" s="438" t="s">
        <v>2422</v>
      </c>
      <c r="AE78" s="1207"/>
      <c r="AF78" s="1207"/>
      <c r="AI78" s="944" t="s">
        <v>2424</v>
      </c>
    </row>
    <row r="79" spans="1:35" s="448" customFormat="1" ht="14.25" customHeight="1" x14ac:dyDescent="0.15">
      <c r="E79" s="598">
        <v>15</v>
      </c>
      <c r="F79" s="3" t="str" cm="1">
        <f t="array" aca="1" ref="F79" ca="1">OFFSET(E79,-1,1)</f>
        <v>2</v>
      </c>
      <c r="G79" s="26" t="s">
        <v>1637</v>
      </c>
      <c r="H79" s="411" t="s">
        <v>583</v>
      </c>
      <c r="I79" s="411"/>
      <c r="J79" s="411"/>
      <c r="K79" s="411"/>
      <c r="T79" s="388" t="b" cm="1">
        <f t="array" ref="T79">T78</f>
        <v>1</v>
      </c>
      <c r="X79" s="2066"/>
      <c r="Z79" s="2067"/>
      <c r="AB79" s="438" t="s">
        <v>710</v>
      </c>
      <c r="AC79" s="1039" t="s">
        <v>2425</v>
      </c>
      <c r="AD79" s="438" t="s">
        <v>2422</v>
      </c>
      <c r="AE79" s="453">
        <f ca="1">AE77-AE78</f>
        <v>2636.9479999999999</v>
      </c>
      <c r="AF79" s="453">
        <f ca="1">AF77-AF78</f>
        <v>2451.4411899999996</v>
      </c>
      <c r="AI79" s="944" t="s">
        <v>2426</v>
      </c>
    </row>
    <row r="80" spans="1:35" s="448" customFormat="1" ht="14.25" customHeight="1" x14ac:dyDescent="0.15">
      <c r="E80" s="598">
        <v>15</v>
      </c>
      <c r="F80" s="3" t="str" cm="1">
        <f t="array" aca="1" ref="F80" ca="1">OFFSET(E80,-1,1)</f>
        <v>2</v>
      </c>
      <c r="H80" s="411" t="s">
        <v>544</v>
      </c>
      <c r="I80" s="411"/>
      <c r="J80" s="411"/>
      <c r="K80" s="411"/>
      <c r="T80" s="388" t="b" cm="1">
        <f t="array" ref="T80">T79</f>
        <v>1</v>
      </c>
      <c r="X80" s="2066"/>
      <c r="Z80" s="2067"/>
      <c r="AB80" s="438" t="s">
        <v>446</v>
      </c>
      <c r="AC80" s="483" t="s">
        <v>2427</v>
      </c>
      <c r="AD80" s="438" t="s">
        <v>1588</v>
      </c>
      <c r="AE80" s="450">
        <f ca="1">IF(AE77=0,0,AE66/AE77)</f>
        <v>0</v>
      </c>
      <c r="AF80" s="450">
        <f ca="1">IF(AF77=0,0,AF66/AF77)</f>
        <v>0</v>
      </c>
      <c r="AI80" s="944" t="s">
        <v>1115</v>
      </c>
    </row>
    <row r="81" spans="1:35" s="448" customFormat="1" ht="14.25" customHeight="1" x14ac:dyDescent="0.15">
      <c r="E81" s="598">
        <v>15</v>
      </c>
      <c r="F81" s="3" t="str" cm="1">
        <f t="array" aca="1" ref="F81" ca="1">OFFSET(E81,-1,1)</f>
        <v>2</v>
      </c>
      <c r="G81" s="26" t="s">
        <v>1585</v>
      </c>
      <c r="H81" s="411" t="s">
        <v>723</v>
      </c>
      <c r="I81" s="411"/>
      <c r="J81" s="411"/>
      <c r="K81" s="411"/>
      <c r="T81" s="388" t="b" cm="1">
        <f t="array" ref="T81">T80</f>
        <v>1</v>
      </c>
      <c r="X81" s="2066"/>
      <c r="Z81" s="2067"/>
      <c r="AB81" s="438" t="s">
        <v>2428</v>
      </c>
      <c r="AC81" s="1208" t="s">
        <v>2429</v>
      </c>
      <c r="AD81" s="438" t="s">
        <v>1588</v>
      </c>
      <c r="AE81" s="457"/>
      <c r="AF81" s="457"/>
      <c r="AI81" s="944" t="s">
        <v>2430</v>
      </c>
    </row>
    <row r="82" spans="1:35" s="448" customFormat="1" ht="14.25" customHeight="1" x14ac:dyDescent="0.15">
      <c r="E82" s="598">
        <v>15</v>
      </c>
      <c r="F82" s="3" t="str" cm="1">
        <f t="array" aca="1" ref="F82" ca="1">OFFSET(E82,-1,1)</f>
        <v>2</v>
      </c>
      <c r="G82" s="26" t="s">
        <v>1590</v>
      </c>
      <c r="H82" s="411" t="s">
        <v>726</v>
      </c>
      <c r="I82" s="411"/>
      <c r="J82" s="411"/>
      <c r="K82" s="411"/>
      <c r="T82" s="388" t="b" cm="1">
        <f t="array" ref="T82">T81</f>
        <v>1</v>
      </c>
      <c r="X82" s="2066"/>
      <c r="Z82" s="2067"/>
      <c r="AB82" s="438" t="s">
        <v>2431</v>
      </c>
      <c r="AC82" s="1040" t="s">
        <v>2432</v>
      </c>
      <c r="AD82" s="438" t="s">
        <v>1588</v>
      </c>
      <c r="AE82" s="457">
        <f ca="1">IF(AE79=0,0,(AE66-AE81*AE78)/AE79)</f>
        <v>0</v>
      </c>
      <c r="AF82" s="457">
        <f ca="1">IF(AF79=0,0,(AF66-AF81*AF78)/AF79)</f>
        <v>0</v>
      </c>
      <c r="AI82" s="944" t="s">
        <v>2433</v>
      </c>
    </row>
    <row r="83" spans="1:35" s="1334" customFormat="1" ht="14.25" customHeight="1" x14ac:dyDescent="0.15">
      <c r="A83" s="1128"/>
      <c r="B83" s="1128"/>
      <c r="C83" s="1128"/>
      <c r="D83" s="1128"/>
      <c r="E83" s="573">
        <v>15</v>
      </c>
      <c r="F83" s="3" t="str" cm="1">
        <f t="array" aca="1" ref="F83" ca="1">OFFSET(E83,-1,1)</f>
        <v>2</v>
      </c>
      <c r="G83" s="1128"/>
      <c r="H83" s="411" t="s">
        <v>702</v>
      </c>
      <c r="I83" s="1128"/>
      <c r="J83" s="1128"/>
      <c r="K83" s="1128"/>
      <c r="L83" s="1128"/>
      <c r="M83" s="1128"/>
      <c r="N83" s="1128"/>
      <c r="O83" s="1128"/>
      <c r="P83" s="1128"/>
      <c r="Q83" s="1128"/>
      <c r="R83" s="1128"/>
      <c r="S83" s="1128"/>
      <c r="T83" s="388" t="b" cm="1">
        <f t="array" ref="T83">T82</f>
        <v>1</v>
      </c>
      <c r="U83" s="1128"/>
      <c r="V83" s="1128"/>
      <c r="W83" s="1128"/>
      <c r="X83" s="2066"/>
      <c r="Y83" s="1128"/>
      <c r="Z83" s="2067"/>
      <c r="AA83" s="1128"/>
      <c r="AB83" s="438" t="s">
        <v>599</v>
      </c>
      <c r="AC83" s="477" t="s">
        <v>2434</v>
      </c>
      <c r="AD83" s="438" t="s">
        <v>490</v>
      </c>
      <c r="AE83" s="450">
        <f>IF(AE81=0,0,AE82/AE81*100)</f>
        <v>0</v>
      </c>
      <c r="AF83" s="450">
        <f>IF(AF81=0,0,AF82/AF81*100)</f>
        <v>0</v>
      </c>
      <c r="AG83" s="1128"/>
      <c r="AH83" s="1128"/>
      <c r="AI83" s="934" t="s">
        <v>2435</v>
      </c>
    </row>
    <row r="84" spans="1:35" ht="10.9" customHeight="1" x14ac:dyDescent="0.15">
      <c r="E84" s="573">
        <v>11.25</v>
      </c>
      <c r="U84" s="411" t="s">
        <v>176</v>
      </c>
      <c r="V84" s="639" t="s">
        <v>2436</v>
      </c>
      <c r="AB84" s="458"/>
      <c r="AC84" s="459"/>
      <c r="AD84" s="458"/>
      <c r="AE84" s="460"/>
    </row>
    <row r="85" spans="1:35" ht="44.65" customHeight="1" x14ac:dyDescent="0.15">
      <c r="E85" s="573">
        <v>45.75</v>
      </c>
      <c r="AB85" s="2142" t="s">
        <v>2437</v>
      </c>
      <c r="AC85" s="2142"/>
      <c r="AD85" s="2142"/>
      <c r="AE85" s="2142"/>
      <c r="AF85" s="2142"/>
    </row>
    <row r="86" spans="1:35" ht="10.9" customHeight="1" x14ac:dyDescent="0.15">
      <c r="E86" s="573">
        <v>11.25</v>
      </c>
      <c r="AB86" s="458"/>
      <c r="AC86" s="459"/>
      <c r="AD86" s="458"/>
      <c r="AE86" s="460"/>
    </row>
    <row r="87" spans="1:35" s="1214" customFormat="1" ht="14.65" customHeight="1" x14ac:dyDescent="0.15">
      <c r="E87" s="638">
        <v>15</v>
      </c>
      <c r="AB87" s="2035" t="s">
        <v>402</v>
      </c>
      <c r="AC87" s="2035"/>
      <c r="AD87" s="2035"/>
      <c r="AE87" s="2068"/>
      <c r="AF87" s="2068"/>
      <c r="AI87" s="986"/>
    </row>
    <row r="88" spans="1:35" s="1214" customFormat="1" ht="14.65" customHeight="1" x14ac:dyDescent="0.15">
      <c r="E88" s="638">
        <v>15</v>
      </c>
      <c r="AA88" s="1256"/>
      <c r="AB88" s="2069"/>
      <c r="AC88" s="2069"/>
      <c r="AD88" s="2069"/>
      <c r="AE88" s="2070"/>
      <c r="AF88" s="2070"/>
      <c r="AI88" s="986"/>
    </row>
    <row r="89" spans="1:35" s="1214" customFormat="1" ht="14.65" hidden="1" customHeight="1" x14ac:dyDescent="0.15">
      <c r="E89" s="638">
        <v>15</v>
      </c>
      <c r="T89" s="388" t="b">
        <f>ROW(W89)&gt;ROW(W$89)</f>
        <v>0</v>
      </c>
      <c r="W89" s="478" t="s">
        <v>172</v>
      </c>
      <c r="X89" s="478"/>
      <c r="Y89" s="478"/>
      <c r="Z89" s="478"/>
      <c r="AA89" s="1209" t="s">
        <v>173</v>
      </c>
      <c r="AB89" s="2072"/>
      <c r="AC89" s="2073"/>
      <c r="AD89" s="2073"/>
      <c r="AE89" s="2073"/>
      <c r="AF89" s="2075"/>
      <c r="AI89" s="986"/>
    </row>
    <row r="90" spans="1:35" s="1214" customFormat="1" ht="14.65" customHeight="1" x14ac:dyDescent="0.15">
      <c r="E90" s="638">
        <v>15</v>
      </c>
      <c r="W90" s="748" t="s">
        <v>403</v>
      </c>
      <c r="X90" s="478"/>
      <c r="Y90" s="478"/>
      <c r="Z90" s="478"/>
      <c r="AA90" s="478"/>
      <c r="AB90" s="1257"/>
      <c r="AC90" s="1258" t="s">
        <v>404</v>
      </c>
      <c r="AD90" s="1259"/>
      <c r="AE90" s="1260"/>
      <c r="AF90" s="1261"/>
      <c r="AI90" s="986"/>
    </row>
    <row r="91" spans="1:35" ht="10.9" customHeight="1" x14ac:dyDescent="0.15">
      <c r="E91" s="573">
        <v>11.25</v>
      </c>
      <c r="AC91" s="461"/>
      <c r="AG91" s="411"/>
    </row>
  </sheetData>
  <sheetProtection formatColumns="0" formatRows="0" insertRows="0" deleteColumns="0" deleteRows="0" sort="0" autoFilter="0"/>
  <mergeCells count="16">
    <mergeCell ref="AB22:AF22"/>
    <mergeCell ref="AB23:AF23"/>
    <mergeCell ref="AB24:AB25"/>
    <mergeCell ref="AC24:AC25"/>
    <mergeCell ref="AD24:AD25"/>
    <mergeCell ref="AE24:AF24"/>
    <mergeCell ref="X27:X45"/>
    <mergeCell ref="Z27:Z45"/>
    <mergeCell ref="AB89:AF89"/>
    <mergeCell ref="AB87:AF87"/>
    <mergeCell ref="AB88:AF88"/>
    <mergeCell ref="AB85:AF85"/>
    <mergeCell ref="X46:X64"/>
    <mergeCell ref="Z46:Z64"/>
    <mergeCell ref="X65:X83"/>
    <mergeCell ref="Z65:Z83"/>
  </mergeCells>
  <dataValidations count="3">
    <dataValidation type="decimal" allowBlank="1" showErrorMessage="1" errorTitle="Ошибка" error="Допускается ввод только неотрицательных чисел!" sqref="AE34:AF34 AE38:AF38 AE30:AF31 AE49 AF49 AE50 AF50 AE53 AF53 AE57 AF57 AE68 AF68 AE69 AF69 AE72 AF72 AE76 AF76" xr:uid="{00000000-0002-0000-2100-000000000000}">
      <formula1>0</formula1>
      <formula2>9.99999999999999E+23</formula2>
    </dataValidation>
    <dataValidation type="decimal" allowBlank="1" showErrorMessage="1" errorTitle="Ошибка" error="Допускается ввод только действительных чисел!" sqref="AE43:AF44 AE62 AF62 AE63 AF63 AE81 AF81 AE82 AF82" xr:uid="{00000000-0002-0000-2100-000001000000}">
      <formula1>-9.99999999999999E+23</formula1>
      <formula2>9.99999999999999E+23</formula2>
    </dataValidation>
    <dataValidation type="decimal" allowBlank="1" showErrorMessage="1" errorTitle="Ошибка" error="Введите число от 0 до 100!" sqref="AE32:AF33 AE51 AF51 AE52 AF52 AE70 AF70 AE71 AF71" xr:uid="{00000000-0002-0000-2100-000002000000}">
      <formula1>0</formula1>
      <formula2>100</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08F6F-D128-FF11-C298-87198F52BBC8}">
  <sheetPr>
    <tabColor rgb="FFD3DBDB"/>
    <pageSetUpPr fitToPage="1"/>
  </sheetPr>
  <dimension ref="A1:AC34"/>
  <sheetViews>
    <sheetView showGridLines="0" topLeftCell="AA21" workbookViewId="0">
      <selection activeCell="AA21" sqref="AA21"/>
    </sheetView>
  </sheetViews>
  <sheetFormatPr defaultColWidth="9.140625" defaultRowHeight="11.25" customHeight="1" x14ac:dyDescent="0.15"/>
  <cols>
    <col min="1" max="1" width="3.5703125" style="1128" hidden="1" customWidth="1"/>
    <col min="2" max="2" width="8.5703125" style="1111" hidden="1" customWidth="1"/>
    <col min="3" max="4" width="3.5703125" style="1128" hidden="1" customWidth="1"/>
    <col min="5" max="5" width="3.5703125" style="1081" hidden="1" customWidth="1"/>
    <col min="6" max="21" width="3.5703125" style="1128" hidden="1" customWidth="1"/>
    <col min="22" max="22" width="4.5703125" style="1128" hidden="1" customWidth="1"/>
    <col min="23" max="23" width="8.42578125" style="1128" hidden="1" customWidth="1"/>
    <col min="24" max="26" width="3.5703125" style="1128" hidden="1" customWidth="1"/>
    <col min="27" max="27" width="3" style="1128" customWidth="1"/>
    <col min="28" max="28" width="94.140625" style="1128" customWidth="1"/>
    <col min="29" max="29" width="9.140625" style="1128"/>
  </cols>
  <sheetData>
    <row r="1" spans="1:28" ht="11.25" hidden="1" customHeight="1" x14ac:dyDescent="0.15">
      <c r="E1" s="23"/>
      <c r="W1" s="388" t="s">
        <v>92</v>
      </c>
      <c r="X1" s="388"/>
      <c r="Y1" s="388" t="s">
        <v>93</v>
      </c>
      <c r="Z1" s="388" t="s">
        <v>95</v>
      </c>
      <c r="AA1" s="388" t="s">
        <v>99</v>
      </c>
      <c r="AB1" s="388" t="s">
        <v>97</v>
      </c>
    </row>
    <row r="2" spans="1:28" s="1111" customFormat="1" ht="11.25" hidden="1" customHeight="1" x14ac:dyDescent="0.15">
      <c r="B2" s="368" t="s">
        <v>18</v>
      </c>
    </row>
    <row r="3" spans="1:28" ht="11.25" hidden="1" customHeight="1" x14ac:dyDescent="0.15">
      <c r="E3" s="23"/>
    </row>
    <row r="4" spans="1:28" ht="11.25" hidden="1" customHeight="1" x14ac:dyDescent="0.15">
      <c r="E4" s="23"/>
    </row>
    <row r="5" spans="1:28" s="1081" customFormat="1" ht="11.25" hidden="1" customHeight="1" x14ac:dyDescent="0.15">
      <c r="A5" s="23"/>
      <c r="B5" s="350"/>
      <c r="C5" s="23"/>
      <c r="D5" s="23"/>
      <c r="E5" s="626" t="s">
        <v>19</v>
      </c>
      <c r="AA5" s="552">
        <v>3</v>
      </c>
      <c r="AB5" s="552">
        <v>94.14</v>
      </c>
    </row>
    <row r="6" spans="1:28" ht="11.25" hidden="1" customHeight="1" x14ac:dyDescent="0.15"/>
    <row r="7" spans="1:28" ht="11.25" hidden="1" customHeight="1" x14ac:dyDescent="0.15"/>
    <row r="8" spans="1:28" ht="11.25" hidden="1" customHeight="1" x14ac:dyDescent="0.15"/>
    <row r="9" spans="1:28" ht="11.25" hidden="1" customHeight="1" x14ac:dyDescent="0.15"/>
    <row r="10" spans="1:28" ht="11.25" hidden="1" customHeight="1" x14ac:dyDescent="0.15"/>
    <row r="11" spans="1:28" ht="11.25" hidden="1" customHeight="1" x14ac:dyDescent="0.15"/>
    <row r="12" spans="1:28" ht="11.25" hidden="1" customHeight="1" x14ac:dyDescent="0.15"/>
    <row r="13" spans="1:28" ht="11.25" hidden="1" customHeight="1" x14ac:dyDescent="0.15"/>
    <row r="14" spans="1:28" ht="11.25" hidden="1" customHeight="1" x14ac:dyDescent="0.15"/>
    <row r="15" spans="1:28" ht="11.25" hidden="1" customHeight="1" x14ac:dyDescent="0.15"/>
    <row r="16" spans="1:28" ht="11.25" hidden="1" customHeight="1" x14ac:dyDescent="0.15"/>
    <row r="17" spans="5:28" ht="11.25" hidden="1" customHeight="1" x14ac:dyDescent="0.15"/>
    <row r="18" spans="5:28" ht="11.25" hidden="1" customHeight="1" x14ac:dyDescent="0.15"/>
    <row r="19" spans="5:28" ht="11.25" hidden="1" customHeight="1" x14ac:dyDescent="0.15"/>
    <row r="20" spans="5:28" ht="11.25" hidden="1" customHeight="1" x14ac:dyDescent="0.15"/>
    <row r="21" spans="5:28" ht="14.65" customHeight="1" x14ac:dyDescent="0.15">
      <c r="E21" s="552">
        <v>15</v>
      </c>
      <c r="AA21" s="347"/>
      <c r="AB21" s="24"/>
    </row>
    <row r="22" spans="5:28" ht="18.95" customHeight="1" x14ac:dyDescent="0.15">
      <c r="E22" s="552">
        <v>19.5</v>
      </c>
      <c r="AA22" s="24"/>
      <c r="AB22" s="22" t="s">
        <v>368</v>
      </c>
    </row>
    <row r="23" spans="5:28" ht="10.9" customHeight="1" x14ac:dyDescent="0.15">
      <c r="E23" s="552">
        <v>11.25</v>
      </c>
      <c r="AA23" s="24"/>
      <c r="AB23" s="24"/>
    </row>
    <row r="24" spans="5:28" ht="19.5" customHeight="1" x14ac:dyDescent="0.15">
      <c r="E24" s="552">
        <v>20</v>
      </c>
      <c r="AA24" s="24"/>
      <c r="AB24" s="25"/>
    </row>
    <row r="25" spans="5:28" ht="19.5" customHeight="1" x14ac:dyDescent="0.15">
      <c r="E25" s="552">
        <v>20</v>
      </c>
      <c r="AA25" s="24"/>
      <c r="AB25" s="25"/>
    </row>
    <row r="26" spans="5:28" ht="19.5" customHeight="1" x14ac:dyDescent="0.15">
      <c r="E26" s="552">
        <v>20</v>
      </c>
      <c r="AA26" s="24"/>
      <c r="AB26" s="25"/>
    </row>
    <row r="27" spans="5:28" ht="19.5" customHeight="1" x14ac:dyDescent="0.15">
      <c r="E27" s="552">
        <v>20</v>
      </c>
      <c r="AA27" s="24"/>
      <c r="AB27" s="25"/>
    </row>
    <row r="28" spans="5:28" ht="19.5" customHeight="1" x14ac:dyDescent="0.15">
      <c r="E28" s="552">
        <v>20</v>
      </c>
      <c r="AA28" s="24"/>
      <c r="AB28" s="25"/>
    </row>
    <row r="29" spans="5:28" ht="19.5" customHeight="1" x14ac:dyDescent="0.15">
      <c r="E29" s="552">
        <v>20</v>
      </c>
      <c r="AA29" s="24"/>
      <c r="AB29" s="25"/>
    </row>
    <row r="30" spans="5:28" ht="19.5" customHeight="1" x14ac:dyDescent="0.15">
      <c r="E30" s="552">
        <v>20</v>
      </c>
      <c r="AA30" s="24"/>
      <c r="AB30" s="25"/>
    </row>
    <row r="31" spans="5:28" ht="19.5" customHeight="1" x14ac:dyDescent="0.15">
      <c r="E31" s="552">
        <v>20</v>
      </c>
      <c r="AA31" s="24"/>
      <c r="AB31" s="25"/>
    </row>
    <row r="32" spans="5:28" ht="19.5" hidden="1" customHeight="1" x14ac:dyDescent="0.15">
      <c r="E32" s="552">
        <v>20</v>
      </c>
      <c r="W32" s="478" t="b">
        <f>ROW(Z32)&gt;ROW(Z$32)</f>
        <v>0</v>
      </c>
      <c r="Y32" s="23" t="s">
        <v>271</v>
      </c>
      <c r="AA32" s="586" t="s">
        <v>173</v>
      </c>
      <c r="AB32" s="1937"/>
    </row>
    <row r="33" spans="5:29" ht="19.5" customHeight="1" x14ac:dyDescent="0.15">
      <c r="E33" s="552">
        <v>20</v>
      </c>
      <c r="Y33" s="748" t="s">
        <v>403</v>
      </c>
      <c r="AA33" s="24"/>
      <c r="AB33" s="664" t="s">
        <v>404</v>
      </c>
    </row>
    <row r="34" spans="5:29" ht="11.25" customHeight="1" x14ac:dyDescent="0.15">
      <c r="AA34" s="24"/>
      <c r="AB34" s="24"/>
      <c r="AC34" s="348"/>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742CF-FE28-8DF8-F8AD-09DF1A8B84D8}">
  <sheetPr>
    <tabColor rgb="FFFFCC99"/>
  </sheetPr>
  <dimension ref="A1:C230"/>
  <sheetViews>
    <sheetView showGridLines="0" workbookViewId="0"/>
  </sheetViews>
  <sheetFormatPr defaultRowHeight="11.25" customHeight="1" x14ac:dyDescent="0.15"/>
  <cols>
    <col min="1" max="2" width="36.5703125" style="1321" customWidth="1"/>
    <col min="3" max="3" width="12.5703125" style="1321" customWidth="1"/>
  </cols>
  <sheetData>
    <row r="1" spans="1:3" ht="11.25" customHeight="1" x14ac:dyDescent="0.15">
      <c r="A1" s="1321" t="s">
        <v>2438</v>
      </c>
      <c r="B1" s="1321" t="s">
        <v>2439</v>
      </c>
      <c r="C1" s="1321" t="s">
        <v>2440</v>
      </c>
    </row>
    <row r="2" spans="1:3" ht="11.25" customHeight="1" x14ac:dyDescent="0.15">
      <c r="A2" s="1321" t="s">
        <v>2441</v>
      </c>
      <c r="B2" s="1321" t="s">
        <v>2441</v>
      </c>
      <c r="C2" s="1321" t="s">
        <v>2442</v>
      </c>
    </row>
    <row r="3" spans="1:3" ht="11.25" customHeight="1" x14ac:dyDescent="0.15">
      <c r="A3" s="1321" t="s">
        <v>2443</v>
      </c>
      <c r="B3" s="1321" t="s">
        <v>2443</v>
      </c>
      <c r="C3" s="1321" t="s">
        <v>2444</v>
      </c>
    </row>
    <row r="4" spans="1:3" ht="11.25" customHeight="1" x14ac:dyDescent="0.15">
      <c r="A4" s="1321" t="s">
        <v>2445</v>
      </c>
      <c r="B4" s="1321" t="s">
        <v>2445</v>
      </c>
      <c r="C4" s="1321" t="s">
        <v>2446</v>
      </c>
    </row>
    <row r="5" spans="1:3" ht="11.25" customHeight="1" x14ac:dyDescent="0.15">
      <c r="A5" s="1321" t="s">
        <v>2447</v>
      </c>
      <c r="B5" s="1321" t="s">
        <v>2447</v>
      </c>
      <c r="C5" s="1321" t="s">
        <v>2448</v>
      </c>
    </row>
    <row r="6" spans="1:3" ht="11.25" customHeight="1" x14ac:dyDescent="0.15">
      <c r="A6" s="1321" t="s">
        <v>2449</v>
      </c>
      <c r="B6" s="1321" t="s">
        <v>2449</v>
      </c>
      <c r="C6" s="1321" t="s">
        <v>2450</v>
      </c>
    </row>
    <row r="7" spans="1:3" ht="11.25" customHeight="1" x14ac:dyDescent="0.15">
      <c r="A7" s="1321" t="s">
        <v>2451</v>
      </c>
      <c r="B7" s="1321" t="s">
        <v>2451</v>
      </c>
      <c r="C7" s="1321" t="s">
        <v>2452</v>
      </c>
    </row>
    <row r="8" spans="1:3" ht="11.25" customHeight="1" x14ac:dyDescent="0.15">
      <c r="A8" s="1321" t="s">
        <v>2451</v>
      </c>
      <c r="B8" s="1321" t="s">
        <v>2451</v>
      </c>
      <c r="C8" s="1321" t="s">
        <v>2453</v>
      </c>
    </row>
    <row r="9" spans="1:3" ht="11.25" customHeight="1" x14ac:dyDescent="0.15">
      <c r="A9" s="1321" t="s">
        <v>2454</v>
      </c>
      <c r="B9" s="1321" t="s">
        <v>2454</v>
      </c>
      <c r="C9" s="1321" t="s">
        <v>2455</v>
      </c>
    </row>
    <row r="10" spans="1:3" ht="11.25" customHeight="1" x14ac:dyDescent="0.15">
      <c r="A10" s="1321" t="s">
        <v>2456</v>
      </c>
      <c r="B10" s="1321" t="s">
        <v>2456</v>
      </c>
      <c r="C10" s="1321" t="s">
        <v>2457</v>
      </c>
    </row>
    <row r="11" spans="1:3" ht="11.25" customHeight="1" x14ac:dyDescent="0.15">
      <c r="A11" s="1321" t="s">
        <v>2458</v>
      </c>
      <c r="B11" s="1321" t="s">
        <v>2458</v>
      </c>
      <c r="C11" s="1321" t="s">
        <v>2459</v>
      </c>
    </row>
    <row r="12" spans="1:3" ht="11.25" customHeight="1" x14ac:dyDescent="0.15">
      <c r="A12" s="1321" t="s">
        <v>2460</v>
      </c>
      <c r="B12" s="1321" t="s">
        <v>2460</v>
      </c>
      <c r="C12" s="1321" t="s">
        <v>2461</v>
      </c>
    </row>
    <row r="13" spans="1:3" ht="11.25" customHeight="1" x14ac:dyDescent="0.15">
      <c r="A13" s="1321" t="s">
        <v>2462</v>
      </c>
      <c r="B13" s="1321" t="s">
        <v>2462</v>
      </c>
      <c r="C13" s="1321" t="s">
        <v>2463</v>
      </c>
    </row>
    <row r="14" spans="1:3" ht="11.25" customHeight="1" x14ac:dyDescent="0.15">
      <c r="A14" s="1321" t="s">
        <v>2464</v>
      </c>
      <c r="B14" s="1321" t="s">
        <v>2464</v>
      </c>
      <c r="C14" s="1321" t="s">
        <v>2465</v>
      </c>
    </row>
    <row r="15" spans="1:3" ht="11.25" customHeight="1" x14ac:dyDescent="0.15">
      <c r="A15" s="1321" t="s">
        <v>2466</v>
      </c>
      <c r="B15" s="1321" t="s">
        <v>2466</v>
      </c>
      <c r="C15" s="1321" t="s">
        <v>2467</v>
      </c>
    </row>
    <row r="16" spans="1:3" ht="11.25" customHeight="1" x14ac:dyDescent="0.15">
      <c r="A16" s="1321" t="s">
        <v>2468</v>
      </c>
      <c r="B16" s="1321" t="s">
        <v>2468</v>
      </c>
      <c r="C16" s="1321" t="s">
        <v>2469</v>
      </c>
    </row>
    <row r="17" spans="1:3" ht="11.25" customHeight="1" x14ac:dyDescent="0.15">
      <c r="A17" s="1321" t="s">
        <v>2470</v>
      </c>
      <c r="B17" s="1321" t="s">
        <v>2470</v>
      </c>
      <c r="C17" s="1321" t="s">
        <v>2471</v>
      </c>
    </row>
    <row r="18" spans="1:3" ht="11.25" customHeight="1" x14ac:dyDescent="0.15">
      <c r="A18" s="1321" t="s">
        <v>2472</v>
      </c>
      <c r="B18" s="1321" t="s">
        <v>2472</v>
      </c>
      <c r="C18" s="1321" t="s">
        <v>2473</v>
      </c>
    </row>
    <row r="19" spans="1:3" ht="11.25" customHeight="1" x14ac:dyDescent="0.15">
      <c r="A19" s="1321" t="s">
        <v>2474</v>
      </c>
      <c r="B19" s="1321" t="s">
        <v>2474</v>
      </c>
      <c r="C19" s="1321" t="s">
        <v>2475</v>
      </c>
    </row>
    <row r="20" spans="1:3" ht="11.25" customHeight="1" x14ac:dyDescent="0.15">
      <c r="A20" s="1321" t="s">
        <v>2476</v>
      </c>
      <c r="B20" s="1321" t="s">
        <v>2476</v>
      </c>
      <c r="C20" s="1321" t="s">
        <v>2477</v>
      </c>
    </row>
    <row r="21" spans="1:3" ht="11.25" customHeight="1" x14ac:dyDescent="0.15">
      <c r="A21" s="1321" t="s">
        <v>2478</v>
      </c>
      <c r="B21" s="1321" t="s">
        <v>2478</v>
      </c>
      <c r="C21" s="1321" t="s">
        <v>2479</v>
      </c>
    </row>
    <row r="22" spans="1:3" ht="11.25" customHeight="1" x14ac:dyDescent="0.15">
      <c r="A22" s="1321" t="s">
        <v>2480</v>
      </c>
      <c r="B22" s="1321" t="s">
        <v>2481</v>
      </c>
      <c r="C22" s="1321" t="s">
        <v>2482</v>
      </c>
    </row>
    <row r="23" spans="1:3" ht="11.25" customHeight="1" x14ac:dyDescent="0.15">
      <c r="A23" s="1321" t="s">
        <v>2480</v>
      </c>
      <c r="B23" s="1321" t="s">
        <v>2483</v>
      </c>
      <c r="C23" s="1321" t="s">
        <v>2484</v>
      </c>
    </row>
    <row r="24" spans="1:3" ht="11.25" customHeight="1" x14ac:dyDescent="0.15">
      <c r="A24" s="1321" t="s">
        <v>2480</v>
      </c>
      <c r="B24" s="1321" t="s">
        <v>2485</v>
      </c>
      <c r="C24" s="1321" t="s">
        <v>2486</v>
      </c>
    </row>
    <row r="25" spans="1:3" ht="11.25" customHeight="1" x14ac:dyDescent="0.15">
      <c r="A25" s="1321" t="s">
        <v>2480</v>
      </c>
      <c r="B25" s="1321" t="s">
        <v>2487</v>
      </c>
      <c r="C25" s="1321" t="s">
        <v>2488</v>
      </c>
    </row>
    <row r="26" spans="1:3" ht="11.25" customHeight="1" x14ac:dyDescent="0.15">
      <c r="A26" s="1321" t="s">
        <v>2480</v>
      </c>
      <c r="B26" s="1321" t="s">
        <v>2489</v>
      </c>
      <c r="C26" s="1321" t="s">
        <v>2490</v>
      </c>
    </row>
    <row r="27" spans="1:3" ht="11.25" customHeight="1" x14ac:dyDescent="0.15">
      <c r="A27" s="1321" t="s">
        <v>2480</v>
      </c>
      <c r="B27" s="1321" t="s">
        <v>2491</v>
      </c>
      <c r="C27" s="1321" t="s">
        <v>2492</v>
      </c>
    </row>
    <row r="28" spans="1:3" ht="11.25" customHeight="1" x14ac:dyDescent="0.15">
      <c r="A28" s="1321" t="s">
        <v>2480</v>
      </c>
      <c r="B28" s="1321" t="s">
        <v>2493</v>
      </c>
      <c r="C28" s="1321" t="s">
        <v>2494</v>
      </c>
    </row>
    <row r="29" spans="1:3" ht="11.25" customHeight="1" x14ac:dyDescent="0.15">
      <c r="A29" s="1321" t="s">
        <v>2480</v>
      </c>
      <c r="B29" s="1321" t="s">
        <v>2495</v>
      </c>
      <c r="C29" s="1321" t="s">
        <v>2496</v>
      </c>
    </row>
    <row r="30" spans="1:3" ht="11.25" customHeight="1" x14ac:dyDescent="0.15">
      <c r="A30" s="1321" t="s">
        <v>2497</v>
      </c>
      <c r="B30" s="1321" t="s">
        <v>2498</v>
      </c>
      <c r="C30" s="1321" t="s">
        <v>2499</v>
      </c>
    </row>
    <row r="31" spans="1:3" ht="11.25" customHeight="1" x14ac:dyDescent="0.15">
      <c r="A31" s="1321" t="s">
        <v>2497</v>
      </c>
      <c r="B31" s="1321" t="s">
        <v>2500</v>
      </c>
      <c r="C31" s="1321" t="s">
        <v>2501</v>
      </c>
    </row>
    <row r="32" spans="1:3" ht="11.25" customHeight="1" x14ac:dyDescent="0.15">
      <c r="A32" s="1321" t="s">
        <v>2497</v>
      </c>
      <c r="B32" s="1321" t="s">
        <v>2502</v>
      </c>
      <c r="C32" s="1321" t="s">
        <v>2503</v>
      </c>
    </row>
    <row r="33" spans="1:3" ht="11.25" customHeight="1" x14ac:dyDescent="0.15">
      <c r="A33" s="1321" t="s">
        <v>2497</v>
      </c>
      <c r="B33" s="1321" t="s">
        <v>2504</v>
      </c>
      <c r="C33" s="1321" t="s">
        <v>2505</v>
      </c>
    </row>
    <row r="34" spans="1:3" ht="11.25" customHeight="1" x14ac:dyDescent="0.15">
      <c r="A34" s="1321" t="s">
        <v>2497</v>
      </c>
      <c r="B34" s="1321" t="s">
        <v>2506</v>
      </c>
      <c r="C34" s="1321" t="s">
        <v>2507</v>
      </c>
    </row>
    <row r="35" spans="1:3" ht="11.25" customHeight="1" x14ac:dyDescent="0.15">
      <c r="A35" s="1321" t="s">
        <v>2497</v>
      </c>
      <c r="B35" s="1321" t="s">
        <v>2508</v>
      </c>
      <c r="C35" s="1321" t="s">
        <v>2509</v>
      </c>
    </row>
    <row r="36" spans="1:3" ht="11.25" customHeight="1" x14ac:dyDescent="0.15">
      <c r="A36" s="1321" t="s">
        <v>2497</v>
      </c>
      <c r="B36" s="1321" t="s">
        <v>2510</v>
      </c>
      <c r="C36" s="1321" t="s">
        <v>2511</v>
      </c>
    </row>
    <row r="37" spans="1:3" ht="11.25" customHeight="1" x14ac:dyDescent="0.15">
      <c r="A37" s="1321" t="s">
        <v>2497</v>
      </c>
      <c r="B37" s="1321" t="s">
        <v>2512</v>
      </c>
      <c r="C37" s="1321" t="s">
        <v>2513</v>
      </c>
    </row>
    <row r="38" spans="1:3" ht="11.25" customHeight="1" x14ac:dyDescent="0.15">
      <c r="A38" s="1321" t="s">
        <v>2497</v>
      </c>
      <c r="B38" s="1321" t="s">
        <v>2514</v>
      </c>
      <c r="C38" s="1321" t="s">
        <v>2515</v>
      </c>
    </row>
    <row r="39" spans="1:3" ht="11.25" customHeight="1" x14ac:dyDescent="0.15">
      <c r="A39" s="1321" t="s">
        <v>2516</v>
      </c>
      <c r="B39" s="1321" t="s">
        <v>2517</v>
      </c>
      <c r="C39" s="1321" t="s">
        <v>2518</v>
      </c>
    </row>
    <row r="40" spans="1:3" ht="11.25" customHeight="1" x14ac:dyDescent="0.15">
      <c r="A40" s="1321" t="s">
        <v>2516</v>
      </c>
      <c r="B40" s="1321" t="s">
        <v>2519</v>
      </c>
      <c r="C40" s="1321" t="s">
        <v>2520</v>
      </c>
    </row>
    <row r="41" spans="1:3" ht="11.25" customHeight="1" x14ac:dyDescent="0.15">
      <c r="A41" s="1321" t="s">
        <v>2516</v>
      </c>
      <c r="B41" s="1321" t="s">
        <v>2521</v>
      </c>
      <c r="C41" s="1321" t="s">
        <v>2522</v>
      </c>
    </row>
    <row r="42" spans="1:3" ht="11.25" customHeight="1" x14ac:dyDescent="0.15">
      <c r="A42" s="1321" t="s">
        <v>2516</v>
      </c>
      <c r="B42" s="1321" t="s">
        <v>2523</v>
      </c>
      <c r="C42" s="1321" t="s">
        <v>2524</v>
      </c>
    </row>
    <row r="43" spans="1:3" ht="11.25" customHeight="1" x14ac:dyDescent="0.15">
      <c r="A43" s="1321" t="s">
        <v>2516</v>
      </c>
      <c r="B43" s="1321" t="s">
        <v>2525</v>
      </c>
      <c r="C43" s="1321" t="s">
        <v>2526</v>
      </c>
    </row>
    <row r="44" spans="1:3" ht="11.25" customHeight="1" x14ac:dyDescent="0.15">
      <c r="A44" s="1321" t="s">
        <v>2516</v>
      </c>
      <c r="B44" s="1321" t="s">
        <v>2527</v>
      </c>
      <c r="C44" s="1321" t="s">
        <v>2528</v>
      </c>
    </row>
    <row r="45" spans="1:3" ht="11.25" customHeight="1" x14ac:dyDescent="0.15">
      <c r="A45" s="1321" t="s">
        <v>2516</v>
      </c>
      <c r="B45" s="1321" t="s">
        <v>2529</v>
      </c>
      <c r="C45" s="1321" t="s">
        <v>2530</v>
      </c>
    </row>
    <row r="46" spans="1:3" ht="11.25" customHeight="1" x14ac:dyDescent="0.15">
      <c r="A46" s="1321" t="s">
        <v>2531</v>
      </c>
      <c r="B46" s="1321" t="s">
        <v>2532</v>
      </c>
      <c r="C46" s="1321" t="s">
        <v>2533</v>
      </c>
    </row>
    <row r="47" spans="1:3" ht="11.25" customHeight="1" x14ac:dyDescent="0.15">
      <c r="A47" s="1321" t="s">
        <v>2531</v>
      </c>
      <c r="B47" s="1321" t="s">
        <v>2534</v>
      </c>
      <c r="C47" s="1321" t="s">
        <v>2535</v>
      </c>
    </row>
    <row r="48" spans="1:3" ht="11.25" customHeight="1" x14ac:dyDescent="0.15">
      <c r="A48" s="1321" t="s">
        <v>2531</v>
      </c>
      <c r="B48" s="1321" t="s">
        <v>2536</v>
      </c>
      <c r="C48" s="1321" t="s">
        <v>2537</v>
      </c>
    </row>
    <row r="49" spans="1:3" ht="11.25" customHeight="1" x14ac:dyDescent="0.15">
      <c r="A49" s="1321" t="s">
        <v>2531</v>
      </c>
      <c r="B49" s="1321" t="s">
        <v>2538</v>
      </c>
      <c r="C49" s="1321" t="s">
        <v>2539</v>
      </c>
    </row>
    <row r="50" spans="1:3" ht="11.25" customHeight="1" x14ac:dyDescent="0.15">
      <c r="A50" s="1321" t="s">
        <v>2531</v>
      </c>
      <c r="B50" s="1321" t="s">
        <v>2540</v>
      </c>
      <c r="C50" s="1321" t="s">
        <v>2541</v>
      </c>
    </row>
    <row r="51" spans="1:3" ht="11.25" customHeight="1" x14ac:dyDescent="0.15">
      <c r="A51" s="1321" t="s">
        <v>2531</v>
      </c>
      <c r="B51" s="1321" t="s">
        <v>2542</v>
      </c>
      <c r="C51" s="1321" t="s">
        <v>2543</v>
      </c>
    </row>
    <row r="52" spans="1:3" ht="11.25" customHeight="1" x14ac:dyDescent="0.15">
      <c r="A52" s="1321" t="s">
        <v>2531</v>
      </c>
      <c r="B52" s="1321" t="s">
        <v>2544</v>
      </c>
      <c r="C52" s="1321" t="s">
        <v>2545</v>
      </c>
    </row>
    <row r="53" spans="1:3" ht="11.25" customHeight="1" x14ac:dyDescent="0.15">
      <c r="A53" s="1321" t="s">
        <v>2531</v>
      </c>
      <c r="B53" s="1321" t="s">
        <v>2546</v>
      </c>
      <c r="C53" s="1321" t="s">
        <v>2547</v>
      </c>
    </row>
    <row r="54" spans="1:3" ht="11.25" customHeight="1" x14ac:dyDescent="0.15">
      <c r="A54" s="1321" t="s">
        <v>2531</v>
      </c>
      <c r="B54" s="1321" t="s">
        <v>2548</v>
      </c>
      <c r="C54" s="1321" t="s">
        <v>2549</v>
      </c>
    </row>
    <row r="55" spans="1:3" ht="11.25" customHeight="1" x14ac:dyDescent="0.15">
      <c r="A55" s="1321" t="s">
        <v>2550</v>
      </c>
      <c r="B55" s="1321" t="s">
        <v>2550</v>
      </c>
      <c r="C55" s="1321" t="s">
        <v>2551</v>
      </c>
    </row>
    <row r="56" spans="1:3" ht="11.25" customHeight="1" x14ac:dyDescent="0.15">
      <c r="A56" s="1321" t="s">
        <v>2550</v>
      </c>
      <c r="B56" s="1321" t="s">
        <v>2552</v>
      </c>
      <c r="C56" s="1321" t="s">
        <v>2553</v>
      </c>
    </row>
    <row r="57" spans="1:3" ht="11.25" customHeight="1" x14ac:dyDescent="0.15">
      <c r="A57" s="1321" t="s">
        <v>2550</v>
      </c>
      <c r="B57" s="1321" t="s">
        <v>2554</v>
      </c>
      <c r="C57" s="1321" t="s">
        <v>2555</v>
      </c>
    </row>
    <row r="58" spans="1:3" ht="11.25" customHeight="1" x14ac:dyDescent="0.15">
      <c r="A58" s="1321" t="s">
        <v>2550</v>
      </c>
      <c r="B58" s="1321" t="s">
        <v>2556</v>
      </c>
      <c r="C58" s="1321" t="s">
        <v>2557</v>
      </c>
    </row>
    <row r="59" spans="1:3" ht="11.25" customHeight="1" x14ac:dyDescent="0.15">
      <c r="A59" s="1321" t="s">
        <v>2550</v>
      </c>
      <c r="B59" s="1321" t="s">
        <v>2558</v>
      </c>
      <c r="C59" s="1321" t="s">
        <v>2559</v>
      </c>
    </row>
    <row r="60" spans="1:3" ht="11.25" customHeight="1" x14ac:dyDescent="0.15">
      <c r="A60" s="1321" t="s">
        <v>2550</v>
      </c>
      <c r="B60" s="1321" t="s">
        <v>2560</v>
      </c>
      <c r="C60" s="1321" t="s">
        <v>2561</v>
      </c>
    </row>
    <row r="61" spans="1:3" ht="11.25" customHeight="1" x14ac:dyDescent="0.15">
      <c r="A61" s="1321" t="s">
        <v>2550</v>
      </c>
      <c r="B61" s="1321" t="s">
        <v>2562</v>
      </c>
      <c r="C61" s="1321" t="s">
        <v>2563</v>
      </c>
    </row>
    <row r="62" spans="1:3" ht="11.25" customHeight="1" x14ac:dyDescent="0.15">
      <c r="A62" s="1321" t="s">
        <v>2550</v>
      </c>
      <c r="B62" s="1321" t="s">
        <v>2564</v>
      </c>
      <c r="C62" s="1321" t="s">
        <v>2565</v>
      </c>
    </row>
    <row r="63" spans="1:3" ht="11.25" customHeight="1" x14ac:dyDescent="0.15">
      <c r="A63" s="1321" t="s">
        <v>2550</v>
      </c>
      <c r="B63" s="1321" t="s">
        <v>2566</v>
      </c>
      <c r="C63" s="1321" t="s">
        <v>2567</v>
      </c>
    </row>
    <row r="64" spans="1:3" ht="11.25" customHeight="1" x14ac:dyDescent="0.15">
      <c r="A64" s="1321" t="s">
        <v>2550</v>
      </c>
      <c r="B64" s="1321" t="s">
        <v>2568</v>
      </c>
      <c r="C64" s="1321" t="s">
        <v>2569</v>
      </c>
    </row>
    <row r="65" spans="1:3" ht="11.25" customHeight="1" x14ac:dyDescent="0.15">
      <c r="A65" s="1321" t="s">
        <v>2550</v>
      </c>
      <c r="B65" s="1321" t="s">
        <v>2570</v>
      </c>
      <c r="C65" s="1321" t="s">
        <v>2571</v>
      </c>
    </row>
    <row r="66" spans="1:3" ht="11.25" customHeight="1" x14ac:dyDescent="0.15">
      <c r="A66" s="1321" t="s">
        <v>2550</v>
      </c>
      <c r="B66" s="1321" t="s">
        <v>2572</v>
      </c>
      <c r="C66" s="1321" t="s">
        <v>2573</v>
      </c>
    </row>
    <row r="67" spans="1:3" ht="11.25" customHeight="1" x14ac:dyDescent="0.15">
      <c r="A67" s="1321" t="s">
        <v>2574</v>
      </c>
      <c r="B67" s="1321" t="s">
        <v>2574</v>
      </c>
      <c r="C67" s="1321" t="s">
        <v>2575</v>
      </c>
    </row>
    <row r="68" spans="1:3" ht="11.25" customHeight="1" x14ac:dyDescent="0.15">
      <c r="A68" s="1321" t="s">
        <v>2574</v>
      </c>
      <c r="B68" s="1321" t="s">
        <v>2576</v>
      </c>
      <c r="C68" s="1321" t="s">
        <v>2577</v>
      </c>
    </row>
    <row r="69" spans="1:3" ht="11.25" customHeight="1" x14ac:dyDescent="0.15">
      <c r="A69" s="1321" t="s">
        <v>2574</v>
      </c>
      <c r="B69" s="1321" t="s">
        <v>2578</v>
      </c>
      <c r="C69" s="1321" t="s">
        <v>2579</v>
      </c>
    </row>
    <row r="70" spans="1:3" ht="11.25" customHeight="1" x14ac:dyDescent="0.15">
      <c r="A70" s="1321" t="s">
        <v>2574</v>
      </c>
      <c r="B70" s="1321" t="s">
        <v>2580</v>
      </c>
      <c r="C70" s="1321" t="s">
        <v>2581</v>
      </c>
    </row>
    <row r="71" spans="1:3" ht="11.25" customHeight="1" x14ac:dyDescent="0.15">
      <c r="A71" s="1321" t="s">
        <v>2574</v>
      </c>
      <c r="B71" s="1321" t="s">
        <v>2582</v>
      </c>
      <c r="C71" s="1321" t="s">
        <v>2583</v>
      </c>
    </row>
    <row r="72" spans="1:3" ht="11.25" customHeight="1" x14ac:dyDescent="0.15">
      <c r="A72" s="1321" t="s">
        <v>2574</v>
      </c>
      <c r="B72" s="1321" t="s">
        <v>2584</v>
      </c>
      <c r="C72" s="1321" t="s">
        <v>2585</v>
      </c>
    </row>
    <row r="73" spans="1:3" ht="11.25" customHeight="1" x14ac:dyDescent="0.15">
      <c r="A73" s="1321" t="s">
        <v>2574</v>
      </c>
      <c r="B73" s="1321" t="s">
        <v>2586</v>
      </c>
      <c r="C73" s="1321" t="s">
        <v>2587</v>
      </c>
    </row>
    <row r="74" spans="1:3" ht="11.25" customHeight="1" x14ac:dyDescent="0.15">
      <c r="A74" s="1321" t="s">
        <v>2574</v>
      </c>
      <c r="B74" s="1321" t="s">
        <v>2588</v>
      </c>
      <c r="C74" s="1321" t="s">
        <v>2589</v>
      </c>
    </row>
    <row r="75" spans="1:3" ht="11.25" customHeight="1" x14ac:dyDescent="0.15">
      <c r="A75" s="1321" t="s">
        <v>2574</v>
      </c>
      <c r="B75" s="1321" t="s">
        <v>2590</v>
      </c>
      <c r="C75" s="1321" t="s">
        <v>2591</v>
      </c>
    </row>
    <row r="76" spans="1:3" ht="11.25" customHeight="1" x14ac:dyDescent="0.15">
      <c r="A76" s="1321" t="s">
        <v>2592</v>
      </c>
      <c r="B76" s="1321" t="s">
        <v>2593</v>
      </c>
      <c r="C76" s="1321" t="s">
        <v>2594</v>
      </c>
    </row>
    <row r="77" spans="1:3" ht="11.25" customHeight="1" x14ac:dyDescent="0.15">
      <c r="A77" s="1321" t="s">
        <v>2592</v>
      </c>
      <c r="B77" s="1321" t="s">
        <v>2595</v>
      </c>
      <c r="C77" s="1321" t="s">
        <v>2596</v>
      </c>
    </row>
    <row r="78" spans="1:3" ht="11.25" customHeight="1" x14ac:dyDescent="0.15">
      <c r="A78" s="1321" t="s">
        <v>2592</v>
      </c>
      <c r="B78" s="1321" t="s">
        <v>2597</v>
      </c>
      <c r="C78" s="1321" t="s">
        <v>2598</v>
      </c>
    </row>
    <row r="79" spans="1:3" ht="11.25" customHeight="1" x14ac:dyDescent="0.15">
      <c r="A79" s="1321" t="s">
        <v>2592</v>
      </c>
      <c r="B79" s="1321" t="s">
        <v>2599</v>
      </c>
      <c r="C79" s="1321" t="s">
        <v>2600</v>
      </c>
    </row>
    <row r="80" spans="1:3" ht="11.25" customHeight="1" x14ac:dyDescent="0.15">
      <c r="A80" s="1321" t="s">
        <v>2592</v>
      </c>
      <c r="B80" s="1321" t="s">
        <v>2601</v>
      </c>
      <c r="C80" s="1321" t="s">
        <v>2602</v>
      </c>
    </row>
    <row r="81" spans="1:3" ht="11.25" customHeight="1" x14ac:dyDescent="0.15">
      <c r="A81" s="1321" t="s">
        <v>2592</v>
      </c>
      <c r="B81" s="1321" t="s">
        <v>2603</v>
      </c>
      <c r="C81" s="1321" t="s">
        <v>2604</v>
      </c>
    </row>
    <row r="82" spans="1:3" ht="11.25" customHeight="1" x14ac:dyDescent="0.15">
      <c r="A82" s="1321" t="s">
        <v>2592</v>
      </c>
      <c r="B82" s="1321" t="s">
        <v>2605</v>
      </c>
      <c r="C82" s="1321" t="s">
        <v>2606</v>
      </c>
    </row>
    <row r="83" spans="1:3" ht="11.25" customHeight="1" x14ac:dyDescent="0.15">
      <c r="A83" s="1321" t="s">
        <v>2592</v>
      </c>
      <c r="B83" s="1321" t="s">
        <v>2607</v>
      </c>
      <c r="C83" s="1321" t="s">
        <v>2608</v>
      </c>
    </row>
    <row r="84" spans="1:3" ht="11.25" customHeight="1" x14ac:dyDescent="0.15">
      <c r="A84" s="1321" t="s">
        <v>2592</v>
      </c>
      <c r="B84" s="1321" t="s">
        <v>2609</v>
      </c>
      <c r="C84" s="1321" t="s">
        <v>2610</v>
      </c>
    </row>
    <row r="85" spans="1:3" ht="11.25" customHeight="1" x14ac:dyDescent="0.15">
      <c r="A85" s="1321" t="s">
        <v>2592</v>
      </c>
      <c r="B85" s="1321" t="s">
        <v>2611</v>
      </c>
      <c r="C85" s="1321" t="s">
        <v>2612</v>
      </c>
    </row>
    <row r="86" spans="1:3" ht="11.25" customHeight="1" x14ac:dyDescent="0.15">
      <c r="A86" s="1321" t="s">
        <v>2592</v>
      </c>
      <c r="B86" s="1321" t="s">
        <v>2613</v>
      </c>
      <c r="C86" s="1321" t="s">
        <v>2614</v>
      </c>
    </row>
    <row r="87" spans="1:3" ht="11.25" customHeight="1" x14ac:dyDescent="0.15">
      <c r="A87" s="1321" t="s">
        <v>2592</v>
      </c>
      <c r="B87" s="1321" t="s">
        <v>2615</v>
      </c>
      <c r="C87" s="1321" t="s">
        <v>2616</v>
      </c>
    </row>
    <row r="88" spans="1:3" ht="11.25" customHeight="1" x14ac:dyDescent="0.15">
      <c r="A88" s="1321" t="s">
        <v>2592</v>
      </c>
      <c r="B88" s="1321" t="s">
        <v>2617</v>
      </c>
      <c r="C88" s="1321" t="s">
        <v>2618</v>
      </c>
    </row>
    <row r="89" spans="1:3" ht="11.25" customHeight="1" x14ac:dyDescent="0.15">
      <c r="A89" s="1321" t="s">
        <v>2619</v>
      </c>
      <c r="B89" s="1321" t="s">
        <v>2619</v>
      </c>
      <c r="C89" s="1321" t="s">
        <v>2620</v>
      </c>
    </row>
    <row r="90" spans="1:3" ht="11.25" customHeight="1" x14ac:dyDescent="0.15">
      <c r="A90" s="1321" t="s">
        <v>2619</v>
      </c>
      <c r="B90" s="1321" t="s">
        <v>2621</v>
      </c>
      <c r="C90" s="1321" t="s">
        <v>2622</v>
      </c>
    </row>
    <row r="91" spans="1:3" ht="11.25" customHeight="1" x14ac:dyDescent="0.15">
      <c r="A91" s="1321" t="s">
        <v>2619</v>
      </c>
      <c r="B91" s="1321" t="s">
        <v>2623</v>
      </c>
      <c r="C91" s="1321" t="s">
        <v>2624</v>
      </c>
    </row>
    <row r="92" spans="1:3" ht="11.25" customHeight="1" x14ac:dyDescent="0.15">
      <c r="A92" s="1321" t="s">
        <v>2619</v>
      </c>
      <c r="B92" s="1321" t="s">
        <v>2625</v>
      </c>
      <c r="C92" s="1321" t="s">
        <v>2626</v>
      </c>
    </row>
    <row r="93" spans="1:3" ht="11.25" customHeight="1" x14ac:dyDescent="0.15">
      <c r="A93" s="1321" t="s">
        <v>2619</v>
      </c>
      <c r="B93" s="1321" t="s">
        <v>2627</v>
      </c>
      <c r="C93" s="1321" t="s">
        <v>2628</v>
      </c>
    </row>
    <row r="94" spans="1:3" ht="11.25" customHeight="1" x14ac:dyDescent="0.15">
      <c r="A94" s="1321" t="s">
        <v>2619</v>
      </c>
      <c r="B94" s="1321" t="s">
        <v>2629</v>
      </c>
      <c r="C94" s="1321" t="s">
        <v>2630</v>
      </c>
    </row>
    <row r="95" spans="1:3" ht="11.25" customHeight="1" x14ac:dyDescent="0.15">
      <c r="A95" s="1321" t="s">
        <v>2619</v>
      </c>
      <c r="B95" s="1321" t="s">
        <v>2631</v>
      </c>
      <c r="C95" s="1321" t="s">
        <v>2632</v>
      </c>
    </row>
    <row r="96" spans="1:3" ht="11.25" customHeight="1" x14ac:dyDescent="0.15">
      <c r="A96" s="1321" t="s">
        <v>2619</v>
      </c>
      <c r="B96" s="1321" t="s">
        <v>2629</v>
      </c>
      <c r="C96" s="1321" t="s">
        <v>2633</v>
      </c>
    </row>
    <row r="97" spans="1:3" ht="11.25" customHeight="1" x14ac:dyDescent="0.15">
      <c r="A97" s="1321" t="s">
        <v>2619</v>
      </c>
      <c r="B97" s="1321" t="s">
        <v>2634</v>
      </c>
      <c r="C97" s="1321" t="s">
        <v>2635</v>
      </c>
    </row>
    <row r="98" spans="1:3" ht="11.25" customHeight="1" x14ac:dyDescent="0.15">
      <c r="A98" s="1321" t="s">
        <v>2619</v>
      </c>
      <c r="B98" s="1321" t="s">
        <v>2636</v>
      </c>
      <c r="C98" s="1321" t="s">
        <v>2637</v>
      </c>
    </row>
    <row r="99" spans="1:3" ht="11.25" customHeight="1" x14ac:dyDescent="0.15">
      <c r="A99" s="1321" t="s">
        <v>2619</v>
      </c>
      <c r="B99" s="1321" t="s">
        <v>2638</v>
      </c>
      <c r="C99" s="1321" t="s">
        <v>2639</v>
      </c>
    </row>
    <row r="100" spans="1:3" ht="11.25" customHeight="1" x14ac:dyDescent="0.15">
      <c r="A100" s="1321" t="s">
        <v>2619</v>
      </c>
      <c r="B100" s="1321" t="s">
        <v>2640</v>
      </c>
      <c r="C100" s="1321" t="s">
        <v>2641</v>
      </c>
    </row>
    <row r="101" spans="1:3" ht="11.25" customHeight="1" x14ac:dyDescent="0.15">
      <c r="A101" s="1321" t="s">
        <v>2619</v>
      </c>
      <c r="B101" s="1321" t="s">
        <v>2642</v>
      </c>
      <c r="C101" s="1321" t="s">
        <v>2643</v>
      </c>
    </row>
    <row r="102" spans="1:3" ht="11.25" customHeight="1" x14ac:dyDescent="0.15">
      <c r="A102" s="1321" t="s">
        <v>2619</v>
      </c>
      <c r="B102" s="1321" t="s">
        <v>2644</v>
      </c>
      <c r="C102" s="1321" t="s">
        <v>2645</v>
      </c>
    </row>
    <row r="103" spans="1:3" ht="11.25" customHeight="1" x14ac:dyDescent="0.15">
      <c r="A103" s="1321" t="s">
        <v>2619</v>
      </c>
      <c r="B103" s="1321" t="s">
        <v>2646</v>
      </c>
      <c r="C103" s="1321" t="s">
        <v>2647</v>
      </c>
    </row>
    <row r="104" spans="1:3" ht="11.25" customHeight="1" x14ac:dyDescent="0.15">
      <c r="A104" s="1321" t="s">
        <v>2619</v>
      </c>
      <c r="B104" s="1321" t="s">
        <v>2648</v>
      </c>
      <c r="C104" s="1321" t="s">
        <v>2649</v>
      </c>
    </row>
    <row r="105" spans="1:3" ht="11.25" customHeight="1" x14ac:dyDescent="0.15">
      <c r="A105" s="1321" t="s">
        <v>2619</v>
      </c>
      <c r="B105" s="1321" t="s">
        <v>2650</v>
      </c>
      <c r="C105" s="1321" t="s">
        <v>2651</v>
      </c>
    </row>
    <row r="106" spans="1:3" ht="11.25" customHeight="1" x14ac:dyDescent="0.15">
      <c r="A106" s="1321" t="s">
        <v>2619</v>
      </c>
      <c r="B106" s="1321" t="s">
        <v>2650</v>
      </c>
      <c r="C106" s="1321" t="s">
        <v>2652</v>
      </c>
    </row>
    <row r="107" spans="1:3" ht="11.25" customHeight="1" x14ac:dyDescent="0.15">
      <c r="A107" s="1321" t="s">
        <v>2619</v>
      </c>
      <c r="B107" s="1321" t="s">
        <v>2621</v>
      </c>
      <c r="C107" s="1321" t="s">
        <v>2653</v>
      </c>
    </row>
    <row r="108" spans="1:3" ht="11.25" customHeight="1" x14ac:dyDescent="0.15">
      <c r="A108" s="1321" t="s">
        <v>2654</v>
      </c>
      <c r="B108" s="1321" t="s">
        <v>2655</v>
      </c>
      <c r="C108" s="1321" t="s">
        <v>2656</v>
      </c>
    </row>
    <row r="109" spans="1:3" ht="11.25" customHeight="1" x14ac:dyDescent="0.15">
      <c r="A109" s="1321" t="s">
        <v>2654</v>
      </c>
      <c r="B109" s="1321" t="s">
        <v>2657</v>
      </c>
      <c r="C109" s="1321" t="s">
        <v>2658</v>
      </c>
    </row>
    <row r="110" spans="1:3" ht="11.25" customHeight="1" x14ac:dyDescent="0.15">
      <c r="A110" s="1321" t="s">
        <v>2654</v>
      </c>
      <c r="B110" s="1321" t="s">
        <v>2659</v>
      </c>
      <c r="C110" s="1321" t="s">
        <v>2660</v>
      </c>
    </row>
    <row r="111" spans="1:3" ht="11.25" customHeight="1" x14ac:dyDescent="0.15">
      <c r="A111" s="1321" t="s">
        <v>2654</v>
      </c>
      <c r="B111" s="1321" t="s">
        <v>2661</v>
      </c>
      <c r="C111" s="1321" t="s">
        <v>2662</v>
      </c>
    </row>
    <row r="112" spans="1:3" ht="11.25" customHeight="1" x14ac:dyDescent="0.15">
      <c r="A112" s="1321" t="s">
        <v>2654</v>
      </c>
      <c r="B112" s="1321" t="s">
        <v>2663</v>
      </c>
      <c r="C112" s="1321" t="s">
        <v>2664</v>
      </c>
    </row>
    <row r="113" spans="1:3" ht="11.25" customHeight="1" x14ac:dyDescent="0.15">
      <c r="A113" s="1321" t="s">
        <v>2654</v>
      </c>
      <c r="B113" s="1321" t="s">
        <v>2665</v>
      </c>
      <c r="C113" s="1321" t="s">
        <v>2666</v>
      </c>
    </row>
    <row r="114" spans="1:3" ht="11.25" customHeight="1" x14ac:dyDescent="0.15">
      <c r="A114" s="1321" t="s">
        <v>2654</v>
      </c>
      <c r="B114" s="1321" t="s">
        <v>2667</v>
      </c>
      <c r="C114" s="1321" t="s">
        <v>2668</v>
      </c>
    </row>
    <row r="115" spans="1:3" ht="11.25" customHeight="1" x14ac:dyDescent="0.15">
      <c r="A115" s="1321" t="s">
        <v>2654</v>
      </c>
      <c r="B115" s="1321" t="s">
        <v>2669</v>
      </c>
      <c r="C115" s="1321" t="s">
        <v>2670</v>
      </c>
    </row>
    <row r="116" spans="1:3" ht="11.25" customHeight="1" x14ac:dyDescent="0.15">
      <c r="A116" s="1321" t="s">
        <v>2654</v>
      </c>
      <c r="B116" s="1321" t="s">
        <v>2671</v>
      </c>
      <c r="C116" s="1321" t="s">
        <v>2672</v>
      </c>
    </row>
    <row r="117" spans="1:3" ht="11.25" customHeight="1" x14ac:dyDescent="0.15">
      <c r="A117" s="1321" t="s">
        <v>2654</v>
      </c>
      <c r="B117" s="1321" t="s">
        <v>2673</v>
      </c>
      <c r="C117" s="1321" t="s">
        <v>2674</v>
      </c>
    </row>
    <row r="118" spans="1:3" ht="11.25" customHeight="1" x14ac:dyDescent="0.15">
      <c r="A118" s="1321" t="s">
        <v>2675</v>
      </c>
      <c r="B118" s="1321" t="s">
        <v>2675</v>
      </c>
      <c r="C118" s="1321" t="s">
        <v>2676</v>
      </c>
    </row>
    <row r="119" spans="1:3" ht="11.25" customHeight="1" x14ac:dyDescent="0.15">
      <c r="A119" s="1321" t="s">
        <v>2675</v>
      </c>
      <c r="B119" s="1321" t="s">
        <v>2677</v>
      </c>
      <c r="C119" s="1321" t="s">
        <v>2678</v>
      </c>
    </row>
    <row r="120" spans="1:3" ht="11.25" customHeight="1" x14ac:dyDescent="0.15">
      <c r="A120" s="1321" t="s">
        <v>2675</v>
      </c>
      <c r="B120" s="1321" t="s">
        <v>2679</v>
      </c>
      <c r="C120" s="1321" t="s">
        <v>2680</v>
      </c>
    </row>
    <row r="121" spans="1:3" ht="11.25" customHeight="1" x14ac:dyDescent="0.15">
      <c r="A121" s="1321" t="s">
        <v>2675</v>
      </c>
      <c r="B121" s="1321" t="s">
        <v>2681</v>
      </c>
      <c r="C121" s="1321" t="s">
        <v>2682</v>
      </c>
    </row>
    <row r="122" spans="1:3" ht="11.25" customHeight="1" x14ac:dyDescent="0.15">
      <c r="A122" s="1321" t="s">
        <v>2675</v>
      </c>
      <c r="B122" s="1321" t="s">
        <v>2683</v>
      </c>
      <c r="C122" s="1321" t="s">
        <v>2684</v>
      </c>
    </row>
    <row r="123" spans="1:3" ht="11.25" customHeight="1" x14ac:dyDescent="0.15">
      <c r="A123" s="1321" t="s">
        <v>2675</v>
      </c>
      <c r="B123" s="1321" t="s">
        <v>2685</v>
      </c>
      <c r="C123" s="1321" t="s">
        <v>2686</v>
      </c>
    </row>
    <row r="124" spans="1:3" ht="11.25" customHeight="1" x14ac:dyDescent="0.15">
      <c r="A124" s="1321" t="s">
        <v>2675</v>
      </c>
      <c r="B124" s="1321" t="s">
        <v>2687</v>
      </c>
      <c r="C124" s="1321" t="s">
        <v>2688</v>
      </c>
    </row>
    <row r="125" spans="1:3" ht="11.25" customHeight="1" x14ac:dyDescent="0.15">
      <c r="A125" s="1321" t="s">
        <v>2675</v>
      </c>
      <c r="B125" s="1321" t="s">
        <v>2689</v>
      </c>
      <c r="C125" s="1321" t="s">
        <v>2690</v>
      </c>
    </row>
    <row r="126" spans="1:3" ht="11.25" customHeight="1" x14ac:dyDescent="0.15">
      <c r="A126" s="1321" t="s">
        <v>2675</v>
      </c>
      <c r="B126" s="1321" t="s">
        <v>2691</v>
      </c>
      <c r="C126" s="1321" t="s">
        <v>2692</v>
      </c>
    </row>
    <row r="127" spans="1:3" ht="11.25" customHeight="1" x14ac:dyDescent="0.15">
      <c r="A127" s="1321" t="s">
        <v>2675</v>
      </c>
      <c r="B127" s="1321" t="s">
        <v>2693</v>
      </c>
      <c r="C127" s="1321" t="s">
        <v>2694</v>
      </c>
    </row>
    <row r="128" spans="1:3" ht="11.25" customHeight="1" x14ac:dyDescent="0.15">
      <c r="A128" s="1321" t="s">
        <v>2675</v>
      </c>
      <c r="B128" s="1321" t="s">
        <v>2695</v>
      </c>
      <c r="C128" s="1321" t="s">
        <v>2696</v>
      </c>
    </row>
    <row r="129" spans="1:3" ht="11.25" customHeight="1" x14ac:dyDescent="0.15">
      <c r="A129" s="1321" t="s">
        <v>2675</v>
      </c>
      <c r="B129" s="1321" t="s">
        <v>2697</v>
      </c>
      <c r="C129" s="1321" t="s">
        <v>2698</v>
      </c>
    </row>
    <row r="130" spans="1:3" ht="11.25" customHeight="1" x14ac:dyDescent="0.15">
      <c r="A130" s="1321" t="s">
        <v>2699</v>
      </c>
      <c r="B130" s="1321" t="s">
        <v>2700</v>
      </c>
      <c r="C130" s="1321" t="s">
        <v>2701</v>
      </c>
    </row>
    <row r="131" spans="1:3" ht="11.25" customHeight="1" x14ac:dyDescent="0.15">
      <c r="A131" s="1321" t="s">
        <v>2699</v>
      </c>
      <c r="B131" s="1321" t="s">
        <v>2702</v>
      </c>
      <c r="C131" s="1321" t="s">
        <v>2703</v>
      </c>
    </row>
    <row r="132" spans="1:3" ht="11.25" customHeight="1" x14ac:dyDescent="0.15">
      <c r="A132" s="1321" t="s">
        <v>2699</v>
      </c>
      <c r="B132" s="1321" t="s">
        <v>2704</v>
      </c>
      <c r="C132" s="1321" t="s">
        <v>2705</v>
      </c>
    </row>
    <row r="133" spans="1:3" ht="11.25" customHeight="1" x14ac:dyDescent="0.15">
      <c r="A133" s="1321" t="s">
        <v>2699</v>
      </c>
      <c r="B133" s="1321" t="s">
        <v>2706</v>
      </c>
      <c r="C133" s="1321" t="s">
        <v>2707</v>
      </c>
    </row>
    <row r="134" spans="1:3" ht="11.25" customHeight="1" x14ac:dyDescent="0.15">
      <c r="A134" s="1321" t="s">
        <v>2699</v>
      </c>
      <c r="B134" s="1321" t="s">
        <v>2708</v>
      </c>
      <c r="C134" s="1321" t="s">
        <v>2709</v>
      </c>
    </row>
    <row r="135" spans="1:3" ht="11.25" customHeight="1" x14ac:dyDescent="0.15">
      <c r="A135" s="1321" t="s">
        <v>2699</v>
      </c>
      <c r="B135" s="1321" t="s">
        <v>2710</v>
      </c>
      <c r="C135" s="1321" t="s">
        <v>2711</v>
      </c>
    </row>
    <row r="136" spans="1:3" ht="11.25" customHeight="1" x14ac:dyDescent="0.15">
      <c r="A136" s="1321" t="s">
        <v>2699</v>
      </c>
      <c r="B136" s="1321" t="s">
        <v>2712</v>
      </c>
      <c r="C136" s="1321" t="s">
        <v>2713</v>
      </c>
    </row>
    <row r="137" spans="1:3" ht="11.25" customHeight="1" x14ac:dyDescent="0.15">
      <c r="A137" s="1321" t="s">
        <v>2699</v>
      </c>
      <c r="B137" s="1321" t="s">
        <v>2714</v>
      </c>
      <c r="C137" s="1321" t="s">
        <v>2715</v>
      </c>
    </row>
    <row r="138" spans="1:3" ht="11.25" customHeight="1" x14ac:dyDescent="0.15">
      <c r="A138" s="1321" t="s">
        <v>2699</v>
      </c>
      <c r="B138" s="1321" t="s">
        <v>2716</v>
      </c>
      <c r="C138" s="1321" t="s">
        <v>2717</v>
      </c>
    </row>
    <row r="139" spans="1:3" ht="11.25" customHeight="1" x14ac:dyDescent="0.15">
      <c r="A139" s="1321" t="s">
        <v>2699</v>
      </c>
      <c r="B139" s="1321" t="s">
        <v>2718</v>
      </c>
      <c r="C139" s="1321" t="s">
        <v>2719</v>
      </c>
    </row>
    <row r="140" spans="1:3" ht="11.25" customHeight="1" x14ac:dyDescent="0.15">
      <c r="A140" s="1321" t="s">
        <v>2720</v>
      </c>
      <c r="B140" s="1321" t="s">
        <v>2720</v>
      </c>
      <c r="C140" s="1321" t="s">
        <v>2721</v>
      </c>
    </row>
    <row r="141" spans="1:3" ht="11.25" customHeight="1" x14ac:dyDescent="0.15">
      <c r="A141" s="1321" t="s">
        <v>2720</v>
      </c>
      <c r="B141" s="1321" t="s">
        <v>2722</v>
      </c>
      <c r="C141" s="1321" t="s">
        <v>2723</v>
      </c>
    </row>
    <row r="142" spans="1:3" ht="11.25" customHeight="1" x14ac:dyDescent="0.15">
      <c r="A142" s="1321" t="s">
        <v>2720</v>
      </c>
      <c r="B142" s="1321" t="s">
        <v>2724</v>
      </c>
      <c r="C142" s="1321" t="s">
        <v>2725</v>
      </c>
    </row>
    <row r="143" spans="1:3" ht="11.25" customHeight="1" x14ac:dyDescent="0.15">
      <c r="A143" s="1321" t="s">
        <v>2720</v>
      </c>
      <c r="B143" s="1321" t="s">
        <v>2726</v>
      </c>
      <c r="C143" s="1321" t="s">
        <v>2727</v>
      </c>
    </row>
    <row r="144" spans="1:3" ht="11.25" customHeight="1" x14ac:dyDescent="0.15">
      <c r="A144" s="1321" t="s">
        <v>2720</v>
      </c>
      <c r="B144" s="1321" t="s">
        <v>2728</v>
      </c>
      <c r="C144" s="1321" t="s">
        <v>2729</v>
      </c>
    </row>
    <row r="145" spans="1:3" ht="11.25" customHeight="1" x14ac:dyDescent="0.15">
      <c r="A145" s="1321" t="s">
        <v>2720</v>
      </c>
      <c r="B145" s="1321" t="s">
        <v>2730</v>
      </c>
      <c r="C145" s="1321" t="s">
        <v>2731</v>
      </c>
    </row>
    <row r="146" spans="1:3" ht="11.25" customHeight="1" x14ac:dyDescent="0.15">
      <c r="A146" s="1321" t="s">
        <v>2720</v>
      </c>
      <c r="B146" s="1321" t="s">
        <v>2732</v>
      </c>
      <c r="C146" s="1321" t="s">
        <v>2733</v>
      </c>
    </row>
    <row r="147" spans="1:3" ht="11.25" customHeight="1" x14ac:dyDescent="0.15">
      <c r="A147" s="1321" t="s">
        <v>2720</v>
      </c>
      <c r="B147" s="1321" t="s">
        <v>2734</v>
      </c>
      <c r="C147" s="1321" t="s">
        <v>2735</v>
      </c>
    </row>
    <row r="148" spans="1:3" ht="11.25" customHeight="1" x14ac:dyDescent="0.15">
      <c r="A148" s="1321" t="s">
        <v>2720</v>
      </c>
      <c r="B148" s="1321" t="s">
        <v>2736</v>
      </c>
      <c r="C148" s="1321" t="s">
        <v>2737</v>
      </c>
    </row>
    <row r="149" spans="1:3" ht="11.25" customHeight="1" x14ac:dyDescent="0.15">
      <c r="A149" s="1321" t="s">
        <v>2720</v>
      </c>
      <c r="B149" s="1321" t="s">
        <v>2738</v>
      </c>
      <c r="C149" s="1321" t="s">
        <v>2739</v>
      </c>
    </row>
    <row r="150" spans="1:3" ht="11.25" customHeight="1" x14ac:dyDescent="0.15">
      <c r="A150" s="1321" t="s">
        <v>2720</v>
      </c>
      <c r="B150" s="1321" t="s">
        <v>2740</v>
      </c>
      <c r="C150" s="1321" t="s">
        <v>2741</v>
      </c>
    </row>
    <row r="151" spans="1:3" ht="11.25" customHeight="1" x14ac:dyDescent="0.15">
      <c r="A151" s="1321" t="s">
        <v>2720</v>
      </c>
      <c r="B151" s="1321" t="s">
        <v>2742</v>
      </c>
      <c r="C151" s="1321" t="s">
        <v>2743</v>
      </c>
    </row>
    <row r="152" spans="1:3" ht="11.25" customHeight="1" x14ac:dyDescent="0.15">
      <c r="A152" s="1321" t="s">
        <v>2720</v>
      </c>
      <c r="B152" s="1321" t="s">
        <v>2744</v>
      </c>
      <c r="C152" s="1321" t="s">
        <v>2745</v>
      </c>
    </row>
    <row r="153" spans="1:3" ht="11.25" customHeight="1" x14ac:dyDescent="0.15">
      <c r="A153" s="1321" t="s">
        <v>2720</v>
      </c>
      <c r="B153" s="1321" t="s">
        <v>2746</v>
      </c>
      <c r="C153" s="1321" t="s">
        <v>2747</v>
      </c>
    </row>
    <row r="154" spans="1:3" ht="11.25" customHeight="1" x14ac:dyDescent="0.15">
      <c r="A154" s="1321" t="s">
        <v>2748</v>
      </c>
      <c r="B154" s="1321" t="s">
        <v>2749</v>
      </c>
      <c r="C154" s="1321" t="s">
        <v>2750</v>
      </c>
    </row>
    <row r="155" spans="1:3" ht="11.25" customHeight="1" x14ac:dyDescent="0.15">
      <c r="A155" s="1321" t="s">
        <v>2748</v>
      </c>
      <c r="B155" s="1321" t="s">
        <v>2751</v>
      </c>
      <c r="C155" s="1321" t="s">
        <v>2752</v>
      </c>
    </row>
    <row r="156" spans="1:3" ht="11.25" customHeight="1" x14ac:dyDescent="0.15">
      <c r="A156" s="1321" t="s">
        <v>2748</v>
      </c>
      <c r="B156" s="1321" t="s">
        <v>2753</v>
      </c>
      <c r="C156" s="1321" t="s">
        <v>2754</v>
      </c>
    </row>
    <row r="157" spans="1:3" ht="11.25" customHeight="1" x14ac:dyDescent="0.15">
      <c r="A157" s="1321" t="s">
        <v>2748</v>
      </c>
      <c r="B157" s="1321" t="s">
        <v>2755</v>
      </c>
      <c r="C157" s="1321" t="s">
        <v>2756</v>
      </c>
    </row>
    <row r="158" spans="1:3" ht="11.25" customHeight="1" x14ac:dyDescent="0.15">
      <c r="A158" s="1321" t="s">
        <v>2748</v>
      </c>
      <c r="B158" s="1321" t="s">
        <v>2757</v>
      </c>
      <c r="C158" s="1321" t="s">
        <v>2758</v>
      </c>
    </row>
    <row r="159" spans="1:3" ht="11.25" customHeight="1" x14ac:dyDescent="0.15">
      <c r="A159" s="1321" t="s">
        <v>2748</v>
      </c>
      <c r="B159" s="1321" t="s">
        <v>2759</v>
      </c>
      <c r="C159" s="1321" t="s">
        <v>2760</v>
      </c>
    </row>
    <row r="160" spans="1:3" ht="11.25" customHeight="1" x14ac:dyDescent="0.15">
      <c r="A160" s="1321" t="s">
        <v>2748</v>
      </c>
      <c r="B160" s="1321" t="s">
        <v>2761</v>
      </c>
      <c r="C160" s="1321" t="s">
        <v>2762</v>
      </c>
    </row>
    <row r="161" spans="1:3" ht="11.25" customHeight="1" x14ac:dyDescent="0.15">
      <c r="A161" s="1321" t="s">
        <v>2748</v>
      </c>
      <c r="B161" s="1321" t="s">
        <v>2763</v>
      </c>
      <c r="C161" s="1321" t="s">
        <v>2764</v>
      </c>
    </row>
    <row r="162" spans="1:3" ht="11.25" customHeight="1" x14ac:dyDescent="0.15">
      <c r="A162" s="1321" t="s">
        <v>2748</v>
      </c>
      <c r="B162" s="1321" t="s">
        <v>2765</v>
      </c>
      <c r="C162" s="1321" t="s">
        <v>2766</v>
      </c>
    </row>
    <row r="163" spans="1:3" ht="11.25" customHeight="1" x14ac:dyDescent="0.15">
      <c r="A163" s="1321" t="s">
        <v>2748</v>
      </c>
      <c r="B163" s="1321" t="s">
        <v>2767</v>
      </c>
      <c r="C163" s="1321" t="s">
        <v>2768</v>
      </c>
    </row>
    <row r="164" spans="1:3" ht="11.25" customHeight="1" x14ac:dyDescent="0.15">
      <c r="A164" s="1321" t="s">
        <v>2748</v>
      </c>
      <c r="B164" s="1321" t="s">
        <v>2769</v>
      </c>
      <c r="C164" s="1321" t="s">
        <v>2770</v>
      </c>
    </row>
    <row r="165" spans="1:3" ht="11.25" customHeight="1" x14ac:dyDescent="0.15">
      <c r="A165" s="1321" t="s">
        <v>2748</v>
      </c>
      <c r="B165" s="1321" t="s">
        <v>2771</v>
      </c>
      <c r="C165" s="1321" t="s">
        <v>2772</v>
      </c>
    </row>
    <row r="166" spans="1:3" ht="11.25" customHeight="1" x14ac:dyDescent="0.15">
      <c r="A166" s="1321" t="s">
        <v>2773</v>
      </c>
      <c r="B166" s="1321" t="s">
        <v>2774</v>
      </c>
      <c r="C166" s="1321" t="s">
        <v>2775</v>
      </c>
    </row>
    <row r="167" spans="1:3" ht="11.25" customHeight="1" x14ac:dyDescent="0.15">
      <c r="A167" s="1321" t="s">
        <v>2773</v>
      </c>
      <c r="B167" s="1321" t="s">
        <v>2776</v>
      </c>
      <c r="C167" s="1321" t="s">
        <v>2777</v>
      </c>
    </row>
    <row r="168" spans="1:3" ht="11.25" customHeight="1" x14ac:dyDescent="0.15">
      <c r="A168" s="1321" t="s">
        <v>2773</v>
      </c>
      <c r="B168" s="1321" t="s">
        <v>2778</v>
      </c>
      <c r="C168" s="1321" t="s">
        <v>2779</v>
      </c>
    </row>
    <row r="169" spans="1:3" ht="11.25" customHeight="1" x14ac:dyDescent="0.15">
      <c r="A169" s="1321" t="s">
        <v>2773</v>
      </c>
      <c r="B169" s="1321" t="s">
        <v>2780</v>
      </c>
      <c r="C169" s="1321" t="s">
        <v>2781</v>
      </c>
    </row>
    <row r="170" spans="1:3" ht="11.25" customHeight="1" x14ac:dyDescent="0.15">
      <c r="A170" s="1321" t="s">
        <v>2773</v>
      </c>
      <c r="B170" s="1321" t="s">
        <v>2782</v>
      </c>
      <c r="C170" s="1321" t="s">
        <v>2783</v>
      </c>
    </row>
    <row r="171" spans="1:3" ht="11.25" customHeight="1" x14ac:dyDescent="0.15">
      <c r="A171" s="1321" t="s">
        <v>2773</v>
      </c>
      <c r="B171" s="1321" t="s">
        <v>2784</v>
      </c>
      <c r="C171" s="1321" t="s">
        <v>2785</v>
      </c>
    </row>
    <row r="172" spans="1:3" ht="11.25" customHeight="1" x14ac:dyDescent="0.15">
      <c r="A172" s="1321" t="s">
        <v>2773</v>
      </c>
      <c r="B172" s="1321" t="s">
        <v>2786</v>
      </c>
      <c r="C172" s="1321" t="s">
        <v>2787</v>
      </c>
    </row>
    <row r="173" spans="1:3" ht="11.25" customHeight="1" x14ac:dyDescent="0.15">
      <c r="A173" s="1321" t="s">
        <v>2773</v>
      </c>
      <c r="B173" s="1321" t="s">
        <v>2788</v>
      </c>
      <c r="C173" s="1321" t="s">
        <v>2789</v>
      </c>
    </row>
    <row r="174" spans="1:3" ht="11.25" customHeight="1" x14ac:dyDescent="0.15">
      <c r="A174" s="1321" t="s">
        <v>2773</v>
      </c>
      <c r="B174" s="1321" t="s">
        <v>2790</v>
      </c>
      <c r="C174" s="1321" t="s">
        <v>2791</v>
      </c>
    </row>
    <row r="175" spans="1:3" ht="11.25" customHeight="1" x14ac:dyDescent="0.15">
      <c r="A175" s="1321" t="s">
        <v>2773</v>
      </c>
      <c r="B175" s="1321" t="s">
        <v>2792</v>
      </c>
      <c r="C175" s="1321" t="s">
        <v>2793</v>
      </c>
    </row>
    <row r="176" spans="1:3" ht="11.25" customHeight="1" x14ac:dyDescent="0.15">
      <c r="A176" s="1321" t="s">
        <v>2773</v>
      </c>
      <c r="B176" s="1321" t="s">
        <v>2794</v>
      </c>
      <c r="C176" s="1321" t="s">
        <v>2795</v>
      </c>
    </row>
    <row r="177" spans="1:3" ht="11.25" customHeight="1" x14ac:dyDescent="0.15">
      <c r="A177" s="1321" t="s">
        <v>2773</v>
      </c>
      <c r="B177" s="1321" t="s">
        <v>2796</v>
      </c>
      <c r="C177" s="1321" t="s">
        <v>2797</v>
      </c>
    </row>
    <row r="178" spans="1:3" ht="11.25" customHeight="1" x14ac:dyDescent="0.15">
      <c r="A178" s="1321" t="s">
        <v>2798</v>
      </c>
      <c r="B178" s="1321" t="s">
        <v>2799</v>
      </c>
      <c r="C178" s="1321" t="s">
        <v>2800</v>
      </c>
    </row>
    <row r="179" spans="1:3" ht="11.25" customHeight="1" x14ac:dyDescent="0.15">
      <c r="A179" s="1321" t="s">
        <v>2798</v>
      </c>
      <c r="B179" s="1321" t="s">
        <v>2801</v>
      </c>
      <c r="C179" s="1321" t="s">
        <v>2802</v>
      </c>
    </row>
    <row r="180" spans="1:3" ht="11.25" customHeight="1" x14ac:dyDescent="0.15">
      <c r="A180" s="1321" t="s">
        <v>2798</v>
      </c>
      <c r="B180" s="1321" t="s">
        <v>2803</v>
      </c>
      <c r="C180" s="1321" t="s">
        <v>2804</v>
      </c>
    </row>
    <row r="181" spans="1:3" ht="11.25" customHeight="1" x14ac:dyDescent="0.15">
      <c r="A181" s="1321" t="s">
        <v>2798</v>
      </c>
      <c r="B181" s="1321" t="s">
        <v>2805</v>
      </c>
      <c r="C181" s="1321" t="s">
        <v>2806</v>
      </c>
    </row>
    <row r="182" spans="1:3" ht="11.25" customHeight="1" x14ac:dyDescent="0.15">
      <c r="A182" s="1321" t="s">
        <v>2798</v>
      </c>
      <c r="B182" s="1321" t="s">
        <v>2807</v>
      </c>
      <c r="C182" s="1321" t="s">
        <v>2808</v>
      </c>
    </row>
    <row r="183" spans="1:3" ht="11.25" customHeight="1" x14ac:dyDescent="0.15">
      <c r="A183" s="1321" t="s">
        <v>2798</v>
      </c>
      <c r="B183" s="1321" t="s">
        <v>2809</v>
      </c>
      <c r="C183" s="1321" t="s">
        <v>2810</v>
      </c>
    </row>
    <row r="184" spans="1:3" ht="11.25" customHeight="1" x14ac:dyDescent="0.15">
      <c r="A184" s="1321" t="s">
        <v>2798</v>
      </c>
      <c r="B184" s="1321" t="s">
        <v>2811</v>
      </c>
      <c r="C184" s="1321" t="s">
        <v>2812</v>
      </c>
    </row>
    <row r="185" spans="1:3" ht="11.25" customHeight="1" x14ac:dyDescent="0.15">
      <c r="A185" s="1321" t="s">
        <v>2813</v>
      </c>
      <c r="B185" s="1321" t="s">
        <v>2814</v>
      </c>
      <c r="C185" s="1321" t="s">
        <v>2815</v>
      </c>
    </row>
    <row r="186" spans="1:3" ht="11.25" customHeight="1" x14ac:dyDescent="0.15">
      <c r="A186" s="1321" t="s">
        <v>2813</v>
      </c>
      <c r="B186" s="1321" t="s">
        <v>2816</v>
      </c>
      <c r="C186" s="1321" t="s">
        <v>2817</v>
      </c>
    </row>
    <row r="187" spans="1:3" ht="11.25" customHeight="1" x14ac:dyDescent="0.15">
      <c r="A187" s="1321" t="s">
        <v>2813</v>
      </c>
      <c r="B187" s="1321" t="s">
        <v>2818</v>
      </c>
      <c r="C187" s="1321" t="s">
        <v>2819</v>
      </c>
    </row>
    <row r="188" spans="1:3" ht="11.25" customHeight="1" x14ac:dyDescent="0.15">
      <c r="A188" s="1321" t="s">
        <v>2813</v>
      </c>
      <c r="B188" s="1321" t="s">
        <v>2820</v>
      </c>
      <c r="C188" s="1321" t="s">
        <v>2821</v>
      </c>
    </row>
    <row r="189" spans="1:3" ht="11.25" customHeight="1" x14ac:dyDescent="0.15">
      <c r="A189" s="1321" t="s">
        <v>2813</v>
      </c>
      <c r="B189" s="1321" t="s">
        <v>2822</v>
      </c>
      <c r="C189" s="1321" t="s">
        <v>2823</v>
      </c>
    </row>
    <row r="190" spans="1:3" ht="11.25" customHeight="1" x14ac:dyDescent="0.15">
      <c r="A190" s="1321" t="s">
        <v>2813</v>
      </c>
      <c r="B190" s="1321" t="s">
        <v>2824</v>
      </c>
      <c r="C190" s="1321" t="s">
        <v>2825</v>
      </c>
    </row>
    <row r="191" spans="1:3" ht="11.25" customHeight="1" x14ac:dyDescent="0.15">
      <c r="A191" s="1321" t="s">
        <v>2813</v>
      </c>
      <c r="B191" s="1321" t="s">
        <v>2826</v>
      </c>
      <c r="C191" s="1321" t="s">
        <v>2827</v>
      </c>
    </row>
    <row r="192" spans="1:3" ht="11.25" customHeight="1" x14ac:dyDescent="0.15">
      <c r="A192" s="1321" t="s">
        <v>2813</v>
      </c>
      <c r="B192" s="1321" t="s">
        <v>2828</v>
      </c>
      <c r="C192" s="1321" t="s">
        <v>2829</v>
      </c>
    </row>
    <row r="193" spans="1:3" ht="11.25" customHeight="1" x14ac:dyDescent="0.15">
      <c r="A193" s="1321" t="s">
        <v>2813</v>
      </c>
      <c r="B193" s="1321" t="s">
        <v>2830</v>
      </c>
      <c r="C193" s="1321" t="s">
        <v>2831</v>
      </c>
    </row>
    <row r="194" spans="1:3" ht="11.25" customHeight="1" x14ac:dyDescent="0.15">
      <c r="A194" s="1321" t="s">
        <v>2832</v>
      </c>
      <c r="B194" s="1321" t="s">
        <v>2833</v>
      </c>
      <c r="C194" s="1321" t="s">
        <v>2834</v>
      </c>
    </row>
    <row r="195" spans="1:3" ht="11.25" customHeight="1" x14ac:dyDescent="0.15">
      <c r="A195" s="1321" t="s">
        <v>2832</v>
      </c>
      <c r="B195" s="1321" t="s">
        <v>2835</v>
      </c>
      <c r="C195" s="1321" t="s">
        <v>2836</v>
      </c>
    </row>
    <row r="196" spans="1:3" ht="11.25" customHeight="1" x14ac:dyDescent="0.15">
      <c r="A196" s="1321" t="s">
        <v>2832</v>
      </c>
      <c r="B196" s="1321" t="s">
        <v>2837</v>
      </c>
      <c r="C196" s="1321" t="s">
        <v>2838</v>
      </c>
    </row>
    <row r="197" spans="1:3" ht="11.25" customHeight="1" x14ac:dyDescent="0.15">
      <c r="A197" s="1321" t="s">
        <v>2832</v>
      </c>
      <c r="B197" s="1321" t="s">
        <v>2839</v>
      </c>
      <c r="C197" s="1321" t="s">
        <v>2840</v>
      </c>
    </row>
    <row r="198" spans="1:3" ht="11.25" customHeight="1" x14ac:dyDescent="0.15">
      <c r="A198" s="1321" t="s">
        <v>2832</v>
      </c>
      <c r="B198" s="1321" t="s">
        <v>2841</v>
      </c>
      <c r="C198" s="1321" t="s">
        <v>2842</v>
      </c>
    </row>
    <row r="199" spans="1:3" ht="11.25" customHeight="1" x14ac:dyDescent="0.15">
      <c r="A199" s="1321" t="s">
        <v>2832</v>
      </c>
      <c r="B199" s="1321" t="s">
        <v>2843</v>
      </c>
      <c r="C199" s="1321" t="s">
        <v>2844</v>
      </c>
    </row>
    <row r="200" spans="1:3" ht="11.25" customHeight="1" x14ac:dyDescent="0.15">
      <c r="A200" s="1321" t="s">
        <v>2832</v>
      </c>
      <c r="B200" s="1321" t="s">
        <v>2845</v>
      </c>
      <c r="C200" s="1321" t="s">
        <v>2846</v>
      </c>
    </row>
    <row r="201" spans="1:3" ht="11.25" customHeight="1" x14ac:dyDescent="0.15">
      <c r="A201" s="1321" t="s">
        <v>2832</v>
      </c>
      <c r="B201" s="1321" t="s">
        <v>2847</v>
      </c>
      <c r="C201" s="1321" t="s">
        <v>2848</v>
      </c>
    </row>
    <row r="202" spans="1:3" ht="11.25" customHeight="1" x14ac:dyDescent="0.15">
      <c r="A202" s="1321" t="s">
        <v>2832</v>
      </c>
      <c r="B202" s="1321" t="s">
        <v>2849</v>
      </c>
      <c r="C202" s="1321" t="s">
        <v>2850</v>
      </c>
    </row>
    <row r="203" spans="1:3" ht="11.25" customHeight="1" x14ac:dyDescent="0.15">
      <c r="A203" s="1321" t="s">
        <v>2832</v>
      </c>
      <c r="B203" s="1321" t="s">
        <v>2851</v>
      </c>
      <c r="C203" s="1321" t="s">
        <v>2852</v>
      </c>
    </row>
    <row r="204" spans="1:3" ht="11.25" customHeight="1" x14ac:dyDescent="0.15">
      <c r="A204" s="1321" t="s">
        <v>2853</v>
      </c>
      <c r="B204" s="1321" t="s">
        <v>2854</v>
      </c>
      <c r="C204" s="1321" t="s">
        <v>2855</v>
      </c>
    </row>
    <row r="205" spans="1:3" ht="11.25" customHeight="1" x14ac:dyDescent="0.15">
      <c r="A205" s="1321" t="s">
        <v>2853</v>
      </c>
      <c r="B205" s="1321" t="s">
        <v>2856</v>
      </c>
      <c r="C205" s="1321" t="s">
        <v>2857</v>
      </c>
    </row>
    <row r="206" spans="1:3" ht="11.25" customHeight="1" x14ac:dyDescent="0.15">
      <c r="A206" s="1321" t="s">
        <v>2853</v>
      </c>
      <c r="B206" s="1321" t="s">
        <v>2858</v>
      </c>
      <c r="C206" s="1321" t="s">
        <v>2859</v>
      </c>
    </row>
    <row r="207" spans="1:3" ht="11.25" customHeight="1" x14ac:dyDescent="0.15">
      <c r="A207" s="1321" t="s">
        <v>2853</v>
      </c>
      <c r="B207" s="1321" t="s">
        <v>2860</v>
      </c>
      <c r="C207" s="1321" t="s">
        <v>2861</v>
      </c>
    </row>
    <row r="208" spans="1:3" ht="11.25" customHeight="1" x14ac:dyDescent="0.15">
      <c r="A208" s="1321" t="s">
        <v>2853</v>
      </c>
      <c r="B208" s="1321" t="s">
        <v>2862</v>
      </c>
      <c r="C208" s="1321" t="s">
        <v>2863</v>
      </c>
    </row>
    <row r="209" spans="1:3" ht="11.25" customHeight="1" x14ac:dyDescent="0.15">
      <c r="A209" s="1321" t="s">
        <v>2853</v>
      </c>
      <c r="B209" s="1321" t="s">
        <v>2864</v>
      </c>
      <c r="C209" s="1321" t="s">
        <v>2865</v>
      </c>
    </row>
    <row r="210" spans="1:3" ht="11.25" customHeight="1" x14ac:dyDescent="0.15">
      <c r="A210" s="1321" t="s">
        <v>2853</v>
      </c>
      <c r="B210" s="1321" t="s">
        <v>2866</v>
      </c>
      <c r="C210" s="1321" t="s">
        <v>2867</v>
      </c>
    </row>
    <row r="211" spans="1:3" ht="11.25" customHeight="1" x14ac:dyDescent="0.15">
      <c r="A211" s="1321" t="s">
        <v>2853</v>
      </c>
      <c r="B211" s="1321" t="s">
        <v>2868</v>
      </c>
      <c r="C211" s="1321" t="s">
        <v>2869</v>
      </c>
    </row>
    <row r="212" spans="1:3" ht="11.25" customHeight="1" x14ac:dyDescent="0.15">
      <c r="A212" s="1321" t="s">
        <v>2853</v>
      </c>
      <c r="B212" s="1321" t="s">
        <v>2870</v>
      </c>
      <c r="C212" s="1321" t="s">
        <v>2871</v>
      </c>
    </row>
    <row r="213" spans="1:3" ht="11.25" customHeight="1" x14ac:dyDescent="0.15">
      <c r="A213" s="1321" t="s">
        <v>2853</v>
      </c>
      <c r="B213" s="1321" t="s">
        <v>2872</v>
      </c>
      <c r="C213" s="1321" t="s">
        <v>2873</v>
      </c>
    </row>
    <row r="214" spans="1:3" ht="11.25" customHeight="1" x14ac:dyDescent="0.15">
      <c r="A214" s="1321" t="s">
        <v>2853</v>
      </c>
      <c r="B214" s="1321" t="s">
        <v>2874</v>
      </c>
      <c r="C214" s="1321" t="s">
        <v>2875</v>
      </c>
    </row>
    <row r="215" spans="1:3" ht="11.25" customHeight="1" x14ac:dyDescent="0.15">
      <c r="A215" s="1321" t="s">
        <v>2876</v>
      </c>
      <c r="B215" s="1321" t="s">
        <v>2876</v>
      </c>
      <c r="C215" s="1321" t="s">
        <v>2877</v>
      </c>
    </row>
    <row r="216" spans="1:3" ht="11.25" customHeight="1" x14ac:dyDescent="0.15">
      <c r="A216" s="1321" t="s">
        <v>351</v>
      </c>
      <c r="B216" s="1321" t="s">
        <v>351</v>
      </c>
      <c r="C216" s="1321" t="s">
        <v>352</v>
      </c>
    </row>
    <row r="217" spans="1:3" ht="11.25" customHeight="1" x14ac:dyDescent="0.15">
      <c r="A217" s="1321" t="s">
        <v>2878</v>
      </c>
      <c r="B217" s="1321" t="s">
        <v>2878</v>
      </c>
      <c r="C217" s="1321" t="s">
        <v>2879</v>
      </c>
    </row>
    <row r="218" spans="1:3" ht="11.25" customHeight="1" x14ac:dyDescent="0.15">
      <c r="A218" s="1321" t="s">
        <v>2880</v>
      </c>
      <c r="B218" s="1321" t="s">
        <v>2880</v>
      </c>
      <c r="C218" s="1321" t="s">
        <v>2881</v>
      </c>
    </row>
    <row r="219" spans="1:3" ht="11.25" customHeight="1" x14ac:dyDescent="0.15">
      <c r="A219" s="1321" t="s">
        <v>2882</v>
      </c>
      <c r="B219" s="1321" t="s">
        <v>2882</v>
      </c>
      <c r="C219" s="1321" t="s">
        <v>2883</v>
      </c>
    </row>
    <row r="220" spans="1:3" ht="11.25" customHeight="1" x14ac:dyDescent="0.15">
      <c r="A220" s="1321" t="s">
        <v>2884</v>
      </c>
      <c r="B220" s="1321" t="s">
        <v>2884</v>
      </c>
      <c r="C220" s="1321" t="s">
        <v>2885</v>
      </c>
    </row>
    <row r="221" spans="1:3" ht="11.25" customHeight="1" x14ac:dyDescent="0.15">
      <c r="A221" s="1321" t="s">
        <v>2886</v>
      </c>
      <c r="B221" s="1321" t="s">
        <v>2886</v>
      </c>
      <c r="C221" s="1321" t="s">
        <v>2887</v>
      </c>
    </row>
    <row r="222" spans="1:3" ht="11.25" customHeight="1" x14ac:dyDescent="0.15">
      <c r="A222" s="1321" t="s">
        <v>2888</v>
      </c>
      <c r="B222" s="1321" t="s">
        <v>2888</v>
      </c>
      <c r="C222" s="1321" t="s">
        <v>2889</v>
      </c>
    </row>
    <row r="223" spans="1:3" ht="11.25" customHeight="1" x14ac:dyDescent="0.15">
      <c r="A223" s="1321" t="s">
        <v>2890</v>
      </c>
      <c r="B223" s="1321" t="s">
        <v>2890</v>
      </c>
      <c r="C223" s="1321" t="s">
        <v>2891</v>
      </c>
    </row>
    <row r="224" spans="1:3" ht="11.25" customHeight="1" x14ac:dyDescent="0.15">
      <c r="A224" s="1321" t="s">
        <v>2892</v>
      </c>
      <c r="B224" s="1321" t="s">
        <v>2892</v>
      </c>
      <c r="C224" s="1321" t="s">
        <v>2893</v>
      </c>
    </row>
    <row r="225" spans="1:3" ht="11.25" customHeight="1" x14ac:dyDescent="0.15">
      <c r="A225" s="1321" t="s">
        <v>2894</v>
      </c>
      <c r="B225" s="1321" t="s">
        <v>2894</v>
      </c>
      <c r="C225" s="1321" t="s">
        <v>2895</v>
      </c>
    </row>
    <row r="226" spans="1:3" ht="11.25" customHeight="1" x14ac:dyDescent="0.15">
      <c r="A226" s="1321" t="s">
        <v>2896</v>
      </c>
      <c r="B226" s="1321" t="s">
        <v>2896</v>
      </c>
      <c r="C226" s="1321" t="s">
        <v>2897</v>
      </c>
    </row>
    <row r="227" spans="1:3" ht="11.25" customHeight="1" x14ac:dyDescent="0.15">
      <c r="A227" s="1321" t="s">
        <v>2898</v>
      </c>
      <c r="B227" s="1321" t="s">
        <v>2898</v>
      </c>
      <c r="C227" s="1321" t="s">
        <v>2899</v>
      </c>
    </row>
    <row r="228" spans="1:3" ht="11.25" customHeight="1" x14ac:dyDescent="0.15">
      <c r="A228" s="1321" t="s">
        <v>2900</v>
      </c>
      <c r="B228" s="1321" t="s">
        <v>2900</v>
      </c>
      <c r="C228" s="1321" t="s">
        <v>2901</v>
      </c>
    </row>
    <row r="229" spans="1:3" ht="11.25" customHeight="1" x14ac:dyDescent="0.15">
      <c r="A229" s="1321" t="s">
        <v>2902</v>
      </c>
      <c r="B229" s="1321" t="s">
        <v>2902</v>
      </c>
      <c r="C229" s="1321" t="s">
        <v>2903</v>
      </c>
    </row>
    <row r="230" spans="1:3" ht="11.25" customHeight="1" x14ac:dyDescent="0.15">
      <c r="A230" s="1321" t="s">
        <v>2904</v>
      </c>
      <c r="B230" s="1321" t="s">
        <v>2904</v>
      </c>
      <c r="C230" s="1321" t="s">
        <v>2905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C05E8-8A59-6B58-43C8-8652F6A755D8}">
  <sheetPr>
    <tabColor rgb="FFFFCC99"/>
  </sheetPr>
  <dimension ref="A1:S108"/>
  <sheetViews>
    <sheetView showGridLines="0" workbookViewId="0"/>
  </sheetViews>
  <sheetFormatPr defaultColWidth="9.140625" defaultRowHeight="11.25" customHeight="1" x14ac:dyDescent="0.15"/>
  <sheetData>
    <row r="1" spans="1:19" ht="11.25" customHeight="1" x14ac:dyDescent="0.15">
      <c r="A1" t="s">
        <v>2906</v>
      </c>
      <c r="B1" t="s">
        <v>2907</v>
      </c>
      <c r="C1" t="s">
        <v>2908</v>
      </c>
      <c r="D1" t="s">
        <v>2909</v>
      </c>
      <c r="E1" t="s">
        <v>2910</v>
      </c>
      <c r="F1" t="s">
        <v>2911</v>
      </c>
      <c r="G1" t="s">
        <v>2912</v>
      </c>
      <c r="H1" t="s">
        <v>2913</v>
      </c>
      <c r="I1" t="s">
        <v>2914</v>
      </c>
      <c r="J1" t="s">
        <v>2915</v>
      </c>
      <c r="K1" t="s">
        <v>2916</v>
      </c>
      <c r="L1" t="s">
        <v>2917</v>
      </c>
      <c r="M1" t="s">
        <v>2918</v>
      </c>
      <c r="N1" t="s">
        <v>2919</v>
      </c>
      <c r="O1" t="s">
        <v>2920</v>
      </c>
      <c r="P1" t="s">
        <v>2921</v>
      </c>
      <c r="Q1" t="s">
        <v>2922</v>
      </c>
      <c r="R1" t="s">
        <v>2923</v>
      </c>
      <c r="S1" t="s">
        <v>2924</v>
      </c>
    </row>
    <row r="2" spans="1:19" ht="11.25" customHeight="1" x14ac:dyDescent="0.15">
      <c r="A2">
        <v>2655</v>
      </c>
      <c r="B2" t="s">
        <v>101</v>
      </c>
      <c r="C2">
        <v>28976938</v>
      </c>
      <c r="D2" t="s">
        <v>2925</v>
      </c>
      <c r="E2" t="s">
        <v>2926</v>
      </c>
      <c r="F2" t="s">
        <v>2927</v>
      </c>
      <c r="G2" t="s">
        <v>2928</v>
      </c>
      <c r="H2" t="s">
        <v>2929</v>
      </c>
      <c r="I2" t="s">
        <v>2930</v>
      </c>
      <c r="J2" t="s">
        <v>2931</v>
      </c>
      <c r="K2" t="s">
        <v>2932</v>
      </c>
      <c r="L2" t="s">
        <v>2933</v>
      </c>
      <c r="M2" t="s">
        <v>2934</v>
      </c>
      <c r="N2" t="s">
        <v>2935</v>
      </c>
      <c r="O2" t="s">
        <v>2936</v>
      </c>
      <c r="P2" t="s">
        <v>2937</v>
      </c>
      <c r="Q2" t="s">
        <v>2938</v>
      </c>
      <c r="R2" t="b">
        <v>0</v>
      </c>
      <c r="S2" t="s">
        <v>2939</v>
      </c>
    </row>
    <row r="3" spans="1:19" ht="11.25" customHeight="1" x14ac:dyDescent="0.15">
      <c r="A3">
        <v>2655</v>
      </c>
      <c r="B3" t="s">
        <v>101</v>
      </c>
      <c r="C3">
        <v>27804990</v>
      </c>
      <c r="D3" t="s">
        <v>2940</v>
      </c>
      <c r="E3" t="s">
        <v>2941</v>
      </c>
      <c r="F3" t="s">
        <v>2942</v>
      </c>
      <c r="G3" t="s">
        <v>2943</v>
      </c>
      <c r="H3" t="s">
        <v>2944</v>
      </c>
      <c r="I3" t="s">
        <v>2945</v>
      </c>
      <c r="J3" t="s">
        <v>2931</v>
      </c>
      <c r="K3" t="s">
        <v>2946</v>
      </c>
      <c r="L3" t="s">
        <v>2947</v>
      </c>
      <c r="M3" t="s">
        <v>2948</v>
      </c>
      <c r="N3" t="s">
        <v>2949</v>
      </c>
      <c r="O3" t="s">
        <v>2950</v>
      </c>
      <c r="P3" t="s">
        <v>144</v>
      </c>
      <c r="Q3" t="s">
        <v>2951</v>
      </c>
      <c r="R3" t="b">
        <v>0</v>
      </c>
      <c r="S3" t="s">
        <v>2939</v>
      </c>
    </row>
    <row r="4" spans="1:19" ht="11.25" customHeight="1" x14ac:dyDescent="0.15">
      <c r="A4">
        <v>2655</v>
      </c>
      <c r="B4" t="s">
        <v>101</v>
      </c>
      <c r="C4">
        <v>27804826</v>
      </c>
      <c r="D4" t="s">
        <v>2952</v>
      </c>
      <c r="E4" t="s">
        <v>2953</v>
      </c>
      <c r="F4" t="s">
        <v>2954</v>
      </c>
      <c r="G4" t="s">
        <v>2955</v>
      </c>
      <c r="H4" t="s">
        <v>2956</v>
      </c>
      <c r="I4" t="s">
        <v>2957</v>
      </c>
      <c r="J4" t="s">
        <v>2931</v>
      </c>
      <c r="K4" t="s">
        <v>2958</v>
      </c>
      <c r="L4" t="s">
        <v>2947</v>
      </c>
      <c r="M4" t="s">
        <v>147</v>
      </c>
      <c r="N4" t="s">
        <v>2959</v>
      </c>
      <c r="O4" t="s">
        <v>2960</v>
      </c>
      <c r="P4" t="s">
        <v>144</v>
      </c>
      <c r="Q4" t="s">
        <v>2961</v>
      </c>
      <c r="R4" t="b">
        <v>0</v>
      </c>
      <c r="S4" t="s">
        <v>2939</v>
      </c>
    </row>
    <row r="5" spans="1:19" ht="11.25" customHeight="1" x14ac:dyDescent="0.15">
      <c r="A5">
        <v>2655</v>
      </c>
      <c r="B5" t="s">
        <v>101</v>
      </c>
      <c r="C5">
        <v>26356963</v>
      </c>
      <c r="D5" t="s">
        <v>2962</v>
      </c>
      <c r="E5" t="s">
        <v>2963</v>
      </c>
      <c r="F5" t="s">
        <v>2964</v>
      </c>
      <c r="G5" t="s">
        <v>2965</v>
      </c>
      <c r="H5" t="s">
        <v>2966</v>
      </c>
      <c r="I5" t="s">
        <v>147</v>
      </c>
      <c r="J5" t="s">
        <v>2931</v>
      </c>
      <c r="K5" t="s">
        <v>2967</v>
      </c>
      <c r="L5" t="s">
        <v>2967</v>
      </c>
      <c r="M5" t="s">
        <v>2968</v>
      </c>
      <c r="N5" t="s">
        <v>2969</v>
      </c>
      <c r="O5" t="s">
        <v>2970</v>
      </c>
      <c r="P5" t="s">
        <v>2971</v>
      </c>
      <c r="Q5" t="s">
        <v>147</v>
      </c>
      <c r="R5" t="b">
        <v>0</v>
      </c>
      <c r="S5" t="s">
        <v>2939</v>
      </c>
    </row>
    <row r="6" spans="1:19" ht="11.25" customHeight="1" x14ac:dyDescent="0.15">
      <c r="A6">
        <v>2655</v>
      </c>
      <c r="B6" t="s">
        <v>101</v>
      </c>
      <c r="C6">
        <v>26322889</v>
      </c>
      <c r="D6" t="s">
        <v>2972</v>
      </c>
      <c r="E6" t="s">
        <v>2973</v>
      </c>
      <c r="F6" t="s">
        <v>2974</v>
      </c>
      <c r="G6" t="s">
        <v>2975</v>
      </c>
      <c r="H6" t="s">
        <v>2976</v>
      </c>
      <c r="I6" t="s">
        <v>2977</v>
      </c>
      <c r="J6" t="s">
        <v>2931</v>
      </c>
      <c r="K6" t="s">
        <v>2978</v>
      </c>
      <c r="L6" t="s">
        <v>2979</v>
      </c>
      <c r="M6" t="s">
        <v>2980</v>
      </c>
      <c r="N6" t="s">
        <v>2981</v>
      </c>
      <c r="O6" t="s">
        <v>2982</v>
      </c>
      <c r="P6" t="s">
        <v>2983</v>
      </c>
      <c r="Q6" t="s">
        <v>2984</v>
      </c>
      <c r="R6" t="b">
        <v>0</v>
      </c>
      <c r="S6" t="s">
        <v>2939</v>
      </c>
    </row>
    <row r="7" spans="1:19" ht="11.25" customHeight="1" x14ac:dyDescent="0.15">
      <c r="A7">
        <v>2655</v>
      </c>
      <c r="B7" t="s">
        <v>101</v>
      </c>
      <c r="C7">
        <v>26356905</v>
      </c>
      <c r="D7" t="s">
        <v>2985</v>
      </c>
      <c r="E7" t="s">
        <v>2986</v>
      </c>
      <c r="F7" t="s">
        <v>2987</v>
      </c>
      <c r="G7" t="s">
        <v>2943</v>
      </c>
      <c r="H7" t="s">
        <v>2988</v>
      </c>
      <c r="I7" t="s">
        <v>2989</v>
      </c>
      <c r="J7" t="s">
        <v>2931</v>
      </c>
      <c r="K7" t="s">
        <v>2990</v>
      </c>
      <c r="L7" t="s">
        <v>2990</v>
      </c>
      <c r="M7" t="s">
        <v>2991</v>
      </c>
      <c r="N7" t="s">
        <v>2992</v>
      </c>
      <c r="O7" t="s">
        <v>2993</v>
      </c>
      <c r="P7" t="s">
        <v>2994</v>
      </c>
      <c r="Q7" t="s">
        <v>2995</v>
      </c>
      <c r="R7" t="b">
        <v>0</v>
      </c>
      <c r="S7" t="s">
        <v>2939</v>
      </c>
    </row>
    <row r="8" spans="1:19" ht="11.25" customHeight="1" x14ac:dyDescent="0.15">
      <c r="A8">
        <v>2655</v>
      </c>
      <c r="B8" t="s">
        <v>101</v>
      </c>
      <c r="C8">
        <v>26427149</v>
      </c>
      <c r="D8" t="s">
        <v>2996</v>
      </c>
      <c r="E8" t="s">
        <v>2997</v>
      </c>
      <c r="F8" t="s">
        <v>2927</v>
      </c>
      <c r="G8" t="s">
        <v>2998</v>
      </c>
      <c r="H8" t="s">
        <v>2929</v>
      </c>
      <c r="I8" t="s">
        <v>2930</v>
      </c>
      <c r="J8" t="s">
        <v>2931</v>
      </c>
      <c r="K8" t="s">
        <v>2999</v>
      </c>
      <c r="L8" t="s">
        <v>3000</v>
      </c>
      <c r="M8" t="s">
        <v>3001</v>
      </c>
      <c r="N8" t="s">
        <v>3002</v>
      </c>
      <c r="O8" t="s">
        <v>3003</v>
      </c>
      <c r="P8" t="s">
        <v>3004</v>
      </c>
      <c r="Q8" t="s">
        <v>3005</v>
      </c>
      <c r="R8" t="b">
        <v>0</v>
      </c>
      <c r="S8" t="s">
        <v>2939</v>
      </c>
    </row>
    <row r="9" spans="1:19" ht="11.25" customHeight="1" x14ac:dyDescent="0.15">
      <c r="A9">
        <v>2655</v>
      </c>
      <c r="B9" t="s">
        <v>101</v>
      </c>
      <c r="C9">
        <v>27295125</v>
      </c>
      <c r="D9" t="s">
        <v>3006</v>
      </c>
      <c r="E9" t="s">
        <v>3007</v>
      </c>
      <c r="F9" t="s">
        <v>3008</v>
      </c>
      <c r="G9" t="s">
        <v>3009</v>
      </c>
      <c r="H9" t="s">
        <v>3010</v>
      </c>
      <c r="I9" t="s">
        <v>3011</v>
      </c>
      <c r="J9" t="s">
        <v>3012</v>
      </c>
      <c r="K9" t="s">
        <v>3013</v>
      </c>
      <c r="L9" t="s">
        <v>3013</v>
      </c>
      <c r="M9" t="s">
        <v>3014</v>
      </c>
      <c r="N9" t="s">
        <v>3015</v>
      </c>
      <c r="O9" t="s">
        <v>3016</v>
      </c>
      <c r="P9" t="s">
        <v>3017</v>
      </c>
      <c r="Q9" t="s">
        <v>147</v>
      </c>
      <c r="R9" t="b">
        <v>0</v>
      </c>
      <c r="S9" t="s">
        <v>2939</v>
      </c>
    </row>
    <row r="10" spans="1:19" ht="11.25" customHeight="1" x14ac:dyDescent="0.15">
      <c r="A10">
        <v>2655</v>
      </c>
      <c r="B10" t="s">
        <v>101</v>
      </c>
      <c r="C10">
        <v>26824672</v>
      </c>
      <c r="D10" t="s">
        <v>3018</v>
      </c>
      <c r="E10" t="s">
        <v>3019</v>
      </c>
      <c r="F10" t="s">
        <v>3020</v>
      </c>
      <c r="G10" t="s">
        <v>3021</v>
      </c>
      <c r="H10" t="s">
        <v>3022</v>
      </c>
      <c r="I10" t="s">
        <v>147</v>
      </c>
      <c r="J10" t="s">
        <v>3012</v>
      </c>
      <c r="K10" t="s">
        <v>3023</v>
      </c>
      <c r="L10" t="s">
        <v>3024</v>
      </c>
      <c r="M10" t="s">
        <v>3025</v>
      </c>
      <c r="N10" t="s">
        <v>3026</v>
      </c>
      <c r="O10" t="s">
        <v>147</v>
      </c>
      <c r="P10" t="s">
        <v>3027</v>
      </c>
      <c r="Q10" t="s">
        <v>147</v>
      </c>
      <c r="R10" t="b">
        <v>0</v>
      </c>
      <c r="S10" t="s">
        <v>2939</v>
      </c>
    </row>
    <row r="11" spans="1:19" ht="11.25" customHeight="1" x14ac:dyDescent="0.15">
      <c r="A11">
        <v>2655</v>
      </c>
      <c r="B11" t="s">
        <v>101</v>
      </c>
      <c r="C11">
        <v>31826293</v>
      </c>
      <c r="D11" t="s">
        <v>3028</v>
      </c>
      <c r="E11" t="s">
        <v>3029</v>
      </c>
      <c r="F11" t="s">
        <v>3030</v>
      </c>
      <c r="G11" t="s">
        <v>3031</v>
      </c>
      <c r="H11" t="s">
        <v>3032</v>
      </c>
      <c r="I11" t="s">
        <v>3033</v>
      </c>
      <c r="K11" t="s">
        <v>3034</v>
      </c>
      <c r="L11" t="s">
        <v>3035</v>
      </c>
      <c r="M11" t="s">
        <v>147</v>
      </c>
      <c r="N11" t="s">
        <v>3036</v>
      </c>
      <c r="O11" t="s">
        <v>3037</v>
      </c>
      <c r="P11" t="s">
        <v>3038</v>
      </c>
      <c r="Q11" t="s">
        <v>147</v>
      </c>
      <c r="R11" t="b">
        <v>0</v>
      </c>
      <c r="S11" t="s">
        <v>2939</v>
      </c>
    </row>
    <row r="12" spans="1:19" ht="11.25" customHeight="1" x14ac:dyDescent="0.15">
      <c r="A12">
        <v>2655</v>
      </c>
      <c r="B12" t="s">
        <v>101</v>
      </c>
      <c r="C12">
        <v>26322867</v>
      </c>
      <c r="D12" t="s">
        <v>3039</v>
      </c>
      <c r="E12" t="s">
        <v>3040</v>
      </c>
      <c r="F12" t="s">
        <v>3041</v>
      </c>
      <c r="G12" t="s">
        <v>2975</v>
      </c>
      <c r="H12" t="s">
        <v>3042</v>
      </c>
      <c r="I12" t="s">
        <v>3043</v>
      </c>
      <c r="J12" t="s">
        <v>2931</v>
      </c>
      <c r="K12" t="s">
        <v>3044</v>
      </c>
      <c r="L12" t="s">
        <v>3044</v>
      </c>
      <c r="M12" t="s">
        <v>3045</v>
      </c>
      <c r="N12" t="s">
        <v>3046</v>
      </c>
      <c r="O12" t="s">
        <v>3047</v>
      </c>
      <c r="P12" t="s">
        <v>3017</v>
      </c>
      <c r="Q12" t="s">
        <v>3048</v>
      </c>
      <c r="R12" t="b">
        <v>0</v>
      </c>
      <c r="S12" t="s">
        <v>2939</v>
      </c>
    </row>
    <row r="13" spans="1:19" ht="11.25" customHeight="1" x14ac:dyDescent="0.15">
      <c r="A13">
        <v>2655</v>
      </c>
      <c r="B13" t="s">
        <v>101</v>
      </c>
      <c r="C13">
        <v>26824651</v>
      </c>
      <c r="D13" t="s">
        <v>3049</v>
      </c>
      <c r="E13" t="s">
        <v>3050</v>
      </c>
      <c r="F13" t="s">
        <v>3020</v>
      </c>
      <c r="G13" t="s">
        <v>3051</v>
      </c>
      <c r="H13" t="s">
        <v>3022</v>
      </c>
      <c r="I13" t="s">
        <v>147</v>
      </c>
      <c r="J13" t="s">
        <v>2931</v>
      </c>
      <c r="K13" t="s">
        <v>3052</v>
      </c>
      <c r="L13" t="s">
        <v>3053</v>
      </c>
      <c r="M13" t="s">
        <v>3054</v>
      </c>
      <c r="N13" t="s">
        <v>3055</v>
      </c>
      <c r="O13" t="s">
        <v>3056</v>
      </c>
      <c r="P13" t="s">
        <v>3057</v>
      </c>
      <c r="Q13" t="s">
        <v>147</v>
      </c>
      <c r="R13" t="b">
        <v>0</v>
      </c>
      <c r="S13" t="s">
        <v>2939</v>
      </c>
    </row>
    <row r="14" spans="1:19" ht="11.25" customHeight="1" x14ac:dyDescent="0.15">
      <c r="A14">
        <v>2655</v>
      </c>
      <c r="B14" t="s">
        <v>101</v>
      </c>
      <c r="C14">
        <v>26824396</v>
      </c>
      <c r="D14" t="s">
        <v>3058</v>
      </c>
      <c r="E14" t="s">
        <v>3059</v>
      </c>
      <c r="F14" t="s">
        <v>3020</v>
      </c>
      <c r="G14" t="s">
        <v>3060</v>
      </c>
      <c r="H14" t="s">
        <v>3022</v>
      </c>
      <c r="I14" t="s">
        <v>147</v>
      </c>
      <c r="J14" t="s">
        <v>3012</v>
      </c>
      <c r="K14" t="s">
        <v>3061</v>
      </c>
      <c r="L14" t="s">
        <v>3061</v>
      </c>
      <c r="M14" t="s">
        <v>3062</v>
      </c>
      <c r="N14" t="s">
        <v>147</v>
      </c>
      <c r="O14" t="s">
        <v>3063</v>
      </c>
      <c r="P14" t="s">
        <v>3057</v>
      </c>
      <c r="Q14" t="s">
        <v>147</v>
      </c>
      <c r="R14" t="b">
        <v>0</v>
      </c>
      <c r="S14" t="s">
        <v>2939</v>
      </c>
    </row>
    <row r="15" spans="1:19" ht="11.25" customHeight="1" x14ac:dyDescent="0.15">
      <c r="A15">
        <v>2655</v>
      </c>
      <c r="B15" t="s">
        <v>101</v>
      </c>
      <c r="C15">
        <v>31232672</v>
      </c>
      <c r="D15" t="s">
        <v>3064</v>
      </c>
      <c r="E15" t="s">
        <v>3065</v>
      </c>
      <c r="F15" t="s">
        <v>3066</v>
      </c>
      <c r="G15" t="s">
        <v>3067</v>
      </c>
      <c r="H15" t="s">
        <v>3068</v>
      </c>
      <c r="I15" t="s">
        <v>3069</v>
      </c>
      <c r="J15" t="s">
        <v>3070</v>
      </c>
      <c r="K15" t="s">
        <v>3071</v>
      </c>
      <c r="L15" t="s">
        <v>3071</v>
      </c>
      <c r="M15" t="s">
        <v>3072</v>
      </c>
      <c r="N15" t="s">
        <v>3073</v>
      </c>
      <c r="O15" t="s">
        <v>3074</v>
      </c>
      <c r="P15" t="s">
        <v>3075</v>
      </c>
      <c r="Q15" t="s">
        <v>147</v>
      </c>
      <c r="R15" t="b">
        <v>0</v>
      </c>
      <c r="S15" t="s">
        <v>2939</v>
      </c>
    </row>
    <row r="16" spans="1:19" ht="11.25" customHeight="1" x14ac:dyDescent="0.15">
      <c r="A16">
        <v>2655</v>
      </c>
      <c r="B16" t="s">
        <v>101</v>
      </c>
      <c r="C16">
        <v>31387447</v>
      </c>
      <c r="D16" t="s">
        <v>3076</v>
      </c>
      <c r="E16" t="s">
        <v>3077</v>
      </c>
      <c r="F16" t="s">
        <v>3078</v>
      </c>
      <c r="G16" t="s">
        <v>3079</v>
      </c>
      <c r="H16" t="s">
        <v>3080</v>
      </c>
      <c r="I16" t="s">
        <v>3081</v>
      </c>
      <c r="J16" t="s">
        <v>3082</v>
      </c>
      <c r="K16" t="s">
        <v>3083</v>
      </c>
      <c r="L16" t="s">
        <v>3083</v>
      </c>
      <c r="M16" t="s">
        <v>3084</v>
      </c>
      <c r="N16" t="s">
        <v>3085</v>
      </c>
      <c r="O16" t="s">
        <v>3086</v>
      </c>
      <c r="P16" t="s">
        <v>3075</v>
      </c>
      <c r="Q16" t="s">
        <v>147</v>
      </c>
      <c r="R16" t="b">
        <v>0</v>
      </c>
      <c r="S16" t="s">
        <v>2939</v>
      </c>
    </row>
    <row r="17" spans="1:19" ht="11.25" customHeight="1" x14ac:dyDescent="0.15">
      <c r="A17">
        <v>2655</v>
      </c>
      <c r="B17" t="s">
        <v>101</v>
      </c>
      <c r="C17">
        <v>30808700</v>
      </c>
      <c r="D17" t="s">
        <v>3087</v>
      </c>
      <c r="E17" t="s">
        <v>3088</v>
      </c>
      <c r="F17" t="s">
        <v>3089</v>
      </c>
      <c r="G17" t="s">
        <v>3021</v>
      </c>
      <c r="H17" t="s">
        <v>3090</v>
      </c>
      <c r="I17" t="s">
        <v>3091</v>
      </c>
      <c r="J17" t="s">
        <v>3082</v>
      </c>
      <c r="K17" t="s">
        <v>3092</v>
      </c>
      <c r="L17" t="s">
        <v>3093</v>
      </c>
      <c r="M17" t="s">
        <v>3094</v>
      </c>
      <c r="N17" t="s">
        <v>3095</v>
      </c>
      <c r="O17" t="s">
        <v>3096</v>
      </c>
      <c r="P17" t="s">
        <v>3038</v>
      </c>
      <c r="Q17" t="s">
        <v>147</v>
      </c>
      <c r="R17" t="b">
        <v>1</v>
      </c>
      <c r="S17" t="s">
        <v>2939</v>
      </c>
    </row>
    <row r="18" spans="1:19" ht="11.25" customHeight="1" x14ac:dyDescent="0.15">
      <c r="A18">
        <v>2655</v>
      </c>
      <c r="B18" t="s">
        <v>101</v>
      </c>
      <c r="C18">
        <v>31319221</v>
      </c>
      <c r="D18" t="s">
        <v>3097</v>
      </c>
      <c r="E18" t="s">
        <v>3098</v>
      </c>
      <c r="F18" t="s">
        <v>3099</v>
      </c>
      <c r="G18" t="s">
        <v>3079</v>
      </c>
      <c r="H18" t="s">
        <v>3100</v>
      </c>
      <c r="I18" t="s">
        <v>3101</v>
      </c>
      <c r="J18" t="s">
        <v>3070</v>
      </c>
      <c r="K18" t="s">
        <v>3102</v>
      </c>
      <c r="L18" t="s">
        <v>3103</v>
      </c>
      <c r="M18" t="s">
        <v>3104</v>
      </c>
      <c r="N18" t="s">
        <v>3105</v>
      </c>
      <c r="O18" t="s">
        <v>3106</v>
      </c>
      <c r="P18" t="s">
        <v>3075</v>
      </c>
      <c r="Q18" t="s">
        <v>147</v>
      </c>
      <c r="R18" t="b">
        <v>0</v>
      </c>
      <c r="S18" t="s">
        <v>2939</v>
      </c>
    </row>
    <row r="19" spans="1:19" ht="11.25" customHeight="1" x14ac:dyDescent="0.15">
      <c r="A19">
        <v>2655</v>
      </c>
      <c r="B19" t="s">
        <v>101</v>
      </c>
      <c r="C19">
        <v>31419990</v>
      </c>
      <c r="D19" t="s">
        <v>3107</v>
      </c>
      <c r="E19" t="s">
        <v>3108</v>
      </c>
      <c r="F19" t="s">
        <v>3109</v>
      </c>
      <c r="G19" t="s">
        <v>3110</v>
      </c>
      <c r="H19" t="s">
        <v>3111</v>
      </c>
      <c r="I19" t="s">
        <v>3112</v>
      </c>
      <c r="J19" t="s">
        <v>3070</v>
      </c>
      <c r="K19" t="s">
        <v>3113</v>
      </c>
      <c r="L19" t="s">
        <v>3113</v>
      </c>
      <c r="M19" t="s">
        <v>3114</v>
      </c>
      <c r="N19" t="s">
        <v>3115</v>
      </c>
      <c r="O19" t="s">
        <v>3116</v>
      </c>
      <c r="P19" t="s">
        <v>3075</v>
      </c>
      <c r="Q19" t="s">
        <v>3117</v>
      </c>
      <c r="R19" t="b">
        <v>0</v>
      </c>
      <c r="S19" t="s">
        <v>2939</v>
      </c>
    </row>
    <row r="20" spans="1:19" ht="11.25" customHeight="1" x14ac:dyDescent="0.15">
      <c r="A20">
        <v>2655</v>
      </c>
      <c r="B20" t="s">
        <v>101</v>
      </c>
      <c r="C20">
        <v>31343443</v>
      </c>
      <c r="D20" t="s">
        <v>3118</v>
      </c>
      <c r="E20" t="s">
        <v>3119</v>
      </c>
      <c r="F20" t="s">
        <v>3120</v>
      </c>
      <c r="G20" t="s">
        <v>3021</v>
      </c>
      <c r="H20" t="s">
        <v>3121</v>
      </c>
      <c r="I20" t="s">
        <v>3122</v>
      </c>
      <c r="J20" t="s">
        <v>3070</v>
      </c>
      <c r="K20" t="s">
        <v>3123</v>
      </c>
      <c r="L20" t="s">
        <v>3123</v>
      </c>
      <c r="N20" t="s">
        <v>3124</v>
      </c>
      <c r="O20" t="s">
        <v>3125</v>
      </c>
      <c r="P20" t="s">
        <v>3038</v>
      </c>
      <c r="R20" t="b">
        <v>0</v>
      </c>
      <c r="S20" t="s">
        <v>2939</v>
      </c>
    </row>
    <row r="21" spans="1:19" ht="11.25" customHeight="1" x14ac:dyDescent="0.15">
      <c r="A21">
        <v>2655</v>
      </c>
      <c r="B21" t="s">
        <v>101</v>
      </c>
      <c r="C21">
        <v>31367841</v>
      </c>
      <c r="D21" t="s">
        <v>3126</v>
      </c>
      <c r="E21" t="s">
        <v>3127</v>
      </c>
      <c r="F21" t="s">
        <v>3128</v>
      </c>
      <c r="G21" t="s">
        <v>3129</v>
      </c>
      <c r="H21" t="s">
        <v>3130</v>
      </c>
      <c r="I21" t="s">
        <v>3131</v>
      </c>
      <c r="J21" t="s">
        <v>3082</v>
      </c>
      <c r="K21" t="s">
        <v>3132</v>
      </c>
      <c r="L21" t="s">
        <v>3132</v>
      </c>
      <c r="M21" t="s">
        <v>147</v>
      </c>
      <c r="N21" t="s">
        <v>3133</v>
      </c>
      <c r="O21" t="s">
        <v>3134</v>
      </c>
      <c r="P21" t="s">
        <v>3075</v>
      </c>
      <c r="Q21" t="s">
        <v>147</v>
      </c>
      <c r="R21" t="b">
        <v>0</v>
      </c>
      <c r="S21" t="s">
        <v>2939</v>
      </c>
    </row>
    <row r="22" spans="1:19" ht="11.25" customHeight="1" x14ac:dyDescent="0.15">
      <c r="A22">
        <v>2655</v>
      </c>
      <c r="B22" t="s">
        <v>101</v>
      </c>
      <c r="C22">
        <v>31087651</v>
      </c>
      <c r="D22" t="s">
        <v>3135</v>
      </c>
      <c r="E22" t="s">
        <v>3136</v>
      </c>
      <c r="F22" t="s">
        <v>3137</v>
      </c>
      <c r="G22" t="s">
        <v>3138</v>
      </c>
      <c r="H22" t="s">
        <v>3139</v>
      </c>
      <c r="I22" t="s">
        <v>3140</v>
      </c>
      <c r="J22" t="s">
        <v>3070</v>
      </c>
      <c r="K22" t="s">
        <v>3141</v>
      </c>
      <c r="L22" t="s">
        <v>3141</v>
      </c>
      <c r="M22" t="s">
        <v>3142</v>
      </c>
      <c r="N22" t="s">
        <v>3143</v>
      </c>
      <c r="O22" t="s">
        <v>3144</v>
      </c>
      <c r="R22" t="b">
        <v>0</v>
      </c>
      <c r="S22" t="s">
        <v>2939</v>
      </c>
    </row>
    <row r="23" spans="1:19" ht="11.25" customHeight="1" x14ac:dyDescent="0.15">
      <c r="A23">
        <v>2655</v>
      </c>
      <c r="B23" t="s">
        <v>101</v>
      </c>
      <c r="C23">
        <v>31367862</v>
      </c>
      <c r="D23" t="s">
        <v>3145</v>
      </c>
      <c r="E23" t="s">
        <v>3146</v>
      </c>
      <c r="F23" t="s">
        <v>3147</v>
      </c>
      <c r="G23" t="s">
        <v>3129</v>
      </c>
      <c r="H23" t="s">
        <v>3148</v>
      </c>
      <c r="I23" t="s">
        <v>3149</v>
      </c>
      <c r="J23" t="s">
        <v>3070</v>
      </c>
      <c r="K23" t="s">
        <v>3150</v>
      </c>
      <c r="L23" t="s">
        <v>3150</v>
      </c>
      <c r="M23" t="s">
        <v>147</v>
      </c>
      <c r="N23" t="s">
        <v>3151</v>
      </c>
      <c r="O23" t="s">
        <v>3152</v>
      </c>
      <c r="P23" t="s">
        <v>3075</v>
      </c>
      <c r="Q23" t="s">
        <v>147</v>
      </c>
      <c r="R23" t="b">
        <v>0</v>
      </c>
      <c r="S23" t="s">
        <v>2939</v>
      </c>
    </row>
    <row r="24" spans="1:19" ht="11.25" customHeight="1" x14ac:dyDescent="0.15">
      <c r="A24">
        <v>2655</v>
      </c>
      <c r="B24" t="s">
        <v>101</v>
      </c>
      <c r="C24">
        <v>26486390</v>
      </c>
      <c r="D24" t="s">
        <v>3153</v>
      </c>
      <c r="E24" t="s">
        <v>3154</v>
      </c>
      <c r="F24" t="s">
        <v>3155</v>
      </c>
      <c r="G24" t="s">
        <v>3156</v>
      </c>
      <c r="H24" t="s">
        <v>3157</v>
      </c>
      <c r="I24" t="s">
        <v>3158</v>
      </c>
      <c r="J24" t="s">
        <v>3082</v>
      </c>
      <c r="K24" t="s">
        <v>3159</v>
      </c>
      <c r="L24" t="s">
        <v>3159</v>
      </c>
      <c r="M24" t="s">
        <v>3160</v>
      </c>
      <c r="N24" t="s">
        <v>3161</v>
      </c>
      <c r="O24" t="s">
        <v>3162</v>
      </c>
      <c r="P24" t="s">
        <v>3163</v>
      </c>
      <c r="Q24" t="s">
        <v>147</v>
      </c>
      <c r="R24" t="b">
        <v>0</v>
      </c>
      <c r="S24" t="s">
        <v>2939</v>
      </c>
    </row>
    <row r="25" spans="1:19" ht="11.25" customHeight="1" x14ac:dyDescent="0.15">
      <c r="A25">
        <v>2655</v>
      </c>
      <c r="B25" t="s">
        <v>101</v>
      </c>
      <c r="C25">
        <v>27977465</v>
      </c>
      <c r="D25" t="s">
        <v>3164</v>
      </c>
      <c r="E25" t="s">
        <v>3165</v>
      </c>
      <c r="F25" t="s">
        <v>3166</v>
      </c>
      <c r="G25" t="s">
        <v>3167</v>
      </c>
      <c r="H25" t="s">
        <v>3168</v>
      </c>
      <c r="I25" t="s">
        <v>147</v>
      </c>
      <c r="K25" t="s">
        <v>3169</v>
      </c>
      <c r="L25" t="s">
        <v>3169</v>
      </c>
      <c r="M25" t="s">
        <v>3170</v>
      </c>
      <c r="N25" t="s">
        <v>3171</v>
      </c>
      <c r="O25" t="s">
        <v>3172</v>
      </c>
      <c r="P25" t="s">
        <v>3038</v>
      </c>
      <c r="Q25" t="s">
        <v>147</v>
      </c>
      <c r="R25" t="b">
        <v>0</v>
      </c>
      <c r="S25" t="s">
        <v>2939</v>
      </c>
    </row>
    <row r="26" spans="1:19" ht="11.25" customHeight="1" x14ac:dyDescent="0.15">
      <c r="A26">
        <v>2655</v>
      </c>
      <c r="B26" t="s">
        <v>101</v>
      </c>
      <c r="C26">
        <v>31003143</v>
      </c>
      <c r="D26" t="s">
        <v>3173</v>
      </c>
      <c r="E26" t="s">
        <v>3174</v>
      </c>
      <c r="F26" t="s">
        <v>3175</v>
      </c>
      <c r="G26" t="s">
        <v>3167</v>
      </c>
      <c r="H26" t="s">
        <v>3176</v>
      </c>
      <c r="I26" t="s">
        <v>3177</v>
      </c>
      <c r="J26" t="s">
        <v>3082</v>
      </c>
      <c r="K26" t="s">
        <v>3178</v>
      </c>
      <c r="L26" t="s">
        <v>3179</v>
      </c>
      <c r="M26" t="s">
        <v>3180</v>
      </c>
      <c r="N26" t="s">
        <v>3181</v>
      </c>
      <c r="O26" t="s">
        <v>3182</v>
      </c>
      <c r="P26" t="s">
        <v>3075</v>
      </c>
      <c r="Q26" t="s">
        <v>147</v>
      </c>
      <c r="R26" t="b">
        <v>1</v>
      </c>
      <c r="S26" t="s">
        <v>2939</v>
      </c>
    </row>
    <row r="27" spans="1:19" ht="11.25" customHeight="1" x14ac:dyDescent="0.15">
      <c r="A27">
        <v>2655</v>
      </c>
      <c r="B27" t="s">
        <v>101</v>
      </c>
      <c r="C27">
        <v>31308226</v>
      </c>
      <c r="D27" t="s">
        <v>3183</v>
      </c>
      <c r="E27" t="s">
        <v>3184</v>
      </c>
      <c r="F27" t="s">
        <v>3185</v>
      </c>
      <c r="G27" t="s">
        <v>122</v>
      </c>
      <c r="H27" t="s">
        <v>3186</v>
      </c>
      <c r="I27" t="s">
        <v>3187</v>
      </c>
      <c r="J27" t="s">
        <v>3082</v>
      </c>
      <c r="K27" t="s">
        <v>3188</v>
      </c>
      <c r="L27" t="s">
        <v>3188</v>
      </c>
      <c r="M27" t="s">
        <v>3189</v>
      </c>
      <c r="N27" t="s">
        <v>3190</v>
      </c>
      <c r="O27" t="s">
        <v>3191</v>
      </c>
      <c r="P27" t="s">
        <v>3038</v>
      </c>
      <c r="Q27" t="s">
        <v>147</v>
      </c>
      <c r="R27" t="b">
        <v>1</v>
      </c>
      <c r="S27" t="s">
        <v>2939</v>
      </c>
    </row>
    <row r="28" spans="1:19" ht="11.25" customHeight="1" x14ac:dyDescent="0.15">
      <c r="A28">
        <v>2655</v>
      </c>
      <c r="B28" t="s">
        <v>101</v>
      </c>
      <c r="C28">
        <v>31284269</v>
      </c>
      <c r="D28" t="s">
        <v>3192</v>
      </c>
      <c r="E28" t="s">
        <v>3193</v>
      </c>
      <c r="F28" t="s">
        <v>3194</v>
      </c>
      <c r="G28" t="s">
        <v>3138</v>
      </c>
      <c r="H28" t="s">
        <v>3195</v>
      </c>
      <c r="I28" t="s">
        <v>3196</v>
      </c>
      <c r="J28" t="s">
        <v>3082</v>
      </c>
      <c r="K28" t="s">
        <v>3197</v>
      </c>
      <c r="L28" t="s">
        <v>3198</v>
      </c>
      <c r="M28" t="s">
        <v>3199</v>
      </c>
      <c r="N28" t="s">
        <v>3200</v>
      </c>
      <c r="O28" t="s">
        <v>3201</v>
      </c>
      <c r="P28" t="s">
        <v>147</v>
      </c>
      <c r="Q28" t="s">
        <v>147</v>
      </c>
      <c r="R28" t="b">
        <v>0</v>
      </c>
      <c r="S28" t="s">
        <v>2939</v>
      </c>
    </row>
    <row r="29" spans="1:19" ht="11.25" customHeight="1" x14ac:dyDescent="0.15">
      <c r="A29">
        <v>2655</v>
      </c>
      <c r="B29" t="s">
        <v>101</v>
      </c>
      <c r="C29">
        <v>31241680</v>
      </c>
      <c r="D29" t="s">
        <v>3202</v>
      </c>
      <c r="E29" t="s">
        <v>3203</v>
      </c>
      <c r="F29" t="s">
        <v>3204</v>
      </c>
      <c r="G29" t="s">
        <v>3110</v>
      </c>
      <c r="H29" t="s">
        <v>3205</v>
      </c>
      <c r="I29" t="s">
        <v>3206</v>
      </c>
      <c r="J29" t="s">
        <v>3082</v>
      </c>
      <c r="K29" t="s">
        <v>3207</v>
      </c>
      <c r="L29" t="s">
        <v>3207</v>
      </c>
      <c r="M29" t="s">
        <v>3208</v>
      </c>
      <c r="N29" t="s">
        <v>3209</v>
      </c>
      <c r="O29" t="s">
        <v>3210</v>
      </c>
      <c r="P29" t="s">
        <v>3038</v>
      </c>
      <c r="Q29" t="s">
        <v>3211</v>
      </c>
      <c r="R29" t="b">
        <v>0</v>
      </c>
      <c r="S29" t="s">
        <v>2939</v>
      </c>
    </row>
    <row r="30" spans="1:19" ht="11.25" customHeight="1" x14ac:dyDescent="0.15">
      <c r="A30">
        <v>2655</v>
      </c>
      <c r="B30" t="s">
        <v>101</v>
      </c>
      <c r="C30">
        <v>31579664</v>
      </c>
      <c r="D30" t="s">
        <v>3212</v>
      </c>
      <c r="E30" t="s">
        <v>3213</v>
      </c>
      <c r="F30" t="s">
        <v>3214</v>
      </c>
      <c r="G30" t="s">
        <v>3021</v>
      </c>
      <c r="H30" t="s">
        <v>3215</v>
      </c>
      <c r="I30" t="s">
        <v>3216</v>
      </c>
      <c r="K30" t="s">
        <v>3217</v>
      </c>
      <c r="L30" t="s">
        <v>3218</v>
      </c>
      <c r="M30" t="s">
        <v>3219</v>
      </c>
      <c r="N30" t="s">
        <v>147</v>
      </c>
      <c r="O30" t="s">
        <v>3220</v>
      </c>
      <c r="P30" t="s">
        <v>3075</v>
      </c>
      <c r="Q30" t="s">
        <v>3221</v>
      </c>
      <c r="R30" t="b">
        <v>1</v>
      </c>
      <c r="S30" t="s">
        <v>2939</v>
      </c>
    </row>
    <row r="31" spans="1:19" ht="11.25" customHeight="1" x14ac:dyDescent="0.15">
      <c r="A31">
        <v>2655</v>
      </c>
      <c r="B31" t="s">
        <v>101</v>
      </c>
      <c r="C31">
        <v>26322895</v>
      </c>
      <c r="D31" t="s">
        <v>3222</v>
      </c>
      <c r="E31" t="s">
        <v>3223</v>
      </c>
      <c r="F31" t="s">
        <v>3224</v>
      </c>
      <c r="G31" t="s">
        <v>2943</v>
      </c>
      <c r="H31" t="s">
        <v>3225</v>
      </c>
      <c r="I31" t="s">
        <v>3226</v>
      </c>
      <c r="J31" t="s">
        <v>3012</v>
      </c>
      <c r="K31" t="s">
        <v>3227</v>
      </c>
      <c r="L31" t="s">
        <v>3227</v>
      </c>
      <c r="M31" t="s">
        <v>3228</v>
      </c>
      <c r="N31" t="s">
        <v>3229</v>
      </c>
      <c r="O31" t="s">
        <v>3230</v>
      </c>
      <c r="P31" t="s">
        <v>3017</v>
      </c>
      <c r="Q31" t="s">
        <v>3231</v>
      </c>
      <c r="R31" t="b">
        <v>0</v>
      </c>
      <c r="S31" t="s">
        <v>2939</v>
      </c>
    </row>
    <row r="32" spans="1:19" ht="11.25" customHeight="1" x14ac:dyDescent="0.15">
      <c r="A32">
        <v>2655</v>
      </c>
      <c r="B32" t="s">
        <v>101</v>
      </c>
      <c r="C32">
        <v>28119331</v>
      </c>
      <c r="D32" t="s">
        <v>3232</v>
      </c>
      <c r="E32" t="s">
        <v>3233</v>
      </c>
      <c r="F32" t="s">
        <v>3234</v>
      </c>
      <c r="G32" t="s">
        <v>2943</v>
      </c>
      <c r="H32" t="s">
        <v>3235</v>
      </c>
      <c r="I32" t="s">
        <v>147</v>
      </c>
      <c r="J32" t="s">
        <v>127</v>
      </c>
      <c r="K32" t="s">
        <v>3236</v>
      </c>
      <c r="L32" t="s">
        <v>3236</v>
      </c>
      <c r="M32" t="s">
        <v>3237</v>
      </c>
      <c r="N32" t="s">
        <v>147</v>
      </c>
      <c r="O32" t="s">
        <v>3238</v>
      </c>
      <c r="P32" t="s">
        <v>3038</v>
      </c>
      <c r="Q32" t="s">
        <v>147</v>
      </c>
      <c r="R32" t="b">
        <v>1</v>
      </c>
      <c r="S32" t="s">
        <v>2939</v>
      </c>
    </row>
    <row r="33" spans="1:19" ht="11.25" customHeight="1" x14ac:dyDescent="0.15">
      <c r="A33">
        <v>2655</v>
      </c>
      <c r="B33" t="s">
        <v>101</v>
      </c>
      <c r="C33">
        <v>31775146</v>
      </c>
      <c r="D33" t="s">
        <v>3239</v>
      </c>
      <c r="E33" t="s">
        <v>3240</v>
      </c>
      <c r="F33" t="s">
        <v>3241</v>
      </c>
      <c r="G33" t="s">
        <v>3242</v>
      </c>
      <c r="H33" t="s">
        <v>3243</v>
      </c>
      <c r="I33" t="s">
        <v>3244</v>
      </c>
      <c r="K33" t="s">
        <v>3245</v>
      </c>
      <c r="L33" t="s">
        <v>3245</v>
      </c>
      <c r="M33" t="s">
        <v>3246</v>
      </c>
      <c r="N33" t="s">
        <v>3247</v>
      </c>
      <c r="O33" t="s">
        <v>3248</v>
      </c>
      <c r="P33" t="s">
        <v>3038</v>
      </c>
      <c r="Q33" t="s">
        <v>147</v>
      </c>
      <c r="R33" t="b">
        <v>1</v>
      </c>
      <c r="S33" t="s">
        <v>2939</v>
      </c>
    </row>
    <row r="34" spans="1:19" ht="11.25" customHeight="1" x14ac:dyDescent="0.15">
      <c r="A34">
        <v>2655</v>
      </c>
      <c r="B34" t="s">
        <v>101</v>
      </c>
      <c r="C34">
        <v>28869965</v>
      </c>
      <c r="D34" t="s">
        <v>3249</v>
      </c>
      <c r="E34" t="s">
        <v>3250</v>
      </c>
      <c r="F34" t="s">
        <v>3251</v>
      </c>
      <c r="G34" t="s">
        <v>3067</v>
      </c>
      <c r="H34" t="s">
        <v>3252</v>
      </c>
      <c r="I34" t="s">
        <v>147</v>
      </c>
      <c r="J34" t="s">
        <v>127</v>
      </c>
      <c r="K34" t="s">
        <v>3253</v>
      </c>
      <c r="L34" t="s">
        <v>3253</v>
      </c>
      <c r="M34" t="s">
        <v>3254</v>
      </c>
      <c r="N34" t="s">
        <v>3255</v>
      </c>
      <c r="O34" t="s">
        <v>3256</v>
      </c>
      <c r="P34" t="s">
        <v>3017</v>
      </c>
      <c r="Q34" t="s">
        <v>3257</v>
      </c>
      <c r="R34" t="b">
        <v>0</v>
      </c>
      <c r="S34" t="s">
        <v>2939</v>
      </c>
    </row>
    <row r="35" spans="1:19" ht="11.25" customHeight="1" x14ac:dyDescent="0.15">
      <c r="A35">
        <v>2655</v>
      </c>
      <c r="B35" t="s">
        <v>101</v>
      </c>
      <c r="C35">
        <v>31356597</v>
      </c>
      <c r="D35" t="s">
        <v>3258</v>
      </c>
      <c r="E35" t="s">
        <v>3259</v>
      </c>
      <c r="F35" t="s">
        <v>3260</v>
      </c>
      <c r="G35" t="s">
        <v>3138</v>
      </c>
      <c r="H35" t="s">
        <v>3261</v>
      </c>
      <c r="I35" t="s">
        <v>3262</v>
      </c>
      <c r="J35" t="s">
        <v>127</v>
      </c>
      <c r="K35" t="s">
        <v>3263</v>
      </c>
      <c r="L35" t="s">
        <v>3263</v>
      </c>
      <c r="M35" t="s">
        <v>3264</v>
      </c>
      <c r="N35" t="s">
        <v>3265</v>
      </c>
      <c r="O35" t="s">
        <v>3266</v>
      </c>
      <c r="P35" t="s">
        <v>3017</v>
      </c>
      <c r="Q35" t="s">
        <v>147</v>
      </c>
      <c r="R35" t="b">
        <v>0</v>
      </c>
      <c r="S35" t="s">
        <v>2939</v>
      </c>
    </row>
    <row r="36" spans="1:19" ht="11.25" customHeight="1" x14ac:dyDescent="0.15">
      <c r="A36">
        <v>2655</v>
      </c>
      <c r="B36" t="s">
        <v>101</v>
      </c>
      <c r="C36">
        <v>28136671</v>
      </c>
      <c r="D36" t="s">
        <v>3267</v>
      </c>
      <c r="E36" t="s">
        <v>3268</v>
      </c>
      <c r="F36" t="s">
        <v>3269</v>
      </c>
      <c r="G36" t="s">
        <v>3270</v>
      </c>
      <c r="H36" t="s">
        <v>3271</v>
      </c>
      <c r="I36" t="s">
        <v>3272</v>
      </c>
      <c r="J36" t="s">
        <v>127</v>
      </c>
      <c r="K36" t="s">
        <v>3273</v>
      </c>
      <c r="L36" t="s">
        <v>3274</v>
      </c>
      <c r="M36" t="s">
        <v>3275</v>
      </c>
      <c r="N36" t="s">
        <v>3276</v>
      </c>
      <c r="O36" t="s">
        <v>3277</v>
      </c>
      <c r="P36" t="s">
        <v>144</v>
      </c>
      <c r="Q36" t="s">
        <v>147</v>
      </c>
      <c r="R36" t="b">
        <v>1</v>
      </c>
      <c r="S36" t="s">
        <v>2939</v>
      </c>
    </row>
    <row r="37" spans="1:19" ht="11.25" customHeight="1" x14ac:dyDescent="0.15">
      <c r="A37">
        <v>2655</v>
      </c>
      <c r="B37" t="s">
        <v>101</v>
      </c>
      <c r="C37">
        <v>30854705</v>
      </c>
      <c r="D37" t="s">
        <v>3278</v>
      </c>
      <c r="E37" t="s">
        <v>3279</v>
      </c>
      <c r="F37" t="s">
        <v>3280</v>
      </c>
      <c r="G37" t="s">
        <v>2965</v>
      </c>
      <c r="H37" t="s">
        <v>3281</v>
      </c>
      <c r="I37" t="s">
        <v>3282</v>
      </c>
      <c r="J37" t="s">
        <v>127</v>
      </c>
      <c r="K37" t="s">
        <v>3283</v>
      </c>
      <c r="L37" t="s">
        <v>3283</v>
      </c>
      <c r="M37" t="s">
        <v>3284</v>
      </c>
      <c r="N37" t="s">
        <v>3285</v>
      </c>
      <c r="O37" t="s">
        <v>3286</v>
      </c>
      <c r="P37" t="s">
        <v>3017</v>
      </c>
      <c r="Q37" t="s">
        <v>191</v>
      </c>
      <c r="R37" t="b">
        <v>0</v>
      </c>
      <c r="S37" t="s">
        <v>2939</v>
      </c>
    </row>
    <row r="38" spans="1:19" ht="11.25" customHeight="1" x14ac:dyDescent="0.15">
      <c r="A38">
        <v>2655</v>
      </c>
      <c r="B38" t="s">
        <v>101</v>
      </c>
      <c r="C38">
        <v>31656254</v>
      </c>
      <c r="D38" t="s">
        <v>3287</v>
      </c>
      <c r="E38" t="s">
        <v>3288</v>
      </c>
      <c r="F38" t="s">
        <v>3289</v>
      </c>
      <c r="G38" t="s">
        <v>3290</v>
      </c>
      <c r="H38" t="s">
        <v>3291</v>
      </c>
      <c r="I38" t="s">
        <v>3292</v>
      </c>
      <c r="K38" t="s">
        <v>3293</v>
      </c>
      <c r="L38" t="s">
        <v>3294</v>
      </c>
      <c r="M38" t="s">
        <v>3295</v>
      </c>
      <c r="N38" t="s">
        <v>3296</v>
      </c>
      <c r="O38" t="s">
        <v>3297</v>
      </c>
      <c r="P38" t="s">
        <v>3075</v>
      </c>
      <c r="Q38" t="s">
        <v>3298</v>
      </c>
      <c r="R38" t="b">
        <v>0</v>
      </c>
      <c r="S38" t="s">
        <v>2939</v>
      </c>
    </row>
    <row r="39" spans="1:19" ht="11.25" customHeight="1" x14ac:dyDescent="0.15">
      <c r="A39">
        <v>2655</v>
      </c>
      <c r="B39" t="s">
        <v>101</v>
      </c>
      <c r="C39">
        <v>31424033</v>
      </c>
      <c r="D39" t="s">
        <v>3299</v>
      </c>
      <c r="E39" t="s">
        <v>3300</v>
      </c>
      <c r="F39" t="s">
        <v>3301</v>
      </c>
      <c r="G39" t="s">
        <v>3302</v>
      </c>
      <c r="H39" t="s">
        <v>3303</v>
      </c>
      <c r="I39" t="s">
        <v>147</v>
      </c>
      <c r="J39" t="s">
        <v>127</v>
      </c>
      <c r="K39" t="s">
        <v>147</v>
      </c>
      <c r="L39" t="s">
        <v>147</v>
      </c>
      <c r="M39" t="s">
        <v>147</v>
      </c>
      <c r="N39" t="s">
        <v>147</v>
      </c>
      <c r="O39" t="s">
        <v>147</v>
      </c>
      <c r="P39" t="s">
        <v>147</v>
      </c>
      <c r="Q39" t="s">
        <v>147</v>
      </c>
      <c r="R39" t="b">
        <v>0</v>
      </c>
      <c r="S39" t="s">
        <v>2939</v>
      </c>
    </row>
    <row r="40" spans="1:19" ht="11.25" customHeight="1" x14ac:dyDescent="0.15">
      <c r="A40">
        <v>2655</v>
      </c>
      <c r="B40" t="s">
        <v>101</v>
      </c>
      <c r="C40">
        <v>26428026</v>
      </c>
      <c r="D40" t="s">
        <v>3304</v>
      </c>
      <c r="E40" t="s">
        <v>3305</v>
      </c>
      <c r="F40" t="s">
        <v>3306</v>
      </c>
      <c r="G40" t="s">
        <v>3307</v>
      </c>
      <c r="H40" t="s">
        <v>3308</v>
      </c>
      <c r="I40" t="s">
        <v>147</v>
      </c>
      <c r="K40" t="s">
        <v>3309</v>
      </c>
      <c r="L40" t="s">
        <v>3309</v>
      </c>
      <c r="M40" t="s">
        <v>3310</v>
      </c>
      <c r="N40" t="s">
        <v>3311</v>
      </c>
      <c r="O40" t="s">
        <v>3312</v>
      </c>
      <c r="P40" t="s">
        <v>3075</v>
      </c>
      <c r="Q40" t="s">
        <v>147</v>
      </c>
      <c r="R40" t="b">
        <v>1</v>
      </c>
      <c r="S40" t="s">
        <v>2939</v>
      </c>
    </row>
    <row r="41" spans="1:19" ht="11.25" customHeight="1" x14ac:dyDescent="0.15">
      <c r="A41">
        <v>2655</v>
      </c>
      <c r="B41" t="s">
        <v>101</v>
      </c>
      <c r="C41">
        <v>28151808</v>
      </c>
      <c r="D41" t="s">
        <v>3313</v>
      </c>
      <c r="E41" t="s">
        <v>3314</v>
      </c>
      <c r="F41" t="s">
        <v>3315</v>
      </c>
      <c r="G41" t="s">
        <v>3021</v>
      </c>
      <c r="H41" t="s">
        <v>3316</v>
      </c>
      <c r="I41" t="s">
        <v>3317</v>
      </c>
      <c r="J41" t="s">
        <v>127</v>
      </c>
      <c r="K41" t="s">
        <v>3318</v>
      </c>
      <c r="L41" t="s">
        <v>3319</v>
      </c>
      <c r="M41" t="s">
        <v>3320</v>
      </c>
      <c r="N41" t="s">
        <v>3321</v>
      </c>
      <c r="O41" t="s">
        <v>3322</v>
      </c>
      <c r="P41" t="s">
        <v>3017</v>
      </c>
      <c r="Q41" t="s">
        <v>147</v>
      </c>
      <c r="R41" t="b">
        <v>1</v>
      </c>
      <c r="S41" t="s">
        <v>2939</v>
      </c>
    </row>
    <row r="42" spans="1:19" ht="11.25" customHeight="1" x14ac:dyDescent="0.15">
      <c r="A42">
        <v>2655</v>
      </c>
      <c r="B42" t="s">
        <v>101</v>
      </c>
      <c r="C42">
        <v>31739633</v>
      </c>
      <c r="D42" t="s">
        <v>3323</v>
      </c>
      <c r="E42" t="s">
        <v>3324</v>
      </c>
      <c r="F42" t="s">
        <v>3325</v>
      </c>
      <c r="G42" t="s">
        <v>3326</v>
      </c>
      <c r="H42" t="s">
        <v>3327</v>
      </c>
      <c r="I42" t="s">
        <v>3328</v>
      </c>
      <c r="K42" t="s">
        <v>3329</v>
      </c>
      <c r="L42" t="s">
        <v>3329</v>
      </c>
      <c r="M42" t="s">
        <v>3330</v>
      </c>
      <c r="N42" t="s">
        <v>3331</v>
      </c>
      <c r="O42" t="s">
        <v>3332</v>
      </c>
      <c r="P42" t="s">
        <v>3038</v>
      </c>
      <c r="Q42" t="s">
        <v>147</v>
      </c>
      <c r="R42" t="b">
        <v>0</v>
      </c>
      <c r="S42" t="s">
        <v>2939</v>
      </c>
    </row>
    <row r="43" spans="1:19" ht="11.25" customHeight="1" x14ac:dyDescent="0.15">
      <c r="A43">
        <v>2655</v>
      </c>
      <c r="B43" t="s">
        <v>101</v>
      </c>
      <c r="C43">
        <v>31541617</v>
      </c>
      <c r="D43" t="s">
        <v>3333</v>
      </c>
      <c r="E43" t="s">
        <v>3334</v>
      </c>
      <c r="F43" t="s">
        <v>3335</v>
      </c>
      <c r="G43" t="s">
        <v>3336</v>
      </c>
      <c r="H43" t="s">
        <v>3337</v>
      </c>
      <c r="I43" t="s">
        <v>3338</v>
      </c>
      <c r="K43" t="s">
        <v>3339</v>
      </c>
      <c r="L43" t="s">
        <v>3339</v>
      </c>
      <c r="M43" t="s">
        <v>3340</v>
      </c>
      <c r="N43" t="s">
        <v>3341</v>
      </c>
      <c r="O43" t="s">
        <v>3342</v>
      </c>
      <c r="P43" t="s">
        <v>3038</v>
      </c>
      <c r="Q43" t="s">
        <v>147</v>
      </c>
      <c r="R43" t="b">
        <v>1</v>
      </c>
      <c r="S43" t="s">
        <v>2939</v>
      </c>
    </row>
    <row r="44" spans="1:19" ht="11.25" customHeight="1" x14ac:dyDescent="0.15">
      <c r="A44">
        <v>2655</v>
      </c>
      <c r="B44" t="s">
        <v>101</v>
      </c>
      <c r="C44">
        <v>26356987</v>
      </c>
      <c r="D44" t="s">
        <v>3343</v>
      </c>
      <c r="E44" t="s">
        <v>3344</v>
      </c>
      <c r="F44" t="s">
        <v>3345</v>
      </c>
      <c r="G44" t="s">
        <v>3346</v>
      </c>
      <c r="H44" t="s">
        <v>3347</v>
      </c>
      <c r="I44" t="s">
        <v>3348</v>
      </c>
      <c r="J44" t="s">
        <v>127</v>
      </c>
      <c r="K44" t="s">
        <v>3349</v>
      </c>
      <c r="L44" t="s">
        <v>3349</v>
      </c>
      <c r="M44" t="s">
        <v>3350</v>
      </c>
      <c r="N44" t="s">
        <v>3351</v>
      </c>
      <c r="O44" t="s">
        <v>3352</v>
      </c>
      <c r="P44" t="s">
        <v>3038</v>
      </c>
      <c r="Q44" t="s">
        <v>3353</v>
      </c>
      <c r="R44" t="b">
        <v>0</v>
      </c>
      <c r="S44" t="s">
        <v>2939</v>
      </c>
    </row>
    <row r="45" spans="1:19" ht="11.25" customHeight="1" x14ac:dyDescent="0.15">
      <c r="A45">
        <v>2655</v>
      </c>
      <c r="B45" t="s">
        <v>101</v>
      </c>
      <c r="C45">
        <v>26356891</v>
      </c>
      <c r="D45" t="s">
        <v>3354</v>
      </c>
      <c r="E45" t="s">
        <v>3355</v>
      </c>
      <c r="F45" t="s">
        <v>3356</v>
      </c>
      <c r="G45" t="s">
        <v>3167</v>
      </c>
      <c r="H45" t="s">
        <v>3357</v>
      </c>
      <c r="I45" t="s">
        <v>3358</v>
      </c>
      <c r="J45" t="s">
        <v>127</v>
      </c>
      <c r="K45" t="s">
        <v>3359</v>
      </c>
      <c r="L45" t="s">
        <v>3359</v>
      </c>
      <c r="M45" t="s">
        <v>3360</v>
      </c>
      <c r="N45" t="s">
        <v>3361</v>
      </c>
      <c r="O45" t="s">
        <v>3362</v>
      </c>
      <c r="P45" t="s">
        <v>3075</v>
      </c>
      <c r="Q45" t="s">
        <v>147</v>
      </c>
      <c r="R45" t="b">
        <v>0</v>
      </c>
      <c r="S45" t="s">
        <v>2939</v>
      </c>
    </row>
    <row r="46" spans="1:19" ht="11.25" customHeight="1" x14ac:dyDescent="0.15">
      <c r="A46">
        <v>2655</v>
      </c>
      <c r="B46" t="s">
        <v>101</v>
      </c>
      <c r="C46">
        <v>31241637</v>
      </c>
      <c r="D46" t="s">
        <v>3363</v>
      </c>
      <c r="E46" t="s">
        <v>3364</v>
      </c>
      <c r="F46" t="s">
        <v>3365</v>
      </c>
      <c r="G46" t="s">
        <v>122</v>
      </c>
      <c r="H46" t="s">
        <v>3366</v>
      </c>
      <c r="I46" t="s">
        <v>3367</v>
      </c>
      <c r="J46" t="s">
        <v>127</v>
      </c>
      <c r="K46" t="s">
        <v>3368</v>
      </c>
      <c r="L46" t="s">
        <v>3368</v>
      </c>
      <c r="M46" t="s">
        <v>3369</v>
      </c>
      <c r="N46" t="s">
        <v>147</v>
      </c>
      <c r="O46" t="s">
        <v>3370</v>
      </c>
      <c r="P46" t="s">
        <v>3038</v>
      </c>
      <c r="Q46" t="s">
        <v>147</v>
      </c>
      <c r="R46" t="b">
        <v>0</v>
      </c>
      <c r="S46" t="s">
        <v>2939</v>
      </c>
    </row>
    <row r="47" spans="1:19" ht="11.25" customHeight="1" x14ac:dyDescent="0.15">
      <c r="A47">
        <v>2655</v>
      </c>
      <c r="B47" t="s">
        <v>101</v>
      </c>
      <c r="C47">
        <v>26356937</v>
      </c>
      <c r="D47" t="s">
        <v>3371</v>
      </c>
      <c r="E47" t="s">
        <v>3372</v>
      </c>
      <c r="F47" t="s">
        <v>3373</v>
      </c>
      <c r="G47" t="s">
        <v>3242</v>
      </c>
      <c r="H47" t="s">
        <v>3374</v>
      </c>
      <c r="I47" t="s">
        <v>3375</v>
      </c>
      <c r="J47" t="s">
        <v>127</v>
      </c>
      <c r="K47" t="s">
        <v>3376</v>
      </c>
      <c r="L47" t="s">
        <v>3376</v>
      </c>
      <c r="M47" t="s">
        <v>3377</v>
      </c>
      <c r="N47" t="s">
        <v>3378</v>
      </c>
      <c r="O47" t="s">
        <v>3379</v>
      </c>
      <c r="P47" t="s">
        <v>3038</v>
      </c>
      <c r="Q47" t="s">
        <v>3380</v>
      </c>
      <c r="R47" t="b">
        <v>0</v>
      </c>
      <c r="S47" t="s">
        <v>2939</v>
      </c>
    </row>
    <row r="48" spans="1:19" ht="11.25" customHeight="1" x14ac:dyDescent="0.15">
      <c r="A48">
        <v>2655</v>
      </c>
      <c r="B48" t="s">
        <v>101</v>
      </c>
      <c r="C48">
        <v>31770754</v>
      </c>
      <c r="D48" t="s">
        <v>3381</v>
      </c>
      <c r="E48" t="s">
        <v>3382</v>
      </c>
      <c r="F48" t="s">
        <v>3383</v>
      </c>
      <c r="G48" t="s">
        <v>3326</v>
      </c>
      <c r="H48" t="s">
        <v>3384</v>
      </c>
      <c r="I48" t="s">
        <v>3385</v>
      </c>
      <c r="K48" t="s">
        <v>3386</v>
      </c>
      <c r="L48" t="s">
        <v>3387</v>
      </c>
      <c r="M48" t="s">
        <v>3388</v>
      </c>
      <c r="N48" t="s">
        <v>3389</v>
      </c>
      <c r="O48" t="s">
        <v>3390</v>
      </c>
      <c r="P48" t="s">
        <v>3075</v>
      </c>
      <c r="Q48" t="s">
        <v>147</v>
      </c>
      <c r="R48" t="b">
        <v>1</v>
      </c>
      <c r="S48" t="s">
        <v>2939</v>
      </c>
    </row>
    <row r="49" spans="1:19" ht="11.25" customHeight="1" x14ac:dyDescent="0.15">
      <c r="A49">
        <v>2655</v>
      </c>
      <c r="B49" t="s">
        <v>101</v>
      </c>
      <c r="C49">
        <v>31528492</v>
      </c>
      <c r="D49" t="s">
        <v>111</v>
      </c>
      <c r="E49" t="s">
        <v>114</v>
      </c>
      <c r="F49" t="s">
        <v>120</v>
      </c>
      <c r="G49" t="s">
        <v>122</v>
      </c>
      <c r="H49" t="s">
        <v>118</v>
      </c>
      <c r="I49" t="s">
        <v>124</v>
      </c>
      <c r="K49" t="s">
        <v>130</v>
      </c>
      <c r="L49" t="s">
        <v>130</v>
      </c>
      <c r="M49" t="s">
        <v>135</v>
      </c>
      <c r="N49" t="s">
        <v>138</v>
      </c>
      <c r="O49" t="s">
        <v>3391</v>
      </c>
      <c r="P49" t="s">
        <v>144</v>
      </c>
      <c r="Q49" t="s">
        <v>147</v>
      </c>
      <c r="R49" t="b">
        <v>0</v>
      </c>
      <c r="S49" t="s">
        <v>2939</v>
      </c>
    </row>
    <row r="50" spans="1:19" ht="11.25" customHeight="1" x14ac:dyDescent="0.15">
      <c r="A50">
        <v>2655</v>
      </c>
      <c r="B50" t="s">
        <v>101</v>
      </c>
      <c r="C50">
        <v>28270293</v>
      </c>
      <c r="D50" t="s">
        <v>3392</v>
      </c>
      <c r="E50" t="s">
        <v>3393</v>
      </c>
      <c r="F50" t="s">
        <v>3394</v>
      </c>
      <c r="G50" t="s">
        <v>3167</v>
      </c>
      <c r="H50" t="s">
        <v>3395</v>
      </c>
      <c r="I50" t="s">
        <v>3396</v>
      </c>
      <c r="J50" t="s">
        <v>127</v>
      </c>
      <c r="K50" t="s">
        <v>3397</v>
      </c>
      <c r="L50" t="s">
        <v>3397</v>
      </c>
      <c r="M50" t="s">
        <v>3398</v>
      </c>
      <c r="N50" t="s">
        <v>3399</v>
      </c>
      <c r="O50" t="s">
        <v>3400</v>
      </c>
      <c r="P50" t="s">
        <v>3017</v>
      </c>
      <c r="Q50" t="s">
        <v>147</v>
      </c>
      <c r="R50" t="b">
        <v>0</v>
      </c>
      <c r="S50" t="s">
        <v>2939</v>
      </c>
    </row>
    <row r="51" spans="1:19" ht="11.25" customHeight="1" x14ac:dyDescent="0.15">
      <c r="A51">
        <v>2655</v>
      </c>
      <c r="B51" t="s">
        <v>101</v>
      </c>
      <c r="C51">
        <v>28873362</v>
      </c>
      <c r="D51" t="s">
        <v>3401</v>
      </c>
      <c r="E51" t="s">
        <v>3402</v>
      </c>
      <c r="F51" t="s">
        <v>3403</v>
      </c>
      <c r="G51" t="s">
        <v>2943</v>
      </c>
      <c r="H51" t="s">
        <v>3404</v>
      </c>
      <c r="I51" t="s">
        <v>3405</v>
      </c>
      <c r="J51" t="s">
        <v>127</v>
      </c>
      <c r="K51" t="s">
        <v>3406</v>
      </c>
      <c r="L51" t="s">
        <v>3406</v>
      </c>
      <c r="M51" t="s">
        <v>3407</v>
      </c>
      <c r="N51" t="s">
        <v>3408</v>
      </c>
      <c r="O51" t="s">
        <v>3409</v>
      </c>
      <c r="P51" t="s">
        <v>3075</v>
      </c>
      <c r="Q51" t="s">
        <v>3410</v>
      </c>
      <c r="R51" t="b">
        <v>0</v>
      </c>
      <c r="S51" t="s">
        <v>2939</v>
      </c>
    </row>
    <row r="52" spans="1:19" ht="11.25" customHeight="1" x14ac:dyDescent="0.15">
      <c r="A52">
        <v>2655</v>
      </c>
      <c r="B52" t="s">
        <v>101</v>
      </c>
      <c r="C52">
        <v>28976681</v>
      </c>
      <c r="D52" t="s">
        <v>3411</v>
      </c>
      <c r="E52" t="s">
        <v>3412</v>
      </c>
      <c r="F52" t="s">
        <v>3413</v>
      </c>
      <c r="G52" t="s">
        <v>3167</v>
      </c>
      <c r="H52" t="s">
        <v>3414</v>
      </c>
      <c r="I52" t="s">
        <v>3415</v>
      </c>
      <c r="J52" t="s">
        <v>127</v>
      </c>
      <c r="K52" t="s">
        <v>3416</v>
      </c>
      <c r="L52" t="s">
        <v>3416</v>
      </c>
      <c r="M52" t="s">
        <v>3417</v>
      </c>
      <c r="N52" t="s">
        <v>147</v>
      </c>
      <c r="O52" t="s">
        <v>3418</v>
      </c>
      <c r="P52" t="s">
        <v>3075</v>
      </c>
      <c r="Q52" t="s">
        <v>147</v>
      </c>
      <c r="R52" t="b">
        <v>1</v>
      </c>
      <c r="S52" t="s">
        <v>2939</v>
      </c>
    </row>
    <row r="53" spans="1:19" ht="11.25" customHeight="1" x14ac:dyDescent="0.15">
      <c r="A53">
        <v>2655</v>
      </c>
      <c r="B53" t="s">
        <v>101</v>
      </c>
      <c r="C53">
        <v>30992391</v>
      </c>
      <c r="D53" t="s">
        <v>3419</v>
      </c>
      <c r="E53" t="s">
        <v>3420</v>
      </c>
      <c r="F53" t="s">
        <v>3421</v>
      </c>
      <c r="G53" t="s">
        <v>3067</v>
      </c>
      <c r="H53" t="s">
        <v>3422</v>
      </c>
      <c r="I53" t="s">
        <v>3423</v>
      </c>
      <c r="J53" t="s">
        <v>127</v>
      </c>
      <c r="K53" t="s">
        <v>3424</v>
      </c>
      <c r="L53" t="s">
        <v>3425</v>
      </c>
      <c r="M53" t="s">
        <v>3426</v>
      </c>
      <c r="N53" t="s">
        <v>3427</v>
      </c>
      <c r="O53" t="s">
        <v>3428</v>
      </c>
      <c r="P53" t="s">
        <v>3075</v>
      </c>
      <c r="Q53" t="s">
        <v>3429</v>
      </c>
      <c r="R53" t="b">
        <v>0</v>
      </c>
      <c r="S53" t="s">
        <v>2939</v>
      </c>
    </row>
    <row r="54" spans="1:19" ht="11.25" customHeight="1" x14ac:dyDescent="0.15">
      <c r="A54">
        <v>2655</v>
      </c>
      <c r="B54" t="s">
        <v>101</v>
      </c>
      <c r="C54">
        <v>30808511</v>
      </c>
      <c r="D54" t="s">
        <v>3430</v>
      </c>
      <c r="E54" t="s">
        <v>3430</v>
      </c>
      <c r="F54" t="s">
        <v>3431</v>
      </c>
      <c r="G54" t="s">
        <v>3432</v>
      </c>
      <c r="H54" t="s">
        <v>3433</v>
      </c>
      <c r="I54" t="s">
        <v>3434</v>
      </c>
      <c r="J54" t="s">
        <v>3435</v>
      </c>
      <c r="K54" t="s">
        <v>3436</v>
      </c>
      <c r="L54" t="s">
        <v>3437</v>
      </c>
      <c r="M54" t="s">
        <v>3438</v>
      </c>
      <c r="N54" t="s">
        <v>147</v>
      </c>
      <c r="O54" t="s">
        <v>3439</v>
      </c>
      <c r="P54" t="s">
        <v>3075</v>
      </c>
      <c r="Q54" t="s">
        <v>3440</v>
      </c>
      <c r="R54" t="b">
        <v>0</v>
      </c>
      <c r="S54" t="s">
        <v>2939</v>
      </c>
    </row>
    <row r="55" spans="1:19" ht="11.25" customHeight="1" x14ac:dyDescent="0.15">
      <c r="A55">
        <v>2655</v>
      </c>
      <c r="B55" t="s">
        <v>101</v>
      </c>
      <c r="C55">
        <v>26987067</v>
      </c>
      <c r="D55" t="s">
        <v>3441</v>
      </c>
      <c r="E55" t="s">
        <v>147</v>
      </c>
      <c r="F55" t="s">
        <v>3431</v>
      </c>
      <c r="G55" t="s">
        <v>3442</v>
      </c>
      <c r="H55" t="s">
        <v>3433</v>
      </c>
      <c r="I55" t="s">
        <v>147</v>
      </c>
      <c r="J55" t="s">
        <v>3012</v>
      </c>
      <c r="K55" t="s">
        <v>3443</v>
      </c>
      <c r="L55" t="s">
        <v>3444</v>
      </c>
      <c r="M55" t="s">
        <v>147</v>
      </c>
      <c r="N55" t="s">
        <v>147</v>
      </c>
      <c r="O55" t="s">
        <v>147</v>
      </c>
      <c r="P55" t="s">
        <v>147</v>
      </c>
      <c r="Q55" t="s">
        <v>147</v>
      </c>
      <c r="R55" t="b">
        <v>0</v>
      </c>
      <c r="S55" t="s">
        <v>2939</v>
      </c>
    </row>
    <row r="56" spans="1:19" ht="11.25" customHeight="1" x14ac:dyDescent="0.15">
      <c r="A56">
        <v>2655</v>
      </c>
      <c r="B56" t="s">
        <v>101</v>
      </c>
      <c r="C56">
        <v>26520873</v>
      </c>
      <c r="D56" t="s">
        <v>3445</v>
      </c>
      <c r="E56" t="s">
        <v>3446</v>
      </c>
      <c r="F56" t="s">
        <v>3431</v>
      </c>
      <c r="G56" t="s">
        <v>3447</v>
      </c>
      <c r="H56" t="s">
        <v>3433</v>
      </c>
      <c r="I56" t="s">
        <v>3448</v>
      </c>
      <c r="J56" t="s">
        <v>3435</v>
      </c>
      <c r="K56" t="s">
        <v>3449</v>
      </c>
      <c r="L56" t="s">
        <v>3450</v>
      </c>
      <c r="M56" t="s">
        <v>3451</v>
      </c>
      <c r="N56" t="s">
        <v>3452</v>
      </c>
      <c r="O56" t="s">
        <v>3453</v>
      </c>
      <c r="P56" t="s">
        <v>3075</v>
      </c>
      <c r="Q56" t="s">
        <v>3454</v>
      </c>
      <c r="R56" t="b">
        <v>0</v>
      </c>
      <c r="S56" t="s">
        <v>2939</v>
      </c>
    </row>
    <row r="57" spans="1:19" ht="11.25" customHeight="1" x14ac:dyDescent="0.15">
      <c r="A57">
        <v>2655</v>
      </c>
      <c r="B57" t="s">
        <v>101</v>
      </c>
      <c r="C57">
        <v>30984255</v>
      </c>
      <c r="D57" t="s">
        <v>3455</v>
      </c>
      <c r="E57" t="s">
        <v>3456</v>
      </c>
      <c r="F57" t="s">
        <v>3457</v>
      </c>
      <c r="G57" t="s">
        <v>3021</v>
      </c>
      <c r="H57" t="s">
        <v>3458</v>
      </c>
      <c r="I57" t="s">
        <v>3459</v>
      </c>
      <c r="J57" t="s">
        <v>3460</v>
      </c>
      <c r="K57" t="s">
        <v>3461</v>
      </c>
      <c r="L57" t="s">
        <v>3461</v>
      </c>
      <c r="M57" t="s">
        <v>3462</v>
      </c>
      <c r="N57" t="s">
        <v>3463</v>
      </c>
      <c r="O57" t="s">
        <v>3464</v>
      </c>
      <c r="P57" t="s">
        <v>3465</v>
      </c>
      <c r="Q57" t="s">
        <v>147</v>
      </c>
      <c r="R57" t="b">
        <v>0</v>
      </c>
      <c r="S57" t="s">
        <v>2939</v>
      </c>
    </row>
    <row r="58" spans="1:19" ht="11.25" customHeight="1" x14ac:dyDescent="0.15">
      <c r="A58">
        <v>2655</v>
      </c>
      <c r="B58" t="s">
        <v>101</v>
      </c>
      <c r="C58">
        <v>28976938</v>
      </c>
      <c r="D58" t="s">
        <v>2925</v>
      </c>
      <c r="E58" t="s">
        <v>2926</v>
      </c>
      <c r="F58" t="s">
        <v>2927</v>
      </c>
      <c r="G58" t="s">
        <v>2928</v>
      </c>
      <c r="H58" t="s">
        <v>2929</v>
      </c>
      <c r="I58" t="s">
        <v>2930</v>
      </c>
      <c r="J58" t="s">
        <v>2931</v>
      </c>
      <c r="K58" t="s">
        <v>2932</v>
      </c>
      <c r="L58" t="s">
        <v>2933</v>
      </c>
      <c r="M58" t="s">
        <v>2934</v>
      </c>
      <c r="N58" t="s">
        <v>2935</v>
      </c>
      <c r="O58" t="s">
        <v>2936</v>
      </c>
      <c r="P58" t="s">
        <v>2937</v>
      </c>
      <c r="Q58" t="s">
        <v>2938</v>
      </c>
      <c r="R58" t="b">
        <v>0</v>
      </c>
      <c r="S58" t="s">
        <v>3466</v>
      </c>
    </row>
    <row r="59" spans="1:19" ht="11.25" customHeight="1" x14ac:dyDescent="0.15">
      <c r="A59">
        <v>2655</v>
      </c>
      <c r="B59" t="s">
        <v>101</v>
      </c>
      <c r="C59">
        <v>26356915</v>
      </c>
      <c r="D59" t="s">
        <v>3467</v>
      </c>
      <c r="E59" t="s">
        <v>3468</v>
      </c>
      <c r="F59" t="s">
        <v>3469</v>
      </c>
      <c r="G59" t="s">
        <v>3156</v>
      </c>
      <c r="H59" t="s">
        <v>3470</v>
      </c>
      <c r="I59" t="s">
        <v>3471</v>
      </c>
      <c r="J59" t="s">
        <v>2931</v>
      </c>
      <c r="K59" t="s">
        <v>3472</v>
      </c>
      <c r="L59" t="s">
        <v>3472</v>
      </c>
      <c r="M59" t="s">
        <v>3473</v>
      </c>
      <c r="N59" t="s">
        <v>3474</v>
      </c>
      <c r="O59" t="s">
        <v>3475</v>
      </c>
      <c r="P59" t="s">
        <v>3017</v>
      </c>
      <c r="Q59" t="s">
        <v>191</v>
      </c>
      <c r="R59" t="b">
        <v>0</v>
      </c>
      <c r="S59" t="s">
        <v>3466</v>
      </c>
    </row>
    <row r="60" spans="1:19" ht="11.25" customHeight="1" x14ac:dyDescent="0.15">
      <c r="A60">
        <v>2655</v>
      </c>
      <c r="B60" t="s">
        <v>101</v>
      </c>
      <c r="C60">
        <v>27857950</v>
      </c>
      <c r="D60" t="s">
        <v>3476</v>
      </c>
      <c r="E60" t="s">
        <v>3477</v>
      </c>
      <c r="F60" t="s">
        <v>3478</v>
      </c>
      <c r="G60" t="s">
        <v>3346</v>
      </c>
      <c r="H60" t="s">
        <v>3479</v>
      </c>
      <c r="I60" t="s">
        <v>147</v>
      </c>
      <c r="J60" t="s">
        <v>2931</v>
      </c>
      <c r="K60" t="s">
        <v>3480</v>
      </c>
      <c r="L60" t="s">
        <v>3480</v>
      </c>
      <c r="M60" t="s">
        <v>3481</v>
      </c>
      <c r="N60" t="s">
        <v>3482</v>
      </c>
      <c r="O60" t="s">
        <v>3483</v>
      </c>
      <c r="P60" t="s">
        <v>3038</v>
      </c>
      <c r="Q60" t="s">
        <v>147</v>
      </c>
      <c r="R60" t="b">
        <v>1</v>
      </c>
      <c r="S60" t="s">
        <v>3466</v>
      </c>
    </row>
    <row r="61" spans="1:19" ht="11.25" customHeight="1" x14ac:dyDescent="0.15">
      <c r="A61">
        <v>2655</v>
      </c>
      <c r="B61" t="s">
        <v>101</v>
      </c>
      <c r="C61">
        <v>26356963</v>
      </c>
      <c r="D61" t="s">
        <v>2962</v>
      </c>
      <c r="E61" t="s">
        <v>2963</v>
      </c>
      <c r="F61" t="s">
        <v>2964</v>
      </c>
      <c r="G61" t="s">
        <v>2965</v>
      </c>
      <c r="H61" t="s">
        <v>2966</v>
      </c>
      <c r="I61" t="s">
        <v>147</v>
      </c>
      <c r="J61" t="s">
        <v>2931</v>
      </c>
      <c r="K61" t="s">
        <v>2967</v>
      </c>
      <c r="L61" t="s">
        <v>2967</v>
      </c>
      <c r="M61" t="s">
        <v>2968</v>
      </c>
      <c r="N61" t="s">
        <v>2969</v>
      </c>
      <c r="O61" t="s">
        <v>2970</v>
      </c>
      <c r="P61" t="s">
        <v>2971</v>
      </c>
      <c r="Q61" t="s">
        <v>147</v>
      </c>
      <c r="R61" t="b">
        <v>0</v>
      </c>
      <c r="S61" t="s">
        <v>3466</v>
      </c>
    </row>
    <row r="62" spans="1:19" ht="11.25" customHeight="1" x14ac:dyDescent="0.15">
      <c r="A62">
        <v>2655</v>
      </c>
      <c r="B62" t="s">
        <v>101</v>
      </c>
      <c r="C62">
        <v>26322889</v>
      </c>
      <c r="D62" t="s">
        <v>2972</v>
      </c>
      <c r="E62" t="s">
        <v>2973</v>
      </c>
      <c r="F62" t="s">
        <v>2974</v>
      </c>
      <c r="G62" t="s">
        <v>2975</v>
      </c>
      <c r="H62" t="s">
        <v>2976</v>
      </c>
      <c r="I62" t="s">
        <v>2977</v>
      </c>
      <c r="J62" t="s">
        <v>2931</v>
      </c>
      <c r="K62" t="s">
        <v>2978</v>
      </c>
      <c r="L62" t="s">
        <v>2979</v>
      </c>
      <c r="M62" t="s">
        <v>2980</v>
      </c>
      <c r="N62" t="s">
        <v>2981</v>
      </c>
      <c r="O62" t="s">
        <v>2982</v>
      </c>
      <c r="P62" t="s">
        <v>2983</v>
      </c>
      <c r="Q62" t="s">
        <v>2984</v>
      </c>
      <c r="R62" t="b">
        <v>0</v>
      </c>
      <c r="S62" t="s">
        <v>3466</v>
      </c>
    </row>
    <row r="63" spans="1:19" ht="11.25" customHeight="1" x14ac:dyDescent="0.15">
      <c r="A63">
        <v>2655</v>
      </c>
      <c r="B63" t="s">
        <v>101</v>
      </c>
      <c r="C63">
        <v>31833446</v>
      </c>
      <c r="D63" t="s">
        <v>3484</v>
      </c>
      <c r="E63" t="s">
        <v>3485</v>
      </c>
      <c r="F63" t="s">
        <v>3486</v>
      </c>
      <c r="G63" t="s">
        <v>2943</v>
      </c>
      <c r="H63" t="s">
        <v>3487</v>
      </c>
      <c r="I63" t="s">
        <v>147</v>
      </c>
      <c r="K63" t="s">
        <v>147</v>
      </c>
      <c r="L63" t="s">
        <v>3488</v>
      </c>
      <c r="M63" t="s">
        <v>147</v>
      </c>
      <c r="N63" t="s">
        <v>147</v>
      </c>
      <c r="O63" t="s">
        <v>3489</v>
      </c>
      <c r="P63" t="s">
        <v>144</v>
      </c>
      <c r="Q63" t="s">
        <v>147</v>
      </c>
      <c r="R63" t="b">
        <v>0</v>
      </c>
      <c r="S63" t="s">
        <v>3466</v>
      </c>
    </row>
    <row r="64" spans="1:19" ht="11.25" customHeight="1" x14ac:dyDescent="0.15">
      <c r="A64">
        <v>2655</v>
      </c>
      <c r="B64" t="s">
        <v>101</v>
      </c>
      <c r="C64">
        <v>27820148</v>
      </c>
      <c r="D64" t="s">
        <v>3490</v>
      </c>
      <c r="E64" t="s">
        <v>3491</v>
      </c>
      <c r="F64" t="s">
        <v>3492</v>
      </c>
      <c r="G64" t="s">
        <v>3242</v>
      </c>
      <c r="H64" t="s">
        <v>3493</v>
      </c>
      <c r="I64" t="s">
        <v>3494</v>
      </c>
      <c r="J64" t="s">
        <v>2931</v>
      </c>
      <c r="K64" t="s">
        <v>3495</v>
      </c>
      <c r="L64" t="s">
        <v>3495</v>
      </c>
      <c r="M64" t="s">
        <v>3496</v>
      </c>
      <c r="N64" t="s">
        <v>3497</v>
      </c>
      <c r="O64" t="s">
        <v>3498</v>
      </c>
      <c r="P64" t="s">
        <v>3499</v>
      </c>
      <c r="Q64" t="s">
        <v>3500</v>
      </c>
      <c r="R64" t="b">
        <v>0</v>
      </c>
      <c r="S64" t="s">
        <v>3466</v>
      </c>
    </row>
    <row r="65" spans="1:19" ht="11.25" customHeight="1" x14ac:dyDescent="0.15">
      <c r="A65">
        <v>2655</v>
      </c>
      <c r="B65" t="s">
        <v>101</v>
      </c>
      <c r="C65">
        <v>26322867</v>
      </c>
      <c r="D65" t="s">
        <v>3039</v>
      </c>
      <c r="E65" t="s">
        <v>3040</v>
      </c>
      <c r="F65" t="s">
        <v>3041</v>
      </c>
      <c r="G65" t="s">
        <v>2975</v>
      </c>
      <c r="H65" t="s">
        <v>3042</v>
      </c>
      <c r="I65" t="s">
        <v>3043</v>
      </c>
      <c r="J65" t="s">
        <v>2931</v>
      </c>
      <c r="K65" t="s">
        <v>3044</v>
      </c>
      <c r="L65" t="s">
        <v>3044</v>
      </c>
      <c r="M65" t="s">
        <v>3045</v>
      </c>
      <c r="N65" t="s">
        <v>3046</v>
      </c>
      <c r="O65" t="s">
        <v>3047</v>
      </c>
      <c r="P65" t="s">
        <v>3017</v>
      </c>
      <c r="Q65" t="s">
        <v>3048</v>
      </c>
      <c r="R65" t="b">
        <v>0</v>
      </c>
      <c r="S65" t="s">
        <v>3466</v>
      </c>
    </row>
    <row r="66" spans="1:19" ht="11.25" customHeight="1" x14ac:dyDescent="0.15">
      <c r="A66">
        <v>2655</v>
      </c>
      <c r="B66" t="s">
        <v>101</v>
      </c>
      <c r="C66">
        <v>26824396</v>
      </c>
      <c r="D66" t="s">
        <v>3058</v>
      </c>
      <c r="E66" t="s">
        <v>3059</v>
      </c>
      <c r="F66" t="s">
        <v>3020</v>
      </c>
      <c r="G66" t="s">
        <v>3060</v>
      </c>
      <c r="H66" t="s">
        <v>3022</v>
      </c>
      <c r="I66" t="s">
        <v>147</v>
      </c>
      <c r="J66" t="s">
        <v>3012</v>
      </c>
      <c r="K66" t="s">
        <v>3061</v>
      </c>
      <c r="L66" t="s">
        <v>3061</v>
      </c>
      <c r="M66" t="s">
        <v>3062</v>
      </c>
      <c r="N66" t="s">
        <v>147</v>
      </c>
      <c r="O66" t="s">
        <v>3063</v>
      </c>
      <c r="P66" t="s">
        <v>3057</v>
      </c>
      <c r="Q66" t="s">
        <v>147</v>
      </c>
      <c r="R66" t="b">
        <v>0</v>
      </c>
      <c r="S66" t="s">
        <v>3466</v>
      </c>
    </row>
    <row r="67" spans="1:19" ht="11.25" customHeight="1" x14ac:dyDescent="0.15">
      <c r="A67">
        <v>2655</v>
      </c>
      <c r="B67" t="s">
        <v>101</v>
      </c>
      <c r="C67">
        <v>30365193</v>
      </c>
      <c r="D67" t="s">
        <v>3501</v>
      </c>
      <c r="E67" t="s">
        <v>3502</v>
      </c>
      <c r="F67" t="s">
        <v>3503</v>
      </c>
      <c r="G67" t="s">
        <v>2943</v>
      </c>
      <c r="H67" t="s">
        <v>3504</v>
      </c>
      <c r="I67" t="s">
        <v>147</v>
      </c>
      <c r="J67" t="s">
        <v>3505</v>
      </c>
      <c r="K67" t="s">
        <v>3506</v>
      </c>
      <c r="L67" t="s">
        <v>3506</v>
      </c>
      <c r="M67" t="s">
        <v>147</v>
      </c>
      <c r="N67" t="s">
        <v>147</v>
      </c>
      <c r="O67" t="s">
        <v>3507</v>
      </c>
      <c r="P67" t="s">
        <v>3508</v>
      </c>
      <c r="Q67" t="s">
        <v>147</v>
      </c>
      <c r="R67" t="b">
        <v>0</v>
      </c>
      <c r="S67" t="s">
        <v>3466</v>
      </c>
    </row>
    <row r="68" spans="1:19" ht="11.25" customHeight="1" x14ac:dyDescent="0.15">
      <c r="A68">
        <v>2655</v>
      </c>
      <c r="B68" t="s">
        <v>101</v>
      </c>
      <c r="C68">
        <v>31232672</v>
      </c>
      <c r="D68" t="s">
        <v>3064</v>
      </c>
      <c r="E68" t="s">
        <v>3065</v>
      </c>
      <c r="F68" t="s">
        <v>3066</v>
      </c>
      <c r="G68" t="s">
        <v>3067</v>
      </c>
      <c r="H68" t="s">
        <v>3068</v>
      </c>
      <c r="I68" t="s">
        <v>3069</v>
      </c>
      <c r="J68" t="s">
        <v>3070</v>
      </c>
      <c r="K68" t="s">
        <v>3071</v>
      </c>
      <c r="L68" t="s">
        <v>3071</v>
      </c>
      <c r="M68" t="s">
        <v>3072</v>
      </c>
      <c r="N68" t="s">
        <v>3073</v>
      </c>
      <c r="O68" t="s">
        <v>3074</v>
      </c>
      <c r="P68" t="s">
        <v>3075</v>
      </c>
      <c r="Q68" t="s">
        <v>147</v>
      </c>
      <c r="R68" t="b">
        <v>0</v>
      </c>
      <c r="S68" t="s">
        <v>3466</v>
      </c>
    </row>
    <row r="69" spans="1:19" ht="11.25" customHeight="1" x14ac:dyDescent="0.15">
      <c r="A69">
        <v>2655</v>
      </c>
      <c r="B69" t="s">
        <v>101</v>
      </c>
      <c r="C69">
        <v>27978231</v>
      </c>
      <c r="D69" t="s">
        <v>3509</v>
      </c>
      <c r="E69" t="s">
        <v>3510</v>
      </c>
      <c r="F69" t="s">
        <v>3511</v>
      </c>
      <c r="G69" t="s">
        <v>3138</v>
      </c>
      <c r="H69" t="s">
        <v>3512</v>
      </c>
      <c r="I69" t="s">
        <v>3513</v>
      </c>
      <c r="J69" t="s">
        <v>3070</v>
      </c>
      <c r="K69" t="s">
        <v>3514</v>
      </c>
      <c r="L69" t="s">
        <v>3515</v>
      </c>
      <c r="M69" t="s">
        <v>3516</v>
      </c>
      <c r="N69" t="s">
        <v>147</v>
      </c>
      <c r="O69" t="s">
        <v>3517</v>
      </c>
      <c r="P69" t="s">
        <v>3075</v>
      </c>
      <c r="Q69" t="s">
        <v>147</v>
      </c>
      <c r="R69" t="b">
        <v>0</v>
      </c>
      <c r="S69" t="s">
        <v>3466</v>
      </c>
    </row>
    <row r="70" spans="1:19" ht="11.25" customHeight="1" x14ac:dyDescent="0.15">
      <c r="A70">
        <v>2655</v>
      </c>
      <c r="B70" t="s">
        <v>101</v>
      </c>
      <c r="C70">
        <v>30808700</v>
      </c>
      <c r="D70" t="s">
        <v>3087</v>
      </c>
      <c r="E70" t="s">
        <v>3088</v>
      </c>
      <c r="F70" t="s">
        <v>3089</v>
      </c>
      <c r="G70" t="s">
        <v>3021</v>
      </c>
      <c r="H70" t="s">
        <v>3090</v>
      </c>
      <c r="I70" t="s">
        <v>3091</v>
      </c>
      <c r="J70" t="s">
        <v>3082</v>
      </c>
      <c r="K70" t="s">
        <v>3092</v>
      </c>
      <c r="L70" t="s">
        <v>3093</v>
      </c>
      <c r="M70" t="s">
        <v>3094</v>
      </c>
      <c r="N70" t="s">
        <v>3095</v>
      </c>
      <c r="O70" t="s">
        <v>3096</v>
      </c>
      <c r="P70" t="s">
        <v>3038</v>
      </c>
      <c r="Q70" t="s">
        <v>147</v>
      </c>
      <c r="R70" t="b">
        <v>1</v>
      </c>
      <c r="S70" t="s">
        <v>3466</v>
      </c>
    </row>
    <row r="71" spans="1:19" ht="11.25" customHeight="1" x14ac:dyDescent="0.15">
      <c r="A71">
        <v>2655</v>
      </c>
      <c r="B71" t="s">
        <v>101</v>
      </c>
      <c r="C71">
        <v>31319221</v>
      </c>
      <c r="D71" t="s">
        <v>3097</v>
      </c>
      <c r="E71" t="s">
        <v>3098</v>
      </c>
      <c r="F71" t="s">
        <v>3099</v>
      </c>
      <c r="G71" t="s">
        <v>3079</v>
      </c>
      <c r="H71" t="s">
        <v>3100</v>
      </c>
      <c r="I71" t="s">
        <v>3101</v>
      </c>
      <c r="J71" t="s">
        <v>3070</v>
      </c>
      <c r="K71" t="s">
        <v>3102</v>
      </c>
      <c r="L71" t="s">
        <v>3103</v>
      </c>
      <c r="M71" t="s">
        <v>3104</v>
      </c>
      <c r="N71" t="s">
        <v>3105</v>
      </c>
      <c r="O71" t="s">
        <v>3106</v>
      </c>
      <c r="P71" t="s">
        <v>3075</v>
      </c>
      <c r="Q71" t="s">
        <v>147</v>
      </c>
      <c r="R71" t="b">
        <v>0</v>
      </c>
      <c r="S71" t="s">
        <v>3466</v>
      </c>
    </row>
    <row r="72" spans="1:19" ht="11.25" customHeight="1" x14ac:dyDescent="0.15">
      <c r="A72">
        <v>2655</v>
      </c>
      <c r="B72" t="s">
        <v>101</v>
      </c>
      <c r="C72">
        <v>31419990</v>
      </c>
      <c r="D72" t="s">
        <v>3107</v>
      </c>
      <c r="E72" t="s">
        <v>3108</v>
      </c>
      <c r="F72" t="s">
        <v>3109</v>
      </c>
      <c r="G72" t="s">
        <v>3110</v>
      </c>
      <c r="H72" t="s">
        <v>3111</v>
      </c>
      <c r="I72" t="s">
        <v>3112</v>
      </c>
      <c r="J72" t="s">
        <v>3070</v>
      </c>
      <c r="K72" t="s">
        <v>3113</v>
      </c>
      <c r="L72" t="s">
        <v>3113</v>
      </c>
      <c r="M72" t="s">
        <v>3114</v>
      </c>
      <c r="N72" t="s">
        <v>3115</v>
      </c>
      <c r="O72" t="s">
        <v>3116</v>
      </c>
      <c r="P72" t="s">
        <v>3075</v>
      </c>
      <c r="Q72" t="s">
        <v>3117</v>
      </c>
      <c r="R72" t="b">
        <v>0</v>
      </c>
      <c r="S72" t="s">
        <v>3466</v>
      </c>
    </row>
    <row r="73" spans="1:19" ht="11.25" customHeight="1" x14ac:dyDescent="0.15">
      <c r="A73">
        <v>2655</v>
      </c>
      <c r="B73" t="s">
        <v>101</v>
      </c>
      <c r="C73">
        <v>31343443</v>
      </c>
      <c r="D73" t="s">
        <v>3118</v>
      </c>
      <c r="E73" t="s">
        <v>3119</v>
      </c>
      <c r="F73" t="s">
        <v>3120</v>
      </c>
      <c r="G73" t="s">
        <v>3021</v>
      </c>
      <c r="H73" t="s">
        <v>3121</v>
      </c>
      <c r="I73" t="s">
        <v>3122</v>
      </c>
      <c r="J73" t="s">
        <v>3070</v>
      </c>
      <c r="K73" t="s">
        <v>3123</v>
      </c>
      <c r="L73" t="s">
        <v>3123</v>
      </c>
      <c r="N73" t="s">
        <v>3124</v>
      </c>
      <c r="O73" t="s">
        <v>3125</v>
      </c>
      <c r="P73" t="s">
        <v>3038</v>
      </c>
      <c r="R73" t="b">
        <v>0</v>
      </c>
      <c r="S73" t="s">
        <v>3466</v>
      </c>
    </row>
    <row r="74" spans="1:19" ht="11.25" customHeight="1" x14ac:dyDescent="0.15">
      <c r="A74">
        <v>2655</v>
      </c>
      <c r="B74" t="s">
        <v>101</v>
      </c>
      <c r="C74">
        <v>31367841</v>
      </c>
      <c r="D74" t="s">
        <v>3126</v>
      </c>
      <c r="E74" t="s">
        <v>3127</v>
      </c>
      <c r="F74" t="s">
        <v>3128</v>
      </c>
      <c r="G74" t="s">
        <v>3129</v>
      </c>
      <c r="H74" t="s">
        <v>3130</v>
      </c>
      <c r="I74" t="s">
        <v>3131</v>
      </c>
      <c r="J74" t="s">
        <v>3082</v>
      </c>
      <c r="K74" t="s">
        <v>3132</v>
      </c>
      <c r="L74" t="s">
        <v>3132</v>
      </c>
      <c r="M74" t="s">
        <v>147</v>
      </c>
      <c r="N74" t="s">
        <v>3133</v>
      </c>
      <c r="O74" t="s">
        <v>3134</v>
      </c>
      <c r="P74" t="s">
        <v>3075</v>
      </c>
      <c r="Q74" t="s">
        <v>147</v>
      </c>
      <c r="R74" t="b">
        <v>0</v>
      </c>
      <c r="S74" t="s">
        <v>3466</v>
      </c>
    </row>
    <row r="75" spans="1:19" ht="11.25" customHeight="1" x14ac:dyDescent="0.15">
      <c r="A75">
        <v>2655</v>
      </c>
      <c r="B75" t="s">
        <v>101</v>
      </c>
      <c r="C75">
        <v>31087651</v>
      </c>
      <c r="D75" t="s">
        <v>3135</v>
      </c>
      <c r="E75" t="s">
        <v>3136</v>
      </c>
      <c r="F75" t="s">
        <v>3137</v>
      </c>
      <c r="G75" t="s">
        <v>3138</v>
      </c>
      <c r="H75" t="s">
        <v>3139</v>
      </c>
      <c r="I75" t="s">
        <v>3140</v>
      </c>
      <c r="J75" t="s">
        <v>3070</v>
      </c>
      <c r="K75" t="s">
        <v>3141</v>
      </c>
      <c r="L75" t="s">
        <v>3141</v>
      </c>
      <c r="M75" t="s">
        <v>3142</v>
      </c>
      <c r="N75" t="s">
        <v>3143</v>
      </c>
      <c r="O75" t="s">
        <v>3144</v>
      </c>
      <c r="R75" t="b">
        <v>0</v>
      </c>
      <c r="S75" t="s">
        <v>3466</v>
      </c>
    </row>
    <row r="76" spans="1:19" ht="11.25" customHeight="1" x14ac:dyDescent="0.15">
      <c r="A76">
        <v>2655</v>
      </c>
      <c r="B76" t="s">
        <v>101</v>
      </c>
      <c r="C76">
        <v>31367862</v>
      </c>
      <c r="D76" t="s">
        <v>3145</v>
      </c>
      <c r="E76" t="s">
        <v>3146</v>
      </c>
      <c r="F76" t="s">
        <v>3147</v>
      </c>
      <c r="G76" t="s">
        <v>3129</v>
      </c>
      <c r="H76" t="s">
        <v>3148</v>
      </c>
      <c r="I76" t="s">
        <v>3149</v>
      </c>
      <c r="J76" t="s">
        <v>3070</v>
      </c>
      <c r="K76" t="s">
        <v>3150</v>
      </c>
      <c r="L76" t="s">
        <v>3150</v>
      </c>
      <c r="M76" t="s">
        <v>147</v>
      </c>
      <c r="N76" t="s">
        <v>3151</v>
      </c>
      <c r="O76" t="s">
        <v>3152</v>
      </c>
      <c r="P76" t="s">
        <v>3075</v>
      </c>
      <c r="Q76" t="s">
        <v>147</v>
      </c>
      <c r="R76" t="b">
        <v>0</v>
      </c>
      <c r="S76" t="s">
        <v>3466</v>
      </c>
    </row>
    <row r="77" spans="1:19" ht="11.25" customHeight="1" x14ac:dyDescent="0.15">
      <c r="A77">
        <v>2655</v>
      </c>
      <c r="B77" t="s">
        <v>101</v>
      </c>
      <c r="C77">
        <v>31329806</v>
      </c>
      <c r="D77" t="s">
        <v>3518</v>
      </c>
      <c r="E77" t="s">
        <v>3519</v>
      </c>
      <c r="F77" t="s">
        <v>3520</v>
      </c>
      <c r="G77" t="s">
        <v>2965</v>
      </c>
      <c r="H77" t="s">
        <v>3521</v>
      </c>
      <c r="I77" t="s">
        <v>3522</v>
      </c>
      <c r="J77" t="s">
        <v>3082</v>
      </c>
      <c r="K77" t="s">
        <v>3523</v>
      </c>
      <c r="L77" t="s">
        <v>3523</v>
      </c>
      <c r="M77" t="s">
        <v>3524</v>
      </c>
      <c r="N77" t="s">
        <v>3525</v>
      </c>
      <c r="O77" t="s">
        <v>3526</v>
      </c>
      <c r="P77" t="s">
        <v>3075</v>
      </c>
      <c r="Q77" t="s">
        <v>147</v>
      </c>
      <c r="R77" t="b">
        <v>0</v>
      </c>
      <c r="S77" t="s">
        <v>3466</v>
      </c>
    </row>
    <row r="78" spans="1:19" ht="11.25" customHeight="1" x14ac:dyDescent="0.15">
      <c r="A78">
        <v>2655</v>
      </c>
      <c r="B78" t="s">
        <v>101</v>
      </c>
      <c r="C78">
        <v>31003143</v>
      </c>
      <c r="D78" t="s">
        <v>3173</v>
      </c>
      <c r="E78" t="s">
        <v>3174</v>
      </c>
      <c r="F78" t="s">
        <v>3175</v>
      </c>
      <c r="G78" t="s">
        <v>3167</v>
      </c>
      <c r="H78" t="s">
        <v>3176</v>
      </c>
      <c r="I78" t="s">
        <v>3177</v>
      </c>
      <c r="J78" t="s">
        <v>3082</v>
      </c>
      <c r="K78" t="s">
        <v>3178</v>
      </c>
      <c r="L78" t="s">
        <v>3179</v>
      </c>
      <c r="M78" t="s">
        <v>3180</v>
      </c>
      <c r="N78" t="s">
        <v>3181</v>
      </c>
      <c r="O78" t="s">
        <v>3182</v>
      </c>
      <c r="P78" t="s">
        <v>3075</v>
      </c>
      <c r="Q78" t="s">
        <v>147</v>
      </c>
      <c r="R78" t="b">
        <v>1</v>
      </c>
      <c r="S78" t="s">
        <v>3466</v>
      </c>
    </row>
    <row r="79" spans="1:19" ht="11.25" customHeight="1" x14ac:dyDescent="0.15">
      <c r="A79">
        <v>2655</v>
      </c>
      <c r="B79" t="s">
        <v>101</v>
      </c>
      <c r="C79">
        <v>31308226</v>
      </c>
      <c r="D79" t="s">
        <v>3183</v>
      </c>
      <c r="E79" t="s">
        <v>3184</v>
      </c>
      <c r="F79" t="s">
        <v>3185</v>
      </c>
      <c r="G79" t="s">
        <v>122</v>
      </c>
      <c r="H79" t="s">
        <v>3186</v>
      </c>
      <c r="I79" t="s">
        <v>3187</v>
      </c>
      <c r="J79" t="s">
        <v>3082</v>
      </c>
      <c r="K79" t="s">
        <v>3188</v>
      </c>
      <c r="L79" t="s">
        <v>3188</v>
      </c>
      <c r="M79" t="s">
        <v>3189</v>
      </c>
      <c r="N79" t="s">
        <v>3190</v>
      </c>
      <c r="O79" t="s">
        <v>3191</v>
      </c>
      <c r="P79" t="s">
        <v>3038</v>
      </c>
      <c r="Q79" t="s">
        <v>147</v>
      </c>
      <c r="R79" t="b">
        <v>1</v>
      </c>
      <c r="S79" t="s">
        <v>3466</v>
      </c>
    </row>
    <row r="80" spans="1:19" ht="11.25" customHeight="1" x14ac:dyDescent="0.15">
      <c r="A80">
        <v>2655</v>
      </c>
      <c r="B80" t="s">
        <v>101</v>
      </c>
      <c r="C80">
        <v>31284269</v>
      </c>
      <c r="D80" t="s">
        <v>3192</v>
      </c>
      <c r="E80" t="s">
        <v>3193</v>
      </c>
      <c r="F80" t="s">
        <v>3194</v>
      </c>
      <c r="G80" t="s">
        <v>3138</v>
      </c>
      <c r="H80" t="s">
        <v>3195</v>
      </c>
      <c r="I80" t="s">
        <v>3196</v>
      </c>
      <c r="J80" t="s">
        <v>3082</v>
      </c>
      <c r="K80" t="s">
        <v>3197</v>
      </c>
      <c r="L80" t="s">
        <v>3198</v>
      </c>
      <c r="M80" t="s">
        <v>3199</v>
      </c>
      <c r="N80" t="s">
        <v>3200</v>
      </c>
      <c r="O80" t="s">
        <v>3201</v>
      </c>
      <c r="P80" t="s">
        <v>147</v>
      </c>
      <c r="Q80" t="s">
        <v>147</v>
      </c>
      <c r="R80" t="b">
        <v>0</v>
      </c>
      <c r="S80" t="s">
        <v>3466</v>
      </c>
    </row>
    <row r="81" spans="1:19" ht="11.25" customHeight="1" x14ac:dyDescent="0.15">
      <c r="A81">
        <v>2655</v>
      </c>
      <c r="B81" t="s">
        <v>101</v>
      </c>
      <c r="C81">
        <v>31241680</v>
      </c>
      <c r="D81" t="s">
        <v>3202</v>
      </c>
      <c r="E81" t="s">
        <v>3203</v>
      </c>
      <c r="F81" t="s">
        <v>3204</v>
      </c>
      <c r="G81" t="s">
        <v>3110</v>
      </c>
      <c r="H81" t="s">
        <v>3205</v>
      </c>
      <c r="I81" t="s">
        <v>3206</v>
      </c>
      <c r="J81" t="s">
        <v>3082</v>
      </c>
      <c r="K81" t="s">
        <v>3207</v>
      </c>
      <c r="L81" t="s">
        <v>3207</v>
      </c>
      <c r="M81" t="s">
        <v>3208</v>
      </c>
      <c r="N81" t="s">
        <v>3209</v>
      </c>
      <c r="O81" t="s">
        <v>3210</v>
      </c>
      <c r="P81" t="s">
        <v>3038</v>
      </c>
      <c r="Q81" t="s">
        <v>3211</v>
      </c>
      <c r="R81" t="b">
        <v>0</v>
      </c>
      <c r="S81" t="s">
        <v>3466</v>
      </c>
    </row>
    <row r="82" spans="1:19" ht="11.25" customHeight="1" x14ac:dyDescent="0.15">
      <c r="A82">
        <v>2655</v>
      </c>
      <c r="B82" t="s">
        <v>101</v>
      </c>
      <c r="C82">
        <v>31579664</v>
      </c>
      <c r="D82" t="s">
        <v>3212</v>
      </c>
      <c r="E82" t="s">
        <v>3213</v>
      </c>
      <c r="F82" t="s">
        <v>3214</v>
      </c>
      <c r="G82" t="s">
        <v>3021</v>
      </c>
      <c r="H82" t="s">
        <v>3215</v>
      </c>
      <c r="I82" t="s">
        <v>3216</v>
      </c>
      <c r="K82" t="s">
        <v>3217</v>
      </c>
      <c r="L82" t="s">
        <v>3218</v>
      </c>
      <c r="M82" t="s">
        <v>3219</v>
      </c>
      <c r="N82" t="s">
        <v>147</v>
      </c>
      <c r="O82" t="s">
        <v>3220</v>
      </c>
      <c r="P82" t="s">
        <v>3075</v>
      </c>
      <c r="Q82" t="s">
        <v>3221</v>
      </c>
      <c r="R82" t="b">
        <v>1</v>
      </c>
      <c r="S82" t="s">
        <v>3466</v>
      </c>
    </row>
    <row r="83" spans="1:19" ht="11.25" customHeight="1" x14ac:dyDescent="0.15">
      <c r="A83">
        <v>2655</v>
      </c>
      <c r="B83" t="s">
        <v>101</v>
      </c>
      <c r="C83">
        <v>26322895</v>
      </c>
      <c r="D83" t="s">
        <v>3222</v>
      </c>
      <c r="E83" t="s">
        <v>3223</v>
      </c>
      <c r="F83" t="s">
        <v>3224</v>
      </c>
      <c r="G83" t="s">
        <v>2943</v>
      </c>
      <c r="H83" t="s">
        <v>3225</v>
      </c>
      <c r="I83" t="s">
        <v>3226</v>
      </c>
      <c r="J83" t="s">
        <v>3012</v>
      </c>
      <c r="K83" t="s">
        <v>3227</v>
      </c>
      <c r="L83" t="s">
        <v>3227</v>
      </c>
      <c r="M83" t="s">
        <v>3228</v>
      </c>
      <c r="N83" t="s">
        <v>3229</v>
      </c>
      <c r="O83" t="s">
        <v>3230</v>
      </c>
      <c r="P83" t="s">
        <v>3017</v>
      </c>
      <c r="Q83" t="s">
        <v>3231</v>
      </c>
      <c r="R83" t="b">
        <v>0</v>
      </c>
      <c r="S83" t="s">
        <v>3466</v>
      </c>
    </row>
    <row r="84" spans="1:19" ht="11.25" customHeight="1" x14ac:dyDescent="0.15">
      <c r="A84">
        <v>2655</v>
      </c>
      <c r="B84" t="s">
        <v>101</v>
      </c>
      <c r="C84">
        <v>27784286</v>
      </c>
      <c r="D84" t="s">
        <v>3527</v>
      </c>
      <c r="E84" t="s">
        <v>3528</v>
      </c>
      <c r="F84" t="s">
        <v>3529</v>
      </c>
      <c r="G84" t="s">
        <v>122</v>
      </c>
      <c r="H84" t="s">
        <v>3530</v>
      </c>
      <c r="I84" t="s">
        <v>3531</v>
      </c>
      <c r="K84" t="s">
        <v>3532</v>
      </c>
      <c r="L84" t="s">
        <v>3532</v>
      </c>
      <c r="M84" t="s">
        <v>3533</v>
      </c>
      <c r="N84" t="s">
        <v>3534</v>
      </c>
      <c r="O84" t="s">
        <v>3535</v>
      </c>
      <c r="P84" t="s">
        <v>3017</v>
      </c>
      <c r="Q84" t="s">
        <v>3536</v>
      </c>
      <c r="R84" t="b">
        <v>0</v>
      </c>
      <c r="S84" t="s">
        <v>3466</v>
      </c>
    </row>
    <row r="85" spans="1:19" ht="11.25" customHeight="1" x14ac:dyDescent="0.15">
      <c r="A85">
        <v>2655</v>
      </c>
      <c r="B85" t="s">
        <v>101</v>
      </c>
      <c r="C85">
        <v>26428076</v>
      </c>
      <c r="D85" t="s">
        <v>3537</v>
      </c>
      <c r="E85" t="s">
        <v>3538</v>
      </c>
      <c r="F85" t="s">
        <v>3539</v>
      </c>
      <c r="G85" t="s">
        <v>3167</v>
      </c>
      <c r="H85" t="s">
        <v>3540</v>
      </c>
      <c r="I85" t="s">
        <v>147</v>
      </c>
      <c r="K85" t="s">
        <v>3541</v>
      </c>
      <c r="L85" t="s">
        <v>3541</v>
      </c>
      <c r="M85" t="s">
        <v>3542</v>
      </c>
      <c r="N85" t="s">
        <v>3543</v>
      </c>
      <c r="O85" t="s">
        <v>147</v>
      </c>
      <c r="P85" t="s">
        <v>147</v>
      </c>
      <c r="Q85" t="s">
        <v>147</v>
      </c>
      <c r="R85" t="b">
        <v>0</v>
      </c>
      <c r="S85" t="s">
        <v>3466</v>
      </c>
    </row>
    <row r="86" spans="1:19" ht="11.25" customHeight="1" x14ac:dyDescent="0.15">
      <c r="A86">
        <v>2655</v>
      </c>
      <c r="B86" t="s">
        <v>101</v>
      </c>
      <c r="C86">
        <v>28954370</v>
      </c>
      <c r="D86" t="s">
        <v>3544</v>
      </c>
      <c r="E86" t="s">
        <v>3545</v>
      </c>
      <c r="F86" t="s">
        <v>3546</v>
      </c>
      <c r="G86" t="s">
        <v>3167</v>
      </c>
      <c r="H86" t="s">
        <v>3547</v>
      </c>
      <c r="I86" t="s">
        <v>3548</v>
      </c>
      <c r="J86" t="s">
        <v>127</v>
      </c>
      <c r="K86" t="s">
        <v>3549</v>
      </c>
      <c r="L86" t="s">
        <v>3549</v>
      </c>
      <c r="M86" t="s">
        <v>3550</v>
      </c>
      <c r="N86" t="s">
        <v>3551</v>
      </c>
      <c r="O86" t="s">
        <v>3552</v>
      </c>
      <c r="P86" t="s">
        <v>3075</v>
      </c>
      <c r="Q86" t="s">
        <v>147</v>
      </c>
      <c r="R86" t="b">
        <v>1</v>
      </c>
      <c r="S86" t="s">
        <v>3466</v>
      </c>
    </row>
    <row r="87" spans="1:19" ht="11.25" customHeight="1" x14ac:dyDescent="0.15">
      <c r="A87">
        <v>2655</v>
      </c>
      <c r="B87" t="s">
        <v>101</v>
      </c>
      <c r="C87">
        <v>31774016</v>
      </c>
      <c r="D87" t="s">
        <v>3553</v>
      </c>
      <c r="E87" t="s">
        <v>3554</v>
      </c>
      <c r="F87" t="s">
        <v>3555</v>
      </c>
      <c r="G87" t="s">
        <v>122</v>
      </c>
      <c r="H87" t="s">
        <v>3556</v>
      </c>
      <c r="I87" t="s">
        <v>3557</v>
      </c>
      <c r="K87" t="s">
        <v>3558</v>
      </c>
      <c r="L87" t="s">
        <v>3559</v>
      </c>
      <c r="M87" t="s">
        <v>3560</v>
      </c>
      <c r="N87" t="s">
        <v>3561</v>
      </c>
      <c r="O87" t="s">
        <v>3562</v>
      </c>
      <c r="P87" t="s">
        <v>144</v>
      </c>
      <c r="Q87" t="s">
        <v>147</v>
      </c>
      <c r="R87" t="b">
        <v>1</v>
      </c>
      <c r="S87" t="s">
        <v>3466</v>
      </c>
    </row>
    <row r="88" spans="1:19" ht="11.25" customHeight="1" x14ac:dyDescent="0.15">
      <c r="A88">
        <v>2655</v>
      </c>
      <c r="B88" t="s">
        <v>101</v>
      </c>
      <c r="C88">
        <v>28869965</v>
      </c>
      <c r="D88" t="s">
        <v>3249</v>
      </c>
      <c r="E88" t="s">
        <v>3250</v>
      </c>
      <c r="F88" t="s">
        <v>3251</v>
      </c>
      <c r="G88" t="s">
        <v>3067</v>
      </c>
      <c r="H88" t="s">
        <v>3252</v>
      </c>
      <c r="I88" t="s">
        <v>147</v>
      </c>
      <c r="J88" t="s">
        <v>127</v>
      </c>
      <c r="K88" t="s">
        <v>3253</v>
      </c>
      <c r="L88" t="s">
        <v>3253</v>
      </c>
      <c r="M88" t="s">
        <v>3254</v>
      </c>
      <c r="N88" t="s">
        <v>3255</v>
      </c>
      <c r="O88" t="s">
        <v>3256</v>
      </c>
      <c r="P88" t="s">
        <v>3017</v>
      </c>
      <c r="Q88" t="s">
        <v>3257</v>
      </c>
      <c r="R88" t="b">
        <v>0</v>
      </c>
      <c r="S88" t="s">
        <v>3466</v>
      </c>
    </row>
    <row r="89" spans="1:19" ht="11.25" customHeight="1" x14ac:dyDescent="0.15">
      <c r="A89">
        <v>2655</v>
      </c>
      <c r="B89" t="s">
        <v>101</v>
      </c>
      <c r="C89">
        <v>28113313</v>
      </c>
      <c r="D89" t="s">
        <v>3563</v>
      </c>
      <c r="E89" t="s">
        <v>3564</v>
      </c>
      <c r="F89" t="s">
        <v>3565</v>
      </c>
      <c r="G89" t="s">
        <v>3270</v>
      </c>
      <c r="H89" t="s">
        <v>3566</v>
      </c>
      <c r="I89" t="s">
        <v>147</v>
      </c>
      <c r="J89" t="s">
        <v>127</v>
      </c>
      <c r="K89" t="s">
        <v>3567</v>
      </c>
      <c r="L89" t="s">
        <v>3568</v>
      </c>
      <c r="M89" t="s">
        <v>147</v>
      </c>
      <c r="N89" t="s">
        <v>147</v>
      </c>
      <c r="O89" t="s">
        <v>3277</v>
      </c>
      <c r="P89" t="s">
        <v>144</v>
      </c>
      <c r="Q89" t="s">
        <v>147</v>
      </c>
      <c r="R89" t="b">
        <v>1</v>
      </c>
      <c r="S89" t="s">
        <v>3466</v>
      </c>
    </row>
    <row r="90" spans="1:19" ht="11.25" customHeight="1" x14ac:dyDescent="0.15">
      <c r="A90">
        <v>2655</v>
      </c>
      <c r="B90" t="s">
        <v>101</v>
      </c>
      <c r="C90">
        <v>26428030</v>
      </c>
      <c r="D90" t="s">
        <v>3569</v>
      </c>
      <c r="E90" t="s">
        <v>3570</v>
      </c>
      <c r="F90" t="s">
        <v>3571</v>
      </c>
      <c r="G90" t="s">
        <v>3167</v>
      </c>
      <c r="H90" t="s">
        <v>3572</v>
      </c>
      <c r="I90" t="s">
        <v>147</v>
      </c>
      <c r="K90" t="s">
        <v>3573</v>
      </c>
      <c r="L90" t="s">
        <v>3573</v>
      </c>
      <c r="M90" t="s">
        <v>3574</v>
      </c>
      <c r="N90" t="s">
        <v>3575</v>
      </c>
      <c r="O90" t="s">
        <v>147</v>
      </c>
      <c r="P90" t="s">
        <v>147</v>
      </c>
      <c r="Q90" t="s">
        <v>147</v>
      </c>
      <c r="R90" t="b">
        <v>0</v>
      </c>
      <c r="S90" t="s">
        <v>3466</v>
      </c>
    </row>
    <row r="91" spans="1:19" ht="11.25" customHeight="1" x14ac:dyDescent="0.15">
      <c r="A91">
        <v>2655</v>
      </c>
      <c r="B91" t="s">
        <v>101</v>
      </c>
      <c r="C91">
        <v>31356597</v>
      </c>
      <c r="D91" t="s">
        <v>3258</v>
      </c>
      <c r="E91" t="s">
        <v>3259</v>
      </c>
      <c r="F91" t="s">
        <v>3260</v>
      </c>
      <c r="G91" t="s">
        <v>3138</v>
      </c>
      <c r="H91" t="s">
        <v>3261</v>
      </c>
      <c r="I91" t="s">
        <v>3262</v>
      </c>
      <c r="J91" t="s">
        <v>127</v>
      </c>
      <c r="K91" t="s">
        <v>3263</v>
      </c>
      <c r="L91" t="s">
        <v>3263</v>
      </c>
      <c r="M91" t="s">
        <v>3264</v>
      </c>
      <c r="N91" t="s">
        <v>3265</v>
      </c>
      <c r="O91" t="s">
        <v>3266</v>
      </c>
      <c r="P91" t="s">
        <v>3017</v>
      </c>
      <c r="Q91" t="s">
        <v>147</v>
      </c>
      <c r="R91" t="b">
        <v>0</v>
      </c>
      <c r="S91" t="s">
        <v>3466</v>
      </c>
    </row>
    <row r="92" spans="1:19" ht="11.25" customHeight="1" x14ac:dyDescent="0.15">
      <c r="A92">
        <v>2655</v>
      </c>
      <c r="B92" t="s">
        <v>101</v>
      </c>
      <c r="C92">
        <v>28136671</v>
      </c>
      <c r="D92" t="s">
        <v>3267</v>
      </c>
      <c r="E92" t="s">
        <v>3268</v>
      </c>
      <c r="F92" t="s">
        <v>3269</v>
      </c>
      <c r="G92" t="s">
        <v>3270</v>
      </c>
      <c r="H92" t="s">
        <v>3271</v>
      </c>
      <c r="I92" t="s">
        <v>3272</v>
      </c>
      <c r="J92" t="s">
        <v>127</v>
      </c>
      <c r="K92" t="s">
        <v>3273</v>
      </c>
      <c r="L92" t="s">
        <v>3274</v>
      </c>
      <c r="M92" t="s">
        <v>3275</v>
      </c>
      <c r="N92" t="s">
        <v>3276</v>
      </c>
      <c r="O92" t="s">
        <v>3277</v>
      </c>
      <c r="P92" t="s">
        <v>144</v>
      </c>
      <c r="Q92" t="s">
        <v>147</v>
      </c>
      <c r="R92" t="b">
        <v>1</v>
      </c>
      <c r="S92" t="s">
        <v>3466</v>
      </c>
    </row>
    <row r="93" spans="1:19" ht="11.25" customHeight="1" x14ac:dyDescent="0.15">
      <c r="A93">
        <v>2655</v>
      </c>
      <c r="B93" t="s">
        <v>101</v>
      </c>
      <c r="C93">
        <v>27838991</v>
      </c>
      <c r="D93" t="s">
        <v>3576</v>
      </c>
      <c r="E93" t="s">
        <v>3577</v>
      </c>
      <c r="F93" t="s">
        <v>3578</v>
      </c>
      <c r="G93" t="s">
        <v>2965</v>
      </c>
      <c r="H93" t="s">
        <v>3579</v>
      </c>
      <c r="I93" t="s">
        <v>3580</v>
      </c>
      <c r="J93" t="s">
        <v>127</v>
      </c>
      <c r="K93" t="s">
        <v>3581</v>
      </c>
      <c r="L93" t="s">
        <v>3582</v>
      </c>
      <c r="M93" t="s">
        <v>3583</v>
      </c>
      <c r="N93" t="s">
        <v>3584</v>
      </c>
      <c r="O93" t="s">
        <v>3585</v>
      </c>
      <c r="P93" t="s">
        <v>3017</v>
      </c>
      <c r="Q93" t="s">
        <v>147</v>
      </c>
      <c r="R93" t="b">
        <v>0</v>
      </c>
      <c r="S93" t="s">
        <v>3466</v>
      </c>
    </row>
    <row r="94" spans="1:19" ht="11.25" customHeight="1" x14ac:dyDescent="0.15">
      <c r="A94">
        <v>2655</v>
      </c>
      <c r="B94" t="s">
        <v>101</v>
      </c>
      <c r="C94">
        <v>26428026</v>
      </c>
      <c r="D94" t="s">
        <v>3304</v>
      </c>
      <c r="E94" t="s">
        <v>3305</v>
      </c>
      <c r="F94" t="s">
        <v>3306</v>
      </c>
      <c r="G94" t="s">
        <v>3307</v>
      </c>
      <c r="H94" t="s">
        <v>3308</v>
      </c>
      <c r="I94" t="s">
        <v>147</v>
      </c>
      <c r="K94" t="s">
        <v>3309</v>
      </c>
      <c r="L94" t="s">
        <v>3309</v>
      </c>
      <c r="M94" t="s">
        <v>3310</v>
      </c>
      <c r="N94" t="s">
        <v>3311</v>
      </c>
      <c r="O94" t="s">
        <v>3312</v>
      </c>
      <c r="P94" t="s">
        <v>3075</v>
      </c>
      <c r="Q94" t="s">
        <v>147</v>
      </c>
      <c r="R94" t="b">
        <v>1</v>
      </c>
      <c r="S94" t="s">
        <v>3466</v>
      </c>
    </row>
    <row r="95" spans="1:19" ht="11.25" customHeight="1" x14ac:dyDescent="0.15">
      <c r="A95">
        <v>2655</v>
      </c>
      <c r="B95" t="s">
        <v>101</v>
      </c>
      <c r="C95">
        <v>31739633</v>
      </c>
      <c r="D95" t="s">
        <v>3323</v>
      </c>
      <c r="E95" t="s">
        <v>3324</v>
      </c>
      <c r="F95" t="s">
        <v>3325</v>
      </c>
      <c r="G95" t="s">
        <v>3326</v>
      </c>
      <c r="H95" t="s">
        <v>3327</v>
      </c>
      <c r="I95" t="s">
        <v>3328</v>
      </c>
      <c r="K95" t="s">
        <v>3329</v>
      </c>
      <c r="L95" t="s">
        <v>3329</v>
      </c>
      <c r="M95" t="s">
        <v>3330</v>
      </c>
      <c r="N95" t="s">
        <v>3331</v>
      </c>
      <c r="O95" t="s">
        <v>3332</v>
      </c>
      <c r="P95" t="s">
        <v>3038</v>
      </c>
      <c r="Q95" t="s">
        <v>147</v>
      </c>
      <c r="R95" t="b">
        <v>0</v>
      </c>
      <c r="S95" t="s">
        <v>3466</v>
      </c>
    </row>
    <row r="96" spans="1:19" ht="11.25" customHeight="1" x14ac:dyDescent="0.15">
      <c r="A96">
        <v>2655</v>
      </c>
      <c r="B96" t="s">
        <v>101</v>
      </c>
      <c r="C96">
        <v>31541617</v>
      </c>
      <c r="D96" t="s">
        <v>3333</v>
      </c>
      <c r="E96" t="s">
        <v>3334</v>
      </c>
      <c r="F96" t="s">
        <v>3335</v>
      </c>
      <c r="G96" t="s">
        <v>3336</v>
      </c>
      <c r="H96" t="s">
        <v>3337</v>
      </c>
      <c r="I96" t="s">
        <v>3338</v>
      </c>
      <c r="K96" t="s">
        <v>3339</v>
      </c>
      <c r="L96" t="s">
        <v>3339</v>
      </c>
      <c r="M96" t="s">
        <v>3340</v>
      </c>
      <c r="N96" t="s">
        <v>3341</v>
      </c>
      <c r="O96" t="s">
        <v>3342</v>
      </c>
      <c r="P96" t="s">
        <v>3038</v>
      </c>
      <c r="Q96" t="s">
        <v>147</v>
      </c>
      <c r="R96" t="b">
        <v>1</v>
      </c>
      <c r="S96" t="s">
        <v>3466</v>
      </c>
    </row>
    <row r="97" spans="1:19" ht="11.25" customHeight="1" x14ac:dyDescent="0.15">
      <c r="A97">
        <v>2655</v>
      </c>
      <c r="B97" t="s">
        <v>101</v>
      </c>
      <c r="C97">
        <v>31834877</v>
      </c>
      <c r="D97" t="s">
        <v>3586</v>
      </c>
      <c r="E97" t="s">
        <v>3586</v>
      </c>
      <c r="F97" t="s">
        <v>3587</v>
      </c>
      <c r="G97" t="s">
        <v>2955</v>
      </c>
      <c r="H97" t="s">
        <v>3588</v>
      </c>
      <c r="I97" t="s">
        <v>3589</v>
      </c>
      <c r="K97" t="s">
        <v>3590</v>
      </c>
      <c r="L97" t="s">
        <v>3591</v>
      </c>
      <c r="M97" t="s">
        <v>147</v>
      </c>
      <c r="N97" t="s">
        <v>3592</v>
      </c>
      <c r="O97" t="s">
        <v>3593</v>
      </c>
      <c r="P97" t="s">
        <v>144</v>
      </c>
      <c r="Q97" t="s">
        <v>3594</v>
      </c>
      <c r="R97" t="b">
        <v>0</v>
      </c>
      <c r="S97" t="s">
        <v>3466</v>
      </c>
    </row>
    <row r="98" spans="1:19" ht="11.25" customHeight="1" x14ac:dyDescent="0.15">
      <c r="A98">
        <v>2655</v>
      </c>
      <c r="B98" t="s">
        <v>101</v>
      </c>
      <c r="C98">
        <v>26356891</v>
      </c>
      <c r="D98" t="s">
        <v>3354</v>
      </c>
      <c r="E98" t="s">
        <v>3355</v>
      </c>
      <c r="F98" t="s">
        <v>3356</v>
      </c>
      <c r="G98" t="s">
        <v>3167</v>
      </c>
      <c r="H98" t="s">
        <v>3357</v>
      </c>
      <c r="I98" t="s">
        <v>3358</v>
      </c>
      <c r="J98" t="s">
        <v>127</v>
      </c>
      <c r="K98" t="s">
        <v>3359</v>
      </c>
      <c r="L98" t="s">
        <v>3359</v>
      </c>
      <c r="M98" t="s">
        <v>3360</v>
      </c>
      <c r="N98" t="s">
        <v>3361</v>
      </c>
      <c r="O98" t="s">
        <v>3362</v>
      </c>
      <c r="P98" t="s">
        <v>3075</v>
      </c>
      <c r="Q98" t="s">
        <v>147</v>
      </c>
      <c r="R98" t="b">
        <v>0</v>
      </c>
      <c r="S98" t="s">
        <v>3466</v>
      </c>
    </row>
    <row r="99" spans="1:19" ht="11.25" customHeight="1" x14ac:dyDescent="0.15">
      <c r="A99">
        <v>2655</v>
      </c>
      <c r="B99" t="s">
        <v>101</v>
      </c>
      <c r="C99">
        <v>31241637</v>
      </c>
      <c r="D99" t="s">
        <v>3363</v>
      </c>
      <c r="E99" t="s">
        <v>3364</v>
      </c>
      <c r="F99" t="s">
        <v>3365</v>
      </c>
      <c r="G99" t="s">
        <v>122</v>
      </c>
      <c r="H99" t="s">
        <v>3366</v>
      </c>
      <c r="I99" t="s">
        <v>3367</v>
      </c>
      <c r="J99" t="s">
        <v>127</v>
      </c>
      <c r="K99" t="s">
        <v>3368</v>
      </c>
      <c r="L99" t="s">
        <v>3368</v>
      </c>
      <c r="M99" t="s">
        <v>3369</v>
      </c>
      <c r="N99" t="s">
        <v>147</v>
      </c>
      <c r="O99" t="s">
        <v>3370</v>
      </c>
      <c r="P99" t="s">
        <v>3038</v>
      </c>
      <c r="Q99" t="s">
        <v>147</v>
      </c>
      <c r="R99" t="b">
        <v>0</v>
      </c>
      <c r="S99" t="s">
        <v>3466</v>
      </c>
    </row>
    <row r="100" spans="1:19" ht="11.25" customHeight="1" x14ac:dyDescent="0.15">
      <c r="A100">
        <v>2655</v>
      </c>
      <c r="B100" t="s">
        <v>101</v>
      </c>
      <c r="C100">
        <v>28819708</v>
      </c>
      <c r="D100" t="s">
        <v>3595</v>
      </c>
      <c r="E100" t="s">
        <v>3596</v>
      </c>
      <c r="F100" t="s">
        <v>3597</v>
      </c>
      <c r="G100" t="s">
        <v>3079</v>
      </c>
      <c r="H100" t="s">
        <v>3598</v>
      </c>
      <c r="I100" t="s">
        <v>3599</v>
      </c>
      <c r="J100" t="s">
        <v>127</v>
      </c>
      <c r="K100" t="s">
        <v>3600</v>
      </c>
      <c r="L100" t="s">
        <v>3600</v>
      </c>
      <c r="M100" t="s">
        <v>147</v>
      </c>
      <c r="N100" t="s">
        <v>3601</v>
      </c>
      <c r="O100" t="s">
        <v>3602</v>
      </c>
      <c r="P100" t="s">
        <v>3075</v>
      </c>
      <c r="Q100" t="s">
        <v>147</v>
      </c>
      <c r="R100" t="b">
        <v>0</v>
      </c>
      <c r="S100" t="s">
        <v>3466</v>
      </c>
    </row>
    <row r="101" spans="1:19" ht="11.25" customHeight="1" x14ac:dyDescent="0.15">
      <c r="A101">
        <v>2655</v>
      </c>
      <c r="B101" t="s">
        <v>101</v>
      </c>
      <c r="C101">
        <v>26356937</v>
      </c>
      <c r="D101" t="s">
        <v>3371</v>
      </c>
      <c r="E101" t="s">
        <v>3372</v>
      </c>
      <c r="F101" t="s">
        <v>3373</v>
      </c>
      <c r="G101" t="s">
        <v>3242</v>
      </c>
      <c r="H101" t="s">
        <v>3374</v>
      </c>
      <c r="I101" t="s">
        <v>3375</v>
      </c>
      <c r="J101" t="s">
        <v>127</v>
      </c>
      <c r="K101" t="s">
        <v>3376</v>
      </c>
      <c r="L101" t="s">
        <v>3376</v>
      </c>
      <c r="M101" t="s">
        <v>3377</v>
      </c>
      <c r="N101" t="s">
        <v>3378</v>
      </c>
      <c r="O101" t="s">
        <v>3379</v>
      </c>
      <c r="P101" t="s">
        <v>3038</v>
      </c>
      <c r="Q101" t="s">
        <v>3380</v>
      </c>
      <c r="R101" t="b">
        <v>0</v>
      </c>
      <c r="S101" t="s">
        <v>3466</v>
      </c>
    </row>
    <row r="102" spans="1:19" ht="11.25" customHeight="1" x14ac:dyDescent="0.15">
      <c r="A102">
        <v>2655</v>
      </c>
      <c r="B102" t="s">
        <v>101</v>
      </c>
      <c r="C102">
        <v>31770754</v>
      </c>
      <c r="D102" t="s">
        <v>3381</v>
      </c>
      <c r="E102" t="s">
        <v>3382</v>
      </c>
      <c r="F102" t="s">
        <v>3383</v>
      </c>
      <c r="G102" t="s">
        <v>3326</v>
      </c>
      <c r="H102" t="s">
        <v>3384</v>
      </c>
      <c r="I102" t="s">
        <v>3385</v>
      </c>
      <c r="K102" t="s">
        <v>3386</v>
      </c>
      <c r="L102" t="s">
        <v>3387</v>
      </c>
      <c r="M102" t="s">
        <v>3388</v>
      </c>
      <c r="N102" t="s">
        <v>3389</v>
      </c>
      <c r="O102" t="s">
        <v>3390</v>
      </c>
      <c r="P102" t="s">
        <v>3075</v>
      </c>
      <c r="Q102" t="s">
        <v>147</v>
      </c>
      <c r="R102" t="b">
        <v>1</v>
      </c>
      <c r="S102" t="s">
        <v>3466</v>
      </c>
    </row>
    <row r="103" spans="1:19" ht="11.25" customHeight="1" x14ac:dyDescent="0.15">
      <c r="A103">
        <v>2655</v>
      </c>
      <c r="B103" t="s">
        <v>101</v>
      </c>
      <c r="C103">
        <v>31528492</v>
      </c>
      <c r="D103" t="s">
        <v>111</v>
      </c>
      <c r="E103" t="s">
        <v>114</v>
      </c>
      <c r="F103" t="s">
        <v>120</v>
      </c>
      <c r="G103" t="s">
        <v>122</v>
      </c>
      <c r="H103" t="s">
        <v>118</v>
      </c>
      <c r="I103" t="s">
        <v>124</v>
      </c>
      <c r="K103" t="s">
        <v>130</v>
      </c>
      <c r="L103" t="s">
        <v>130</v>
      </c>
      <c r="M103" t="s">
        <v>135</v>
      </c>
      <c r="N103" t="s">
        <v>138</v>
      </c>
      <c r="O103" t="s">
        <v>3391</v>
      </c>
      <c r="P103" t="s">
        <v>144</v>
      </c>
      <c r="Q103" t="s">
        <v>147</v>
      </c>
      <c r="R103" t="b">
        <v>0</v>
      </c>
      <c r="S103" t="s">
        <v>3466</v>
      </c>
    </row>
    <row r="104" spans="1:19" ht="11.25" customHeight="1" x14ac:dyDescent="0.15">
      <c r="A104">
        <v>2655</v>
      </c>
      <c r="B104" t="s">
        <v>101</v>
      </c>
      <c r="C104">
        <v>28270293</v>
      </c>
      <c r="D104" t="s">
        <v>3392</v>
      </c>
      <c r="E104" t="s">
        <v>3393</v>
      </c>
      <c r="F104" t="s">
        <v>3394</v>
      </c>
      <c r="G104" t="s">
        <v>3167</v>
      </c>
      <c r="H104" t="s">
        <v>3395</v>
      </c>
      <c r="I104" t="s">
        <v>3396</v>
      </c>
      <c r="J104" t="s">
        <v>127</v>
      </c>
      <c r="K104" t="s">
        <v>3397</v>
      </c>
      <c r="L104" t="s">
        <v>3397</v>
      </c>
      <c r="M104" t="s">
        <v>3398</v>
      </c>
      <c r="N104" t="s">
        <v>3399</v>
      </c>
      <c r="O104" t="s">
        <v>3400</v>
      </c>
      <c r="P104" t="s">
        <v>3017</v>
      </c>
      <c r="Q104" t="s">
        <v>147</v>
      </c>
      <c r="R104" t="b">
        <v>0</v>
      </c>
      <c r="S104" t="s">
        <v>3466</v>
      </c>
    </row>
    <row r="105" spans="1:19" ht="11.25" customHeight="1" x14ac:dyDescent="0.15">
      <c r="A105">
        <v>2655</v>
      </c>
      <c r="B105" t="s">
        <v>101</v>
      </c>
      <c r="C105">
        <v>28873362</v>
      </c>
      <c r="D105" t="s">
        <v>3401</v>
      </c>
      <c r="E105" t="s">
        <v>3402</v>
      </c>
      <c r="F105" t="s">
        <v>3403</v>
      </c>
      <c r="G105" t="s">
        <v>2943</v>
      </c>
      <c r="H105" t="s">
        <v>3404</v>
      </c>
      <c r="I105" t="s">
        <v>3405</v>
      </c>
      <c r="J105" t="s">
        <v>127</v>
      </c>
      <c r="K105" t="s">
        <v>3406</v>
      </c>
      <c r="L105" t="s">
        <v>3406</v>
      </c>
      <c r="M105" t="s">
        <v>3407</v>
      </c>
      <c r="N105" t="s">
        <v>3408</v>
      </c>
      <c r="O105" t="s">
        <v>3409</v>
      </c>
      <c r="P105" t="s">
        <v>3075</v>
      </c>
      <c r="Q105" t="s">
        <v>3410</v>
      </c>
      <c r="R105" t="b">
        <v>0</v>
      </c>
      <c r="S105" t="s">
        <v>3466</v>
      </c>
    </row>
    <row r="106" spans="1:19" ht="11.25" customHeight="1" x14ac:dyDescent="0.15">
      <c r="A106">
        <v>2655</v>
      </c>
      <c r="B106" t="s">
        <v>101</v>
      </c>
      <c r="C106">
        <v>28976681</v>
      </c>
      <c r="D106" t="s">
        <v>3411</v>
      </c>
      <c r="E106" t="s">
        <v>3412</v>
      </c>
      <c r="F106" t="s">
        <v>3413</v>
      </c>
      <c r="G106" t="s">
        <v>3167</v>
      </c>
      <c r="H106" t="s">
        <v>3414</v>
      </c>
      <c r="I106" t="s">
        <v>3415</v>
      </c>
      <c r="J106" t="s">
        <v>127</v>
      </c>
      <c r="K106" t="s">
        <v>3416</v>
      </c>
      <c r="L106" t="s">
        <v>3416</v>
      </c>
      <c r="M106" t="s">
        <v>3417</v>
      </c>
      <c r="N106" t="s">
        <v>147</v>
      </c>
      <c r="O106" t="s">
        <v>3418</v>
      </c>
      <c r="P106" t="s">
        <v>3075</v>
      </c>
      <c r="Q106" t="s">
        <v>147</v>
      </c>
      <c r="R106" t="b">
        <v>1</v>
      </c>
      <c r="S106" t="s">
        <v>3466</v>
      </c>
    </row>
    <row r="107" spans="1:19" ht="11.25" customHeight="1" x14ac:dyDescent="0.15">
      <c r="A107">
        <v>2655</v>
      </c>
      <c r="B107" t="s">
        <v>101</v>
      </c>
      <c r="C107">
        <v>30808511</v>
      </c>
      <c r="D107" t="s">
        <v>3430</v>
      </c>
      <c r="E107" t="s">
        <v>3430</v>
      </c>
      <c r="F107" t="s">
        <v>3431</v>
      </c>
      <c r="G107" t="s">
        <v>3432</v>
      </c>
      <c r="H107" t="s">
        <v>3433</v>
      </c>
      <c r="I107" t="s">
        <v>3434</v>
      </c>
      <c r="J107" t="s">
        <v>3435</v>
      </c>
      <c r="K107" t="s">
        <v>3436</v>
      </c>
      <c r="L107" t="s">
        <v>3437</v>
      </c>
      <c r="M107" t="s">
        <v>3438</v>
      </c>
      <c r="N107" t="s">
        <v>147</v>
      </c>
      <c r="O107" t="s">
        <v>3439</v>
      </c>
      <c r="P107" t="s">
        <v>3075</v>
      </c>
      <c r="Q107" t="s">
        <v>3440</v>
      </c>
      <c r="R107" t="b">
        <v>0</v>
      </c>
      <c r="S107" t="s">
        <v>3466</v>
      </c>
    </row>
    <row r="108" spans="1:19" ht="11.25" customHeight="1" x14ac:dyDescent="0.15">
      <c r="A108">
        <v>2655</v>
      </c>
      <c r="B108" t="s">
        <v>101</v>
      </c>
      <c r="C108">
        <v>26520873</v>
      </c>
      <c r="D108" t="s">
        <v>3445</v>
      </c>
      <c r="E108" t="s">
        <v>3446</v>
      </c>
      <c r="F108" t="s">
        <v>3431</v>
      </c>
      <c r="G108" t="s">
        <v>3447</v>
      </c>
      <c r="H108" t="s">
        <v>3433</v>
      </c>
      <c r="I108" t="s">
        <v>3448</v>
      </c>
      <c r="J108" t="s">
        <v>3435</v>
      </c>
      <c r="K108" t="s">
        <v>3449</v>
      </c>
      <c r="L108" t="s">
        <v>3450</v>
      </c>
      <c r="M108" t="s">
        <v>3451</v>
      </c>
      <c r="N108" t="s">
        <v>3452</v>
      </c>
      <c r="O108" t="s">
        <v>3453</v>
      </c>
      <c r="P108" t="s">
        <v>3075</v>
      </c>
      <c r="Q108" t="s">
        <v>3454</v>
      </c>
      <c r="R108" t="b">
        <v>0</v>
      </c>
      <c r="S108" t="s">
        <v>3466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0A458-9318-0471-44A3-361614FA73F8}">
  <sheetPr>
    <tabColor rgb="FFFFCC99"/>
  </sheetPr>
  <dimension ref="A1:DE22"/>
  <sheetViews>
    <sheetView showGridLines="0" workbookViewId="0"/>
  </sheetViews>
  <sheetFormatPr defaultRowHeight="11.25" customHeight="1" x14ac:dyDescent="0.15"/>
  <cols>
    <col min="1" max="1" width="23.140625" style="1321" customWidth="1"/>
  </cols>
  <sheetData>
    <row r="1" spans="1:109" ht="11.25" customHeight="1" x14ac:dyDescent="0.15">
      <c r="A1" s="1321" t="s">
        <v>3603</v>
      </c>
      <c r="B1" t="s">
        <v>3604</v>
      </c>
      <c r="C1" t="s">
        <v>3605</v>
      </c>
      <c r="D1" t="s">
        <v>3606</v>
      </c>
      <c r="E1" t="s">
        <v>3607</v>
      </c>
      <c r="F1" t="s">
        <v>3608</v>
      </c>
      <c r="G1" t="s">
        <v>3609</v>
      </c>
      <c r="H1" t="s">
        <v>3610</v>
      </c>
      <c r="I1" t="s">
        <v>3611</v>
      </c>
      <c r="J1" t="s">
        <v>3612</v>
      </c>
      <c r="K1" t="s">
        <v>3613</v>
      </c>
      <c r="L1" t="s">
        <v>3614</v>
      </c>
      <c r="M1" t="s">
        <v>3615</v>
      </c>
      <c r="N1" t="s">
        <v>3616</v>
      </c>
      <c r="O1" t="s">
        <v>3617</v>
      </c>
      <c r="P1" t="s">
        <v>3618</v>
      </c>
      <c r="Q1" t="s">
        <v>3619</v>
      </c>
      <c r="R1" t="s">
        <v>3620</v>
      </c>
      <c r="S1" t="s">
        <v>3621</v>
      </c>
      <c r="T1" t="s">
        <v>3622</v>
      </c>
      <c r="U1" t="s">
        <v>3623</v>
      </c>
      <c r="V1" t="s">
        <v>3624</v>
      </c>
      <c r="W1" t="s">
        <v>3625</v>
      </c>
      <c r="X1" t="s">
        <v>354</v>
      </c>
      <c r="Y1" t="s">
        <v>3626</v>
      </c>
      <c r="Z1" t="s">
        <v>3627</v>
      </c>
      <c r="AA1" t="s">
        <v>3628</v>
      </c>
      <c r="AB1" t="s">
        <v>3629</v>
      </c>
      <c r="AC1" t="s">
        <v>3630</v>
      </c>
      <c r="AD1" t="s">
        <v>3631</v>
      </c>
      <c r="AE1" t="s">
        <v>3632</v>
      </c>
      <c r="AF1" t="s">
        <v>3633</v>
      </c>
      <c r="AG1" t="s">
        <v>3634</v>
      </c>
      <c r="AH1" t="s">
        <v>3635</v>
      </c>
      <c r="AI1" t="s">
        <v>3636</v>
      </c>
      <c r="AJ1" t="s">
        <v>3637</v>
      </c>
      <c r="AK1" t="s">
        <v>3638</v>
      </c>
      <c r="AL1" t="s">
        <v>3639</v>
      </c>
      <c r="AM1" t="s">
        <v>3640</v>
      </c>
      <c r="AN1" t="s">
        <v>3641</v>
      </c>
      <c r="AO1" t="s">
        <v>3642</v>
      </c>
      <c r="AP1" t="s">
        <v>3643</v>
      </c>
      <c r="AQ1" t="s">
        <v>3644</v>
      </c>
      <c r="AR1" t="s">
        <v>3645</v>
      </c>
      <c r="AS1" t="s">
        <v>3646</v>
      </c>
      <c r="AT1" t="s">
        <v>3647</v>
      </c>
      <c r="AU1" t="s">
        <v>3648</v>
      </c>
      <c r="AV1" t="s">
        <v>3649</v>
      </c>
      <c r="AW1" t="s">
        <v>3650</v>
      </c>
      <c r="AX1" t="s">
        <v>3651</v>
      </c>
      <c r="AY1" t="s">
        <v>3652</v>
      </c>
      <c r="AZ1" t="s">
        <v>3653</v>
      </c>
      <c r="BA1" t="s">
        <v>3654</v>
      </c>
      <c r="BB1" t="s">
        <v>3655</v>
      </c>
      <c r="BC1" t="s">
        <v>3656</v>
      </c>
      <c r="BD1" t="s">
        <v>3657</v>
      </c>
      <c r="BE1" t="s">
        <v>3658</v>
      </c>
      <c r="BF1" t="s">
        <v>3659</v>
      </c>
      <c r="BG1" t="s">
        <v>3660</v>
      </c>
      <c r="BH1" t="s">
        <v>3661</v>
      </c>
      <c r="BI1" t="s">
        <v>3662</v>
      </c>
      <c r="BJ1" t="s">
        <v>3663</v>
      </c>
      <c r="BK1" t="s">
        <v>3664</v>
      </c>
      <c r="BL1" t="s">
        <v>3665</v>
      </c>
      <c r="BM1" t="s">
        <v>3666</v>
      </c>
      <c r="BN1" t="s">
        <v>3667</v>
      </c>
      <c r="BO1" t="s">
        <v>3668</v>
      </c>
      <c r="BP1" t="s">
        <v>3669</v>
      </c>
      <c r="BQ1" t="s">
        <v>3670</v>
      </c>
      <c r="BR1" t="s">
        <v>3671</v>
      </c>
      <c r="BS1" t="s">
        <v>3672</v>
      </c>
      <c r="BT1" t="s">
        <v>3673</v>
      </c>
      <c r="BU1" t="s">
        <v>3674</v>
      </c>
      <c r="BV1" t="s">
        <v>3675</v>
      </c>
      <c r="BW1" t="s">
        <v>3676</v>
      </c>
      <c r="BX1" t="s">
        <v>3677</v>
      </c>
      <c r="BY1" t="s">
        <v>3678</v>
      </c>
      <c r="BZ1" t="s">
        <v>3679</v>
      </c>
      <c r="CA1" t="s">
        <v>3680</v>
      </c>
      <c r="CB1" t="s">
        <v>3681</v>
      </c>
      <c r="CC1" t="s">
        <v>3682</v>
      </c>
      <c r="CD1" t="s">
        <v>3683</v>
      </c>
      <c r="CE1" t="s">
        <v>3684</v>
      </c>
      <c r="CF1" t="s">
        <v>3685</v>
      </c>
      <c r="CG1" t="s">
        <v>3686</v>
      </c>
      <c r="CH1" t="s">
        <v>3687</v>
      </c>
      <c r="CI1" t="s">
        <v>3688</v>
      </c>
      <c r="CJ1" t="s">
        <v>3689</v>
      </c>
      <c r="CK1" t="s">
        <v>3690</v>
      </c>
      <c r="CL1" t="s">
        <v>3691</v>
      </c>
      <c r="CM1" t="s">
        <v>3692</v>
      </c>
      <c r="CN1" t="s">
        <v>3693</v>
      </c>
      <c r="CO1" t="s">
        <v>3694</v>
      </c>
      <c r="CP1" t="s">
        <v>3695</v>
      </c>
      <c r="CQ1" t="s">
        <v>3696</v>
      </c>
      <c r="CR1" t="s">
        <v>3697</v>
      </c>
      <c r="CS1" t="s">
        <v>3698</v>
      </c>
      <c r="CT1" t="s">
        <v>3699</v>
      </c>
      <c r="CU1" t="s">
        <v>3700</v>
      </c>
      <c r="CV1" t="s">
        <v>3701</v>
      </c>
      <c r="CW1" t="s">
        <v>3702</v>
      </c>
      <c r="CX1" t="s">
        <v>3703</v>
      </c>
      <c r="CY1" t="s">
        <v>3704</v>
      </c>
      <c r="CZ1" t="s">
        <v>3705</v>
      </c>
      <c r="DA1" t="s">
        <v>3706</v>
      </c>
      <c r="DB1" t="s">
        <v>3707</v>
      </c>
      <c r="DC1" t="s">
        <v>3708</v>
      </c>
      <c r="DD1" t="s">
        <v>1580</v>
      </c>
      <c r="DE1" t="s">
        <v>3709</v>
      </c>
    </row>
    <row r="2" spans="1:109" ht="11.25" customHeight="1" x14ac:dyDescent="0.15">
      <c r="A2" s="1321" t="s">
        <v>147</v>
      </c>
      <c r="B2" t="s">
        <v>147</v>
      </c>
      <c r="C2" t="s">
        <v>147</v>
      </c>
      <c r="D2" t="s">
        <v>147</v>
      </c>
      <c r="E2" t="s">
        <v>147</v>
      </c>
      <c r="F2" t="s">
        <v>147</v>
      </c>
      <c r="G2" t="s">
        <v>147</v>
      </c>
      <c r="H2" t="s">
        <v>147</v>
      </c>
      <c r="I2" t="s">
        <v>3710</v>
      </c>
      <c r="J2" t="s">
        <v>147</v>
      </c>
      <c r="K2" t="s">
        <v>147</v>
      </c>
      <c r="L2" t="s">
        <v>147</v>
      </c>
      <c r="M2" t="s">
        <v>147</v>
      </c>
      <c r="N2" t="s">
        <v>147</v>
      </c>
      <c r="O2" t="s">
        <v>147</v>
      </c>
      <c r="P2" t="s">
        <v>147</v>
      </c>
      <c r="Q2" t="s">
        <v>147</v>
      </c>
      <c r="R2" t="s">
        <v>435</v>
      </c>
      <c r="S2" t="s">
        <v>147</v>
      </c>
      <c r="T2" t="s">
        <v>147</v>
      </c>
      <c r="U2" t="s">
        <v>101</v>
      </c>
      <c r="V2" t="s">
        <v>147</v>
      </c>
      <c r="W2" t="s">
        <v>147</v>
      </c>
      <c r="X2" t="s">
        <v>3711</v>
      </c>
      <c r="Y2" t="s">
        <v>147</v>
      </c>
      <c r="Z2" t="s">
        <v>151</v>
      </c>
      <c r="AA2" t="s">
        <v>191</v>
      </c>
      <c r="AB2" t="s">
        <v>191</v>
      </c>
      <c r="AC2" t="s">
        <v>351</v>
      </c>
      <c r="AD2" t="s">
        <v>351</v>
      </c>
      <c r="AE2" t="s">
        <v>352</v>
      </c>
      <c r="AF2" t="s">
        <v>3712</v>
      </c>
      <c r="AG2" t="s">
        <v>3713</v>
      </c>
      <c r="AH2" t="s">
        <v>3714</v>
      </c>
      <c r="AI2" t="s">
        <v>3715</v>
      </c>
      <c r="AJ2" t="s">
        <v>3716</v>
      </c>
      <c r="AK2" t="s">
        <v>3717</v>
      </c>
      <c r="AL2" t="s">
        <v>3718</v>
      </c>
      <c r="AM2" t="s">
        <v>3719</v>
      </c>
      <c r="AN2" t="s">
        <v>3720</v>
      </c>
      <c r="AO2" t="s">
        <v>3721</v>
      </c>
      <c r="AP2" t="s">
        <v>147</v>
      </c>
      <c r="AQ2" t="s">
        <v>147</v>
      </c>
      <c r="AR2" t="s">
        <v>147</v>
      </c>
      <c r="AS2" t="s">
        <v>147</v>
      </c>
      <c r="AT2" t="s">
        <v>147</v>
      </c>
      <c r="AU2" t="s">
        <v>147</v>
      </c>
      <c r="AV2" t="s">
        <v>147</v>
      </c>
      <c r="AW2" t="s">
        <v>147</v>
      </c>
      <c r="AX2" t="s">
        <v>147</v>
      </c>
      <c r="AY2" t="s">
        <v>147</v>
      </c>
      <c r="AZ2" t="s">
        <v>147</v>
      </c>
      <c r="BA2" t="s">
        <v>147</v>
      </c>
      <c r="BB2" t="s">
        <v>147</v>
      </c>
      <c r="BC2" t="s">
        <v>147</v>
      </c>
      <c r="BD2" t="s">
        <v>147</v>
      </c>
      <c r="BE2" t="s">
        <v>147</v>
      </c>
      <c r="BF2" t="s">
        <v>147</v>
      </c>
      <c r="BG2" t="s">
        <v>147</v>
      </c>
      <c r="BH2" t="s">
        <v>147</v>
      </c>
      <c r="BI2" t="s">
        <v>147</v>
      </c>
      <c r="BJ2" t="s">
        <v>147</v>
      </c>
      <c r="BK2" t="s">
        <v>147</v>
      </c>
      <c r="BL2" t="s">
        <v>147</v>
      </c>
      <c r="BM2" t="s">
        <v>147</v>
      </c>
      <c r="BN2" t="s">
        <v>147</v>
      </c>
      <c r="BO2" t="s">
        <v>147</v>
      </c>
      <c r="BP2" t="s">
        <v>147</v>
      </c>
      <c r="BQ2" t="s">
        <v>147</v>
      </c>
      <c r="BR2" t="s">
        <v>147</v>
      </c>
      <c r="BS2" t="s">
        <v>147</v>
      </c>
      <c r="BT2" t="s">
        <v>147</v>
      </c>
      <c r="BU2" t="s">
        <v>147</v>
      </c>
      <c r="BV2" t="s">
        <v>147</v>
      </c>
      <c r="BW2" t="s">
        <v>147</v>
      </c>
      <c r="BX2" t="s">
        <v>147</v>
      </c>
      <c r="BY2" t="s">
        <v>147</v>
      </c>
      <c r="BZ2" t="s">
        <v>147</v>
      </c>
      <c r="CA2" t="s">
        <v>147</v>
      </c>
      <c r="CB2" t="s">
        <v>147</v>
      </c>
      <c r="CC2" t="s">
        <v>147</v>
      </c>
      <c r="CD2" t="s">
        <v>147</v>
      </c>
      <c r="CE2" t="s">
        <v>147</v>
      </c>
      <c r="CF2" t="s">
        <v>147</v>
      </c>
      <c r="CG2" t="s">
        <v>147</v>
      </c>
      <c r="CH2" t="s">
        <v>147</v>
      </c>
      <c r="CI2" t="s">
        <v>147</v>
      </c>
      <c r="CJ2" t="s">
        <v>147</v>
      </c>
      <c r="CK2" t="s">
        <v>147</v>
      </c>
      <c r="CL2" t="s">
        <v>147</v>
      </c>
      <c r="CM2" t="s">
        <v>147</v>
      </c>
      <c r="CN2" t="s">
        <v>147</v>
      </c>
      <c r="CO2" t="s">
        <v>147</v>
      </c>
      <c r="CP2" t="s">
        <v>147</v>
      </c>
      <c r="CQ2" t="s">
        <v>147</v>
      </c>
      <c r="CR2" t="s">
        <v>147</v>
      </c>
      <c r="CS2" t="s">
        <v>147</v>
      </c>
      <c r="CT2" t="s">
        <v>3722</v>
      </c>
      <c r="CU2" t="s">
        <v>3723</v>
      </c>
      <c r="CV2" t="s">
        <v>431</v>
      </c>
      <c r="CW2" t="s">
        <v>3724</v>
      </c>
      <c r="CX2" t="s">
        <v>432</v>
      </c>
      <c r="CY2" t="s">
        <v>431</v>
      </c>
      <c r="CZ2" t="s">
        <v>437</v>
      </c>
      <c r="DA2" t="s">
        <v>438</v>
      </c>
      <c r="DB2" t="s">
        <v>3724</v>
      </c>
      <c r="DC2" t="s">
        <v>370</v>
      </c>
      <c r="DD2" t="s">
        <v>283</v>
      </c>
      <c r="DE2" t="s">
        <v>436</v>
      </c>
    </row>
    <row r="3" spans="1:109" ht="11.25" customHeight="1" x14ac:dyDescent="0.15">
      <c r="A3" s="1321" t="s">
        <v>147</v>
      </c>
      <c r="B3" t="s">
        <v>147</v>
      </c>
      <c r="C3" t="s">
        <v>147</v>
      </c>
      <c r="D3" t="s">
        <v>147</v>
      </c>
      <c r="E3" t="s">
        <v>147</v>
      </c>
      <c r="F3" t="s">
        <v>147</v>
      </c>
      <c r="G3" t="s">
        <v>147</v>
      </c>
      <c r="H3" t="s">
        <v>147</v>
      </c>
      <c r="I3" t="s">
        <v>3710</v>
      </c>
      <c r="J3" t="s">
        <v>147</v>
      </c>
      <c r="K3" t="s">
        <v>147</v>
      </c>
      <c r="L3" t="s">
        <v>147</v>
      </c>
      <c r="M3" t="s">
        <v>147</v>
      </c>
      <c r="N3" t="s">
        <v>147</v>
      </c>
      <c r="O3" t="s">
        <v>147</v>
      </c>
      <c r="P3" t="s">
        <v>147</v>
      </c>
      <c r="Q3" t="s">
        <v>147</v>
      </c>
      <c r="R3" t="s">
        <v>439</v>
      </c>
      <c r="S3" t="s">
        <v>147</v>
      </c>
      <c r="T3" t="s">
        <v>147</v>
      </c>
      <c r="U3" t="s">
        <v>101</v>
      </c>
      <c r="V3" t="s">
        <v>147</v>
      </c>
      <c r="W3" t="s">
        <v>147</v>
      </c>
      <c r="X3" t="s">
        <v>3711</v>
      </c>
      <c r="Y3" t="s">
        <v>147</v>
      </c>
      <c r="Z3" t="s">
        <v>151</v>
      </c>
      <c r="AA3" t="s">
        <v>191</v>
      </c>
      <c r="AB3" t="s">
        <v>191</v>
      </c>
      <c r="AC3" t="s">
        <v>351</v>
      </c>
      <c r="AD3" t="s">
        <v>351</v>
      </c>
      <c r="AE3" t="s">
        <v>352</v>
      </c>
      <c r="AF3" t="s">
        <v>3712</v>
      </c>
      <c r="AG3" t="s">
        <v>3713</v>
      </c>
      <c r="AH3" t="s">
        <v>3725</v>
      </c>
      <c r="AI3" t="s">
        <v>3715</v>
      </c>
      <c r="AJ3" t="s">
        <v>3726</v>
      </c>
      <c r="AK3" t="s">
        <v>3727</v>
      </c>
      <c r="AL3" t="s">
        <v>3718</v>
      </c>
      <c r="AM3" t="s">
        <v>3719</v>
      </c>
      <c r="AN3" t="s">
        <v>3720</v>
      </c>
      <c r="AO3" t="s">
        <v>3721</v>
      </c>
      <c r="AP3" t="s">
        <v>147</v>
      </c>
      <c r="AQ3" t="s">
        <v>147</v>
      </c>
      <c r="AR3" t="s">
        <v>147</v>
      </c>
      <c r="AS3" t="s">
        <v>147</v>
      </c>
      <c r="AT3" t="s">
        <v>147</v>
      </c>
      <c r="AU3" t="s">
        <v>147</v>
      </c>
      <c r="AV3" t="s">
        <v>147</v>
      </c>
      <c r="AW3" t="s">
        <v>147</v>
      </c>
      <c r="AX3" t="s">
        <v>147</v>
      </c>
      <c r="AY3" t="s">
        <v>147</v>
      </c>
      <c r="AZ3" t="s">
        <v>147</v>
      </c>
      <c r="BA3" t="s">
        <v>147</v>
      </c>
      <c r="BB3" t="s">
        <v>147</v>
      </c>
      <c r="BC3" t="s">
        <v>147</v>
      </c>
      <c r="BD3" t="s">
        <v>147</v>
      </c>
      <c r="BE3" t="s">
        <v>147</v>
      </c>
      <c r="BF3" t="s">
        <v>147</v>
      </c>
      <c r="BG3" t="s">
        <v>147</v>
      </c>
      <c r="BH3" t="s">
        <v>147</v>
      </c>
      <c r="BI3" t="s">
        <v>147</v>
      </c>
      <c r="BJ3" t="s">
        <v>147</v>
      </c>
      <c r="BK3" t="s">
        <v>147</v>
      </c>
      <c r="BL3" t="s">
        <v>147</v>
      </c>
      <c r="BM3" t="s">
        <v>147</v>
      </c>
      <c r="BN3" t="s">
        <v>147</v>
      </c>
      <c r="BO3" t="s">
        <v>147</v>
      </c>
      <c r="BP3" t="s">
        <v>147</v>
      </c>
      <c r="BQ3" t="s">
        <v>147</v>
      </c>
      <c r="BR3" t="s">
        <v>147</v>
      </c>
      <c r="BS3" t="s">
        <v>147</v>
      </c>
      <c r="BT3" t="s">
        <v>147</v>
      </c>
      <c r="BU3" t="s">
        <v>147</v>
      </c>
      <c r="BV3" t="s">
        <v>147</v>
      </c>
      <c r="BW3" t="s">
        <v>147</v>
      </c>
      <c r="BX3" t="s">
        <v>147</v>
      </c>
      <c r="BY3" t="s">
        <v>147</v>
      </c>
      <c r="BZ3" t="s">
        <v>147</v>
      </c>
      <c r="CA3" t="s">
        <v>147</v>
      </c>
      <c r="CB3" t="s">
        <v>147</v>
      </c>
      <c r="CC3" t="s">
        <v>147</v>
      </c>
      <c r="CD3" t="s">
        <v>147</v>
      </c>
      <c r="CE3" t="s">
        <v>147</v>
      </c>
      <c r="CF3" t="s">
        <v>147</v>
      </c>
      <c r="CG3" t="s">
        <v>147</v>
      </c>
      <c r="CH3" t="s">
        <v>147</v>
      </c>
      <c r="CI3" t="s">
        <v>147</v>
      </c>
      <c r="CJ3" t="s">
        <v>147</v>
      </c>
      <c r="CK3" t="s">
        <v>147</v>
      </c>
      <c r="CL3" t="s">
        <v>147</v>
      </c>
      <c r="CM3" t="s">
        <v>147</v>
      </c>
      <c r="CN3" t="s">
        <v>147</v>
      </c>
      <c r="CO3" t="s">
        <v>147</v>
      </c>
      <c r="CP3" t="s">
        <v>147</v>
      </c>
      <c r="CQ3" t="s">
        <v>147</v>
      </c>
      <c r="CR3" t="s">
        <v>147</v>
      </c>
      <c r="CS3" t="s">
        <v>147</v>
      </c>
      <c r="CT3" t="s">
        <v>3722</v>
      </c>
      <c r="CU3" t="s">
        <v>3723</v>
      </c>
      <c r="CV3" t="s">
        <v>431</v>
      </c>
      <c r="CW3" t="s">
        <v>3724</v>
      </c>
      <c r="CX3" t="s">
        <v>432</v>
      </c>
      <c r="CY3" t="s">
        <v>431</v>
      </c>
      <c r="CZ3" t="s">
        <v>437</v>
      </c>
      <c r="DA3" t="s">
        <v>438</v>
      </c>
      <c r="DB3" t="s">
        <v>3724</v>
      </c>
      <c r="DC3" t="s">
        <v>370</v>
      </c>
      <c r="DD3" t="s">
        <v>283</v>
      </c>
      <c r="DE3" t="s">
        <v>440</v>
      </c>
    </row>
    <row r="4" spans="1:109" ht="11.25" customHeight="1" x14ac:dyDescent="0.15">
      <c r="A4" s="1321" t="s">
        <v>147</v>
      </c>
      <c r="B4" t="s">
        <v>147</v>
      </c>
      <c r="C4" t="s">
        <v>147</v>
      </c>
      <c r="D4" t="s">
        <v>147</v>
      </c>
      <c r="E4" t="s">
        <v>147</v>
      </c>
      <c r="F4" t="s">
        <v>147</v>
      </c>
      <c r="G4" t="s">
        <v>147</v>
      </c>
      <c r="H4" t="s">
        <v>147</v>
      </c>
      <c r="I4" t="s">
        <v>3710</v>
      </c>
      <c r="J4" t="s">
        <v>147</v>
      </c>
      <c r="K4" t="s">
        <v>147</v>
      </c>
      <c r="L4" t="s">
        <v>147</v>
      </c>
      <c r="M4" t="s">
        <v>147</v>
      </c>
      <c r="N4" t="s">
        <v>147</v>
      </c>
      <c r="O4" t="s">
        <v>147</v>
      </c>
      <c r="P4" t="s">
        <v>147</v>
      </c>
      <c r="Q4" t="s">
        <v>147</v>
      </c>
      <c r="R4" t="s">
        <v>429</v>
      </c>
      <c r="S4" t="s">
        <v>147</v>
      </c>
      <c r="T4" t="s">
        <v>147</v>
      </c>
      <c r="U4" t="s">
        <v>101</v>
      </c>
      <c r="V4" t="s">
        <v>147</v>
      </c>
      <c r="W4" t="s">
        <v>147</v>
      </c>
      <c r="X4" t="s">
        <v>3711</v>
      </c>
      <c r="Y4" t="s">
        <v>147</v>
      </c>
      <c r="Z4" t="s">
        <v>151</v>
      </c>
      <c r="AA4" t="s">
        <v>191</v>
      </c>
      <c r="AB4" t="s">
        <v>191</v>
      </c>
      <c r="AC4" t="s">
        <v>351</v>
      </c>
      <c r="AD4" t="s">
        <v>351</v>
      </c>
      <c r="AE4" t="s">
        <v>352</v>
      </c>
      <c r="AF4" t="s">
        <v>3712</v>
      </c>
      <c r="AG4" t="s">
        <v>3713</v>
      </c>
      <c r="AH4" t="s">
        <v>3728</v>
      </c>
      <c r="AI4" t="s">
        <v>3715</v>
      </c>
      <c r="AJ4" t="s">
        <v>3729</v>
      </c>
      <c r="AK4" t="s">
        <v>3730</v>
      </c>
      <c r="AL4" t="s">
        <v>3718</v>
      </c>
      <c r="AM4" t="s">
        <v>3719</v>
      </c>
      <c r="AN4" t="s">
        <v>3731</v>
      </c>
      <c r="AO4" t="s">
        <v>3732</v>
      </c>
      <c r="AP4" t="s">
        <v>147</v>
      </c>
      <c r="AQ4" t="s">
        <v>147</v>
      </c>
      <c r="AR4" t="s">
        <v>147</v>
      </c>
      <c r="AS4" t="s">
        <v>147</v>
      </c>
      <c r="AT4" t="s">
        <v>147</v>
      </c>
      <c r="AU4" t="s">
        <v>147</v>
      </c>
      <c r="AV4" t="s">
        <v>147</v>
      </c>
      <c r="AW4" t="s">
        <v>147</v>
      </c>
      <c r="AX4" t="s">
        <v>147</v>
      </c>
      <c r="AY4" t="s">
        <v>147</v>
      </c>
      <c r="AZ4" t="s">
        <v>147</v>
      </c>
      <c r="BA4" t="s">
        <v>147</v>
      </c>
      <c r="BB4" t="s">
        <v>147</v>
      </c>
      <c r="BC4" t="s">
        <v>147</v>
      </c>
      <c r="BD4" t="s">
        <v>147</v>
      </c>
      <c r="BE4" t="s">
        <v>147</v>
      </c>
      <c r="BF4" t="s">
        <v>147</v>
      </c>
      <c r="BG4" t="s">
        <v>147</v>
      </c>
      <c r="BH4" t="s">
        <v>147</v>
      </c>
      <c r="BI4" t="s">
        <v>147</v>
      </c>
      <c r="BJ4" t="s">
        <v>147</v>
      </c>
      <c r="BK4" t="s">
        <v>147</v>
      </c>
      <c r="BL4" t="s">
        <v>147</v>
      </c>
      <c r="BM4" t="s">
        <v>147</v>
      </c>
      <c r="BN4" t="s">
        <v>147</v>
      </c>
      <c r="BO4" t="s">
        <v>147</v>
      </c>
      <c r="BP4" t="s">
        <v>147</v>
      </c>
      <c r="BQ4" t="s">
        <v>147</v>
      </c>
      <c r="BR4" t="s">
        <v>147</v>
      </c>
      <c r="BS4" t="s">
        <v>147</v>
      </c>
      <c r="BT4" t="s">
        <v>147</v>
      </c>
      <c r="BU4" t="s">
        <v>147</v>
      </c>
      <c r="BV4" t="s">
        <v>147</v>
      </c>
      <c r="BW4" t="s">
        <v>147</v>
      </c>
      <c r="BX4" t="s">
        <v>147</v>
      </c>
      <c r="BY4" t="s">
        <v>147</v>
      </c>
      <c r="BZ4" t="s">
        <v>147</v>
      </c>
      <c r="CA4" t="s">
        <v>147</v>
      </c>
      <c r="CB4" t="s">
        <v>147</v>
      </c>
      <c r="CC4" t="s">
        <v>147</v>
      </c>
      <c r="CD4" t="s">
        <v>147</v>
      </c>
      <c r="CE4" t="s">
        <v>147</v>
      </c>
      <c r="CF4" t="s">
        <v>147</v>
      </c>
      <c r="CG4" t="s">
        <v>147</v>
      </c>
      <c r="CH4" t="s">
        <v>147</v>
      </c>
      <c r="CI4" t="s">
        <v>147</v>
      </c>
      <c r="CJ4" t="s">
        <v>147</v>
      </c>
      <c r="CK4" t="s">
        <v>147</v>
      </c>
      <c r="CL4" t="s">
        <v>147</v>
      </c>
      <c r="CM4" t="s">
        <v>147</v>
      </c>
      <c r="CN4" t="s">
        <v>147</v>
      </c>
      <c r="CO4" t="s">
        <v>147</v>
      </c>
      <c r="CP4" t="s">
        <v>147</v>
      </c>
      <c r="CQ4" t="s">
        <v>147</v>
      </c>
      <c r="CR4" t="s">
        <v>147</v>
      </c>
      <c r="CS4" t="s">
        <v>147</v>
      </c>
      <c r="CT4" t="s">
        <v>3722</v>
      </c>
      <c r="CU4" t="s">
        <v>3723</v>
      </c>
      <c r="CV4" t="s">
        <v>431</v>
      </c>
      <c r="CW4" t="s">
        <v>3733</v>
      </c>
      <c r="CX4" t="s">
        <v>432</v>
      </c>
      <c r="CY4" t="s">
        <v>431</v>
      </c>
      <c r="CZ4" t="s">
        <v>433</v>
      </c>
      <c r="DA4" t="s">
        <v>434</v>
      </c>
      <c r="DB4" t="s">
        <v>3733</v>
      </c>
      <c r="DC4" t="s">
        <v>370</v>
      </c>
      <c r="DD4" t="s">
        <v>283</v>
      </c>
      <c r="DE4" t="s">
        <v>430</v>
      </c>
    </row>
    <row r="5" spans="1:109" ht="11.25" customHeight="1" x14ac:dyDescent="0.15">
      <c r="A5" s="1321" t="s">
        <v>147</v>
      </c>
      <c r="B5" t="s">
        <v>147</v>
      </c>
      <c r="C5" t="s">
        <v>147</v>
      </c>
      <c r="D5" t="s">
        <v>147</v>
      </c>
      <c r="E5" t="s">
        <v>147</v>
      </c>
      <c r="F5" t="s">
        <v>147</v>
      </c>
      <c r="G5" t="s">
        <v>147</v>
      </c>
      <c r="H5" t="s">
        <v>147</v>
      </c>
      <c r="I5" t="s">
        <v>3710</v>
      </c>
      <c r="J5" t="s">
        <v>147</v>
      </c>
      <c r="K5" t="s">
        <v>147</v>
      </c>
      <c r="L5" t="s">
        <v>147</v>
      </c>
      <c r="M5" t="s">
        <v>147</v>
      </c>
      <c r="N5" t="s">
        <v>147</v>
      </c>
      <c r="O5" t="s">
        <v>147</v>
      </c>
      <c r="P5" t="s">
        <v>147</v>
      </c>
      <c r="Q5" t="s">
        <v>147</v>
      </c>
      <c r="R5" t="s">
        <v>423</v>
      </c>
      <c r="S5" t="s">
        <v>147</v>
      </c>
      <c r="T5" t="s">
        <v>147</v>
      </c>
      <c r="U5" t="s">
        <v>101</v>
      </c>
      <c r="V5" t="s">
        <v>147</v>
      </c>
      <c r="W5" t="s">
        <v>147</v>
      </c>
      <c r="X5" t="s">
        <v>3734</v>
      </c>
      <c r="Y5" t="s">
        <v>147</v>
      </c>
      <c r="Z5" t="s">
        <v>191</v>
      </c>
      <c r="AA5" t="s">
        <v>191</v>
      </c>
      <c r="AB5" t="s">
        <v>151</v>
      </c>
      <c r="AC5" t="s">
        <v>351</v>
      </c>
      <c r="AD5" t="s">
        <v>351</v>
      </c>
      <c r="AE5" t="s">
        <v>352</v>
      </c>
      <c r="AF5" t="s">
        <v>3712</v>
      </c>
      <c r="AG5" t="s">
        <v>3713</v>
      </c>
      <c r="AH5" t="s">
        <v>3712</v>
      </c>
      <c r="AI5" t="s">
        <v>3715</v>
      </c>
      <c r="AJ5" t="s">
        <v>147</v>
      </c>
      <c r="AK5" t="s">
        <v>147</v>
      </c>
      <c r="AL5" t="s">
        <v>147</v>
      </c>
      <c r="AM5" t="s">
        <v>147</v>
      </c>
      <c r="AN5" t="s">
        <v>147</v>
      </c>
      <c r="AO5" t="s">
        <v>147</v>
      </c>
      <c r="AP5" t="s">
        <v>147</v>
      </c>
      <c r="AQ5" t="s">
        <v>147</v>
      </c>
      <c r="AR5" t="s">
        <v>147</v>
      </c>
      <c r="AS5" t="s">
        <v>147</v>
      </c>
      <c r="AT5" t="s">
        <v>147</v>
      </c>
      <c r="AU5" t="s">
        <v>147</v>
      </c>
      <c r="AV5" t="s">
        <v>147</v>
      </c>
      <c r="AW5" t="s">
        <v>147</v>
      </c>
      <c r="AX5" t="s">
        <v>147</v>
      </c>
      <c r="AY5" t="s">
        <v>147</v>
      </c>
      <c r="AZ5" t="s">
        <v>147</v>
      </c>
      <c r="BA5" t="s">
        <v>147</v>
      </c>
      <c r="BB5" t="s">
        <v>147</v>
      </c>
      <c r="BC5" t="s">
        <v>147</v>
      </c>
      <c r="BD5" t="s">
        <v>147</v>
      </c>
      <c r="BE5" t="s">
        <v>3735</v>
      </c>
      <c r="BF5" t="s">
        <v>3736</v>
      </c>
      <c r="BG5" t="s">
        <v>111</v>
      </c>
      <c r="BH5" t="s">
        <v>3737</v>
      </c>
      <c r="BI5" t="s">
        <v>122</v>
      </c>
      <c r="BJ5" t="s">
        <v>147</v>
      </c>
      <c r="BK5" t="s">
        <v>447</v>
      </c>
      <c r="BL5" t="s">
        <v>351</v>
      </c>
      <c r="BM5" t="s">
        <v>351</v>
      </c>
      <c r="BN5" t="s">
        <v>3738</v>
      </c>
      <c r="BO5" t="s">
        <v>3739</v>
      </c>
      <c r="BP5" t="s">
        <v>3740</v>
      </c>
      <c r="BQ5" t="s">
        <v>3741</v>
      </c>
      <c r="BR5" t="s">
        <v>3715</v>
      </c>
      <c r="BS5" t="s">
        <v>147</v>
      </c>
      <c r="BT5" t="s">
        <v>3742</v>
      </c>
      <c r="BU5" t="s">
        <v>3743</v>
      </c>
      <c r="BV5" t="s">
        <v>3744</v>
      </c>
      <c r="BW5" t="s">
        <v>3745</v>
      </c>
      <c r="BX5" t="s">
        <v>3746</v>
      </c>
      <c r="BY5" t="s">
        <v>3747</v>
      </c>
      <c r="BZ5" t="s">
        <v>3736</v>
      </c>
      <c r="CA5" t="s">
        <v>3736</v>
      </c>
      <c r="CB5" t="s">
        <v>147</v>
      </c>
      <c r="CC5" t="s">
        <v>147</v>
      </c>
      <c r="CD5" t="s">
        <v>147</v>
      </c>
      <c r="CE5" t="s">
        <v>147</v>
      </c>
      <c r="CF5" t="s">
        <v>147</v>
      </c>
      <c r="CG5" t="s">
        <v>3736</v>
      </c>
      <c r="CH5" t="s">
        <v>147</v>
      </c>
      <c r="CI5" t="s">
        <v>147</v>
      </c>
      <c r="CJ5" t="s">
        <v>147</v>
      </c>
      <c r="CK5" t="s">
        <v>147</v>
      </c>
      <c r="CL5" t="s">
        <v>147</v>
      </c>
      <c r="CM5" t="s">
        <v>3743</v>
      </c>
      <c r="CN5" t="s">
        <v>3744</v>
      </c>
      <c r="CO5" t="s">
        <v>3745</v>
      </c>
      <c r="CP5" t="s">
        <v>3746</v>
      </c>
      <c r="CQ5" t="s">
        <v>3747</v>
      </c>
      <c r="CR5" t="s">
        <v>147</v>
      </c>
      <c r="CS5" t="s">
        <v>3748</v>
      </c>
      <c r="CT5" t="s">
        <v>3722</v>
      </c>
      <c r="CU5" t="s">
        <v>3749</v>
      </c>
      <c r="CV5" t="s">
        <v>425</v>
      </c>
      <c r="CW5" t="s">
        <v>3750</v>
      </c>
      <c r="CX5" t="s">
        <v>426</v>
      </c>
      <c r="CY5" t="s">
        <v>425</v>
      </c>
      <c r="CZ5" t="s">
        <v>228</v>
      </c>
      <c r="DA5" t="s">
        <v>427</v>
      </c>
      <c r="DB5" t="s">
        <v>3750</v>
      </c>
      <c r="DC5" t="s">
        <v>370</v>
      </c>
      <c r="DD5" t="s">
        <v>283</v>
      </c>
      <c r="DE5" t="s">
        <v>424</v>
      </c>
    </row>
    <row r="6" spans="1:109" ht="11.25" customHeight="1" x14ac:dyDescent="0.15">
      <c r="A6" s="1321" t="s">
        <v>147</v>
      </c>
      <c r="B6" t="s">
        <v>147</v>
      </c>
      <c r="C6" t="s">
        <v>147</v>
      </c>
      <c r="D6" t="s">
        <v>147</v>
      </c>
      <c r="E6" t="s">
        <v>147</v>
      </c>
      <c r="F6" t="s">
        <v>147</v>
      </c>
      <c r="G6" t="s">
        <v>147</v>
      </c>
      <c r="H6" t="s">
        <v>147</v>
      </c>
      <c r="I6" t="s">
        <v>3710</v>
      </c>
      <c r="J6" t="s">
        <v>147</v>
      </c>
      <c r="K6" t="s">
        <v>147</v>
      </c>
      <c r="L6" t="s">
        <v>147</v>
      </c>
      <c r="M6" t="s">
        <v>147</v>
      </c>
      <c r="N6" t="s">
        <v>147</v>
      </c>
      <c r="O6" t="s">
        <v>147</v>
      </c>
      <c r="P6" t="s">
        <v>147</v>
      </c>
      <c r="Q6" t="s">
        <v>147</v>
      </c>
      <c r="R6" t="s">
        <v>442</v>
      </c>
      <c r="S6" t="s">
        <v>147</v>
      </c>
      <c r="T6" t="s">
        <v>147</v>
      </c>
      <c r="U6" t="s">
        <v>101</v>
      </c>
      <c r="V6" t="s">
        <v>147</v>
      </c>
      <c r="W6" t="s">
        <v>147</v>
      </c>
      <c r="X6" t="s">
        <v>3734</v>
      </c>
      <c r="Y6" t="s">
        <v>147</v>
      </c>
      <c r="Z6" t="s">
        <v>191</v>
      </c>
      <c r="AA6" t="s">
        <v>191</v>
      </c>
      <c r="AB6" t="s">
        <v>151</v>
      </c>
      <c r="AC6" t="s">
        <v>351</v>
      </c>
      <c r="AD6" t="s">
        <v>351</v>
      </c>
      <c r="AE6" t="s">
        <v>352</v>
      </c>
      <c r="AF6" t="s">
        <v>3739</v>
      </c>
      <c r="AG6" t="s">
        <v>3751</v>
      </c>
      <c r="AH6" t="s">
        <v>3741</v>
      </c>
      <c r="AI6" t="s">
        <v>3715</v>
      </c>
      <c r="AJ6" t="s">
        <v>147</v>
      </c>
      <c r="AK6" t="s">
        <v>147</v>
      </c>
      <c r="AL6" t="s">
        <v>147</v>
      </c>
      <c r="AM6" t="s">
        <v>147</v>
      </c>
      <c r="AN6" t="s">
        <v>147</v>
      </c>
      <c r="AO6" t="s">
        <v>147</v>
      </c>
      <c r="AP6" t="s">
        <v>147</v>
      </c>
      <c r="AQ6" t="s">
        <v>147</v>
      </c>
      <c r="AR6" t="s">
        <v>147</v>
      </c>
      <c r="AS6" t="s">
        <v>147</v>
      </c>
      <c r="AT6" t="s">
        <v>147</v>
      </c>
      <c r="AU6" t="s">
        <v>147</v>
      </c>
      <c r="AV6" t="s">
        <v>147</v>
      </c>
      <c r="AW6" t="s">
        <v>147</v>
      </c>
      <c r="AX6" t="s">
        <v>147</v>
      </c>
      <c r="AY6" t="s">
        <v>147</v>
      </c>
      <c r="AZ6" t="s">
        <v>147</v>
      </c>
      <c r="BA6" t="s">
        <v>147</v>
      </c>
      <c r="BB6" t="s">
        <v>147</v>
      </c>
      <c r="BC6" t="s">
        <v>147</v>
      </c>
      <c r="BD6" t="s">
        <v>147</v>
      </c>
      <c r="BE6" t="s">
        <v>3735</v>
      </c>
      <c r="BF6" t="s">
        <v>3736</v>
      </c>
      <c r="BG6" t="s">
        <v>111</v>
      </c>
      <c r="BH6" t="s">
        <v>3737</v>
      </c>
      <c r="BI6" t="s">
        <v>122</v>
      </c>
      <c r="BJ6" t="s">
        <v>147</v>
      </c>
      <c r="BK6" t="s">
        <v>447</v>
      </c>
      <c r="BL6" t="s">
        <v>351</v>
      </c>
      <c r="BM6" t="s">
        <v>351</v>
      </c>
      <c r="BN6" t="s">
        <v>3738</v>
      </c>
      <c r="BO6" t="s">
        <v>3739</v>
      </c>
      <c r="BP6" t="s">
        <v>3740</v>
      </c>
      <c r="BQ6" t="s">
        <v>3741</v>
      </c>
      <c r="BR6" t="s">
        <v>3715</v>
      </c>
      <c r="BS6" t="s">
        <v>147</v>
      </c>
      <c r="BT6" t="s">
        <v>3742</v>
      </c>
      <c r="BU6" t="s">
        <v>3752</v>
      </c>
      <c r="BV6" t="s">
        <v>3752</v>
      </c>
      <c r="BW6" t="s">
        <v>3736</v>
      </c>
      <c r="BX6" t="s">
        <v>3736</v>
      </c>
      <c r="BY6" t="s">
        <v>3736</v>
      </c>
      <c r="BZ6" t="s">
        <v>3736</v>
      </c>
      <c r="CA6" t="s">
        <v>3736</v>
      </c>
      <c r="CB6" t="s">
        <v>147</v>
      </c>
      <c r="CC6" t="s">
        <v>147</v>
      </c>
      <c r="CD6" t="s">
        <v>147</v>
      </c>
      <c r="CE6" t="s">
        <v>147</v>
      </c>
      <c r="CF6" t="s">
        <v>147</v>
      </c>
      <c r="CG6" t="s">
        <v>3736</v>
      </c>
      <c r="CH6" t="s">
        <v>147</v>
      </c>
      <c r="CI6" t="s">
        <v>147</v>
      </c>
      <c r="CJ6" t="s">
        <v>147</v>
      </c>
      <c r="CK6" t="s">
        <v>147</v>
      </c>
      <c r="CL6" t="s">
        <v>147</v>
      </c>
      <c r="CM6" t="s">
        <v>3752</v>
      </c>
      <c r="CN6" t="s">
        <v>3752</v>
      </c>
      <c r="CO6" t="s">
        <v>147</v>
      </c>
      <c r="CP6" t="s">
        <v>147</v>
      </c>
      <c r="CQ6" t="s">
        <v>147</v>
      </c>
      <c r="CR6" t="s">
        <v>147</v>
      </c>
      <c r="CS6" t="s">
        <v>3753</v>
      </c>
      <c r="CT6" t="s">
        <v>3722</v>
      </c>
      <c r="CU6" t="s">
        <v>3749</v>
      </c>
      <c r="CV6" t="s">
        <v>425</v>
      </c>
      <c r="CW6" t="s">
        <v>3750</v>
      </c>
      <c r="CX6" t="s">
        <v>426</v>
      </c>
      <c r="CY6" t="s">
        <v>425</v>
      </c>
      <c r="CZ6" t="s">
        <v>228</v>
      </c>
      <c r="DA6" t="s">
        <v>427</v>
      </c>
      <c r="DB6" t="s">
        <v>3750</v>
      </c>
      <c r="DC6" t="s">
        <v>370</v>
      </c>
      <c r="DD6" t="s">
        <v>283</v>
      </c>
      <c r="DE6" t="s">
        <v>443</v>
      </c>
    </row>
    <row r="7" spans="1:109" ht="11.25" customHeight="1" x14ac:dyDescent="0.15">
      <c r="A7" s="1321" t="s">
        <v>147</v>
      </c>
      <c r="B7" t="s">
        <v>147</v>
      </c>
      <c r="C7" t="s">
        <v>147</v>
      </c>
      <c r="D7" t="s">
        <v>147</v>
      </c>
      <c r="E7" t="s">
        <v>147</v>
      </c>
      <c r="F7" t="s">
        <v>147</v>
      </c>
      <c r="G7" t="s">
        <v>147</v>
      </c>
      <c r="H7" t="s">
        <v>147</v>
      </c>
      <c r="I7" t="s">
        <v>3710</v>
      </c>
      <c r="J7" t="s">
        <v>147</v>
      </c>
      <c r="K7" t="s">
        <v>147</v>
      </c>
      <c r="L7" t="s">
        <v>147</v>
      </c>
      <c r="M7" t="s">
        <v>147</v>
      </c>
      <c r="N7" t="s">
        <v>147</v>
      </c>
      <c r="O7" t="s">
        <v>147</v>
      </c>
      <c r="P7" t="s">
        <v>147</v>
      </c>
      <c r="Q7" t="s">
        <v>147</v>
      </c>
      <c r="R7" t="s">
        <v>445</v>
      </c>
      <c r="S7" t="s">
        <v>147</v>
      </c>
      <c r="T7" t="s">
        <v>147</v>
      </c>
      <c r="U7" t="s">
        <v>101</v>
      </c>
      <c r="V7" t="s">
        <v>147</v>
      </c>
      <c r="W7" t="s">
        <v>147</v>
      </c>
      <c r="X7" t="s">
        <v>3711</v>
      </c>
      <c r="Y7" t="s">
        <v>147</v>
      </c>
      <c r="Z7" t="s">
        <v>151</v>
      </c>
      <c r="AA7" t="s">
        <v>191</v>
      </c>
      <c r="AB7" t="s">
        <v>191</v>
      </c>
      <c r="AC7" t="s">
        <v>351</v>
      </c>
      <c r="AD7" t="s">
        <v>351</v>
      </c>
      <c r="AE7" t="s">
        <v>352</v>
      </c>
      <c r="AF7" t="s">
        <v>3739</v>
      </c>
      <c r="AG7" t="s">
        <v>3751</v>
      </c>
      <c r="AH7" t="s">
        <v>3741</v>
      </c>
      <c r="AI7" t="s">
        <v>3715</v>
      </c>
      <c r="AJ7" t="s">
        <v>3754</v>
      </c>
      <c r="AK7" t="s">
        <v>3755</v>
      </c>
      <c r="AL7" t="s">
        <v>3756</v>
      </c>
      <c r="AM7" t="s">
        <v>3719</v>
      </c>
      <c r="AN7" t="s">
        <v>3748</v>
      </c>
      <c r="AO7" t="s">
        <v>3757</v>
      </c>
      <c r="AP7" t="s">
        <v>147</v>
      </c>
      <c r="AQ7" t="s">
        <v>147</v>
      </c>
      <c r="AR7" t="s">
        <v>147</v>
      </c>
      <c r="AS7" t="s">
        <v>147</v>
      </c>
      <c r="AT7" t="s">
        <v>147</v>
      </c>
      <c r="AU7" t="s">
        <v>147</v>
      </c>
      <c r="AV7" t="s">
        <v>147</v>
      </c>
      <c r="AW7" t="s">
        <v>147</v>
      </c>
      <c r="AX7" t="s">
        <v>147</v>
      </c>
      <c r="AY7" t="s">
        <v>147</v>
      </c>
      <c r="AZ7" t="s">
        <v>147</v>
      </c>
      <c r="BA7" t="s">
        <v>147</v>
      </c>
      <c r="BB7" t="s">
        <v>147</v>
      </c>
      <c r="BC7" t="s">
        <v>147</v>
      </c>
      <c r="BD7" t="s">
        <v>147</v>
      </c>
      <c r="BE7" t="s">
        <v>147</v>
      </c>
      <c r="BF7" t="s">
        <v>147</v>
      </c>
      <c r="BG7" t="s">
        <v>147</v>
      </c>
      <c r="BH7" t="s">
        <v>147</v>
      </c>
      <c r="BI7" t="s">
        <v>147</v>
      </c>
      <c r="BJ7" t="s">
        <v>147</v>
      </c>
      <c r="BK7" t="s">
        <v>147</v>
      </c>
      <c r="BL7" t="s">
        <v>147</v>
      </c>
      <c r="BM7" t="s">
        <v>147</v>
      </c>
      <c r="BN7" t="s">
        <v>147</v>
      </c>
      <c r="BO7" t="s">
        <v>147</v>
      </c>
      <c r="BP7" t="s">
        <v>147</v>
      </c>
      <c r="BQ7" t="s">
        <v>147</v>
      </c>
      <c r="BR7" t="s">
        <v>147</v>
      </c>
      <c r="BS7" t="s">
        <v>147</v>
      </c>
      <c r="BT7" t="s">
        <v>147</v>
      </c>
      <c r="BU7" t="s">
        <v>147</v>
      </c>
      <c r="BV7" t="s">
        <v>147</v>
      </c>
      <c r="BW7" t="s">
        <v>147</v>
      </c>
      <c r="BX7" t="s">
        <v>147</v>
      </c>
      <c r="BY7" t="s">
        <v>147</v>
      </c>
      <c r="BZ7" t="s">
        <v>147</v>
      </c>
      <c r="CA7" t="s">
        <v>147</v>
      </c>
      <c r="CB7" t="s">
        <v>147</v>
      </c>
      <c r="CC7" t="s">
        <v>147</v>
      </c>
      <c r="CD7" t="s">
        <v>147</v>
      </c>
      <c r="CE7" t="s">
        <v>147</v>
      </c>
      <c r="CF7" t="s">
        <v>147</v>
      </c>
      <c r="CG7" t="s">
        <v>147</v>
      </c>
      <c r="CH7" t="s">
        <v>147</v>
      </c>
      <c r="CI7" t="s">
        <v>147</v>
      </c>
      <c r="CJ7" t="s">
        <v>147</v>
      </c>
      <c r="CK7" t="s">
        <v>147</v>
      </c>
      <c r="CL7" t="s">
        <v>147</v>
      </c>
      <c r="CM7" t="s">
        <v>147</v>
      </c>
      <c r="CN7" t="s">
        <v>147</v>
      </c>
      <c r="CO7" t="s">
        <v>147</v>
      </c>
      <c r="CP7" t="s">
        <v>147</v>
      </c>
      <c r="CQ7" t="s">
        <v>147</v>
      </c>
      <c r="CR7" t="s">
        <v>147</v>
      </c>
      <c r="CS7" t="s">
        <v>147</v>
      </c>
      <c r="CT7" t="s">
        <v>3722</v>
      </c>
      <c r="CU7" t="s">
        <v>3723</v>
      </c>
      <c r="CV7" t="s">
        <v>431</v>
      </c>
      <c r="CW7" t="s">
        <v>3724</v>
      </c>
      <c r="CX7" t="s">
        <v>432</v>
      </c>
      <c r="CY7" t="s">
        <v>431</v>
      </c>
      <c r="CZ7" t="s">
        <v>437</v>
      </c>
      <c r="DA7" t="s">
        <v>438</v>
      </c>
      <c r="DB7" t="s">
        <v>3724</v>
      </c>
      <c r="DC7" t="s">
        <v>370</v>
      </c>
      <c r="DD7" t="s">
        <v>283</v>
      </c>
      <c r="DE7" t="s">
        <v>443</v>
      </c>
    </row>
    <row r="8" spans="1:109" ht="11.25" customHeight="1" x14ac:dyDescent="0.15">
      <c r="A8" s="1321" t="s">
        <v>147</v>
      </c>
      <c r="B8" t="s">
        <v>147</v>
      </c>
      <c r="C8" t="s">
        <v>147</v>
      </c>
      <c r="D8" t="s">
        <v>147</v>
      </c>
      <c r="E8" t="s">
        <v>147</v>
      </c>
      <c r="F8" t="s">
        <v>147</v>
      </c>
      <c r="G8" t="s">
        <v>147</v>
      </c>
      <c r="H8" t="s">
        <v>147</v>
      </c>
      <c r="I8" t="s">
        <v>3710</v>
      </c>
      <c r="J8" t="s">
        <v>147</v>
      </c>
      <c r="K8" t="s">
        <v>147</v>
      </c>
      <c r="L8" t="s">
        <v>147</v>
      </c>
      <c r="M8" t="s">
        <v>147</v>
      </c>
      <c r="N8" t="s">
        <v>147</v>
      </c>
      <c r="O8" t="s">
        <v>147</v>
      </c>
      <c r="P8" t="s">
        <v>147</v>
      </c>
      <c r="Q8" t="s">
        <v>147</v>
      </c>
      <c r="R8" t="s">
        <v>447</v>
      </c>
      <c r="S8" t="s">
        <v>147</v>
      </c>
      <c r="T8" t="s">
        <v>147</v>
      </c>
      <c r="U8" t="s">
        <v>101</v>
      </c>
      <c r="V8" t="s">
        <v>147</v>
      </c>
      <c r="W8" t="s">
        <v>147</v>
      </c>
      <c r="X8" t="s">
        <v>3711</v>
      </c>
      <c r="Y8" t="s">
        <v>147</v>
      </c>
      <c r="Z8" t="s">
        <v>151</v>
      </c>
      <c r="AA8" t="s">
        <v>191</v>
      </c>
      <c r="AB8" t="s">
        <v>191</v>
      </c>
      <c r="AC8" t="s">
        <v>351</v>
      </c>
      <c r="AD8" t="s">
        <v>351</v>
      </c>
      <c r="AE8" t="s">
        <v>352</v>
      </c>
      <c r="AF8" t="s">
        <v>3739</v>
      </c>
      <c r="AG8" t="s">
        <v>3751</v>
      </c>
      <c r="AH8" t="s">
        <v>3741</v>
      </c>
      <c r="AI8" t="s">
        <v>3715</v>
      </c>
      <c r="AJ8" t="s">
        <v>3758</v>
      </c>
      <c r="AK8" t="s">
        <v>3759</v>
      </c>
      <c r="AL8" t="s">
        <v>3760</v>
      </c>
      <c r="AM8" t="s">
        <v>3719</v>
      </c>
      <c r="AN8" t="s">
        <v>3748</v>
      </c>
      <c r="AO8" t="s">
        <v>3757</v>
      </c>
      <c r="AP8" t="s">
        <v>147</v>
      </c>
      <c r="AQ8" t="s">
        <v>147</v>
      </c>
      <c r="AR8" t="s">
        <v>147</v>
      </c>
      <c r="AS8" t="s">
        <v>147</v>
      </c>
      <c r="AT8" t="s">
        <v>147</v>
      </c>
      <c r="AU8" t="s">
        <v>147</v>
      </c>
      <c r="AV8" t="s">
        <v>147</v>
      </c>
      <c r="AW8" t="s">
        <v>147</v>
      </c>
      <c r="AX8" t="s">
        <v>147</v>
      </c>
      <c r="AY8" t="s">
        <v>147</v>
      </c>
      <c r="AZ8" t="s">
        <v>147</v>
      </c>
      <c r="BA8" t="s">
        <v>147</v>
      </c>
      <c r="BB8" t="s">
        <v>147</v>
      </c>
      <c r="BC8" t="s">
        <v>147</v>
      </c>
      <c r="BD8" t="s">
        <v>147</v>
      </c>
      <c r="BE8" t="s">
        <v>147</v>
      </c>
      <c r="BF8" t="s">
        <v>147</v>
      </c>
      <c r="BG8" t="s">
        <v>147</v>
      </c>
      <c r="BH8" t="s">
        <v>147</v>
      </c>
      <c r="BI8" t="s">
        <v>147</v>
      </c>
      <c r="BJ8" t="s">
        <v>147</v>
      </c>
      <c r="BK8" t="s">
        <v>147</v>
      </c>
      <c r="BL8" t="s">
        <v>147</v>
      </c>
      <c r="BM8" t="s">
        <v>147</v>
      </c>
      <c r="BN8" t="s">
        <v>147</v>
      </c>
      <c r="BO8" t="s">
        <v>147</v>
      </c>
      <c r="BP8" t="s">
        <v>147</v>
      </c>
      <c r="BQ8" t="s">
        <v>147</v>
      </c>
      <c r="BR8" t="s">
        <v>147</v>
      </c>
      <c r="BS8" t="s">
        <v>147</v>
      </c>
      <c r="BT8" t="s">
        <v>147</v>
      </c>
      <c r="BU8" t="s">
        <v>147</v>
      </c>
      <c r="BV8" t="s">
        <v>147</v>
      </c>
      <c r="BW8" t="s">
        <v>147</v>
      </c>
      <c r="BX8" t="s">
        <v>147</v>
      </c>
      <c r="BY8" t="s">
        <v>147</v>
      </c>
      <c r="BZ8" t="s">
        <v>147</v>
      </c>
      <c r="CA8" t="s">
        <v>147</v>
      </c>
      <c r="CB8" t="s">
        <v>147</v>
      </c>
      <c r="CC8" t="s">
        <v>147</v>
      </c>
      <c r="CD8" t="s">
        <v>147</v>
      </c>
      <c r="CE8" t="s">
        <v>147</v>
      </c>
      <c r="CF8" t="s">
        <v>147</v>
      </c>
      <c r="CG8" t="s">
        <v>147</v>
      </c>
      <c r="CH8" t="s">
        <v>147</v>
      </c>
      <c r="CI8" t="s">
        <v>147</v>
      </c>
      <c r="CJ8" t="s">
        <v>147</v>
      </c>
      <c r="CK8" t="s">
        <v>147</v>
      </c>
      <c r="CL8" t="s">
        <v>147</v>
      </c>
      <c r="CM8" t="s">
        <v>147</v>
      </c>
      <c r="CN8" t="s">
        <v>147</v>
      </c>
      <c r="CO8" t="s">
        <v>147</v>
      </c>
      <c r="CP8" t="s">
        <v>147</v>
      </c>
      <c r="CQ8" t="s">
        <v>147</v>
      </c>
      <c r="CR8" t="s">
        <v>147</v>
      </c>
      <c r="CS8" t="s">
        <v>147</v>
      </c>
      <c r="CT8" t="s">
        <v>3722</v>
      </c>
      <c r="CU8" t="s">
        <v>3723</v>
      </c>
      <c r="CV8" t="s">
        <v>431</v>
      </c>
      <c r="CW8" t="s">
        <v>3724</v>
      </c>
      <c r="CX8" t="s">
        <v>432</v>
      </c>
      <c r="CY8" t="s">
        <v>431</v>
      </c>
      <c r="CZ8" t="s">
        <v>437</v>
      </c>
      <c r="DA8" t="s">
        <v>438</v>
      </c>
      <c r="DB8" t="s">
        <v>3724</v>
      </c>
      <c r="DC8" t="s">
        <v>370</v>
      </c>
      <c r="DD8" t="s">
        <v>283</v>
      </c>
      <c r="DE8" t="s">
        <v>443</v>
      </c>
    </row>
    <row r="9" spans="1:109" ht="11.25" customHeight="1" x14ac:dyDescent="0.15">
      <c r="A9" s="1321" t="s">
        <v>147</v>
      </c>
      <c r="B9" t="s">
        <v>147</v>
      </c>
      <c r="C9" t="s">
        <v>147</v>
      </c>
      <c r="D9" t="s">
        <v>147</v>
      </c>
      <c r="E9" t="s">
        <v>147</v>
      </c>
      <c r="F9" t="s">
        <v>147</v>
      </c>
      <c r="G9" t="s">
        <v>147</v>
      </c>
      <c r="H9" t="s">
        <v>147</v>
      </c>
      <c r="I9" t="s">
        <v>3710</v>
      </c>
      <c r="J9" t="s">
        <v>147</v>
      </c>
      <c r="K9" t="s">
        <v>147</v>
      </c>
      <c r="L9" t="s">
        <v>147</v>
      </c>
      <c r="M9" t="s">
        <v>147</v>
      </c>
      <c r="N9" t="s">
        <v>147</v>
      </c>
      <c r="O9" t="s">
        <v>147</v>
      </c>
      <c r="P9" t="s">
        <v>147</v>
      </c>
      <c r="Q9" t="s">
        <v>147</v>
      </c>
      <c r="R9" t="s">
        <v>449</v>
      </c>
      <c r="S9" t="s">
        <v>147</v>
      </c>
      <c r="T9" t="s">
        <v>147</v>
      </c>
      <c r="U9" t="s">
        <v>101</v>
      </c>
      <c r="V9" t="s">
        <v>147</v>
      </c>
      <c r="W9" t="s">
        <v>147</v>
      </c>
      <c r="X9" t="s">
        <v>3761</v>
      </c>
      <c r="Y9" t="s">
        <v>147</v>
      </c>
      <c r="Z9" t="s">
        <v>191</v>
      </c>
      <c r="AA9" t="s">
        <v>151</v>
      </c>
      <c r="AB9" t="s">
        <v>191</v>
      </c>
      <c r="AC9" t="s">
        <v>351</v>
      </c>
      <c r="AD9" t="s">
        <v>351</v>
      </c>
      <c r="AE9" t="s">
        <v>352</v>
      </c>
      <c r="AF9" t="s">
        <v>3739</v>
      </c>
      <c r="AG9" t="s">
        <v>3751</v>
      </c>
      <c r="AH9" t="s">
        <v>3741</v>
      </c>
      <c r="AI9" t="s">
        <v>3715</v>
      </c>
      <c r="AJ9" t="s">
        <v>147</v>
      </c>
      <c r="AK9" t="s">
        <v>147</v>
      </c>
      <c r="AL9" t="s">
        <v>147</v>
      </c>
      <c r="AM9" t="s">
        <v>147</v>
      </c>
      <c r="AN9" t="s">
        <v>147</v>
      </c>
      <c r="AO9" t="s">
        <v>147</v>
      </c>
      <c r="AP9" t="s">
        <v>3754</v>
      </c>
      <c r="AQ9" t="s">
        <v>3755</v>
      </c>
      <c r="AR9" t="s">
        <v>111</v>
      </c>
      <c r="AS9" t="s">
        <v>3737</v>
      </c>
      <c r="AT9" t="s">
        <v>122</v>
      </c>
      <c r="AU9" t="s">
        <v>147</v>
      </c>
      <c r="AV9" t="s">
        <v>445</v>
      </c>
      <c r="AW9" t="s">
        <v>351</v>
      </c>
      <c r="AX9" t="s">
        <v>351</v>
      </c>
      <c r="AY9" t="s">
        <v>3738</v>
      </c>
      <c r="AZ9" t="s">
        <v>3739</v>
      </c>
      <c r="BA9" t="s">
        <v>3740</v>
      </c>
      <c r="BB9" t="s">
        <v>3739</v>
      </c>
      <c r="BC9" t="s">
        <v>3715</v>
      </c>
      <c r="BD9" t="s">
        <v>3762</v>
      </c>
      <c r="BE9" t="s">
        <v>147</v>
      </c>
      <c r="BF9" t="s">
        <v>147</v>
      </c>
      <c r="BG9" t="s">
        <v>147</v>
      </c>
      <c r="BH9" t="s">
        <v>147</v>
      </c>
      <c r="BI9" t="s">
        <v>147</v>
      </c>
      <c r="BJ9" t="s">
        <v>147</v>
      </c>
      <c r="BK9" t="s">
        <v>147</v>
      </c>
      <c r="BL9" t="s">
        <v>147</v>
      </c>
      <c r="BM9" t="s">
        <v>147</v>
      </c>
      <c r="BN9" t="s">
        <v>147</v>
      </c>
      <c r="BO9" t="s">
        <v>147</v>
      </c>
      <c r="BP9" t="s">
        <v>147</v>
      </c>
      <c r="BQ9" t="s">
        <v>147</v>
      </c>
      <c r="BR9" t="s">
        <v>147</v>
      </c>
      <c r="BS9" t="s">
        <v>147</v>
      </c>
      <c r="BT9" t="s">
        <v>147</v>
      </c>
      <c r="BU9" t="s">
        <v>147</v>
      </c>
      <c r="BV9" t="s">
        <v>147</v>
      </c>
      <c r="BW9" t="s">
        <v>147</v>
      </c>
      <c r="BX9" t="s">
        <v>147</v>
      </c>
      <c r="BY9" t="s">
        <v>147</v>
      </c>
      <c r="BZ9" t="s">
        <v>147</v>
      </c>
      <c r="CA9" t="s">
        <v>147</v>
      </c>
      <c r="CB9" t="s">
        <v>147</v>
      </c>
      <c r="CC9" t="s">
        <v>147</v>
      </c>
      <c r="CD9" t="s">
        <v>147</v>
      </c>
      <c r="CE9" t="s">
        <v>147</v>
      </c>
      <c r="CF9" t="s">
        <v>147</v>
      </c>
      <c r="CG9" t="s">
        <v>147</v>
      </c>
      <c r="CH9" t="s">
        <v>147</v>
      </c>
      <c r="CI9" t="s">
        <v>147</v>
      </c>
      <c r="CJ9" t="s">
        <v>147</v>
      </c>
      <c r="CK9" t="s">
        <v>147</v>
      </c>
      <c r="CL9" t="s">
        <v>147</v>
      </c>
      <c r="CM9" t="s">
        <v>147</v>
      </c>
      <c r="CN9" t="s">
        <v>147</v>
      </c>
      <c r="CO9" t="s">
        <v>147</v>
      </c>
      <c r="CP9" t="s">
        <v>147</v>
      </c>
      <c r="CQ9" t="s">
        <v>147</v>
      </c>
      <c r="CR9" t="s">
        <v>147</v>
      </c>
      <c r="CS9" t="s">
        <v>147</v>
      </c>
      <c r="CT9" t="s">
        <v>3722</v>
      </c>
      <c r="CU9" t="s">
        <v>3723</v>
      </c>
      <c r="CV9" t="s">
        <v>431</v>
      </c>
      <c r="CW9" t="s">
        <v>3724</v>
      </c>
      <c r="CX9" t="s">
        <v>432</v>
      </c>
      <c r="CY9" t="s">
        <v>431</v>
      </c>
      <c r="CZ9" t="s">
        <v>437</v>
      </c>
      <c r="DA9" t="s">
        <v>438</v>
      </c>
      <c r="DB9" t="s">
        <v>3724</v>
      </c>
      <c r="DC9" t="s">
        <v>370</v>
      </c>
      <c r="DD9" t="s">
        <v>283</v>
      </c>
      <c r="DE9" t="s">
        <v>443</v>
      </c>
    </row>
    <row r="10" spans="1:109" ht="11.25" customHeight="1" x14ac:dyDescent="0.15">
      <c r="A10" s="1321" t="s">
        <v>147</v>
      </c>
      <c r="B10" t="s">
        <v>147</v>
      </c>
      <c r="C10" t="s">
        <v>147</v>
      </c>
      <c r="D10" t="s">
        <v>147</v>
      </c>
      <c r="E10" t="s">
        <v>147</v>
      </c>
      <c r="F10" t="s">
        <v>147</v>
      </c>
      <c r="G10" t="s">
        <v>147</v>
      </c>
      <c r="H10" t="s">
        <v>147</v>
      </c>
      <c r="I10" t="s">
        <v>3763</v>
      </c>
      <c r="J10" t="s">
        <v>147</v>
      </c>
      <c r="K10" t="s">
        <v>147</v>
      </c>
      <c r="L10" t="s">
        <v>147</v>
      </c>
      <c r="M10" t="s">
        <v>147</v>
      </c>
      <c r="N10" t="s">
        <v>147</v>
      </c>
      <c r="O10" t="s">
        <v>147</v>
      </c>
      <c r="P10" t="s">
        <v>147</v>
      </c>
      <c r="Q10" t="s">
        <v>147</v>
      </c>
      <c r="R10" t="s">
        <v>455</v>
      </c>
      <c r="S10" t="s">
        <v>147</v>
      </c>
      <c r="T10" t="s">
        <v>147</v>
      </c>
      <c r="U10" t="s">
        <v>101</v>
      </c>
      <c r="V10" t="s">
        <v>147</v>
      </c>
      <c r="W10" t="s">
        <v>147</v>
      </c>
      <c r="X10" t="s">
        <v>3761</v>
      </c>
      <c r="Y10" t="s">
        <v>147</v>
      </c>
      <c r="Z10" t="s">
        <v>191</v>
      </c>
      <c r="AA10" t="s">
        <v>151</v>
      </c>
      <c r="AB10" t="s">
        <v>191</v>
      </c>
      <c r="AC10" t="s">
        <v>351</v>
      </c>
      <c r="AD10" t="s">
        <v>351</v>
      </c>
      <c r="AE10" t="s">
        <v>352</v>
      </c>
      <c r="AF10" t="s">
        <v>3712</v>
      </c>
      <c r="AG10" t="s">
        <v>3713</v>
      </c>
      <c r="AH10" t="s">
        <v>3764</v>
      </c>
      <c r="AI10" t="s">
        <v>3715</v>
      </c>
      <c r="AJ10" t="s">
        <v>147</v>
      </c>
      <c r="AK10" t="s">
        <v>147</v>
      </c>
      <c r="AL10" t="s">
        <v>147</v>
      </c>
      <c r="AN10" t="s">
        <v>147</v>
      </c>
      <c r="AO10" t="s">
        <v>147</v>
      </c>
      <c r="AP10" t="s">
        <v>3765</v>
      </c>
      <c r="AQ10" t="s">
        <v>3766</v>
      </c>
      <c r="AR10" t="s">
        <v>111</v>
      </c>
      <c r="AS10" t="s">
        <v>3737</v>
      </c>
      <c r="AT10" t="s">
        <v>122</v>
      </c>
      <c r="AU10" t="s">
        <v>147</v>
      </c>
      <c r="AV10" t="s">
        <v>465</v>
      </c>
      <c r="AW10" t="s">
        <v>351</v>
      </c>
      <c r="AX10" t="s">
        <v>351</v>
      </c>
      <c r="AY10" t="s">
        <v>3738</v>
      </c>
      <c r="AZ10" t="s">
        <v>3712</v>
      </c>
      <c r="BA10" t="s">
        <v>3767</v>
      </c>
      <c r="BB10" t="s">
        <v>3768</v>
      </c>
      <c r="BC10" t="s">
        <v>3715</v>
      </c>
      <c r="BD10" t="s">
        <v>3769</v>
      </c>
      <c r="BE10" t="s">
        <v>147</v>
      </c>
      <c r="BF10" t="s">
        <v>147</v>
      </c>
      <c r="BG10" t="s">
        <v>147</v>
      </c>
      <c r="BH10" t="s">
        <v>147</v>
      </c>
      <c r="BI10" t="s">
        <v>147</v>
      </c>
      <c r="BJ10" t="s">
        <v>147</v>
      </c>
      <c r="BK10" t="s">
        <v>147</v>
      </c>
      <c r="BL10" t="s">
        <v>147</v>
      </c>
      <c r="BM10" t="s">
        <v>147</v>
      </c>
      <c r="BN10" t="s">
        <v>147</v>
      </c>
      <c r="BO10" t="s">
        <v>147</v>
      </c>
      <c r="BP10" t="s">
        <v>147</v>
      </c>
      <c r="BQ10" t="s">
        <v>147</v>
      </c>
      <c r="BR10" t="s">
        <v>147</v>
      </c>
      <c r="BS10" t="s">
        <v>147</v>
      </c>
      <c r="BT10" t="s">
        <v>147</v>
      </c>
      <c r="CS10" t="s">
        <v>147</v>
      </c>
      <c r="CT10" t="s">
        <v>3722</v>
      </c>
      <c r="CU10" t="s">
        <v>3723</v>
      </c>
      <c r="CV10" t="s">
        <v>431</v>
      </c>
      <c r="CW10" t="s">
        <v>3724</v>
      </c>
      <c r="CX10" t="s">
        <v>432</v>
      </c>
      <c r="CY10" t="s">
        <v>431</v>
      </c>
      <c r="CZ10" t="s">
        <v>437</v>
      </c>
      <c r="DA10" t="s">
        <v>438</v>
      </c>
      <c r="DB10" t="s">
        <v>3724</v>
      </c>
      <c r="DC10" t="s">
        <v>370</v>
      </c>
      <c r="DD10" t="s">
        <v>290</v>
      </c>
      <c r="DE10" t="s">
        <v>456</v>
      </c>
    </row>
    <row r="11" spans="1:109" ht="11.25" customHeight="1" x14ac:dyDescent="0.15">
      <c r="A11" s="1321" t="s">
        <v>147</v>
      </c>
      <c r="B11" t="s">
        <v>147</v>
      </c>
      <c r="C11" t="s">
        <v>147</v>
      </c>
      <c r="D11" t="s">
        <v>147</v>
      </c>
      <c r="E11" t="s">
        <v>147</v>
      </c>
      <c r="F11" t="s">
        <v>147</v>
      </c>
      <c r="G11" t="s">
        <v>147</v>
      </c>
      <c r="H11" t="s">
        <v>147</v>
      </c>
      <c r="I11" t="s">
        <v>3763</v>
      </c>
      <c r="J11" t="s">
        <v>147</v>
      </c>
      <c r="K11" t="s">
        <v>147</v>
      </c>
      <c r="L11" t="s">
        <v>147</v>
      </c>
      <c r="M11" t="s">
        <v>147</v>
      </c>
      <c r="N11" t="s">
        <v>147</v>
      </c>
      <c r="O11" t="s">
        <v>147</v>
      </c>
      <c r="P11" t="s">
        <v>147</v>
      </c>
      <c r="Q11" t="s">
        <v>147</v>
      </c>
      <c r="R11" t="s">
        <v>463</v>
      </c>
      <c r="S11" t="s">
        <v>147</v>
      </c>
      <c r="T11" t="s">
        <v>147</v>
      </c>
      <c r="U11" t="s">
        <v>101</v>
      </c>
      <c r="V11" t="s">
        <v>147</v>
      </c>
      <c r="W11" t="s">
        <v>147</v>
      </c>
      <c r="X11" t="s">
        <v>3770</v>
      </c>
      <c r="Y11" t="s">
        <v>147</v>
      </c>
      <c r="Z11" t="s">
        <v>151</v>
      </c>
      <c r="AA11" t="s">
        <v>191</v>
      </c>
      <c r="AB11" t="s">
        <v>191</v>
      </c>
      <c r="AC11" t="s">
        <v>351</v>
      </c>
      <c r="AD11" t="s">
        <v>351</v>
      </c>
      <c r="AE11" t="s">
        <v>352</v>
      </c>
      <c r="AF11" t="s">
        <v>3712</v>
      </c>
      <c r="AG11" t="s">
        <v>3713</v>
      </c>
      <c r="AH11" t="s">
        <v>3771</v>
      </c>
      <c r="AI11" t="s">
        <v>3715</v>
      </c>
      <c r="AJ11" t="s">
        <v>3772</v>
      </c>
      <c r="AK11" t="s">
        <v>3773</v>
      </c>
      <c r="AL11" t="s">
        <v>3774</v>
      </c>
      <c r="AN11" t="s">
        <v>3775</v>
      </c>
      <c r="AO11" t="s">
        <v>3776</v>
      </c>
      <c r="AP11" t="s">
        <v>147</v>
      </c>
      <c r="AQ11" t="s">
        <v>147</v>
      </c>
      <c r="AR11" t="s">
        <v>147</v>
      </c>
      <c r="AS11" t="s">
        <v>147</v>
      </c>
      <c r="AT11" t="s">
        <v>147</v>
      </c>
      <c r="AU11" t="s">
        <v>147</v>
      </c>
      <c r="AV11" t="s">
        <v>147</v>
      </c>
      <c r="AW11" t="s">
        <v>147</v>
      </c>
      <c r="AX11" t="s">
        <v>147</v>
      </c>
      <c r="AY11" t="s">
        <v>147</v>
      </c>
      <c r="AZ11" t="s">
        <v>147</v>
      </c>
      <c r="BA11" t="s">
        <v>147</v>
      </c>
      <c r="BB11" t="s">
        <v>147</v>
      </c>
      <c r="BC11" t="s">
        <v>147</v>
      </c>
      <c r="BD11" t="s">
        <v>147</v>
      </c>
      <c r="BE11" t="s">
        <v>147</v>
      </c>
      <c r="BF11" t="s">
        <v>147</v>
      </c>
      <c r="BG11" t="s">
        <v>147</v>
      </c>
      <c r="BH11" t="s">
        <v>147</v>
      </c>
      <c r="BI11" t="s">
        <v>147</v>
      </c>
      <c r="BJ11" t="s">
        <v>147</v>
      </c>
      <c r="BK11" t="s">
        <v>147</v>
      </c>
      <c r="BL11" t="s">
        <v>147</v>
      </c>
      <c r="BM11" t="s">
        <v>147</v>
      </c>
      <c r="BN11" t="s">
        <v>147</v>
      </c>
      <c r="BO11" t="s">
        <v>147</v>
      </c>
      <c r="BP11" t="s">
        <v>147</v>
      </c>
      <c r="BQ11" t="s">
        <v>147</v>
      </c>
      <c r="BR11" t="s">
        <v>147</v>
      </c>
      <c r="BS11" t="s">
        <v>147</v>
      </c>
      <c r="BT11" t="s">
        <v>147</v>
      </c>
      <c r="CS11" t="s">
        <v>147</v>
      </c>
      <c r="CT11" t="s">
        <v>3722</v>
      </c>
      <c r="CU11" t="s">
        <v>3723</v>
      </c>
      <c r="CV11" t="s">
        <v>431</v>
      </c>
      <c r="CW11" t="s">
        <v>3724</v>
      </c>
      <c r="CX11" t="s">
        <v>432</v>
      </c>
      <c r="CY11" t="s">
        <v>431</v>
      </c>
      <c r="CZ11" t="s">
        <v>437</v>
      </c>
      <c r="DA11" t="s">
        <v>438</v>
      </c>
      <c r="DB11" t="s">
        <v>3724</v>
      </c>
      <c r="DC11" t="s">
        <v>370</v>
      </c>
      <c r="DD11" t="s">
        <v>290</v>
      </c>
      <c r="DE11" t="s">
        <v>464</v>
      </c>
    </row>
    <row r="12" spans="1:109" ht="11.25" customHeight="1" x14ac:dyDescent="0.15">
      <c r="A12" s="1321" t="s">
        <v>147</v>
      </c>
      <c r="B12" t="s">
        <v>147</v>
      </c>
      <c r="C12" t="s">
        <v>147</v>
      </c>
      <c r="D12" t="s">
        <v>147</v>
      </c>
      <c r="E12" t="s">
        <v>147</v>
      </c>
      <c r="F12" t="s">
        <v>147</v>
      </c>
      <c r="G12" t="s">
        <v>147</v>
      </c>
      <c r="H12" t="s">
        <v>147</v>
      </c>
      <c r="I12" t="s">
        <v>3763</v>
      </c>
      <c r="J12" t="s">
        <v>147</v>
      </c>
      <c r="K12" t="s">
        <v>147</v>
      </c>
      <c r="L12" t="s">
        <v>147</v>
      </c>
      <c r="M12" t="s">
        <v>147</v>
      </c>
      <c r="N12" t="s">
        <v>147</v>
      </c>
      <c r="O12" t="s">
        <v>147</v>
      </c>
      <c r="P12" t="s">
        <v>147</v>
      </c>
      <c r="Q12" t="s">
        <v>147</v>
      </c>
      <c r="R12" t="s">
        <v>473</v>
      </c>
      <c r="S12" t="s">
        <v>147</v>
      </c>
      <c r="T12" t="s">
        <v>147</v>
      </c>
      <c r="U12" t="s">
        <v>101</v>
      </c>
      <c r="V12" t="s">
        <v>147</v>
      </c>
      <c r="W12" t="s">
        <v>147</v>
      </c>
      <c r="X12" t="s">
        <v>3770</v>
      </c>
      <c r="Y12" t="s">
        <v>147</v>
      </c>
      <c r="Z12" t="s">
        <v>151</v>
      </c>
      <c r="AA12" t="s">
        <v>191</v>
      </c>
      <c r="AB12" t="s">
        <v>191</v>
      </c>
      <c r="AC12" t="s">
        <v>351</v>
      </c>
      <c r="AD12" t="s">
        <v>351</v>
      </c>
      <c r="AE12" t="s">
        <v>352</v>
      </c>
      <c r="AF12" t="s">
        <v>3712</v>
      </c>
      <c r="AG12" t="s">
        <v>3713</v>
      </c>
      <c r="AH12" t="s">
        <v>3777</v>
      </c>
      <c r="AI12" t="s">
        <v>3715</v>
      </c>
      <c r="AJ12" t="s">
        <v>3778</v>
      </c>
      <c r="AK12" t="s">
        <v>3773</v>
      </c>
      <c r="AL12" t="s">
        <v>3774</v>
      </c>
      <c r="AN12" t="s">
        <v>3762</v>
      </c>
      <c r="AO12" t="s">
        <v>3779</v>
      </c>
      <c r="AP12" t="s">
        <v>147</v>
      </c>
      <c r="AQ12" t="s">
        <v>147</v>
      </c>
      <c r="AR12" t="s">
        <v>147</v>
      </c>
      <c r="AS12" t="s">
        <v>147</v>
      </c>
      <c r="AT12" t="s">
        <v>147</v>
      </c>
      <c r="AU12" t="s">
        <v>147</v>
      </c>
      <c r="AV12" t="s">
        <v>147</v>
      </c>
      <c r="AW12" t="s">
        <v>147</v>
      </c>
      <c r="AX12" t="s">
        <v>147</v>
      </c>
      <c r="AY12" t="s">
        <v>147</v>
      </c>
      <c r="AZ12" t="s">
        <v>147</v>
      </c>
      <c r="BA12" t="s">
        <v>147</v>
      </c>
      <c r="BB12" t="s">
        <v>147</v>
      </c>
      <c r="BC12" t="s">
        <v>147</v>
      </c>
      <c r="BD12" t="s">
        <v>147</v>
      </c>
      <c r="BE12" t="s">
        <v>147</v>
      </c>
      <c r="BF12" t="s">
        <v>147</v>
      </c>
      <c r="BG12" t="s">
        <v>147</v>
      </c>
      <c r="BH12" t="s">
        <v>147</v>
      </c>
      <c r="BI12" t="s">
        <v>147</v>
      </c>
      <c r="BJ12" t="s">
        <v>147</v>
      </c>
      <c r="BK12" t="s">
        <v>147</v>
      </c>
      <c r="BL12" t="s">
        <v>147</v>
      </c>
      <c r="BM12" t="s">
        <v>147</v>
      </c>
      <c r="BN12" t="s">
        <v>147</v>
      </c>
      <c r="BO12" t="s">
        <v>147</v>
      </c>
      <c r="BP12" t="s">
        <v>147</v>
      </c>
      <c r="BQ12" t="s">
        <v>147</v>
      </c>
      <c r="BR12" t="s">
        <v>147</v>
      </c>
      <c r="BS12" t="s">
        <v>147</v>
      </c>
      <c r="BT12" t="s">
        <v>147</v>
      </c>
      <c r="CS12" t="s">
        <v>147</v>
      </c>
      <c r="CT12" t="s">
        <v>3722</v>
      </c>
      <c r="CU12" t="s">
        <v>3723</v>
      </c>
      <c r="CV12" t="s">
        <v>431</v>
      </c>
      <c r="CW12" t="s">
        <v>3724</v>
      </c>
      <c r="CX12" t="s">
        <v>432</v>
      </c>
      <c r="CY12" t="s">
        <v>431</v>
      </c>
      <c r="CZ12" t="s">
        <v>437</v>
      </c>
      <c r="DA12" t="s">
        <v>438</v>
      </c>
      <c r="DB12" t="s">
        <v>3724</v>
      </c>
      <c r="DC12" t="s">
        <v>370</v>
      </c>
      <c r="DD12" t="s">
        <v>290</v>
      </c>
      <c r="DE12" t="s">
        <v>474</v>
      </c>
    </row>
    <row r="13" spans="1:109" ht="11.25" customHeight="1" x14ac:dyDescent="0.15">
      <c r="A13" s="1321" t="s">
        <v>147</v>
      </c>
      <c r="B13" t="s">
        <v>147</v>
      </c>
      <c r="C13" t="s">
        <v>147</v>
      </c>
      <c r="D13" t="s">
        <v>147</v>
      </c>
      <c r="E13" t="s">
        <v>147</v>
      </c>
      <c r="F13" t="s">
        <v>147</v>
      </c>
      <c r="G13" t="s">
        <v>147</v>
      </c>
      <c r="H13" t="s">
        <v>147</v>
      </c>
      <c r="I13" t="s">
        <v>3763</v>
      </c>
      <c r="J13" t="s">
        <v>147</v>
      </c>
      <c r="K13" t="s">
        <v>147</v>
      </c>
      <c r="L13" t="s">
        <v>147</v>
      </c>
      <c r="M13" t="s">
        <v>147</v>
      </c>
      <c r="N13" t="s">
        <v>147</v>
      </c>
      <c r="O13" t="s">
        <v>147</v>
      </c>
      <c r="P13" t="s">
        <v>147</v>
      </c>
      <c r="Q13" t="s">
        <v>147</v>
      </c>
      <c r="R13" t="s">
        <v>479</v>
      </c>
      <c r="S13" t="s">
        <v>147</v>
      </c>
      <c r="T13" t="s">
        <v>147</v>
      </c>
      <c r="U13" t="s">
        <v>101</v>
      </c>
      <c r="V13" t="s">
        <v>147</v>
      </c>
      <c r="W13" t="s">
        <v>147</v>
      </c>
      <c r="X13" t="s">
        <v>3770</v>
      </c>
      <c r="Y13" t="s">
        <v>147</v>
      </c>
      <c r="Z13" t="s">
        <v>151</v>
      </c>
      <c r="AA13" t="s">
        <v>191</v>
      </c>
      <c r="AB13" t="s">
        <v>191</v>
      </c>
      <c r="AC13" t="s">
        <v>351</v>
      </c>
      <c r="AD13" t="s">
        <v>351</v>
      </c>
      <c r="AE13" t="s">
        <v>352</v>
      </c>
      <c r="AF13" t="s">
        <v>3712</v>
      </c>
      <c r="AG13" t="s">
        <v>3713</v>
      </c>
      <c r="AH13" t="s">
        <v>3780</v>
      </c>
      <c r="AI13" t="s">
        <v>3715</v>
      </c>
      <c r="AJ13" t="s">
        <v>3781</v>
      </c>
      <c r="AK13" t="s">
        <v>3716</v>
      </c>
      <c r="AL13" t="s">
        <v>3774</v>
      </c>
      <c r="AN13" t="s">
        <v>3782</v>
      </c>
      <c r="AO13" t="s">
        <v>3783</v>
      </c>
      <c r="AP13" t="s">
        <v>147</v>
      </c>
      <c r="AQ13" t="s">
        <v>147</v>
      </c>
      <c r="AR13" t="s">
        <v>147</v>
      </c>
      <c r="AS13" t="s">
        <v>147</v>
      </c>
      <c r="AT13" t="s">
        <v>147</v>
      </c>
      <c r="AU13" t="s">
        <v>147</v>
      </c>
      <c r="AV13" t="s">
        <v>147</v>
      </c>
      <c r="AW13" t="s">
        <v>147</v>
      </c>
      <c r="AX13" t="s">
        <v>147</v>
      </c>
      <c r="AY13" t="s">
        <v>147</v>
      </c>
      <c r="AZ13" t="s">
        <v>147</v>
      </c>
      <c r="BA13" t="s">
        <v>147</v>
      </c>
      <c r="BB13" t="s">
        <v>147</v>
      </c>
      <c r="BC13" t="s">
        <v>147</v>
      </c>
      <c r="BD13" t="s">
        <v>147</v>
      </c>
      <c r="BE13" t="s">
        <v>147</v>
      </c>
      <c r="BF13" t="s">
        <v>147</v>
      </c>
      <c r="BG13" t="s">
        <v>147</v>
      </c>
      <c r="BH13" t="s">
        <v>147</v>
      </c>
      <c r="BI13" t="s">
        <v>147</v>
      </c>
      <c r="BJ13" t="s">
        <v>147</v>
      </c>
      <c r="BK13" t="s">
        <v>147</v>
      </c>
      <c r="BL13" t="s">
        <v>147</v>
      </c>
      <c r="BM13" t="s">
        <v>147</v>
      </c>
      <c r="BN13" t="s">
        <v>147</v>
      </c>
      <c r="BO13" t="s">
        <v>147</v>
      </c>
      <c r="BP13" t="s">
        <v>147</v>
      </c>
      <c r="BQ13" t="s">
        <v>147</v>
      </c>
      <c r="BR13" t="s">
        <v>147</v>
      </c>
      <c r="BS13" t="s">
        <v>147</v>
      </c>
      <c r="BT13" t="s">
        <v>147</v>
      </c>
      <c r="CS13" t="s">
        <v>147</v>
      </c>
      <c r="CT13" t="s">
        <v>3722</v>
      </c>
      <c r="CU13" t="s">
        <v>3723</v>
      </c>
      <c r="CV13" t="s">
        <v>431</v>
      </c>
      <c r="CW13" t="s">
        <v>3724</v>
      </c>
      <c r="CX13" t="s">
        <v>432</v>
      </c>
      <c r="CY13" t="s">
        <v>431</v>
      </c>
      <c r="CZ13" t="s">
        <v>437</v>
      </c>
      <c r="DA13" t="s">
        <v>438</v>
      </c>
      <c r="DB13" t="s">
        <v>3724</v>
      </c>
      <c r="DC13" t="s">
        <v>370</v>
      </c>
      <c r="DD13" t="s">
        <v>290</v>
      </c>
      <c r="DE13" t="s">
        <v>480</v>
      </c>
    </row>
    <row r="14" spans="1:109" ht="11.25" customHeight="1" x14ac:dyDescent="0.15">
      <c r="A14" s="1321" t="s">
        <v>147</v>
      </c>
      <c r="B14" t="s">
        <v>147</v>
      </c>
      <c r="C14" t="s">
        <v>147</v>
      </c>
      <c r="D14" t="s">
        <v>147</v>
      </c>
      <c r="E14" t="s">
        <v>147</v>
      </c>
      <c r="F14" t="s">
        <v>147</v>
      </c>
      <c r="G14" t="s">
        <v>147</v>
      </c>
      <c r="H14" t="s">
        <v>147</v>
      </c>
      <c r="I14" t="s">
        <v>3763</v>
      </c>
      <c r="J14" t="s">
        <v>147</v>
      </c>
      <c r="K14" t="s">
        <v>147</v>
      </c>
      <c r="L14" t="s">
        <v>147</v>
      </c>
      <c r="M14" t="s">
        <v>147</v>
      </c>
      <c r="N14" t="s">
        <v>147</v>
      </c>
      <c r="O14" t="s">
        <v>147</v>
      </c>
      <c r="P14" t="s">
        <v>147</v>
      </c>
      <c r="Q14" t="s">
        <v>147</v>
      </c>
      <c r="R14" t="s">
        <v>476</v>
      </c>
      <c r="S14" t="s">
        <v>147</v>
      </c>
      <c r="T14" t="s">
        <v>147</v>
      </c>
      <c r="U14" t="s">
        <v>101</v>
      </c>
      <c r="V14" t="s">
        <v>147</v>
      </c>
      <c r="W14" t="s">
        <v>147</v>
      </c>
      <c r="X14" t="s">
        <v>3770</v>
      </c>
      <c r="Y14" t="s">
        <v>147</v>
      </c>
      <c r="Z14" t="s">
        <v>151</v>
      </c>
      <c r="AA14" t="s">
        <v>191</v>
      </c>
      <c r="AB14" t="s">
        <v>191</v>
      </c>
      <c r="AC14" t="s">
        <v>351</v>
      </c>
      <c r="AD14" t="s">
        <v>351</v>
      </c>
      <c r="AE14" t="s">
        <v>352</v>
      </c>
      <c r="AF14" t="s">
        <v>3712</v>
      </c>
      <c r="AG14" t="s">
        <v>3713</v>
      </c>
      <c r="AH14" t="s">
        <v>3784</v>
      </c>
      <c r="AI14" t="s">
        <v>3715</v>
      </c>
      <c r="AJ14" t="s">
        <v>3772</v>
      </c>
      <c r="AK14" t="s">
        <v>3773</v>
      </c>
      <c r="AL14" t="s">
        <v>3774</v>
      </c>
      <c r="AN14" t="s">
        <v>3785</v>
      </c>
      <c r="AO14" t="s">
        <v>3786</v>
      </c>
      <c r="AP14" t="s">
        <v>147</v>
      </c>
      <c r="AQ14" t="s">
        <v>147</v>
      </c>
      <c r="AR14" t="s">
        <v>147</v>
      </c>
      <c r="AS14" t="s">
        <v>147</v>
      </c>
      <c r="AT14" t="s">
        <v>147</v>
      </c>
      <c r="AU14" t="s">
        <v>147</v>
      </c>
      <c r="AV14" t="s">
        <v>147</v>
      </c>
      <c r="AW14" t="s">
        <v>147</v>
      </c>
      <c r="AX14" t="s">
        <v>147</v>
      </c>
      <c r="AY14" t="s">
        <v>147</v>
      </c>
      <c r="AZ14" t="s">
        <v>147</v>
      </c>
      <c r="BA14" t="s">
        <v>147</v>
      </c>
      <c r="BB14" t="s">
        <v>147</v>
      </c>
      <c r="BC14" t="s">
        <v>147</v>
      </c>
      <c r="BD14" t="s">
        <v>147</v>
      </c>
      <c r="BE14" t="s">
        <v>147</v>
      </c>
      <c r="BF14" t="s">
        <v>147</v>
      </c>
      <c r="BG14" t="s">
        <v>147</v>
      </c>
      <c r="BH14" t="s">
        <v>147</v>
      </c>
      <c r="BI14" t="s">
        <v>147</v>
      </c>
      <c r="BJ14" t="s">
        <v>147</v>
      </c>
      <c r="BK14" t="s">
        <v>147</v>
      </c>
      <c r="BL14" t="s">
        <v>147</v>
      </c>
      <c r="BM14" t="s">
        <v>147</v>
      </c>
      <c r="BN14" t="s">
        <v>147</v>
      </c>
      <c r="BO14" t="s">
        <v>147</v>
      </c>
      <c r="BP14" t="s">
        <v>147</v>
      </c>
      <c r="BQ14" t="s">
        <v>147</v>
      </c>
      <c r="BR14" t="s">
        <v>147</v>
      </c>
      <c r="BS14" t="s">
        <v>147</v>
      </c>
      <c r="BT14" t="s">
        <v>147</v>
      </c>
      <c r="CS14" t="s">
        <v>147</v>
      </c>
      <c r="CT14" t="s">
        <v>3722</v>
      </c>
      <c r="CU14" t="s">
        <v>3749</v>
      </c>
      <c r="CV14" t="s">
        <v>425</v>
      </c>
      <c r="CW14" t="s">
        <v>3787</v>
      </c>
      <c r="CX14" t="s">
        <v>426</v>
      </c>
      <c r="CY14" t="s">
        <v>425</v>
      </c>
      <c r="CZ14" t="s">
        <v>224</v>
      </c>
      <c r="DA14" t="s">
        <v>427</v>
      </c>
      <c r="DB14" t="s">
        <v>3787</v>
      </c>
      <c r="DC14" t="s">
        <v>370</v>
      </c>
      <c r="DD14" t="s">
        <v>290</v>
      </c>
      <c r="DE14" t="s">
        <v>477</v>
      </c>
    </row>
    <row r="15" spans="1:109" ht="11.25" customHeight="1" x14ac:dyDescent="0.15">
      <c r="A15" s="1321" t="s">
        <v>147</v>
      </c>
      <c r="B15" t="s">
        <v>147</v>
      </c>
      <c r="C15" t="s">
        <v>147</v>
      </c>
      <c r="D15" t="s">
        <v>147</v>
      </c>
      <c r="E15" t="s">
        <v>147</v>
      </c>
      <c r="F15" t="s">
        <v>147</v>
      </c>
      <c r="G15" t="s">
        <v>147</v>
      </c>
      <c r="H15" t="s">
        <v>147</v>
      </c>
      <c r="I15" t="s">
        <v>3763</v>
      </c>
      <c r="J15" t="s">
        <v>147</v>
      </c>
      <c r="K15" t="s">
        <v>147</v>
      </c>
      <c r="L15" t="s">
        <v>147</v>
      </c>
      <c r="M15" t="s">
        <v>147</v>
      </c>
      <c r="N15" t="s">
        <v>147</v>
      </c>
      <c r="O15" t="s">
        <v>147</v>
      </c>
      <c r="P15" t="s">
        <v>147</v>
      </c>
      <c r="Q15" t="s">
        <v>147</v>
      </c>
      <c r="R15" t="s">
        <v>461</v>
      </c>
      <c r="S15" t="s">
        <v>147</v>
      </c>
      <c r="T15" t="s">
        <v>147</v>
      </c>
      <c r="U15" t="s">
        <v>101</v>
      </c>
      <c r="V15" t="s">
        <v>147</v>
      </c>
      <c r="W15" t="s">
        <v>147</v>
      </c>
      <c r="X15" t="s">
        <v>3770</v>
      </c>
      <c r="Y15" t="s">
        <v>147</v>
      </c>
      <c r="Z15" t="s">
        <v>151</v>
      </c>
      <c r="AA15" t="s">
        <v>191</v>
      </c>
      <c r="AB15" t="s">
        <v>191</v>
      </c>
      <c r="AC15" t="s">
        <v>351</v>
      </c>
      <c r="AD15" t="s">
        <v>351</v>
      </c>
      <c r="AE15" t="s">
        <v>352</v>
      </c>
      <c r="AF15" t="s">
        <v>3712</v>
      </c>
      <c r="AG15" t="s">
        <v>3713</v>
      </c>
      <c r="AH15" t="s">
        <v>3788</v>
      </c>
      <c r="AI15" t="s">
        <v>469</v>
      </c>
      <c r="AJ15" t="s">
        <v>3773</v>
      </c>
      <c r="AK15" t="s">
        <v>3789</v>
      </c>
      <c r="AL15" t="s">
        <v>3774</v>
      </c>
      <c r="AN15" t="s">
        <v>3790</v>
      </c>
      <c r="AO15" t="s">
        <v>3791</v>
      </c>
      <c r="AP15" t="s">
        <v>147</v>
      </c>
      <c r="AQ15" t="s">
        <v>147</v>
      </c>
      <c r="AR15" t="s">
        <v>147</v>
      </c>
      <c r="AS15" t="s">
        <v>147</v>
      </c>
      <c r="AT15" t="s">
        <v>147</v>
      </c>
      <c r="AU15" t="s">
        <v>147</v>
      </c>
      <c r="AV15" t="s">
        <v>147</v>
      </c>
      <c r="AW15" t="s">
        <v>147</v>
      </c>
      <c r="AX15" t="s">
        <v>147</v>
      </c>
      <c r="AY15" t="s">
        <v>147</v>
      </c>
      <c r="AZ15" t="s">
        <v>147</v>
      </c>
      <c r="BA15" t="s">
        <v>147</v>
      </c>
      <c r="BB15" t="s">
        <v>147</v>
      </c>
      <c r="BC15" t="s">
        <v>147</v>
      </c>
      <c r="BD15" t="s">
        <v>147</v>
      </c>
      <c r="BE15" t="s">
        <v>147</v>
      </c>
      <c r="BF15" t="s">
        <v>147</v>
      </c>
      <c r="BG15" t="s">
        <v>147</v>
      </c>
      <c r="BH15" t="s">
        <v>147</v>
      </c>
      <c r="BI15" t="s">
        <v>147</v>
      </c>
      <c r="BJ15" t="s">
        <v>147</v>
      </c>
      <c r="BK15" t="s">
        <v>147</v>
      </c>
      <c r="BL15" t="s">
        <v>147</v>
      </c>
      <c r="BM15" t="s">
        <v>147</v>
      </c>
      <c r="BN15" t="s">
        <v>147</v>
      </c>
      <c r="BO15" t="s">
        <v>147</v>
      </c>
      <c r="BP15" t="s">
        <v>147</v>
      </c>
      <c r="BQ15" t="s">
        <v>147</v>
      </c>
      <c r="BR15" t="s">
        <v>147</v>
      </c>
      <c r="BS15" t="s">
        <v>147</v>
      </c>
      <c r="BT15" t="s">
        <v>147</v>
      </c>
      <c r="CS15" t="s">
        <v>147</v>
      </c>
      <c r="CT15" t="s">
        <v>3722</v>
      </c>
      <c r="CU15" t="s">
        <v>3749</v>
      </c>
      <c r="CV15" t="s">
        <v>425</v>
      </c>
      <c r="CW15" t="s">
        <v>3787</v>
      </c>
      <c r="CX15" t="s">
        <v>426</v>
      </c>
      <c r="CY15" t="s">
        <v>425</v>
      </c>
      <c r="CZ15" t="s">
        <v>224</v>
      </c>
      <c r="DA15" t="s">
        <v>427</v>
      </c>
      <c r="DB15" t="s">
        <v>3787</v>
      </c>
      <c r="DC15" t="s">
        <v>370</v>
      </c>
      <c r="DD15" t="s">
        <v>290</v>
      </c>
      <c r="DE15" t="s">
        <v>462</v>
      </c>
    </row>
    <row r="16" spans="1:109" ht="11.25" customHeight="1" x14ac:dyDescent="0.15">
      <c r="A16" s="1321" t="s">
        <v>147</v>
      </c>
      <c r="B16" t="s">
        <v>147</v>
      </c>
      <c r="C16" t="s">
        <v>147</v>
      </c>
      <c r="D16" t="s">
        <v>147</v>
      </c>
      <c r="E16" t="s">
        <v>147</v>
      </c>
      <c r="F16" t="s">
        <v>147</v>
      </c>
      <c r="G16" t="s">
        <v>147</v>
      </c>
      <c r="H16" t="s">
        <v>147</v>
      </c>
      <c r="I16" t="s">
        <v>3763</v>
      </c>
      <c r="J16" t="s">
        <v>147</v>
      </c>
      <c r="K16" t="s">
        <v>147</v>
      </c>
      <c r="L16" t="s">
        <v>147</v>
      </c>
      <c r="M16" t="s">
        <v>147</v>
      </c>
      <c r="N16" t="s">
        <v>147</v>
      </c>
      <c r="O16" t="s">
        <v>147</v>
      </c>
      <c r="P16" t="s">
        <v>147</v>
      </c>
      <c r="Q16" t="s">
        <v>147</v>
      </c>
      <c r="R16" t="s">
        <v>459</v>
      </c>
      <c r="S16" t="s">
        <v>147</v>
      </c>
      <c r="T16" t="s">
        <v>147</v>
      </c>
      <c r="U16" t="s">
        <v>101</v>
      </c>
      <c r="V16" t="s">
        <v>147</v>
      </c>
      <c r="W16" t="s">
        <v>147</v>
      </c>
      <c r="X16" t="s">
        <v>3770</v>
      </c>
      <c r="Y16" t="s">
        <v>147</v>
      </c>
      <c r="Z16" t="s">
        <v>151</v>
      </c>
      <c r="AA16" t="s">
        <v>191</v>
      </c>
      <c r="AB16" t="s">
        <v>191</v>
      </c>
      <c r="AC16" t="s">
        <v>351</v>
      </c>
      <c r="AD16" t="s">
        <v>351</v>
      </c>
      <c r="AE16" t="s">
        <v>352</v>
      </c>
      <c r="AF16" t="s">
        <v>3712</v>
      </c>
      <c r="AG16" t="s">
        <v>3713</v>
      </c>
      <c r="AH16" t="s">
        <v>3792</v>
      </c>
      <c r="AI16" t="s">
        <v>3793</v>
      </c>
      <c r="AJ16" t="s">
        <v>3794</v>
      </c>
      <c r="AK16" t="s">
        <v>3794</v>
      </c>
      <c r="AL16" t="s">
        <v>3774</v>
      </c>
      <c r="AN16" t="s">
        <v>3769</v>
      </c>
      <c r="AO16" t="s">
        <v>3791</v>
      </c>
      <c r="AP16" t="s">
        <v>147</v>
      </c>
      <c r="AQ16" t="s">
        <v>147</v>
      </c>
      <c r="AR16" t="s">
        <v>147</v>
      </c>
      <c r="AS16" t="s">
        <v>147</v>
      </c>
      <c r="AT16" t="s">
        <v>147</v>
      </c>
      <c r="AU16" t="s">
        <v>147</v>
      </c>
      <c r="AV16" t="s">
        <v>147</v>
      </c>
      <c r="AW16" t="s">
        <v>147</v>
      </c>
      <c r="AX16" t="s">
        <v>147</v>
      </c>
      <c r="AY16" t="s">
        <v>147</v>
      </c>
      <c r="AZ16" t="s">
        <v>147</v>
      </c>
      <c r="BA16" t="s">
        <v>147</v>
      </c>
      <c r="BB16" t="s">
        <v>147</v>
      </c>
      <c r="BC16" t="s">
        <v>147</v>
      </c>
      <c r="BD16" t="s">
        <v>147</v>
      </c>
      <c r="BE16" t="s">
        <v>147</v>
      </c>
      <c r="BF16" t="s">
        <v>147</v>
      </c>
      <c r="BG16" t="s">
        <v>147</v>
      </c>
      <c r="BH16" t="s">
        <v>147</v>
      </c>
      <c r="BI16" t="s">
        <v>147</v>
      </c>
      <c r="BJ16" t="s">
        <v>147</v>
      </c>
      <c r="BK16" t="s">
        <v>147</v>
      </c>
      <c r="BL16" t="s">
        <v>147</v>
      </c>
      <c r="BM16" t="s">
        <v>147</v>
      </c>
      <c r="BN16" t="s">
        <v>147</v>
      </c>
      <c r="BO16" t="s">
        <v>147</v>
      </c>
      <c r="BP16" t="s">
        <v>147</v>
      </c>
      <c r="BQ16" t="s">
        <v>147</v>
      </c>
      <c r="BR16" t="s">
        <v>147</v>
      </c>
      <c r="BS16" t="s">
        <v>147</v>
      </c>
      <c r="BT16" t="s">
        <v>147</v>
      </c>
      <c r="CS16" t="s">
        <v>147</v>
      </c>
      <c r="CT16" t="s">
        <v>3722</v>
      </c>
      <c r="CU16" t="s">
        <v>3749</v>
      </c>
      <c r="CV16" t="s">
        <v>425</v>
      </c>
      <c r="CW16" t="s">
        <v>3787</v>
      </c>
      <c r="CX16" t="s">
        <v>426</v>
      </c>
      <c r="CY16" t="s">
        <v>425</v>
      </c>
      <c r="CZ16" t="s">
        <v>224</v>
      </c>
      <c r="DA16" t="s">
        <v>427</v>
      </c>
      <c r="DB16" t="s">
        <v>3787</v>
      </c>
      <c r="DC16" t="s">
        <v>370</v>
      </c>
      <c r="DD16" t="s">
        <v>290</v>
      </c>
      <c r="DE16" t="s">
        <v>460</v>
      </c>
    </row>
    <row r="17" spans="1:109" ht="11.25" customHeight="1" x14ac:dyDescent="0.15">
      <c r="A17" s="1321" t="s">
        <v>147</v>
      </c>
      <c r="B17" t="s">
        <v>147</v>
      </c>
      <c r="C17" t="s">
        <v>147</v>
      </c>
      <c r="D17" t="s">
        <v>147</v>
      </c>
      <c r="E17" t="s">
        <v>147</v>
      </c>
      <c r="F17" t="s">
        <v>147</v>
      </c>
      <c r="G17" t="s">
        <v>147</v>
      </c>
      <c r="H17" t="s">
        <v>147</v>
      </c>
      <c r="I17" t="s">
        <v>3763</v>
      </c>
      <c r="J17" t="s">
        <v>147</v>
      </c>
      <c r="K17" t="s">
        <v>147</v>
      </c>
      <c r="L17" t="s">
        <v>147</v>
      </c>
      <c r="M17" t="s">
        <v>147</v>
      </c>
      <c r="N17" t="s">
        <v>147</v>
      </c>
      <c r="O17" t="s">
        <v>147</v>
      </c>
      <c r="P17" t="s">
        <v>147</v>
      </c>
      <c r="Q17" t="s">
        <v>147</v>
      </c>
      <c r="R17" t="s">
        <v>467</v>
      </c>
      <c r="S17" t="s">
        <v>147</v>
      </c>
      <c r="T17" t="s">
        <v>147</v>
      </c>
      <c r="U17" t="s">
        <v>101</v>
      </c>
      <c r="V17" t="s">
        <v>147</v>
      </c>
      <c r="W17" t="s">
        <v>147</v>
      </c>
      <c r="X17" t="s">
        <v>3770</v>
      </c>
      <c r="Y17" t="s">
        <v>147</v>
      </c>
      <c r="Z17" t="s">
        <v>151</v>
      </c>
      <c r="AA17" t="s">
        <v>191</v>
      </c>
      <c r="AB17" t="s">
        <v>191</v>
      </c>
      <c r="AC17" t="s">
        <v>351</v>
      </c>
      <c r="AD17" t="s">
        <v>351</v>
      </c>
      <c r="AE17" t="s">
        <v>352</v>
      </c>
      <c r="AF17" t="s">
        <v>3712</v>
      </c>
      <c r="AG17" t="s">
        <v>3713</v>
      </c>
      <c r="AH17" t="s">
        <v>3795</v>
      </c>
      <c r="AI17" t="s">
        <v>3715</v>
      </c>
      <c r="AJ17" t="s">
        <v>3773</v>
      </c>
      <c r="AK17" t="s">
        <v>3789</v>
      </c>
      <c r="AL17" t="s">
        <v>3774</v>
      </c>
      <c r="AN17" t="s">
        <v>3748</v>
      </c>
      <c r="AO17" t="s">
        <v>3796</v>
      </c>
      <c r="AP17" t="s">
        <v>147</v>
      </c>
      <c r="AQ17" t="s">
        <v>147</v>
      </c>
      <c r="AR17" t="s">
        <v>147</v>
      </c>
      <c r="AS17" t="s">
        <v>147</v>
      </c>
      <c r="AT17" t="s">
        <v>147</v>
      </c>
      <c r="AU17" t="s">
        <v>147</v>
      </c>
      <c r="AV17" t="s">
        <v>147</v>
      </c>
      <c r="AW17" t="s">
        <v>147</v>
      </c>
      <c r="AX17" t="s">
        <v>147</v>
      </c>
      <c r="AY17" t="s">
        <v>147</v>
      </c>
      <c r="AZ17" t="s">
        <v>147</v>
      </c>
      <c r="BA17" t="s">
        <v>147</v>
      </c>
      <c r="BB17" t="s">
        <v>147</v>
      </c>
      <c r="BC17" t="s">
        <v>147</v>
      </c>
      <c r="BD17" t="s">
        <v>147</v>
      </c>
      <c r="BE17" t="s">
        <v>147</v>
      </c>
      <c r="BF17" t="s">
        <v>147</v>
      </c>
      <c r="BG17" t="s">
        <v>147</v>
      </c>
      <c r="BH17" t="s">
        <v>147</v>
      </c>
      <c r="BI17" t="s">
        <v>147</v>
      </c>
      <c r="BJ17" t="s">
        <v>147</v>
      </c>
      <c r="BK17" t="s">
        <v>147</v>
      </c>
      <c r="BL17" t="s">
        <v>147</v>
      </c>
      <c r="BM17" t="s">
        <v>147</v>
      </c>
      <c r="BN17" t="s">
        <v>147</v>
      </c>
      <c r="BO17" t="s">
        <v>147</v>
      </c>
      <c r="BP17" t="s">
        <v>147</v>
      </c>
      <c r="BQ17" t="s">
        <v>147</v>
      </c>
      <c r="BR17" t="s">
        <v>147</v>
      </c>
      <c r="BS17" t="s">
        <v>147</v>
      </c>
      <c r="BT17" t="s">
        <v>147</v>
      </c>
      <c r="CS17" t="s">
        <v>147</v>
      </c>
      <c r="CT17" t="s">
        <v>3722</v>
      </c>
      <c r="CU17" t="s">
        <v>3749</v>
      </c>
      <c r="CV17" t="s">
        <v>425</v>
      </c>
      <c r="CW17" t="s">
        <v>3787</v>
      </c>
      <c r="CX17" t="s">
        <v>426</v>
      </c>
      <c r="CY17" t="s">
        <v>425</v>
      </c>
      <c r="CZ17" t="s">
        <v>224</v>
      </c>
      <c r="DA17" t="s">
        <v>427</v>
      </c>
      <c r="DB17" t="s">
        <v>3787</v>
      </c>
      <c r="DC17" t="s">
        <v>370</v>
      </c>
      <c r="DD17" t="s">
        <v>290</v>
      </c>
      <c r="DE17" t="s">
        <v>468</v>
      </c>
    </row>
    <row r="18" spans="1:109" ht="11.25" customHeight="1" x14ac:dyDescent="0.15">
      <c r="A18" s="1321" t="s">
        <v>147</v>
      </c>
      <c r="B18" t="s">
        <v>147</v>
      </c>
      <c r="C18" t="s">
        <v>147</v>
      </c>
      <c r="D18" t="s">
        <v>147</v>
      </c>
      <c r="E18" t="s">
        <v>147</v>
      </c>
      <c r="F18" t="s">
        <v>147</v>
      </c>
      <c r="G18" t="s">
        <v>147</v>
      </c>
      <c r="H18" t="s">
        <v>147</v>
      </c>
      <c r="I18" t="s">
        <v>3763</v>
      </c>
      <c r="J18" t="s">
        <v>147</v>
      </c>
      <c r="K18" t="s">
        <v>147</v>
      </c>
      <c r="L18" t="s">
        <v>147</v>
      </c>
      <c r="M18" t="s">
        <v>147</v>
      </c>
      <c r="N18" t="s">
        <v>147</v>
      </c>
      <c r="O18" t="s">
        <v>147</v>
      </c>
      <c r="P18" t="s">
        <v>147</v>
      </c>
      <c r="Q18" t="s">
        <v>147</v>
      </c>
      <c r="R18" t="s">
        <v>457</v>
      </c>
      <c r="S18" t="s">
        <v>147</v>
      </c>
      <c r="T18" t="s">
        <v>147</v>
      </c>
      <c r="U18" t="s">
        <v>101</v>
      </c>
      <c r="V18" t="s">
        <v>147</v>
      </c>
      <c r="W18" t="s">
        <v>147</v>
      </c>
      <c r="X18" t="s">
        <v>3770</v>
      </c>
      <c r="Y18" t="s">
        <v>147</v>
      </c>
      <c r="Z18" t="s">
        <v>151</v>
      </c>
      <c r="AA18" t="s">
        <v>191</v>
      </c>
      <c r="AB18" t="s">
        <v>191</v>
      </c>
      <c r="AC18" t="s">
        <v>351</v>
      </c>
      <c r="AD18" t="s">
        <v>351</v>
      </c>
      <c r="AE18" t="s">
        <v>352</v>
      </c>
      <c r="AF18" t="s">
        <v>3712</v>
      </c>
      <c r="AG18" t="s">
        <v>3713</v>
      </c>
      <c r="AH18" t="s">
        <v>3797</v>
      </c>
      <c r="AI18" t="s">
        <v>3715</v>
      </c>
      <c r="AJ18" t="s">
        <v>3798</v>
      </c>
      <c r="AK18" t="s">
        <v>3775</v>
      </c>
      <c r="AL18" t="s">
        <v>3774</v>
      </c>
      <c r="AN18" t="s">
        <v>3799</v>
      </c>
      <c r="AO18" t="s">
        <v>3800</v>
      </c>
      <c r="AP18" t="s">
        <v>147</v>
      </c>
      <c r="AQ18" t="s">
        <v>147</v>
      </c>
      <c r="AR18" t="s">
        <v>147</v>
      </c>
      <c r="AS18" t="s">
        <v>147</v>
      </c>
      <c r="AT18" t="s">
        <v>147</v>
      </c>
      <c r="AU18" t="s">
        <v>147</v>
      </c>
      <c r="AV18" t="s">
        <v>147</v>
      </c>
      <c r="AW18" t="s">
        <v>147</v>
      </c>
      <c r="AX18" t="s">
        <v>147</v>
      </c>
      <c r="AY18" t="s">
        <v>147</v>
      </c>
      <c r="AZ18" t="s">
        <v>147</v>
      </c>
      <c r="BA18" t="s">
        <v>147</v>
      </c>
      <c r="BB18" t="s">
        <v>147</v>
      </c>
      <c r="BC18" t="s">
        <v>147</v>
      </c>
      <c r="BD18" t="s">
        <v>147</v>
      </c>
      <c r="BE18" t="s">
        <v>147</v>
      </c>
      <c r="BF18" t="s">
        <v>147</v>
      </c>
      <c r="BG18" t="s">
        <v>147</v>
      </c>
      <c r="BH18" t="s">
        <v>147</v>
      </c>
      <c r="BI18" t="s">
        <v>147</v>
      </c>
      <c r="BJ18" t="s">
        <v>147</v>
      </c>
      <c r="BK18" t="s">
        <v>147</v>
      </c>
      <c r="BL18" t="s">
        <v>147</v>
      </c>
      <c r="BM18" t="s">
        <v>147</v>
      </c>
      <c r="BN18" t="s">
        <v>147</v>
      </c>
      <c r="BO18" t="s">
        <v>147</v>
      </c>
      <c r="BP18" t="s">
        <v>147</v>
      </c>
      <c r="BQ18" t="s">
        <v>147</v>
      </c>
      <c r="BR18" t="s">
        <v>147</v>
      </c>
      <c r="BS18" t="s">
        <v>147</v>
      </c>
      <c r="BT18" t="s">
        <v>147</v>
      </c>
      <c r="CS18" t="s">
        <v>147</v>
      </c>
      <c r="CT18" t="s">
        <v>3722</v>
      </c>
      <c r="CU18" t="s">
        <v>3749</v>
      </c>
      <c r="CV18" t="s">
        <v>425</v>
      </c>
      <c r="CW18" t="s">
        <v>3787</v>
      </c>
      <c r="CX18" t="s">
        <v>426</v>
      </c>
      <c r="CY18" t="s">
        <v>425</v>
      </c>
      <c r="CZ18" t="s">
        <v>224</v>
      </c>
      <c r="DA18" t="s">
        <v>427</v>
      </c>
      <c r="DB18" t="s">
        <v>3787</v>
      </c>
      <c r="DC18" t="s">
        <v>370</v>
      </c>
      <c r="DD18" t="s">
        <v>290</v>
      </c>
      <c r="DE18" t="s">
        <v>458</v>
      </c>
    </row>
    <row r="19" spans="1:109" ht="11.25" customHeight="1" x14ac:dyDescent="0.15">
      <c r="A19" s="1321" t="s">
        <v>147</v>
      </c>
      <c r="B19" t="s">
        <v>147</v>
      </c>
      <c r="C19" t="s">
        <v>147</v>
      </c>
      <c r="D19" t="s">
        <v>147</v>
      </c>
      <c r="E19" t="s">
        <v>147</v>
      </c>
      <c r="F19" t="s">
        <v>147</v>
      </c>
      <c r="G19" t="s">
        <v>147</v>
      </c>
      <c r="H19" t="s">
        <v>147</v>
      </c>
      <c r="I19" t="s">
        <v>3763</v>
      </c>
      <c r="J19" t="s">
        <v>147</v>
      </c>
      <c r="K19" t="s">
        <v>147</v>
      </c>
      <c r="L19" t="s">
        <v>147</v>
      </c>
      <c r="M19" t="s">
        <v>147</v>
      </c>
      <c r="N19" t="s">
        <v>147</v>
      </c>
      <c r="O19" t="s">
        <v>147</v>
      </c>
      <c r="P19" t="s">
        <v>147</v>
      </c>
      <c r="Q19" t="s">
        <v>147</v>
      </c>
      <c r="R19" t="s">
        <v>451</v>
      </c>
      <c r="S19" t="s">
        <v>147</v>
      </c>
      <c r="T19" t="s">
        <v>147</v>
      </c>
      <c r="U19" t="s">
        <v>101</v>
      </c>
      <c r="V19" t="s">
        <v>147</v>
      </c>
      <c r="W19" t="s">
        <v>147</v>
      </c>
      <c r="X19" t="s">
        <v>3770</v>
      </c>
      <c r="Y19" t="s">
        <v>147</v>
      </c>
      <c r="Z19" t="s">
        <v>151</v>
      </c>
      <c r="AA19" t="s">
        <v>191</v>
      </c>
      <c r="AB19" t="s">
        <v>191</v>
      </c>
      <c r="AC19" t="s">
        <v>351</v>
      </c>
      <c r="AD19" t="s">
        <v>351</v>
      </c>
      <c r="AE19" t="s">
        <v>352</v>
      </c>
      <c r="AF19" t="s">
        <v>3712</v>
      </c>
      <c r="AG19" t="s">
        <v>3713</v>
      </c>
      <c r="AH19" t="s">
        <v>3801</v>
      </c>
      <c r="AI19" t="s">
        <v>3715</v>
      </c>
      <c r="AJ19" t="s">
        <v>3802</v>
      </c>
      <c r="AK19" t="s">
        <v>3803</v>
      </c>
      <c r="AL19" t="s">
        <v>3774</v>
      </c>
      <c r="AN19" t="s">
        <v>3804</v>
      </c>
      <c r="AO19" t="s">
        <v>3805</v>
      </c>
      <c r="AP19" t="s">
        <v>147</v>
      </c>
      <c r="AQ19" t="s">
        <v>147</v>
      </c>
      <c r="AR19" t="s">
        <v>147</v>
      </c>
      <c r="AS19" t="s">
        <v>147</v>
      </c>
      <c r="AT19" t="s">
        <v>147</v>
      </c>
      <c r="AU19" t="s">
        <v>147</v>
      </c>
      <c r="AV19" t="s">
        <v>147</v>
      </c>
      <c r="AW19" t="s">
        <v>147</v>
      </c>
      <c r="AX19" t="s">
        <v>147</v>
      </c>
      <c r="AY19" t="s">
        <v>147</v>
      </c>
      <c r="AZ19" t="s">
        <v>147</v>
      </c>
      <c r="BA19" t="s">
        <v>147</v>
      </c>
      <c r="BB19" t="s">
        <v>147</v>
      </c>
      <c r="BC19" t="s">
        <v>147</v>
      </c>
      <c r="BD19" t="s">
        <v>147</v>
      </c>
      <c r="BE19" t="s">
        <v>147</v>
      </c>
      <c r="BF19" t="s">
        <v>147</v>
      </c>
      <c r="BG19" t="s">
        <v>147</v>
      </c>
      <c r="BH19" t="s">
        <v>147</v>
      </c>
      <c r="BI19" t="s">
        <v>147</v>
      </c>
      <c r="BJ19" t="s">
        <v>147</v>
      </c>
      <c r="BK19" t="s">
        <v>147</v>
      </c>
      <c r="BL19" t="s">
        <v>147</v>
      </c>
      <c r="BM19" t="s">
        <v>147</v>
      </c>
      <c r="BN19" t="s">
        <v>147</v>
      </c>
      <c r="BO19" t="s">
        <v>147</v>
      </c>
      <c r="BP19" t="s">
        <v>147</v>
      </c>
      <c r="BQ19" t="s">
        <v>147</v>
      </c>
      <c r="BR19" t="s">
        <v>147</v>
      </c>
      <c r="BS19" t="s">
        <v>147</v>
      </c>
      <c r="BT19" t="s">
        <v>147</v>
      </c>
      <c r="CS19" t="s">
        <v>147</v>
      </c>
      <c r="CT19" t="s">
        <v>3722</v>
      </c>
      <c r="CU19" t="s">
        <v>3749</v>
      </c>
      <c r="CV19" t="s">
        <v>425</v>
      </c>
      <c r="CW19" t="s">
        <v>3787</v>
      </c>
      <c r="CX19" t="s">
        <v>426</v>
      </c>
      <c r="CY19" t="s">
        <v>425</v>
      </c>
      <c r="CZ19" t="s">
        <v>224</v>
      </c>
      <c r="DA19" t="s">
        <v>427</v>
      </c>
      <c r="DB19" t="s">
        <v>3787</v>
      </c>
      <c r="DC19" t="s">
        <v>370</v>
      </c>
      <c r="DD19" t="s">
        <v>290</v>
      </c>
      <c r="DE19" t="s">
        <v>452</v>
      </c>
    </row>
    <row r="20" spans="1:109" ht="11.25" customHeight="1" x14ac:dyDescent="0.15">
      <c r="A20" s="1321" t="s">
        <v>147</v>
      </c>
      <c r="B20" t="s">
        <v>147</v>
      </c>
      <c r="C20" t="s">
        <v>147</v>
      </c>
      <c r="D20" t="s">
        <v>147</v>
      </c>
      <c r="E20" t="s">
        <v>147</v>
      </c>
      <c r="F20" t="s">
        <v>147</v>
      </c>
      <c r="G20" t="s">
        <v>147</v>
      </c>
      <c r="H20" t="s">
        <v>147</v>
      </c>
      <c r="I20" t="s">
        <v>3763</v>
      </c>
      <c r="J20" t="s">
        <v>147</v>
      </c>
      <c r="K20" t="s">
        <v>147</v>
      </c>
      <c r="L20" t="s">
        <v>147</v>
      </c>
      <c r="M20" t="s">
        <v>147</v>
      </c>
      <c r="N20" t="s">
        <v>147</v>
      </c>
      <c r="O20" t="s">
        <v>147</v>
      </c>
      <c r="P20" t="s">
        <v>147</v>
      </c>
      <c r="Q20" t="s">
        <v>147</v>
      </c>
      <c r="R20" t="s">
        <v>465</v>
      </c>
      <c r="S20" t="s">
        <v>147</v>
      </c>
      <c r="T20" t="s">
        <v>147</v>
      </c>
      <c r="U20" t="s">
        <v>101</v>
      </c>
      <c r="V20" t="s">
        <v>147</v>
      </c>
      <c r="W20" t="s">
        <v>147</v>
      </c>
      <c r="X20" t="s">
        <v>3770</v>
      </c>
      <c r="Y20" t="s">
        <v>147</v>
      </c>
      <c r="Z20" t="s">
        <v>151</v>
      </c>
      <c r="AA20" t="s">
        <v>191</v>
      </c>
      <c r="AB20" t="s">
        <v>191</v>
      </c>
      <c r="AC20" t="s">
        <v>351</v>
      </c>
      <c r="AD20" t="s">
        <v>351</v>
      </c>
      <c r="AE20" t="s">
        <v>352</v>
      </c>
      <c r="AF20" t="s">
        <v>3712</v>
      </c>
      <c r="AG20" t="s">
        <v>3713</v>
      </c>
      <c r="AH20" t="s">
        <v>3768</v>
      </c>
      <c r="AI20" t="s">
        <v>3715</v>
      </c>
      <c r="AJ20" t="s">
        <v>3806</v>
      </c>
      <c r="AK20" t="s">
        <v>3807</v>
      </c>
      <c r="AL20" t="s">
        <v>3774</v>
      </c>
      <c r="AN20" t="s">
        <v>3775</v>
      </c>
      <c r="AO20" t="s">
        <v>3808</v>
      </c>
      <c r="AP20" t="s">
        <v>147</v>
      </c>
      <c r="AQ20" t="s">
        <v>147</v>
      </c>
      <c r="AR20" t="s">
        <v>147</v>
      </c>
      <c r="AS20" t="s">
        <v>147</v>
      </c>
      <c r="AT20" t="s">
        <v>147</v>
      </c>
      <c r="AU20" t="s">
        <v>147</v>
      </c>
      <c r="AV20" t="s">
        <v>147</v>
      </c>
      <c r="AW20" t="s">
        <v>147</v>
      </c>
      <c r="AX20" t="s">
        <v>147</v>
      </c>
      <c r="AY20" t="s">
        <v>147</v>
      </c>
      <c r="AZ20" t="s">
        <v>147</v>
      </c>
      <c r="BA20" t="s">
        <v>147</v>
      </c>
      <c r="BB20" t="s">
        <v>147</v>
      </c>
      <c r="BC20" t="s">
        <v>147</v>
      </c>
      <c r="BD20" t="s">
        <v>147</v>
      </c>
      <c r="BE20" t="s">
        <v>147</v>
      </c>
      <c r="BF20" t="s">
        <v>147</v>
      </c>
      <c r="BG20" t="s">
        <v>147</v>
      </c>
      <c r="BH20" t="s">
        <v>147</v>
      </c>
      <c r="BI20" t="s">
        <v>147</v>
      </c>
      <c r="BJ20" t="s">
        <v>147</v>
      </c>
      <c r="BK20" t="s">
        <v>147</v>
      </c>
      <c r="BL20" t="s">
        <v>147</v>
      </c>
      <c r="BM20" t="s">
        <v>147</v>
      </c>
      <c r="BN20" t="s">
        <v>147</v>
      </c>
      <c r="BO20" t="s">
        <v>147</v>
      </c>
      <c r="BP20" t="s">
        <v>147</v>
      </c>
      <c r="BQ20" t="s">
        <v>147</v>
      </c>
      <c r="BR20" t="s">
        <v>147</v>
      </c>
      <c r="BS20" t="s">
        <v>147</v>
      </c>
      <c r="BT20" t="s">
        <v>147</v>
      </c>
      <c r="CS20" t="s">
        <v>147</v>
      </c>
      <c r="CT20" t="s">
        <v>3722</v>
      </c>
      <c r="CU20" t="s">
        <v>3723</v>
      </c>
      <c r="CV20" t="s">
        <v>431</v>
      </c>
      <c r="CW20" t="s">
        <v>3724</v>
      </c>
      <c r="CX20" t="s">
        <v>432</v>
      </c>
      <c r="CY20" t="s">
        <v>431</v>
      </c>
      <c r="CZ20" t="s">
        <v>437</v>
      </c>
      <c r="DA20" t="s">
        <v>438</v>
      </c>
      <c r="DB20" t="s">
        <v>3724</v>
      </c>
      <c r="DC20" t="s">
        <v>370</v>
      </c>
      <c r="DD20" t="s">
        <v>290</v>
      </c>
      <c r="DE20" t="s">
        <v>466</v>
      </c>
    </row>
    <row r="21" spans="1:109" ht="11.25" customHeight="1" x14ac:dyDescent="0.15">
      <c r="A21" s="1321" t="s">
        <v>147</v>
      </c>
      <c r="B21" t="s">
        <v>147</v>
      </c>
      <c r="C21" t="s">
        <v>147</v>
      </c>
      <c r="D21" t="s">
        <v>147</v>
      </c>
      <c r="E21" t="s">
        <v>147</v>
      </c>
      <c r="F21" t="s">
        <v>147</v>
      </c>
      <c r="G21" t="s">
        <v>147</v>
      </c>
      <c r="H21" t="s">
        <v>147</v>
      </c>
      <c r="I21" t="s">
        <v>3763</v>
      </c>
      <c r="J21" t="s">
        <v>147</v>
      </c>
      <c r="K21" t="s">
        <v>147</v>
      </c>
      <c r="L21" t="s">
        <v>147</v>
      </c>
      <c r="M21" t="s">
        <v>147</v>
      </c>
      <c r="N21" t="s">
        <v>147</v>
      </c>
      <c r="O21" t="s">
        <v>147</v>
      </c>
      <c r="P21" t="s">
        <v>147</v>
      </c>
      <c r="Q21" t="s">
        <v>147</v>
      </c>
      <c r="R21" t="s">
        <v>470</v>
      </c>
      <c r="S21" t="s">
        <v>147</v>
      </c>
      <c r="T21" t="s">
        <v>147</v>
      </c>
      <c r="U21" t="s">
        <v>101</v>
      </c>
      <c r="V21" t="s">
        <v>147</v>
      </c>
      <c r="W21" t="s">
        <v>147</v>
      </c>
      <c r="X21" t="s">
        <v>3770</v>
      </c>
      <c r="Y21" t="s">
        <v>147</v>
      </c>
      <c r="Z21" t="s">
        <v>151</v>
      </c>
      <c r="AA21" t="s">
        <v>191</v>
      </c>
      <c r="AB21" t="s">
        <v>191</v>
      </c>
      <c r="AC21" t="s">
        <v>351</v>
      </c>
      <c r="AD21" t="s">
        <v>351</v>
      </c>
      <c r="AE21" t="s">
        <v>352</v>
      </c>
      <c r="AF21" t="s">
        <v>3712</v>
      </c>
      <c r="AG21" t="s">
        <v>3713</v>
      </c>
      <c r="AH21" t="s">
        <v>3809</v>
      </c>
      <c r="AI21" t="s">
        <v>3715</v>
      </c>
      <c r="AJ21" t="s">
        <v>3789</v>
      </c>
      <c r="AK21" t="s">
        <v>3789</v>
      </c>
      <c r="AL21" t="s">
        <v>3774</v>
      </c>
      <c r="AN21" t="s">
        <v>3782</v>
      </c>
      <c r="AO21" t="s">
        <v>3757</v>
      </c>
      <c r="AP21" t="s">
        <v>147</v>
      </c>
      <c r="AQ21" t="s">
        <v>147</v>
      </c>
      <c r="AR21" t="s">
        <v>147</v>
      </c>
      <c r="AS21" t="s">
        <v>147</v>
      </c>
      <c r="AT21" t="s">
        <v>147</v>
      </c>
      <c r="AU21" t="s">
        <v>147</v>
      </c>
      <c r="AV21" t="s">
        <v>147</v>
      </c>
      <c r="AW21" t="s">
        <v>147</v>
      </c>
      <c r="AX21" t="s">
        <v>147</v>
      </c>
      <c r="AY21" t="s">
        <v>147</v>
      </c>
      <c r="AZ21" t="s">
        <v>147</v>
      </c>
      <c r="BA21" t="s">
        <v>147</v>
      </c>
      <c r="BB21" t="s">
        <v>147</v>
      </c>
      <c r="BC21" t="s">
        <v>147</v>
      </c>
      <c r="BD21" t="s">
        <v>147</v>
      </c>
      <c r="BE21" t="s">
        <v>147</v>
      </c>
      <c r="BF21" t="s">
        <v>147</v>
      </c>
      <c r="BG21" t="s">
        <v>147</v>
      </c>
      <c r="BH21" t="s">
        <v>147</v>
      </c>
      <c r="BI21" t="s">
        <v>147</v>
      </c>
      <c r="BJ21" t="s">
        <v>147</v>
      </c>
      <c r="BK21" t="s">
        <v>147</v>
      </c>
      <c r="BL21" t="s">
        <v>147</v>
      </c>
      <c r="BM21" t="s">
        <v>147</v>
      </c>
      <c r="BN21" t="s">
        <v>147</v>
      </c>
      <c r="BO21" t="s">
        <v>147</v>
      </c>
      <c r="BP21" t="s">
        <v>147</v>
      </c>
      <c r="BQ21" t="s">
        <v>147</v>
      </c>
      <c r="BR21" t="s">
        <v>147</v>
      </c>
      <c r="BS21" t="s">
        <v>147</v>
      </c>
      <c r="BT21" t="s">
        <v>147</v>
      </c>
      <c r="CS21" t="s">
        <v>147</v>
      </c>
      <c r="CT21" t="s">
        <v>3722</v>
      </c>
      <c r="CU21" t="s">
        <v>3749</v>
      </c>
      <c r="CV21" t="s">
        <v>425</v>
      </c>
      <c r="CW21" t="s">
        <v>3787</v>
      </c>
      <c r="CX21" t="s">
        <v>426</v>
      </c>
      <c r="CY21" t="s">
        <v>425</v>
      </c>
      <c r="CZ21" t="s">
        <v>224</v>
      </c>
      <c r="DA21" t="s">
        <v>427</v>
      </c>
      <c r="DB21" t="s">
        <v>3787</v>
      </c>
      <c r="DC21" t="s">
        <v>370</v>
      </c>
      <c r="DD21" t="s">
        <v>290</v>
      </c>
      <c r="DE21" t="s">
        <v>471</v>
      </c>
    </row>
    <row r="22" spans="1:109" ht="11.25" customHeight="1" x14ac:dyDescent="0.15">
      <c r="A22" s="1321" t="s">
        <v>147</v>
      </c>
      <c r="B22" t="s">
        <v>147</v>
      </c>
      <c r="C22" t="s">
        <v>147</v>
      </c>
      <c r="D22" t="s">
        <v>147</v>
      </c>
      <c r="E22" t="s">
        <v>147</v>
      </c>
      <c r="F22" t="s">
        <v>147</v>
      </c>
      <c r="G22" t="s">
        <v>147</v>
      </c>
      <c r="H22" t="s">
        <v>147</v>
      </c>
      <c r="I22" t="s">
        <v>3763</v>
      </c>
      <c r="J22" t="s">
        <v>147</v>
      </c>
      <c r="K22" t="s">
        <v>147</v>
      </c>
      <c r="L22" t="s">
        <v>147</v>
      </c>
      <c r="M22" t="s">
        <v>147</v>
      </c>
      <c r="N22" t="s">
        <v>147</v>
      </c>
      <c r="O22" t="s">
        <v>147</v>
      </c>
      <c r="P22" t="s">
        <v>147</v>
      </c>
      <c r="Q22" t="s">
        <v>147</v>
      </c>
      <c r="R22" t="s">
        <v>453</v>
      </c>
      <c r="S22" t="s">
        <v>147</v>
      </c>
      <c r="T22" t="s">
        <v>147</v>
      </c>
      <c r="U22" t="s">
        <v>101</v>
      </c>
      <c r="V22" t="s">
        <v>147</v>
      </c>
      <c r="W22" t="s">
        <v>147</v>
      </c>
      <c r="X22" t="s">
        <v>3734</v>
      </c>
      <c r="Y22" t="s">
        <v>147</v>
      </c>
      <c r="Z22" t="s">
        <v>191</v>
      </c>
      <c r="AA22" t="s">
        <v>191</v>
      </c>
      <c r="AB22" t="s">
        <v>151</v>
      </c>
      <c r="AC22" t="s">
        <v>351</v>
      </c>
      <c r="AD22" t="s">
        <v>351</v>
      </c>
      <c r="AE22" t="s">
        <v>352</v>
      </c>
      <c r="AF22" t="s">
        <v>3712</v>
      </c>
      <c r="AG22" t="s">
        <v>3713</v>
      </c>
      <c r="AH22" t="s">
        <v>3810</v>
      </c>
      <c r="AI22" t="s">
        <v>3715</v>
      </c>
      <c r="AJ22" t="s">
        <v>147</v>
      </c>
      <c r="AK22" t="s">
        <v>147</v>
      </c>
      <c r="AL22" t="s">
        <v>147</v>
      </c>
      <c r="AN22" t="s">
        <v>147</v>
      </c>
      <c r="AO22" t="s">
        <v>147</v>
      </c>
      <c r="AP22" t="s">
        <v>147</v>
      </c>
      <c r="AQ22" t="s">
        <v>147</v>
      </c>
      <c r="AR22" t="s">
        <v>147</v>
      </c>
      <c r="AS22" t="s">
        <v>147</v>
      </c>
      <c r="AT22" t="s">
        <v>147</v>
      </c>
      <c r="AU22" t="s">
        <v>147</v>
      </c>
      <c r="AV22" t="s">
        <v>147</v>
      </c>
      <c r="AW22" t="s">
        <v>147</v>
      </c>
      <c r="AX22" t="s">
        <v>147</v>
      </c>
      <c r="AY22" t="s">
        <v>147</v>
      </c>
      <c r="AZ22" t="s">
        <v>147</v>
      </c>
      <c r="BA22" t="s">
        <v>147</v>
      </c>
      <c r="BB22" t="s">
        <v>147</v>
      </c>
      <c r="BC22" t="s">
        <v>147</v>
      </c>
      <c r="BD22" t="s">
        <v>147</v>
      </c>
      <c r="BE22" t="s">
        <v>3811</v>
      </c>
      <c r="BF22" t="s">
        <v>3812</v>
      </c>
      <c r="BG22" t="s">
        <v>111</v>
      </c>
      <c r="BH22" t="s">
        <v>3737</v>
      </c>
      <c r="BI22" t="s">
        <v>122</v>
      </c>
      <c r="BJ22" t="s">
        <v>147</v>
      </c>
      <c r="BK22" t="s">
        <v>465</v>
      </c>
      <c r="BL22" t="s">
        <v>351</v>
      </c>
      <c r="BM22" t="s">
        <v>351</v>
      </c>
      <c r="BN22" t="s">
        <v>3738</v>
      </c>
      <c r="BO22" t="s">
        <v>3712</v>
      </c>
      <c r="BP22" t="s">
        <v>3767</v>
      </c>
      <c r="BQ22" t="s">
        <v>3810</v>
      </c>
      <c r="BR22" t="s">
        <v>3715</v>
      </c>
      <c r="BS22" t="s">
        <v>147</v>
      </c>
      <c r="BT22" t="s">
        <v>3742</v>
      </c>
      <c r="CS22" t="s">
        <v>3769</v>
      </c>
      <c r="CT22" t="s">
        <v>3722</v>
      </c>
      <c r="CU22" t="s">
        <v>3749</v>
      </c>
      <c r="CV22" t="s">
        <v>425</v>
      </c>
      <c r="CW22" t="s">
        <v>3787</v>
      </c>
      <c r="CX22" t="s">
        <v>426</v>
      </c>
      <c r="CY22" t="s">
        <v>425</v>
      </c>
      <c r="CZ22" t="s">
        <v>224</v>
      </c>
      <c r="DA22" t="s">
        <v>427</v>
      </c>
      <c r="DB22" t="s">
        <v>3787</v>
      </c>
      <c r="DC22" t="s">
        <v>370</v>
      </c>
      <c r="DD22" t="s">
        <v>290</v>
      </c>
      <c r="DE22" t="s">
        <v>454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38298-4848-E0E6-96F8-B36FC7F3D088}">
  <sheetPr>
    <tabColor rgb="FFFFCC99"/>
  </sheetPr>
  <dimension ref="A1"/>
  <sheetViews>
    <sheetView showGridLines="0" workbookViewId="0"/>
  </sheetViews>
  <sheetFormatPr defaultRowHeight="11.25" customHeight="1" x14ac:dyDescent="0.15"/>
  <cols>
    <col min="1" max="1" width="89.7109375" style="1321" customWidth="1"/>
  </cols>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2C3A5-CF58-BCF6-D62C-C2D503E6669A}">
  <sheetPr>
    <tabColor theme="0"/>
  </sheetPr>
  <dimension ref="A1:AE54"/>
  <sheetViews>
    <sheetView showGridLines="0" topLeftCell="AA21" workbookViewId="0">
      <selection activeCell="AA21" sqref="AA21"/>
    </sheetView>
  </sheetViews>
  <sheetFormatPr defaultColWidth="9.140625" defaultRowHeight="12.75" customHeight="1" x14ac:dyDescent="0.2"/>
  <cols>
    <col min="1" max="1" width="8" style="237" hidden="1" customWidth="1"/>
    <col min="2" max="2" width="14.28515625" style="366" hidden="1" customWidth="1"/>
    <col min="3" max="4" width="3.5703125" style="237" hidden="1" customWidth="1"/>
    <col min="5" max="5" width="4.7109375" style="544" hidden="1" customWidth="1"/>
    <col min="6" max="26" width="3.5703125" style="237" hidden="1" customWidth="1"/>
    <col min="27" max="27" width="3.7109375" style="237" customWidth="1"/>
    <col min="28" max="28" width="11.7109375" style="237" customWidth="1"/>
    <col min="29" max="29" width="32.85546875" style="237" customWidth="1"/>
    <col min="30" max="30" width="133.5703125" style="237" customWidth="1"/>
    <col min="31" max="31" width="9.140625" style="237"/>
  </cols>
  <sheetData>
    <row r="1" spans="1:5" ht="11.25" hidden="1" customHeight="1" x14ac:dyDescent="0.2">
      <c r="E1" s="237"/>
    </row>
    <row r="2" spans="1:5" s="366" customFormat="1" ht="11.25" hidden="1" customHeight="1" x14ac:dyDescent="0.2">
      <c r="B2" s="368" t="s">
        <v>18</v>
      </c>
    </row>
    <row r="3" spans="1:5" ht="11.25" hidden="1" customHeight="1" x14ac:dyDescent="0.2">
      <c r="E3" s="237"/>
    </row>
    <row r="4" spans="1:5" ht="11.25" hidden="1" customHeight="1" x14ac:dyDescent="0.2">
      <c r="E4" s="237"/>
    </row>
    <row r="5" spans="1:5" s="544" customFormat="1" ht="11.25" hidden="1" customHeight="1" x14ac:dyDescent="0.2">
      <c r="A5" s="237"/>
      <c r="B5" s="366"/>
      <c r="C5" s="237"/>
      <c r="D5" s="237"/>
      <c r="E5" s="543" t="s">
        <v>19</v>
      </c>
    </row>
    <row r="6" spans="1:5" ht="11.25" hidden="1" customHeight="1" x14ac:dyDescent="0.2"/>
    <row r="7" spans="1:5" ht="11.25" hidden="1" customHeight="1" x14ac:dyDescent="0.2"/>
    <row r="8" spans="1:5" ht="11.25" hidden="1" customHeight="1" x14ac:dyDescent="0.2"/>
    <row r="9" spans="1:5" ht="11.25" hidden="1" customHeight="1" x14ac:dyDescent="0.2"/>
    <row r="10" spans="1:5" ht="11.25" hidden="1" customHeight="1" x14ac:dyDescent="0.2"/>
    <row r="11" spans="1:5" ht="11.25" hidden="1" customHeight="1" x14ac:dyDescent="0.2"/>
    <row r="12" spans="1:5" ht="11.25" hidden="1" customHeight="1" x14ac:dyDescent="0.2"/>
    <row r="13" spans="1:5" ht="11.25" hidden="1" customHeight="1" x14ac:dyDescent="0.2"/>
    <row r="14" spans="1:5" ht="11.25" hidden="1" customHeight="1" x14ac:dyDescent="0.2"/>
    <row r="15" spans="1:5" ht="11.25" hidden="1" customHeight="1" x14ac:dyDescent="0.2"/>
    <row r="16" spans="1:5" ht="11.25" hidden="1" customHeight="1" x14ac:dyDescent="0.2"/>
    <row r="17" spans="1:31" ht="11.25" hidden="1" customHeight="1" x14ac:dyDescent="0.2"/>
    <row r="18" spans="1:31" ht="11.25" hidden="1" customHeight="1" x14ac:dyDescent="0.2"/>
    <row r="19" spans="1:31" ht="11.25" hidden="1" customHeight="1" x14ac:dyDescent="0.2"/>
    <row r="20" spans="1:31" ht="11.25" hidden="1" customHeight="1" x14ac:dyDescent="0.2"/>
    <row r="21" spans="1:31" ht="12.75" customHeight="1" x14ac:dyDescent="0.2">
      <c r="AA21" s="347"/>
    </row>
    <row r="22" spans="1:31" ht="24.75" customHeight="1" x14ac:dyDescent="0.2">
      <c r="AB22" s="238" t="s">
        <v>28</v>
      </c>
      <c r="AC22" s="239"/>
      <c r="AD22" s="239"/>
    </row>
    <row r="23" spans="1:31" ht="16.5" customHeight="1" x14ac:dyDescent="0.2">
      <c r="AB23" s="243" t="s">
        <v>29</v>
      </c>
    </row>
    <row r="24" spans="1:31" ht="27" customHeight="1" x14ac:dyDescent="0.2">
      <c r="B24" s="368" t="b">
        <v>1</v>
      </c>
      <c r="E24" s="544">
        <v>27.75</v>
      </c>
      <c r="AB24" s="240" t="s">
        <v>30</v>
      </c>
      <c r="AC24" s="241" t="s">
        <v>31</v>
      </c>
      <c r="AD24" s="242" t="s">
        <v>32</v>
      </c>
    </row>
    <row r="25" spans="1:31" ht="27" customHeight="1" x14ac:dyDescent="0.2">
      <c r="B25" s="368" t="b">
        <v>1</v>
      </c>
      <c r="E25" s="544">
        <v>27.75</v>
      </c>
      <c r="AB25" s="240" t="s">
        <v>30</v>
      </c>
      <c r="AC25" s="241" t="s">
        <v>33</v>
      </c>
      <c r="AD25" s="242" t="s">
        <v>34</v>
      </c>
    </row>
    <row r="26" spans="1:31" ht="27" customHeight="1" x14ac:dyDescent="0.2">
      <c r="B26" s="368" t="b">
        <v>1</v>
      </c>
      <c r="E26" s="544">
        <v>27.75</v>
      </c>
      <c r="AB26" s="240" t="s">
        <v>30</v>
      </c>
      <c r="AC26" s="241" t="s">
        <v>35</v>
      </c>
      <c r="AD26" s="242" t="s">
        <v>36</v>
      </c>
    </row>
    <row r="27" spans="1:31" ht="27" customHeight="1" x14ac:dyDescent="0.2">
      <c r="B27" s="368" t="b">
        <v>1</v>
      </c>
      <c r="E27" s="544">
        <v>27.75</v>
      </c>
      <c r="AB27" s="240" t="s">
        <v>30</v>
      </c>
      <c r="AC27" s="241" t="s">
        <v>37</v>
      </c>
      <c r="AD27" s="242" t="s">
        <v>38</v>
      </c>
    </row>
    <row r="28" spans="1:31" ht="27" customHeight="1" x14ac:dyDescent="0.2">
      <c r="B28" s="368" t="b">
        <f>NOT(method_reg="Метод сравнения аналогов")</f>
        <v>1</v>
      </c>
      <c r="E28" s="544">
        <v>27.75</v>
      </c>
      <c r="AB28" s="240" t="s">
        <v>30</v>
      </c>
      <c r="AC28" s="241" t="s">
        <v>39</v>
      </c>
      <c r="AD28" s="242" t="s">
        <v>40</v>
      </c>
    </row>
    <row r="29" spans="1:31" s="1321" customFormat="1" ht="27" customHeight="1" x14ac:dyDescent="0.2">
      <c r="A29" s="237"/>
      <c r="B29" s="369" t="b">
        <f>method_reg="Метод индексации"</f>
        <v>1</v>
      </c>
      <c r="C29" s="237"/>
      <c r="D29" s="237"/>
      <c r="E29" s="544">
        <v>27.75</v>
      </c>
      <c r="F29" s="237"/>
      <c r="G29" s="237"/>
      <c r="H29" s="237"/>
      <c r="I29" s="237"/>
      <c r="J29" s="237"/>
      <c r="K29" s="237"/>
      <c r="L29" s="237"/>
      <c r="M29" s="237"/>
      <c r="N29" s="237"/>
      <c r="O29" s="237"/>
      <c r="P29" s="237"/>
      <c r="Q29" s="237"/>
      <c r="R29" s="237"/>
      <c r="S29" s="237"/>
      <c r="T29" s="237"/>
      <c r="U29" s="237"/>
      <c r="V29" s="237"/>
      <c r="W29" s="237"/>
      <c r="X29" s="237"/>
      <c r="Y29" s="237"/>
      <c r="Z29" s="237"/>
      <c r="AA29" s="237"/>
      <c r="AB29" s="240" t="s">
        <v>30</v>
      </c>
      <c r="AC29" s="241" t="s">
        <v>41</v>
      </c>
      <c r="AD29" s="242" t="s">
        <v>42</v>
      </c>
      <c r="AE29" s="237"/>
    </row>
    <row r="30" spans="1:31" ht="27" customHeight="1" x14ac:dyDescent="0.2">
      <c r="B30" s="368" t="b">
        <v>1</v>
      </c>
      <c r="E30" s="544">
        <v>27.75</v>
      </c>
      <c r="AB30" s="240" t="s">
        <v>30</v>
      </c>
      <c r="AC30" s="241" t="s">
        <v>43</v>
      </c>
      <c r="AD30" s="242" t="s">
        <v>44</v>
      </c>
    </row>
    <row r="31" spans="1:31" ht="27" customHeight="1" x14ac:dyDescent="0.2">
      <c r="B31" s="368" t="b">
        <f>OR(method_reg="Метод индексации",method_reg="Метод сравнения аналогов")</f>
        <v>1</v>
      </c>
      <c r="E31" s="544">
        <v>27.75</v>
      </c>
      <c r="AB31" s="384" t="s">
        <v>30</v>
      </c>
      <c r="AC31" s="385" t="s">
        <v>45</v>
      </c>
      <c r="AD31" s="386" t="s">
        <v>46</v>
      </c>
      <c r="AE31" s="348"/>
    </row>
    <row r="32" spans="1:31" ht="27" customHeight="1" x14ac:dyDescent="0.2">
      <c r="B32" s="368" t="b">
        <f>NOT(method_reg="Метод сравнения аналогов")</f>
        <v>1</v>
      </c>
      <c r="E32" s="544">
        <v>27.75</v>
      </c>
      <c r="AB32" s="240" t="s">
        <v>30</v>
      </c>
      <c r="AC32" s="241" t="s">
        <v>47</v>
      </c>
      <c r="AD32" s="242" t="s">
        <v>48</v>
      </c>
    </row>
    <row r="33" spans="2:30" ht="27" customHeight="1" x14ac:dyDescent="0.2">
      <c r="B33" s="368" t="b">
        <f>NOT(method_reg="Метод сравнения аналогов")</f>
        <v>1</v>
      </c>
      <c r="E33" s="544">
        <v>27.75</v>
      </c>
      <c r="AB33" s="240" t="s">
        <v>30</v>
      </c>
      <c r="AC33" s="241" t="s">
        <v>49</v>
      </c>
      <c r="AD33" s="242" t="s">
        <v>50</v>
      </c>
    </row>
    <row r="34" spans="2:30" ht="27" customHeight="1" x14ac:dyDescent="0.2">
      <c r="B34" s="368" t="b">
        <f>NOT(method_reg="Метод сравнения аналогов")</f>
        <v>1</v>
      </c>
      <c r="E34" s="544">
        <v>27.75</v>
      </c>
      <c r="AB34" s="240" t="s">
        <v>30</v>
      </c>
      <c r="AC34" s="241" t="s">
        <v>51</v>
      </c>
      <c r="AD34" s="242" t="s">
        <v>52</v>
      </c>
    </row>
    <row r="35" spans="2:30" ht="27" hidden="1" customHeight="1" x14ac:dyDescent="0.2">
      <c r="B35" s="368" t="b">
        <f>method_reg="Метод сравнения аналогов"</f>
        <v>0</v>
      </c>
      <c r="E35" s="544">
        <v>27.75</v>
      </c>
      <c r="AB35" s="384" t="s">
        <v>53</v>
      </c>
      <c r="AC35" s="385" t="s">
        <v>54</v>
      </c>
      <c r="AD35" s="386" t="s">
        <v>55</v>
      </c>
    </row>
    <row r="36" spans="2:30" ht="27" customHeight="1" x14ac:dyDescent="0.2">
      <c r="B36" s="368" t="b">
        <f>NOT(method_reg="Метод сравнения аналогов")</f>
        <v>1</v>
      </c>
      <c r="E36" s="544">
        <v>27.75</v>
      </c>
      <c r="AB36" s="240" t="s">
        <v>30</v>
      </c>
      <c r="AC36" s="241" t="s">
        <v>56</v>
      </c>
      <c r="AD36" s="242" t="s">
        <v>57</v>
      </c>
    </row>
    <row r="37" spans="2:30" ht="27" customHeight="1" x14ac:dyDescent="0.2">
      <c r="B37" s="368" t="b">
        <f>NOT(method_reg="Метод сравнения аналогов")</f>
        <v>1</v>
      </c>
      <c r="E37" s="544">
        <v>27.75</v>
      </c>
      <c r="AB37" s="240" t="s">
        <v>30</v>
      </c>
      <c r="AC37" s="241" t="s">
        <v>58</v>
      </c>
      <c r="AD37" s="242" t="s">
        <v>59</v>
      </c>
    </row>
    <row r="38" spans="2:30" ht="27" hidden="1" customHeight="1" x14ac:dyDescent="0.2">
      <c r="B38" s="368" t="b">
        <f>AND(OR(god=first_year,method_reg="Метод обеспечения доходности инвестированного капитала"),NOT(method_reg="Метод сравнения аналогов"))</f>
        <v>0</v>
      </c>
      <c r="E38" s="544">
        <v>27.75</v>
      </c>
      <c r="AB38" s="240" t="s">
        <v>53</v>
      </c>
      <c r="AC38" s="241" t="s">
        <v>60</v>
      </c>
      <c r="AD38" s="273" t="s">
        <v>61</v>
      </c>
    </row>
    <row r="39" spans="2:30" ht="27" hidden="1" customHeight="1" x14ac:dyDescent="0.2">
      <c r="B39" s="368" t="b">
        <f>AND(OR(god=first_year,method_reg="Метод обеспечения доходности инвестированного капитала"),NOT(method_reg="Метод сравнения аналогов"))</f>
        <v>0</v>
      </c>
      <c r="E39" s="544">
        <v>27.75</v>
      </c>
      <c r="AB39" s="240" t="s">
        <v>53</v>
      </c>
      <c r="AC39" s="241" t="s">
        <v>62</v>
      </c>
      <c r="AD39" s="273" t="s">
        <v>63</v>
      </c>
    </row>
    <row r="40" spans="2:30" ht="27" hidden="1" customHeight="1" x14ac:dyDescent="0.2">
      <c r="B40" s="368" t="b">
        <f>AND(OR(god=first_year,method_reg="Метод обеспечения доходности инвестированного капитала"),NOT(method_reg="Метод сравнения аналогов"),STATUS_GO="да")</f>
        <v>0</v>
      </c>
      <c r="E40" s="544">
        <v>27.75</v>
      </c>
      <c r="AB40" s="240" t="s">
        <v>53</v>
      </c>
      <c r="AC40" s="241" t="s">
        <v>64</v>
      </c>
      <c r="AD40" s="273" t="s">
        <v>65</v>
      </c>
    </row>
    <row r="41" spans="2:30" ht="27" customHeight="1" x14ac:dyDescent="0.2">
      <c r="B41" s="368" t="b">
        <f>NOT(method_reg="Метод сравнения аналогов")</f>
        <v>1</v>
      </c>
      <c r="E41" s="544">
        <v>27.75</v>
      </c>
      <c r="AB41" s="240" t="s">
        <v>30</v>
      </c>
      <c r="AC41" s="241" t="s">
        <v>66</v>
      </c>
      <c r="AD41" s="242" t="s">
        <v>67</v>
      </c>
    </row>
    <row r="42" spans="2:30" ht="27" customHeight="1" x14ac:dyDescent="0.2">
      <c r="B42" s="368" t="b">
        <f>AND(NOT(method_reg="Метод сравнения аналогов"),NOT(HAS_DOC5="нет"),NOT(HAS_DOC6="нет"))</f>
        <v>1</v>
      </c>
      <c r="E42" s="544">
        <v>27.75</v>
      </c>
      <c r="AB42" s="240" t="s">
        <v>30</v>
      </c>
      <c r="AC42" s="241" t="s">
        <v>68</v>
      </c>
      <c r="AD42" s="242" t="s">
        <v>69</v>
      </c>
    </row>
    <row r="43" spans="2:30" ht="27" customHeight="1" x14ac:dyDescent="0.2">
      <c r="B43" s="368" t="b">
        <f>AND(NOT(method_reg="Метод экономически обоснованных расходов"),NOT(method_reg="Метод сравнения аналогов"))</f>
        <v>1</v>
      </c>
      <c r="E43" s="544">
        <v>27.75</v>
      </c>
      <c r="AB43" s="240" t="s">
        <v>30</v>
      </c>
      <c r="AC43" s="241" t="s">
        <v>70</v>
      </c>
      <c r="AD43" s="242" t="s">
        <v>71</v>
      </c>
    </row>
    <row r="44" spans="2:30" ht="27" customHeight="1" x14ac:dyDescent="0.2">
      <c r="B44" s="368" t="b">
        <f>AND(NOT(method_reg="Метод сравнения аналогов"),hasVO)</f>
        <v>1</v>
      </c>
      <c r="E44" s="544">
        <v>27.75</v>
      </c>
      <c r="AB44" s="240" t="s">
        <v>30</v>
      </c>
      <c r="AC44" s="241" t="s">
        <v>72</v>
      </c>
      <c r="AD44" s="242" t="s">
        <v>73</v>
      </c>
    </row>
    <row r="45" spans="2:30" ht="27" customHeight="1" x14ac:dyDescent="0.2">
      <c r="B45" s="368" t="b">
        <f>AND(NOT(method_reg="Метод экономически обоснованных расходов"),NOT(method_reg="Метод сравнения аналогов"))</f>
        <v>1</v>
      </c>
      <c r="E45" s="544">
        <v>27.75</v>
      </c>
      <c r="AB45" s="240" t="s">
        <v>30</v>
      </c>
      <c r="AC45" s="241" t="s">
        <v>74</v>
      </c>
      <c r="AD45" s="242" t="s">
        <v>75</v>
      </c>
    </row>
    <row r="46" spans="2:30" ht="27" hidden="1" customHeight="1" x14ac:dyDescent="0.2">
      <c r="B46" s="368" t="b">
        <f>method_reg="Метод экономически обоснованных расходов"</f>
        <v>0</v>
      </c>
      <c r="E46" s="544">
        <v>27.75</v>
      </c>
      <c r="AB46" s="240" t="s">
        <v>53</v>
      </c>
      <c r="AC46" s="241" t="s">
        <v>76</v>
      </c>
      <c r="AD46" s="242" t="s">
        <v>77</v>
      </c>
    </row>
    <row r="47" spans="2:30" ht="27" hidden="1" customHeight="1" x14ac:dyDescent="0.2">
      <c r="B47" s="368" t="b">
        <f>AND(first_year=god,OR(method_reg="Метод обеспечения доходности инвестированного капитала",method_reg="Метод индексации"))</f>
        <v>0</v>
      </c>
      <c r="E47" s="544">
        <v>27.75</v>
      </c>
      <c r="AB47" s="240" t="s">
        <v>53</v>
      </c>
      <c r="AC47" s="241" t="s">
        <v>78</v>
      </c>
      <c r="AD47" s="242" t="s">
        <v>79</v>
      </c>
    </row>
    <row r="48" spans="2:30" ht="27.2" customHeight="1" x14ac:dyDescent="0.2">
      <c r="B48" s="423" t="b">
        <f>AND(OR(method_reg="Метод индексации",method_reg="Метод обеспечения доходности инвестированного капитала"),first_year&lt;&gt;god)</f>
        <v>1</v>
      </c>
      <c r="E48" s="544">
        <v>27.8</v>
      </c>
      <c r="AB48" s="240" t="s">
        <v>30</v>
      </c>
      <c r="AC48" s="241" t="s">
        <v>80</v>
      </c>
      <c r="AD48" s="242" t="s">
        <v>79</v>
      </c>
    </row>
    <row r="49" spans="2:31" ht="27" customHeight="1" x14ac:dyDescent="0.2">
      <c r="B49" s="368" t="b">
        <f>NOT(method_reg="Метод сравнения аналогов")</f>
        <v>1</v>
      </c>
      <c r="E49" s="544">
        <v>27.75</v>
      </c>
      <c r="AB49" s="240" t="s">
        <v>30</v>
      </c>
      <c r="AC49" s="241" t="s">
        <v>81</v>
      </c>
      <c r="AD49" s="242" t="s">
        <v>82</v>
      </c>
    </row>
    <row r="50" spans="2:31" ht="27" customHeight="1" x14ac:dyDescent="0.2">
      <c r="B50" s="368" t="b">
        <f>OR(method_reg="Метод индексации",method_reg="Метод обеспечения доходности инвестированного капитала")</f>
        <v>1</v>
      </c>
      <c r="E50" s="544">
        <v>27.75</v>
      </c>
      <c r="AB50" s="240" t="s">
        <v>30</v>
      </c>
      <c r="AC50" s="241" t="s">
        <v>83</v>
      </c>
      <c r="AD50" s="242" t="s">
        <v>84</v>
      </c>
    </row>
    <row r="51" spans="2:31" ht="27" customHeight="1" x14ac:dyDescent="0.2">
      <c r="B51" s="368" t="b">
        <f>OR(method_reg="Метод индексации",method_reg="Метод обеспечения доходности инвестированного капитала")</f>
        <v>1</v>
      </c>
      <c r="E51" s="544">
        <v>27.75</v>
      </c>
      <c r="AB51" s="240" t="s">
        <v>30</v>
      </c>
      <c r="AC51" s="241" t="s">
        <v>85</v>
      </c>
      <c r="AD51" s="242" t="s">
        <v>86</v>
      </c>
    </row>
    <row r="52" spans="2:31" ht="27" customHeight="1" x14ac:dyDescent="0.2">
      <c r="B52" s="368" t="b">
        <f>OR(method_reg="Метод сравнения аналогов",AND(method_reg="Метод индексации",STATUS_GO="да"))</f>
        <v>1</v>
      </c>
      <c r="E52" s="544">
        <v>27.75</v>
      </c>
      <c r="AB52" s="384" t="s">
        <v>30</v>
      </c>
      <c r="AC52" s="385" t="s">
        <v>87</v>
      </c>
      <c r="AD52" s="386" t="s">
        <v>88</v>
      </c>
    </row>
    <row r="53" spans="2:31" ht="27" hidden="1" customHeight="1" x14ac:dyDescent="0.2">
      <c r="B53" s="368" t="b">
        <f>method_reg="Метод сравнения аналогов"</f>
        <v>0</v>
      </c>
      <c r="E53" s="544">
        <v>27.75</v>
      </c>
      <c r="AB53" s="384" t="s">
        <v>53</v>
      </c>
      <c r="AC53" s="385" t="s">
        <v>89</v>
      </c>
      <c r="AD53" s="387" t="s">
        <v>90</v>
      </c>
    </row>
    <row r="54" spans="2:31" ht="12.75" customHeight="1" x14ac:dyDescent="0.2">
      <c r="AE54" s="348"/>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B6868-0778-5E18-CF38-C3BD50DB0E99}">
  <sheetPr>
    <tabColor rgb="FFFFCC99"/>
  </sheetPr>
  <dimension ref="A1:W5"/>
  <sheetViews>
    <sheetView showGridLines="0" workbookViewId="0"/>
  </sheetViews>
  <sheetFormatPr defaultRowHeight="11.25" customHeight="1" x14ac:dyDescent="0.15"/>
  <sheetData>
    <row r="1" spans="1:23" ht="11.25" customHeight="1" x14ac:dyDescent="0.15">
      <c r="A1" t="s">
        <v>3813</v>
      </c>
      <c r="B1" t="s">
        <v>3626</v>
      </c>
      <c r="C1" t="s">
        <v>3814</v>
      </c>
      <c r="D1" t="s">
        <v>3815</v>
      </c>
      <c r="E1" t="s">
        <v>3816</v>
      </c>
      <c r="F1" t="s">
        <v>3817</v>
      </c>
      <c r="G1" t="s">
        <v>3818</v>
      </c>
      <c r="H1" t="s">
        <v>3819</v>
      </c>
      <c r="I1" t="s">
        <v>3820</v>
      </c>
      <c r="J1" t="s">
        <v>3821</v>
      </c>
      <c r="K1" t="s">
        <v>3822</v>
      </c>
      <c r="L1" t="s">
        <v>3823</v>
      </c>
      <c r="M1" t="s">
        <v>3824</v>
      </c>
      <c r="N1" t="s">
        <v>3825</v>
      </c>
      <c r="O1" t="s">
        <v>3826</v>
      </c>
      <c r="P1" t="s">
        <v>3827</v>
      </c>
      <c r="Q1" t="s">
        <v>3828</v>
      </c>
      <c r="R1" t="s">
        <v>3829</v>
      </c>
      <c r="S1" t="s">
        <v>3830</v>
      </c>
      <c r="T1" t="s">
        <v>3831</v>
      </c>
      <c r="U1" t="s">
        <v>3832</v>
      </c>
      <c r="V1" t="s">
        <v>3833</v>
      </c>
      <c r="W1" t="s">
        <v>3834</v>
      </c>
    </row>
    <row r="2" spans="1:23" ht="11.25" customHeight="1" x14ac:dyDescent="0.15">
      <c r="A2" t="s">
        <v>284</v>
      </c>
      <c r="B2">
        <v>8011166514</v>
      </c>
      <c r="C2" t="s">
        <v>3835</v>
      </c>
      <c r="D2" t="s">
        <v>285</v>
      </c>
      <c r="E2" t="s">
        <v>286</v>
      </c>
      <c r="F2" t="s">
        <v>287</v>
      </c>
      <c r="G2" t="s">
        <v>288</v>
      </c>
      <c r="L2" t="s">
        <v>103</v>
      </c>
      <c r="M2" t="s">
        <v>3835</v>
      </c>
      <c r="N2" t="s">
        <v>3836</v>
      </c>
      <c r="O2">
        <v>47.729405464999999</v>
      </c>
      <c r="P2">
        <v>47.729405464999999</v>
      </c>
      <c r="U2" t="s">
        <v>3837</v>
      </c>
      <c r="V2" t="s">
        <v>3838</v>
      </c>
      <c r="W2" t="s">
        <v>3838</v>
      </c>
    </row>
    <row r="3" spans="1:23" ht="11.25" customHeight="1" x14ac:dyDescent="0.15">
      <c r="A3" t="s">
        <v>3839</v>
      </c>
      <c r="B3">
        <v>7727192857</v>
      </c>
      <c r="C3" t="s">
        <v>3835</v>
      </c>
      <c r="D3" t="s">
        <v>285</v>
      </c>
      <c r="E3" t="s">
        <v>286</v>
      </c>
      <c r="F3" t="s">
        <v>3840</v>
      </c>
      <c r="G3" t="s">
        <v>288</v>
      </c>
      <c r="I3" t="s">
        <v>3841</v>
      </c>
      <c r="J3" t="s">
        <v>3842</v>
      </c>
      <c r="L3" t="s">
        <v>103</v>
      </c>
      <c r="M3" t="s">
        <v>3843</v>
      </c>
      <c r="N3" t="s">
        <v>3844</v>
      </c>
      <c r="O3">
        <v>40.1</v>
      </c>
      <c r="P3">
        <v>34.769136342700001</v>
      </c>
      <c r="U3" t="s">
        <v>3837</v>
      </c>
      <c r="V3" t="s">
        <v>3845</v>
      </c>
      <c r="W3" t="s">
        <v>3846</v>
      </c>
    </row>
    <row r="4" spans="1:23" ht="11.25" customHeight="1" x14ac:dyDescent="0.15">
      <c r="A4" t="s">
        <v>291</v>
      </c>
      <c r="B4">
        <v>8011166514</v>
      </c>
      <c r="C4" t="s">
        <v>3835</v>
      </c>
      <c r="D4" t="s">
        <v>292</v>
      </c>
      <c r="E4" t="s">
        <v>286</v>
      </c>
      <c r="F4" t="s">
        <v>293</v>
      </c>
      <c r="G4" t="s">
        <v>294</v>
      </c>
      <c r="M4" t="s">
        <v>3835</v>
      </c>
      <c r="N4" t="s">
        <v>3836</v>
      </c>
      <c r="O4">
        <v>39.815189084300002</v>
      </c>
      <c r="P4">
        <v>39.8151932966</v>
      </c>
      <c r="U4" t="s">
        <v>3837</v>
      </c>
      <c r="V4" t="s">
        <v>3847</v>
      </c>
      <c r="W4" t="s">
        <v>3847</v>
      </c>
    </row>
    <row r="5" spans="1:23" ht="11.25" customHeight="1" x14ac:dyDescent="0.15">
      <c r="A5" t="s">
        <v>3848</v>
      </c>
      <c r="B5">
        <v>7727192857</v>
      </c>
      <c r="C5" t="s">
        <v>3835</v>
      </c>
      <c r="D5" t="s">
        <v>292</v>
      </c>
      <c r="E5" t="s">
        <v>286</v>
      </c>
      <c r="F5" t="s">
        <v>293</v>
      </c>
      <c r="G5" t="s">
        <v>294</v>
      </c>
      <c r="I5" t="s">
        <v>3849</v>
      </c>
      <c r="J5" t="s">
        <v>3842</v>
      </c>
      <c r="L5" t="s">
        <v>103</v>
      </c>
      <c r="M5" t="s">
        <v>3843</v>
      </c>
      <c r="N5" t="s">
        <v>3844</v>
      </c>
      <c r="O5">
        <v>33.74</v>
      </c>
      <c r="P5">
        <v>36.985167132199997</v>
      </c>
      <c r="U5" t="s">
        <v>3837</v>
      </c>
      <c r="V5" t="s">
        <v>3850</v>
      </c>
      <c r="W5" t="s">
        <v>3851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8D4C-5A18-93F8-1CCD-2DC6947F0762}">
  <sheetPr>
    <tabColor rgb="FFFFCC99"/>
  </sheetPr>
  <dimension ref="A1:C97"/>
  <sheetViews>
    <sheetView showGridLines="0" workbookViewId="0"/>
  </sheetViews>
  <sheetFormatPr defaultRowHeight="11.25" customHeight="1" x14ac:dyDescent="0.15"/>
  <cols>
    <col min="1" max="1" width="88.85546875" style="1321" customWidth="1"/>
    <col min="2" max="2" width="24.7109375" style="1321" customWidth="1"/>
  </cols>
  <sheetData>
    <row r="1" spans="1:3" ht="11.25" customHeight="1" x14ac:dyDescent="0.15">
      <c r="A1" s="4" t="s">
        <v>3852</v>
      </c>
      <c r="C1" s="4" t="s">
        <v>3853</v>
      </c>
    </row>
    <row r="2" spans="1:3" ht="11.25" customHeight="1" x14ac:dyDescent="0.15">
      <c r="A2" s="4" t="s">
        <v>3854</v>
      </c>
    </row>
    <row r="3" spans="1:3" ht="11.25" customHeight="1" x14ac:dyDescent="0.15">
      <c r="A3" s="4" t="s">
        <v>3855</v>
      </c>
      <c r="C3" t="s">
        <v>3856</v>
      </c>
    </row>
    <row r="4" spans="1:3" ht="11.25" customHeight="1" x14ac:dyDescent="0.15">
      <c r="A4" s="4" t="s">
        <v>3012</v>
      </c>
      <c r="C4" t="s">
        <v>3857</v>
      </c>
    </row>
    <row r="5" spans="1:3" ht="11.25" customHeight="1" x14ac:dyDescent="0.15">
      <c r="A5" s="4" t="s">
        <v>2931</v>
      </c>
      <c r="C5" t="s">
        <v>3858</v>
      </c>
    </row>
    <row r="6" spans="1:3" ht="11.25" customHeight="1" x14ac:dyDescent="0.15">
      <c r="A6" s="4" t="s">
        <v>127</v>
      </c>
      <c r="C6" t="s">
        <v>3859</v>
      </c>
    </row>
    <row r="7" spans="1:3" ht="11.25" customHeight="1" x14ac:dyDescent="0.15">
      <c r="A7" s="4" t="s">
        <v>3860</v>
      </c>
      <c r="C7" t="s">
        <v>3861</v>
      </c>
    </row>
    <row r="8" spans="1:3" ht="11.25" customHeight="1" x14ac:dyDescent="0.15">
      <c r="A8" s="4" t="s">
        <v>3862</v>
      </c>
      <c r="C8" t="s">
        <v>3863</v>
      </c>
    </row>
    <row r="9" spans="1:3" ht="11.25" customHeight="1" x14ac:dyDescent="0.15">
      <c r="A9" s="4" t="s">
        <v>3864</v>
      </c>
      <c r="C9" t="s">
        <v>3865</v>
      </c>
    </row>
    <row r="10" spans="1:3" ht="11.25" customHeight="1" x14ac:dyDescent="0.15">
      <c r="A10" s="4" t="s">
        <v>3866</v>
      </c>
      <c r="C10" t="s">
        <v>3867</v>
      </c>
    </row>
    <row r="11" spans="1:3" ht="11.25" customHeight="1" x14ac:dyDescent="0.15">
      <c r="A11" s="4" t="s">
        <v>3868</v>
      </c>
      <c r="C11" t="s">
        <v>3869</v>
      </c>
    </row>
    <row r="12" spans="1:3" ht="11.25" customHeight="1" x14ac:dyDescent="0.15">
      <c r="A12" s="4" t="s">
        <v>3870</v>
      </c>
      <c r="C12" t="s">
        <v>3871</v>
      </c>
    </row>
    <row r="13" spans="1:3" ht="11.25" customHeight="1" x14ac:dyDescent="0.15">
      <c r="A13" s="4" t="s">
        <v>3872</v>
      </c>
      <c r="C13" t="s">
        <v>3873</v>
      </c>
    </row>
    <row r="14" spans="1:3" ht="11.25" customHeight="1" x14ac:dyDescent="0.15">
      <c r="A14" s="4" t="s">
        <v>3874</v>
      </c>
      <c r="C14" t="s">
        <v>3875</v>
      </c>
    </row>
    <row r="15" spans="1:3" ht="11.25" customHeight="1" x14ac:dyDescent="0.15">
      <c r="A15" s="4" t="s">
        <v>3876</v>
      </c>
      <c r="C15" t="s">
        <v>3877</v>
      </c>
    </row>
    <row r="16" spans="1:3" ht="11.25" customHeight="1" x14ac:dyDescent="0.15">
      <c r="A16" s="4" t="s">
        <v>3878</v>
      </c>
      <c r="C16" t="s">
        <v>3879</v>
      </c>
    </row>
    <row r="17" spans="1:3" ht="11.25" customHeight="1" x14ac:dyDescent="0.15">
      <c r="A17" s="4" t="s">
        <v>3880</v>
      </c>
      <c r="C17" t="s">
        <v>3881</v>
      </c>
    </row>
    <row r="18" spans="1:3" ht="11.25" customHeight="1" x14ac:dyDescent="0.15">
      <c r="A18" s="4" t="s">
        <v>3882</v>
      </c>
      <c r="C18" t="s">
        <v>3883</v>
      </c>
    </row>
    <row r="19" spans="1:3" ht="11.25" customHeight="1" x14ac:dyDescent="0.15">
      <c r="A19" s="4" t="s">
        <v>3884</v>
      </c>
      <c r="C19" t="s">
        <v>3885</v>
      </c>
    </row>
    <row r="20" spans="1:3" ht="11.25" customHeight="1" x14ac:dyDescent="0.15">
      <c r="A20" s="4" t="s">
        <v>3886</v>
      </c>
      <c r="C20" t="s">
        <v>3887</v>
      </c>
    </row>
    <row r="21" spans="1:3" ht="11.25" customHeight="1" x14ac:dyDescent="0.15">
      <c r="A21" s="4" t="s">
        <v>3888</v>
      </c>
      <c r="C21" t="s">
        <v>3889</v>
      </c>
    </row>
    <row r="22" spans="1:3" ht="11.25" customHeight="1" x14ac:dyDescent="0.15">
      <c r="A22" s="4" t="s">
        <v>3890</v>
      </c>
      <c r="C22" t="s">
        <v>3891</v>
      </c>
    </row>
    <row r="23" spans="1:3" ht="11.25" customHeight="1" x14ac:dyDescent="0.15">
      <c r="A23" s="4" t="s">
        <v>3892</v>
      </c>
      <c r="C23" t="s">
        <v>3893</v>
      </c>
    </row>
    <row r="24" spans="1:3" ht="11.25" customHeight="1" x14ac:dyDescent="0.15">
      <c r="A24" s="4" t="s">
        <v>3894</v>
      </c>
      <c r="C24" t="s">
        <v>3895</v>
      </c>
    </row>
    <row r="25" spans="1:3" ht="11.25" customHeight="1" x14ac:dyDescent="0.15">
      <c r="A25" s="4" t="s">
        <v>3896</v>
      </c>
      <c r="C25" t="s">
        <v>3897</v>
      </c>
    </row>
    <row r="26" spans="1:3" ht="11.25" customHeight="1" x14ac:dyDescent="0.15">
      <c r="A26" s="4" t="s">
        <v>3898</v>
      </c>
      <c r="C26" t="s">
        <v>3899</v>
      </c>
    </row>
    <row r="27" spans="1:3" ht="11.25" customHeight="1" x14ac:dyDescent="0.15">
      <c r="A27" s="4" t="s">
        <v>3900</v>
      </c>
      <c r="C27" t="s">
        <v>3901</v>
      </c>
    </row>
    <row r="28" spans="1:3" ht="11.25" customHeight="1" x14ac:dyDescent="0.15">
      <c r="A28" s="4" t="s">
        <v>3902</v>
      </c>
      <c r="C28" t="s">
        <v>3903</v>
      </c>
    </row>
    <row r="29" spans="1:3" ht="11.25" customHeight="1" x14ac:dyDescent="0.15">
      <c r="A29" s="4" t="s">
        <v>3904</v>
      </c>
      <c r="C29" t="s">
        <v>3905</v>
      </c>
    </row>
    <row r="30" spans="1:3" ht="11.25" customHeight="1" x14ac:dyDescent="0.15">
      <c r="A30" s="4" t="s">
        <v>3906</v>
      </c>
      <c r="C30" t="s">
        <v>3907</v>
      </c>
    </row>
    <row r="31" spans="1:3" ht="11.25" customHeight="1" x14ac:dyDescent="0.15">
      <c r="A31" s="4" t="s">
        <v>3908</v>
      </c>
      <c r="C31" t="s">
        <v>3909</v>
      </c>
    </row>
    <row r="32" spans="1:3" ht="11.25" customHeight="1" x14ac:dyDescent="0.15">
      <c r="A32" s="4" t="s">
        <v>3910</v>
      </c>
      <c r="C32" t="s">
        <v>3911</v>
      </c>
    </row>
    <row r="33" spans="1:3" ht="11.25" customHeight="1" x14ac:dyDescent="0.15">
      <c r="A33" s="4" t="s">
        <v>3912</v>
      </c>
      <c r="C33" t="s">
        <v>3913</v>
      </c>
    </row>
    <row r="34" spans="1:3" ht="11.25" customHeight="1" x14ac:dyDescent="0.15">
      <c r="A34" s="4" t="s">
        <v>3914</v>
      </c>
      <c r="C34" t="s">
        <v>3915</v>
      </c>
    </row>
    <row r="35" spans="1:3" ht="11.25" customHeight="1" x14ac:dyDescent="0.15">
      <c r="A35" s="4" t="s">
        <v>3916</v>
      </c>
      <c r="C35" t="s">
        <v>3917</v>
      </c>
    </row>
    <row r="36" spans="1:3" ht="11.25" customHeight="1" x14ac:dyDescent="0.15">
      <c r="A36" s="4" t="s">
        <v>3918</v>
      </c>
      <c r="C36" t="s">
        <v>3919</v>
      </c>
    </row>
    <row r="37" spans="1:3" ht="11.25" customHeight="1" x14ac:dyDescent="0.15">
      <c r="A37" s="4" t="s">
        <v>3920</v>
      </c>
      <c r="C37" t="s">
        <v>3921</v>
      </c>
    </row>
    <row r="38" spans="1:3" ht="11.25" customHeight="1" x14ac:dyDescent="0.15">
      <c r="A38" s="4" t="s">
        <v>3922</v>
      </c>
      <c r="C38" t="s">
        <v>3923</v>
      </c>
    </row>
    <row r="39" spans="1:3" ht="11.25" customHeight="1" x14ac:dyDescent="0.15">
      <c r="A39" s="4" t="s">
        <v>3924</v>
      </c>
      <c r="C39" t="s">
        <v>3925</v>
      </c>
    </row>
    <row r="40" spans="1:3" ht="11.25" customHeight="1" x14ac:dyDescent="0.15">
      <c r="A40" s="4" t="s">
        <v>3926</v>
      </c>
      <c r="C40" t="s">
        <v>3927</v>
      </c>
    </row>
    <row r="41" spans="1:3" ht="11.25" customHeight="1" x14ac:dyDescent="0.15">
      <c r="A41" s="4" t="s">
        <v>3928</v>
      </c>
      <c r="C41" t="s">
        <v>3929</v>
      </c>
    </row>
    <row r="42" spans="1:3" ht="11.25" customHeight="1" x14ac:dyDescent="0.15">
      <c r="A42" s="4" t="s">
        <v>3930</v>
      </c>
      <c r="C42" t="s">
        <v>3931</v>
      </c>
    </row>
    <row r="43" spans="1:3" ht="11.25" customHeight="1" x14ac:dyDescent="0.15">
      <c r="A43" s="4" t="s">
        <v>3932</v>
      </c>
      <c r="C43" t="s">
        <v>3933</v>
      </c>
    </row>
    <row r="44" spans="1:3" ht="11.25" customHeight="1" x14ac:dyDescent="0.15">
      <c r="A44" s="4" t="s">
        <v>3934</v>
      </c>
    </row>
    <row r="45" spans="1:3" ht="11.25" customHeight="1" x14ac:dyDescent="0.15">
      <c r="A45" s="4" t="s">
        <v>3935</v>
      </c>
    </row>
    <row r="46" spans="1:3" ht="11.25" customHeight="1" x14ac:dyDescent="0.15">
      <c r="A46" s="4" t="s">
        <v>3936</v>
      </c>
    </row>
    <row r="47" spans="1:3" ht="11.25" customHeight="1" x14ac:dyDescent="0.15">
      <c r="A47" s="4" t="s">
        <v>3937</v>
      </c>
    </row>
    <row r="48" spans="1:3" ht="11.25" customHeight="1" x14ac:dyDescent="0.15">
      <c r="A48" s="4" t="s">
        <v>3938</v>
      </c>
    </row>
    <row r="49" spans="1:1" ht="11.25" customHeight="1" x14ac:dyDescent="0.15">
      <c r="A49" s="4" t="s">
        <v>3939</v>
      </c>
    </row>
    <row r="50" spans="1:1" ht="11.25" customHeight="1" x14ac:dyDescent="0.15">
      <c r="A50" s="4" t="s">
        <v>3940</v>
      </c>
    </row>
    <row r="51" spans="1:1" ht="11.25" customHeight="1" x14ac:dyDescent="0.15">
      <c r="A51" s="4" t="s">
        <v>3941</v>
      </c>
    </row>
    <row r="52" spans="1:1" ht="11.25" customHeight="1" x14ac:dyDescent="0.15">
      <c r="A52" s="4" t="s">
        <v>3942</v>
      </c>
    </row>
    <row r="53" spans="1:1" ht="11.25" customHeight="1" x14ac:dyDescent="0.15">
      <c r="A53" s="4" t="s">
        <v>3943</v>
      </c>
    </row>
    <row r="54" spans="1:1" ht="11.25" customHeight="1" x14ac:dyDescent="0.15">
      <c r="A54" s="4" t="s">
        <v>3944</v>
      </c>
    </row>
    <row r="55" spans="1:1" ht="11.25" customHeight="1" x14ac:dyDescent="0.15">
      <c r="A55" s="4" t="s">
        <v>3945</v>
      </c>
    </row>
    <row r="56" spans="1:1" ht="11.25" customHeight="1" x14ac:dyDescent="0.15">
      <c r="A56" s="4" t="s">
        <v>3946</v>
      </c>
    </row>
    <row r="57" spans="1:1" ht="11.25" customHeight="1" x14ac:dyDescent="0.15">
      <c r="A57" s="4" t="s">
        <v>3435</v>
      </c>
    </row>
    <row r="58" spans="1:1" ht="11.25" customHeight="1" x14ac:dyDescent="0.15">
      <c r="A58" s="4" t="s">
        <v>3947</v>
      </c>
    </row>
    <row r="59" spans="1:1" ht="11.25" customHeight="1" x14ac:dyDescent="0.15">
      <c r="A59" s="4" t="s">
        <v>3948</v>
      </c>
    </row>
    <row r="60" spans="1:1" ht="11.25" customHeight="1" x14ac:dyDescent="0.15">
      <c r="A60" s="4" t="s">
        <v>3949</v>
      </c>
    </row>
    <row r="61" spans="1:1" ht="11.25" customHeight="1" x14ac:dyDescent="0.15">
      <c r="A61" s="4" t="s">
        <v>3950</v>
      </c>
    </row>
    <row r="62" spans="1:1" ht="11.25" customHeight="1" x14ac:dyDescent="0.15">
      <c r="A62" s="4" t="s">
        <v>3951</v>
      </c>
    </row>
    <row r="63" spans="1:1" ht="11.25" customHeight="1" x14ac:dyDescent="0.15">
      <c r="A63" s="4" t="s">
        <v>3952</v>
      </c>
    </row>
    <row r="64" spans="1:1" ht="11.25" customHeight="1" x14ac:dyDescent="0.15">
      <c r="A64" s="4" t="s">
        <v>3953</v>
      </c>
    </row>
    <row r="65" spans="1:1" ht="11.25" customHeight="1" x14ac:dyDescent="0.15">
      <c r="A65" s="4" t="s">
        <v>3954</v>
      </c>
    </row>
    <row r="66" spans="1:1" ht="11.25" customHeight="1" x14ac:dyDescent="0.15">
      <c r="A66" s="4" t="s">
        <v>3955</v>
      </c>
    </row>
    <row r="67" spans="1:1" ht="11.25" customHeight="1" x14ac:dyDescent="0.15">
      <c r="A67" s="4" t="s">
        <v>3956</v>
      </c>
    </row>
    <row r="68" spans="1:1" ht="11.25" customHeight="1" x14ac:dyDescent="0.15">
      <c r="A68" s="4" t="s">
        <v>3957</v>
      </c>
    </row>
    <row r="69" spans="1:1" ht="11.25" customHeight="1" x14ac:dyDescent="0.15">
      <c r="A69" s="4" t="s">
        <v>3958</v>
      </c>
    </row>
    <row r="70" spans="1:1" ht="11.25" customHeight="1" x14ac:dyDescent="0.15">
      <c r="A70" s="4" t="s">
        <v>3959</v>
      </c>
    </row>
    <row r="71" spans="1:1" ht="11.25" customHeight="1" x14ac:dyDescent="0.15">
      <c r="A71" s="4" t="s">
        <v>3070</v>
      </c>
    </row>
    <row r="72" spans="1:1" ht="11.25" customHeight="1" x14ac:dyDescent="0.15">
      <c r="A72" s="4" t="s">
        <v>3960</v>
      </c>
    </row>
    <row r="73" spans="1:1" ht="11.25" customHeight="1" x14ac:dyDescent="0.15">
      <c r="A73" s="4" t="s">
        <v>3961</v>
      </c>
    </row>
    <row r="74" spans="1:1" ht="11.25" customHeight="1" x14ac:dyDescent="0.15">
      <c r="A74" s="4" t="s">
        <v>3082</v>
      </c>
    </row>
    <row r="75" spans="1:1" ht="11.25" customHeight="1" x14ac:dyDescent="0.15">
      <c r="A75" s="4" t="s">
        <v>3962</v>
      </c>
    </row>
    <row r="76" spans="1:1" ht="11.25" customHeight="1" x14ac:dyDescent="0.15">
      <c r="A76" s="4" t="s">
        <v>3963</v>
      </c>
    </row>
    <row r="77" spans="1:1" ht="11.25" customHeight="1" x14ac:dyDescent="0.15">
      <c r="A77" s="4" t="s">
        <v>3964</v>
      </c>
    </row>
    <row r="78" spans="1:1" ht="11.25" customHeight="1" x14ac:dyDescent="0.15">
      <c r="A78" s="4" t="s">
        <v>3965</v>
      </c>
    </row>
    <row r="79" spans="1:1" ht="11.25" customHeight="1" x14ac:dyDescent="0.15">
      <c r="A79" s="4" t="s">
        <v>3966</v>
      </c>
    </row>
    <row r="80" spans="1:1" ht="11.25" customHeight="1" x14ac:dyDescent="0.15">
      <c r="A80" s="4" t="s">
        <v>3967</v>
      </c>
    </row>
    <row r="81" spans="1:1" ht="11.25" customHeight="1" x14ac:dyDescent="0.15">
      <c r="A81" s="4" t="s">
        <v>3968</v>
      </c>
    </row>
    <row r="82" spans="1:1" ht="11.25" customHeight="1" x14ac:dyDescent="0.15">
      <c r="A82" s="4" t="s">
        <v>3969</v>
      </c>
    </row>
    <row r="83" spans="1:1" ht="11.25" customHeight="1" x14ac:dyDescent="0.15">
      <c r="A83" s="4" t="s">
        <v>3970</v>
      </c>
    </row>
    <row r="84" spans="1:1" ht="11.25" customHeight="1" x14ac:dyDescent="0.15">
      <c r="A84" s="4" t="s">
        <v>3971</v>
      </c>
    </row>
    <row r="85" spans="1:1" ht="11.25" customHeight="1" x14ac:dyDescent="0.15">
      <c r="A85" s="4" t="s">
        <v>3972</v>
      </c>
    </row>
    <row r="86" spans="1:1" ht="11.25" customHeight="1" x14ac:dyDescent="0.15">
      <c r="A86" s="4" t="s">
        <v>3460</v>
      </c>
    </row>
    <row r="87" spans="1:1" ht="11.25" customHeight="1" x14ac:dyDescent="0.15">
      <c r="A87" s="4" t="s">
        <v>3973</v>
      </c>
    </row>
    <row r="88" spans="1:1" ht="11.25" customHeight="1" x14ac:dyDescent="0.15">
      <c r="A88" s="4" t="s">
        <v>3974</v>
      </c>
    </row>
    <row r="89" spans="1:1" ht="11.25" customHeight="1" x14ac:dyDescent="0.15">
      <c r="A89" s="4" t="s">
        <v>3975</v>
      </c>
    </row>
    <row r="90" spans="1:1" ht="11.25" customHeight="1" x14ac:dyDescent="0.15">
      <c r="A90" s="4" t="s">
        <v>3976</v>
      </c>
    </row>
    <row r="91" spans="1:1" ht="11.25" customHeight="1" x14ac:dyDescent="0.15">
      <c r="A91" s="4" t="s">
        <v>3977</v>
      </c>
    </row>
    <row r="92" spans="1:1" ht="11.25" customHeight="1" x14ac:dyDescent="0.15">
      <c r="A92" s="4" t="s">
        <v>3978</v>
      </c>
    </row>
    <row r="93" spans="1:1" ht="11.25" customHeight="1" x14ac:dyDescent="0.15">
      <c r="A93" s="4" t="s">
        <v>3505</v>
      </c>
    </row>
    <row r="94" spans="1:1" ht="11.25" customHeight="1" x14ac:dyDescent="0.15">
      <c r="A94" s="4" t="s">
        <v>3979</v>
      </c>
    </row>
    <row r="95" spans="1:1" ht="11.25" customHeight="1" x14ac:dyDescent="0.15">
      <c r="A95" s="4" t="s">
        <v>3980</v>
      </c>
    </row>
    <row r="96" spans="1:1" ht="11.25" customHeight="1" x14ac:dyDescent="0.15">
      <c r="A96" s="4" t="s">
        <v>3981</v>
      </c>
    </row>
    <row r="97" spans="1:1" ht="11.25" customHeight="1" x14ac:dyDescent="0.15">
      <c r="A97" s="4" t="s">
        <v>3982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05598-E9F8-FFA8-9D28-84A533A5C393}">
  <sheetPr>
    <tabColor rgb="FFFFCC99"/>
  </sheetPr>
  <dimension ref="A1:AG183"/>
  <sheetViews>
    <sheetView showGridLines="0" workbookViewId="0"/>
  </sheetViews>
  <sheetFormatPr defaultColWidth="9.140625" defaultRowHeight="12" customHeight="1" x14ac:dyDescent="0.15"/>
  <cols>
    <col min="1" max="1" width="42.7109375" style="652" customWidth="1"/>
    <col min="2" max="2" width="6.7109375" style="652" customWidth="1"/>
    <col min="3" max="3" width="40.7109375" style="652" customWidth="1"/>
    <col min="4" max="4" width="15.5703125" style="652" customWidth="1"/>
    <col min="5" max="6" width="3.7109375" style="652" customWidth="1"/>
    <col min="7" max="7" width="32.7109375" style="652" customWidth="1"/>
    <col min="8" max="9" width="3.7109375" style="652" customWidth="1"/>
    <col min="10" max="10" width="4.7109375" style="652" customWidth="1"/>
    <col min="11" max="11" width="40.7109375" style="652" customWidth="1"/>
    <col min="12" max="12" width="4.7109375" style="652" customWidth="1"/>
    <col min="13" max="13" width="18.5703125" style="652" customWidth="1"/>
    <col min="14" max="15" width="4.7109375" style="652" customWidth="1"/>
    <col min="16" max="16" width="5.7109375" style="652" customWidth="1"/>
    <col min="17" max="18" width="12.5703125" style="652" customWidth="1"/>
    <col min="19" max="19" width="14.5703125" style="652" customWidth="1"/>
    <col min="20" max="20" width="18.85546875" style="652" customWidth="1"/>
    <col min="21" max="21" width="19.28515625" style="652" customWidth="1"/>
    <col min="22" max="22" width="39.140625" style="652" customWidth="1"/>
    <col min="23" max="23" width="41.7109375" style="652" customWidth="1"/>
    <col min="24" max="24" width="54.85546875" style="652" customWidth="1"/>
    <col min="25" max="26" width="22.85546875" style="652" customWidth="1"/>
    <col min="27" max="31" width="9.140625" style="652"/>
  </cols>
  <sheetData>
    <row r="1" spans="1:33" ht="12" customHeight="1" x14ac:dyDescent="0.15">
      <c r="A1" s="27" t="s">
        <v>3983</v>
      </c>
      <c r="B1" s="26" t="s">
        <v>3984</v>
      </c>
      <c r="C1" s="27" t="s">
        <v>3983</v>
      </c>
      <c r="D1" s="346" t="s">
        <v>3985</v>
      </c>
      <c r="E1" s="82"/>
      <c r="F1" s="82"/>
      <c r="G1" s="83" t="s">
        <v>3986</v>
      </c>
      <c r="H1" s="82"/>
      <c r="I1" s="82"/>
      <c r="J1" s="82"/>
      <c r="K1" s="335" t="s">
        <v>3987</v>
      </c>
      <c r="L1" s="27"/>
      <c r="M1" s="83" t="s">
        <v>3988</v>
      </c>
      <c r="N1" s="82"/>
      <c r="O1" s="27"/>
      <c r="P1" s="82"/>
      <c r="Q1" s="83" t="s">
        <v>3989</v>
      </c>
      <c r="R1" s="83" t="s">
        <v>3990</v>
      </c>
      <c r="S1" s="83" t="s">
        <v>3991</v>
      </c>
      <c r="T1" s="83" t="s">
        <v>3992</v>
      </c>
      <c r="U1" s="83" t="s">
        <v>3993</v>
      </c>
      <c r="V1" s="90" t="s">
        <v>3994</v>
      </c>
      <c r="W1" s="90" t="s">
        <v>3995</v>
      </c>
      <c r="X1" s="90" t="s">
        <v>3996</v>
      </c>
      <c r="Y1" s="90" t="s">
        <v>3997</v>
      </c>
      <c r="Z1" s="90" t="s">
        <v>3998</v>
      </c>
      <c r="AA1" s="83" t="s">
        <v>3999</v>
      </c>
      <c r="AB1" s="83" t="s">
        <v>4000</v>
      </c>
      <c r="AC1" s="83" t="s">
        <v>4001</v>
      </c>
      <c r="AD1" s="83" t="s">
        <v>4002</v>
      </c>
      <c r="AE1" s="83" t="s">
        <v>4003</v>
      </c>
      <c r="AF1" s="1" t="s">
        <v>4004</v>
      </c>
      <c r="AG1" s="1" t="s">
        <v>4005</v>
      </c>
    </row>
    <row r="2" spans="1:33" ht="12" customHeight="1" x14ac:dyDescent="0.15">
      <c r="A2" s="27" t="s">
        <v>4006</v>
      </c>
      <c r="B2" s="26" t="s">
        <v>4007</v>
      </c>
      <c r="C2" s="27" t="s">
        <v>4006</v>
      </c>
      <c r="D2" s="345" t="s">
        <v>4008</v>
      </c>
      <c r="E2" s="82"/>
      <c r="F2" s="82"/>
      <c r="G2" s="84" t="s">
        <v>151</v>
      </c>
      <c r="H2" s="82"/>
      <c r="I2" s="82"/>
      <c r="J2" s="82"/>
      <c r="K2" s="336" t="s">
        <v>4009</v>
      </c>
      <c r="L2" s="82"/>
      <c r="M2" s="85" t="s">
        <v>4010</v>
      </c>
      <c r="N2" s="82"/>
      <c r="O2" s="82"/>
      <c r="P2" s="82"/>
      <c r="Q2" s="84">
        <v>2012</v>
      </c>
      <c r="R2" s="84" t="s">
        <v>4011</v>
      </c>
      <c r="S2" s="84">
        <v>3</v>
      </c>
      <c r="T2" s="89" t="s">
        <v>283</v>
      </c>
      <c r="U2" s="89" t="s">
        <v>286</v>
      </c>
      <c r="V2" s="100" t="s">
        <v>288</v>
      </c>
      <c r="W2" s="100" t="s">
        <v>285</v>
      </c>
      <c r="X2" s="100" t="s">
        <v>431</v>
      </c>
      <c r="Y2" s="100" t="s">
        <v>4012</v>
      </c>
      <c r="Z2" s="100" t="s">
        <v>4012</v>
      </c>
      <c r="AA2" s="89" t="s">
        <v>4013</v>
      </c>
      <c r="AB2" s="89" t="s">
        <v>4014</v>
      </c>
      <c r="AC2" s="89" t="s">
        <v>4015</v>
      </c>
      <c r="AD2" s="89" t="s">
        <v>4016</v>
      </c>
      <c r="AE2" s="89" t="s">
        <v>282</v>
      </c>
      <c r="AF2" s="1" t="s">
        <v>4017</v>
      </c>
      <c r="AG2" s="1" t="s">
        <v>4018</v>
      </c>
    </row>
    <row r="3" spans="1:33" ht="12" customHeight="1" x14ac:dyDescent="0.15">
      <c r="A3" s="27" t="s">
        <v>4019</v>
      </c>
      <c r="B3" s="26" t="s">
        <v>4020</v>
      </c>
      <c r="C3" s="27" t="s">
        <v>4019</v>
      </c>
      <c r="D3" s="82"/>
      <c r="E3" s="82"/>
      <c r="F3" s="82"/>
      <c r="G3" s="84" t="s">
        <v>191</v>
      </c>
      <c r="H3" s="82"/>
      <c r="I3" s="82"/>
      <c r="J3" s="82"/>
      <c r="L3" s="82"/>
      <c r="M3" s="82"/>
      <c r="N3" s="82"/>
      <c r="O3" s="82"/>
      <c r="P3" s="82"/>
      <c r="Q3" s="84">
        <v>2013</v>
      </c>
      <c r="R3" s="84" t="s">
        <v>4021</v>
      </c>
      <c r="S3" s="84">
        <v>4</v>
      </c>
      <c r="T3" s="89" t="s">
        <v>290</v>
      </c>
      <c r="U3" s="89" t="s">
        <v>4022</v>
      </c>
      <c r="V3" s="100" t="s">
        <v>4023</v>
      </c>
      <c r="W3" s="100" t="s">
        <v>4024</v>
      </c>
      <c r="X3" s="100" t="s">
        <v>4025</v>
      </c>
      <c r="Y3" s="100" t="s">
        <v>4026</v>
      </c>
      <c r="Z3" s="100" t="s">
        <v>4026</v>
      </c>
      <c r="AA3" s="89" t="s">
        <v>4027</v>
      </c>
      <c r="AB3" s="89" t="s">
        <v>4028</v>
      </c>
      <c r="AC3" s="89" t="s">
        <v>4029</v>
      </c>
      <c r="AD3" s="89" t="s">
        <v>4030</v>
      </c>
      <c r="AE3" s="89" t="s">
        <v>289</v>
      </c>
      <c r="AF3" s="1" t="s">
        <v>4031</v>
      </c>
      <c r="AG3" s="1" t="s">
        <v>4032</v>
      </c>
    </row>
    <row r="4" spans="1:33" ht="12" customHeight="1" x14ac:dyDescent="0.15">
      <c r="A4" s="27" t="s">
        <v>4033</v>
      </c>
      <c r="B4" s="26" t="s">
        <v>4034</v>
      </c>
      <c r="C4" s="27" t="s">
        <v>4033</v>
      </c>
      <c r="D4" s="82"/>
      <c r="E4" s="82"/>
      <c r="F4" s="82"/>
      <c r="G4" s="82"/>
      <c r="H4" s="82"/>
      <c r="I4" s="82"/>
      <c r="J4" s="82"/>
      <c r="K4" s="335" t="s">
        <v>4035</v>
      </c>
      <c r="L4" s="82"/>
      <c r="M4" s="83" t="s">
        <v>4036</v>
      </c>
      <c r="N4" s="82"/>
      <c r="O4" s="82"/>
      <c r="P4" s="82"/>
      <c r="Q4" s="84">
        <v>2014</v>
      </c>
      <c r="R4" s="84" t="s">
        <v>4037</v>
      </c>
      <c r="S4" s="84">
        <v>5</v>
      </c>
      <c r="V4" s="100" t="s">
        <v>4038</v>
      </c>
      <c r="X4" s="100" t="s">
        <v>425</v>
      </c>
      <c r="Y4" s="100" t="s">
        <v>4039</v>
      </c>
      <c r="Z4" s="100" t="s">
        <v>4039</v>
      </c>
      <c r="AB4" s="89" t="s">
        <v>4040</v>
      </c>
      <c r="AC4" s="89" t="s">
        <v>4041</v>
      </c>
      <c r="AD4" s="88"/>
      <c r="AE4" s="89" t="s">
        <v>329</v>
      </c>
      <c r="AF4" s="1" t="s">
        <v>4042</v>
      </c>
      <c r="AG4" s="1" t="s">
        <v>4043</v>
      </c>
    </row>
    <row r="5" spans="1:33" ht="12" customHeight="1" x14ac:dyDescent="0.15">
      <c r="A5" s="27" t="s">
        <v>4044</v>
      </c>
      <c r="B5" s="26" t="s">
        <v>4045</v>
      </c>
      <c r="C5" s="27" t="s">
        <v>4044</v>
      </c>
      <c r="D5" s="82"/>
      <c r="E5" s="82"/>
      <c r="F5" s="82"/>
      <c r="G5" s="83" t="s">
        <v>4046</v>
      </c>
      <c r="H5" s="82"/>
      <c r="I5" s="82"/>
      <c r="J5" s="82"/>
      <c r="K5" s="84" t="s">
        <v>4047</v>
      </c>
      <c r="L5" s="82"/>
      <c r="M5" s="85">
        <v>1.2</v>
      </c>
      <c r="N5" s="82"/>
      <c r="O5" s="82"/>
      <c r="P5" s="82"/>
      <c r="Q5" s="84">
        <v>2015</v>
      </c>
      <c r="R5" s="84" t="s">
        <v>4048</v>
      </c>
      <c r="S5" s="84">
        <v>6</v>
      </c>
      <c r="V5" s="90" t="s">
        <v>4049</v>
      </c>
      <c r="W5" s="90" t="s">
        <v>4050</v>
      </c>
      <c r="X5" s="100" t="s">
        <v>4051</v>
      </c>
      <c r="Y5" s="100" t="s">
        <v>902</v>
      </c>
      <c r="Z5" s="100" t="s">
        <v>902</v>
      </c>
      <c r="AB5" s="89" t="s">
        <v>4052</v>
      </c>
      <c r="AC5" s="89" t="s">
        <v>4053</v>
      </c>
      <c r="AD5" s="88"/>
      <c r="AE5" s="89" t="s">
        <v>441</v>
      </c>
      <c r="AF5" s="1" t="s">
        <v>4054</v>
      </c>
      <c r="AG5" s="1" t="s">
        <v>4055</v>
      </c>
    </row>
    <row r="6" spans="1:33" ht="12" customHeight="1" x14ac:dyDescent="0.15">
      <c r="A6" s="27" t="s">
        <v>4056</v>
      </c>
      <c r="B6" s="26" t="s">
        <v>4057</v>
      </c>
      <c r="C6" s="27" t="s">
        <v>4056</v>
      </c>
      <c r="D6" s="82"/>
      <c r="E6" s="82"/>
      <c r="F6" s="82"/>
      <c r="G6" s="83" t="s">
        <v>4058</v>
      </c>
      <c r="H6" s="82"/>
      <c r="I6" s="82"/>
      <c r="J6" s="82"/>
      <c r="K6" s="84" t="s">
        <v>4059</v>
      </c>
      <c r="L6" s="82"/>
      <c r="M6" s="82"/>
      <c r="N6" s="82"/>
      <c r="O6" s="82"/>
      <c r="P6" s="82"/>
      <c r="Q6" s="84">
        <v>2016</v>
      </c>
      <c r="R6" s="84" t="s">
        <v>4060</v>
      </c>
      <c r="S6" s="84">
        <v>7</v>
      </c>
      <c r="V6" s="100" t="s">
        <v>294</v>
      </c>
      <c r="W6" s="179" t="s">
        <v>292</v>
      </c>
      <c r="X6" s="100" t="s">
        <v>4061</v>
      </c>
      <c r="Y6" s="100" t="s">
        <v>898</v>
      </c>
      <c r="Z6" s="100" t="s">
        <v>898</v>
      </c>
      <c r="AB6" s="89" t="s">
        <v>4062</v>
      </c>
      <c r="AC6" s="88"/>
      <c r="AD6" s="88"/>
      <c r="AE6" s="89" t="s">
        <v>444</v>
      </c>
      <c r="AF6" s="1" t="s">
        <v>4063</v>
      </c>
      <c r="AG6" s="1" t="s">
        <v>4064</v>
      </c>
    </row>
    <row r="7" spans="1:33" ht="12" customHeight="1" x14ac:dyDescent="0.15">
      <c r="A7" s="27" t="s">
        <v>4065</v>
      </c>
      <c r="B7" s="26" t="s">
        <v>4066</v>
      </c>
      <c r="C7" s="27" t="s">
        <v>4065</v>
      </c>
      <c r="D7" s="82"/>
      <c r="E7" s="82"/>
      <c r="F7" s="82"/>
      <c r="G7" s="86" t="s">
        <v>4067</v>
      </c>
      <c r="H7" s="82"/>
      <c r="I7" s="82"/>
      <c r="J7" s="82"/>
      <c r="K7" s="84" t="s">
        <v>4068</v>
      </c>
      <c r="L7" s="82"/>
      <c r="M7" s="83" t="s">
        <v>4069</v>
      </c>
      <c r="N7" s="82"/>
      <c r="O7" s="82"/>
      <c r="P7" s="82"/>
      <c r="Q7" s="84">
        <v>2017</v>
      </c>
      <c r="R7" s="84" t="s">
        <v>4070</v>
      </c>
      <c r="S7" s="84">
        <v>8</v>
      </c>
      <c r="V7" s="100" t="s">
        <v>4071</v>
      </c>
      <c r="X7" s="100" t="s">
        <v>4072</v>
      </c>
      <c r="Y7" s="100" t="s">
        <v>901</v>
      </c>
      <c r="Z7" s="100" t="s">
        <v>901</v>
      </c>
      <c r="AB7" s="89" t="s">
        <v>4073</v>
      </c>
      <c r="AC7" s="88"/>
      <c r="AD7" s="88"/>
      <c r="AE7" s="88"/>
      <c r="AF7" s="1" t="s">
        <v>4032</v>
      </c>
      <c r="AG7" s="1" t="s">
        <v>4074</v>
      </c>
    </row>
    <row r="8" spans="1:33" ht="12" customHeight="1" x14ac:dyDescent="0.15">
      <c r="A8" s="27" t="s">
        <v>4075</v>
      </c>
      <c r="B8" s="26" t="s">
        <v>4076</v>
      </c>
      <c r="C8" s="27" t="s">
        <v>4075</v>
      </c>
      <c r="D8" s="82"/>
      <c r="E8" s="82"/>
      <c r="F8" s="82"/>
      <c r="G8" s="86" t="s">
        <v>154</v>
      </c>
      <c r="H8" s="82"/>
      <c r="I8" s="82"/>
      <c r="J8" s="82"/>
      <c r="K8" s="84" t="s">
        <v>4077</v>
      </c>
      <c r="L8" s="82"/>
      <c r="M8" s="85" cm="1">
        <f t="array" aca="1" ref="M8" ca="1">IF(god="",YEAR(TODAY()),god)</f>
        <v>2026</v>
      </c>
      <c r="N8" s="82"/>
      <c r="O8" s="82"/>
      <c r="P8" s="82"/>
      <c r="Q8" s="84">
        <v>2018</v>
      </c>
      <c r="R8" s="84" t="s">
        <v>4078</v>
      </c>
      <c r="S8" s="84">
        <v>9</v>
      </c>
      <c r="V8" s="100" t="s">
        <v>4079</v>
      </c>
      <c r="X8" s="100" t="s">
        <v>4080</v>
      </c>
      <c r="Z8" s="100" t="s">
        <v>4081</v>
      </c>
      <c r="AB8" s="89" t="s">
        <v>4082</v>
      </c>
      <c r="AC8" s="88"/>
      <c r="AD8" s="88"/>
      <c r="AE8" s="88"/>
      <c r="AF8" s="1" t="s">
        <v>4043</v>
      </c>
      <c r="AG8" s="1" t="s">
        <v>4083</v>
      </c>
    </row>
    <row r="9" spans="1:33" ht="12" customHeight="1" x14ac:dyDescent="0.15">
      <c r="A9" s="27" t="s">
        <v>4084</v>
      </c>
      <c r="B9" s="26" t="s">
        <v>4085</v>
      </c>
      <c r="C9" s="27" t="s">
        <v>4084</v>
      </c>
      <c r="D9" s="82"/>
      <c r="E9" s="82"/>
      <c r="F9" s="82"/>
      <c r="G9" s="86" t="s">
        <v>4086</v>
      </c>
      <c r="H9" s="82"/>
      <c r="I9" s="82"/>
      <c r="J9" s="82"/>
      <c r="K9" s="84" t="s">
        <v>4087</v>
      </c>
      <c r="L9" s="82"/>
      <c r="M9" s="82"/>
      <c r="N9" s="82"/>
      <c r="O9" s="82"/>
      <c r="P9" s="82"/>
      <c r="Q9" s="84">
        <v>2019</v>
      </c>
      <c r="R9" s="84" t="s">
        <v>4088</v>
      </c>
      <c r="S9" s="84">
        <v>10</v>
      </c>
      <c r="V9" s="100" t="s">
        <v>4089</v>
      </c>
      <c r="X9" s="100" t="s">
        <v>4090</v>
      </c>
      <c r="AB9" s="89" t="s">
        <v>4091</v>
      </c>
      <c r="AC9" s="88"/>
      <c r="AD9" s="88"/>
      <c r="AE9" s="88"/>
      <c r="AF9" s="1" t="s">
        <v>4055</v>
      </c>
      <c r="AG9" s="1" t="s">
        <v>4092</v>
      </c>
    </row>
    <row r="10" spans="1:33" ht="12" customHeight="1" x14ac:dyDescent="0.15">
      <c r="A10" s="27" t="s">
        <v>4093</v>
      </c>
      <c r="B10" s="26" t="s">
        <v>4094</v>
      </c>
      <c r="C10" s="27" t="s">
        <v>4093</v>
      </c>
      <c r="D10" s="82"/>
      <c r="E10" s="82"/>
      <c r="F10" s="82"/>
      <c r="G10" s="87"/>
      <c r="H10" s="82"/>
      <c r="I10" s="82"/>
      <c r="J10" s="82"/>
      <c r="K10" s="84" t="s">
        <v>4095</v>
      </c>
      <c r="L10" s="82"/>
      <c r="M10" s="83" t="s">
        <v>4096</v>
      </c>
      <c r="N10" s="82"/>
      <c r="O10" s="82"/>
      <c r="P10" s="82"/>
      <c r="Q10" s="84">
        <v>2020</v>
      </c>
      <c r="R10" s="84" t="s">
        <v>4097</v>
      </c>
      <c r="S10" s="84">
        <v>11</v>
      </c>
      <c r="V10" s="100" t="s">
        <v>4098</v>
      </c>
      <c r="X10" s="100" t="s">
        <v>4099</v>
      </c>
      <c r="AB10" s="89" t="s">
        <v>4100</v>
      </c>
      <c r="AC10" s="88"/>
      <c r="AD10" s="88"/>
      <c r="AE10" s="88"/>
      <c r="AF10" s="1" t="s">
        <v>4064</v>
      </c>
      <c r="AG10" s="1" t="s">
        <v>4101</v>
      </c>
    </row>
    <row r="11" spans="1:33" ht="12" customHeight="1" x14ac:dyDescent="0.15">
      <c r="A11" s="330" t="s">
        <v>4102</v>
      </c>
      <c r="B11" s="26" t="s">
        <v>4103</v>
      </c>
      <c r="C11" s="27" t="s">
        <v>4104</v>
      </c>
      <c r="D11" s="82"/>
      <c r="E11" s="82"/>
      <c r="F11" s="82"/>
      <c r="G11" s="83" t="s">
        <v>4105</v>
      </c>
      <c r="H11" s="82"/>
      <c r="I11" s="82"/>
      <c r="J11" s="82"/>
      <c r="K11" s="84" t="s">
        <v>4106</v>
      </c>
      <c r="L11" s="82"/>
      <c r="M11" s="85" t="str">
        <f ca="1">"01.01."&amp;PERIOD</f>
        <v>01.01.2026</v>
      </c>
      <c r="N11" s="82"/>
      <c r="O11" s="82"/>
      <c r="P11" s="82"/>
      <c r="Q11" s="84">
        <v>2021</v>
      </c>
      <c r="R11" s="84" t="s">
        <v>4107</v>
      </c>
      <c r="S11" s="84">
        <v>12</v>
      </c>
      <c r="V11" s="100" t="s">
        <v>4108</v>
      </c>
      <c r="X11" s="100" t="s">
        <v>4109</v>
      </c>
      <c r="AB11" s="89" t="s">
        <v>4110</v>
      </c>
      <c r="AC11" s="88"/>
      <c r="AD11" s="88"/>
      <c r="AE11" s="88"/>
      <c r="AF11" s="1" t="s">
        <v>4074</v>
      </c>
      <c r="AG11" s="1" t="s">
        <v>4111</v>
      </c>
    </row>
    <row r="12" spans="1:33" ht="12" customHeight="1" x14ac:dyDescent="0.15">
      <c r="A12" s="330" t="s">
        <v>4112</v>
      </c>
      <c r="B12" s="26" t="s">
        <v>4113</v>
      </c>
      <c r="C12" s="27"/>
      <c r="D12" s="82"/>
      <c r="E12" s="82"/>
      <c r="F12" s="82"/>
      <c r="G12" s="83" t="s">
        <v>4114</v>
      </c>
      <c r="H12" s="82"/>
      <c r="I12" s="82"/>
      <c r="J12" s="82"/>
      <c r="K12" s="82"/>
      <c r="L12" s="82"/>
      <c r="M12" s="85" t="str">
        <f ca="1">"31.12."&amp;PERIOD</f>
        <v>31.12.2026</v>
      </c>
      <c r="N12" s="82"/>
      <c r="O12" s="82"/>
      <c r="P12" s="82"/>
      <c r="Q12" s="84">
        <v>2022</v>
      </c>
      <c r="R12" s="84" t="s">
        <v>4115</v>
      </c>
      <c r="S12" s="84">
        <v>13</v>
      </c>
      <c r="X12" s="100" t="s">
        <v>4116</v>
      </c>
      <c r="AB12" s="89" t="s">
        <v>4117</v>
      </c>
      <c r="AC12" s="88"/>
      <c r="AD12" s="88"/>
      <c r="AE12" s="88"/>
      <c r="AF12" s="1" t="s">
        <v>4083</v>
      </c>
      <c r="AG12" s="1" t="s">
        <v>4118</v>
      </c>
    </row>
    <row r="13" spans="1:33" ht="12" customHeight="1" x14ac:dyDescent="0.15">
      <c r="A13" s="330" t="s">
        <v>4119</v>
      </c>
      <c r="B13" s="26" t="s">
        <v>4120</v>
      </c>
      <c r="C13" s="27" t="s">
        <v>4121</v>
      </c>
      <c r="D13" s="82"/>
      <c r="E13" s="82"/>
      <c r="F13" s="82"/>
      <c r="G13" s="86" t="s">
        <v>4122</v>
      </c>
      <c r="H13" s="82"/>
      <c r="I13" s="82"/>
      <c r="J13" s="82"/>
      <c r="K13" s="381" t="s">
        <v>4123</v>
      </c>
      <c r="L13" s="82"/>
      <c r="M13" s="82"/>
      <c r="N13" s="82"/>
      <c r="O13" s="82"/>
      <c r="P13" s="82"/>
      <c r="Q13" s="84">
        <v>2023</v>
      </c>
      <c r="R13" s="84" t="s">
        <v>4124</v>
      </c>
      <c r="S13" s="84">
        <v>14</v>
      </c>
      <c r="X13" s="100" t="s">
        <v>4125</v>
      </c>
      <c r="AB13" s="89" t="s">
        <v>4126</v>
      </c>
      <c r="AC13" s="88"/>
      <c r="AD13" s="88"/>
      <c r="AE13" s="88"/>
      <c r="AF13" s="1" t="s">
        <v>4092</v>
      </c>
      <c r="AG13" s="1" t="s">
        <v>4127</v>
      </c>
    </row>
    <row r="14" spans="1:33" ht="12" customHeight="1" x14ac:dyDescent="0.15">
      <c r="A14" s="330" t="s">
        <v>4128</v>
      </c>
      <c r="B14" s="26" t="s">
        <v>4129</v>
      </c>
      <c r="C14" s="27" t="s">
        <v>4130</v>
      </c>
      <c r="D14" s="82"/>
      <c r="E14" s="82"/>
      <c r="F14" s="82"/>
      <c r="G14" s="86" t="s">
        <v>4131</v>
      </c>
      <c r="H14" s="82"/>
      <c r="I14" s="82"/>
      <c r="J14" s="82"/>
      <c r="K14" s="382" t="s">
        <v>103</v>
      </c>
      <c r="L14" s="82"/>
      <c r="M14" s="83" t="s">
        <v>4132</v>
      </c>
      <c r="N14" s="82"/>
      <c r="O14" s="82"/>
      <c r="P14" s="82"/>
      <c r="Q14" s="84">
        <v>2024</v>
      </c>
      <c r="R14" s="82"/>
      <c r="S14" s="84">
        <v>15</v>
      </c>
      <c r="X14" s="100" t="s">
        <v>4133</v>
      </c>
      <c r="AB14" s="89" t="s">
        <v>4134</v>
      </c>
      <c r="AC14" s="88"/>
      <c r="AD14" s="88"/>
      <c r="AE14" s="88"/>
      <c r="AF14" s="1" t="s">
        <v>4101</v>
      </c>
      <c r="AG14" s="1" t="s">
        <v>4135</v>
      </c>
    </row>
    <row r="15" spans="1:33" ht="12" customHeight="1" x14ac:dyDescent="0.15">
      <c r="A15" s="331" t="s">
        <v>4136</v>
      </c>
      <c r="B15" s="332"/>
      <c r="C15" s="331"/>
      <c r="D15" s="82"/>
      <c r="E15" s="82"/>
      <c r="F15" s="82"/>
      <c r="G15" s="86" t="s">
        <v>4137</v>
      </c>
      <c r="H15" s="82"/>
      <c r="I15" s="82"/>
      <c r="J15" s="82"/>
      <c r="K15" s="382" t="s">
        <v>4138</v>
      </c>
      <c r="L15" s="82"/>
      <c r="M15" s="85" t="str">
        <f ca="1">"01.01."&amp;PERIOD</f>
        <v>01.01.2026</v>
      </c>
      <c r="N15" s="82"/>
      <c r="O15" s="82"/>
      <c r="P15" s="82"/>
      <c r="Q15" s="84">
        <v>2025</v>
      </c>
      <c r="R15" s="82"/>
      <c r="S15" s="84">
        <v>16</v>
      </c>
      <c r="AB15" s="89" t="s">
        <v>4139</v>
      </c>
      <c r="AC15" s="88"/>
      <c r="AD15" s="88"/>
      <c r="AE15" s="88"/>
      <c r="AF15" s="1" t="s">
        <v>4111</v>
      </c>
      <c r="AG15" s="1" t="s">
        <v>4140</v>
      </c>
    </row>
    <row r="16" spans="1:33" ht="12" customHeight="1" x14ac:dyDescent="0.15">
      <c r="A16" s="27" t="s">
        <v>4141</v>
      </c>
      <c r="B16" s="26" t="s">
        <v>4142</v>
      </c>
      <c r="C16" s="27" t="s">
        <v>4141</v>
      </c>
      <c r="D16" s="82"/>
      <c r="E16" s="82"/>
      <c r="F16" s="82"/>
      <c r="G16" s="86" t="s">
        <v>157</v>
      </c>
      <c r="H16" s="82"/>
      <c r="I16" s="82"/>
      <c r="J16" s="82"/>
      <c r="K16" s="382" t="s">
        <v>4143</v>
      </c>
      <c r="L16" s="82"/>
      <c r="M16" s="85" t="str">
        <f ca="1">"31.12."&amp;PERIOD</f>
        <v>31.12.2026</v>
      </c>
      <c r="N16" s="82"/>
      <c r="O16" s="82"/>
      <c r="P16" s="82"/>
      <c r="Q16" s="84">
        <v>2026</v>
      </c>
      <c r="R16" s="82"/>
      <c r="S16" s="84">
        <v>17</v>
      </c>
      <c r="X16" s="90" t="s">
        <v>4144</v>
      </c>
      <c r="AB16" s="89" t="s">
        <v>4145</v>
      </c>
      <c r="AC16" s="88"/>
      <c r="AD16" s="88"/>
      <c r="AE16" s="88"/>
      <c r="AF16" s="1" t="s">
        <v>4118</v>
      </c>
      <c r="AG16" s="1" t="s">
        <v>4146</v>
      </c>
    </row>
    <row r="17" spans="1:33" ht="23.25" customHeight="1" x14ac:dyDescent="0.15">
      <c r="A17" s="27" t="s">
        <v>4147</v>
      </c>
      <c r="B17" s="26" t="s">
        <v>4148</v>
      </c>
      <c r="C17" s="27" t="s">
        <v>4147</v>
      </c>
      <c r="D17" s="82"/>
      <c r="E17" s="82"/>
      <c r="F17" s="82"/>
      <c r="G17" s="82"/>
      <c r="H17" s="82"/>
      <c r="I17" s="82"/>
      <c r="J17" s="82"/>
      <c r="K17" s="382" t="s">
        <v>4149</v>
      </c>
      <c r="L17" s="82"/>
      <c r="M17" s="71"/>
      <c r="N17" s="82"/>
      <c r="O17" s="82"/>
      <c r="P17" s="82"/>
      <c r="Q17" s="84">
        <v>2027</v>
      </c>
      <c r="R17" s="82"/>
      <c r="S17" s="84">
        <v>18</v>
      </c>
      <c r="X17" s="100" t="s">
        <v>432</v>
      </c>
      <c r="AB17" s="89" t="s">
        <v>4150</v>
      </c>
      <c r="AC17" s="88"/>
      <c r="AD17" s="88"/>
      <c r="AE17" s="88"/>
      <c r="AF17" s="1" t="s">
        <v>4127</v>
      </c>
      <c r="AG17" s="1" t="s">
        <v>4151</v>
      </c>
    </row>
    <row r="18" spans="1:33" ht="12" customHeight="1" x14ac:dyDescent="0.15">
      <c r="A18" s="331" t="s">
        <v>4152</v>
      </c>
      <c r="B18" s="332"/>
      <c r="C18" s="331"/>
      <c r="D18" s="82"/>
      <c r="E18" s="82"/>
      <c r="F18" s="496"/>
      <c r="G18" s="83" t="s">
        <v>4153</v>
      </c>
      <c r="H18" s="82"/>
      <c r="I18" s="82"/>
      <c r="J18" s="82"/>
      <c r="K18" s="82"/>
      <c r="L18" s="82"/>
      <c r="M18" s="83" t="s">
        <v>4154</v>
      </c>
      <c r="N18" s="82"/>
      <c r="O18" s="82"/>
      <c r="P18" s="82"/>
      <c r="Q18" s="84">
        <v>2028</v>
      </c>
      <c r="R18" s="82"/>
      <c r="S18" s="84">
        <v>19</v>
      </c>
      <c r="X18" s="100" t="s">
        <v>4155</v>
      </c>
      <c r="AB18" s="89" t="s">
        <v>4156</v>
      </c>
      <c r="AC18" s="88"/>
      <c r="AD18" s="88"/>
      <c r="AE18" s="88"/>
      <c r="AF18" s="1" t="s">
        <v>4135</v>
      </c>
      <c r="AG18" s="1" t="s">
        <v>4157</v>
      </c>
    </row>
    <row r="19" spans="1:33" ht="12" customHeight="1" x14ac:dyDescent="0.15">
      <c r="A19" s="27" t="s">
        <v>4158</v>
      </c>
      <c r="B19" s="26" t="s">
        <v>4159</v>
      </c>
      <c r="C19" s="27" t="s">
        <v>4158</v>
      </c>
      <c r="D19" s="82"/>
      <c r="E19" s="82"/>
      <c r="F19" s="496"/>
      <c r="G19" s="495" t="s">
        <v>162</v>
      </c>
      <c r="H19" s="82"/>
      <c r="I19" s="82"/>
      <c r="J19" s="82"/>
      <c r="K19" s="381" t="s">
        <v>4160</v>
      </c>
      <c r="L19" s="82"/>
      <c r="M19" s="85" t="str">
        <f ca="1">"01.01."&amp;PERIOD</f>
        <v>01.01.2026</v>
      </c>
      <c r="N19" s="82"/>
      <c r="O19" s="82"/>
      <c r="P19" s="82"/>
      <c r="Q19" s="84">
        <v>2029</v>
      </c>
      <c r="R19" s="82"/>
      <c r="S19" s="84">
        <v>20</v>
      </c>
      <c r="X19" s="100" t="s">
        <v>426</v>
      </c>
      <c r="AB19" s="89" t="s">
        <v>4161</v>
      </c>
      <c r="AC19" s="88"/>
      <c r="AD19" s="88"/>
      <c r="AE19" s="88"/>
      <c r="AF19" s="1" t="s">
        <v>4140</v>
      </c>
      <c r="AG19" s="1" t="s">
        <v>4162</v>
      </c>
    </row>
    <row r="20" spans="1:33" ht="12" customHeight="1" x14ac:dyDescent="0.15">
      <c r="A20" s="27" t="s">
        <v>4163</v>
      </c>
      <c r="B20" s="26" t="s">
        <v>4164</v>
      </c>
      <c r="C20" s="27" t="s">
        <v>4163</v>
      </c>
      <c r="D20" s="82"/>
      <c r="E20" s="82"/>
      <c r="F20" s="496"/>
      <c r="G20" s="495" t="s">
        <v>4165</v>
      </c>
      <c r="H20" s="82"/>
      <c r="I20" s="82"/>
      <c r="J20" s="82"/>
      <c r="K20" s="382" t="s">
        <v>4166</v>
      </c>
      <c r="L20" s="82"/>
      <c r="M20" s="85" t="str">
        <f ca="1">"31.12."&amp;PERIOD</f>
        <v>31.12.2026</v>
      </c>
      <c r="N20" s="82"/>
      <c r="O20" s="82"/>
      <c r="P20" s="82"/>
      <c r="Q20" s="84">
        <v>2030</v>
      </c>
      <c r="R20" s="82"/>
      <c r="S20" s="84">
        <v>21</v>
      </c>
      <c r="X20" s="100" t="s">
        <v>203</v>
      </c>
      <c r="AB20" s="89" t="s">
        <v>4167</v>
      </c>
      <c r="AC20" s="88"/>
      <c r="AD20" s="88"/>
      <c r="AE20" s="88"/>
      <c r="AF20" s="1" t="s">
        <v>4146</v>
      </c>
      <c r="AG20" s="1" t="s">
        <v>4168</v>
      </c>
    </row>
    <row r="21" spans="1:33" ht="12" customHeight="1" x14ac:dyDescent="0.15">
      <c r="A21" s="27" t="s">
        <v>4169</v>
      </c>
      <c r="B21" s="26" t="s">
        <v>4170</v>
      </c>
      <c r="C21" s="27" t="s">
        <v>4171</v>
      </c>
      <c r="D21" s="82"/>
      <c r="E21" s="82"/>
      <c r="F21" s="82"/>
      <c r="G21" s="82"/>
      <c r="H21" s="82"/>
      <c r="I21" s="82"/>
      <c r="J21" s="82"/>
      <c r="K21" s="382" t="s">
        <v>4172</v>
      </c>
      <c r="L21" s="82"/>
      <c r="M21" s="82"/>
      <c r="N21" s="82"/>
      <c r="O21" s="82"/>
      <c r="P21" s="82"/>
      <c r="Q21" s="82"/>
      <c r="R21" s="82"/>
      <c r="S21" s="84">
        <v>22</v>
      </c>
      <c r="X21" s="100" t="s">
        <v>4173</v>
      </c>
      <c r="AB21" s="89" t="s">
        <v>4174</v>
      </c>
      <c r="AC21" s="88"/>
      <c r="AD21" s="88"/>
      <c r="AE21" s="88"/>
      <c r="AF21" s="1" t="s">
        <v>4151</v>
      </c>
      <c r="AG21" s="1" t="s">
        <v>4175</v>
      </c>
    </row>
    <row r="22" spans="1:33" ht="12" customHeight="1" x14ac:dyDescent="0.15">
      <c r="A22" s="27" t="s">
        <v>4176</v>
      </c>
      <c r="B22" s="26" t="s">
        <v>4177</v>
      </c>
      <c r="C22" s="27" t="s">
        <v>4176</v>
      </c>
      <c r="D22" s="82"/>
      <c r="E22" s="82"/>
      <c r="F22" s="82"/>
      <c r="G22" s="82"/>
      <c r="H22" s="82"/>
      <c r="I22" s="82"/>
      <c r="J22" s="82"/>
      <c r="K22" s="382" t="s">
        <v>4178</v>
      </c>
      <c r="L22" s="82"/>
      <c r="M22" s="82"/>
      <c r="N22" s="82"/>
      <c r="O22" s="82"/>
      <c r="P22" s="82"/>
      <c r="Q22" s="82"/>
      <c r="R22" s="82"/>
      <c r="S22" s="84">
        <v>23</v>
      </c>
      <c r="X22" s="100" t="s">
        <v>4179</v>
      </c>
      <c r="AB22" s="89" t="s">
        <v>4180</v>
      </c>
      <c r="AC22" s="88"/>
      <c r="AD22" s="88"/>
      <c r="AE22" s="88"/>
      <c r="AF22" s="1" t="s">
        <v>4157</v>
      </c>
      <c r="AG22" s="1" t="s">
        <v>4181</v>
      </c>
    </row>
    <row r="23" spans="1:33" ht="12" customHeight="1" x14ac:dyDescent="0.15">
      <c r="A23" s="27" t="s">
        <v>4182</v>
      </c>
      <c r="B23" s="26" t="s">
        <v>4183</v>
      </c>
      <c r="C23" s="27" t="s">
        <v>4182</v>
      </c>
      <c r="D23" s="82"/>
      <c r="E23" s="82"/>
      <c r="F23" s="82"/>
      <c r="G23" s="82"/>
      <c r="H23" s="82"/>
      <c r="I23" s="82"/>
      <c r="J23" s="82"/>
      <c r="K23" s="382" t="s">
        <v>4184</v>
      </c>
      <c r="L23" s="82"/>
      <c r="M23" s="82"/>
      <c r="N23" s="82"/>
      <c r="O23" s="82"/>
      <c r="P23" s="82"/>
      <c r="Q23" s="82"/>
      <c r="R23" s="82"/>
      <c r="S23" s="84">
        <v>24</v>
      </c>
      <c r="X23" s="100" t="s">
        <v>4185</v>
      </c>
      <c r="AF23" s="1" t="s">
        <v>4162</v>
      </c>
      <c r="AG23" s="1" t="s">
        <v>4186</v>
      </c>
    </row>
    <row r="24" spans="1:33" ht="12" customHeight="1" x14ac:dyDescent="0.15">
      <c r="A24" s="27" t="s">
        <v>4187</v>
      </c>
      <c r="B24" s="26" t="s">
        <v>4188</v>
      </c>
      <c r="C24" s="27" t="s">
        <v>4187</v>
      </c>
      <c r="D24" s="82"/>
      <c r="E24" s="82"/>
      <c r="F24" s="82"/>
      <c r="G24" s="82"/>
      <c r="H24" s="82"/>
      <c r="I24" s="82"/>
      <c r="J24" s="82"/>
      <c r="K24" s="382" t="s">
        <v>4189</v>
      </c>
      <c r="L24" s="82"/>
      <c r="M24" s="82"/>
      <c r="N24" s="82"/>
      <c r="O24" s="82"/>
      <c r="P24" s="82"/>
      <c r="Q24" s="82"/>
      <c r="R24" s="82"/>
      <c r="S24" s="84">
        <v>25</v>
      </c>
      <c r="X24" s="100" t="s">
        <v>4190</v>
      </c>
      <c r="AF24" s="1" t="s">
        <v>4168</v>
      </c>
      <c r="AG24" s="1" t="s">
        <v>4191</v>
      </c>
    </row>
    <row r="25" spans="1:33" ht="12" customHeight="1" x14ac:dyDescent="0.15">
      <c r="A25" s="27" t="s">
        <v>4192</v>
      </c>
      <c r="B25" s="26" t="s">
        <v>4193</v>
      </c>
      <c r="C25" s="27" t="s">
        <v>4194</v>
      </c>
      <c r="D25" s="82"/>
      <c r="E25" s="82"/>
      <c r="F25" s="82"/>
      <c r="G25" s="82"/>
      <c r="H25" s="82"/>
      <c r="I25" s="82"/>
      <c r="J25" s="82"/>
      <c r="K25" s="82"/>
      <c r="L25" s="82"/>
      <c r="M25" s="82"/>
      <c r="N25" s="82"/>
      <c r="O25" s="82"/>
      <c r="P25" s="82"/>
      <c r="Q25" s="82"/>
      <c r="R25" s="82"/>
      <c r="S25" s="84">
        <v>26</v>
      </c>
      <c r="X25" s="100" t="s">
        <v>4195</v>
      </c>
      <c r="AF25" s="1" t="s">
        <v>4175</v>
      </c>
      <c r="AG25" s="1" t="s">
        <v>4196</v>
      </c>
    </row>
    <row r="26" spans="1:33" ht="12" customHeight="1" x14ac:dyDescent="0.15">
      <c r="A26" s="27" t="s">
        <v>101</v>
      </c>
      <c r="B26" s="26" t="s">
        <v>4197</v>
      </c>
      <c r="C26" s="27" t="s">
        <v>101</v>
      </c>
      <c r="D26" s="82"/>
      <c r="E26" s="82"/>
      <c r="F26" s="82"/>
      <c r="G26" s="82"/>
      <c r="H26" s="82"/>
      <c r="I26" s="82"/>
      <c r="J26" s="82"/>
      <c r="K26" s="381" t="s">
        <v>4198</v>
      </c>
      <c r="L26" s="82"/>
      <c r="M26" s="82"/>
      <c r="N26" s="82"/>
      <c r="O26" s="82"/>
      <c r="P26" s="82"/>
      <c r="Q26" s="82"/>
      <c r="R26" s="82"/>
      <c r="S26" s="84">
        <v>27</v>
      </c>
      <c r="X26" s="100" t="s">
        <v>4199</v>
      </c>
      <c r="AF26" s="1" t="s">
        <v>4181</v>
      </c>
      <c r="AG26" s="1" t="s">
        <v>4200</v>
      </c>
    </row>
    <row r="27" spans="1:33" ht="12" customHeight="1" x14ac:dyDescent="0.15">
      <c r="A27" s="27" t="s">
        <v>4201</v>
      </c>
      <c r="B27" s="26" t="s">
        <v>4202</v>
      </c>
      <c r="C27" s="27" t="s">
        <v>4201</v>
      </c>
      <c r="D27" s="82"/>
      <c r="E27" s="82"/>
      <c r="F27" s="82"/>
      <c r="G27" s="82"/>
      <c r="H27" s="82"/>
      <c r="I27" s="82"/>
      <c r="J27" s="82"/>
      <c r="K27" s="382" t="s">
        <v>4203</v>
      </c>
      <c r="L27" s="82"/>
      <c r="M27" s="82"/>
      <c r="N27" s="82"/>
      <c r="O27" s="82"/>
      <c r="P27" s="82"/>
      <c r="Q27" s="82"/>
      <c r="R27" s="82"/>
      <c r="S27" s="84">
        <v>28</v>
      </c>
      <c r="X27" s="100" t="s">
        <v>4204</v>
      </c>
      <c r="AF27" s="1" t="s">
        <v>4186</v>
      </c>
      <c r="AG27" s="1" t="s">
        <v>4205</v>
      </c>
    </row>
    <row r="28" spans="1:33" ht="12" customHeight="1" x14ac:dyDescent="0.15">
      <c r="A28" s="27" t="s">
        <v>4206</v>
      </c>
      <c r="B28" s="26" t="s">
        <v>4207</v>
      </c>
      <c r="C28" s="27" t="s">
        <v>4206</v>
      </c>
      <c r="D28" s="82"/>
      <c r="E28" s="82"/>
      <c r="F28" s="82"/>
      <c r="G28" s="82"/>
      <c r="H28" s="82"/>
      <c r="I28" s="82"/>
      <c r="J28" s="82"/>
      <c r="K28" s="382" t="s">
        <v>4208</v>
      </c>
      <c r="L28" s="82"/>
      <c r="M28" s="82"/>
      <c r="N28" s="82"/>
      <c r="O28" s="82"/>
      <c r="P28" s="82"/>
      <c r="Q28" s="82"/>
      <c r="R28" s="82"/>
      <c r="S28" s="84">
        <v>29</v>
      </c>
      <c r="X28" s="100" t="s">
        <v>4209</v>
      </c>
      <c r="AF28" s="1" t="s">
        <v>4191</v>
      </c>
      <c r="AG28" s="1" t="s">
        <v>4210</v>
      </c>
    </row>
    <row r="29" spans="1:33" ht="12" customHeight="1" x14ac:dyDescent="0.15">
      <c r="A29" s="27" t="s">
        <v>4211</v>
      </c>
      <c r="B29" s="26" t="s">
        <v>4212</v>
      </c>
      <c r="C29" s="27" t="s">
        <v>4211</v>
      </c>
      <c r="D29" s="82"/>
      <c r="E29" s="82"/>
      <c r="F29" s="82"/>
      <c r="G29" s="82"/>
      <c r="H29" s="82"/>
      <c r="I29" s="82"/>
      <c r="J29" s="82"/>
      <c r="K29" s="382" t="s">
        <v>4213</v>
      </c>
      <c r="L29" s="82"/>
      <c r="M29" s="82"/>
      <c r="N29" s="82"/>
      <c r="O29" s="82"/>
      <c r="P29" s="82"/>
      <c r="Q29" s="82"/>
      <c r="R29" s="82"/>
      <c r="S29" s="84">
        <v>30</v>
      </c>
      <c r="X29" s="100" t="s">
        <v>4214</v>
      </c>
      <c r="AF29" s="1" t="s">
        <v>4196</v>
      </c>
      <c r="AG29" s="1" t="s">
        <v>4215</v>
      </c>
    </row>
    <row r="30" spans="1:33" ht="12" customHeight="1" x14ac:dyDescent="0.15">
      <c r="A30" s="27" t="s">
        <v>4216</v>
      </c>
      <c r="B30" s="26" t="s">
        <v>4217</v>
      </c>
      <c r="C30" s="27" t="s">
        <v>4216</v>
      </c>
      <c r="D30" s="82"/>
      <c r="E30" s="82"/>
      <c r="F30" s="82"/>
      <c r="G30" s="82"/>
      <c r="H30" s="82"/>
      <c r="I30" s="82"/>
      <c r="J30" s="82"/>
      <c r="K30" s="82"/>
      <c r="L30" s="82"/>
      <c r="M30" s="82"/>
      <c r="N30" s="82"/>
      <c r="O30" s="82"/>
      <c r="P30" s="82"/>
      <c r="Q30" s="82"/>
      <c r="R30" s="82"/>
      <c r="S30" s="84">
        <v>31</v>
      </c>
      <c r="X30" s="100" t="s">
        <v>4218</v>
      </c>
      <c r="AF30" s="1" t="s">
        <v>4200</v>
      </c>
      <c r="AG30" s="1" t="s">
        <v>4219</v>
      </c>
    </row>
    <row r="31" spans="1:33" ht="12" customHeight="1" x14ac:dyDescent="0.15">
      <c r="A31" s="27" t="s">
        <v>4220</v>
      </c>
      <c r="B31" s="26" t="s">
        <v>4221</v>
      </c>
      <c r="C31" s="27" t="s">
        <v>4220</v>
      </c>
      <c r="D31" s="82"/>
      <c r="E31" s="82"/>
      <c r="F31" s="82"/>
      <c r="G31" s="82"/>
      <c r="H31" s="82"/>
      <c r="I31" s="82"/>
      <c r="J31" s="82"/>
      <c r="K31" s="82"/>
      <c r="L31" s="82"/>
      <c r="M31" s="82"/>
      <c r="N31" s="82"/>
      <c r="O31" s="82"/>
      <c r="P31" s="82"/>
      <c r="Q31" s="82"/>
      <c r="R31" s="82"/>
      <c r="S31" s="84">
        <v>32</v>
      </c>
      <c r="X31" s="100" t="s">
        <v>4222</v>
      </c>
      <c r="AF31" s="1" t="s">
        <v>4223</v>
      </c>
      <c r="AG31" s="1" t="s">
        <v>4224</v>
      </c>
    </row>
    <row r="32" spans="1:33" ht="12" customHeight="1" x14ac:dyDescent="0.15">
      <c r="A32" s="27" t="s">
        <v>4225</v>
      </c>
      <c r="B32" s="26" t="s">
        <v>4226</v>
      </c>
      <c r="C32" s="27" t="s">
        <v>4225</v>
      </c>
      <c r="D32" s="82"/>
      <c r="E32" s="82"/>
      <c r="F32" s="82"/>
      <c r="G32" s="82"/>
      <c r="H32" s="82"/>
      <c r="I32" s="82"/>
      <c r="J32" s="82"/>
      <c r="K32" s="82"/>
      <c r="L32" s="82"/>
      <c r="M32" s="82"/>
      <c r="N32" s="82"/>
      <c r="O32" s="82"/>
      <c r="P32" s="82"/>
      <c r="Q32" s="82"/>
      <c r="R32" s="82"/>
      <c r="S32" s="84">
        <v>33</v>
      </c>
      <c r="X32" s="100" t="s">
        <v>4227</v>
      </c>
      <c r="AF32" t="s">
        <v>4228</v>
      </c>
      <c r="AG32" t="s">
        <v>4229</v>
      </c>
    </row>
    <row r="33" spans="1:33" ht="12" customHeight="1" x14ac:dyDescent="0.15">
      <c r="A33" s="27" t="s">
        <v>4230</v>
      </c>
      <c r="B33" s="26" t="s">
        <v>4231</v>
      </c>
      <c r="C33" s="27" t="s">
        <v>4230</v>
      </c>
      <c r="D33" s="82"/>
      <c r="E33" s="82"/>
      <c r="F33" s="82"/>
      <c r="G33" s="82"/>
      <c r="H33" s="82"/>
      <c r="I33" s="82"/>
      <c r="J33" s="82"/>
      <c r="K33" s="82"/>
      <c r="L33" s="82"/>
      <c r="M33" s="82"/>
      <c r="N33" s="82"/>
      <c r="O33" s="82"/>
      <c r="P33" s="82"/>
      <c r="Q33" s="82"/>
      <c r="R33" s="82"/>
      <c r="S33" s="84">
        <v>34</v>
      </c>
      <c r="X33" s="100" t="s">
        <v>4232</v>
      </c>
      <c r="AF33" t="s">
        <v>4233</v>
      </c>
      <c r="AG33" t="s">
        <v>4234</v>
      </c>
    </row>
    <row r="34" spans="1:33" ht="12" customHeight="1" x14ac:dyDescent="0.15">
      <c r="A34" s="27" t="s">
        <v>4235</v>
      </c>
      <c r="B34" s="26" t="s">
        <v>4236</v>
      </c>
      <c r="C34" s="27" t="s">
        <v>4235</v>
      </c>
      <c r="D34" s="82"/>
      <c r="E34" s="82"/>
      <c r="F34" s="82"/>
      <c r="G34" s="82"/>
      <c r="H34" s="82"/>
      <c r="I34" s="82"/>
      <c r="J34" s="82"/>
      <c r="K34" s="82"/>
      <c r="L34" s="82"/>
      <c r="M34" s="82"/>
      <c r="N34" s="82"/>
      <c r="O34" s="82"/>
      <c r="P34" s="82"/>
      <c r="Q34" s="82"/>
      <c r="R34" s="82"/>
      <c r="S34" s="84">
        <v>35</v>
      </c>
      <c r="X34" s="100" t="s">
        <v>4237</v>
      </c>
      <c r="AF34" t="s">
        <v>4238</v>
      </c>
      <c r="AG34" t="s">
        <v>4239</v>
      </c>
    </row>
    <row r="35" spans="1:33" ht="12" customHeight="1" x14ac:dyDescent="0.15">
      <c r="A35" s="331" t="s">
        <v>4240</v>
      </c>
      <c r="B35" s="332"/>
      <c r="C35" s="331"/>
      <c r="D35" s="82"/>
      <c r="E35" s="82"/>
      <c r="F35" s="82"/>
      <c r="G35" s="82"/>
      <c r="H35" s="82"/>
      <c r="I35" s="82"/>
      <c r="J35" s="82"/>
      <c r="K35" s="82"/>
      <c r="L35" s="82"/>
      <c r="M35" s="82"/>
      <c r="N35" s="82"/>
      <c r="O35" s="82"/>
      <c r="P35" s="82"/>
      <c r="Q35" s="82"/>
      <c r="R35" s="82"/>
      <c r="S35" s="84">
        <v>36</v>
      </c>
      <c r="X35" s="100" t="s">
        <v>4241</v>
      </c>
      <c r="AF35" t="s">
        <v>4242</v>
      </c>
      <c r="AG35" t="s">
        <v>4243</v>
      </c>
    </row>
    <row r="36" spans="1:33" ht="12" customHeight="1" x14ac:dyDescent="0.15">
      <c r="A36" s="27" t="s">
        <v>4244</v>
      </c>
      <c r="B36" s="26" t="s">
        <v>4245</v>
      </c>
      <c r="C36" s="27" t="s">
        <v>4244</v>
      </c>
      <c r="D36" s="82"/>
      <c r="E36" s="82"/>
      <c r="F36" s="82"/>
      <c r="G36" s="82"/>
      <c r="H36" s="82"/>
      <c r="I36" s="82"/>
      <c r="J36" s="82"/>
      <c r="K36" s="82"/>
      <c r="L36" s="82"/>
      <c r="M36" s="82"/>
      <c r="N36" s="82"/>
      <c r="O36" s="82"/>
      <c r="P36" s="82"/>
      <c r="Q36" s="82"/>
      <c r="R36" s="82"/>
      <c r="S36" s="84">
        <v>37</v>
      </c>
      <c r="X36" s="100" t="s">
        <v>4246</v>
      </c>
      <c r="AF36" t="s">
        <v>4247</v>
      </c>
      <c r="AG36" t="s">
        <v>4248</v>
      </c>
    </row>
    <row r="37" spans="1:33" ht="12" customHeight="1" x14ac:dyDescent="0.15">
      <c r="A37" s="27" t="s">
        <v>4249</v>
      </c>
      <c r="B37" s="26" t="s">
        <v>4250</v>
      </c>
      <c r="C37" s="27" t="s">
        <v>4249</v>
      </c>
      <c r="D37" s="82"/>
      <c r="E37" s="82"/>
      <c r="F37" s="82"/>
      <c r="G37" s="82"/>
      <c r="H37" s="82"/>
      <c r="I37" s="82"/>
      <c r="J37" s="82"/>
      <c r="K37" s="82"/>
      <c r="L37" s="82"/>
      <c r="M37" s="82"/>
      <c r="N37" s="82"/>
      <c r="O37" s="82"/>
      <c r="P37" s="82"/>
      <c r="Q37" s="82"/>
      <c r="R37" s="82"/>
      <c r="S37" s="84">
        <v>38</v>
      </c>
      <c r="AF37" t="s">
        <v>4251</v>
      </c>
      <c r="AG37" t="s">
        <v>4252</v>
      </c>
    </row>
    <row r="38" spans="1:33" ht="12" customHeight="1" x14ac:dyDescent="0.15">
      <c r="A38" s="27" t="s">
        <v>4253</v>
      </c>
      <c r="B38" s="26" t="s">
        <v>4254</v>
      </c>
      <c r="C38" s="27" t="s">
        <v>4253</v>
      </c>
      <c r="D38" s="82"/>
      <c r="E38" s="82"/>
      <c r="F38" s="82"/>
      <c r="G38" s="82"/>
      <c r="H38" s="82"/>
      <c r="I38" s="82"/>
      <c r="J38" s="82"/>
      <c r="K38" s="83" t="s">
        <v>4255</v>
      </c>
      <c r="L38" s="82"/>
      <c r="M38" s="82"/>
      <c r="N38" s="82"/>
      <c r="O38" s="82"/>
      <c r="P38" s="82"/>
      <c r="Q38" s="82"/>
      <c r="R38" s="82"/>
      <c r="S38" s="84">
        <v>39</v>
      </c>
      <c r="AF38" t="s">
        <v>4256</v>
      </c>
      <c r="AG38" t="s">
        <v>4257</v>
      </c>
    </row>
    <row r="39" spans="1:33" ht="12" customHeight="1" x14ac:dyDescent="0.15">
      <c r="A39" s="27" t="s">
        <v>4258</v>
      </c>
      <c r="B39" s="26" t="s">
        <v>4259</v>
      </c>
      <c r="C39" s="27" t="s">
        <v>4258</v>
      </c>
      <c r="D39" s="82"/>
      <c r="E39" s="82"/>
      <c r="F39" s="82"/>
      <c r="G39" s="82"/>
      <c r="H39" s="82"/>
      <c r="I39" s="82"/>
      <c r="J39" s="82"/>
      <c r="K39" s="382" t="s">
        <v>103</v>
      </c>
      <c r="L39" s="82"/>
      <c r="M39" s="82"/>
      <c r="N39" s="82"/>
      <c r="O39" s="82"/>
      <c r="P39" s="82"/>
      <c r="Q39" s="82"/>
      <c r="R39" s="82"/>
      <c r="S39" s="84">
        <v>40</v>
      </c>
      <c r="AF39" t="s">
        <v>4260</v>
      </c>
      <c r="AG39" t="s">
        <v>4261</v>
      </c>
    </row>
    <row r="40" spans="1:33" ht="12" customHeight="1" x14ac:dyDescent="0.15">
      <c r="A40" s="27" t="s">
        <v>4262</v>
      </c>
      <c r="B40" s="26" t="s">
        <v>4263</v>
      </c>
      <c r="C40" s="27" t="s">
        <v>4262</v>
      </c>
      <c r="D40" s="82"/>
      <c r="E40" s="82"/>
      <c r="F40" s="82"/>
      <c r="G40" s="82"/>
      <c r="H40" s="82"/>
      <c r="I40" s="82"/>
      <c r="J40" s="82"/>
      <c r="K40" s="382" t="s">
        <v>4138</v>
      </c>
      <c r="L40" s="82"/>
      <c r="M40" s="82"/>
      <c r="N40" s="82"/>
      <c r="O40" s="82"/>
      <c r="P40" s="82"/>
      <c r="Q40" s="82"/>
      <c r="R40" s="82"/>
      <c r="S40" s="84">
        <v>41</v>
      </c>
      <c r="AF40" t="s">
        <v>4264</v>
      </c>
      <c r="AG40" t="s">
        <v>4265</v>
      </c>
    </row>
    <row r="41" spans="1:33" ht="12" customHeight="1" x14ac:dyDescent="0.15">
      <c r="A41" s="27" t="s">
        <v>4266</v>
      </c>
      <c r="B41" s="26" t="s">
        <v>4267</v>
      </c>
      <c r="C41" s="27" t="s">
        <v>4266</v>
      </c>
      <c r="D41" s="82"/>
      <c r="E41" s="82"/>
      <c r="F41" s="82"/>
      <c r="G41" s="82"/>
      <c r="H41" s="82"/>
      <c r="I41" s="82"/>
      <c r="J41" s="82"/>
      <c r="K41" s="382" t="s">
        <v>4143</v>
      </c>
      <c r="L41" s="82"/>
      <c r="M41" s="82"/>
      <c r="N41" s="82"/>
      <c r="O41" s="82"/>
      <c r="P41" s="82"/>
      <c r="Q41" s="82"/>
      <c r="R41" s="82"/>
      <c r="S41" s="84">
        <v>42</v>
      </c>
      <c r="AF41" t="s">
        <v>4268</v>
      </c>
      <c r="AG41" t="s">
        <v>4269</v>
      </c>
    </row>
    <row r="42" spans="1:33" ht="27.75" customHeight="1" x14ac:dyDescent="0.15">
      <c r="A42" s="27" t="s">
        <v>4270</v>
      </c>
      <c r="B42" s="26" t="s">
        <v>4271</v>
      </c>
      <c r="C42" s="27" t="s">
        <v>4270</v>
      </c>
      <c r="D42" s="82"/>
      <c r="E42" s="82"/>
      <c r="F42" s="82"/>
      <c r="G42" s="82"/>
      <c r="H42" s="82"/>
      <c r="I42" s="82"/>
      <c r="J42" s="82"/>
      <c r="K42" s="382" t="s">
        <v>4149</v>
      </c>
      <c r="L42" s="82"/>
      <c r="M42" s="82"/>
      <c r="N42" s="82"/>
      <c r="O42" s="82"/>
      <c r="P42" s="82"/>
      <c r="Q42" s="82"/>
      <c r="R42" s="82"/>
      <c r="S42" s="84">
        <v>43</v>
      </c>
      <c r="AF42" t="s">
        <v>4272</v>
      </c>
      <c r="AG42" t="s">
        <v>4273</v>
      </c>
    </row>
    <row r="43" spans="1:33" ht="12" customHeight="1" x14ac:dyDescent="0.15">
      <c r="A43" s="27" t="s">
        <v>4274</v>
      </c>
      <c r="B43" s="26" t="s">
        <v>4275</v>
      </c>
      <c r="C43" s="27" t="s">
        <v>4274</v>
      </c>
      <c r="D43" s="82"/>
      <c r="E43" s="82"/>
      <c r="F43" s="82"/>
      <c r="G43" s="82"/>
      <c r="H43" s="82"/>
      <c r="I43" s="82"/>
      <c r="J43" s="82"/>
      <c r="K43" s="82"/>
      <c r="L43" s="82"/>
      <c r="M43" s="82"/>
      <c r="N43" s="82"/>
      <c r="O43" s="82"/>
      <c r="P43" s="82"/>
      <c r="Q43" s="82"/>
      <c r="R43" s="82"/>
      <c r="S43" s="84">
        <v>44</v>
      </c>
      <c r="AF43" t="s">
        <v>4276</v>
      </c>
      <c r="AG43" t="s">
        <v>4277</v>
      </c>
    </row>
    <row r="44" spans="1:33" ht="12" customHeight="1" x14ac:dyDescent="0.15">
      <c r="A44" s="27" t="s">
        <v>4278</v>
      </c>
      <c r="B44" s="26" t="s">
        <v>4279</v>
      </c>
      <c r="C44" s="27" t="s">
        <v>4278</v>
      </c>
      <c r="D44" s="82"/>
      <c r="E44" s="82"/>
      <c r="F44" s="82"/>
      <c r="G44" s="82"/>
      <c r="H44" s="82"/>
      <c r="I44" s="82"/>
      <c r="J44" s="82"/>
      <c r="K44" s="82"/>
      <c r="L44" s="82"/>
      <c r="M44" s="82"/>
      <c r="N44" s="82"/>
      <c r="O44" s="82"/>
      <c r="P44" s="82"/>
      <c r="Q44" s="82"/>
      <c r="R44" s="82"/>
      <c r="S44" s="84">
        <v>45</v>
      </c>
      <c r="AF44" t="s">
        <v>4280</v>
      </c>
      <c r="AG44" t="s">
        <v>4281</v>
      </c>
    </row>
    <row r="45" spans="1:33" ht="12" customHeight="1" x14ac:dyDescent="0.15">
      <c r="A45" s="27" t="s">
        <v>4282</v>
      </c>
      <c r="B45" s="26" t="s">
        <v>4283</v>
      </c>
      <c r="C45" s="27" t="s">
        <v>4282</v>
      </c>
      <c r="D45" s="82"/>
      <c r="E45" s="82"/>
      <c r="F45" s="82"/>
      <c r="G45" s="82"/>
      <c r="H45" s="82"/>
      <c r="I45" s="82"/>
      <c r="J45" s="82"/>
      <c r="K45" s="83" t="s">
        <v>4284</v>
      </c>
      <c r="L45" s="82"/>
      <c r="M45" s="82"/>
      <c r="N45" s="82"/>
      <c r="O45" s="82"/>
      <c r="P45" s="82"/>
      <c r="Q45" s="82"/>
      <c r="R45" s="82"/>
      <c r="S45" s="84">
        <v>46</v>
      </c>
      <c r="AF45" t="s">
        <v>4285</v>
      </c>
      <c r="AG45" t="s">
        <v>4286</v>
      </c>
    </row>
    <row r="46" spans="1:33" ht="12" customHeight="1" x14ac:dyDescent="0.15">
      <c r="A46" s="27" t="s">
        <v>4287</v>
      </c>
      <c r="B46" s="26" t="s">
        <v>4288</v>
      </c>
      <c r="C46" s="27" t="s">
        <v>4287</v>
      </c>
      <c r="D46" s="82"/>
      <c r="E46" s="82"/>
      <c r="F46" s="82"/>
      <c r="G46" s="82"/>
      <c r="H46" s="82"/>
      <c r="I46" s="82"/>
      <c r="J46" s="82"/>
      <c r="K46" s="86" t="s">
        <v>203</v>
      </c>
      <c r="L46" s="82"/>
      <c r="M46" s="82"/>
      <c r="N46" s="82"/>
      <c r="O46" s="82"/>
      <c r="P46" s="82"/>
      <c r="Q46" s="82"/>
      <c r="R46" s="82"/>
      <c r="S46" s="84">
        <v>47</v>
      </c>
      <c r="AF46" t="s">
        <v>4289</v>
      </c>
      <c r="AG46" t="s">
        <v>4290</v>
      </c>
    </row>
    <row r="47" spans="1:33" ht="12" customHeight="1" x14ac:dyDescent="0.15">
      <c r="A47" s="27" t="s">
        <v>4291</v>
      </c>
      <c r="B47" s="26" t="s">
        <v>4292</v>
      </c>
      <c r="C47" s="27" t="s">
        <v>4291</v>
      </c>
      <c r="D47" s="82"/>
      <c r="E47" s="82"/>
      <c r="F47" s="82"/>
      <c r="G47" s="82"/>
      <c r="H47" s="82"/>
      <c r="I47" s="82"/>
      <c r="J47" s="82"/>
      <c r="K47" s="86" t="s">
        <v>4173</v>
      </c>
      <c r="L47" s="82"/>
      <c r="M47" s="82"/>
      <c r="N47" s="82"/>
      <c r="O47" s="82"/>
      <c r="P47" s="82"/>
      <c r="Q47" s="82"/>
      <c r="R47" s="82"/>
      <c r="S47" s="84">
        <v>48</v>
      </c>
      <c r="AF47" t="s">
        <v>4293</v>
      </c>
      <c r="AG47" t="s">
        <v>4294</v>
      </c>
    </row>
    <row r="48" spans="1:33" ht="12" customHeight="1" x14ac:dyDescent="0.15">
      <c r="A48" s="27" t="s">
        <v>4295</v>
      </c>
      <c r="B48" s="26" t="s">
        <v>4296</v>
      </c>
      <c r="C48" s="27" t="s">
        <v>4295</v>
      </c>
      <c r="D48" s="82"/>
      <c r="E48" s="82"/>
      <c r="F48" s="82"/>
      <c r="G48" s="82"/>
      <c r="H48" s="82"/>
      <c r="I48" s="82"/>
      <c r="J48" s="82"/>
      <c r="K48" s="86" t="s">
        <v>4179</v>
      </c>
      <c r="L48" s="82"/>
      <c r="M48" s="82"/>
      <c r="N48" s="82"/>
      <c r="O48" s="82"/>
      <c r="P48" s="82"/>
      <c r="Q48" s="82"/>
      <c r="R48" s="82"/>
      <c r="S48" s="84">
        <v>49</v>
      </c>
      <c r="AF48" t="s">
        <v>4297</v>
      </c>
      <c r="AG48" t="s">
        <v>4298</v>
      </c>
    </row>
    <row r="49" spans="1:33" ht="12" customHeight="1" x14ac:dyDescent="0.15">
      <c r="A49" s="27" t="s">
        <v>4299</v>
      </c>
      <c r="B49" s="26" t="s">
        <v>4300</v>
      </c>
      <c r="C49" s="27" t="s">
        <v>4299</v>
      </c>
      <c r="D49" s="82"/>
      <c r="E49" s="82"/>
      <c r="F49" s="82"/>
      <c r="G49" s="82"/>
      <c r="H49" s="82"/>
      <c r="I49" s="82"/>
      <c r="J49" s="82"/>
      <c r="K49" s="86" t="s">
        <v>4185</v>
      </c>
      <c r="L49" s="82"/>
      <c r="M49" s="82"/>
      <c r="N49" s="82"/>
      <c r="O49" s="82"/>
      <c r="P49" s="82"/>
      <c r="Q49" s="82"/>
      <c r="R49" s="82"/>
      <c r="S49" s="84">
        <v>50</v>
      </c>
      <c r="AF49" t="s">
        <v>4301</v>
      </c>
      <c r="AG49" t="s">
        <v>4302</v>
      </c>
    </row>
    <row r="50" spans="1:33" ht="12" customHeight="1" x14ac:dyDescent="0.15">
      <c r="A50" s="27" t="s">
        <v>4303</v>
      </c>
      <c r="B50" s="26" t="s">
        <v>4304</v>
      </c>
      <c r="C50" s="27" t="s">
        <v>4303</v>
      </c>
      <c r="D50" s="82"/>
      <c r="E50" s="82"/>
      <c r="F50" s="82"/>
      <c r="G50" s="82"/>
      <c r="H50" s="82"/>
      <c r="I50" s="82"/>
      <c r="J50" s="82"/>
      <c r="K50" s="86" t="s">
        <v>4305</v>
      </c>
      <c r="L50" s="82"/>
      <c r="M50" s="82"/>
      <c r="N50" s="82"/>
      <c r="O50" s="82"/>
      <c r="P50" s="82"/>
      <c r="Q50" s="82"/>
      <c r="R50" s="82"/>
      <c r="AF50" t="s">
        <v>4306</v>
      </c>
      <c r="AG50" t="s">
        <v>4307</v>
      </c>
    </row>
    <row r="51" spans="1:33" ht="12" customHeight="1" x14ac:dyDescent="0.15">
      <c r="A51" s="27" t="s">
        <v>4308</v>
      </c>
      <c r="B51" s="26" t="s">
        <v>4309</v>
      </c>
      <c r="C51" s="27" t="s">
        <v>4308</v>
      </c>
      <c r="D51" s="82"/>
      <c r="E51" s="82"/>
      <c r="F51" s="82"/>
      <c r="G51" s="82"/>
      <c r="H51" s="82"/>
      <c r="I51" s="82"/>
      <c r="J51" s="82"/>
      <c r="K51" s="86" t="s">
        <v>426</v>
      </c>
      <c r="L51" s="82"/>
      <c r="M51" s="82"/>
      <c r="N51" s="82"/>
      <c r="O51" s="82"/>
      <c r="P51" s="82"/>
      <c r="Q51" s="82"/>
      <c r="R51" s="82"/>
      <c r="AF51" t="s">
        <v>4310</v>
      </c>
      <c r="AG51" t="s">
        <v>4311</v>
      </c>
    </row>
    <row r="52" spans="1:33" ht="12" customHeight="1" x14ac:dyDescent="0.15">
      <c r="A52" s="27" t="s">
        <v>4312</v>
      </c>
      <c r="B52" s="26" t="s">
        <v>4313</v>
      </c>
      <c r="C52" s="27" t="s">
        <v>4312</v>
      </c>
      <c r="D52" s="82"/>
      <c r="E52" s="82"/>
      <c r="F52" s="82"/>
      <c r="G52" s="82"/>
      <c r="H52" s="82"/>
      <c r="I52" s="82"/>
      <c r="J52" s="82"/>
      <c r="K52" s="86" t="s">
        <v>4314</v>
      </c>
      <c r="L52" s="82"/>
      <c r="M52" s="82"/>
      <c r="N52" s="82"/>
      <c r="O52" s="82"/>
      <c r="P52" s="82"/>
      <c r="Q52" s="82"/>
      <c r="R52" s="82"/>
      <c r="AF52" t="s">
        <v>4315</v>
      </c>
      <c r="AG52" t="s">
        <v>4316</v>
      </c>
    </row>
    <row r="53" spans="1:33" ht="12" customHeight="1" x14ac:dyDescent="0.15">
      <c r="A53" s="27" t="s">
        <v>4317</v>
      </c>
      <c r="B53" s="26" t="s">
        <v>4318</v>
      </c>
      <c r="C53" s="27" t="s">
        <v>4317</v>
      </c>
      <c r="D53" s="82"/>
      <c r="E53" s="82"/>
      <c r="F53" s="82"/>
      <c r="G53" s="82"/>
      <c r="H53" s="82"/>
      <c r="I53" s="82"/>
      <c r="J53" s="82"/>
      <c r="K53" s="82"/>
      <c r="L53" s="82"/>
      <c r="M53" s="82"/>
      <c r="N53" s="82"/>
      <c r="O53" s="82"/>
      <c r="P53" s="82"/>
      <c r="Q53" s="82"/>
      <c r="R53" s="82"/>
      <c r="AF53" t="s">
        <v>4319</v>
      </c>
      <c r="AG53" t="s">
        <v>4320</v>
      </c>
    </row>
    <row r="54" spans="1:33" ht="12" customHeight="1" x14ac:dyDescent="0.15">
      <c r="A54" s="27" t="s">
        <v>4321</v>
      </c>
      <c r="B54" s="26" t="s">
        <v>4322</v>
      </c>
      <c r="C54" s="27" t="s">
        <v>4321</v>
      </c>
      <c r="D54" s="82"/>
      <c r="E54" s="82"/>
      <c r="F54" s="82"/>
      <c r="G54" s="82"/>
      <c r="H54" s="82"/>
      <c r="I54" s="82"/>
      <c r="J54" s="82"/>
      <c r="K54" s="82"/>
      <c r="L54" s="82"/>
      <c r="M54" s="82"/>
      <c r="N54" s="82"/>
      <c r="O54" s="82"/>
      <c r="P54" s="82"/>
      <c r="Q54" s="82"/>
      <c r="R54" s="82"/>
      <c r="AF54" t="s">
        <v>4323</v>
      </c>
      <c r="AG54" t="s">
        <v>4324</v>
      </c>
    </row>
    <row r="55" spans="1:33" ht="10.5" customHeight="1" x14ac:dyDescent="0.15">
      <c r="A55" s="27" t="s">
        <v>4325</v>
      </c>
      <c r="B55" s="26" t="s">
        <v>4326</v>
      </c>
      <c r="C55" s="27" t="s">
        <v>4325</v>
      </c>
      <c r="D55" s="82"/>
      <c r="E55" s="82"/>
      <c r="F55" s="82"/>
      <c r="G55" s="82"/>
      <c r="H55" s="82"/>
      <c r="I55" s="82"/>
      <c r="J55" s="82"/>
      <c r="K55" s="82"/>
      <c r="L55" s="82"/>
      <c r="M55" s="82"/>
      <c r="N55" s="82"/>
      <c r="O55" s="82"/>
      <c r="P55" s="82"/>
      <c r="Q55" s="82"/>
      <c r="R55" s="82"/>
      <c r="AF55" t="s">
        <v>4327</v>
      </c>
      <c r="AG55" t="s">
        <v>4328</v>
      </c>
    </row>
    <row r="56" spans="1:33" ht="12" customHeight="1" x14ac:dyDescent="0.15">
      <c r="A56" s="27" t="s">
        <v>4329</v>
      </c>
      <c r="B56" s="26" t="s">
        <v>4330</v>
      </c>
      <c r="C56" s="27" t="s">
        <v>4329</v>
      </c>
      <c r="D56" s="82"/>
      <c r="E56" s="82"/>
      <c r="F56" s="82"/>
      <c r="G56" s="82"/>
      <c r="H56" s="82"/>
      <c r="I56" s="82"/>
      <c r="J56" s="82"/>
      <c r="K56" s="82"/>
      <c r="L56" s="82"/>
      <c r="M56" s="82"/>
      <c r="N56" s="82"/>
      <c r="O56" s="82"/>
      <c r="P56" s="82"/>
      <c r="Q56" s="82"/>
      <c r="R56" s="82"/>
      <c r="AG56" t="s">
        <v>4331</v>
      </c>
    </row>
    <row r="57" spans="1:33" ht="12" customHeight="1" x14ac:dyDescent="0.15">
      <c r="A57" s="27" t="s">
        <v>4332</v>
      </c>
      <c r="B57" s="26" t="s">
        <v>4333</v>
      </c>
      <c r="C57" s="27" t="s">
        <v>4332</v>
      </c>
      <c r="D57" s="82"/>
      <c r="E57" s="82"/>
      <c r="F57" s="82"/>
      <c r="G57" s="82"/>
      <c r="H57" s="82"/>
      <c r="I57" s="82"/>
      <c r="J57" s="82"/>
      <c r="K57" s="82"/>
      <c r="L57" s="82"/>
      <c r="M57" s="82"/>
      <c r="N57" s="82"/>
      <c r="O57" s="82"/>
      <c r="P57" s="82"/>
      <c r="Q57" s="82"/>
      <c r="R57" s="82"/>
      <c r="AG57" t="s">
        <v>4334</v>
      </c>
    </row>
    <row r="58" spans="1:33" ht="12" customHeight="1" x14ac:dyDescent="0.15">
      <c r="A58" s="27" t="s">
        <v>4335</v>
      </c>
      <c r="B58" s="26" t="s">
        <v>4336</v>
      </c>
      <c r="C58" s="27" t="s">
        <v>4335</v>
      </c>
      <c r="D58" s="82"/>
      <c r="E58" s="82"/>
      <c r="F58" s="82"/>
      <c r="G58" s="82"/>
      <c r="H58" s="82"/>
      <c r="I58" s="82"/>
      <c r="J58" s="82"/>
      <c r="K58" s="82"/>
      <c r="L58" s="82"/>
      <c r="M58" s="82"/>
      <c r="N58" s="82"/>
      <c r="O58" s="82"/>
      <c r="P58" s="82"/>
      <c r="Q58" s="82"/>
      <c r="R58" s="82"/>
      <c r="AG58" t="s">
        <v>4337</v>
      </c>
    </row>
    <row r="59" spans="1:33" ht="12" customHeight="1" x14ac:dyDescent="0.15">
      <c r="A59" s="27" t="s">
        <v>4338</v>
      </c>
      <c r="B59" s="26" t="s">
        <v>4339</v>
      </c>
      <c r="C59" s="27" t="s">
        <v>4340</v>
      </c>
      <c r="D59" s="82"/>
      <c r="E59" s="82"/>
      <c r="F59" s="82"/>
      <c r="G59" s="82"/>
      <c r="H59" s="82"/>
      <c r="I59" s="82"/>
      <c r="J59" s="82"/>
      <c r="K59" s="82"/>
      <c r="L59" s="82"/>
      <c r="M59" s="82"/>
      <c r="N59" s="82"/>
      <c r="O59" s="82"/>
      <c r="P59" s="82"/>
      <c r="Q59" s="82"/>
      <c r="R59" s="82"/>
      <c r="AG59" t="s">
        <v>4341</v>
      </c>
    </row>
    <row r="60" spans="1:33" ht="12" customHeight="1" x14ac:dyDescent="0.15">
      <c r="A60" s="27" t="s">
        <v>4342</v>
      </c>
      <c r="B60" s="26" t="s">
        <v>4343</v>
      </c>
      <c r="C60" s="27" t="s">
        <v>4342</v>
      </c>
      <c r="D60" s="82"/>
      <c r="E60" s="82"/>
      <c r="F60" s="82"/>
      <c r="G60" s="82"/>
      <c r="H60" s="82"/>
      <c r="I60" s="82"/>
      <c r="J60" s="82"/>
      <c r="K60" s="82"/>
      <c r="L60" s="82"/>
      <c r="M60" s="82"/>
      <c r="N60" s="82"/>
      <c r="O60" s="82"/>
      <c r="P60" s="82"/>
      <c r="Q60" s="82"/>
      <c r="R60" s="82"/>
      <c r="AG60" t="s">
        <v>4344</v>
      </c>
    </row>
    <row r="61" spans="1:33" ht="12" customHeight="1" x14ac:dyDescent="0.15">
      <c r="A61" s="27" t="s">
        <v>4345</v>
      </c>
      <c r="B61" s="26" t="s">
        <v>4346</v>
      </c>
      <c r="C61" s="27" t="s">
        <v>4345</v>
      </c>
      <c r="D61" s="82"/>
      <c r="E61" s="82"/>
      <c r="F61" s="82"/>
      <c r="G61" s="82"/>
      <c r="H61" s="82"/>
      <c r="I61" s="82"/>
      <c r="J61" s="82"/>
      <c r="K61" s="82"/>
      <c r="L61" s="82"/>
      <c r="M61" s="82"/>
      <c r="N61" s="82"/>
      <c r="O61" s="82"/>
      <c r="P61" s="82"/>
      <c r="Q61" s="82"/>
      <c r="R61" s="82"/>
      <c r="AG61" t="s">
        <v>4347</v>
      </c>
    </row>
    <row r="62" spans="1:33" ht="12" customHeight="1" x14ac:dyDescent="0.15">
      <c r="A62" s="27" t="s">
        <v>4348</v>
      </c>
      <c r="B62" s="26" t="s">
        <v>4349</v>
      </c>
      <c r="C62" s="27" t="s">
        <v>4348</v>
      </c>
      <c r="D62" s="82"/>
      <c r="E62" s="82"/>
      <c r="F62" s="82"/>
      <c r="G62" s="82"/>
      <c r="H62" s="82"/>
      <c r="I62" s="82"/>
      <c r="J62" s="82"/>
      <c r="K62" s="82"/>
      <c r="L62" s="82"/>
      <c r="M62" s="82"/>
      <c r="N62" s="82"/>
      <c r="O62" s="82"/>
      <c r="P62" s="82"/>
      <c r="Q62" s="82"/>
      <c r="R62" s="82"/>
      <c r="AG62" t="s">
        <v>4350</v>
      </c>
    </row>
    <row r="63" spans="1:33" ht="12" customHeight="1" x14ac:dyDescent="0.15">
      <c r="A63" s="27" t="s">
        <v>4351</v>
      </c>
      <c r="B63" s="26" t="s">
        <v>4352</v>
      </c>
      <c r="C63" s="27" t="s">
        <v>4353</v>
      </c>
      <c r="D63" s="82"/>
      <c r="E63" s="82"/>
      <c r="F63" s="82"/>
      <c r="G63" s="82"/>
      <c r="H63" s="82"/>
      <c r="I63" s="82"/>
      <c r="J63" s="82"/>
      <c r="K63" s="82"/>
      <c r="L63" s="82"/>
      <c r="M63" s="82"/>
      <c r="N63" s="82"/>
      <c r="O63" s="82"/>
      <c r="P63" s="82"/>
      <c r="Q63" s="82"/>
      <c r="R63" s="82"/>
      <c r="AG63" t="s">
        <v>4354</v>
      </c>
    </row>
    <row r="64" spans="1:33" ht="12" customHeight="1" x14ac:dyDescent="0.15">
      <c r="A64" s="27" t="s">
        <v>4355</v>
      </c>
      <c r="B64" s="26" t="s">
        <v>4356</v>
      </c>
      <c r="C64" s="27" t="s">
        <v>4355</v>
      </c>
      <c r="D64" s="82"/>
      <c r="E64" s="82"/>
      <c r="F64" s="82"/>
      <c r="G64" s="82"/>
      <c r="H64" s="82"/>
      <c r="I64" s="82"/>
      <c r="J64" s="82"/>
      <c r="K64" s="82"/>
      <c r="L64" s="82"/>
      <c r="M64" s="82"/>
      <c r="N64" s="82"/>
      <c r="O64" s="82"/>
      <c r="P64" s="82"/>
      <c r="Q64" s="82"/>
      <c r="R64" s="82"/>
      <c r="AG64" t="s">
        <v>4357</v>
      </c>
    </row>
    <row r="65" spans="1:33" ht="12" customHeight="1" x14ac:dyDescent="0.15">
      <c r="A65" s="27" t="s">
        <v>4358</v>
      </c>
      <c r="B65" s="26" t="s">
        <v>4359</v>
      </c>
      <c r="C65" s="27" t="s">
        <v>4360</v>
      </c>
      <c r="D65" s="82"/>
      <c r="E65" s="82"/>
      <c r="F65" s="82"/>
      <c r="G65" s="82"/>
      <c r="H65" s="82"/>
      <c r="I65" s="82"/>
      <c r="J65" s="82"/>
      <c r="K65" s="82"/>
      <c r="L65" s="82"/>
      <c r="M65" s="82"/>
      <c r="N65" s="82"/>
      <c r="O65" s="82"/>
      <c r="P65" s="82"/>
      <c r="Q65" s="82"/>
      <c r="R65" s="82"/>
      <c r="AG65" t="s">
        <v>4361</v>
      </c>
    </row>
    <row r="66" spans="1:33" ht="12" customHeight="1" x14ac:dyDescent="0.15">
      <c r="A66" s="27" t="s">
        <v>4362</v>
      </c>
      <c r="B66" s="26" t="s">
        <v>4363</v>
      </c>
      <c r="C66" s="27" t="s">
        <v>4362</v>
      </c>
      <c r="D66" s="82"/>
      <c r="E66" s="82"/>
      <c r="F66" s="82"/>
      <c r="G66" s="82"/>
      <c r="H66" s="82"/>
      <c r="I66" s="82"/>
      <c r="J66" s="82"/>
      <c r="K66" s="82"/>
      <c r="L66" s="82"/>
      <c r="M66" s="82"/>
      <c r="N66" s="82"/>
      <c r="O66" s="82"/>
      <c r="P66" s="82"/>
      <c r="Q66" s="82"/>
      <c r="R66" s="82"/>
      <c r="AG66" t="s">
        <v>4364</v>
      </c>
    </row>
    <row r="67" spans="1:33" ht="12" customHeight="1" x14ac:dyDescent="0.15">
      <c r="A67" s="27" t="s">
        <v>4365</v>
      </c>
      <c r="B67" s="26" t="s">
        <v>4366</v>
      </c>
      <c r="C67" s="27" t="s">
        <v>4365</v>
      </c>
      <c r="D67" s="82"/>
      <c r="E67" s="82"/>
      <c r="F67" s="82"/>
      <c r="G67" s="82"/>
      <c r="H67" s="82"/>
      <c r="I67" s="82"/>
      <c r="J67" s="82"/>
      <c r="K67" s="82"/>
      <c r="L67" s="82"/>
      <c r="M67" s="82"/>
      <c r="N67" s="82"/>
      <c r="O67" s="82"/>
      <c r="P67" s="82"/>
      <c r="Q67" s="82"/>
      <c r="R67" s="82"/>
      <c r="AG67" t="s">
        <v>4367</v>
      </c>
    </row>
    <row r="68" spans="1:33" ht="12" customHeight="1" x14ac:dyDescent="0.15">
      <c r="A68" s="27" t="s">
        <v>4368</v>
      </c>
      <c r="B68" s="26" t="s">
        <v>4369</v>
      </c>
      <c r="C68" s="27" t="s">
        <v>4368</v>
      </c>
      <c r="D68" s="82"/>
      <c r="E68" s="82"/>
      <c r="F68" s="82"/>
      <c r="G68" s="82"/>
      <c r="H68" s="82"/>
      <c r="I68" s="82"/>
      <c r="J68" s="82"/>
      <c r="K68" s="82"/>
      <c r="L68" s="82"/>
      <c r="M68" s="82"/>
      <c r="N68" s="82"/>
      <c r="O68" s="82"/>
      <c r="P68" s="82"/>
      <c r="Q68" s="82"/>
      <c r="R68" s="82"/>
      <c r="AG68" t="s">
        <v>4370</v>
      </c>
    </row>
    <row r="69" spans="1:33" ht="12" customHeight="1" x14ac:dyDescent="0.15">
      <c r="A69" s="27" t="s">
        <v>4371</v>
      </c>
      <c r="B69" s="26" t="s">
        <v>4372</v>
      </c>
      <c r="C69" s="27" t="s">
        <v>4371</v>
      </c>
      <c r="D69" s="82"/>
      <c r="E69" s="82"/>
      <c r="F69" s="82"/>
      <c r="G69" s="82"/>
      <c r="H69" s="82"/>
      <c r="I69" s="82"/>
      <c r="J69" s="82"/>
      <c r="K69" s="82"/>
      <c r="L69" s="82"/>
      <c r="M69" s="82"/>
      <c r="N69" s="82"/>
      <c r="O69" s="82"/>
      <c r="P69" s="82"/>
      <c r="Q69" s="82"/>
      <c r="R69" s="82"/>
      <c r="AG69" t="s">
        <v>4373</v>
      </c>
    </row>
    <row r="70" spans="1:33" ht="12" customHeight="1" x14ac:dyDescent="0.15">
      <c r="A70" s="27" t="s">
        <v>4374</v>
      </c>
      <c r="B70" s="26" t="s">
        <v>4375</v>
      </c>
      <c r="C70" s="27" t="s">
        <v>4374</v>
      </c>
      <c r="D70" s="82"/>
      <c r="E70" s="82"/>
      <c r="F70" s="82"/>
      <c r="G70" s="82"/>
      <c r="H70" s="82"/>
      <c r="I70" s="82"/>
      <c r="J70" s="82"/>
      <c r="K70" s="82"/>
      <c r="L70" s="82"/>
      <c r="M70" s="82"/>
      <c r="N70" s="82"/>
      <c r="O70" s="82"/>
      <c r="P70" s="82"/>
      <c r="Q70" s="82"/>
      <c r="R70" s="82"/>
      <c r="AG70" t="s">
        <v>4376</v>
      </c>
    </row>
    <row r="71" spans="1:33" ht="12" customHeight="1" x14ac:dyDescent="0.15">
      <c r="A71" s="27" t="s">
        <v>4377</v>
      </c>
      <c r="B71" s="26" t="s">
        <v>4378</v>
      </c>
      <c r="C71" s="27" t="s">
        <v>4377</v>
      </c>
      <c r="D71" s="82"/>
      <c r="E71" s="82"/>
      <c r="F71" s="82"/>
      <c r="G71" s="82"/>
      <c r="H71" s="82"/>
      <c r="I71" s="82"/>
      <c r="J71" s="82"/>
      <c r="K71" s="82"/>
      <c r="L71" s="82"/>
      <c r="M71" s="82"/>
      <c r="N71" s="82"/>
      <c r="O71" s="82"/>
      <c r="P71" s="82"/>
      <c r="Q71" s="82"/>
      <c r="R71" s="82"/>
      <c r="AG71" t="s">
        <v>4379</v>
      </c>
    </row>
    <row r="72" spans="1:33" ht="12" customHeight="1" x14ac:dyDescent="0.15">
      <c r="A72" s="27" t="s">
        <v>4380</v>
      </c>
      <c r="B72" s="26" t="s">
        <v>4381</v>
      </c>
      <c r="C72" s="27" t="s">
        <v>4380</v>
      </c>
      <c r="D72" s="82"/>
      <c r="E72" s="82"/>
      <c r="F72" s="82"/>
      <c r="G72" s="82"/>
      <c r="H72" s="82"/>
      <c r="I72" s="82"/>
      <c r="J72" s="82"/>
      <c r="K72" s="82"/>
      <c r="L72" s="82"/>
      <c r="M72" s="82"/>
      <c r="N72" s="82"/>
      <c r="O72" s="82"/>
      <c r="P72" s="82"/>
      <c r="Q72" s="82"/>
      <c r="R72" s="82"/>
      <c r="AG72" t="s">
        <v>4382</v>
      </c>
    </row>
    <row r="73" spans="1:33" ht="12" customHeight="1" x14ac:dyDescent="0.15">
      <c r="A73" s="27" t="s">
        <v>4383</v>
      </c>
      <c r="B73" s="26" t="s">
        <v>4384</v>
      </c>
      <c r="C73" s="27" t="s">
        <v>4383</v>
      </c>
      <c r="D73" s="82"/>
      <c r="E73" s="82"/>
      <c r="F73" s="82"/>
      <c r="G73" s="82"/>
      <c r="H73" s="82"/>
      <c r="I73" s="82"/>
      <c r="J73" s="82"/>
      <c r="K73" s="82"/>
      <c r="L73" s="82"/>
      <c r="M73" s="82"/>
      <c r="N73" s="82"/>
      <c r="O73" s="82"/>
      <c r="P73" s="82"/>
      <c r="Q73" s="82"/>
      <c r="R73" s="82"/>
      <c r="AG73" t="s">
        <v>4385</v>
      </c>
    </row>
    <row r="74" spans="1:33" ht="12" customHeight="1" x14ac:dyDescent="0.15">
      <c r="A74" s="27" t="s">
        <v>4386</v>
      </c>
      <c r="B74" s="26" t="s">
        <v>4387</v>
      </c>
      <c r="C74" s="27" t="s">
        <v>4386</v>
      </c>
      <c r="D74" s="82"/>
      <c r="E74" s="82"/>
      <c r="F74" s="82"/>
      <c r="G74" s="82"/>
      <c r="H74" s="82"/>
      <c r="I74" s="82"/>
      <c r="J74" s="82"/>
      <c r="K74" s="82"/>
      <c r="L74" s="82"/>
      <c r="M74" s="82"/>
      <c r="N74" s="82"/>
      <c r="O74" s="82"/>
      <c r="P74" s="82"/>
      <c r="Q74" s="82"/>
      <c r="R74" s="82"/>
      <c r="AG74" t="s">
        <v>4388</v>
      </c>
    </row>
    <row r="75" spans="1:33" ht="12" customHeight="1" x14ac:dyDescent="0.15">
      <c r="A75" s="27" t="s">
        <v>4389</v>
      </c>
      <c r="B75" s="26" t="s">
        <v>4390</v>
      </c>
      <c r="C75" s="27" t="s">
        <v>4389</v>
      </c>
      <c r="D75" s="82"/>
      <c r="E75" s="82"/>
      <c r="F75" s="82"/>
      <c r="G75" s="82"/>
      <c r="H75" s="82"/>
      <c r="I75" s="82"/>
      <c r="J75" s="82"/>
      <c r="K75" s="82"/>
      <c r="L75" s="82"/>
      <c r="M75" s="82"/>
      <c r="N75" s="82"/>
      <c r="O75" s="82"/>
      <c r="P75" s="82"/>
      <c r="Q75" s="82"/>
      <c r="R75" s="82"/>
      <c r="AG75" t="s">
        <v>4391</v>
      </c>
    </row>
    <row r="76" spans="1:33" ht="12" customHeight="1" x14ac:dyDescent="0.15">
      <c r="A76" s="27" t="s">
        <v>4392</v>
      </c>
      <c r="B76" s="26" t="s">
        <v>4393</v>
      </c>
      <c r="C76" s="27" t="s">
        <v>4392</v>
      </c>
      <c r="D76" s="82"/>
      <c r="E76" s="82"/>
      <c r="F76" s="82"/>
      <c r="G76" s="82"/>
      <c r="H76" s="82"/>
      <c r="I76" s="82"/>
      <c r="J76" s="82"/>
      <c r="K76" s="82"/>
      <c r="L76" s="82"/>
      <c r="M76" s="82"/>
      <c r="N76" s="82"/>
      <c r="O76" s="82"/>
      <c r="P76" s="82"/>
      <c r="Q76" s="82"/>
      <c r="R76" s="82"/>
      <c r="AG76" t="s">
        <v>4394</v>
      </c>
    </row>
    <row r="77" spans="1:33" ht="12" customHeight="1" x14ac:dyDescent="0.15">
      <c r="A77" s="27" t="s">
        <v>4395</v>
      </c>
      <c r="B77" s="26" t="s">
        <v>4396</v>
      </c>
      <c r="C77" s="27" t="s">
        <v>4395</v>
      </c>
      <c r="D77" s="82"/>
      <c r="E77" s="82"/>
      <c r="F77" s="82"/>
      <c r="G77" s="82"/>
      <c r="H77" s="82"/>
      <c r="I77" s="82"/>
      <c r="J77" s="82"/>
      <c r="K77" s="82"/>
      <c r="L77" s="82"/>
      <c r="M77" s="82"/>
      <c r="N77" s="82"/>
      <c r="O77" s="82"/>
      <c r="P77" s="82"/>
      <c r="Q77" s="82"/>
      <c r="R77" s="82"/>
      <c r="AG77" t="s">
        <v>4397</v>
      </c>
    </row>
    <row r="78" spans="1:33" ht="12" customHeight="1" x14ac:dyDescent="0.15">
      <c r="A78" s="27" t="s">
        <v>4398</v>
      </c>
      <c r="B78" s="26" t="s">
        <v>4399</v>
      </c>
      <c r="C78" s="27" t="s">
        <v>4398</v>
      </c>
      <c r="D78" s="82"/>
      <c r="E78" s="82"/>
      <c r="F78" s="82"/>
      <c r="G78" s="82"/>
      <c r="H78" s="82"/>
      <c r="I78" s="82"/>
      <c r="J78" s="82"/>
      <c r="K78" s="82"/>
      <c r="L78" s="82"/>
      <c r="M78" s="82"/>
      <c r="N78" s="82"/>
      <c r="O78" s="82"/>
      <c r="P78" s="82"/>
      <c r="Q78" s="82"/>
      <c r="R78" s="82"/>
      <c r="AG78" t="s">
        <v>4272</v>
      </c>
    </row>
    <row r="79" spans="1:33" ht="12" customHeight="1" x14ac:dyDescent="0.15">
      <c r="A79" s="27" t="s">
        <v>4400</v>
      </c>
      <c r="B79" s="26" t="s">
        <v>4401</v>
      </c>
      <c r="C79" s="27" t="s">
        <v>4400</v>
      </c>
      <c r="D79" s="82"/>
      <c r="E79" s="82"/>
      <c r="F79" s="82"/>
      <c r="G79" s="82"/>
      <c r="H79" s="82"/>
      <c r="I79" s="82"/>
      <c r="J79" s="82"/>
      <c r="K79" s="82"/>
      <c r="L79" s="82"/>
      <c r="M79" s="82"/>
      <c r="N79" s="82"/>
      <c r="O79" s="82"/>
      <c r="P79" s="82"/>
      <c r="Q79" s="82"/>
      <c r="R79" s="82"/>
      <c r="AG79" t="s">
        <v>4276</v>
      </c>
    </row>
    <row r="80" spans="1:33" ht="12" customHeight="1" x14ac:dyDescent="0.15">
      <c r="A80" s="27" t="s">
        <v>4402</v>
      </c>
      <c r="B80" s="26" t="s">
        <v>4403</v>
      </c>
      <c r="C80" s="27" t="s">
        <v>4404</v>
      </c>
      <c r="D80" s="82"/>
      <c r="E80" s="82"/>
      <c r="F80" s="82"/>
      <c r="G80" s="82"/>
      <c r="H80" s="82"/>
      <c r="I80" s="82"/>
      <c r="J80" s="82"/>
      <c r="K80" s="82"/>
      <c r="L80" s="82"/>
      <c r="M80" s="82"/>
      <c r="N80" s="82"/>
      <c r="O80" s="82"/>
      <c r="P80" s="82"/>
      <c r="Q80" s="82"/>
      <c r="R80" s="82"/>
      <c r="AG80" t="s">
        <v>4280</v>
      </c>
    </row>
    <row r="81" spans="1:33" ht="12" customHeight="1" x14ac:dyDescent="0.15">
      <c r="A81" s="27" t="s">
        <v>4405</v>
      </c>
      <c r="B81" s="26" t="s">
        <v>4406</v>
      </c>
      <c r="C81" s="27" t="s">
        <v>4405</v>
      </c>
      <c r="D81" s="82"/>
      <c r="E81" s="82"/>
      <c r="F81" s="82"/>
      <c r="G81" s="82"/>
      <c r="H81" s="82"/>
      <c r="I81" s="82"/>
      <c r="J81" s="82"/>
      <c r="K81" s="82"/>
      <c r="L81" s="82"/>
      <c r="M81" s="82"/>
      <c r="N81" s="82"/>
      <c r="O81" s="82"/>
      <c r="P81" s="82"/>
      <c r="Q81" s="82"/>
      <c r="R81" s="82"/>
      <c r="AG81" t="s">
        <v>4407</v>
      </c>
    </row>
    <row r="82" spans="1:33" ht="12" customHeight="1" x14ac:dyDescent="0.15">
      <c r="A82" s="27" t="s">
        <v>4408</v>
      </c>
      <c r="B82" s="26" t="s">
        <v>4409</v>
      </c>
      <c r="C82" s="27" t="s">
        <v>4408</v>
      </c>
      <c r="D82" s="82"/>
      <c r="E82" s="82"/>
      <c r="F82" s="82"/>
      <c r="G82" s="82"/>
      <c r="H82" s="82"/>
      <c r="I82" s="82"/>
      <c r="J82" s="82"/>
      <c r="K82" s="82"/>
      <c r="L82" s="82"/>
      <c r="M82" s="82"/>
      <c r="N82" s="82"/>
      <c r="O82" s="82"/>
      <c r="P82" s="82"/>
      <c r="Q82" s="82"/>
      <c r="R82" s="82"/>
      <c r="AG82" t="s">
        <v>4410</v>
      </c>
    </row>
    <row r="83" spans="1:33" ht="12" customHeight="1" x14ac:dyDescent="0.15">
      <c r="A83" s="27" t="s">
        <v>4411</v>
      </c>
      <c r="B83" s="26" t="s">
        <v>4412</v>
      </c>
      <c r="C83" s="27" t="s">
        <v>4411</v>
      </c>
      <c r="D83" s="82"/>
      <c r="E83" s="82"/>
      <c r="F83" s="82"/>
      <c r="G83" s="82"/>
      <c r="H83" s="82"/>
      <c r="I83" s="82"/>
      <c r="J83" s="82"/>
      <c r="K83" s="82"/>
      <c r="L83" s="82"/>
      <c r="M83" s="82"/>
      <c r="N83" s="82"/>
      <c r="O83" s="82"/>
      <c r="P83" s="82"/>
      <c r="Q83" s="82"/>
      <c r="R83" s="82"/>
      <c r="AG83" t="s">
        <v>4413</v>
      </c>
    </row>
    <row r="84" spans="1:33" ht="12" customHeight="1" x14ac:dyDescent="0.15">
      <c r="A84" s="331" t="s">
        <v>4414</v>
      </c>
      <c r="B84" s="332"/>
      <c r="C84" s="331"/>
      <c r="D84" s="82"/>
      <c r="E84" s="82"/>
      <c r="F84" s="82"/>
      <c r="G84" s="82"/>
      <c r="H84" s="82"/>
      <c r="I84" s="82"/>
      <c r="J84" s="82"/>
      <c r="K84" s="82"/>
      <c r="L84" s="82"/>
      <c r="M84" s="82"/>
      <c r="N84" s="82"/>
      <c r="O84" s="82"/>
      <c r="P84" s="82"/>
      <c r="Q84" s="82"/>
      <c r="R84" s="82"/>
      <c r="AG84" t="s">
        <v>4415</v>
      </c>
    </row>
    <row r="85" spans="1:33" ht="12" customHeight="1" x14ac:dyDescent="0.15">
      <c r="A85" s="27" t="s">
        <v>4416</v>
      </c>
      <c r="B85" s="26" t="s">
        <v>4417</v>
      </c>
      <c r="C85" s="27" t="s">
        <v>4416</v>
      </c>
      <c r="D85" s="82"/>
      <c r="E85" s="82"/>
      <c r="F85" s="82"/>
      <c r="G85" s="82"/>
      <c r="H85" s="82"/>
      <c r="I85" s="82"/>
      <c r="J85" s="82"/>
      <c r="K85" s="82"/>
      <c r="L85" s="82"/>
      <c r="M85" s="82"/>
      <c r="N85" s="82"/>
      <c r="O85" s="82"/>
      <c r="P85" s="82"/>
      <c r="Q85" s="82"/>
      <c r="R85" s="82"/>
      <c r="AG85" t="s">
        <v>4418</v>
      </c>
    </row>
    <row r="86" spans="1:33" ht="12" customHeight="1" x14ac:dyDescent="0.15">
      <c r="A86" s="27" t="s">
        <v>4419</v>
      </c>
      <c r="B86" s="26" t="s">
        <v>4420</v>
      </c>
      <c r="C86" s="27" t="s">
        <v>4421</v>
      </c>
      <c r="D86" s="82"/>
      <c r="E86" s="82"/>
      <c r="F86" s="82"/>
      <c r="G86" s="82"/>
      <c r="H86" s="82"/>
      <c r="I86" s="82"/>
      <c r="J86" s="82"/>
      <c r="K86" s="82"/>
      <c r="L86" s="82"/>
      <c r="M86" s="82"/>
      <c r="N86" s="82"/>
      <c r="O86" s="82"/>
      <c r="P86" s="82"/>
      <c r="Q86" s="82"/>
      <c r="R86" s="82"/>
      <c r="AG86" t="s">
        <v>4422</v>
      </c>
    </row>
    <row r="87" spans="1:33" ht="12" customHeight="1" x14ac:dyDescent="0.15">
      <c r="A87" s="27" t="s">
        <v>4423</v>
      </c>
      <c r="B87" s="26" t="s">
        <v>4424</v>
      </c>
      <c r="C87" s="27" t="s">
        <v>4425</v>
      </c>
      <c r="D87" s="82"/>
      <c r="E87" s="82"/>
      <c r="F87" s="82"/>
      <c r="G87" s="82"/>
      <c r="H87" s="82"/>
      <c r="I87" s="82"/>
      <c r="J87" s="82"/>
      <c r="K87" s="82"/>
      <c r="L87" s="82"/>
      <c r="M87" s="82"/>
      <c r="N87" s="82"/>
      <c r="O87" s="82"/>
      <c r="P87" s="82"/>
      <c r="Q87" s="82"/>
      <c r="R87" s="82"/>
      <c r="AG87" t="s">
        <v>4426</v>
      </c>
    </row>
    <row r="88" spans="1:33" ht="12" customHeight="1" x14ac:dyDescent="0.15">
      <c r="A88" s="27" t="s">
        <v>4427</v>
      </c>
      <c r="B88" s="26" t="s">
        <v>4428</v>
      </c>
      <c r="C88" s="27" t="s">
        <v>4427</v>
      </c>
      <c r="D88" s="82"/>
      <c r="E88" s="82"/>
      <c r="F88" s="82"/>
      <c r="G88" s="82"/>
      <c r="H88" s="82"/>
      <c r="I88" s="82"/>
      <c r="J88" s="82"/>
      <c r="K88" s="82"/>
      <c r="L88" s="82"/>
      <c r="M88" s="82"/>
      <c r="N88" s="82"/>
      <c r="O88" s="82"/>
      <c r="P88" s="82"/>
      <c r="Q88" s="82"/>
      <c r="R88" s="82"/>
      <c r="AG88" t="s">
        <v>4429</v>
      </c>
    </row>
    <row r="89" spans="1:33" ht="12" customHeight="1" x14ac:dyDescent="0.15">
      <c r="A89" s="27" t="s">
        <v>4430</v>
      </c>
      <c r="B89" s="26" t="s">
        <v>4431</v>
      </c>
      <c r="C89" s="27" t="s">
        <v>4430</v>
      </c>
      <c r="D89" s="82"/>
      <c r="E89" s="82"/>
      <c r="F89" s="82"/>
      <c r="G89" s="82"/>
      <c r="H89" s="82"/>
      <c r="I89" s="82"/>
      <c r="J89" s="82"/>
      <c r="K89" s="82"/>
      <c r="L89" s="82"/>
      <c r="M89" s="82"/>
      <c r="N89" s="82"/>
      <c r="O89" s="82"/>
      <c r="P89" s="82"/>
      <c r="Q89" s="82"/>
      <c r="R89" s="82"/>
      <c r="AG89" t="s">
        <v>4432</v>
      </c>
    </row>
    <row r="90" spans="1:33" ht="12" customHeight="1" x14ac:dyDescent="0.15">
      <c r="A90" s="27" t="s">
        <v>4433</v>
      </c>
      <c r="B90" s="26" t="s">
        <v>4434</v>
      </c>
      <c r="C90" s="27" t="s">
        <v>4433</v>
      </c>
      <c r="D90" s="82"/>
      <c r="E90" s="82"/>
      <c r="F90" s="82"/>
      <c r="G90" s="82"/>
      <c r="H90" s="82"/>
      <c r="I90" s="82"/>
      <c r="J90" s="82"/>
      <c r="K90" s="82"/>
      <c r="L90" s="82"/>
      <c r="M90" s="82"/>
      <c r="N90" s="82"/>
      <c r="O90" s="82"/>
      <c r="P90" s="82"/>
      <c r="Q90" s="82"/>
      <c r="R90" s="82"/>
      <c r="AG90" t="s">
        <v>4435</v>
      </c>
    </row>
    <row r="91" spans="1:33" ht="12" customHeight="1" x14ac:dyDescent="0.15">
      <c r="A91" s="71"/>
      <c r="B91" s="71"/>
      <c r="C91" s="333"/>
      <c r="D91" s="82"/>
      <c r="E91" s="82"/>
      <c r="F91" s="82"/>
      <c r="G91" s="82"/>
      <c r="H91" s="82"/>
      <c r="I91" s="82"/>
      <c r="J91" s="82"/>
      <c r="K91" s="82"/>
      <c r="L91" s="82"/>
      <c r="M91" s="82"/>
      <c r="N91" s="82"/>
      <c r="O91" s="82"/>
      <c r="P91" s="82"/>
      <c r="Q91" s="82"/>
      <c r="R91" s="82"/>
      <c r="AG91" t="s">
        <v>4436</v>
      </c>
    </row>
    <row r="92" spans="1:33" ht="12" customHeight="1" x14ac:dyDescent="0.15">
      <c r="A92" s="82"/>
      <c r="B92" s="82"/>
      <c r="C92" s="82"/>
      <c r="D92" s="82"/>
      <c r="E92" s="82"/>
      <c r="F92" s="82"/>
      <c r="G92" s="82"/>
      <c r="H92" s="82"/>
      <c r="I92" s="82"/>
      <c r="J92" s="82"/>
      <c r="K92" s="82"/>
      <c r="L92" s="82"/>
      <c r="M92" s="82"/>
      <c r="N92" s="82"/>
      <c r="O92" s="82"/>
      <c r="P92" s="82"/>
      <c r="Q92" s="82"/>
      <c r="R92" s="82"/>
      <c r="AG92" t="s">
        <v>4437</v>
      </c>
    </row>
    <row r="93" spans="1:33" ht="12" customHeight="1" x14ac:dyDescent="0.15">
      <c r="A93" s="82"/>
      <c r="B93" s="82"/>
      <c r="C93" s="82"/>
      <c r="D93" s="82"/>
      <c r="E93" s="82"/>
      <c r="F93" s="82"/>
      <c r="G93" s="82"/>
      <c r="H93" s="82"/>
      <c r="I93" s="82"/>
      <c r="J93" s="82"/>
      <c r="K93" s="82"/>
      <c r="L93" s="82"/>
      <c r="M93" s="82"/>
      <c r="N93" s="82"/>
      <c r="O93" s="82"/>
      <c r="P93" s="82"/>
      <c r="Q93" s="82"/>
      <c r="R93" s="82"/>
      <c r="AG93" t="s">
        <v>4438</v>
      </c>
    </row>
    <row r="94" spans="1:33" ht="12" customHeight="1" x14ac:dyDescent="0.15">
      <c r="A94" s="71" t="s">
        <v>3983</v>
      </c>
      <c r="B94" s="334" t="s">
        <v>4439</v>
      </c>
      <c r="C94" s="71"/>
      <c r="D94" s="82"/>
      <c r="E94" s="82"/>
      <c r="F94" s="82"/>
      <c r="G94" s="82"/>
      <c r="H94" s="82"/>
      <c r="I94" s="82"/>
      <c r="J94" s="82"/>
      <c r="K94" s="82"/>
      <c r="L94" s="82"/>
      <c r="M94" s="82"/>
      <c r="N94" s="82"/>
      <c r="O94" s="82"/>
      <c r="P94" s="82"/>
      <c r="Q94" s="82"/>
      <c r="R94" s="82"/>
      <c r="AG94" t="s">
        <v>4440</v>
      </c>
    </row>
    <row r="95" spans="1:33" ht="12" customHeight="1" x14ac:dyDescent="0.15">
      <c r="A95" s="71" t="s">
        <v>4006</v>
      </c>
      <c r="B95" s="334" t="s">
        <v>4441</v>
      </c>
      <c r="C95" s="71"/>
      <c r="D95" s="82"/>
      <c r="E95" s="82"/>
      <c r="F95" s="82"/>
      <c r="G95" s="82"/>
      <c r="H95" s="82"/>
      <c r="I95" s="82"/>
      <c r="J95" s="82"/>
      <c r="K95" s="82"/>
      <c r="L95" s="82"/>
      <c r="M95" s="82"/>
      <c r="N95" s="82"/>
      <c r="O95" s="82"/>
      <c r="P95" s="82"/>
      <c r="Q95" s="82"/>
      <c r="R95" s="82"/>
      <c r="AG95" t="s">
        <v>4442</v>
      </c>
    </row>
    <row r="96" spans="1:33" ht="12" customHeight="1" x14ac:dyDescent="0.15">
      <c r="A96" s="71" t="s">
        <v>4019</v>
      </c>
      <c r="B96" s="334" t="s">
        <v>4443</v>
      </c>
      <c r="C96" s="71"/>
      <c r="D96" s="82"/>
      <c r="E96" s="82"/>
      <c r="F96" s="82"/>
      <c r="G96" s="82"/>
      <c r="H96" s="82"/>
      <c r="I96" s="82"/>
      <c r="J96" s="82"/>
      <c r="K96" s="82"/>
      <c r="L96" s="82"/>
      <c r="M96" s="82"/>
      <c r="N96" s="82"/>
      <c r="O96" s="82"/>
      <c r="P96" s="82"/>
      <c r="Q96" s="82"/>
      <c r="R96" s="82"/>
      <c r="AG96" t="s">
        <v>4444</v>
      </c>
    </row>
    <row r="97" spans="1:33" ht="12" customHeight="1" x14ac:dyDescent="0.15">
      <c r="A97" s="71" t="s">
        <v>4033</v>
      </c>
      <c r="B97" s="334" t="s">
        <v>4445</v>
      </c>
      <c r="C97" s="71"/>
      <c r="D97" s="82"/>
      <c r="E97" s="82"/>
      <c r="F97" s="82"/>
      <c r="G97" s="82"/>
      <c r="H97" s="82"/>
      <c r="I97" s="82"/>
      <c r="J97" s="82"/>
      <c r="K97" s="82"/>
      <c r="L97" s="82"/>
      <c r="M97" s="82"/>
      <c r="N97" s="82"/>
      <c r="O97" s="82"/>
      <c r="P97" s="82"/>
      <c r="Q97" s="82"/>
      <c r="R97" s="82"/>
      <c r="AG97" t="s">
        <v>4446</v>
      </c>
    </row>
    <row r="98" spans="1:33" ht="12" customHeight="1" x14ac:dyDescent="0.15">
      <c r="A98" s="71" t="s">
        <v>4044</v>
      </c>
      <c r="B98" s="334" t="s">
        <v>4447</v>
      </c>
      <c r="C98" s="71"/>
      <c r="D98" s="82"/>
      <c r="E98" s="82"/>
      <c r="F98" s="82"/>
      <c r="G98" s="82"/>
      <c r="H98" s="82"/>
      <c r="I98" s="82"/>
      <c r="J98" s="82"/>
      <c r="K98" s="82"/>
      <c r="L98" s="82"/>
      <c r="M98" s="82"/>
      <c r="N98" s="82"/>
      <c r="O98" s="82"/>
      <c r="P98" s="82"/>
      <c r="Q98" s="82"/>
      <c r="R98" s="82"/>
      <c r="AG98" t="s">
        <v>4448</v>
      </c>
    </row>
    <row r="99" spans="1:33" ht="12" customHeight="1" x14ac:dyDescent="0.15">
      <c r="A99" s="71" t="s">
        <v>4056</v>
      </c>
      <c r="B99" s="334" t="s">
        <v>4449</v>
      </c>
      <c r="C99" s="71"/>
      <c r="D99" s="82"/>
      <c r="E99" s="82"/>
      <c r="F99" s="82"/>
      <c r="G99" s="82"/>
      <c r="H99" s="82"/>
      <c r="I99" s="82"/>
      <c r="J99" s="82"/>
      <c r="K99" s="82"/>
      <c r="L99" s="82"/>
      <c r="M99" s="82"/>
      <c r="N99" s="82"/>
      <c r="O99" s="82"/>
      <c r="P99" s="82"/>
      <c r="Q99" s="82"/>
      <c r="R99" s="82"/>
      <c r="AG99" t="s">
        <v>4450</v>
      </c>
    </row>
    <row r="100" spans="1:33" ht="12" customHeight="1" x14ac:dyDescent="0.15">
      <c r="A100" s="71" t="s">
        <v>4065</v>
      </c>
      <c r="B100" s="334" t="s">
        <v>4451</v>
      </c>
      <c r="C100" s="71"/>
      <c r="D100" s="82"/>
      <c r="E100" s="82"/>
      <c r="F100" s="82"/>
      <c r="G100" s="82"/>
      <c r="H100" s="82"/>
      <c r="I100" s="82"/>
      <c r="J100" s="82"/>
      <c r="K100" s="82"/>
      <c r="L100" s="82"/>
      <c r="M100" s="82"/>
      <c r="N100" s="82"/>
      <c r="O100" s="88"/>
      <c r="P100" s="82"/>
      <c r="Q100" s="82"/>
      <c r="R100" s="82"/>
      <c r="AG100" t="s">
        <v>4452</v>
      </c>
    </row>
    <row r="101" spans="1:33" ht="12" customHeight="1" x14ac:dyDescent="0.15">
      <c r="A101" s="71" t="s">
        <v>4075</v>
      </c>
      <c r="B101" s="334" t="s">
        <v>4453</v>
      </c>
      <c r="C101" s="71"/>
      <c r="D101" s="82"/>
      <c r="E101" s="82"/>
      <c r="F101" s="82"/>
      <c r="G101" s="82"/>
      <c r="H101" s="82"/>
      <c r="I101" s="82"/>
      <c r="J101" s="82"/>
      <c r="K101" s="82"/>
      <c r="L101" s="82"/>
      <c r="M101" s="82"/>
      <c r="N101" s="82"/>
      <c r="O101" s="88"/>
      <c r="P101" s="82"/>
      <c r="Q101" s="82"/>
      <c r="R101" s="82"/>
      <c r="AG101" t="s">
        <v>4454</v>
      </c>
    </row>
    <row r="102" spans="1:33" ht="12" customHeight="1" x14ac:dyDescent="0.15">
      <c r="A102" s="71" t="s">
        <v>4084</v>
      </c>
      <c r="B102" s="334" t="s">
        <v>4455</v>
      </c>
      <c r="C102" s="71"/>
      <c r="D102" s="82"/>
      <c r="E102" s="82"/>
      <c r="F102" s="82"/>
      <c r="G102" s="82"/>
      <c r="H102" s="82"/>
      <c r="I102" s="82"/>
      <c r="J102" s="82"/>
      <c r="K102" s="82"/>
      <c r="L102" s="82"/>
      <c r="M102" s="82"/>
      <c r="N102" s="82"/>
      <c r="O102" s="88"/>
      <c r="P102" s="82"/>
      <c r="Q102" s="82"/>
      <c r="R102" s="82"/>
      <c r="AG102" t="s">
        <v>4456</v>
      </c>
    </row>
    <row r="103" spans="1:33" ht="12" customHeight="1" x14ac:dyDescent="0.15">
      <c r="A103" s="71" t="s">
        <v>4093</v>
      </c>
      <c r="B103" s="334" t="s">
        <v>4457</v>
      </c>
      <c r="C103" s="71"/>
      <c r="D103" s="82"/>
      <c r="E103" s="82"/>
      <c r="F103" s="82"/>
      <c r="G103" s="82"/>
      <c r="H103" s="82"/>
      <c r="I103" s="82"/>
      <c r="J103" s="82"/>
      <c r="K103" s="82"/>
      <c r="L103" s="82"/>
      <c r="M103" s="82"/>
      <c r="N103" s="82"/>
      <c r="O103" s="88"/>
      <c r="P103" s="82"/>
      <c r="Q103" s="82"/>
      <c r="R103" s="82"/>
      <c r="AG103" t="s">
        <v>4458</v>
      </c>
    </row>
    <row r="104" spans="1:33" ht="12" customHeight="1" x14ac:dyDescent="0.15">
      <c r="A104" s="71" t="s">
        <v>4102</v>
      </c>
      <c r="B104" s="334" t="s">
        <v>4459</v>
      </c>
      <c r="C104" s="71"/>
      <c r="D104" s="82"/>
      <c r="E104" s="82"/>
      <c r="F104" s="82"/>
      <c r="G104" s="82"/>
      <c r="H104" s="82"/>
      <c r="I104" s="82"/>
      <c r="J104" s="82"/>
      <c r="K104" s="82"/>
      <c r="L104" s="82"/>
      <c r="M104" s="82"/>
      <c r="N104" s="82"/>
      <c r="O104" s="88"/>
      <c r="P104" s="82"/>
      <c r="Q104" s="82"/>
      <c r="R104" s="82"/>
      <c r="AG104" t="s">
        <v>4460</v>
      </c>
    </row>
    <row r="105" spans="1:33" ht="12" customHeight="1" x14ac:dyDescent="0.15">
      <c r="A105" s="71" t="s">
        <v>4461</v>
      </c>
      <c r="B105" s="334" t="s">
        <v>4462</v>
      </c>
      <c r="C105" s="71"/>
      <c r="D105" s="82"/>
      <c r="E105" s="82"/>
      <c r="F105" s="82"/>
      <c r="G105" s="82"/>
      <c r="H105" s="82"/>
      <c r="I105" s="82"/>
      <c r="J105" s="82"/>
      <c r="K105" s="82"/>
      <c r="L105" s="82"/>
      <c r="M105" s="82"/>
      <c r="N105" s="82"/>
      <c r="O105" s="88"/>
      <c r="P105" s="82"/>
      <c r="Q105" s="82"/>
      <c r="R105" s="82"/>
      <c r="AG105" t="s">
        <v>4463</v>
      </c>
    </row>
    <row r="106" spans="1:33" ht="12" customHeight="1" x14ac:dyDescent="0.15">
      <c r="A106" s="71" t="s">
        <v>4464</v>
      </c>
      <c r="B106" s="334" t="s">
        <v>4465</v>
      </c>
      <c r="C106" s="71"/>
      <c r="D106" s="82"/>
      <c r="E106" s="82"/>
      <c r="F106" s="82"/>
      <c r="G106" s="82"/>
      <c r="H106" s="82"/>
      <c r="I106" s="82"/>
      <c r="J106" s="82"/>
      <c r="K106" s="82"/>
      <c r="L106" s="82"/>
      <c r="M106" s="82"/>
      <c r="N106" s="82"/>
      <c r="O106" s="88"/>
      <c r="P106" s="82"/>
      <c r="Q106" s="82"/>
      <c r="R106" s="82"/>
      <c r="AG106" t="s">
        <v>4466</v>
      </c>
    </row>
    <row r="107" spans="1:33" ht="12" customHeight="1" x14ac:dyDescent="0.15">
      <c r="A107" s="71" t="s">
        <v>4467</v>
      </c>
      <c r="B107" s="334" t="s">
        <v>4468</v>
      </c>
      <c r="C107" s="71"/>
      <c r="D107" s="82"/>
      <c r="E107" s="82"/>
      <c r="F107" s="82"/>
      <c r="G107" s="82"/>
      <c r="H107" s="82"/>
      <c r="I107" s="82"/>
      <c r="J107" s="82"/>
      <c r="K107" s="82"/>
      <c r="L107" s="82"/>
      <c r="M107" s="82"/>
      <c r="N107" s="82"/>
      <c r="O107" s="88"/>
      <c r="P107" s="82"/>
      <c r="Q107" s="82"/>
      <c r="R107" s="82"/>
      <c r="AG107" t="s">
        <v>4469</v>
      </c>
    </row>
    <row r="108" spans="1:33" ht="12" customHeight="1" x14ac:dyDescent="0.15">
      <c r="A108" s="71" t="s">
        <v>4136</v>
      </c>
      <c r="B108" s="334" t="s">
        <v>4470</v>
      </c>
      <c r="C108" s="71"/>
      <c r="D108" s="82"/>
      <c r="E108" s="82"/>
      <c r="F108" s="82"/>
      <c r="G108" s="82"/>
      <c r="H108" s="82"/>
      <c r="I108" s="82"/>
      <c r="J108" s="82"/>
      <c r="K108" s="82"/>
      <c r="L108" s="82"/>
      <c r="M108" s="88"/>
      <c r="N108" s="82"/>
      <c r="O108" s="88"/>
      <c r="P108" s="82"/>
      <c r="Q108" s="82"/>
      <c r="R108" s="82"/>
      <c r="AG108" t="s">
        <v>4471</v>
      </c>
    </row>
    <row r="109" spans="1:33" ht="12" customHeight="1" x14ac:dyDescent="0.15">
      <c r="A109" s="71" t="s">
        <v>4141</v>
      </c>
      <c r="B109" s="334" t="s">
        <v>4472</v>
      </c>
      <c r="C109" s="71"/>
      <c r="D109" s="82"/>
      <c r="E109" s="82"/>
      <c r="F109" s="82"/>
      <c r="G109" s="82"/>
      <c r="H109" s="82"/>
      <c r="I109" s="82"/>
      <c r="J109" s="82"/>
      <c r="K109" s="82"/>
      <c r="L109" s="82"/>
      <c r="M109" s="88"/>
      <c r="N109" s="82"/>
      <c r="O109" s="88"/>
      <c r="P109" s="82"/>
      <c r="Q109" s="82"/>
      <c r="R109" s="82"/>
      <c r="AG109" t="s">
        <v>4473</v>
      </c>
    </row>
    <row r="110" spans="1:33" ht="12" customHeight="1" x14ac:dyDescent="0.15">
      <c r="A110" s="71" t="s">
        <v>4147</v>
      </c>
      <c r="B110" s="334" t="s">
        <v>4474</v>
      </c>
      <c r="C110" s="71"/>
      <c r="D110" s="82"/>
      <c r="E110" s="82"/>
      <c r="F110" s="82"/>
      <c r="G110" s="82"/>
      <c r="H110" s="82"/>
      <c r="I110" s="82"/>
      <c r="J110" s="82"/>
      <c r="K110" s="82"/>
      <c r="L110" s="82"/>
      <c r="M110" s="88"/>
      <c r="N110" s="82"/>
      <c r="O110" s="88"/>
      <c r="P110" s="82"/>
      <c r="Q110" s="82"/>
      <c r="R110" s="82"/>
      <c r="AG110" t="s">
        <v>4475</v>
      </c>
    </row>
    <row r="111" spans="1:33" ht="12" customHeight="1" x14ac:dyDescent="0.15">
      <c r="A111" s="71" t="s">
        <v>4152</v>
      </c>
      <c r="B111" s="334" t="s">
        <v>4476</v>
      </c>
      <c r="C111" s="71"/>
      <c r="D111" s="82"/>
      <c r="E111" s="82"/>
      <c r="F111" s="82"/>
      <c r="G111" s="82"/>
      <c r="H111" s="82"/>
      <c r="I111" s="82"/>
      <c r="J111" s="82"/>
      <c r="K111" s="82"/>
      <c r="L111" s="82"/>
      <c r="M111" s="88"/>
      <c r="N111" s="82"/>
      <c r="O111" s="88"/>
      <c r="P111" s="82"/>
      <c r="Q111" s="82"/>
      <c r="R111" s="82"/>
      <c r="AG111" t="s">
        <v>4477</v>
      </c>
    </row>
    <row r="112" spans="1:33" ht="12" customHeight="1" x14ac:dyDescent="0.15">
      <c r="A112" s="71" t="s">
        <v>4158</v>
      </c>
      <c r="B112" s="334" t="s">
        <v>4478</v>
      </c>
      <c r="C112" s="71"/>
      <c r="D112" s="82"/>
      <c r="E112" s="82"/>
      <c r="F112" s="82"/>
      <c r="G112" s="82"/>
      <c r="H112" s="82"/>
      <c r="I112" s="82"/>
      <c r="J112" s="82"/>
      <c r="K112" s="82"/>
      <c r="L112" s="82"/>
      <c r="M112" s="88"/>
      <c r="N112" s="82"/>
      <c r="O112" s="88"/>
      <c r="P112" s="82"/>
      <c r="Q112" s="82"/>
      <c r="R112" s="82"/>
      <c r="AG112" t="s">
        <v>4479</v>
      </c>
    </row>
    <row r="113" spans="1:33" ht="12" customHeight="1" x14ac:dyDescent="0.15">
      <c r="A113" s="71" t="s">
        <v>4163</v>
      </c>
      <c r="B113" s="334" t="s">
        <v>4480</v>
      </c>
      <c r="C113" s="71"/>
      <c r="D113" s="82"/>
      <c r="E113" s="82"/>
      <c r="F113" s="82"/>
      <c r="G113" s="82"/>
      <c r="H113" s="82"/>
      <c r="I113" s="82"/>
      <c r="J113" s="82"/>
      <c r="K113" s="82"/>
      <c r="L113" s="82"/>
      <c r="M113" s="88"/>
      <c r="N113" s="82"/>
      <c r="O113" s="88"/>
      <c r="P113" s="82"/>
      <c r="Q113" s="82"/>
      <c r="R113" s="82"/>
      <c r="AG113" t="s">
        <v>4481</v>
      </c>
    </row>
    <row r="114" spans="1:33" ht="12" customHeight="1" x14ac:dyDescent="0.15">
      <c r="A114" s="71" t="s">
        <v>4169</v>
      </c>
      <c r="B114" s="334" t="s">
        <v>4482</v>
      </c>
      <c r="C114" s="71"/>
      <c r="D114" s="82"/>
      <c r="E114" s="82"/>
      <c r="F114" s="82"/>
      <c r="G114" s="82"/>
      <c r="H114" s="82"/>
      <c r="I114" s="82"/>
      <c r="J114" s="82"/>
      <c r="K114" s="82"/>
      <c r="L114" s="82"/>
      <c r="M114" s="88"/>
      <c r="N114" s="82"/>
      <c r="O114" s="88"/>
      <c r="P114" s="82"/>
      <c r="Q114" s="82"/>
      <c r="R114" s="82"/>
      <c r="AG114" t="s">
        <v>4483</v>
      </c>
    </row>
    <row r="115" spans="1:33" ht="12" customHeight="1" x14ac:dyDescent="0.15">
      <c r="A115" s="71" t="s">
        <v>4176</v>
      </c>
      <c r="B115" s="334" t="s">
        <v>4484</v>
      </c>
      <c r="C115" s="71"/>
      <c r="D115" s="82"/>
      <c r="E115" s="82"/>
      <c r="F115" s="82"/>
      <c r="G115" s="82"/>
      <c r="H115" s="82"/>
      <c r="I115" s="82"/>
      <c r="J115" s="82"/>
      <c r="K115" s="82"/>
      <c r="L115" s="82"/>
      <c r="M115" s="88"/>
      <c r="N115" s="82"/>
      <c r="O115" s="88"/>
      <c r="P115" s="82"/>
      <c r="Q115" s="82"/>
      <c r="R115" s="82"/>
      <c r="AG115" t="s">
        <v>4485</v>
      </c>
    </row>
    <row r="116" spans="1:33" ht="12" customHeight="1" x14ac:dyDescent="0.15">
      <c r="A116" s="71" t="s">
        <v>4182</v>
      </c>
      <c r="B116" s="334" t="s">
        <v>4486</v>
      </c>
      <c r="C116" s="71"/>
      <c r="D116" s="82"/>
      <c r="E116" s="82"/>
      <c r="F116" s="82"/>
      <c r="G116" s="82"/>
      <c r="H116" s="82"/>
      <c r="I116" s="82"/>
      <c r="J116" s="82"/>
      <c r="K116" s="82"/>
      <c r="L116" s="82"/>
      <c r="M116" s="88"/>
      <c r="N116" s="82"/>
      <c r="O116" s="88"/>
      <c r="P116" s="82"/>
      <c r="Q116" s="82"/>
      <c r="R116" s="82"/>
      <c r="AG116" t="s">
        <v>4487</v>
      </c>
    </row>
    <row r="117" spans="1:33" ht="12" customHeight="1" x14ac:dyDescent="0.15">
      <c r="A117" s="71" t="s">
        <v>4187</v>
      </c>
      <c r="B117" s="334" t="s">
        <v>4488</v>
      </c>
      <c r="C117" s="71"/>
      <c r="D117" s="82"/>
      <c r="E117" s="82"/>
      <c r="F117" s="82"/>
      <c r="G117" s="82"/>
      <c r="H117" s="82"/>
      <c r="I117" s="82"/>
      <c r="J117" s="82"/>
      <c r="K117" s="82"/>
      <c r="L117" s="82"/>
      <c r="M117" s="88"/>
      <c r="N117" s="82"/>
      <c r="O117" s="88"/>
      <c r="P117" s="82"/>
      <c r="Q117" s="82"/>
      <c r="R117" s="82"/>
      <c r="AG117" t="s">
        <v>4489</v>
      </c>
    </row>
    <row r="118" spans="1:33" ht="12" customHeight="1" x14ac:dyDescent="0.15">
      <c r="A118" s="71" t="s">
        <v>4192</v>
      </c>
      <c r="B118" s="334" t="s">
        <v>4490</v>
      </c>
      <c r="C118" s="71"/>
      <c r="D118" s="82"/>
      <c r="E118" s="82"/>
      <c r="F118" s="82"/>
      <c r="G118" s="82"/>
      <c r="H118" s="82"/>
      <c r="I118" s="82"/>
      <c r="J118" s="82"/>
      <c r="K118" s="82"/>
      <c r="L118" s="82"/>
      <c r="M118" s="88"/>
      <c r="N118" s="82"/>
      <c r="O118" s="88"/>
      <c r="P118" s="82"/>
      <c r="Q118" s="82"/>
      <c r="R118" s="82"/>
      <c r="AG118" t="s">
        <v>4491</v>
      </c>
    </row>
    <row r="119" spans="1:33" ht="12" customHeight="1" x14ac:dyDescent="0.15">
      <c r="A119" s="71" t="s">
        <v>101</v>
      </c>
      <c r="B119" s="334" t="s">
        <v>109</v>
      </c>
      <c r="C119" s="71"/>
      <c r="D119" s="82"/>
      <c r="E119" s="82"/>
      <c r="F119" s="82"/>
      <c r="G119" s="82"/>
      <c r="H119" s="82"/>
      <c r="I119" s="82"/>
      <c r="J119" s="82"/>
      <c r="K119" s="82"/>
      <c r="L119" s="82"/>
      <c r="M119" s="88"/>
      <c r="N119" s="82"/>
      <c r="O119" s="88"/>
      <c r="P119" s="82"/>
      <c r="Q119" s="82"/>
      <c r="R119" s="82"/>
      <c r="AG119" t="s">
        <v>4492</v>
      </c>
    </row>
    <row r="120" spans="1:33" ht="12" customHeight="1" x14ac:dyDescent="0.15">
      <c r="A120" s="71" t="s">
        <v>4201</v>
      </c>
      <c r="B120" s="334" t="s">
        <v>4493</v>
      </c>
      <c r="C120" s="71"/>
      <c r="D120" s="82"/>
      <c r="E120" s="82"/>
      <c r="F120" s="82"/>
      <c r="G120" s="82"/>
      <c r="H120" s="82"/>
      <c r="I120" s="82"/>
      <c r="J120" s="82"/>
      <c r="K120" s="82"/>
      <c r="L120" s="82"/>
      <c r="M120" s="88"/>
      <c r="N120" s="82"/>
      <c r="O120" s="88"/>
      <c r="P120" s="82"/>
      <c r="Q120" s="82"/>
      <c r="R120" s="82"/>
      <c r="AG120" t="s">
        <v>4494</v>
      </c>
    </row>
    <row r="121" spans="1:33" ht="12" customHeight="1" x14ac:dyDescent="0.15">
      <c r="A121" s="71" t="s">
        <v>4206</v>
      </c>
      <c r="B121" s="334" t="s">
        <v>4495</v>
      </c>
      <c r="C121" s="71"/>
      <c r="D121" s="82"/>
      <c r="E121" s="82"/>
      <c r="F121" s="82"/>
      <c r="G121" s="82"/>
      <c r="H121" s="82"/>
      <c r="I121" s="82"/>
      <c r="J121" s="82"/>
      <c r="K121" s="82"/>
      <c r="L121" s="82"/>
      <c r="M121" s="88"/>
      <c r="N121" s="82"/>
      <c r="O121" s="88"/>
      <c r="P121" s="82"/>
      <c r="Q121" s="82"/>
      <c r="R121" s="82"/>
      <c r="AG121" t="s">
        <v>4496</v>
      </c>
    </row>
    <row r="122" spans="1:33" ht="12" customHeight="1" x14ac:dyDescent="0.15">
      <c r="A122" s="71" t="s">
        <v>4211</v>
      </c>
      <c r="B122" s="334" t="s">
        <v>4497</v>
      </c>
      <c r="C122" s="71"/>
      <c r="D122" s="82"/>
      <c r="E122" s="82"/>
      <c r="F122" s="82"/>
      <c r="G122" s="82"/>
      <c r="H122" s="82"/>
      <c r="I122" s="82"/>
      <c r="J122" s="82"/>
      <c r="K122" s="82"/>
      <c r="L122" s="82"/>
      <c r="M122" s="88"/>
      <c r="N122" s="82"/>
      <c r="O122" s="88"/>
      <c r="P122" s="82"/>
      <c r="Q122" s="82"/>
      <c r="R122" s="82"/>
      <c r="AG122" t="s">
        <v>4498</v>
      </c>
    </row>
    <row r="123" spans="1:33" ht="12" customHeight="1" x14ac:dyDescent="0.15">
      <c r="A123" s="71" t="s">
        <v>4216</v>
      </c>
      <c r="B123" s="334" t="s">
        <v>4499</v>
      </c>
      <c r="C123" s="71"/>
      <c r="D123" s="82"/>
      <c r="E123" s="82"/>
      <c r="F123" s="82"/>
      <c r="G123" s="82"/>
      <c r="H123" s="82"/>
      <c r="I123" s="82"/>
      <c r="J123" s="82"/>
      <c r="K123" s="82"/>
      <c r="L123" s="82"/>
      <c r="M123" s="88"/>
      <c r="N123" s="82"/>
      <c r="O123" s="88"/>
      <c r="P123" s="82"/>
      <c r="Q123" s="82"/>
      <c r="R123" s="82"/>
      <c r="AG123" t="s">
        <v>4500</v>
      </c>
    </row>
    <row r="124" spans="1:33" ht="12" customHeight="1" x14ac:dyDescent="0.15">
      <c r="A124" s="71" t="s">
        <v>4220</v>
      </c>
      <c r="B124" s="334" t="s">
        <v>4501</v>
      </c>
      <c r="C124" s="71"/>
      <c r="D124" s="82"/>
      <c r="E124" s="82"/>
      <c r="F124" s="82"/>
      <c r="G124" s="82"/>
      <c r="H124" s="82"/>
      <c r="I124" s="82"/>
      <c r="J124" s="82"/>
      <c r="K124" s="82"/>
      <c r="L124" s="82"/>
      <c r="M124" s="88"/>
      <c r="N124" s="82"/>
      <c r="O124" s="88"/>
      <c r="P124" s="82"/>
      <c r="Q124" s="82"/>
      <c r="R124" s="82"/>
      <c r="AG124" t="s">
        <v>4502</v>
      </c>
    </row>
    <row r="125" spans="1:33" ht="12" customHeight="1" x14ac:dyDescent="0.15">
      <c r="A125" s="71" t="s">
        <v>4225</v>
      </c>
      <c r="B125" s="334" t="s">
        <v>4503</v>
      </c>
      <c r="C125" s="71"/>
      <c r="D125" s="82"/>
      <c r="E125" s="82"/>
      <c r="F125" s="82"/>
      <c r="G125" s="82"/>
      <c r="H125" s="82"/>
      <c r="I125" s="82"/>
      <c r="J125" s="82"/>
      <c r="K125" s="82"/>
      <c r="L125" s="82"/>
      <c r="M125" s="88"/>
      <c r="N125" s="82"/>
      <c r="O125" s="88"/>
      <c r="P125" s="82"/>
      <c r="Q125" s="82"/>
      <c r="R125" s="82"/>
      <c r="AG125" t="s">
        <v>4504</v>
      </c>
    </row>
    <row r="126" spans="1:33" ht="12" customHeight="1" x14ac:dyDescent="0.15">
      <c r="A126" s="71" t="s">
        <v>4230</v>
      </c>
      <c r="B126" s="334" t="s">
        <v>4505</v>
      </c>
      <c r="C126" s="71"/>
      <c r="D126" s="82"/>
      <c r="E126" s="82"/>
      <c r="F126" s="82"/>
      <c r="G126" s="82"/>
      <c r="H126" s="82"/>
      <c r="I126" s="82"/>
      <c r="J126" s="82"/>
      <c r="K126" s="82"/>
      <c r="L126" s="82"/>
      <c r="M126" s="88"/>
      <c r="N126" s="82"/>
      <c r="O126" s="88"/>
      <c r="P126" s="82"/>
      <c r="Q126" s="82"/>
      <c r="R126" s="82"/>
      <c r="AG126" t="s">
        <v>4506</v>
      </c>
    </row>
    <row r="127" spans="1:33" ht="12" customHeight="1" x14ac:dyDescent="0.15">
      <c r="A127" s="71" t="s">
        <v>4235</v>
      </c>
      <c r="B127" s="334" t="s">
        <v>4507</v>
      </c>
      <c r="C127" s="71"/>
      <c r="D127" s="82"/>
      <c r="E127" s="82"/>
      <c r="F127" s="82"/>
      <c r="G127" s="82"/>
      <c r="H127" s="82"/>
      <c r="I127" s="82"/>
      <c r="J127" s="82"/>
      <c r="K127" s="82"/>
      <c r="L127" s="82"/>
      <c r="M127" s="88"/>
      <c r="N127" s="82"/>
      <c r="O127" s="88"/>
      <c r="P127" s="82"/>
      <c r="Q127" s="82"/>
      <c r="R127" s="82"/>
      <c r="AG127" t="s">
        <v>4508</v>
      </c>
    </row>
    <row r="128" spans="1:33" ht="12" customHeight="1" x14ac:dyDescent="0.15">
      <c r="A128" s="71" t="s">
        <v>4240</v>
      </c>
      <c r="B128" s="334" t="s">
        <v>4509</v>
      </c>
      <c r="C128" s="71"/>
      <c r="D128" s="82"/>
      <c r="E128" s="82"/>
      <c r="F128" s="82"/>
      <c r="G128" s="82"/>
      <c r="H128" s="82"/>
      <c r="I128" s="82"/>
      <c r="J128" s="82"/>
      <c r="K128" s="82"/>
      <c r="L128" s="82"/>
      <c r="M128" s="88"/>
      <c r="N128" s="82"/>
      <c r="O128" s="88"/>
      <c r="P128" s="82"/>
      <c r="Q128" s="82"/>
      <c r="R128" s="82"/>
      <c r="AG128" t="s">
        <v>4510</v>
      </c>
    </row>
    <row r="129" spans="1:33" ht="12" customHeight="1" x14ac:dyDescent="0.15">
      <c r="A129" s="71" t="s">
        <v>4244</v>
      </c>
      <c r="B129" s="334" t="s">
        <v>4511</v>
      </c>
      <c r="C129" s="71"/>
      <c r="D129" s="82"/>
      <c r="E129" s="82"/>
      <c r="F129" s="82"/>
      <c r="G129" s="82"/>
      <c r="H129" s="82"/>
      <c r="I129" s="82"/>
      <c r="J129" s="82"/>
      <c r="K129" s="82"/>
      <c r="L129" s="82"/>
      <c r="M129" s="88"/>
      <c r="N129" s="82"/>
      <c r="O129" s="88"/>
      <c r="P129" s="82"/>
      <c r="Q129" s="82"/>
      <c r="R129" s="82"/>
      <c r="AG129" t="s">
        <v>4512</v>
      </c>
    </row>
    <row r="130" spans="1:33" ht="12" customHeight="1" x14ac:dyDescent="0.15">
      <c r="A130" s="71" t="s">
        <v>4249</v>
      </c>
      <c r="B130" s="334" t="s">
        <v>4513</v>
      </c>
      <c r="C130" s="71"/>
      <c r="D130" s="82"/>
      <c r="E130" s="82"/>
      <c r="F130" s="82"/>
      <c r="G130" s="82"/>
      <c r="H130" s="82"/>
      <c r="I130" s="82"/>
      <c r="J130" s="82"/>
      <c r="K130" s="82"/>
      <c r="L130" s="88"/>
      <c r="M130" s="88"/>
      <c r="N130" s="82"/>
      <c r="O130" s="82"/>
      <c r="P130" s="82"/>
      <c r="Q130" s="82"/>
      <c r="R130" s="82"/>
      <c r="AG130" t="s">
        <v>4514</v>
      </c>
    </row>
    <row r="131" spans="1:33" ht="12" customHeight="1" x14ac:dyDescent="0.15">
      <c r="A131" s="71" t="s">
        <v>4253</v>
      </c>
      <c r="B131" s="334" t="s">
        <v>4515</v>
      </c>
      <c r="C131" s="71"/>
      <c r="D131" s="82"/>
      <c r="E131" s="82"/>
      <c r="F131" s="82"/>
      <c r="G131" s="82"/>
      <c r="H131" s="82"/>
      <c r="I131" s="82"/>
      <c r="J131" s="82"/>
      <c r="K131" s="82"/>
      <c r="L131" s="88"/>
      <c r="M131" s="88"/>
      <c r="N131" s="82"/>
      <c r="O131" s="82"/>
      <c r="P131" s="82"/>
      <c r="Q131" s="82"/>
      <c r="R131" s="82"/>
      <c r="AG131" t="s">
        <v>4516</v>
      </c>
    </row>
    <row r="132" spans="1:33" ht="12" customHeight="1" x14ac:dyDescent="0.15">
      <c r="A132" s="71" t="s">
        <v>4258</v>
      </c>
      <c r="B132" s="334" t="s">
        <v>4517</v>
      </c>
      <c r="C132" s="71"/>
      <c r="D132" s="82"/>
      <c r="E132" s="82"/>
      <c r="F132" s="82"/>
      <c r="G132" s="82"/>
      <c r="H132" s="82"/>
      <c r="I132" s="82"/>
      <c r="J132" s="82"/>
      <c r="K132" s="82"/>
      <c r="L132" s="88"/>
      <c r="M132" s="88"/>
      <c r="N132" s="82"/>
      <c r="O132" s="82"/>
      <c r="P132" s="82"/>
      <c r="Q132" s="82"/>
      <c r="R132" s="82"/>
      <c r="AG132" t="s">
        <v>4518</v>
      </c>
    </row>
    <row r="133" spans="1:33" ht="12" customHeight="1" x14ac:dyDescent="0.15">
      <c r="A133" s="71" t="s">
        <v>4262</v>
      </c>
      <c r="B133" s="334" t="s">
        <v>4519</v>
      </c>
      <c r="C133" s="71"/>
      <c r="D133" s="82"/>
      <c r="E133" s="82"/>
      <c r="F133" s="82"/>
      <c r="G133" s="82"/>
      <c r="H133" s="82"/>
      <c r="I133" s="82"/>
      <c r="J133" s="82"/>
      <c r="K133" s="82"/>
      <c r="L133" s="88"/>
      <c r="M133" s="88"/>
      <c r="N133" s="82"/>
      <c r="O133" s="82"/>
      <c r="P133" s="82"/>
      <c r="Q133" s="82"/>
      <c r="R133" s="82"/>
      <c r="AG133" t="s">
        <v>4520</v>
      </c>
    </row>
    <row r="134" spans="1:33" ht="12" customHeight="1" x14ac:dyDescent="0.15">
      <c r="A134" s="71" t="s">
        <v>4266</v>
      </c>
      <c r="B134" s="334" t="s">
        <v>4521</v>
      </c>
      <c r="C134" s="71"/>
      <c r="D134" s="82"/>
      <c r="E134" s="82"/>
      <c r="F134" s="82"/>
      <c r="G134" s="82"/>
      <c r="H134" s="82"/>
      <c r="I134" s="82"/>
      <c r="J134" s="82"/>
      <c r="K134" s="82"/>
      <c r="L134" s="88"/>
      <c r="M134" s="88"/>
      <c r="N134" s="82"/>
      <c r="O134" s="82"/>
      <c r="P134" s="82"/>
      <c r="Q134" s="82"/>
      <c r="R134" s="82"/>
      <c r="AG134" t="s">
        <v>4522</v>
      </c>
    </row>
    <row r="135" spans="1:33" ht="12" customHeight="1" x14ac:dyDescent="0.15">
      <c r="A135" s="71" t="s">
        <v>4270</v>
      </c>
      <c r="B135" s="334" t="s">
        <v>4523</v>
      </c>
      <c r="C135" s="71"/>
      <c r="D135" s="82"/>
      <c r="E135" s="82"/>
      <c r="F135" s="82"/>
      <c r="G135" s="82"/>
      <c r="H135" s="82"/>
      <c r="I135" s="82"/>
      <c r="J135" s="82"/>
      <c r="K135" s="88"/>
      <c r="L135" s="88"/>
      <c r="M135" s="88"/>
      <c r="N135" s="82"/>
      <c r="O135" s="82"/>
      <c r="P135" s="82"/>
      <c r="Q135" s="82"/>
      <c r="R135" s="82"/>
      <c r="AG135" t="s">
        <v>4524</v>
      </c>
    </row>
    <row r="136" spans="1:33" ht="12" customHeight="1" x14ac:dyDescent="0.15">
      <c r="A136" s="71" t="s">
        <v>4274</v>
      </c>
      <c r="B136" s="334" t="s">
        <v>4525</v>
      </c>
      <c r="C136" s="71"/>
      <c r="D136" s="82"/>
      <c r="E136" s="82"/>
      <c r="F136" s="82"/>
      <c r="G136" s="82"/>
      <c r="H136" s="82"/>
      <c r="I136" s="82"/>
      <c r="J136" s="82"/>
      <c r="K136" s="88"/>
      <c r="L136" s="88"/>
      <c r="M136" s="88"/>
      <c r="N136" s="82"/>
      <c r="O136" s="82"/>
      <c r="P136" s="82"/>
      <c r="Q136" s="82"/>
      <c r="R136" s="82"/>
      <c r="AG136" t="s">
        <v>4526</v>
      </c>
    </row>
    <row r="137" spans="1:33" ht="12" customHeight="1" x14ac:dyDescent="0.15">
      <c r="A137" s="71" t="s">
        <v>4278</v>
      </c>
      <c r="B137" s="334" t="s">
        <v>4527</v>
      </c>
      <c r="C137" s="71"/>
      <c r="D137" s="82"/>
      <c r="E137" s="82"/>
      <c r="F137" s="82"/>
      <c r="G137" s="82"/>
      <c r="H137" s="82"/>
      <c r="I137" s="82"/>
      <c r="J137" s="82"/>
      <c r="K137" s="88"/>
      <c r="L137" s="88"/>
      <c r="M137" s="88"/>
      <c r="N137" s="82"/>
      <c r="O137" s="82"/>
      <c r="P137" s="82"/>
      <c r="Q137" s="82"/>
      <c r="R137" s="82"/>
      <c r="AG137" t="s">
        <v>4528</v>
      </c>
    </row>
    <row r="138" spans="1:33" ht="12" customHeight="1" x14ac:dyDescent="0.15">
      <c r="A138" s="71" t="s">
        <v>4282</v>
      </c>
      <c r="B138" s="334" t="s">
        <v>4529</v>
      </c>
      <c r="C138" s="71"/>
      <c r="D138" s="82"/>
      <c r="E138" s="82"/>
      <c r="F138" s="82"/>
      <c r="G138" s="82"/>
      <c r="H138" s="82"/>
      <c r="I138" s="82"/>
      <c r="J138" s="82"/>
      <c r="K138" s="88"/>
      <c r="L138" s="88"/>
      <c r="M138" s="88"/>
      <c r="N138" s="82"/>
      <c r="O138" s="82"/>
      <c r="P138" s="82"/>
      <c r="Q138" s="82"/>
      <c r="R138" s="82"/>
      <c r="AG138" t="s">
        <v>4530</v>
      </c>
    </row>
    <row r="139" spans="1:33" ht="12" customHeight="1" x14ac:dyDescent="0.15">
      <c r="A139" s="71" t="s">
        <v>4287</v>
      </c>
      <c r="B139" s="334" t="s">
        <v>4531</v>
      </c>
      <c r="C139" s="71"/>
      <c r="D139" s="82"/>
      <c r="E139" s="82"/>
      <c r="F139" s="82"/>
      <c r="G139" s="82"/>
      <c r="H139" s="82"/>
      <c r="I139" s="82"/>
      <c r="J139" s="82"/>
      <c r="K139" s="88"/>
      <c r="L139" s="88"/>
      <c r="M139" s="88"/>
      <c r="N139" s="82"/>
      <c r="O139" s="82"/>
      <c r="P139" s="82"/>
      <c r="Q139" s="82"/>
      <c r="R139" s="82"/>
      <c r="AG139" t="s">
        <v>4532</v>
      </c>
    </row>
    <row r="140" spans="1:33" ht="12" customHeight="1" x14ac:dyDescent="0.15">
      <c r="A140" s="71" t="s">
        <v>4291</v>
      </c>
      <c r="B140" s="334" t="s">
        <v>4533</v>
      </c>
      <c r="C140" s="71"/>
      <c r="D140" s="82"/>
      <c r="E140" s="82"/>
      <c r="F140" s="82"/>
      <c r="G140" s="82"/>
      <c r="H140" s="82"/>
      <c r="I140" s="82"/>
      <c r="J140" s="82"/>
      <c r="K140" s="88"/>
      <c r="L140" s="88"/>
      <c r="M140" s="88"/>
      <c r="N140" s="82"/>
      <c r="O140" s="82"/>
      <c r="P140" s="82"/>
      <c r="Q140" s="82"/>
      <c r="R140" s="82"/>
      <c r="AG140" t="s">
        <v>4534</v>
      </c>
    </row>
    <row r="141" spans="1:33" ht="12" customHeight="1" x14ac:dyDescent="0.15">
      <c r="A141" s="71" t="s">
        <v>4295</v>
      </c>
      <c r="B141" s="334" t="s">
        <v>4535</v>
      </c>
      <c r="C141" s="71"/>
      <c r="D141" s="82"/>
      <c r="E141" s="82"/>
      <c r="F141" s="82"/>
      <c r="G141" s="82"/>
      <c r="H141" s="82"/>
      <c r="I141" s="82"/>
      <c r="J141" s="82"/>
      <c r="K141" s="88"/>
      <c r="L141" s="88"/>
      <c r="M141" s="88"/>
      <c r="N141" s="82"/>
      <c r="O141" s="82"/>
      <c r="P141" s="82"/>
      <c r="Q141" s="82"/>
      <c r="R141" s="82"/>
    </row>
    <row r="142" spans="1:33" ht="12" customHeight="1" x14ac:dyDescent="0.15">
      <c r="A142" s="71" t="s">
        <v>4299</v>
      </c>
      <c r="B142" s="334" t="s">
        <v>4536</v>
      </c>
      <c r="C142" s="71"/>
      <c r="D142" s="82"/>
      <c r="E142" s="82"/>
      <c r="F142" s="82"/>
      <c r="G142" s="82"/>
      <c r="H142" s="82"/>
      <c r="I142" s="82"/>
      <c r="J142" s="82"/>
      <c r="K142" s="88"/>
      <c r="L142" s="88"/>
      <c r="M142" s="88"/>
      <c r="N142" s="82"/>
      <c r="O142" s="82"/>
      <c r="P142" s="82"/>
      <c r="Q142" s="82"/>
      <c r="R142" s="82"/>
    </row>
    <row r="143" spans="1:33" ht="12" customHeight="1" x14ac:dyDescent="0.15">
      <c r="A143" s="71" t="s">
        <v>4303</v>
      </c>
      <c r="B143" s="334" t="s">
        <v>4537</v>
      </c>
      <c r="C143" s="71"/>
      <c r="D143" s="82"/>
      <c r="E143" s="82"/>
      <c r="F143" s="82"/>
      <c r="G143" s="82"/>
      <c r="H143" s="82"/>
      <c r="I143" s="82"/>
      <c r="J143" s="82"/>
      <c r="K143" s="88"/>
      <c r="L143" s="88"/>
      <c r="M143" s="88"/>
      <c r="N143" s="82"/>
      <c r="O143" s="82"/>
      <c r="P143" s="82"/>
      <c r="Q143" s="82"/>
      <c r="R143" s="82"/>
    </row>
    <row r="144" spans="1:33" ht="12" customHeight="1" x14ac:dyDescent="0.15">
      <c r="A144" s="71" t="s">
        <v>4308</v>
      </c>
      <c r="B144" s="334" t="s">
        <v>4538</v>
      </c>
      <c r="C144" s="71"/>
      <c r="D144" s="82"/>
      <c r="E144" s="82"/>
      <c r="F144" s="82"/>
      <c r="G144" s="82"/>
      <c r="H144" s="82"/>
      <c r="I144" s="82"/>
      <c r="J144" s="82"/>
      <c r="K144" s="88"/>
      <c r="L144" s="88"/>
      <c r="M144" s="88"/>
      <c r="N144" s="82"/>
      <c r="O144" s="82"/>
      <c r="P144" s="82"/>
      <c r="Q144" s="82"/>
      <c r="R144" s="82"/>
    </row>
    <row r="145" spans="1:18" ht="12" customHeight="1" x14ac:dyDescent="0.15">
      <c r="A145" s="71" t="s">
        <v>4312</v>
      </c>
      <c r="B145" s="334" t="s">
        <v>4539</v>
      </c>
      <c r="C145" s="71"/>
      <c r="D145" s="82"/>
      <c r="E145" s="82"/>
      <c r="F145" s="82"/>
      <c r="G145" s="82"/>
      <c r="H145" s="82"/>
      <c r="I145" s="82"/>
      <c r="J145" s="82"/>
      <c r="K145" s="88"/>
      <c r="L145" s="88"/>
      <c r="M145" s="88"/>
      <c r="N145" s="82"/>
      <c r="O145" s="82"/>
      <c r="P145" s="82"/>
      <c r="R145" s="82"/>
    </row>
    <row r="146" spans="1:18" ht="12" customHeight="1" x14ac:dyDescent="0.15">
      <c r="A146" s="71" t="s">
        <v>4317</v>
      </c>
      <c r="B146" s="334" t="s">
        <v>4540</v>
      </c>
      <c r="C146" s="71"/>
      <c r="D146" s="82"/>
      <c r="E146" s="82"/>
      <c r="F146" s="82"/>
      <c r="G146" s="82"/>
      <c r="H146" s="82"/>
      <c r="I146" s="82"/>
      <c r="J146" s="82"/>
      <c r="K146" s="88"/>
      <c r="L146" s="88"/>
      <c r="M146" s="88"/>
      <c r="N146" s="82"/>
      <c r="O146" s="82"/>
      <c r="P146" s="82"/>
      <c r="R146" s="82"/>
    </row>
    <row r="147" spans="1:18" ht="12" customHeight="1" x14ac:dyDescent="0.15">
      <c r="A147" s="71" t="s">
        <v>4321</v>
      </c>
      <c r="B147" s="334" t="s">
        <v>4541</v>
      </c>
      <c r="C147" s="71"/>
      <c r="D147" s="82"/>
      <c r="E147" s="82"/>
      <c r="F147" s="82"/>
      <c r="G147" s="82"/>
      <c r="H147" s="82"/>
      <c r="I147" s="82"/>
      <c r="J147" s="82"/>
      <c r="K147" s="88"/>
      <c r="L147" s="88"/>
      <c r="M147" s="88"/>
      <c r="N147" s="82"/>
      <c r="O147" s="82"/>
      <c r="P147" s="82"/>
      <c r="R147" s="82"/>
    </row>
    <row r="148" spans="1:18" ht="12" customHeight="1" x14ac:dyDescent="0.15">
      <c r="A148" s="71" t="s">
        <v>4325</v>
      </c>
      <c r="B148" s="334" t="s">
        <v>4542</v>
      </c>
      <c r="C148" s="71"/>
      <c r="D148" s="82"/>
      <c r="E148" s="82"/>
      <c r="F148" s="82"/>
      <c r="G148" s="82"/>
      <c r="H148" s="82"/>
      <c r="I148" s="82"/>
      <c r="J148" s="82"/>
      <c r="K148" s="88"/>
      <c r="L148" s="88"/>
      <c r="M148" s="88"/>
      <c r="N148" s="82"/>
      <c r="O148" s="82"/>
      <c r="P148" s="82"/>
      <c r="R148" s="82"/>
    </row>
    <row r="149" spans="1:18" ht="12" customHeight="1" x14ac:dyDescent="0.15">
      <c r="A149" s="71" t="s">
        <v>4329</v>
      </c>
      <c r="B149" s="334" t="s">
        <v>4543</v>
      </c>
      <c r="C149" s="71"/>
      <c r="D149" s="82"/>
      <c r="E149" s="82"/>
      <c r="F149" s="82"/>
      <c r="G149" s="82"/>
      <c r="H149" s="82"/>
      <c r="I149" s="82"/>
      <c r="J149" s="82"/>
      <c r="K149" s="88"/>
      <c r="L149" s="88"/>
      <c r="M149" s="88"/>
      <c r="N149" s="82"/>
      <c r="O149" s="82"/>
      <c r="P149" s="82"/>
      <c r="R149" s="82"/>
    </row>
    <row r="150" spans="1:18" ht="12" customHeight="1" x14ac:dyDescent="0.15">
      <c r="A150" s="71" t="s">
        <v>4332</v>
      </c>
      <c r="B150" s="334" t="s">
        <v>4544</v>
      </c>
      <c r="C150" s="71"/>
      <c r="D150" s="82"/>
      <c r="E150" s="82"/>
      <c r="F150" s="82"/>
      <c r="G150" s="82"/>
      <c r="H150" s="82"/>
      <c r="I150" s="82"/>
      <c r="J150" s="82"/>
      <c r="K150" s="88"/>
      <c r="L150" s="88"/>
      <c r="M150" s="88"/>
      <c r="N150" s="82"/>
      <c r="O150" s="82"/>
      <c r="P150" s="82"/>
      <c r="R150" s="82"/>
    </row>
    <row r="151" spans="1:18" ht="12" customHeight="1" x14ac:dyDescent="0.15">
      <c r="A151" s="71" t="s">
        <v>4335</v>
      </c>
      <c r="B151" s="334" t="s">
        <v>4545</v>
      </c>
      <c r="C151" s="71"/>
      <c r="D151" s="82"/>
      <c r="E151" s="82"/>
      <c r="F151" s="82"/>
      <c r="G151" s="82"/>
      <c r="H151" s="82"/>
      <c r="I151" s="82"/>
      <c r="J151" s="82"/>
      <c r="K151" s="88"/>
      <c r="L151" s="88"/>
      <c r="M151" s="88"/>
      <c r="N151" s="82"/>
      <c r="O151" s="82"/>
      <c r="P151" s="82"/>
      <c r="R151" s="82"/>
    </row>
    <row r="152" spans="1:18" ht="12" customHeight="1" x14ac:dyDescent="0.15">
      <c r="A152" s="71" t="s">
        <v>4338</v>
      </c>
      <c r="B152" s="334" t="s">
        <v>4546</v>
      </c>
      <c r="C152" s="71"/>
      <c r="D152" s="82"/>
      <c r="E152" s="82"/>
      <c r="F152" s="82"/>
      <c r="G152" s="82"/>
      <c r="H152" s="82"/>
      <c r="I152" s="82"/>
      <c r="J152" s="82"/>
      <c r="K152" s="88"/>
      <c r="L152" s="88"/>
      <c r="M152" s="88"/>
      <c r="N152" s="82"/>
      <c r="O152" s="82"/>
      <c r="P152" s="82"/>
      <c r="R152" s="82"/>
    </row>
    <row r="153" spans="1:18" ht="12" customHeight="1" x14ac:dyDescent="0.15">
      <c r="A153" s="71" t="s">
        <v>4342</v>
      </c>
      <c r="B153" s="334" t="s">
        <v>4547</v>
      </c>
      <c r="C153" s="71"/>
      <c r="D153" s="82"/>
      <c r="E153" s="82"/>
      <c r="F153" s="82"/>
      <c r="G153" s="82"/>
      <c r="H153" s="82"/>
      <c r="I153" s="82"/>
      <c r="J153" s="82"/>
      <c r="K153" s="88"/>
      <c r="L153" s="88"/>
      <c r="M153" s="88"/>
      <c r="N153" s="82"/>
      <c r="O153" s="82"/>
      <c r="P153" s="82"/>
      <c r="R153" s="82"/>
    </row>
    <row r="154" spans="1:18" ht="12" customHeight="1" x14ac:dyDescent="0.15">
      <c r="A154" s="71" t="s">
        <v>4345</v>
      </c>
      <c r="B154" s="334" t="s">
        <v>4548</v>
      </c>
      <c r="C154" s="71"/>
      <c r="D154" s="82"/>
      <c r="E154" s="82"/>
      <c r="F154" s="82"/>
      <c r="G154" s="82"/>
      <c r="H154" s="82"/>
      <c r="I154" s="82"/>
      <c r="J154" s="82"/>
      <c r="K154" s="88"/>
      <c r="L154" s="88"/>
      <c r="M154" s="88"/>
      <c r="N154" s="82"/>
      <c r="O154" s="82"/>
      <c r="P154" s="82"/>
      <c r="R154" s="82"/>
    </row>
    <row r="155" spans="1:18" ht="12" customHeight="1" x14ac:dyDescent="0.15">
      <c r="A155" s="71" t="s">
        <v>4348</v>
      </c>
      <c r="B155" s="334" t="s">
        <v>4549</v>
      </c>
      <c r="C155" s="71"/>
      <c r="D155" s="82"/>
      <c r="E155" s="82"/>
      <c r="F155" s="82"/>
      <c r="G155" s="82"/>
      <c r="H155" s="82"/>
      <c r="I155" s="82"/>
      <c r="J155" s="82"/>
      <c r="K155" s="88"/>
      <c r="L155" s="88"/>
      <c r="M155" s="88"/>
      <c r="N155" s="82"/>
      <c r="O155" s="82"/>
      <c r="P155" s="82"/>
      <c r="R155" s="82"/>
    </row>
    <row r="156" spans="1:18" ht="12" customHeight="1" x14ac:dyDescent="0.15">
      <c r="A156" s="71" t="s">
        <v>4351</v>
      </c>
      <c r="B156" s="334" t="s">
        <v>4550</v>
      </c>
      <c r="C156" s="71"/>
      <c r="D156" s="82"/>
      <c r="E156" s="82"/>
      <c r="F156" s="82"/>
      <c r="G156" s="82"/>
      <c r="H156" s="82"/>
      <c r="I156" s="82"/>
      <c r="J156" s="82"/>
      <c r="K156" s="88"/>
      <c r="L156" s="88"/>
      <c r="M156" s="88"/>
      <c r="N156" s="82"/>
      <c r="O156" s="82"/>
      <c r="P156" s="82"/>
      <c r="R156" s="82"/>
    </row>
    <row r="157" spans="1:18" ht="12" customHeight="1" x14ac:dyDescent="0.15">
      <c r="A157" s="71" t="s">
        <v>4355</v>
      </c>
      <c r="B157" s="334" t="s">
        <v>4551</v>
      </c>
      <c r="C157" s="71"/>
      <c r="D157" s="82"/>
      <c r="E157" s="82"/>
      <c r="F157" s="82"/>
      <c r="G157" s="82"/>
      <c r="H157" s="82"/>
      <c r="I157" s="82"/>
      <c r="J157" s="82"/>
      <c r="K157" s="88"/>
      <c r="L157" s="88"/>
      <c r="M157" s="88"/>
      <c r="N157" s="82"/>
      <c r="O157" s="82"/>
      <c r="P157" s="82"/>
      <c r="R157" s="82"/>
    </row>
    <row r="158" spans="1:18" ht="12" customHeight="1" x14ac:dyDescent="0.15">
      <c r="A158" s="71" t="s">
        <v>4358</v>
      </c>
      <c r="B158" s="334" t="s">
        <v>4552</v>
      </c>
      <c r="C158" s="71"/>
      <c r="D158" s="82"/>
      <c r="E158" s="82"/>
      <c r="F158" s="82"/>
      <c r="G158" s="82"/>
      <c r="H158" s="82"/>
      <c r="I158" s="82"/>
      <c r="J158" s="82"/>
      <c r="K158" s="88"/>
      <c r="L158" s="88"/>
      <c r="M158" s="88"/>
      <c r="N158" s="82"/>
      <c r="O158" s="82"/>
      <c r="P158" s="82"/>
      <c r="R158" s="82"/>
    </row>
    <row r="159" spans="1:18" ht="12" customHeight="1" x14ac:dyDescent="0.15">
      <c r="A159" s="71" t="s">
        <v>4362</v>
      </c>
      <c r="B159" s="334" t="s">
        <v>4553</v>
      </c>
      <c r="C159" s="71"/>
      <c r="D159" s="82"/>
      <c r="E159" s="82"/>
      <c r="F159" s="82"/>
      <c r="G159" s="82"/>
      <c r="H159" s="82"/>
      <c r="I159" s="82"/>
      <c r="J159" s="82"/>
      <c r="K159" s="88"/>
      <c r="L159" s="88"/>
      <c r="M159" s="88"/>
      <c r="N159" s="82"/>
      <c r="O159" s="82"/>
      <c r="P159" s="82"/>
      <c r="R159" s="82"/>
    </row>
    <row r="160" spans="1:18" ht="12" customHeight="1" x14ac:dyDescent="0.15">
      <c r="A160" s="71" t="s">
        <v>4365</v>
      </c>
      <c r="B160" s="334" t="s">
        <v>4554</v>
      </c>
      <c r="C160" s="71"/>
      <c r="D160" s="82"/>
      <c r="E160" s="82"/>
      <c r="F160" s="82"/>
      <c r="G160" s="82"/>
      <c r="H160" s="82"/>
      <c r="I160" s="82"/>
      <c r="J160" s="82"/>
      <c r="K160" s="88"/>
      <c r="L160" s="88"/>
      <c r="M160" s="88"/>
      <c r="N160" s="82"/>
      <c r="O160" s="82"/>
      <c r="P160" s="82"/>
      <c r="R160" s="82"/>
    </row>
    <row r="161" spans="1:18" ht="12" customHeight="1" x14ac:dyDescent="0.15">
      <c r="A161" s="71" t="s">
        <v>4368</v>
      </c>
      <c r="B161" s="334" t="s">
        <v>4555</v>
      </c>
      <c r="C161" s="71"/>
      <c r="D161" s="82"/>
      <c r="E161" s="82"/>
      <c r="F161" s="82"/>
      <c r="G161" s="82"/>
      <c r="H161" s="82"/>
      <c r="I161" s="82"/>
      <c r="J161" s="82"/>
      <c r="K161" s="88"/>
      <c r="L161" s="88"/>
      <c r="M161" s="88"/>
      <c r="N161" s="82"/>
      <c r="O161" s="82"/>
      <c r="P161" s="82"/>
      <c r="R161" s="82"/>
    </row>
    <row r="162" spans="1:18" ht="12" customHeight="1" x14ac:dyDescent="0.15">
      <c r="A162" s="71" t="s">
        <v>4371</v>
      </c>
      <c r="B162" s="334" t="s">
        <v>4556</v>
      </c>
      <c r="C162" s="71"/>
      <c r="D162" s="82"/>
      <c r="E162" s="82"/>
      <c r="F162" s="82"/>
      <c r="G162" s="82"/>
      <c r="H162" s="82"/>
      <c r="I162" s="82"/>
      <c r="J162" s="82"/>
      <c r="K162" s="88"/>
      <c r="L162" s="88"/>
      <c r="M162" s="88"/>
      <c r="N162" s="82"/>
      <c r="O162" s="82"/>
      <c r="P162" s="82"/>
      <c r="R162" s="82"/>
    </row>
    <row r="163" spans="1:18" ht="12" customHeight="1" x14ac:dyDescent="0.15">
      <c r="A163" s="71" t="s">
        <v>4374</v>
      </c>
      <c r="B163" s="334" t="s">
        <v>4557</v>
      </c>
      <c r="C163" s="71"/>
      <c r="D163" s="82"/>
      <c r="E163" s="82"/>
      <c r="F163" s="82"/>
      <c r="G163" s="82"/>
      <c r="H163" s="82"/>
      <c r="I163" s="82"/>
      <c r="J163" s="82"/>
      <c r="K163" s="88"/>
      <c r="L163" s="88"/>
      <c r="M163" s="88"/>
      <c r="N163" s="82"/>
      <c r="O163" s="82"/>
      <c r="P163" s="82"/>
      <c r="R163" s="82"/>
    </row>
    <row r="164" spans="1:18" ht="12" customHeight="1" x14ac:dyDescent="0.15">
      <c r="A164" s="71" t="s">
        <v>4377</v>
      </c>
      <c r="B164" s="334" t="s">
        <v>4558</v>
      </c>
      <c r="C164" s="71"/>
      <c r="D164" s="82"/>
      <c r="E164" s="82"/>
      <c r="F164" s="82"/>
      <c r="G164" s="82"/>
      <c r="H164" s="82"/>
      <c r="I164" s="82"/>
      <c r="J164" s="82"/>
      <c r="L164" s="88"/>
      <c r="M164" s="88"/>
      <c r="N164" s="82"/>
      <c r="O164" s="82"/>
      <c r="P164" s="82"/>
      <c r="R164" s="82"/>
    </row>
    <row r="165" spans="1:18" ht="12" customHeight="1" x14ac:dyDescent="0.15">
      <c r="A165" s="71" t="s">
        <v>4380</v>
      </c>
      <c r="B165" s="334" t="s">
        <v>4559</v>
      </c>
      <c r="C165" s="71"/>
      <c r="D165" s="82"/>
      <c r="E165" s="82"/>
      <c r="F165" s="82"/>
      <c r="G165" s="82"/>
      <c r="H165" s="82"/>
      <c r="I165" s="82"/>
      <c r="J165" s="82"/>
      <c r="L165" s="88"/>
      <c r="M165" s="88"/>
      <c r="N165" s="82"/>
      <c r="O165" s="82"/>
      <c r="P165" s="82"/>
      <c r="R165" s="82"/>
    </row>
    <row r="166" spans="1:18" ht="12" customHeight="1" x14ac:dyDescent="0.15">
      <c r="A166" s="71" t="s">
        <v>4383</v>
      </c>
      <c r="B166" s="334" t="s">
        <v>4560</v>
      </c>
      <c r="C166" s="71"/>
      <c r="D166" s="82"/>
      <c r="E166" s="82"/>
      <c r="F166" s="82"/>
      <c r="G166" s="82"/>
      <c r="H166" s="82"/>
      <c r="I166" s="82"/>
      <c r="J166" s="82"/>
      <c r="L166" s="88"/>
      <c r="M166" s="88"/>
      <c r="N166" s="82"/>
      <c r="O166" s="82"/>
      <c r="P166" s="82"/>
      <c r="R166" s="82"/>
    </row>
    <row r="167" spans="1:18" ht="12" customHeight="1" x14ac:dyDescent="0.15">
      <c r="A167" s="71" t="s">
        <v>4386</v>
      </c>
      <c r="B167" s="334" t="s">
        <v>4561</v>
      </c>
      <c r="C167" s="71"/>
      <c r="D167" s="82"/>
      <c r="E167" s="82"/>
      <c r="F167" s="82"/>
      <c r="G167" s="82"/>
      <c r="H167" s="82"/>
      <c r="I167" s="82"/>
      <c r="J167" s="82"/>
      <c r="L167" s="88"/>
      <c r="M167" s="88"/>
      <c r="N167" s="82"/>
      <c r="O167" s="82"/>
      <c r="P167" s="82"/>
      <c r="R167" s="82"/>
    </row>
    <row r="168" spans="1:18" ht="12" customHeight="1" x14ac:dyDescent="0.15">
      <c r="A168" s="71" t="s">
        <v>4389</v>
      </c>
      <c r="B168" s="334" t="s">
        <v>4562</v>
      </c>
      <c r="C168" s="71"/>
      <c r="D168" s="82"/>
      <c r="E168" s="82"/>
      <c r="F168" s="82"/>
      <c r="G168" s="82"/>
      <c r="H168" s="82"/>
      <c r="I168" s="82"/>
      <c r="J168" s="82"/>
      <c r="L168" s="88"/>
      <c r="M168" s="88"/>
      <c r="N168" s="82"/>
      <c r="O168" s="82"/>
      <c r="P168" s="82"/>
      <c r="R168" s="82"/>
    </row>
    <row r="169" spans="1:18" ht="12" customHeight="1" x14ac:dyDescent="0.15">
      <c r="A169" s="71" t="s">
        <v>4392</v>
      </c>
      <c r="B169" s="334" t="s">
        <v>4563</v>
      </c>
      <c r="C169" s="71"/>
      <c r="D169" s="82"/>
      <c r="E169" s="82"/>
      <c r="F169" s="82"/>
      <c r="H169" s="82"/>
      <c r="I169" s="82"/>
      <c r="J169" s="82"/>
      <c r="L169" s="88"/>
      <c r="M169" s="88"/>
      <c r="N169" s="82"/>
      <c r="O169" s="82"/>
      <c r="P169" s="82"/>
      <c r="R169" s="82"/>
    </row>
    <row r="170" spans="1:18" ht="12" customHeight="1" x14ac:dyDescent="0.15">
      <c r="A170" s="71" t="s">
        <v>4395</v>
      </c>
      <c r="B170" s="334" t="s">
        <v>4564</v>
      </c>
      <c r="C170" s="71"/>
      <c r="D170" s="82"/>
      <c r="E170" s="82"/>
      <c r="F170" s="82"/>
      <c r="H170" s="82"/>
      <c r="I170" s="82"/>
      <c r="J170" s="82"/>
      <c r="L170" s="88"/>
      <c r="M170" s="88"/>
      <c r="N170" s="82"/>
      <c r="O170" s="82"/>
      <c r="P170" s="82"/>
      <c r="R170" s="82"/>
    </row>
    <row r="171" spans="1:18" ht="12" customHeight="1" x14ac:dyDescent="0.15">
      <c r="A171" s="71" t="s">
        <v>4398</v>
      </c>
      <c r="B171" s="334" t="s">
        <v>4565</v>
      </c>
      <c r="C171" s="71"/>
      <c r="D171" s="82"/>
      <c r="E171" s="82"/>
      <c r="F171" s="82"/>
      <c r="H171" s="82"/>
      <c r="I171" s="82"/>
      <c r="J171" s="82"/>
      <c r="L171" s="88"/>
      <c r="M171" s="88"/>
      <c r="N171" s="82"/>
      <c r="O171" s="82"/>
      <c r="P171" s="82"/>
      <c r="R171" s="82"/>
    </row>
    <row r="172" spans="1:18" ht="12" customHeight="1" x14ac:dyDescent="0.15">
      <c r="A172" s="71" t="s">
        <v>4400</v>
      </c>
      <c r="B172" s="334" t="s">
        <v>4566</v>
      </c>
      <c r="C172" s="71"/>
      <c r="D172" s="82"/>
      <c r="E172" s="82"/>
      <c r="F172" s="82"/>
      <c r="H172" s="82"/>
      <c r="I172" s="82"/>
      <c r="J172" s="82"/>
      <c r="L172" s="88"/>
      <c r="M172" s="88"/>
      <c r="N172" s="82"/>
      <c r="O172" s="82"/>
      <c r="P172" s="82"/>
      <c r="R172" s="82"/>
    </row>
    <row r="173" spans="1:18" ht="12" customHeight="1" x14ac:dyDescent="0.15">
      <c r="A173" s="71" t="s">
        <v>4402</v>
      </c>
      <c r="B173" s="334" t="s">
        <v>4567</v>
      </c>
      <c r="C173" s="71"/>
      <c r="D173" s="82"/>
      <c r="E173" s="82"/>
      <c r="F173" s="82"/>
      <c r="H173" s="82"/>
      <c r="I173" s="82"/>
      <c r="J173" s="82"/>
      <c r="L173" s="88"/>
      <c r="M173" s="88"/>
      <c r="N173" s="82"/>
      <c r="O173" s="82"/>
      <c r="P173" s="82"/>
      <c r="R173" s="82"/>
    </row>
    <row r="174" spans="1:18" ht="12" customHeight="1" x14ac:dyDescent="0.15">
      <c r="A174" s="71" t="s">
        <v>4405</v>
      </c>
      <c r="B174" s="334" t="s">
        <v>4568</v>
      </c>
      <c r="C174" s="71"/>
      <c r="D174" s="82"/>
      <c r="E174" s="82"/>
      <c r="F174" s="82"/>
      <c r="H174" s="82"/>
      <c r="I174" s="82"/>
      <c r="J174" s="82"/>
      <c r="L174" s="88"/>
      <c r="M174" s="88"/>
      <c r="N174" s="82"/>
      <c r="O174" s="82"/>
      <c r="P174" s="82"/>
      <c r="R174" s="82"/>
    </row>
    <row r="175" spans="1:18" ht="12" customHeight="1" x14ac:dyDescent="0.15">
      <c r="A175" s="71" t="s">
        <v>4408</v>
      </c>
      <c r="B175" s="334" t="s">
        <v>4569</v>
      </c>
      <c r="C175" s="71"/>
      <c r="D175" s="82"/>
      <c r="E175" s="82"/>
      <c r="F175" s="82"/>
      <c r="H175" s="82"/>
      <c r="I175" s="82"/>
      <c r="J175" s="82"/>
      <c r="L175" s="88"/>
      <c r="M175" s="88"/>
      <c r="N175" s="82"/>
      <c r="O175" s="82"/>
      <c r="P175" s="82"/>
      <c r="R175" s="82"/>
    </row>
    <row r="176" spans="1:18" ht="12" customHeight="1" x14ac:dyDescent="0.15">
      <c r="A176" s="71" t="s">
        <v>4411</v>
      </c>
      <c r="B176" s="334" t="s">
        <v>4570</v>
      </c>
      <c r="C176" s="71"/>
    </row>
    <row r="177" spans="1:3" ht="12" customHeight="1" x14ac:dyDescent="0.15">
      <c r="A177" s="71" t="s">
        <v>4414</v>
      </c>
      <c r="B177" s="334" t="s">
        <v>4571</v>
      </c>
      <c r="C177" s="71"/>
    </row>
    <row r="178" spans="1:3" ht="12" customHeight="1" x14ac:dyDescent="0.15">
      <c r="A178" s="71" t="s">
        <v>4416</v>
      </c>
      <c r="B178" s="334" t="s">
        <v>4572</v>
      </c>
      <c r="C178" s="71"/>
    </row>
    <row r="179" spans="1:3" ht="12" customHeight="1" x14ac:dyDescent="0.15">
      <c r="A179" s="71" t="s">
        <v>4419</v>
      </c>
      <c r="B179" s="334" t="s">
        <v>4573</v>
      </c>
      <c r="C179" s="71"/>
    </row>
    <row r="180" spans="1:3" ht="12" customHeight="1" x14ac:dyDescent="0.15">
      <c r="A180" s="71" t="s">
        <v>4423</v>
      </c>
      <c r="B180" s="334" t="s">
        <v>4574</v>
      </c>
      <c r="C180" s="71"/>
    </row>
    <row r="181" spans="1:3" ht="12" customHeight="1" x14ac:dyDescent="0.15">
      <c r="A181" s="71" t="s">
        <v>4427</v>
      </c>
      <c r="B181" s="334" t="s">
        <v>4575</v>
      </c>
      <c r="C181" s="71"/>
    </row>
    <row r="182" spans="1:3" ht="12" customHeight="1" x14ac:dyDescent="0.15">
      <c r="A182" s="71" t="s">
        <v>4430</v>
      </c>
      <c r="B182" s="334" t="s">
        <v>4576</v>
      </c>
      <c r="C182" s="71"/>
    </row>
    <row r="183" spans="1:3" ht="12" customHeight="1" x14ac:dyDescent="0.15">
      <c r="A183" s="71" t="s">
        <v>4433</v>
      </c>
      <c r="B183" s="334" t="s">
        <v>4577</v>
      </c>
      <c r="C183" s="71"/>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C15E8-8758-19C8-0A2C-58C373D56C98}">
  <sheetPr>
    <tabColor rgb="FFFFCC99"/>
  </sheetPr>
  <dimension ref="A1:A5"/>
  <sheetViews>
    <sheetView workbookViewId="0"/>
  </sheetViews>
  <sheetFormatPr defaultColWidth="8.85546875" defaultRowHeight="15" customHeight="1" x14ac:dyDescent="0.15"/>
  <sheetData>
    <row r="1" spans="1:1" ht="15" customHeight="1" x14ac:dyDescent="0.15">
      <c r="A1" t="s">
        <v>4578</v>
      </c>
    </row>
    <row r="2" spans="1:1" ht="15" customHeight="1" x14ac:dyDescent="0.15">
      <c r="A2" t="s">
        <v>4579</v>
      </c>
    </row>
    <row r="3" spans="1:1" ht="15" customHeight="1" x14ac:dyDescent="0.15">
      <c r="A3" t="s">
        <v>4580</v>
      </c>
    </row>
    <row r="4" spans="1:1" ht="15" customHeight="1" x14ac:dyDescent="0.15">
      <c r="A4" t="s">
        <v>4581</v>
      </c>
    </row>
    <row r="5" spans="1:1" ht="15" customHeight="1" x14ac:dyDescent="0.15">
      <c r="A5" t="s">
        <v>4582</v>
      </c>
    </row>
  </sheetData>
  <sheetProtection insertRows="0" deleteColumns="0" deleteRows="0" sort="0" autoFilter="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849A-B3ED-36B8-9BAD-AE82D9CD8AD8}">
  <sheetPr>
    <tabColor rgb="FFFFCC99"/>
  </sheetPr>
  <dimension ref="A1:A4"/>
  <sheetViews>
    <sheetView workbookViewId="0"/>
  </sheetViews>
  <sheetFormatPr defaultColWidth="8.85546875" defaultRowHeight="15" customHeight="1" x14ac:dyDescent="0.15"/>
  <sheetData>
    <row r="1" spans="1:1" ht="15" customHeight="1" x14ac:dyDescent="0.15">
      <c r="A1" t="s">
        <v>4583</v>
      </c>
    </row>
    <row r="2" spans="1:1" ht="15" customHeight="1" x14ac:dyDescent="0.15">
      <c r="A2" t="s">
        <v>361</v>
      </c>
    </row>
    <row r="3" spans="1:1" ht="15" customHeight="1" x14ac:dyDescent="0.15">
      <c r="A3" t="s">
        <v>4584</v>
      </c>
    </row>
    <row r="4" spans="1:1" ht="15" customHeight="1" x14ac:dyDescent="0.15">
      <c r="A4" t="s">
        <v>4585</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C19CE-7FB8-D6D8-C20C-8C69919AC118}">
  <sheetPr>
    <tabColor theme="3" tint="0.59999389629810485"/>
    <pageSetUpPr fitToPage="1"/>
  </sheetPr>
  <dimension ref="A1:BA243"/>
  <sheetViews>
    <sheetView showGridLines="0" topLeftCell="AA224" workbookViewId="0">
      <selection activeCell="AE242" sqref="AE242"/>
    </sheetView>
  </sheetViews>
  <sheetFormatPr defaultColWidth="9.140625" defaultRowHeight="19.5" customHeight="1" x14ac:dyDescent="0.15"/>
  <cols>
    <col min="1" max="1" width="13.7109375" style="1205" hidden="1" customWidth="1"/>
    <col min="2" max="2" width="14.28515625" style="887" hidden="1" customWidth="1"/>
    <col min="3" max="4" width="3.5703125" style="1205" hidden="1" customWidth="1"/>
    <col min="5" max="5" width="4.7109375" style="545" hidden="1" customWidth="1"/>
    <col min="6" max="21" width="3.5703125" style="1205" hidden="1" customWidth="1"/>
    <col min="22" max="22" width="5.85546875" style="1205" hidden="1" customWidth="1"/>
    <col min="23" max="23" width="12.140625" style="1205" hidden="1" customWidth="1"/>
    <col min="24" max="25" width="6.140625" style="1205" hidden="1" customWidth="1"/>
    <col min="26" max="26" width="12.5703125" style="1334" hidden="1" customWidth="1"/>
    <col min="27" max="27" width="3.42578125" style="1205" customWidth="1"/>
    <col min="28" max="28" width="12" style="1249" customWidth="1"/>
    <col min="29" max="29" width="18" style="1249" customWidth="1"/>
    <col min="30" max="30" width="56.85546875" style="1249" customWidth="1"/>
    <col min="31" max="31" width="65" style="1249" customWidth="1"/>
    <col min="32" max="32" width="3" style="303" customWidth="1"/>
    <col min="33" max="33" width="29.85546875" style="1205" hidden="1" customWidth="1"/>
    <col min="34" max="34" width="18.5703125" style="1205" hidden="1" customWidth="1"/>
    <col min="35" max="53" width="12" style="1205" hidden="1" customWidth="1"/>
  </cols>
  <sheetData>
    <row r="1" spans="1:53" ht="11.25" hidden="1" customHeight="1" x14ac:dyDescent="0.15">
      <c r="E1" s="26"/>
      <c r="V1" s="26" t="s">
        <v>91</v>
      </c>
      <c r="W1" s="424" t="s">
        <v>92</v>
      </c>
      <c r="X1" s="389" t="s">
        <v>93</v>
      </c>
      <c r="Y1" s="389" t="s">
        <v>94</v>
      </c>
      <c r="Z1" s="426" t="s">
        <v>95</v>
      </c>
      <c r="AA1" s="426" t="s">
        <v>96</v>
      </c>
      <c r="AB1" s="427"/>
      <c r="AC1" s="427"/>
      <c r="AD1" s="425" t="s">
        <v>97</v>
      </c>
      <c r="AE1" s="425" t="s">
        <v>98</v>
      </c>
      <c r="AF1" s="424" t="s">
        <v>99</v>
      </c>
    </row>
    <row r="2" spans="1:53" s="887" customFormat="1" ht="11.25" hidden="1" customHeight="1" x14ac:dyDescent="0.15">
      <c r="B2" s="367" t="s">
        <v>18</v>
      </c>
      <c r="W2" s="15"/>
      <c r="X2" s="15"/>
      <c r="Y2" s="15"/>
      <c r="Z2" s="487"/>
      <c r="AA2" s="15"/>
      <c r="AB2" s="349"/>
      <c r="AC2" s="349"/>
      <c r="AD2" s="349"/>
      <c r="AE2" s="349"/>
      <c r="AF2" s="398"/>
      <c r="AG2" s="15"/>
      <c r="AH2" s="15"/>
      <c r="AI2" s="15"/>
      <c r="AJ2" s="15"/>
      <c r="AK2" s="15"/>
      <c r="AL2" s="15"/>
      <c r="AM2" s="15"/>
      <c r="AN2" s="15"/>
      <c r="AO2" s="15"/>
      <c r="AP2" s="15"/>
      <c r="AQ2" s="15"/>
      <c r="AR2" s="15"/>
      <c r="AS2" s="15"/>
      <c r="AT2" s="15"/>
      <c r="AU2" s="15"/>
      <c r="AV2" s="15"/>
      <c r="AW2" s="15"/>
      <c r="AX2" s="15"/>
      <c r="AY2" s="15"/>
      <c r="AZ2" s="15"/>
      <c r="BA2" s="15"/>
    </row>
    <row r="3" spans="1:53" s="887" customFormat="1" ht="11.25" hidden="1" customHeight="1" x14ac:dyDescent="0.15">
      <c r="B3" s="349"/>
      <c r="W3" s="15"/>
      <c r="X3" s="15"/>
      <c r="Y3" s="15"/>
      <c r="Z3" s="487"/>
      <c r="AA3" s="15"/>
      <c r="AB3" s="349"/>
      <c r="AC3" s="349"/>
      <c r="AD3" s="349"/>
      <c r="AE3" s="349"/>
      <c r="AF3" s="398"/>
      <c r="AG3" s="15"/>
      <c r="AH3" s="15"/>
      <c r="AI3" s="15"/>
      <c r="AJ3" s="15"/>
      <c r="AK3" s="15"/>
      <c r="AL3" s="15"/>
      <c r="AM3" s="15"/>
      <c r="AN3" s="15"/>
      <c r="AO3" s="15"/>
      <c r="AP3" s="15"/>
      <c r="AQ3" s="15"/>
      <c r="AR3" s="15"/>
      <c r="AS3" s="15"/>
      <c r="AT3" s="15"/>
      <c r="AU3" s="15"/>
      <c r="AV3" s="15"/>
      <c r="AW3" s="15"/>
      <c r="AX3" s="15"/>
      <c r="AY3" s="15"/>
      <c r="AZ3" s="15"/>
      <c r="BA3" s="15"/>
    </row>
    <row r="4" spans="1:53" s="887" customFormat="1" ht="11.25" hidden="1" customHeight="1" x14ac:dyDescent="0.15">
      <c r="B4" s="349"/>
      <c r="W4" s="15"/>
      <c r="X4" s="15"/>
      <c r="Y4" s="15"/>
      <c r="Z4" s="487"/>
      <c r="AA4" s="15"/>
      <c r="AB4" s="349"/>
      <c r="AC4" s="349"/>
      <c r="AD4" s="349"/>
      <c r="AE4" s="349"/>
      <c r="AF4" s="398"/>
      <c r="AG4" s="15"/>
      <c r="AH4" s="15"/>
      <c r="AI4" s="15"/>
      <c r="AJ4" s="15"/>
      <c r="AK4" s="15"/>
      <c r="AL4" s="15"/>
      <c r="AM4" s="15"/>
      <c r="AN4" s="15"/>
      <c r="AO4" s="15"/>
      <c r="AP4" s="15"/>
      <c r="AQ4" s="15"/>
      <c r="AR4" s="15"/>
      <c r="AS4" s="15"/>
      <c r="AT4" s="15"/>
      <c r="AU4" s="15"/>
      <c r="AV4" s="15"/>
      <c r="AW4" s="15"/>
      <c r="AX4" s="15"/>
      <c r="AY4" s="15"/>
      <c r="AZ4" s="15"/>
      <c r="BA4" s="15"/>
    </row>
    <row r="5" spans="1:53" s="546" customFormat="1" ht="11.25" hidden="1" customHeight="1" x14ac:dyDescent="0.15">
      <c r="A5" s="354"/>
      <c r="B5" s="349"/>
      <c r="C5" s="354"/>
      <c r="D5" s="354"/>
      <c r="E5" s="547" t="s">
        <v>19</v>
      </c>
      <c r="V5" s="354"/>
      <c r="W5" s="549"/>
      <c r="X5" s="549"/>
      <c r="Y5" s="549"/>
      <c r="Z5" s="550"/>
      <c r="AA5" s="549">
        <v>3.43</v>
      </c>
      <c r="AB5" s="549">
        <v>12</v>
      </c>
      <c r="AC5" s="549">
        <v>18</v>
      </c>
      <c r="AD5" s="549">
        <v>56.86</v>
      </c>
      <c r="AE5" s="549">
        <v>65</v>
      </c>
      <c r="AF5" s="549">
        <v>3</v>
      </c>
      <c r="AG5" s="549"/>
      <c r="AH5" s="549"/>
      <c r="AI5" s="549"/>
      <c r="AJ5" s="549"/>
      <c r="AK5" s="549"/>
      <c r="AL5" s="549"/>
      <c r="AM5" s="549"/>
      <c r="AN5" s="549"/>
      <c r="AO5" s="549"/>
      <c r="AP5" s="549"/>
      <c r="AQ5" s="549"/>
      <c r="AR5" s="549"/>
      <c r="AS5" s="549"/>
      <c r="AT5" s="549"/>
      <c r="AU5" s="549"/>
      <c r="AV5" s="549"/>
      <c r="AW5" s="549"/>
      <c r="AX5" s="549"/>
      <c r="AY5" s="549"/>
      <c r="AZ5" s="549"/>
      <c r="BA5" s="549"/>
    </row>
    <row r="6" spans="1:53" s="887" customFormat="1" ht="11.25" hidden="1" customHeight="1" x14ac:dyDescent="0.15">
      <c r="B6" s="349"/>
      <c r="E6" s="546"/>
      <c r="W6" s="15"/>
      <c r="X6" s="15"/>
      <c r="Y6" s="15"/>
      <c r="Z6" s="487"/>
      <c r="AA6" s="15"/>
      <c r="AB6" s="349"/>
      <c r="AC6" s="349"/>
      <c r="AD6" s="349"/>
      <c r="AE6" s="349"/>
      <c r="AF6" s="398"/>
      <c r="AG6" s="15"/>
      <c r="AH6" s="15"/>
      <c r="AI6" s="15"/>
      <c r="AJ6" s="15"/>
      <c r="AK6" s="15"/>
      <c r="AL6" s="15"/>
      <c r="AM6" s="15"/>
      <c r="AN6" s="15"/>
      <c r="AO6" s="15"/>
      <c r="AP6" s="15"/>
      <c r="AQ6" s="15"/>
      <c r="AR6" s="15"/>
      <c r="AS6" s="15"/>
      <c r="AT6" s="15"/>
      <c r="AU6" s="15"/>
      <c r="AV6" s="15"/>
      <c r="AW6" s="15"/>
      <c r="AX6" s="15"/>
      <c r="AY6" s="15"/>
      <c r="AZ6" s="15"/>
      <c r="BA6" s="15"/>
    </row>
    <row r="7" spans="1:53" s="887" customFormat="1" ht="11.25" hidden="1" customHeight="1" x14ac:dyDescent="0.15">
      <c r="B7" s="349"/>
      <c r="E7" s="546"/>
      <c r="W7" s="15"/>
      <c r="X7" s="15"/>
      <c r="Y7" s="15"/>
      <c r="Z7" s="487"/>
      <c r="AA7" s="15"/>
      <c r="AB7" s="349"/>
      <c r="AC7" s="349"/>
      <c r="AD7" s="349"/>
      <c r="AE7" s="349"/>
      <c r="AF7" s="398"/>
      <c r="AG7" s="15"/>
      <c r="AH7" s="15"/>
      <c r="AI7" s="15"/>
      <c r="AJ7" s="15"/>
      <c r="AK7" s="15"/>
      <c r="AL7" s="15"/>
      <c r="AM7" s="15"/>
      <c r="AN7" s="15"/>
      <c r="AO7" s="15"/>
      <c r="AP7" s="15"/>
      <c r="AQ7" s="15"/>
      <c r="AR7" s="15"/>
      <c r="AS7" s="15"/>
      <c r="AT7" s="15"/>
      <c r="AU7" s="15"/>
      <c r="AV7" s="15"/>
      <c r="AW7" s="15"/>
      <c r="AX7" s="15"/>
      <c r="AY7" s="15"/>
      <c r="AZ7" s="15"/>
      <c r="BA7" s="15"/>
    </row>
    <row r="8" spans="1:53" s="887" customFormat="1" ht="11.25" hidden="1" customHeight="1" x14ac:dyDescent="0.15">
      <c r="B8" s="349"/>
      <c r="E8" s="546"/>
      <c r="W8" s="15"/>
      <c r="X8" s="15"/>
      <c r="Y8" s="15"/>
      <c r="Z8" s="487"/>
      <c r="AA8" s="15"/>
      <c r="AB8" s="349"/>
      <c r="AC8" s="349"/>
      <c r="AD8" s="349"/>
      <c r="AE8" s="349"/>
      <c r="AF8" s="398"/>
      <c r="AG8" s="15"/>
      <c r="AH8" s="15"/>
      <c r="AI8" s="15"/>
      <c r="AJ8" s="15"/>
      <c r="AK8" s="15"/>
      <c r="AL8" s="15"/>
      <c r="AM8" s="15"/>
      <c r="AN8" s="15"/>
      <c r="AO8" s="15"/>
      <c r="AP8" s="15"/>
      <c r="AQ8" s="15"/>
      <c r="AR8" s="15"/>
      <c r="AS8" s="15"/>
      <c r="AT8" s="15"/>
      <c r="AU8" s="15"/>
      <c r="AV8" s="15"/>
      <c r="AW8" s="15"/>
      <c r="AX8" s="15"/>
      <c r="AY8" s="15"/>
      <c r="AZ8" s="15"/>
      <c r="BA8" s="15"/>
    </row>
    <row r="9" spans="1:53" s="887" customFormat="1" ht="11.25" hidden="1" customHeight="1" x14ac:dyDescent="0.15">
      <c r="B9" s="349"/>
      <c r="E9" s="546"/>
      <c r="W9" s="15"/>
      <c r="X9" s="15"/>
      <c r="Y9" s="15"/>
      <c r="Z9" s="487"/>
      <c r="AA9" s="15"/>
      <c r="AB9" s="349"/>
      <c r="AC9" s="349"/>
      <c r="AD9" s="349"/>
      <c r="AE9" s="349"/>
      <c r="AF9" s="398"/>
      <c r="AG9" s="15"/>
      <c r="AH9" s="15"/>
      <c r="AI9" s="15"/>
      <c r="AJ9" s="15"/>
      <c r="AK9" s="15"/>
      <c r="AL9" s="15"/>
      <c r="AM9" s="15"/>
      <c r="AN9" s="15"/>
      <c r="AO9" s="15"/>
      <c r="AP9" s="15"/>
      <c r="AQ9" s="15"/>
      <c r="AR9" s="15"/>
      <c r="AS9" s="15"/>
      <c r="AT9" s="15"/>
      <c r="AU9" s="15"/>
      <c r="AV9" s="15"/>
      <c r="AW9" s="15"/>
      <c r="AX9" s="15"/>
      <c r="AY9" s="15"/>
      <c r="AZ9" s="15"/>
      <c r="BA9" s="15"/>
    </row>
    <row r="10" spans="1:53" s="887" customFormat="1" ht="11.25" hidden="1" customHeight="1" x14ac:dyDescent="0.15">
      <c r="B10" s="349"/>
      <c r="E10" s="546"/>
      <c r="W10" s="15"/>
      <c r="X10" s="15"/>
      <c r="Y10" s="15"/>
      <c r="Z10" s="487"/>
      <c r="AA10" s="15"/>
      <c r="AB10" s="349"/>
      <c r="AC10" s="349"/>
      <c r="AD10" s="349"/>
      <c r="AE10" s="349"/>
      <c r="AF10" s="398"/>
      <c r="AG10" s="15"/>
      <c r="AH10" s="15"/>
      <c r="AI10" s="15"/>
      <c r="AJ10" s="15"/>
      <c r="AK10" s="15"/>
      <c r="AL10" s="15"/>
      <c r="AM10" s="15"/>
      <c r="AN10" s="15"/>
      <c r="AO10" s="15"/>
      <c r="AP10" s="15"/>
      <c r="AQ10" s="15"/>
      <c r="AR10" s="15"/>
      <c r="AS10" s="15"/>
      <c r="AT10" s="15"/>
      <c r="AU10" s="15"/>
      <c r="AV10" s="15"/>
      <c r="AW10" s="15"/>
      <c r="AX10" s="15"/>
      <c r="AY10" s="15"/>
      <c r="AZ10" s="15"/>
      <c r="BA10" s="15"/>
    </row>
    <row r="11" spans="1:53" s="887" customFormat="1" ht="11.25" hidden="1" customHeight="1" x14ac:dyDescent="0.15">
      <c r="B11" s="349"/>
      <c r="E11" s="546"/>
      <c r="W11" s="15"/>
      <c r="X11" s="15"/>
      <c r="Y11" s="15"/>
      <c r="Z11" s="487"/>
      <c r="AA11" s="15"/>
      <c r="AB11" s="349"/>
      <c r="AC11" s="349"/>
      <c r="AD11" s="349"/>
      <c r="AE11" s="349"/>
      <c r="AF11" s="398"/>
      <c r="AG11" s="15"/>
      <c r="AH11" s="15"/>
      <c r="AI11" s="15"/>
      <c r="AJ11" s="15"/>
      <c r="AK11" s="15"/>
      <c r="AL11" s="15"/>
      <c r="AM11" s="15"/>
      <c r="AN11" s="15"/>
      <c r="AO11" s="15"/>
      <c r="AP11" s="15"/>
      <c r="AQ11" s="15"/>
      <c r="AR11" s="15"/>
      <c r="AS11" s="15"/>
      <c r="AT11" s="15"/>
      <c r="AU11" s="15"/>
      <c r="AV11" s="15"/>
      <c r="AW11" s="15"/>
      <c r="AX11" s="15"/>
      <c r="AY11" s="15"/>
      <c r="AZ11" s="15"/>
      <c r="BA11" s="15"/>
    </row>
    <row r="12" spans="1:53" s="887" customFormat="1" ht="11.25" hidden="1" customHeight="1" x14ac:dyDescent="0.15">
      <c r="B12" s="349"/>
      <c r="E12" s="546"/>
      <c r="W12" s="15"/>
      <c r="X12" s="15"/>
      <c r="Y12" s="15"/>
      <c r="Z12" s="487"/>
      <c r="AA12" s="15"/>
      <c r="AB12" s="349"/>
      <c r="AC12" s="349"/>
      <c r="AD12" s="349"/>
      <c r="AE12" s="349"/>
      <c r="AF12" s="398"/>
      <c r="AG12" s="15"/>
      <c r="AH12" s="15"/>
      <c r="AI12" s="15"/>
      <c r="AJ12" s="15"/>
      <c r="AK12" s="15"/>
      <c r="AL12" s="15"/>
      <c r="AM12" s="15"/>
      <c r="AN12" s="15"/>
      <c r="AO12" s="15"/>
      <c r="AP12" s="15"/>
      <c r="AQ12" s="15"/>
      <c r="AR12" s="15"/>
      <c r="AS12" s="15"/>
      <c r="AT12" s="15"/>
      <c r="AU12" s="15"/>
      <c r="AV12" s="15"/>
      <c r="AW12" s="15"/>
      <c r="AX12" s="15"/>
      <c r="AY12" s="15"/>
      <c r="AZ12" s="15"/>
      <c r="BA12" s="15"/>
    </row>
    <row r="13" spans="1:53" s="887" customFormat="1" ht="11.25" hidden="1" customHeight="1" x14ac:dyDescent="0.15">
      <c r="B13" s="349"/>
      <c r="E13" s="546"/>
      <c r="W13" s="15"/>
      <c r="X13" s="15"/>
      <c r="Y13" s="15"/>
      <c r="Z13" s="487"/>
      <c r="AA13" s="15"/>
      <c r="AB13" s="349"/>
      <c r="AC13" s="349"/>
      <c r="AD13" s="349"/>
      <c r="AE13" s="349"/>
      <c r="AF13" s="398"/>
      <c r="AG13" s="15"/>
      <c r="AH13" s="15"/>
      <c r="AI13" s="15"/>
      <c r="AJ13" s="15"/>
      <c r="AK13" s="15"/>
      <c r="AL13" s="15"/>
      <c r="AM13" s="15"/>
      <c r="AN13" s="15"/>
      <c r="AO13" s="15"/>
      <c r="AP13" s="15"/>
      <c r="AQ13" s="15"/>
      <c r="AR13" s="15"/>
      <c r="AS13" s="15"/>
      <c r="AT13" s="15"/>
      <c r="AU13" s="15"/>
      <c r="AV13" s="15"/>
      <c r="AW13" s="15"/>
      <c r="AX13" s="15"/>
      <c r="AY13" s="15"/>
      <c r="AZ13" s="15"/>
      <c r="BA13" s="15"/>
    </row>
    <row r="14" spans="1:53" s="887" customFormat="1" ht="11.25" hidden="1" customHeight="1" x14ac:dyDescent="0.15">
      <c r="B14" s="349"/>
      <c r="E14" s="546"/>
      <c r="W14" s="15"/>
      <c r="X14" s="15"/>
      <c r="Y14" s="15"/>
      <c r="Z14" s="487"/>
      <c r="AA14" s="15"/>
      <c r="AB14" s="349"/>
      <c r="AC14" s="349"/>
      <c r="AD14" s="349"/>
      <c r="AE14" s="349"/>
      <c r="AF14" s="398"/>
      <c r="AG14" s="15"/>
      <c r="AH14" s="15"/>
      <c r="AI14" s="15"/>
      <c r="AJ14" s="15"/>
      <c r="AK14" s="15"/>
      <c r="AL14" s="15"/>
      <c r="AM14" s="15"/>
      <c r="AN14" s="15"/>
      <c r="AO14" s="15"/>
      <c r="AP14" s="15"/>
      <c r="AQ14" s="15"/>
      <c r="AR14" s="15"/>
      <c r="AS14" s="15"/>
      <c r="AT14" s="15"/>
      <c r="AU14" s="15"/>
      <c r="AV14" s="15"/>
      <c r="AW14" s="15"/>
      <c r="AX14" s="15"/>
      <c r="AY14" s="15"/>
      <c r="AZ14" s="15"/>
      <c r="BA14" s="15"/>
    </row>
    <row r="15" spans="1:53" s="887" customFormat="1" ht="11.25" hidden="1" customHeight="1" x14ac:dyDescent="0.15">
      <c r="B15" s="349"/>
      <c r="E15" s="546"/>
      <c r="W15" s="15"/>
      <c r="X15" s="15"/>
      <c r="Y15" s="15"/>
      <c r="Z15" s="487"/>
      <c r="AA15" s="15"/>
      <c r="AB15" s="349"/>
      <c r="AC15" s="349"/>
      <c r="AD15" s="349"/>
      <c r="AE15" s="349"/>
      <c r="AF15" s="398"/>
      <c r="AG15" s="15"/>
      <c r="AH15" s="15"/>
      <c r="AI15" s="15"/>
      <c r="AJ15" s="15"/>
      <c r="AK15" s="15"/>
      <c r="AL15" s="15"/>
      <c r="AM15" s="15"/>
      <c r="AN15" s="15"/>
      <c r="AO15" s="15"/>
      <c r="AP15" s="15"/>
      <c r="AQ15" s="15"/>
      <c r="AR15" s="15"/>
      <c r="AS15" s="15"/>
      <c r="AT15" s="15"/>
      <c r="AU15" s="15"/>
      <c r="AV15" s="15"/>
      <c r="AW15" s="15"/>
      <c r="AX15" s="15"/>
      <c r="AY15" s="15"/>
      <c r="AZ15" s="15"/>
      <c r="BA15" s="15"/>
    </row>
    <row r="16" spans="1:53" s="887" customFormat="1" ht="11.25" hidden="1" customHeight="1" x14ac:dyDescent="0.15">
      <c r="B16" s="349"/>
      <c r="E16" s="546"/>
      <c r="W16" s="15"/>
      <c r="X16" s="15"/>
      <c r="Y16" s="15"/>
      <c r="Z16" s="487"/>
      <c r="AA16" s="15"/>
      <c r="AB16" s="349"/>
      <c r="AC16" s="349"/>
      <c r="AD16" s="349"/>
      <c r="AE16" s="349"/>
      <c r="AF16" s="398"/>
      <c r="AG16" s="15"/>
      <c r="AH16" s="15"/>
      <c r="AI16" s="15"/>
      <c r="AJ16" s="15"/>
      <c r="AK16" s="15"/>
      <c r="AL16" s="15"/>
      <c r="AM16" s="15"/>
      <c r="AN16" s="15"/>
      <c r="AO16" s="15"/>
      <c r="AP16" s="15"/>
      <c r="AQ16" s="15"/>
      <c r="AR16" s="15"/>
      <c r="AS16" s="15"/>
      <c r="AT16" s="15"/>
      <c r="AU16" s="15"/>
      <c r="AV16" s="15"/>
      <c r="AW16" s="15"/>
      <c r="AX16" s="15"/>
      <c r="AY16" s="15"/>
      <c r="AZ16" s="15"/>
      <c r="BA16" s="15"/>
    </row>
    <row r="17" spans="2:53" s="887" customFormat="1" ht="11.25" hidden="1" customHeight="1" x14ac:dyDescent="0.15">
      <c r="B17" s="349"/>
      <c r="E17" s="546"/>
      <c r="W17" s="15"/>
      <c r="X17" s="15"/>
      <c r="Y17" s="15"/>
      <c r="Z17" s="487"/>
      <c r="AA17" s="15"/>
      <c r="AB17" s="349"/>
      <c r="AC17" s="349"/>
      <c r="AD17" s="349"/>
      <c r="AE17" s="349"/>
      <c r="AF17" s="398"/>
      <c r="AG17" s="15"/>
      <c r="AH17" s="15"/>
      <c r="AI17" s="15"/>
      <c r="AJ17" s="15"/>
      <c r="AK17" s="15"/>
      <c r="AL17" s="15"/>
      <c r="AM17" s="15"/>
      <c r="AN17" s="15"/>
      <c r="AO17" s="15"/>
      <c r="AP17" s="15"/>
      <c r="AQ17" s="15"/>
      <c r="AR17" s="15"/>
      <c r="AS17" s="15"/>
      <c r="AT17" s="15"/>
      <c r="AU17" s="15"/>
      <c r="AV17" s="15"/>
      <c r="AW17" s="15"/>
      <c r="AX17" s="15"/>
      <c r="AY17" s="15"/>
      <c r="AZ17" s="15"/>
      <c r="BA17" s="15"/>
    </row>
    <row r="18" spans="2:53" s="887" customFormat="1" ht="11.25" hidden="1" customHeight="1" x14ac:dyDescent="0.15">
      <c r="B18" s="349"/>
      <c r="E18" s="546"/>
      <c r="W18" s="15"/>
      <c r="X18" s="15"/>
      <c r="Y18" s="15"/>
      <c r="Z18" s="487"/>
      <c r="AA18" s="15"/>
      <c r="AB18" s="349"/>
      <c r="AC18" s="349"/>
      <c r="AD18" s="349"/>
      <c r="AE18" s="349"/>
      <c r="AF18" s="398"/>
      <c r="AG18" s="15"/>
      <c r="AH18" s="15"/>
      <c r="AI18" s="15"/>
      <c r="AJ18" s="15"/>
      <c r="AK18" s="15"/>
      <c r="AL18" s="15"/>
      <c r="AM18" s="15"/>
      <c r="AN18" s="15"/>
      <c r="AO18" s="15"/>
      <c r="AP18" s="15"/>
      <c r="AQ18" s="15"/>
      <c r="AR18" s="15"/>
      <c r="AS18" s="15"/>
      <c r="AT18" s="15"/>
      <c r="AU18" s="15"/>
      <c r="AV18" s="15"/>
      <c r="AW18" s="15"/>
      <c r="AX18" s="15"/>
      <c r="AY18" s="15"/>
      <c r="AZ18" s="15"/>
      <c r="BA18" s="15"/>
    </row>
    <row r="19" spans="2:53" ht="11.25" hidden="1" customHeight="1" x14ac:dyDescent="0.15"/>
    <row r="20" spans="2:53" ht="11.25" hidden="1" customHeight="1" x14ac:dyDescent="0.15"/>
    <row r="21" spans="2:53" ht="10.9" customHeight="1" x14ac:dyDescent="0.15">
      <c r="E21" s="563">
        <v>11.25</v>
      </c>
      <c r="AA21" s="347"/>
      <c r="AF21" s="26"/>
    </row>
    <row r="22" spans="2:53" ht="18.95" customHeight="1" x14ac:dyDescent="0.15">
      <c r="E22" s="563">
        <v>19.5</v>
      </c>
      <c r="AB22" s="1971" t="s">
        <v>100</v>
      </c>
      <c r="AC22" s="1972"/>
      <c r="AD22" s="1973"/>
      <c r="AE22" s="192" t="s">
        <v>101</v>
      </c>
      <c r="AF22" s="566" t="str" cm="1">
        <f t="array" ref="AF22">INDEX(TEHSHEET!B1:B90,MATCH(region_name,REGION,0))</f>
        <v>RU42</v>
      </c>
    </row>
    <row r="23" spans="2:53" ht="18.95" customHeight="1" x14ac:dyDescent="0.15">
      <c r="E23" s="563">
        <v>19.5</v>
      </c>
      <c r="AB23" s="376"/>
      <c r="AC23" s="377"/>
      <c r="AD23" s="378" t="s">
        <v>102</v>
      </c>
      <c r="AE23" s="864" t="s">
        <v>103</v>
      </c>
      <c r="AH23" s="26"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 (при корректировке тарифов, начиная со второго года долгосрочного периода регулирования)</v>
      </c>
      <c r="AI23" s="26" t="str">
        <f>IF(method_reg="Метод индексации","INDEX",IF(method_reg="Метод экономически обоснованных расходов","EOR",IF(method_reg="Метод сравнения аналогов","ANALOG","RAB")))</f>
        <v>INDEX</v>
      </c>
    </row>
    <row r="24" spans="2:53" ht="18.95" customHeight="1" x14ac:dyDescent="0.15">
      <c r="E24" s="563">
        <v>19.5</v>
      </c>
      <c r="AB24" s="1971" t="s">
        <v>104</v>
      </c>
      <c r="AC24" s="1972"/>
      <c r="AD24" s="1973"/>
      <c r="AE24" s="380">
        <v>2026</v>
      </c>
      <c r="AF24" s="304"/>
      <c r="AI24" s="26" t="str">
        <f>ORG_SHORT_NAME&amp;"_ИНН:"&amp;inn&amp;"_КПП:"&amp;kpp</f>
        <v>ООО "Чистая вода"_ИНН:4246023100_КПП:424601001</v>
      </c>
    </row>
    <row r="25" spans="2:53" ht="18.95" customHeight="1" x14ac:dyDescent="0.15">
      <c r="B25" s="367" t="b">
        <f>AND(NOT(method_reg="Метод экономически обоснованных расходов"),NOT(method_reg="Метод сравнения аналогов"))</f>
        <v>1</v>
      </c>
      <c r="E25" s="563">
        <v>19.5</v>
      </c>
      <c r="AB25" s="1971" t="s">
        <v>105</v>
      </c>
      <c r="AC25" s="1972"/>
      <c r="AD25" s="1973"/>
      <c r="AE25" s="380">
        <v>2024</v>
      </c>
      <c r="AF25" s="568">
        <f>first_year+PERIOD_LENGTH-1</f>
        <v>2032</v>
      </c>
      <c r="AG25" s="26" cm="1">
        <f t="array" ref="AG25">IF(AE242="да",god,last_year)</f>
        <v>2026</v>
      </c>
    </row>
    <row r="26" spans="2:53" ht="18.95" customHeight="1" x14ac:dyDescent="0.15">
      <c r="B26" s="367" t="b">
        <f>AND(NOT(method_reg="Метод экономически обоснованных расходов"),NOT(method_reg="Метод сравнения аналогов"))</f>
        <v>1</v>
      </c>
      <c r="E26" s="563">
        <v>19.5</v>
      </c>
      <c r="AB26" s="1971" t="s">
        <v>106</v>
      </c>
      <c r="AC26" s="1972"/>
      <c r="AD26" s="1973"/>
      <c r="AE26" s="380">
        <v>9</v>
      </c>
      <c r="AF26" s="304"/>
    </row>
    <row r="27" spans="2:53" ht="18.95" customHeight="1" x14ac:dyDescent="0.15">
      <c r="B27" s="367" t="b">
        <f>AND(NOT(method_reg="Метод экономически обоснованных расходов"),NOT(method_reg="Метод сравнения аналогов"),NOT(god=first_year))</f>
        <v>1</v>
      </c>
      <c r="E27" s="563">
        <v>19.5</v>
      </c>
      <c r="AB27" s="1971" t="s">
        <v>107</v>
      </c>
      <c r="AC27" s="1972"/>
      <c r="AD27" s="1973"/>
      <c r="AE27" s="192">
        <f>IF(OR(PERIOD_LENGTH-god+first_year&lt;=0,PERIOD_LENGTH-god+first_year&gt;10),"",PERIOD_LENGTH-god+first_year)</f>
        <v>7</v>
      </c>
      <c r="AF27" s="304"/>
    </row>
    <row r="28" spans="2:53" ht="7.35" customHeight="1" x14ac:dyDescent="0.15">
      <c r="E28" s="563">
        <v>7.5</v>
      </c>
    </row>
    <row r="29" spans="2:53" ht="7.35" customHeight="1" x14ac:dyDescent="0.15">
      <c r="E29" s="563">
        <v>7.5</v>
      </c>
    </row>
    <row r="30" spans="2:53" ht="18.95" customHeight="1" x14ac:dyDescent="0.15">
      <c r="E30" s="563">
        <v>19.5</v>
      </c>
      <c r="AB30" s="1974" t="s">
        <v>108</v>
      </c>
      <c r="AC30" s="1974"/>
      <c r="AD30" s="1974"/>
      <c r="AE30" s="1974"/>
      <c r="AF30" s="305"/>
      <c r="AG30" s="28"/>
      <c r="AH30" s="28"/>
      <c r="AI30" s="28"/>
      <c r="AJ30" s="28"/>
      <c r="AK30" s="28"/>
      <c r="AL30" s="28"/>
    </row>
    <row r="31" spans="2:53" ht="18.95" customHeight="1" x14ac:dyDescent="0.15">
      <c r="E31" s="563">
        <v>19.5</v>
      </c>
      <c r="AB31" s="1975" t="s">
        <v>109</v>
      </c>
      <c r="AC31" s="1975"/>
      <c r="AD31" s="1975"/>
      <c r="AE31" s="1975"/>
      <c r="AF31" s="305"/>
      <c r="AG31" s="28"/>
      <c r="AH31" s="28"/>
      <c r="AI31" s="28"/>
      <c r="AJ31" s="28"/>
      <c r="AK31" s="28"/>
      <c r="AL31" s="28"/>
    </row>
    <row r="32" spans="2:53" ht="18.95" customHeight="1" x14ac:dyDescent="0.15">
      <c r="E32" s="563">
        <v>19.5</v>
      </c>
      <c r="AB32" s="1976" t="s">
        <v>110</v>
      </c>
      <c r="AC32" s="1976"/>
      <c r="AD32" s="1976"/>
      <c r="AE32" s="1976"/>
      <c r="AF32" s="305"/>
      <c r="AG32" s="28"/>
      <c r="AH32" s="28"/>
      <c r="AI32" s="28"/>
      <c r="AJ32" s="28"/>
      <c r="AK32" s="28"/>
      <c r="AL32" s="28"/>
    </row>
    <row r="33" spans="5:38" ht="18.95" customHeight="1" x14ac:dyDescent="0.15">
      <c r="E33" s="563">
        <v>19.5</v>
      </c>
      <c r="AA33" s="567">
        <v>31528492</v>
      </c>
      <c r="AB33" s="1977" t="s">
        <v>111</v>
      </c>
      <c r="AC33" s="1977"/>
      <c r="AD33" s="1977"/>
      <c r="AE33" s="1977"/>
      <c r="AG33" s="28"/>
      <c r="AH33" s="28"/>
      <c r="AI33" s="28"/>
      <c r="AJ33" s="28"/>
      <c r="AK33" s="28"/>
      <c r="AL33" s="26" t="str">
        <f>IFERROR(region_name&amp;" / "&amp;god&amp;" / "&amp;org&amp;" (ИНН:"&amp;inn&amp;", КПП:"&amp;kpp&amp;") / ДПР: "&amp;first_year&amp;"-"&amp;last_year,"")</f>
        <v>Кемеровская область / 2026 / ООО "Чистая вода" (ИНН:4246023100, КПП:424601001) / ДПР: 2024-2032</v>
      </c>
    </row>
    <row r="34" spans="5:38" ht="18.95" customHeight="1" x14ac:dyDescent="0.15">
      <c r="E34" s="563">
        <v>19.5</v>
      </c>
      <c r="AB34" s="1978"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 водоотведения методом индексации установленных тарифов (при корректировке тарифов, начиная со второго года долгосрочного периода регулирования)</v>
      </c>
      <c r="AC34" s="1978"/>
      <c r="AD34" s="1978"/>
      <c r="AE34" s="1978"/>
      <c r="AG34" s="28"/>
      <c r="AH34" s="28"/>
      <c r="AI34" s="28"/>
      <c r="AJ34" s="28"/>
      <c r="AK34" s="28"/>
      <c r="AL34" s="28"/>
    </row>
    <row r="35" spans="5:38" ht="18.95" customHeight="1" x14ac:dyDescent="0.15">
      <c r="E35" s="563">
        <v>19.5</v>
      </c>
      <c r="AB35" s="1979"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2024-2032 гг.</v>
      </c>
      <c r="AC35" s="1979"/>
      <c r="AD35" s="1979"/>
      <c r="AE35" s="1979"/>
      <c r="AF35" s="305"/>
      <c r="AG35" s="28"/>
      <c r="AH35" s="28"/>
      <c r="AI35" s="28"/>
      <c r="AJ35" s="28"/>
      <c r="AK35" s="28"/>
      <c r="AL35" s="28"/>
    </row>
    <row r="36" spans="5:38" ht="10.9" customHeight="1" x14ac:dyDescent="0.15">
      <c r="E36" s="563">
        <v>11.25</v>
      </c>
      <c r="AB36" s="1980"/>
      <c r="AC36" s="1981"/>
      <c r="AD36" s="1981"/>
      <c r="AE36" s="1982"/>
      <c r="AF36" s="399"/>
      <c r="AG36" s="30"/>
      <c r="AH36" s="15"/>
      <c r="AI36" s="1983"/>
      <c r="AJ36" s="1983"/>
      <c r="AK36" s="15"/>
      <c r="AL36" s="30"/>
    </row>
    <row r="37" spans="5:38" ht="18.95" customHeight="1" x14ac:dyDescent="0.15">
      <c r="E37" s="563">
        <v>19.5</v>
      </c>
      <c r="AB37" s="1984" t="s">
        <v>112</v>
      </c>
      <c r="AC37" s="1984"/>
      <c r="AD37" s="1984"/>
      <c r="AE37" s="1984"/>
      <c r="AF37" s="400"/>
      <c r="AG37" s="31"/>
      <c r="AH37" s="31"/>
      <c r="AI37" s="31"/>
      <c r="AJ37" s="31"/>
      <c r="AK37" s="31"/>
      <c r="AL37" s="27"/>
    </row>
    <row r="38" spans="5:38" ht="35.1" customHeight="1" x14ac:dyDescent="0.15">
      <c r="E38" s="563">
        <v>36</v>
      </c>
      <c r="AB38" s="1957" t="s">
        <v>113</v>
      </c>
      <c r="AC38" s="1957"/>
      <c r="AD38" s="1957"/>
      <c r="AE38" s="675" t="s">
        <v>114</v>
      </c>
      <c r="AF38" s="401"/>
      <c r="AG38" s="27"/>
      <c r="AH38" s="27"/>
      <c r="AI38" s="27"/>
    </row>
    <row r="39" spans="5:38" ht="35.1" customHeight="1" x14ac:dyDescent="0.15">
      <c r="E39" s="563">
        <v>36</v>
      </c>
      <c r="AB39" s="1957" t="s">
        <v>115</v>
      </c>
      <c r="AC39" s="1957"/>
      <c r="AD39" s="1957"/>
      <c r="AE39" s="675" t="s">
        <v>111</v>
      </c>
      <c r="AF39" s="401"/>
    </row>
    <row r="40" spans="5:38" ht="18.95" customHeight="1" x14ac:dyDescent="0.15">
      <c r="E40" s="563">
        <v>19.5</v>
      </c>
      <c r="AB40" s="1957" t="s">
        <v>116</v>
      </c>
      <c r="AC40" s="1957"/>
      <c r="AD40" s="1957"/>
      <c r="AE40" s="1075"/>
      <c r="AF40" s="304"/>
    </row>
    <row r="41" spans="5:38" ht="18.95" customHeight="1" x14ac:dyDescent="0.15">
      <c r="E41" s="563">
        <v>19.5</v>
      </c>
      <c r="AB41" s="1957" t="s">
        <v>117</v>
      </c>
      <c r="AC41" s="1957"/>
      <c r="AD41" s="1957"/>
      <c r="AE41" s="676" t="s">
        <v>118</v>
      </c>
      <c r="AF41" s="304"/>
    </row>
    <row r="42" spans="5:38" ht="18.95" customHeight="1" x14ac:dyDescent="0.15">
      <c r="E42" s="563">
        <v>19.5</v>
      </c>
      <c r="AB42" s="1957" t="s">
        <v>119</v>
      </c>
      <c r="AC42" s="1957"/>
      <c r="AD42" s="1957"/>
      <c r="AE42" s="676" t="s">
        <v>120</v>
      </c>
      <c r="AF42" s="304"/>
    </row>
    <row r="43" spans="5:38" ht="18.95" customHeight="1" x14ac:dyDescent="0.15">
      <c r="E43" s="563">
        <v>19.5</v>
      </c>
      <c r="AB43" s="1957" t="s">
        <v>121</v>
      </c>
      <c r="AC43" s="1957"/>
      <c r="AD43" s="1957"/>
      <c r="AE43" s="676" t="s">
        <v>122</v>
      </c>
      <c r="AF43" s="304"/>
    </row>
    <row r="44" spans="5:38" ht="18.95" customHeight="1" x14ac:dyDescent="0.15">
      <c r="E44" s="563">
        <v>19.5</v>
      </c>
      <c r="AB44" s="1957" t="s">
        <v>123</v>
      </c>
      <c r="AC44" s="1957"/>
      <c r="AD44" s="1957"/>
      <c r="AE44" s="301" t="s">
        <v>124</v>
      </c>
      <c r="AF44" s="304"/>
      <c r="AG44" s="26" t="s">
        <v>125</v>
      </c>
    </row>
    <row r="45" spans="5:38" ht="18.95" customHeight="1" x14ac:dyDescent="0.15">
      <c r="E45" s="563">
        <v>19.5</v>
      </c>
      <c r="AB45" s="1957" t="s">
        <v>126</v>
      </c>
      <c r="AC45" s="1957"/>
      <c r="AD45" s="1957"/>
      <c r="AE45" s="307" t="s">
        <v>127</v>
      </c>
      <c r="AF45" s="304"/>
      <c r="AG45" s="26" t="s">
        <v>128</v>
      </c>
    </row>
    <row r="46" spans="5:38" ht="18.95" customHeight="1" x14ac:dyDescent="0.15">
      <c r="E46" s="563">
        <v>19.5</v>
      </c>
      <c r="AB46" s="1957" t="s">
        <v>129</v>
      </c>
      <c r="AC46" s="1957"/>
      <c r="AD46" s="1957"/>
      <c r="AE46" s="306" t="s">
        <v>130</v>
      </c>
      <c r="AG46" s="26" t="s">
        <v>131</v>
      </c>
    </row>
    <row r="47" spans="5:38" ht="18.95" customHeight="1" x14ac:dyDescent="0.15">
      <c r="E47" s="563">
        <v>19.5</v>
      </c>
      <c r="AB47" s="1957" t="s">
        <v>132</v>
      </c>
      <c r="AC47" s="1957"/>
      <c r="AD47" s="1957"/>
      <c r="AE47" s="306" t="s">
        <v>130</v>
      </c>
      <c r="AG47" s="26" t="s">
        <v>133</v>
      </c>
    </row>
    <row r="48" spans="5:38" ht="18.95" customHeight="1" x14ac:dyDescent="0.15">
      <c r="E48" s="563">
        <v>19.5</v>
      </c>
      <c r="AB48" s="1957" t="s">
        <v>134</v>
      </c>
      <c r="AC48" s="1957"/>
      <c r="AD48" s="1957"/>
      <c r="AE48" s="306" t="s">
        <v>135</v>
      </c>
      <c r="AG48" s="26" t="s">
        <v>136</v>
      </c>
    </row>
    <row r="49" spans="2:33" ht="18.95" customHeight="1" x14ac:dyDescent="0.15">
      <c r="E49" s="563">
        <v>19.5</v>
      </c>
      <c r="AB49" s="1957" t="s">
        <v>137</v>
      </c>
      <c r="AC49" s="1957"/>
      <c r="AD49" s="1957"/>
      <c r="AE49" s="307" t="s">
        <v>138</v>
      </c>
      <c r="AG49" s="26" t="s">
        <v>139</v>
      </c>
    </row>
    <row r="50" spans="2:33" ht="18.95" customHeight="1" x14ac:dyDescent="0.15">
      <c r="E50" s="563">
        <v>19.5</v>
      </c>
      <c r="AB50" s="1957" t="s">
        <v>140</v>
      </c>
      <c r="AC50" s="1957"/>
      <c r="AD50" s="1957"/>
      <c r="AE50" s="306" t="s">
        <v>141</v>
      </c>
      <c r="AG50" s="26" t="s">
        <v>142</v>
      </c>
    </row>
    <row r="51" spans="2:33" ht="18.95" customHeight="1" x14ac:dyDescent="0.15">
      <c r="E51" s="563">
        <v>19.5</v>
      </c>
      <c r="AB51" s="1957" t="s">
        <v>143</v>
      </c>
      <c r="AC51" s="1957"/>
      <c r="AD51" s="1957"/>
      <c r="AE51" s="306" t="s">
        <v>144</v>
      </c>
      <c r="AG51" s="26" t="s">
        <v>145</v>
      </c>
    </row>
    <row r="52" spans="2:33" ht="18.95" customHeight="1" x14ac:dyDescent="0.15">
      <c r="E52" s="563">
        <v>19.5</v>
      </c>
      <c r="AB52" s="1957" t="s">
        <v>146</v>
      </c>
      <c r="AC52" s="1957"/>
      <c r="AD52" s="1957"/>
      <c r="AE52" s="308" t="s">
        <v>147</v>
      </c>
      <c r="AG52" s="26" t="s">
        <v>148</v>
      </c>
    </row>
    <row r="53" spans="2:33" ht="18.95" customHeight="1" x14ac:dyDescent="0.15">
      <c r="E53" s="563">
        <v>19.5</v>
      </c>
      <c r="AB53" s="1957" t="s">
        <v>149</v>
      </c>
      <c r="AC53" s="1957"/>
      <c r="AD53" s="16" t="s">
        <v>150</v>
      </c>
      <c r="AE53" s="309" t="s">
        <v>151</v>
      </c>
      <c r="AG53" s="26" t="s">
        <v>152</v>
      </c>
    </row>
    <row r="54" spans="2:33" ht="18.95" customHeight="1" x14ac:dyDescent="0.15">
      <c r="E54" s="563">
        <v>19.5</v>
      </c>
      <c r="AB54" s="1957"/>
      <c r="AC54" s="1957"/>
      <c r="AD54" s="16" t="s">
        <v>153</v>
      </c>
      <c r="AE54" s="309" t="s">
        <v>154</v>
      </c>
      <c r="AG54" s="26" t="s">
        <v>155</v>
      </c>
    </row>
    <row r="55" spans="2:33" ht="18.95" customHeight="1" x14ac:dyDescent="0.15">
      <c r="E55" s="563">
        <v>19.5</v>
      </c>
      <c r="AB55" s="1957"/>
      <c r="AC55" s="1957"/>
      <c r="AD55" s="16" t="s">
        <v>156</v>
      </c>
      <c r="AE55" s="309" t="s">
        <v>157</v>
      </c>
      <c r="AG55" s="26" t="s">
        <v>158</v>
      </c>
    </row>
    <row r="56" spans="2:33" ht="24.95" customHeight="1" x14ac:dyDescent="0.15">
      <c r="E56" s="563">
        <v>25.5</v>
      </c>
      <c r="AB56" s="1957" t="s">
        <v>159</v>
      </c>
      <c r="AC56" s="1957"/>
      <c r="AD56" s="1957"/>
      <c r="AE56" s="309" t="s">
        <v>151</v>
      </c>
      <c r="AF56" s="402"/>
      <c r="AG56" s="26" t="s">
        <v>160</v>
      </c>
    </row>
    <row r="57" spans="2:33" ht="24.95" customHeight="1" x14ac:dyDescent="0.15">
      <c r="E57" s="563">
        <v>25.5</v>
      </c>
      <c r="AB57" s="1957" t="s">
        <v>161</v>
      </c>
      <c r="AC57" s="1957"/>
      <c r="AD57" s="1957"/>
      <c r="AE57" s="309" t="s">
        <v>162</v>
      </c>
      <c r="AF57" s="569"/>
      <c r="AG57" s="494"/>
    </row>
    <row r="58" spans="2:33" ht="18.95" customHeight="1" x14ac:dyDescent="0.15">
      <c r="E58" s="563">
        <v>19.5</v>
      </c>
      <c r="AB58" s="1957" t="s">
        <v>163</v>
      </c>
      <c r="AC58" s="1957"/>
      <c r="AD58" s="1957"/>
      <c r="AE58" s="309" t="s">
        <v>151</v>
      </c>
      <c r="AG58" s="26" t="s">
        <v>164</v>
      </c>
    </row>
    <row r="59" spans="2:33" ht="24.95" customHeight="1" x14ac:dyDescent="0.15">
      <c r="E59" s="563">
        <v>25.5</v>
      </c>
      <c r="AB59" s="1957" t="s">
        <v>165</v>
      </c>
      <c r="AC59" s="1957"/>
      <c r="AD59" s="1957"/>
      <c r="AE59" s="309" t="s">
        <v>151</v>
      </c>
      <c r="AF59" s="402"/>
      <c r="AG59" s="26" t="s">
        <v>166</v>
      </c>
    </row>
    <row r="60" spans="2:33" ht="18.95" customHeight="1" x14ac:dyDescent="0.15">
      <c r="B60" s="367" t="b">
        <f>NOT(method_reg="Метод сравнения аналогов")</f>
        <v>1</v>
      </c>
      <c r="E60" s="563">
        <v>19.5</v>
      </c>
      <c r="F60" s="26" t="s">
        <v>167</v>
      </c>
      <c r="AB60" s="1957" t="s">
        <v>168</v>
      </c>
      <c r="AC60" s="1957"/>
      <c r="AD60" s="1957"/>
      <c r="AE60" s="309" t="s">
        <v>151</v>
      </c>
      <c r="AG60" s="26" t="s">
        <v>169</v>
      </c>
    </row>
    <row r="61" spans="2:33" ht="11.65" customHeight="1" x14ac:dyDescent="0.15">
      <c r="B61" s="367" t="b">
        <f>AND(NOT(method_reg="Метод сравнения аналогов"),STATUS_GO="да")</f>
        <v>1</v>
      </c>
      <c r="E61" s="563">
        <v>12</v>
      </c>
      <c r="AA61" s="562"/>
      <c r="AB61" s="1957" t="s">
        <v>170</v>
      </c>
      <c r="AC61" s="1957"/>
      <c r="AD61" s="1957"/>
      <c r="AE61" s="1335" t="s">
        <v>171</v>
      </c>
      <c r="AF61" s="562"/>
    </row>
    <row r="62" spans="2:33" ht="11.65" hidden="1" customHeight="1" x14ac:dyDescent="0.15">
      <c r="B62" s="367" t="b">
        <f>AND(NOT(method_reg="Метод сравнения аналогов"),STATUS_GO="да")</f>
        <v>1</v>
      </c>
      <c r="E62" s="563">
        <v>12</v>
      </c>
      <c r="W62" s="424" t="b">
        <f>ROW(Y62)&gt;ROW(Y$62)</f>
        <v>0</v>
      </c>
      <c r="Y62" s="26" t="s">
        <v>172</v>
      </c>
      <c r="AA62" s="562" t="s">
        <v>173</v>
      </c>
      <c r="AB62" s="1957" t="s">
        <v>170</v>
      </c>
      <c r="AC62" s="1957"/>
      <c r="AD62" s="1957"/>
      <c r="AE62" s="338"/>
      <c r="AF62" s="562"/>
    </row>
    <row r="63" spans="2:33" ht="13.7" customHeight="1" x14ac:dyDescent="0.15">
      <c r="B63" s="367" t="b">
        <f>AND(NOT(method_reg="Метод сравнения аналогов"),STATUS_GO="да")</f>
        <v>1</v>
      </c>
      <c r="E63" s="563">
        <v>14</v>
      </c>
      <c r="F63" s="26" t="s">
        <v>174</v>
      </c>
      <c r="Y63" s="27" t="s">
        <v>175</v>
      </c>
      <c r="AB63" s="183"/>
      <c r="AC63" s="182"/>
      <c r="AD63" s="182"/>
      <c r="AE63" s="284" t="s">
        <v>176</v>
      </c>
      <c r="AF63" s="997"/>
    </row>
    <row r="64" spans="2:33" ht="13.7" hidden="1" customHeight="1" x14ac:dyDescent="0.15">
      <c r="B64" s="367" t="b">
        <f t="shared" ref="B64:B69" si="0">method_reg="Метод сравнения аналогов"</f>
        <v>0</v>
      </c>
      <c r="E64" s="563">
        <v>14</v>
      </c>
      <c r="AB64" s="488"/>
      <c r="AC64" s="489"/>
      <c r="AD64" s="489"/>
      <c r="AE64" s="490"/>
      <c r="AF64" s="997"/>
    </row>
    <row r="65" spans="2:33" ht="18.95" hidden="1" customHeight="1" x14ac:dyDescent="0.15">
      <c r="B65" s="367" t="b">
        <f t="shared" si="0"/>
        <v>0</v>
      </c>
      <c r="E65" s="563">
        <v>19.5</v>
      </c>
      <c r="AB65" s="1970" t="s">
        <v>177</v>
      </c>
      <c r="AC65" s="1970"/>
      <c r="AD65" s="1970"/>
      <c r="AE65" s="675"/>
      <c r="AF65" s="997"/>
      <c r="AG65" s="865" t="s">
        <v>178</v>
      </c>
    </row>
    <row r="66" spans="2:33" ht="18.95" hidden="1" customHeight="1" x14ac:dyDescent="0.15">
      <c r="B66" s="367" t="b">
        <f t="shared" si="0"/>
        <v>0</v>
      </c>
      <c r="E66" s="563">
        <v>19.5</v>
      </c>
      <c r="AB66" s="1970" t="s">
        <v>179</v>
      </c>
      <c r="AC66" s="1970"/>
      <c r="AD66" s="1970"/>
      <c r="AE66" s="675"/>
      <c r="AF66" s="997"/>
      <c r="AG66" s="865" t="s">
        <v>180</v>
      </c>
    </row>
    <row r="67" spans="2:33" ht="18.95" hidden="1" customHeight="1" x14ac:dyDescent="0.15">
      <c r="B67" s="367" t="b">
        <f t="shared" si="0"/>
        <v>0</v>
      </c>
      <c r="E67" s="563">
        <v>19.5</v>
      </c>
      <c r="AB67" s="1970" t="s">
        <v>181</v>
      </c>
      <c r="AC67" s="1970"/>
      <c r="AD67" s="1970"/>
      <c r="AE67" s="675"/>
      <c r="AF67" s="997"/>
      <c r="AG67" s="865" t="s">
        <v>182</v>
      </c>
    </row>
    <row r="68" spans="2:33" ht="18.95" hidden="1" customHeight="1" x14ac:dyDescent="0.15">
      <c r="B68" s="367" t="b">
        <f t="shared" si="0"/>
        <v>0</v>
      </c>
      <c r="E68" s="563">
        <v>19.5</v>
      </c>
      <c r="AB68" s="1957" t="s">
        <v>183</v>
      </c>
      <c r="AC68" s="1957"/>
      <c r="AD68" s="1957"/>
      <c r="AE68" s="1336"/>
      <c r="AF68" s="997"/>
      <c r="AG68" s="865" t="s">
        <v>184</v>
      </c>
    </row>
    <row r="69" spans="2:33" ht="18.95" hidden="1" customHeight="1" x14ac:dyDescent="0.15">
      <c r="B69" s="367" t="b">
        <f t="shared" si="0"/>
        <v>0</v>
      </c>
      <c r="E69" s="563">
        <v>19.5</v>
      </c>
      <c r="AB69" s="1957" t="s">
        <v>185</v>
      </c>
      <c r="AC69" s="1957"/>
      <c r="AD69" s="1957"/>
      <c r="AE69" s="1337"/>
      <c r="AF69" s="997"/>
      <c r="AG69" s="865" t="s">
        <v>186</v>
      </c>
    </row>
    <row r="70" spans="2:33" ht="13.7" customHeight="1" x14ac:dyDescent="0.15">
      <c r="B70" s="26"/>
      <c r="E70" s="563">
        <v>14</v>
      </c>
      <c r="AB70" s="488"/>
      <c r="AC70" s="489"/>
      <c r="AD70" s="489"/>
      <c r="AE70" s="490"/>
      <c r="AF70" s="997"/>
    </row>
    <row r="71" spans="2:33" ht="18.95" customHeight="1" x14ac:dyDescent="0.15">
      <c r="B71" s="26"/>
      <c r="E71" s="563">
        <v>19.5</v>
      </c>
      <c r="AB71" s="1957" t="s">
        <v>187</v>
      </c>
      <c r="AC71" s="1957"/>
      <c r="AD71" s="1957"/>
      <c r="AE71" s="309" t="s">
        <v>151</v>
      </c>
      <c r="AF71" s="997"/>
      <c r="AG71" s="26" t="s">
        <v>188</v>
      </c>
    </row>
    <row r="72" spans="2:33" ht="18.95" customHeight="1" x14ac:dyDescent="0.15">
      <c r="B72" s="26"/>
      <c r="E72" s="563">
        <v>19.5</v>
      </c>
      <c r="F72" s="26" t="s">
        <v>189</v>
      </c>
      <c r="AB72" s="1957" t="s">
        <v>190</v>
      </c>
      <c r="AC72" s="1957"/>
      <c r="AD72" s="1957"/>
      <c r="AE72" s="309" t="s">
        <v>191</v>
      </c>
      <c r="AF72" s="997"/>
      <c r="AG72" s="26" t="s">
        <v>192</v>
      </c>
    </row>
    <row r="73" spans="2:33" ht="18.95" hidden="1" customHeight="1" x14ac:dyDescent="0.15">
      <c r="B73" s="367" t="b">
        <f t="shared" ref="B73:B83" si="1">HAS_DOC2="да"</f>
        <v>0</v>
      </c>
      <c r="E73" s="563">
        <v>19.5</v>
      </c>
      <c r="AB73" s="1959" t="s">
        <v>193</v>
      </c>
      <c r="AC73" s="1967" t="s">
        <v>194</v>
      </c>
      <c r="AD73" s="1969"/>
      <c r="AE73" s="1338"/>
      <c r="AF73" s="997"/>
    </row>
    <row r="74" spans="2:33" ht="18.95" hidden="1" customHeight="1" x14ac:dyDescent="0.15">
      <c r="B74" s="367" t="b">
        <f t="shared" si="1"/>
        <v>0</v>
      </c>
      <c r="E74" s="563">
        <v>19.5</v>
      </c>
      <c r="AB74" s="1960"/>
      <c r="AC74" s="1967" t="s">
        <v>195</v>
      </c>
      <c r="AD74" s="1969"/>
      <c r="AE74" s="1339"/>
      <c r="AF74" s="997"/>
    </row>
    <row r="75" spans="2:33" ht="18.95" hidden="1" customHeight="1" x14ac:dyDescent="0.15">
      <c r="B75" s="367" t="b">
        <f t="shared" si="1"/>
        <v>0</v>
      </c>
      <c r="E75" s="563">
        <v>19.5</v>
      </c>
      <c r="AB75" s="1960"/>
      <c r="AC75" s="1967" t="s">
        <v>196</v>
      </c>
      <c r="AD75" s="1969"/>
      <c r="AE75" s="1338"/>
      <c r="AF75" s="997"/>
    </row>
    <row r="76" spans="2:33" ht="18.95" hidden="1" customHeight="1" x14ac:dyDescent="0.15">
      <c r="B76" s="367" t="b">
        <f t="shared" si="1"/>
        <v>0</v>
      </c>
      <c r="E76" s="563">
        <v>19.5</v>
      </c>
      <c r="AB76" s="1960"/>
      <c r="AC76" s="1967" t="s">
        <v>197</v>
      </c>
      <c r="AD76" s="1969"/>
      <c r="AE76" s="1340"/>
    </row>
    <row r="77" spans="2:33" ht="18.95" hidden="1" customHeight="1" x14ac:dyDescent="0.15">
      <c r="B77" s="367" t="b">
        <f t="shared" si="1"/>
        <v>0</v>
      </c>
      <c r="E77" s="563">
        <v>19.5</v>
      </c>
      <c r="AB77" s="1961"/>
      <c r="AC77" s="1967" t="s">
        <v>198</v>
      </c>
      <c r="AD77" s="1969"/>
      <c r="AE77" s="1341"/>
    </row>
    <row r="78" spans="2:33" ht="18.95" hidden="1" customHeight="1" x14ac:dyDescent="0.15">
      <c r="B78" s="367" t="b">
        <f t="shared" si="1"/>
        <v>0</v>
      </c>
      <c r="E78" s="563">
        <v>19.5</v>
      </c>
      <c r="W78" s="424" t="b">
        <f>ROW(Y78)&gt;ROW(Y$78)</f>
        <v>0</v>
      </c>
      <c r="Y78" s="26" t="s">
        <v>172</v>
      </c>
      <c r="AA78" s="1958" t="s">
        <v>173</v>
      </c>
      <c r="AB78" s="1959" t="s">
        <v>193</v>
      </c>
      <c r="AC78" s="1967" t="s">
        <v>194</v>
      </c>
      <c r="AD78" s="1969"/>
      <c r="AE78" s="1338"/>
    </row>
    <row r="79" spans="2:33" ht="18.95" hidden="1" customHeight="1" x14ac:dyDescent="0.15">
      <c r="B79" s="367" t="b">
        <f t="shared" si="1"/>
        <v>0</v>
      </c>
      <c r="E79" s="563">
        <v>19.5</v>
      </c>
      <c r="W79" s="424" t="b" cm="1">
        <f t="array" ref="W79">W78</f>
        <v>0</v>
      </c>
      <c r="AA79" s="1958"/>
      <c r="AB79" s="1960"/>
      <c r="AC79" s="1967" t="s">
        <v>195</v>
      </c>
      <c r="AD79" s="1969"/>
      <c r="AE79" s="1339"/>
    </row>
    <row r="80" spans="2:33" ht="18.95" hidden="1" customHeight="1" x14ac:dyDescent="0.15">
      <c r="B80" s="367" t="b">
        <f t="shared" si="1"/>
        <v>0</v>
      </c>
      <c r="E80" s="563">
        <v>19.5</v>
      </c>
      <c r="W80" s="424" t="b" cm="1">
        <f t="array" ref="W80">W79</f>
        <v>0</v>
      </c>
      <c r="AA80" s="1958"/>
      <c r="AB80" s="1960"/>
      <c r="AC80" s="1967" t="s">
        <v>196</v>
      </c>
      <c r="AD80" s="1969"/>
      <c r="AE80" s="1338"/>
    </row>
    <row r="81" spans="2:33" ht="18.95" hidden="1" customHeight="1" x14ac:dyDescent="0.15">
      <c r="B81" s="367" t="b">
        <f t="shared" si="1"/>
        <v>0</v>
      </c>
      <c r="E81" s="563">
        <v>19.5</v>
      </c>
      <c r="W81" s="424" t="b" cm="1">
        <f t="array" ref="W81">W80</f>
        <v>0</v>
      </c>
      <c r="AA81" s="1958"/>
      <c r="AB81" s="1960"/>
      <c r="AC81" s="1967" t="s">
        <v>197</v>
      </c>
      <c r="AD81" s="1969"/>
      <c r="AE81" s="1340"/>
    </row>
    <row r="82" spans="2:33" ht="18.95" hidden="1" customHeight="1" x14ac:dyDescent="0.15">
      <c r="B82" s="367" t="b">
        <f t="shared" si="1"/>
        <v>0</v>
      </c>
      <c r="E82" s="563">
        <v>19.5</v>
      </c>
      <c r="W82" s="424" t="b" cm="1">
        <f t="array" ref="W82">W81</f>
        <v>0</v>
      </c>
      <c r="AA82" s="1958"/>
      <c r="AB82" s="1961"/>
      <c r="AC82" s="1967" t="s">
        <v>198</v>
      </c>
      <c r="AD82" s="1969"/>
      <c r="AE82" s="1341"/>
    </row>
    <row r="83" spans="2:33" ht="14.65" hidden="1" customHeight="1" x14ac:dyDescent="0.15">
      <c r="B83" s="367" t="b">
        <f t="shared" si="1"/>
        <v>0</v>
      </c>
      <c r="E83" s="563">
        <v>15</v>
      </c>
      <c r="F83" s="26" t="s">
        <v>189</v>
      </c>
      <c r="Y83" s="27" t="s">
        <v>175</v>
      </c>
      <c r="AB83" s="183"/>
      <c r="AC83" s="182"/>
      <c r="AD83" s="182"/>
      <c r="AE83" s="284" t="s">
        <v>176</v>
      </c>
    </row>
    <row r="84" spans="2:33" ht="18.95" customHeight="1" x14ac:dyDescent="0.15">
      <c r="B84" s="26"/>
      <c r="E84" s="563">
        <v>19.5</v>
      </c>
      <c r="F84" s="26" t="s">
        <v>199</v>
      </c>
      <c r="AB84" s="1957" t="s">
        <v>200</v>
      </c>
      <c r="AC84" s="1957"/>
      <c r="AD84" s="1957"/>
      <c r="AE84" s="309" t="s">
        <v>151</v>
      </c>
      <c r="AG84" s="26" t="s">
        <v>201</v>
      </c>
    </row>
    <row r="85" spans="2:33" ht="18.95" customHeight="1" x14ac:dyDescent="0.15">
      <c r="B85" s="367" t="b">
        <f t="shared" ref="B85:B95" si="2">HAS_DOC3="да"</f>
        <v>1</v>
      </c>
      <c r="E85" s="563">
        <v>19.5</v>
      </c>
      <c r="AB85" s="1962" t="s">
        <v>193</v>
      </c>
      <c r="AC85" s="1957" t="s">
        <v>194</v>
      </c>
      <c r="AD85" s="1957"/>
      <c r="AE85" s="301" t="s">
        <v>202</v>
      </c>
    </row>
    <row r="86" spans="2:33" ht="18.95" customHeight="1" x14ac:dyDescent="0.15">
      <c r="B86" s="367" t="b">
        <f t="shared" si="2"/>
        <v>1</v>
      </c>
      <c r="E86" s="563">
        <v>19.5</v>
      </c>
      <c r="AB86" s="1962"/>
      <c r="AC86" s="1957" t="s">
        <v>195</v>
      </c>
      <c r="AD86" s="1957"/>
      <c r="AE86" s="302" t="s">
        <v>203</v>
      </c>
    </row>
    <row r="87" spans="2:33" ht="18.95" customHeight="1" x14ac:dyDescent="0.15">
      <c r="B87" s="367" t="b">
        <f t="shared" si="2"/>
        <v>1</v>
      </c>
      <c r="E87" s="563">
        <v>19.5</v>
      </c>
      <c r="AB87" s="1962"/>
      <c r="AC87" s="1957" t="s">
        <v>196</v>
      </c>
      <c r="AD87" s="1957"/>
      <c r="AE87" s="301" t="s">
        <v>204</v>
      </c>
    </row>
    <row r="88" spans="2:33" ht="18.95" customHeight="1" x14ac:dyDescent="0.15">
      <c r="B88" s="367" t="b">
        <f t="shared" si="2"/>
        <v>1</v>
      </c>
      <c r="E88" s="563">
        <v>19.5</v>
      </c>
      <c r="AB88" s="1962"/>
      <c r="AC88" s="1957" t="s">
        <v>197</v>
      </c>
      <c r="AD88" s="1957"/>
      <c r="AE88" s="341">
        <v>44924</v>
      </c>
    </row>
    <row r="89" spans="2:33" ht="18.95" customHeight="1" x14ac:dyDescent="0.15">
      <c r="B89" s="367" t="b">
        <f t="shared" si="2"/>
        <v>1</v>
      </c>
      <c r="E89" s="563">
        <v>19.5</v>
      </c>
      <c r="AB89" s="1962"/>
      <c r="AC89" s="1957" t="s">
        <v>198</v>
      </c>
      <c r="AD89" s="1957"/>
      <c r="AE89" s="322" t="s">
        <v>205</v>
      </c>
    </row>
    <row r="90" spans="2:33" ht="18.95" hidden="1" customHeight="1" x14ac:dyDescent="0.15">
      <c r="B90" s="367" t="b">
        <f t="shared" si="2"/>
        <v>1</v>
      </c>
      <c r="E90" s="563">
        <v>19.5</v>
      </c>
      <c r="W90" s="424" t="b">
        <f>ROW(Y90)&gt;ROW(Y$90)</f>
        <v>0</v>
      </c>
      <c r="Y90" s="26" t="s">
        <v>172</v>
      </c>
      <c r="AA90" s="1958" t="s">
        <v>173</v>
      </c>
      <c r="AB90" s="1959" t="s">
        <v>193</v>
      </c>
      <c r="AC90" s="1967" t="s">
        <v>194</v>
      </c>
      <c r="AD90" s="1969"/>
      <c r="AE90" s="1338"/>
    </row>
    <row r="91" spans="2:33" ht="18.95" hidden="1" customHeight="1" x14ac:dyDescent="0.15">
      <c r="B91" s="367" t="b">
        <f t="shared" si="2"/>
        <v>1</v>
      </c>
      <c r="E91" s="563">
        <v>19.5</v>
      </c>
      <c r="W91" s="424" t="b" cm="1">
        <f t="array" ref="W91">W90</f>
        <v>0</v>
      </c>
      <c r="AA91" s="1958"/>
      <c r="AB91" s="1960"/>
      <c r="AC91" s="1967" t="s">
        <v>195</v>
      </c>
      <c r="AD91" s="1969"/>
      <c r="AE91" s="1339"/>
    </row>
    <row r="92" spans="2:33" ht="18.95" hidden="1" customHeight="1" x14ac:dyDescent="0.15">
      <c r="B92" s="367" t="b">
        <f t="shared" si="2"/>
        <v>1</v>
      </c>
      <c r="E92" s="563">
        <v>19.5</v>
      </c>
      <c r="W92" s="424" t="b" cm="1">
        <f t="array" ref="W92">W91</f>
        <v>0</v>
      </c>
      <c r="AA92" s="1958"/>
      <c r="AB92" s="1960"/>
      <c r="AC92" s="1967" t="s">
        <v>196</v>
      </c>
      <c r="AD92" s="1969"/>
      <c r="AE92" s="1338"/>
    </row>
    <row r="93" spans="2:33" ht="18.95" hidden="1" customHeight="1" x14ac:dyDescent="0.15">
      <c r="B93" s="367" t="b">
        <f t="shared" si="2"/>
        <v>1</v>
      </c>
      <c r="E93" s="563">
        <v>19.5</v>
      </c>
      <c r="W93" s="424" t="b" cm="1">
        <f t="array" ref="W93">W92</f>
        <v>0</v>
      </c>
      <c r="AA93" s="1958"/>
      <c r="AB93" s="1960"/>
      <c r="AC93" s="1967" t="s">
        <v>197</v>
      </c>
      <c r="AD93" s="1969"/>
      <c r="AE93" s="1340"/>
    </row>
    <row r="94" spans="2:33" ht="18.95" hidden="1" customHeight="1" x14ac:dyDescent="0.15">
      <c r="B94" s="367" t="b">
        <f t="shared" si="2"/>
        <v>1</v>
      </c>
      <c r="E94" s="563">
        <v>19.5</v>
      </c>
      <c r="W94" s="424" t="b" cm="1">
        <f t="array" ref="W94">W93</f>
        <v>0</v>
      </c>
      <c r="AA94" s="1958"/>
      <c r="AB94" s="1961"/>
      <c r="AC94" s="1967" t="s">
        <v>198</v>
      </c>
      <c r="AD94" s="1969"/>
      <c r="AE94" s="1341"/>
    </row>
    <row r="95" spans="2:33" ht="14.65" customHeight="1" x14ac:dyDescent="0.15">
      <c r="B95" s="367" t="b">
        <f t="shared" si="2"/>
        <v>1</v>
      </c>
      <c r="E95" s="563">
        <v>15</v>
      </c>
      <c r="F95" s="26" t="s">
        <v>199</v>
      </c>
      <c r="Y95" s="27" t="s">
        <v>175</v>
      </c>
      <c r="AB95" s="183"/>
      <c r="AC95" s="182"/>
      <c r="AD95" s="182"/>
      <c r="AE95" s="284" t="s">
        <v>176</v>
      </c>
    </row>
    <row r="96" spans="2:33" ht="18.95" customHeight="1" x14ac:dyDescent="0.15">
      <c r="B96" s="367" t="b">
        <f>NOT(method_reg="Метод сравнения аналогов")</f>
        <v>1</v>
      </c>
      <c r="E96" s="563">
        <v>19.5</v>
      </c>
      <c r="F96" s="26" t="s">
        <v>206</v>
      </c>
      <c r="AB96" s="1957" t="s">
        <v>207</v>
      </c>
      <c r="AC96" s="1957"/>
      <c r="AD96" s="1957"/>
      <c r="AE96" s="309" t="s">
        <v>151</v>
      </c>
      <c r="AG96" s="26" t="s">
        <v>208</v>
      </c>
    </row>
    <row r="97" spans="2:33" ht="18.95" customHeight="1" x14ac:dyDescent="0.15">
      <c r="B97" s="367" t="b">
        <f t="shared" ref="B97:B107" si="3">AND(NOT(method_reg="Метод сравнения аналогов"),HAS_DOC4="да")</f>
        <v>1</v>
      </c>
      <c r="E97" s="563">
        <v>19.5</v>
      </c>
      <c r="AB97" s="1962" t="s">
        <v>193</v>
      </c>
      <c r="AC97" s="1957" t="s">
        <v>194</v>
      </c>
      <c r="AD97" s="1957"/>
      <c r="AE97" s="301" t="s">
        <v>209</v>
      </c>
    </row>
    <row r="98" spans="2:33" ht="18.95" customHeight="1" x14ac:dyDescent="0.15">
      <c r="B98" s="367" t="b">
        <f t="shared" si="3"/>
        <v>1</v>
      </c>
      <c r="E98" s="563">
        <v>19.5</v>
      </c>
      <c r="AB98" s="1962"/>
      <c r="AC98" s="1957" t="s">
        <v>195</v>
      </c>
      <c r="AD98" s="1957"/>
      <c r="AE98" s="302" t="s">
        <v>203</v>
      </c>
    </row>
    <row r="99" spans="2:33" ht="18.95" customHeight="1" x14ac:dyDescent="0.15">
      <c r="B99" s="367" t="b">
        <f t="shared" si="3"/>
        <v>1</v>
      </c>
      <c r="E99" s="563">
        <v>19.5</v>
      </c>
      <c r="AB99" s="1962"/>
      <c r="AC99" s="1957" t="s">
        <v>196</v>
      </c>
      <c r="AD99" s="1957"/>
      <c r="AE99" s="301" t="s">
        <v>210</v>
      </c>
    </row>
    <row r="100" spans="2:33" ht="18.95" customHeight="1" x14ac:dyDescent="0.15">
      <c r="B100" s="367" t="b">
        <f t="shared" si="3"/>
        <v>1</v>
      </c>
      <c r="E100" s="563">
        <v>19.5</v>
      </c>
      <c r="AB100" s="1962"/>
      <c r="AC100" s="1957" t="s">
        <v>197</v>
      </c>
      <c r="AD100" s="1957"/>
      <c r="AE100" s="341">
        <v>45646</v>
      </c>
    </row>
    <row r="101" spans="2:33" ht="18.95" customHeight="1" x14ac:dyDescent="0.15">
      <c r="B101" s="367" t="b">
        <f t="shared" si="3"/>
        <v>1</v>
      </c>
      <c r="E101" s="563">
        <v>19.5</v>
      </c>
      <c r="AB101" s="1962"/>
      <c r="AC101" s="1957" t="s">
        <v>198</v>
      </c>
      <c r="AD101" s="1957"/>
      <c r="AE101" s="322" t="s">
        <v>211</v>
      </c>
    </row>
    <row r="102" spans="2:33" ht="18.95" hidden="1" customHeight="1" x14ac:dyDescent="0.15">
      <c r="B102" s="367" t="b">
        <f t="shared" si="3"/>
        <v>1</v>
      </c>
      <c r="E102" s="563">
        <v>19.5</v>
      </c>
      <c r="W102" s="424" t="b">
        <f>ROW(Y102)&gt;ROW(Y$102)</f>
        <v>0</v>
      </c>
      <c r="Y102" s="26" t="s">
        <v>172</v>
      </c>
      <c r="AA102" s="1958" t="s">
        <v>173</v>
      </c>
      <c r="AB102" s="1959" t="s">
        <v>193</v>
      </c>
      <c r="AC102" s="1967" t="s">
        <v>194</v>
      </c>
      <c r="AD102" s="1969"/>
      <c r="AE102" s="1338"/>
    </row>
    <row r="103" spans="2:33" ht="18.95" hidden="1" customHeight="1" x14ac:dyDescent="0.15">
      <c r="B103" s="367" t="b">
        <f t="shared" si="3"/>
        <v>1</v>
      </c>
      <c r="E103" s="563">
        <v>19.5</v>
      </c>
      <c r="W103" s="424" t="b" cm="1">
        <f t="array" ref="W103">W102</f>
        <v>0</v>
      </c>
      <c r="AA103" s="1958"/>
      <c r="AB103" s="1960"/>
      <c r="AC103" s="1967" t="s">
        <v>195</v>
      </c>
      <c r="AD103" s="1969"/>
      <c r="AE103" s="1339"/>
    </row>
    <row r="104" spans="2:33" ht="18.95" hidden="1" customHeight="1" x14ac:dyDescent="0.15">
      <c r="B104" s="367" t="b">
        <f t="shared" si="3"/>
        <v>1</v>
      </c>
      <c r="E104" s="563">
        <v>19.5</v>
      </c>
      <c r="W104" s="424" t="b" cm="1">
        <f t="array" ref="W104">W103</f>
        <v>0</v>
      </c>
      <c r="AA104" s="1958"/>
      <c r="AB104" s="1960"/>
      <c r="AC104" s="1967" t="s">
        <v>196</v>
      </c>
      <c r="AD104" s="1969"/>
      <c r="AE104" s="1338"/>
    </row>
    <row r="105" spans="2:33" ht="18.95" hidden="1" customHeight="1" x14ac:dyDescent="0.15">
      <c r="B105" s="367" t="b">
        <f t="shared" si="3"/>
        <v>1</v>
      </c>
      <c r="E105" s="563">
        <v>19.5</v>
      </c>
      <c r="W105" s="424" t="b" cm="1">
        <f t="array" ref="W105">W104</f>
        <v>0</v>
      </c>
      <c r="AA105" s="1958"/>
      <c r="AB105" s="1960"/>
      <c r="AC105" s="1967" t="s">
        <v>197</v>
      </c>
      <c r="AD105" s="1969"/>
      <c r="AE105" s="1340"/>
    </row>
    <row r="106" spans="2:33" ht="18.95" hidden="1" customHeight="1" x14ac:dyDescent="0.15">
      <c r="B106" s="367" t="b">
        <f t="shared" si="3"/>
        <v>1</v>
      </c>
      <c r="E106" s="563">
        <v>19.5</v>
      </c>
      <c r="W106" s="424" t="b" cm="1">
        <f t="array" ref="W106">W105</f>
        <v>0</v>
      </c>
      <c r="AA106" s="1958"/>
      <c r="AB106" s="1961"/>
      <c r="AC106" s="1967" t="s">
        <v>198</v>
      </c>
      <c r="AD106" s="1969"/>
      <c r="AE106" s="1341"/>
    </row>
    <row r="107" spans="2:33" ht="14.65" customHeight="1" x14ac:dyDescent="0.15">
      <c r="B107" s="367" t="b">
        <f t="shared" si="3"/>
        <v>1</v>
      </c>
      <c r="E107" s="563">
        <v>15</v>
      </c>
      <c r="F107" s="26" t="s">
        <v>206</v>
      </c>
      <c r="Y107" s="27" t="s">
        <v>175</v>
      </c>
      <c r="AB107" s="183"/>
      <c r="AC107" s="182"/>
      <c r="AD107" s="182"/>
      <c r="AE107" s="284" t="s">
        <v>176</v>
      </c>
    </row>
    <row r="108" spans="2:33" ht="24.95" customHeight="1" x14ac:dyDescent="0.15">
      <c r="B108" s="367" t="b">
        <f>NOT(method_reg="Метод сравнения аналогов")</f>
        <v>1</v>
      </c>
      <c r="E108" s="563">
        <v>25.5</v>
      </c>
      <c r="F108" s="26" t="s">
        <v>212</v>
      </c>
      <c r="AB108" s="1957"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1957"/>
      <c r="AD108" s="1957"/>
      <c r="AE108" s="309" t="s">
        <v>151</v>
      </c>
      <c r="AF108" s="402"/>
      <c r="AG108" s="26" t="s">
        <v>213</v>
      </c>
    </row>
    <row r="109" spans="2:33" ht="18.95" customHeight="1" x14ac:dyDescent="0.15">
      <c r="B109" s="367" t="b">
        <f t="shared" ref="B109:B121" si="4">AND(NOT(method_reg="Метод сравнения аналогов"),HAS_DOC5="да")</f>
        <v>1</v>
      </c>
      <c r="E109" s="563">
        <v>19.5</v>
      </c>
      <c r="AB109" s="1959" t="s">
        <v>193</v>
      </c>
      <c r="AC109" s="1957" t="s">
        <v>194</v>
      </c>
      <c r="AD109" s="1957"/>
      <c r="AE109" s="1342" t="s">
        <v>214</v>
      </c>
    </row>
    <row r="110" spans="2:33" ht="18.95" customHeight="1" x14ac:dyDescent="0.15">
      <c r="B110" s="367" t="b">
        <f t="shared" si="4"/>
        <v>1</v>
      </c>
      <c r="E110" s="563">
        <v>19.5</v>
      </c>
      <c r="AB110" s="1960"/>
      <c r="AC110" s="1957" t="s">
        <v>195</v>
      </c>
      <c r="AD110" s="1957"/>
      <c r="AE110" s="1343" t="s">
        <v>203</v>
      </c>
    </row>
    <row r="111" spans="2:33" ht="18.95" customHeight="1" x14ac:dyDescent="0.15">
      <c r="B111" s="367" t="b">
        <f t="shared" si="4"/>
        <v>1</v>
      </c>
      <c r="E111" s="563">
        <v>19.5</v>
      </c>
      <c r="AB111" s="1960"/>
      <c r="AC111" s="1957" t="s">
        <v>196</v>
      </c>
      <c r="AD111" s="1957"/>
      <c r="AE111" s="1342" t="s">
        <v>215</v>
      </c>
    </row>
    <row r="112" spans="2:33" ht="18.95" customHeight="1" x14ac:dyDescent="0.15">
      <c r="B112" s="367" t="b">
        <f t="shared" si="4"/>
        <v>1</v>
      </c>
      <c r="E112" s="563">
        <v>19.5</v>
      </c>
      <c r="AB112" s="1960"/>
      <c r="AC112" s="1957" t="s">
        <v>197</v>
      </c>
      <c r="AD112" s="1957"/>
      <c r="AE112" s="341">
        <v>45454</v>
      </c>
    </row>
    <row r="113" spans="2:33" ht="18.95" customHeight="1" x14ac:dyDescent="0.15">
      <c r="B113" s="367" t="b">
        <f t="shared" si="4"/>
        <v>1</v>
      </c>
      <c r="E113" s="563">
        <v>19.5</v>
      </c>
      <c r="AB113" s="1960"/>
      <c r="AC113" s="1957" t="s">
        <v>216</v>
      </c>
      <c r="AD113" s="1957"/>
      <c r="AE113" s="341">
        <v>45454</v>
      </c>
    </row>
    <row r="114" spans="2:33" ht="18.95" customHeight="1" x14ac:dyDescent="0.15">
      <c r="B114" s="367" t="b">
        <f t="shared" si="4"/>
        <v>1</v>
      </c>
      <c r="E114" s="563">
        <v>19.5</v>
      </c>
      <c r="AB114" s="1961"/>
      <c r="AC114" s="1957" t="s">
        <v>217</v>
      </c>
      <c r="AD114" s="1957"/>
      <c r="AE114" s="341">
        <v>48579</v>
      </c>
    </row>
    <row r="115" spans="2:33" ht="18.95" hidden="1" customHeight="1" x14ac:dyDescent="0.15">
      <c r="B115" s="367" t="b">
        <f t="shared" si="4"/>
        <v>1</v>
      </c>
      <c r="E115" s="563">
        <v>19.5</v>
      </c>
      <c r="W115" s="424" t="b">
        <f>ROW(Y115)&gt;ROW(Y$115)</f>
        <v>0</v>
      </c>
      <c r="Y115" s="26" t="s">
        <v>172</v>
      </c>
      <c r="AA115" s="1958" t="s">
        <v>173</v>
      </c>
      <c r="AB115" s="1959" t="s">
        <v>193</v>
      </c>
      <c r="AC115" s="1957" t="s">
        <v>194</v>
      </c>
      <c r="AD115" s="1957"/>
      <c r="AE115" s="339"/>
    </row>
    <row r="116" spans="2:33" ht="18.95" hidden="1" customHeight="1" x14ac:dyDescent="0.15">
      <c r="B116" s="367" t="b">
        <f t="shared" si="4"/>
        <v>1</v>
      </c>
      <c r="E116" s="563">
        <v>19.5</v>
      </c>
      <c r="W116" s="424" t="b" cm="1">
        <f t="array" ref="W116">W115</f>
        <v>0</v>
      </c>
      <c r="AA116" s="1958"/>
      <c r="AB116" s="1960"/>
      <c r="AC116" s="1957" t="s">
        <v>195</v>
      </c>
      <c r="AD116" s="1957"/>
      <c r="AE116" s="340"/>
    </row>
    <row r="117" spans="2:33" ht="18.95" hidden="1" customHeight="1" x14ac:dyDescent="0.15">
      <c r="B117" s="367" t="b">
        <f t="shared" si="4"/>
        <v>1</v>
      </c>
      <c r="E117" s="563">
        <v>19.5</v>
      </c>
      <c r="W117" s="424" t="b" cm="1">
        <f t="array" ref="W117">W116</f>
        <v>0</v>
      </c>
      <c r="AA117" s="1958"/>
      <c r="AB117" s="1960"/>
      <c r="AC117" s="1957" t="s">
        <v>196</v>
      </c>
      <c r="AD117" s="1957"/>
      <c r="AE117" s="339"/>
    </row>
    <row r="118" spans="2:33" ht="18.95" hidden="1" customHeight="1" x14ac:dyDescent="0.15">
      <c r="B118" s="367" t="b">
        <f t="shared" si="4"/>
        <v>1</v>
      </c>
      <c r="E118" s="563">
        <v>19.5</v>
      </c>
      <c r="W118" s="424" t="b" cm="1">
        <f t="array" ref="W118">W117</f>
        <v>0</v>
      </c>
      <c r="AA118" s="1958"/>
      <c r="AB118" s="1960"/>
      <c r="AC118" s="1957" t="s">
        <v>197</v>
      </c>
      <c r="AD118" s="1957"/>
      <c r="AE118" s="1340"/>
    </row>
    <row r="119" spans="2:33" ht="18.95" hidden="1" customHeight="1" x14ac:dyDescent="0.15">
      <c r="B119" s="367" t="b">
        <f t="shared" si="4"/>
        <v>1</v>
      </c>
      <c r="E119" s="563">
        <v>19.5</v>
      </c>
      <c r="W119" s="424" t="b" cm="1">
        <f t="array" ref="W119">W118</f>
        <v>0</v>
      </c>
      <c r="AA119" s="1958"/>
      <c r="AB119" s="1960"/>
      <c r="AC119" s="1957" t="s">
        <v>216</v>
      </c>
      <c r="AD119" s="1957"/>
      <c r="AE119" s="1340"/>
    </row>
    <row r="120" spans="2:33" ht="18.95" hidden="1" customHeight="1" x14ac:dyDescent="0.15">
      <c r="B120" s="367" t="b">
        <f t="shared" si="4"/>
        <v>1</v>
      </c>
      <c r="E120" s="563">
        <v>19.5</v>
      </c>
      <c r="W120" s="424" t="b" cm="1">
        <f t="array" ref="W120">W119</f>
        <v>0</v>
      </c>
      <c r="AA120" s="1958"/>
      <c r="AB120" s="1961"/>
      <c r="AC120" s="1957" t="s">
        <v>217</v>
      </c>
      <c r="AD120" s="1957"/>
      <c r="AE120" s="1340"/>
    </row>
    <row r="121" spans="2:33" ht="14.65" customHeight="1" x14ac:dyDescent="0.15">
      <c r="B121" s="367" t="b">
        <f t="shared" si="4"/>
        <v>1</v>
      </c>
      <c r="E121" s="563">
        <v>15</v>
      </c>
      <c r="F121" s="26" t="s">
        <v>212</v>
      </c>
      <c r="Y121" s="27" t="s">
        <v>175</v>
      </c>
      <c r="AB121" s="183"/>
      <c r="AC121" s="182"/>
      <c r="AD121" s="182"/>
      <c r="AE121" s="284" t="s">
        <v>176</v>
      </c>
    </row>
    <row r="122" spans="2:33" ht="24.95" customHeight="1" x14ac:dyDescent="0.15">
      <c r="B122" s="367" t="b">
        <f>NOT(method_reg="Метод сравнения аналогов")</f>
        <v>1</v>
      </c>
      <c r="E122" s="563">
        <v>25.5</v>
      </c>
      <c r="F122" s="26" t="s">
        <v>218</v>
      </c>
      <c r="AB122" s="1957"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1957"/>
      <c r="AD122" s="1957"/>
      <c r="AE122" s="309" t="s">
        <v>151</v>
      </c>
      <c r="AF122" s="402"/>
      <c r="AG122" s="26" t="s">
        <v>219</v>
      </c>
    </row>
    <row r="123" spans="2:33" ht="18.95" customHeight="1" x14ac:dyDescent="0.15">
      <c r="B123" s="367" t="b">
        <f t="shared" ref="B123:B135" si="5">AND(NOT(method_reg="Метод сравнения аналогов"),HAS_DOC6="да")</f>
        <v>1</v>
      </c>
      <c r="E123" s="563">
        <v>19.5</v>
      </c>
      <c r="AB123" s="1962" t="s">
        <v>193</v>
      </c>
      <c r="AC123" s="1957" t="s">
        <v>194</v>
      </c>
      <c r="AD123" s="1957"/>
      <c r="AE123" s="1342" t="s">
        <v>214</v>
      </c>
    </row>
    <row r="124" spans="2:33" ht="18.95" customHeight="1" x14ac:dyDescent="0.15">
      <c r="B124" s="367" t="b">
        <f t="shared" si="5"/>
        <v>1</v>
      </c>
      <c r="E124" s="563">
        <v>19.5</v>
      </c>
      <c r="AB124" s="1962"/>
      <c r="AC124" s="1957" t="s">
        <v>195</v>
      </c>
      <c r="AD124" s="1957"/>
      <c r="AE124" s="1343" t="s">
        <v>203</v>
      </c>
    </row>
    <row r="125" spans="2:33" ht="18.95" customHeight="1" x14ac:dyDescent="0.15">
      <c r="B125" s="367" t="b">
        <f t="shared" si="5"/>
        <v>1</v>
      </c>
      <c r="E125" s="563">
        <v>19.5</v>
      </c>
      <c r="AB125" s="1962"/>
      <c r="AC125" s="1957" t="s">
        <v>196</v>
      </c>
      <c r="AD125" s="1957"/>
      <c r="AE125" s="1342" t="s">
        <v>215</v>
      </c>
    </row>
    <row r="126" spans="2:33" ht="18.95" customHeight="1" x14ac:dyDescent="0.15">
      <c r="B126" s="367" t="b">
        <f t="shared" si="5"/>
        <v>1</v>
      </c>
      <c r="E126" s="563">
        <v>19.5</v>
      </c>
      <c r="AB126" s="1962"/>
      <c r="AC126" s="1957" t="s">
        <v>197</v>
      </c>
      <c r="AD126" s="1957"/>
      <c r="AE126" s="341">
        <v>45454</v>
      </c>
    </row>
    <row r="127" spans="2:33" ht="18.95" customHeight="1" x14ac:dyDescent="0.15">
      <c r="B127" s="367" t="b">
        <f t="shared" si="5"/>
        <v>1</v>
      </c>
      <c r="E127" s="563">
        <v>19.5</v>
      </c>
      <c r="AB127" s="1962"/>
      <c r="AC127" s="1957" t="s">
        <v>216</v>
      </c>
      <c r="AD127" s="1957"/>
      <c r="AE127" s="341">
        <v>45454</v>
      </c>
    </row>
    <row r="128" spans="2:33" ht="18.95" customHeight="1" x14ac:dyDescent="0.15">
      <c r="B128" s="367" t="b">
        <f t="shared" si="5"/>
        <v>1</v>
      </c>
      <c r="E128" s="563">
        <v>19.5</v>
      </c>
      <c r="AB128" s="1962"/>
      <c r="AC128" s="1957" t="s">
        <v>217</v>
      </c>
      <c r="AD128" s="1957"/>
      <c r="AE128" s="341">
        <v>48579</v>
      </c>
    </row>
    <row r="129" spans="2:33" ht="18.95" hidden="1" customHeight="1" x14ac:dyDescent="0.15">
      <c r="B129" s="367" t="b">
        <f t="shared" si="5"/>
        <v>1</v>
      </c>
      <c r="E129" s="563">
        <v>19.5</v>
      </c>
      <c r="W129" s="424" t="b">
        <f>ROW(Y129)&gt;ROW(Y$129)</f>
        <v>0</v>
      </c>
      <c r="Y129" s="26" t="s">
        <v>172</v>
      </c>
      <c r="AA129" s="1958" t="s">
        <v>173</v>
      </c>
      <c r="AB129" s="1962" t="s">
        <v>193</v>
      </c>
      <c r="AC129" s="1957" t="s">
        <v>194</v>
      </c>
      <c r="AD129" s="1957"/>
      <c r="AE129" s="339"/>
    </row>
    <row r="130" spans="2:33" ht="18.95" hidden="1" customHeight="1" x14ac:dyDescent="0.15">
      <c r="B130" s="367" t="b">
        <f t="shared" si="5"/>
        <v>1</v>
      </c>
      <c r="E130" s="563">
        <v>19.5</v>
      </c>
      <c r="W130" s="424" t="b" cm="1">
        <f t="array" ref="W130">W129</f>
        <v>0</v>
      </c>
      <c r="AA130" s="1958"/>
      <c r="AB130" s="1962"/>
      <c r="AC130" s="1957" t="s">
        <v>195</v>
      </c>
      <c r="AD130" s="1957"/>
      <c r="AE130" s="340"/>
    </row>
    <row r="131" spans="2:33" ht="18.95" hidden="1" customHeight="1" x14ac:dyDescent="0.15">
      <c r="B131" s="367" t="b">
        <f t="shared" si="5"/>
        <v>1</v>
      </c>
      <c r="E131" s="563">
        <v>19.5</v>
      </c>
      <c r="W131" s="424" t="b" cm="1">
        <f t="array" ref="W131">W130</f>
        <v>0</v>
      </c>
      <c r="AA131" s="1958"/>
      <c r="AB131" s="1962"/>
      <c r="AC131" s="1957" t="s">
        <v>196</v>
      </c>
      <c r="AD131" s="1957"/>
      <c r="AE131" s="339"/>
    </row>
    <row r="132" spans="2:33" ht="18.95" hidden="1" customHeight="1" x14ac:dyDescent="0.15">
      <c r="B132" s="367" t="b">
        <f t="shared" si="5"/>
        <v>1</v>
      </c>
      <c r="E132" s="563">
        <v>19.5</v>
      </c>
      <c r="W132" s="424" t="b" cm="1">
        <f t="array" ref="W132">W131</f>
        <v>0</v>
      </c>
      <c r="AA132" s="1958"/>
      <c r="AB132" s="1962"/>
      <c r="AC132" s="1957" t="s">
        <v>197</v>
      </c>
      <c r="AD132" s="1957"/>
      <c r="AE132" s="1340"/>
    </row>
    <row r="133" spans="2:33" ht="18.95" hidden="1" customHeight="1" x14ac:dyDescent="0.15">
      <c r="B133" s="367" t="b">
        <f t="shared" si="5"/>
        <v>1</v>
      </c>
      <c r="E133" s="563">
        <v>19.5</v>
      </c>
      <c r="W133" s="424" t="b" cm="1">
        <f t="array" ref="W133">W132</f>
        <v>0</v>
      </c>
      <c r="AA133" s="1958"/>
      <c r="AB133" s="1962"/>
      <c r="AC133" s="1957" t="s">
        <v>216</v>
      </c>
      <c r="AD133" s="1957"/>
      <c r="AE133" s="1340"/>
    </row>
    <row r="134" spans="2:33" ht="18.95" hidden="1" customHeight="1" x14ac:dyDescent="0.15">
      <c r="B134" s="367" t="b">
        <f t="shared" si="5"/>
        <v>1</v>
      </c>
      <c r="E134" s="563">
        <v>19.5</v>
      </c>
      <c r="W134" s="424" t="b" cm="1">
        <f t="array" ref="W134">W133</f>
        <v>0</v>
      </c>
      <c r="AA134" s="1958"/>
      <c r="AB134" s="1962"/>
      <c r="AC134" s="1957" t="s">
        <v>217</v>
      </c>
      <c r="AD134" s="1957"/>
      <c r="AE134" s="1340"/>
    </row>
    <row r="135" spans="2:33" ht="14.65" customHeight="1" x14ac:dyDescent="0.15">
      <c r="B135" s="367" t="b">
        <f t="shared" si="5"/>
        <v>1</v>
      </c>
      <c r="E135" s="563">
        <v>15</v>
      </c>
      <c r="F135" s="26" t="s">
        <v>218</v>
      </c>
      <c r="Y135" s="27" t="s">
        <v>175</v>
      </c>
      <c r="AB135" s="183"/>
      <c r="AC135" s="182"/>
      <c r="AD135" s="182"/>
      <c r="AE135" s="284" t="s">
        <v>176</v>
      </c>
    </row>
    <row r="136" spans="2:33" ht="24.95" customHeight="1" x14ac:dyDescent="0.15">
      <c r="B136" s="367" t="b">
        <f>NOT(method_reg="Метод сравнения аналогов")</f>
        <v>1</v>
      </c>
      <c r="E136" s="563">
        <v>25.5</v>
      </c>
      <c r="F136" s="26" t="s">
        <v>220</v>
      </c>
      <c r="AB136" s="1957"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1957"/>
      <c r="AD136" s="1957"/>
      <c r="AE136" s="309" t="s">
        <v>151</v>
      </c>
      <c r="AF136" s="402"/>
      <c r="AG136" s="26" t="s">
        <v>221</v>
      </c>
    </row>
    <row r="137" spans="2:33" ht="18.95" customHeight="1" x14ac:dyDescent="0.15">
      <c r="B137" s="367" t="b">
        <f t="shared" ref="B137:B155" si="6">AND(NOT(method_reg="Метод сравнения аналогов"),HAS_DOC7="да")</f>
        <v>1</v>
      </c>
      <c r="E137" s="563">
        <v>19.5</v>
      </c>
      <c r="AB137" s="1962" t="s">
        <v>193</v>
      </c>
      <c r="AC137" s="1957" t="s">
        <v>194</v>
      </c>
      <c r="AD137" s="1957"/>
      <c r="AE137" s="1342" t="s">
        <v>222</v>
      </c>
    </row>
    <row r="138" spans="2:33" ht="18.95" customHeight="1" x14ac:dyDescent="0.15">
      <c r="B138" s="367" t="b">
        <f t="shared" si="6"/>
        <v>1</v>
      </c>
      <c r="E138" s="563">
        <v>19.5</v>
      </c>
      <c r="AB138" s="1962"/>
      <c r="AC138" s="1957" t="s">
        <v>195</v>
      </c>
      <c r="AD138" s="1957"/>
      <c r="AE138" s="1342" t="s">
        <v>223</v>
      </c>
    </row>
    <row r="139" spans="2:33" ht="18.95" customHeight="1" x14ac:dyDescent="0.15">
      <c r="B139" s="367" t="b">
        <f t="shared" si="6"/>
        <v>1</v>
      </c>
      <c r="E139" s="563">
        <v>19.5</v>
      </c>
      <c r="AB139" s="1962"/>
      <c r="AC139" s="1957" t="s">
        <v>196</v>
      </c>
      <c r="AD139" s="1957"/>
      <c r="AE139" s="1342" t="s">
        <v>224</v>
      </c>
    </row>
    <row r="140" spans="2:33" ht="18.95" customHeight="1" x14ac:dyDescent="0.15">
      <c r="B140" s="367" t="b">
        <f t="shared" si="6"/>
        <v>1</v>
      </c>
      <c r="E140" s="563">
        <v>19.5</v>
      </c>
      <c r="AB140" s="1962"/>
      <c r="AC140" s="1957" t="s">
        <v>197</v>
      </c>
      <c r="AD140" s="1957"/>
      <c r="AE140" s="341">
        <v>45404</v>
      </c>
    </row>
    <row r="141" spans="2:33" ht="18.95" customHeight="1" x14ac:dyDescent="0.15">
      <c r="B141" s="367" t="b">
        <f t="shared" si="6"/>
        <v>1</v>
      </c>
      <c r="E141" s="563">
        <v>19.5</v>
      </c>
      <c r="AB141" s="1962"/>
      <c r="AC141" s="1957" t="s">
        <v>225</v>
      </c>
      <c r="AD141" s="1957"/>
      <c r="AE141" s="341">
        <v>45404</v>
      </c>
    </row>
    <row r="142" spans="2:33" ht="18.95" customHeight="1" x14ac:dyDescent="0.15">
      <c r="B142" s="367" t="b">
        <f t="shared" si="6"/>
        <v>1</v>
      </c>
      <c r="E142" s="563">
        <v>19.5</v>
      </c>
      <c r="AB142" s="1962"/>
      <c r="AC142" s="1957" t="s">
        <v>226</v>
      </c>
      <c r="AD142" s="1957"/>
      <c r="AE142" s="341">
        <v>48579</v>
      </c>
    </row>
    <row r="143" spans="2:33" ht="18.95" hidden="1" customHeight="1" x14ac:dyDescent="0.15">
      <c r="B143" s="367" t="b">
        <f t="shared" si="6"/>
        <v>1</v>
      </c>
      <c r="E143" s="563">
        <v>19.5</v>
      </c>
      <c r="W143" s="424" t="b">
        <f>ROW(Y143)&gt;ROW(Y$143)</f>
        <v>0</v>
      </c>
      <c r="Y143" s="26" t="s">
        <v>172</v>
      </c>
      <c r="AA143" s="1958" t="s">
        <v>173</v>
      </c>
      <c r="AB143" s="1962" t="s">
        <v>193</v>
      </c>
      <c r="AC143" s="1957" t="s">
        <v>194</v>
      </c>
      <c r="AD143" s="1957"/>
      <c r="AE143" s="339"/>
    </row>
    <row r="144" spans="2:33" ht="18.95" hidden="1" customHeight="1" x14ac:dyDescent="0.15">
      <c r="B144" s="367" t="b">
        <f t="shared" si="6"/>
        <v>1</v>
      </c>
      <c r="E144" s="563">
        <v>19.5</v>
      </c>
      <c r="W144" s="424" t="b" cm="1">
        <f t="array" ref="W144">W143</f>
        <v>0</v>
      </c>
      <c r="AA144" s="1958"/>
      <c r="AB144" s="1962"/>
      <c r="AC144" s="1957" t="s">
        <v>195</v>
      </c>
      <c r="AD144" s="1957"/>
      <c r="AE144" s="1339"/>
    </row>
    <row r="145" spans="1:53" ht="18.95" hidden="1" customHeight="1" x14ac:dyDescent="0.15">
      <c r="B145" s="367" t="b">
        <f t="shared" si="6"/>
        <v>1</v>
      </c>
      <c r="E145" s="563">
        <v>19.5</v>
      </c>
      <c r="W145" s="424" t="b" cm="1">
        <f t="array" ref="W145">W144</f>
        <v>0</v>
      </c>
      <c r="AA145" s="1958"/>
      <c r="AB145" s="1962"/>
      <c r="AC145" s="1957" t="s">
        <v>196</v>
      </c>
      <c r="AD145" s="1957"/>
      <c r="AE145" s="339"/>
    </row>
    <row r="146" spans="1:53" ht="18.95" hidden="1" customHeight="1" x14ac:dyDescent="0.15">
      <c r="B146" s="367" t="b">
        <f t="shared" si="6"/>
        <v>1</v>
      </c>
      <c r="E146" s="563">
        <v>19.5</v>
      </c>
      <c r="W146" s="424" t="b" cm="1">
        <f t="array" ref="W146">W145</f>
        <v>0</v>
      </c>
      <c r="AA146" s="1958"/>
      <c r="AB146" s="1962"/>
      <c r="AC146" s="1957" t="s">
        <v>197</v>
      </c>
      <c r="AD146" s="1957"/>
      <c r="AE146" s="1340"/>
    </row>
    <row r="147" spans="1:53" ht="18.95" hidden="1" customHeight="1" x14ac:dyDescent="0.15">
      <c r="B147" s="367" t="b">
        <f t="shared" si="6"/>
        <v>1</v>
      </c>
      <c r="E147" s="563">
        <v>19.5</v>
      </c>
      <c r="W147" s="424" t="b" cm="1">
        <f t="array" ref="W147">W146</f>
        <v>0</v>
      </c>
      <c r="AA147" s="1958"/>
      <c r="AB147" s="1962"/>
      <c r="AC147" s="1957" t="s">
        <v>225</v>
      </c>
      <c r="AD147" s="1957"/>
      <c r="AE147" s="1340"/>
    </row>
    <row r="148" spans="1:53" ht="18.95" hidden="1" customHeight="1" x14ac:dyDescent="0.15">
      <c r="B148" s="367" t="b">
        <f t="shared" si="6"/>
        <v>1</v>
      </c>
      <c r="E148" s="563">
        <v>19.5</v>
      </c>
      <c r="W148" s="424" t="b" cm="1">
        <f t="array" ref="W148">W147</f>
        <v>0</v>
      </c>
      <c r="AA148" s="1958"/>
      <c r="AB148" s="1962"/>
      <c r="AC148" s="1957" t="s">
        <v>226</v>
      </c>
      <c r="AD148" s="1957"/>
      <c r="AE148" s="1340"/>
    </row>
    <row r="149" spans="1:53" s="1334" customFormat="1" ht="18.75" customHeight="1" x14ac:dyDescent="0.15">
      <c r="A149" s="1205"/>
      <c r="B149" s="367" t="b">
        <f t="shared" si="6"/>
        <v>1</v>
      </c>
      <c r="C149" s="1205"/>
      <c r="D149" s="1205"/>
      <c r="E149" s="563">
        <v>19.5</v>
      </c>
      <c r="F149" s="1205"/>
      <c r="G149" s="1205"/>
      <c r="H149" s="1205"/>
      <c r="I149" s="1205"/>
      <c r="J149" s="1205"/>
      <c r="K149" s="1205"/>
      <c r="L149" s="1205"/>
      <c r="M149" s="1205"/>
      <c r="N149" s="1205"/>
      <c r="O149" s="1205"/>
      <c r="P149" s="1205"/>
      <c r="Q149" s="1205"/>
      <c r="R149" s="1205"/>
      <c r="S149" s="1205"/>
      <c r="T149" s="1205"/>
      <c r="U149" s="1205"/>
      <c r="V149" s="1205"/>
      <c r="W149" s="424" t="b">
        <f>ROW(Y149)&gt;ROW(Y$143)</f>
        <v>1</v>
      </c>
      <c r="X149" s="1205"/>
      <c r="Y149" s="26"/>
      <c r="AA149" s="1958" t="s">
        <v>173</v>
      </c>
      <c r="AB149" s="1962" t="s">
        <v>193</v>
      </c>
      <c r="AC149" s="1957" t="s">
        <v>194</v>
      </c>
      <c r="AD149" s="1957"/>
      <c r="AE149" s="1342" t="s">
        <v>227</v>
      </c>
      <c r="AF149" s="303"/>
      <c r="AG149" s="1205"/>
      <c r="AH149" s="1205"/>
      <c r="AI149" s="1205"/>
      <c r="AJ149" s="1205"/>
      <c r="AK149" s="1205"/>
      <c r="AL149" s="1205"/>
      <c r="AM149" s="1205"/>
      <c r="AN149" s="1205"/>
      <c r="AO149" s="1205"/>
      <c r="AP149" s="1205"/>
      <c r="AQ149" s="1205"/>
      <c r="AR149" s="1205"/>
      <c r="AS149" s="1205"/>
      <c r="AT149" s="1205"/>
      <c r="AU149" s="1205"/>
      <c r="AV149" s="1205"/>
      <c r="AW149" s="1205"/>
      <c r="AX149" s="1205"/>
      <c r="AY149" s="1205"/>
      <c r="AZ149" s="1205"/>
      <c r="BA149" s="1205"/>
    </row>
    <row r="150" spans="1:53" s="1334" customFormat="1" ht="18.75" customHeight="1" x14ac:dyDescent="0.15">
      <c r="A150" s="1205"/>
      <c r="B150" s="367" t="b">
        <f t="shared" si="6"/>
        <v>1</v>
      </c>
      <c r="C150" s="1205"/>
      <c r="D150" s="1205"/>
      <c r="E150" s="563">
        <v>19.5</v>
      </c>
      <c r="F150" s="1205"/>
      <c r="G150" s="1205"/>
      <c r="H150" s="1205"/>
      <c r="I150" s="1205"/>
      <c r="J150" s="1205"/>
      <c r="K150" s="1205"/>
      <c r="L150" s="1205"/>
      <c r="M150" s="1205"/>
      <c r="N150" s="1205"/>
      <c r="O150" s="1205"/>
      <c r="P150" s="1205"/>
      <c r="Q150" s="1205"/>
      <c r="R150" s="1205"/>
      <c r="S150" s="1205"/>
      <c r="T150" s="1205"/>
      <c r="U150" s="1205"/>
      <c r="V150" s="1205"/>
      <c r="W150" s="424" t="b" cm="1">
        <f t="array" ref="W150">W149</f>
        <v>1</v>
      </c>
      <c r="X150" s="1205"/>
      <c r="Y150" s="1205"/>
      <c r="AA150" s="1958"/>
      <c r="AB150" s="1962"/>
      <c r="AC150" s="1957" t="s">
        <v>195</v>
      </c>
      <c r="AD150" s="1957"/>
      <c r="AE150" s="302" t="s">
        <v>223</v>
      </c>
      <c r="AF150" s="303"/>
      <c r="AG150" s="1205"/>
      <c r="AH150" s="1205"/>
      <c r="AI150" s="1205"/>
      <c r="AJ150" s="1205"/>
      <c r="AK150" s="1205"/>
      <c r="AL150" s="1205"/>
      <c r="AM150" s="1205"/>
      <c r="AN150" s="1205"/>
      <c r="AO150" s="1205"/>
      <c r="AP150" s="1205"/>
      <c r="AQ150" s="1205"/>
      <c r="AR150" s="1205"/>
      <c r="AS150" s="1205"/>
      <c r="AT150" s="1205"/>
      <c r="AU150" s="1205"/>
      <c r="AV150" s="1205"/>
      <c r="AW150" s="1205"/>
      <c r="AX150" s="1205"/>
      <c r="AY150" s="1205"/>
      <c r="AZ150" s="1205"/>
      <c r="BA150" s="1205"/>
    </row>
    <row r="151" spans="1:53" s="1334" customFormat="1" ht="18.75" customHeight="1" x14ac:dyDescent="0.15">
      <c r="A151" s="1205"/>
      <c r="B151" s="367" t="b">
        <f t="shared" si="6"/>
        <v>1</v>
      </c>
      <c r="C151" s="1205"/>
      <c r="D151" s="1205"/>
      <c r="E151" s="563">
        <v>19.5</v>
      </c>
      <c r="F151" s="1205"/>
      <c r="G151" s="1205"/>
      <c r="H151" s="1205"/>
      <c r="I151" s="1205"/>
      <c r="J151" s="1205"/>
      <c r="K151" s="1205"/>
      <c r="L151" s="1205"/>
      <c r="M151" s="1205"/>
      <c r="N151" s="1205"/>
      <c r="O151" s="1205"/>
      <c r="P151" s="1205"/>
      <c r="Q151" s="1205"/>
      <c r="R151" s="1205"/>
      <c r="S151" s="1205"/>
      <c r="T151" s="1205"/>
      <c r="U151" s="1205"/>
      <c r="V151" s="1205"/>
      <c r="W151" s="424" t="b" cm="1">
        <f t="array" ref="W151">W150</f>
        <v>1</v>
      </c>
      <c r="X151" s="1205"/>
      <c r="Y151" s="1205"/>
      <c r="AA151" s="1958"/>
      <c r="AB151" s="1962"/>
      <c r="AC151" s="1957" t="s">
        <v>196</v>
      </c>
      <c r="AD151" s="1957"/>
      <c r="AE151" s="1342" t="s">
        <v>228</v>
      </c>
      <c r="AF151" s="303"/>
      <c r="AG151" s="1205"/>
      <c r="AH151" s="1205"/>
      <c r="AI151" s="1205"/>
      <c r="AJ151" s="1205"/>
      <c r="AK151" s="1205"/>
      <c r="AL151" s="1205"/>
      <c r="AM151" s="1205"/>
      <c r="AN151" s="1205"/>
      <c r="AO151" s="1205"/>
      <c r="AP151" s="1205"/>
      <c r="AQ151" s="1205"/>
      <c r="AR151" s="1205"/>
      <c r="AS151" s="1205"/>
      <c r="AT151" s="1205"/>
      <c r="AU151" s="1205"/>
      <c r="AV151" s="1205"/>
      <c r="AW151" s="1205"/>
      <c r="AX151" s="1205"/>
      <c r="AY151" s="1205"/>
      <c r="AZ151" s="1205"/>
      <c r="BA151" s="1205"/>
    </row>
    <row r="152" spans="1:53" s="1334" customFormat="1" ht="18.75" customHeight="1" x14ac:dyDescent="0.15">
      <c r="A152" s="1205"/>
      <c r="B152" s="367" t="b">
        <f t="shared" si="6"/>
        <v>1</v>
      </c>
      <c r="C152" s="1205"/>
      <c r="D152" s="1205"/>
      <c r="E152" s="563">
        <v>19.5</v>
      </c>
      <c r="F152" s="1205"/>
      <c r="G152" s="1205"/>
      <c r="H152" s="1205"/>
      <c r="I152" s="1205"/>
      <c r="J152" s="1205"/>
      <c r="K152" s="1205"/>
      <c r="L152" s="1205"/>
      <c r="M152" s="1205"/>
      <c r="N152" s="1205"/>
      <c r="O152" s="1205"/>
      <c r="P152" s="1205"/>
      <c r="Q152" s="1205"/>
      <c r="R152" s="1205"/>
      <c r="S152" s="1205"/>
      <c r="T152" s="1205"/>
      <c r="U152" s="1205"/>
      <c r="V152" s="1205"/>
      <c r="W152" s="424" t="b" cm="1">
        <f t="array" ref="W152">W151</f>
        <v>1</v>
      </c>
      <c r="X152" s="1205"/>
      <c r="Y152" s="1205"/>
      <c r="AA152" s="1958"/>
      <c r="AB152" s="1962"/>
      <c r="AC152" s="1957" t="s">
        <v>197</v>
      </c>
      <c r="AD152" s="1957"/>
      <c r="AE152" s="341">
        <v>45404</v>
      </c>
      <c r="AF152" s="303"/>
      <c r="AG152" s="1205"/>
      <c r="AH152" s="1205"/>
      <c r="AI152" s="1205"/>
      <c r="AJ152" s="1205"/>
      <c r="AK152" s="1205"/>
      <c r="AL152" s="1205"/>
      <c r="AM152" s="1205"/>
      <c r="AN152" s="1205"/>
      <c r="AO152" s="1205"/>
      <c r="AP152" s="1205"/>
      <c r="AQ152" s="1205"/>
      <c r="AR152" s="1205"/>
      <c r="AS152" s="1205"/>
      <c r="AT152" s="1205"/>
      <c r="AU152" s="1205"/>
      <c r="AV152" s="1205"/>
      <c r="AW152" s="1205"/>
      <c r="AX152" s="1205"/>
      <c r="AY152" s="1205"/>
      <c r="AZ152" s="1205"/>
      <c r="BA152" s="1205"/>
    </row>
    <row r="153" spans="1:53" s="1334" customFormat="1" ht="18.75" customHeight="1" x14ac:dyDescent="0.15">
      <c r="A153" s="1205"/>
      <c r="B153" s="367" t="b">
        <f t="shared" si="6"/>
        <v>1</v>
      </c>
      <c r="C153" s="1205"/>
      <c r="D153" s="1205"/>
      <c r="E153" s="563">
        <v>19.5</v>
      </c>
      <c r="F153" s="1205"/>
      <c r="G153" s="1205"/>
      <c r="H153" s="1205"/>
      <c r="I153" s="1205"/>
      <c r="J153" s="1205"/>
      <c r="K153" s="1205"/>
      <c r="L153" s="1205"/>
      <c r="M153" s="1205"/>
      <c r="N153" s="1205"/>
      <c r="O153" s="1205"/>
      <c r="P153" s="1205"/>
      <c r="Q153" s="1205"/>
      <c r="R153" s="1205"/>
      <c r="S153" s="1205"/>
      <c r="T153" s="1205"/>
      <c r="U153" s="1205"/>
      <c r="V153" s="1205"/>
      <c r="W153" s="424" t="b" cm="1">
        <f t="array" ref="W153">W152</f>
        <v>1</v>
      </c>
      <c r="X153" s="1205"/>
      <c r="Y153" s="1205"/>
      <c r="AA153" s="1958"/>
      <c r="AB153" s="1962"/>
      <c r="AC153" s="1957" t="s">
        <v>225</v>
      </c>
      <c r="AD153" s="1957"/>
      <c r="AE153" s="341">
        <v>45404</v>
      </c>
      <c r="AF153" s="303"/>
      <c r="AG153" s="1205"/>
      <c r="AH153" s="1205"/>
      <c r="AI153" s="1205"/>
      <c r="AJ153" s="1205"/>
      <c r="AK153" s="1205"/>
      <c r="AL153" s="1205"/>
      <c r="AM153" s="1205"/>
      <c r="AN153" s="1205"/>
      <c r="AO153" s="1205"/>
      <c r="AP153" s="1205"/>
      <c r="AQ153" s="1205"/>
      <c r="AR153" s="1205"/>
      <c r="AS153" s="1205"/>
      <c r="AT153" s="1205"/>
      <c r="AU153" s="1205"/>
      <c r="AV153" s="1205"/>
      <c r="AW153" s="1205"/>
      <c r="AX153" s="1205"/>
      <c r="AY153" s="1205"/>
      <c r="AZ153" s="1205"/>
      <c r="BA153" s="1205"/>
    </row>
    <row r="154" spans="1:53" s="1334" customFormat="1" ht="18.75" customHeight="1" x14ac:dyDescent="0.15">
      <c r="A154" s="1205"/>
      <c r="B154" s="367" t="b">
        <f t="shared" si="6"/>
        <v>1</v>
      </c>
      <c r="C154" s="1205"/>
      <c r="D154" s="1205"/>
      <c r="E154" s="563">
        <v>19.5</v>
      </c>
      <c r="F154" s="1205"/>
      <c r="G154" s="1205"/>
      <c r="H154" s="1205"/>
      <c r="I154" s="1205"/>
      <c r="J154" s="1205"/>
      <c r="K154" s="1205"/>
      <c r="L154" s="1205"/>
      <c r="M154" s="1205"/>
      <c r="N154" s="1205"/>
      <c r="O154" s="1205"/>
      <c r="P154" s="1205"/>
      <c r="Q154" s="1205"/>
      <c r="R154" s="1205"/>
      <c r="S154" s="1205"/>
      <c r="T154" s="1205"/>
      <c r="U154" s="1205"/>
      <c r="V154" s="1205"/>
      <c r="W154" s="424" t="b" cm="1">
        <f t="array" ref="W154">W153</f>
        <v>1</v>
      </c>
      <c r="X154" s="1205"/>
      <c r="Y154" s="1205"/>
      <c r="AA154" s="1958"/>
      <c r="AB154" s="1962"/>
      <c r="AC154" s="1957" t="s">
        <v>226</v>
      </c>
      <c r="AD154" s="1957"/>
      <c r="AE154" s="341">
        <v>48579</v>
      </c>
      <c r="AF154" s="303"/>
      <c r="AG154" s="1205"/>
      <c r="AH154" s="1205"/>
      <c r="AI154" s="1205"/>
      <c r="AJ154" s="1205"/>
      <c r="AK154" s="1205"/>
      <c r="AL154" s="1205"/>
      <c r="AM154" s="1205"/>
      <c r="AN154" s="1205"/>
      <c r="AO154" s="1205"/>
      <c r="AP154" s="1205"/>
      <c r="AQ154" s="1205"/>
      <c r="AR154" s="1205"/>
      <c r="AS154" s="1205"/>
      <c r="AT154" s="1205"/>
      <c r="AU154" s="1205"/>
      <c r="AV154" s="1205"/>
      <c r="AW154" s="1205"/>
      <c r="AX154" s="1205"/>
      <c r="AY154" s="1205"/>
      <c r="AZ154" s="1205"/>
      <c r="BA154" s="1205"/>
    </row>
    <row r="155" spans="1:53" ht="14.65" customHeight="1" x14ac:dyDescent="0.15">
      <c r="B155" s="367" t="b">
        <f t="shared" si="6"/>
        <v>1</v>
      </c>
      <c r="E155" s="563">
        <v>15</v>
      </c>
      <c r="F155" s="26" t="s">
        <v>220</v>
      </c>
      <c r="Y155" s="27" t="s">
        <v>175</v>
      </c>
      <c r="AB155" s="183"/>
      <c r="AC155" s="182"/>
      <c r="AD155" s="182"/>
      <c r="AE155" s="284" t="s">
        <v>176</v>
      </c>
    </row>
    <row r="156" spans="1:53" ht="18.95" customHeight="1" x14ac:dyDescent="0.15">
      <c r="B156" s="26"/>
      <c r="E156" s="563">
        <v>19.5</v>
      </c>
      <c r="AB156" s="1957" t="s">
        <v>229</v>
      </c>
      <c r="AC156" s="1957"/>
      <c r="AD156" s="1957"/>
      <c r="AE156" s="301"/>
      <c r="AG156" s="26" t="s">
        <v>230</v>
      </c>
    </row>
    <row r="157" spans="1:53" ht="24.95" customHeight="1" x14ac:dyDescent="0.15">
      <c r="B157" s="26"/>
      <c r="E157" s="563">
        <v>25.5</v>
      </c>
      <c r="F157" s="26" t="s">
        <v>167</v>
      </c>
      <c r="AB157" s="1957" t="s">
        <v>231</v>
      </c>
      <c r="AC157" s="1957"/>
      <c r="AD157" s="1957"/>
      <c r="AE157" s="309" t="s">
        <v>151</v>
      </c>
      <c r="AF157" s="402"/>
      <c r="AG157" s="300" t="s">
        <v>232</v>
      </c>
    </row>
    <row r="158" spans="1:53" ht="10.9" customHeight="1" x14ac:dyDescent="0.15">
      <c r="B158" s="26"/>
      <c r="E158" s="563">
        <v>11.25</v>
      </c>
      <c r="AE158" s="62" t="s">
        <v>147</v>
      </c>
    </row>
    <row r="159" spans="1:53" ht="18.95" customHeight="1" x14ac:dyDescent="0.15">
      <c r="B159" s="26"/>
      <c r="E159" s="563">
        <v>19.5</v>
      </c>
      <c r="AB159" s="1957" t="s">
        <v>233</v>
      </c>
      <c r="AC159" s="1957"/>
      <c r="AD159" s="16" t="s">
        <v>234</v>
      </c>
      <c r="AE159" s="301" t="s">
        <v>235</v>
      </c>
      <c r="AG159" s="26" t="s">
        <v>236</v>
      </c>
    </row>
    <row r="160" spans="1:53" ht="18.95" customHeight="1" x14ac:dyDescent="0.15">
      <c r="B160" s="26"/>
      <c r="E160" s="563">
        <v>19.5</v>
      </c>
      <c r="AB160" s="1957"/>
      <c r="AC160" s="1957"/>
      <c r="AD160" s="16" t="s">
        <v>237</v>
      </c>
      <c r="AE160" s="301" t="s">
        <v>238</v>
      </c>
      <c r="AG160" s="26" t="s">
        <v>239</v>
      </c>
    </row>
    <row r="161" spans="2:33" ht="18.95" customHeight="1" x14ac:dyDescent="0.15">
      <c r="B161" s="26"/>
      <c r="E161" s="563">
        <v>19.5</v>
      </c>
      <c r="AB161" s="1957"/>
      <c r="AC161" s="1957"/>
      <c r="AD161" s="16" t="s">
        <v>240</v>
      </c>
      <c r="AE161" s="301" t="s">
        <v>241</v>
      </c>
      <c r="AG161" s="26" t="s">
        <v>242</v>
      </c>
    </row>
    <row r="162" spans="2:33" ht="18.95" customHeight="1" x14ac:dyDescent="0.15">
      <c r="B162" s="26"/>
      <c r="E162" s="563">
        <v>19.5</v>
      </c>
      <c r="AB162" s="1957"/>
      <c r="AC162" s="1957"/>
      <c r="AD162" s="16" t="s">
        <v>243</v>
      </c>
      <c r="AE162" s="1344" t="s">
        <v>244</v>
      </c>
      <c r="AG162" s="26" t="s">
        <v>245</v>
      </c>
    </row>
    <row r="163" spans="2:33" ht="10.9" customHeight="1" x14ac:dyDescent="0.15">
      <c r="B163" s="26"/>
      <c r="E163" s="563">
        <v>11.25</v>
      </c>
      <c r="AB163" s="123"/>
      <c r="AC163" s="123"/>
      <c r="AD163" s="123"/>
      <c r="AE163" s="215"/>
    </row>
    <row r="164" spans="2:33" ht="14.65" customHeight="1" x14ac:dyDescent="0.15">
      <c r="B164" s="26"/>
      <c r="E164" s="563">
        <v>15</v>
      </c>
      <c r="AB164" s="1986" t="s">
        <v>246</v>
      </c>
      <c r="AC164" s="1986"/>
      <c r="AD164" s="1986"/>
      <c r="AE164" s="1986"/>
    </row>
    <row r="165" spans="2:33" ht="14.65" customHeight="1" x14ac:dyDescent="0.15">
      <c r="B165" s="26"/>
      <c r="E165" s="563">
        <v>15</v>
      </c>
      <c r="AB165" s="1987" t="s">
        <v>247</v>
      </c>
      <c r="AC165" s="1987"/>
      <c r="AD165" s="1987"/>
      <c r="AE165" s="1987"/>
      <c r="AF165" s="403"/>
    </row>
    <row r="166" spans="2:33" ht="14.65" customHeight="1" x14ac:dyDescent="0.15">
      <c r="B166" s="26"/>
      <c r="E166" s="563">
        <v>15</v>
      </c>
      <c r="AB166" s="1985" t="s">
        <v>248</v>
      </c>
      <c r="AC166" s="1985"/>
      <c r="AD166" s="1985"/>
      <c r="AE166" s="1985"/>
      <c r="AF166" s="403"/>
    </row>
    <row r="167" spans="2:33" ht="14.65" customHeight="1" x14ac:dyDescent="0.15">
      <c r="B167" s="26"/>
      <c r="E167" s="563">
        <v>15</v>
      </c>
      <c r="AB167" s="1985" t="s">
        <v>249</v>
      </c>
      <c r="AC167" s="1985"/>
      <c r="AD167" s="1985"/>
      <c r="AE167" s="1985"/>
      <c r="AF167" s="403"/>
    </row>
    <row r="168" spans="2:33" ht="14.65" customHeight="1" x14ac:dyDescent="0.15">
      <c r="B168" s="26"/>
      <c r="E168" s="563">
        <v>15</v>
      </c>
      <c r="AB168" s="1985" t="s">
        <v>250</v>
      </c>
      <c r="AC168" s="1985"/>
      <c r="AD168" s="1985"/>
      <c r="AE168" s="1985"/>
      <c r="AF168" s="403"/>
    </row>
    <row r="169" spans="2:33" ht="14.65" customHeight="1" x14ac:dyDescent="0.15">
      <c r="B169" s="26"/>
      <c r="E169" s="563">
        <v>15</v>
      </c>
      <c r="AB169" s="1985" t="s">
        <v>251</v>
      </c>
      <c r="AC169" s="1985"/>
      <c r="AD169" s="1985"/>
      <c r="AE169" s="1985"/>
      <c r="AF169" s="403"/>
    </row>
    <row r="170" spans="2:33" ht="26.65" customHeight="1" x14ac:dyDescent="0.15">
      <c r="B170" s="26"/>
      <c r="E170" s="563">
        <v>27.25</v>
      </c>
      <c r="AB170" s="1985" t="s">
        <v>252</v>
      </c>
      <c r="AC170" s="1985"/>
      <c r="AD170" s="1985"/>
      <c r="AE170" s="1985"/>
      <c r="AF170" s="404"/>
    </row>
    <row r="171" spans="2:33" ht="14.65" customHeight="1" x14ac:dyDescent="0.15">
      <c r="B171" s="26"/>
      <c r="E171" s="563">
        <v>15</v>
      </c>
      <c r="AB171" s="1985" t="s">
        <v>253</v>
      </c>
      <c r="AC171" s="1985"/>
      <c r="AD171" s="1985"/>
      <c r="AE171" s="1985"/>
      <c r="AF171" s="403"/>
    </row>
    <row r="172" spans="2:33" ht="26.65" customHeight="1" x14ac:dyDescent="0.15">
      <c r="B172" s="26"/>
      <c r="E172" s="563">
        <v>27.25</v>
      </c>
      <c r="AB172" s="1985" t="s">
        <v>254</v>
      </c>
      <c r="AC172" s="1985"/>
      <c r="AD172" s="1985"/>
      <c r="AE172" s="1985"/>
      <c r="AF172" s="404"/>
    </row>
    <row r="173" spans="2:33" ht="14.65" customHeight="1" x14ac:dyDescent="0.15">
      <c r="B173" s="26"/>
      <c r="E173" s="563">
        <v>15</v>
      </c>
      <c r="AB173" s="1985" t="s">
        <v>255</v>
      </c>
      <c r="AC173" s="1985"/>
      <c r="AD173" s="1985"/>
      <c r="AE173" s="1985"/>
      <c r="AF173" s="403"/>
    </row>
    <row r="174" spans="2:33" ht="14.65" customHeight="1" x14ac:dyDescent="0.15">
      <c r="B174" s="26"/>
      <c r="E174" s="563">
        <v>15</v>
      </c>
      <c r="AB174" s="1985" t="s">
        <v>256</v>
      </c>
      <c r="AC174" s="1985"/>
      <c r="AD174" s="1985"/>
      <c r="AE174" s="1985"/>
      <c r="AF174" s="403"/>
    </row>
    <row r="175" spans="2:33" ht="26.65" customHeight="1" x14ac:dyDescent="0.15">
      <c r="B175" s="26"/>
      <c r="E175" s="563">
        <v>27.25</v>
      </c>
      <c r="AB175" s="1985" t="s">
        <v>257</v>
      </c>
      <c r="AC175" s="1985"/>
      <c r="AD175" s="1985"/>
      <c r="AE175" s="1985"/>
      <c r="AF175" s="404"/>
    </row>
    <row r="176" spans="2:33" ht="35.1" customHeight="1" x14ac:dyDescent="0.15">
      <c r="B176" s="26"/>
      <c r="E176" s="563">
        <v>36</v>
      </c>
      <c r="AB176" s="1985" t="s">
        <v>258</v>
      </c>
      <c r="AC176" s="1985"/>
      <c r="AD176" s="1985"/>
      <c r="AE176" s="1985"/>
      <c r="AF176" s="404"/>
    </row>
    <row r="177" spans="2:40" ht="14.65" customHeight="1" x14ac:dyDescent="0.15">
      <c r="B177" s="26"/>
      <c r="E177" s="563">
        <v>15</v>
      </c>
      <c r="W177" s="424" t="b">
        <f>NOT(method_reg="Метод сравнения аналогов")</f>
        <v>1</v>
      </c>
      <c r="AB177" s="1985" t="s">
        <v>259</v>
      </c>
      <c r="AC177" s="1985"/>
      <c r="AD177" s="1985"/>
      <c r="AE177" s="1985"/>
      <c r="AF177" s="403"/>
    </row>
    <row r="178" spans="2:40" ht="14.65" customHeight="1" x14ac:dyDescent="0.15">
      <c r="B178" s="26"/>
      <c r="E178" s="563">
        <v>15</v>
      </c>
      <c r="AB178" s="1995" t="str">
        <f>IF(W177,"14","13")&amp;". Иные нормативные правовые акты Российской Федерации."</f>
        <v>14. Иные нормативные правовые акты Российской Федерации.</v>
      </c>
      <c r="AC178" s="1995"/>
      <c r="AD178" s="1995"/>
      <c r="AE178" s="1995"/>
      <c r="AF178" s="403"/>
    </row>
    <row r="179" spans="2:40" ht="11.65" customHeight="1" x14ac:dyDescent="0.15">
      <c r="B179" s="26"/>
      <c r="E179" s="563">
        <v>12</v>
      </c>
      <c r="AB179" s="416"/>
      <c r="AC179" s="416"/>
      <c r="AD179" s="565" t="b">
        <f>COUNTIF(AE199:AE228,"Водоснабжение")&gt;0</f>
        <v>1</v>
      </c>
      <c r="AE179" s="565" t="b">
        <f>COUNTIF(AE199:AE228,"Водоотведение")&gt;0</f>
        <v>1</v>
      </c>
      <c r="AF179" s="566" t="b">
        <f>COUNTIF(AE199:AE228,"Транспортировка воды")&gt;0</f>
        <v>0</v>
      </c>
      <c r="AG179" s="567" t="b">
        <f>COUNTIF(AE199:AE228,"Транспортировка сточных вод")&gt;0</f>
        <v>0</v>
      </c>
    </row>
    <row r="180" spans="2:40" ht="18.95" customHeight="1" x14ac:dyDescent="0.15">
      <c r="B180" s="26"/>
      <c r="E180" s="563">
        <v>19.5</v>
      </c>
      <c r="AB180" s="1996" t="s">
        <v>260</v>
      </c>
      <c r="AC180" s="1996"/>
      <c r="AD180" s="1996"/>
      <c r="AE180" s="1997"/>
      <c r="AF180" s="400"/>
      <c r="AG180" s="31"/>
      <c r="AH180" s="31"/>
      <c r="AI180" s="31"/>
      <c r="AJ180" s="31"/>
      <c r="AK180" s="31"/>
      <c r="AL180" s="27"/>
    </row>
    <row r="181" spans="2:40" ht="24.95" customHeight="1" x14ac:dyDescent="0.15">
      <c r="B181" s="26"/>
      <c r="E181" s="563">
        <v>25.5</v>
      </c>
      <c r="AB181" s="1994" t="s">
        <v>261</v>
      </c>
      <c r="AC181" s="1994"/>
      <c r="AD181" s="1994"/>
      <c r="AE181" s="520" t="s">
        <v>191</v>
      </c>
      <c r="AF181" s="402"/>
      <c r="AG181" s="31" t="s">
        <v>262</v>
      </c>
      <c r="AH181" s="31"/>
      <c r="AI181" s="31"/>
      <c r="AJ181" s="31"/>
      <c r="AK181" s="31"/>
      <c r="AL181" s="27"/>
    </row>
    <row r="182" spans="2:40" ht="18.95" customHeight="1" x14ac:dyDescent="0.15">
      <c r="B182" s="367" t="b">
        <f>FIRST_TIME_REG="нет"</f>
        <v>1</v>
      </c>
      <c r="E182" s="563">
        <v>19.5</v>
      </c>
      <c r="AB182" s="1990" t="s">
        <v>263</v>
      </c>
      <c r="AC182" s="1991"/>
      <c r="AD182" s="521" t="s">
        <v>195</v>
      </c>
      <c r="AE182" s="1343" t="s">
        <v>203</v>
      </c>
      <c r="AG182" s="31" t="s">
        <v>264</v>
      </c>
      <c r="AH182" s="31"/>
      <c r="AI182" s="31"/>
      <c r="AJ182" s="31"/>
      <c r="AK182" s="31"/>
      <c r="AL182" s="27"/>
    </row>
    <row r="183" spans="2:40" ht="18.95" customHeight="1" x14ac:dyDescent="0.15">
      <c r="B183" s="367" t="b">
        <f>FIRST_TIME_REG="нет"</f>
        <v>1</v>
      </c>
      <c r="E183" s="563">
        <v>19.5</v>
      </c>
      <c r="AB183" s="1990"/>
      <c r="AC183" s="1991"/>
      <c r="AD183" s="311" t="s">
        <v>196</v>
      </c>
      <c r="AE183" s="1342" t="s">
        <v>265</v>
      </c>
      <c r="AG183" s="26" t="s">
        <v>266</v>
      </c>
    </row>
    <row r="184" spans="2:40" ht="18.95" customHeight="1" x14ac:dyDescent="0.15">
      <c r="B184" s="367" t="b">
        <f>FIRST_TIME_REG="нет"</f>
        <v>1</v>
      </c>
      <c r="E184" s="563">
        <v>19.5</v>
      </c>
      <c r="AB184" s="1992"/>
      <c r="AC184" s="1993"/>
      <c r="AD184" s="311" t="s">
        <v>197</v>
      </c>
      <c r="AE184" s="1345">
        <v>45484</v>
      </c>
      <c r="AG184" s="26" t="s">
        <v>267</v>
      </c>
    </row>
    <row r="185" spans="2:40" ht="19.899999999999999" customHeight="1" x14ac:dyDescent="0.15">
      <c r="B185" s="26"/>
      <c r="E185" s="563">
        <v>20.5</v>
      </c>
      <c r="F185" s="91" t="s">
        <v>268</v>
      </c>
      <c r="AB185" s="1998" t="s">
        <v>269</v>
      </c>
      <c r="AC185" s="1999"/>
      <c r="AD185" s="413"/>
      <c r="AE185" s="414"/>
      <c r="AF185" s="405"/>
      <c r="AG185" s="405"/>
      <c r="AN185" s="26" t="s">
        <v>270</v>
      </c>
    </row>
    <row r="186" spans="2:40" ht="18.2" hidden="1" customHeight="1" x14ac:dyDescent="0.15">
      <c r="B186" s="26"/>
      <c r="E186" s="563">
        <v>18.75</v>
      </c>
      <c r="F186" s="26" cm="1">
        <f t="array" ref="F186">Z186</f>
        <v>0</v>
      </c>
      <c r="V186" s="172" cm="1">
        <f t="array" ref="V186">AE187</f>
        <v>0</v>
      </c>
      <c r="W186" s="424" t="b">
        <f>Z186&gt;0</f>
        <v>0</v>
      </c>
      <c r="X186" s="26" t="s">
        <v>271</v>
      </c>
      <c r="Z186" s="1988">
        <v>0</v>
      </c>
      <c r="AA186" s="2006"/>
      <c r="AB186" s="2000"/>
      <c r="AC186" s="2001"/>
      <c r="AD186" s="317" t="str">
        <f>"Тариф "&amp;Z186</f>
        <v>Тариф 0</v>
      </c>
      <c r="AE186" s="318"/>
      <c r="AF186" s="1989" t="s">
        <v>173</v>
      </c>
      <c r="AG186" s="26" t="str">
        <f>AD186&amp;" ("&amp;AE186&amp;") - "&amp;AE188&amp;IF(AE192="",""," ("&amp;AE192&amp;")")</f>
        <v xml:space="preserve">Тариф 0 () - </v>
      </c>
      <c r="AH186" s="26" cm="1">
        <f t="array" ref="AH186">AE191</f>
        <v>0</v>
      </c>
      <c r="AI186" s="172" cm="1">
        <f t="array" ref="AI186">AE188</f>
        <v>0</v>
      </c>
      <c r="AJ186" s="26" cm="1">
        <f t="array" ref="AJ186">AE192</f>
        <v>0</v>
      </c>
      <c r="AK186" s="26" cm="1">
        <f t="array" ref="AK186">AE189</f>
        <v>0</v>
      </c>
      <c r="AL186" s="822" t="str" cm="1">
        <f t="array" ref="AL186">AE196</f>
        <v/>
      </c>
      <c r="AM186" s="421" cm="1">
        <f t="array" ref="AM186">AE197</f>
        <v>0</v>
      </c>
      <c r="AN186" s="26" t="b">
        <f>IF(ISERR(SEARCH("трансп",AI186)),FALSE,TRUE)</f>
        <v>0</v>
      </c>
    </row>
    <row r="187" spans="2:40" ht="16.149999999999999" hidden="1" customHeight="1" x14ac:dyDescent="0.15">
      <c r="B187" s="26"/>
      <c r="E187" s="563">
        <v>16.5</v>
      </c>
      <c r="F187" s="26" cm="1">
        <f t="array" ref="F187">F186</f>
        <v>0</v>
      </c>
      <c r="V187" s="172"/>
      <c r="W187" s="424" t="b" cm="1">
        <f t="array" ref="W187">W186</f>
        <v>0</v>
      </c>
      <c r="Z187" s="1988"/>
      <c r="AA187" s="2006"/>
      <c r="AB187" s="2000"/>
      <c r="AC187" s="2001"/>
      <c r="AD187" s="319" t="s">
        <v>272</v>
      </c>
      <c r="AE187" s="310"/>
      <c r="AF187" s="1989"/>
    </row>
    <row r="188" spans="2:40" ht="16.149999999999999" hidden="1" customHeight="1" x14ac:dyDescent="0.15">
      <c r="B188" s="26"/>
      <c r="E188" s="563">
        <v>16.5</v>
      </c>
      <c r="F188" s="26" cm="1">
        <f t="array" ref="F188">F187</f>
        <v>0</v>
      </c>
      <c r="V188" s="172"/>
      <c r="W188" s="424" t="b" cm="1">
        <f t="array" ref="W188">W187</f>
        <v>0</v>
      </c>
      <c r="Z188" s="1988"/>
      <c r="AA188" s="2006"/>
      <c r="AB188" s="2000"/>
      <c r="AC188" s="2001"/>
      <c r="AD188" s="319" t="s">
        <v>273</v>
      </c>
      <c r="AE188" s="1346"/>
      <c r="AF188" s="1989"/>
    </row>
    <row r="189" spans="2:40" ht="16.149999999999999" hidden="1" customHeight="1" x14ac:dyDescent="0.15">
      <c r="B189" s="26"/>
      <c r="E189" s="563">
        <v>16.5</v>
      </c>
      <c r="F189" s="26" cm="1">
        <f t="array" ref="F189">F188</f>
        <v>0</v>
      </c>
      <c r="V189" s="172"/>
      <c r="W189" s="424" t="b" cm="1">
        <f t="array" ref="W189">W188</f>
        <v>0</v>
      </c>
      <c r="Z189" s="1988"/>
      <c r="AA189" s="2006"/>
      <c r="AB189" s="2000"/>
      <c r="AC189" s="2001"/>
      <c r="AD189" s="319" t="s">
        <v>274</v>
      </c>
      <c r="AE189" s="1346"/>
      <c r="AF189" s="1989"/>
    </row>
    <row r="190" spans="2:40" ht="16.149999999999999" hidden="1" customHeight="1" x14ac:dyDescent="0.15">
      <c r="B190" s="26"/>
      <c r="E190" s="563">
        <v>16.5</v>
      </c>
      <c r="F190" s="26" cm="1">
        <f t="array" ref="F190">F189</f>
        <v>0</v>
      </c>
      <c r="V190" s="172"/>
      <c r="W190" s="424" t="b" cm="1">
        <f t="array" ref="W190">W189</f>
        <v>0</v>
      </c>
      <c r="Z190" s="1988"/>
      <c r="AA190" s="2006"/>
      <c r="AB190" s="2000"/>
      <c r="AC190" s="2001"/>
      <c r="AD190" s="319" t="s">
        <v>275</v>
      </c>
      <c r="AE190" s="674"/>
      <c r="AF190" s="1989"/>
    </row>
    <row r="191" spans="2:40" ht="16.149999999999999" hidden="1" customHeight="1" x14ac:dyDescent="0.15">
      <c r="B191" s="26"/>
      <c r="E191" s="563">
        <v>16.5</v>
      </c>
      <c r="F191" s="26" cm="1">
        <f t="array" ref="F191">F190</f>
        <v>0</v>
      </c>
      <c r="V191" s="172"/>
      <c r="W191" s="424" t="b" cm="1">
        <f t="array" ref="W191">W190</f>
        <v>0</v>
      </c>
      <c r="Z191" s="1988"/>
      <c r="AA191" s="2006"/>
      <c r="AB191" s="2000"/>
      <c r="AC191" s="2001"/>
      <c r="AD191" s="18" t="str">
        <f>IF(AE186="Водоотведение","Вид сточных вод","Вид воды")</f>
        <v>Вид воды</v>
      </c>
      <c r="AE191" s="1346"/>
      <c r="AF191" s="1989"/>
    </row>
    <row r="192" spans="2:40" ht="16.149999999999999" hidden="1" customHeight="1" x14ac:dyDescent="0.15">
      <c r="B192" s="26"/>
      <c r="E192" s="563">
        <v>16.5</v>
      </c>
      <c r="F192" s="26" cm="1">
        <f t="array" ref="F192">F191</f>
        <v>0</v>
      </c>
      <c r="V192" s="172"/>
      <c r="W192" s="424" t="b" cm="1">
        <f t="array" ref="W192">W191</f>
        <v>0</v>
      </c>
      <c r="Z192" s="1988"/>
      <c r="AA192" s="2006"/>
      <c r="AB192" s="2000"/>
      <c r="AC192" s="2001"/>
      <c r="AD192" s="18" t="s">
        <v>276</v>
      </c>
      <c r="AE192" s="674"/>
      <c r="AF192" s="1989"/>
    </row>
    <row r="193" spans="1:53" ht="16.149999999999999" hidden="1" customHeight="1" x14ac:dyDescent="0.15">
      <c r="B193" s="367" t="b">
        <f t="shared" ref="B193:B199" si="7">org_declaration="Заявление организации"</f>
        <v>1</v>
      </c>
      <c r="E193" s="563">
        <v>16.5</v>
      </c>
      <c r="F193" s="26" cm="1">
        <f t="array" ref="F193">F192</f>
        <v>0</v>
      </c>
      <c r="V193" s="172"/>
      <c r="W193" s="424" t="b" cm="1">
        <f t="array" ref="W193">W192</f>
        <v>0</v>
      </c>
      <c r="Z193" s="1988"/>
      <c r="AA193" s="2006"/>
      <c r="AB193" s="2000"/>
      <c r="AC193" s="2001"/>
      <c r="AD193" s="319" t="s">
        <v>277</v>
      </c>
      <c r="AE193" s="1347"/>
      <c r="AF193" s="1989"/>
    </row>
    <row r="194" spans="1:53" ht="16.149999999999999" hidden="1" customHeight="1" x14ac:dyDescent="0.15">
      <c r="B194" s="367" t="b">
        <f t="shared" si="7"/>
        <v>1</v>
      </c>
      <c r="E194" s="563">
        <v>16.5</v>
      </c>
      <c r="F194" s="26" cm="1">
        <f t="array" ref="F194">F193</f>
        <v>0</v>
      </c>
      <c r="V194" s="172"/>
      <c r="W194" s="424" t="b" cm="1">
        <f t="array" ref="W194">W193</f>
        <v>0</v>
      </c>
      <c r="Z194" s="1988"/>
      <c r="AA194" s="2006"/>
      <c r="AB194" s="2000"/>
      <c r="AC194" s="2001"/>
      <c r="AD194" s="319" t="s">
        <v>278</v>
      </c>
      <c r="AE194" s="1348"/>
      <c r="AF194" s="1989"/>
    </row>
    <row r="195" spans="1:53" ht="16.149999999999999" hidden="1" customHeight="1" x14ac:dyDescent="0.15">
      <c r="B195" s="367" t="b">
        <f t="shared" si="7"/>
        <v>1</v>
      </c>
      <c r="E195" s="563">
        <v>16.5</v>
      </c>
      <c r="F195" s="26" cm="1">
        <f t="array" ref="F195">F194</f>
        <v>0</v>
      </c>
      <c r="V195" s="172"/>
      <c r="W195" s="424" t="b" cm="1">
        <f t="array" ref="W195">W194</f>
        <v>0</v>
      </c>
      <c r="Z195" s="1988"/>
      <c r="AA195" s="2006"/>
      <c r="AB195" s="2000"/>
      <c r="AC195" s="2001"/>
      <c r="AD195" s="319" t="s">
        <v>279</v>
      </c>
      <c r="AE195" s="1349"/>
      <c r="AF195" s="1989"/>
    </row>
    <row r="196" spans="1:53" ht="16.149999999999999" hidden="1" customHeight="1" x14ac:dyDescent="0.15">
      <c r="B196" s="367" t="b">
        <f t="shared" si="7"/>
        <v>1</v>
      </c>
      <c r="E196" s="563">
        <v>16.5</v>
      </c>
      <c r="F196" s="26" cm="1">
        <f t="array" ref="F196">F195</f>
        <v>0</v>
      </c>
      <c r="V196" s="172"/>
      <c r="W196" s="424" t="b" cm="1">
        <f t="array" ref="W196">W195</f>
        <v>0</v>
      </c>
      <c r="Z196" s="1988"/>
      <c r="AA196" s="2006"/>
      <c r="AB196" s="2000"/>
      <c r="AC196" s="2001"/>
      <c r="AD196" s="319" t="s">
        <v>280</v>
      </c>
      <c r="AE196" s="1350" t="str">
        <f>IF(ISBLANK(AE198),"",DATE(AE198,7,1))</f>
        <v/>
      </c>
      <c r="AF196" s="1989"/>
    </row>
    <row r="197" spans="1:53" ht="16.149999999999999" hidden="1" customHeight="1" x14ac:dyDescent="0.15">
      <c r="B197" s="367" t="b">
        <f t="shared" si="7"/>
        <v>1</v>
      </c>
      <c r="E197" s="563">
        <v>16.5</v>
      </c>
      <c r="F197" s="26" cm="1">
        <f t="array" ref="F197">F196</f>
        <v>0</v>
      </c>
      <c r="V197" s="172"/>
      <c r="W197" s="424" t="b" cm="1">
        <f t="array" ref="W197">W196</f>
        <v>0</v>
      </c>
      <c r="Z197" s="1988"/>
      <c r="AA197" s="2006"/>
      <c r="AB197" s="2000"/>
      <c r="AC197" s="2001"/>
      <c r="AD197" s="319" t="s">
        <v>281</v>
      </c>
      <c r="AE197" s="1351"/>
      <c r="AF197" s="1989"/>
    </row>
    <row r="198" spans="1:53" ht="21.95" hidden="1" customHeight="1" x14ac:dyDescent="0.15">
      <c r="B198" s="367" t="b">
        <f t="shared" si="7"/>
        <v>1</v>
      </c>
      <c r="E198" s="563">
        <v>22.5</v>
      </c>
      <c r="F198" s="26" cm="1">
        <f t="array" ref="F198">F197</f>
        <v>0</v>
      </c>
      <c r="V198" s="172"/>
      <c r="W198" s="424" t="b">
        <f>AND(W197,AE197&lt;&gt;"Метод экономически обоснованных расходов",AE197&lt;&gt;"Метод сравнения аналогов")</f>
        <v>0</v>
      </c>
      <c r="Z198" s="1988"/>
      <c r="AA198" s="2006"/>
      <c r="AB198" s="2000"/>
      <c r="AC198" s="2001"/>
      <c r="AD198" s="18" t="str">
        <f>IF(OR(AE197="экономически обоснованных расходов (затрат)",AE197="сравнения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8" s="1352"/>
      <c r="AF198" s="1989"/>
    </row>
    <row r="199" spans="1:53" ht="16.149999999999999" hidden="1" customHeight="1" x14ac:dyDescent="0.15">
      <c r="B199" s="367" t="b">
        <f t="shared" si="7"/>
        <v>1</v>
      </c>
      <c r="E199" s="563">
        <v>16.5</v>
      </c>
      <c r="F199" s="26" cm="1">
        <f t="array" ref="F199">F198</f>
        <v>0</v>
      </c>
      <c r="V199" s="172"/>
      <c r="W199" s="424" t="b">
        <f>AND(W198,AE197&lt;&gt;"Метод экономически обоснованных расходов",AE197&lt;&gt;"Метод сравнения аналогов")</f>
        <v>0</v>
      </c>
      <c r="Z199" s="1988"/>
      <c r="AA199" s="2006"/>
      <c r="AB199" s="2000"/>
      <c r="AC199" s="2001"/>
      <c r="AD199" s="319" t="s">
        <v>106</v>
      </c>
      <c r="AE199" s="1352"/>
      <c r="AF199" s="1989"/>
    </row>
    <row r="200" spans="1:53" s="1334" customFormat="1" ht="18" customHeight="1" x14ac:dyDescent="0.15">
      <c r="A200" s="1205"/>
      <c r="B200" s="26"/>
      <c r="C200" s="1205"/>
      <c r="D200" s="1205"/>
      <c r="E200" s="563">
        <v>18.75</v>
      </c>
      <c r="F200" s="26" t="str" cm="1">
        <f t="array" ref="F200">Z200</f>
        <v>1</v>
      </c>
      <c r="G200" s="1205"/>
      <c r="H200" s="1205"/>
      <c r="I200" s="1205"/>
      <c r="J200" s="1205"/>
      <c r="K200" s="1205"/>
      <c r="L200" s="1205"/>
      <c r="M200" s="1205"/>
      <c r="N200" s="1205"/>
      <c r="O200" s="1205"/>
      <c r="P200" s="1205"/>
      <c r="Q200" s="1205"/>
      <c r="R200" s="1205"/>
      <c r="S200" s="1205"/>
      <c r="T200" s="1205"/>
      <c r="U200" s="1205"/>
      <c r="V200" s="172" t="str" cm="1">
        <f t="array" ref="V200">AE201</f>
        <v>ХВС.42.31528492.0006</v>
      </c>
      <c r="W200" s="424" t="b">
        <f>Z200&gt;0</f>
        <v>1</v>
      </c>
      <c r="X200" s="26"/>
      <c r="Y200" s="1205"/>
      <c r="Z200" s="1988" t="s">
        <v>282</v>
      </c>
      <c r="AA200" s="2006"/>
      <c r="AB200" s="2002"/>
      <c r="AC200" s="2003"/>
      <c r="AD200" s="317" t="str">
        <f>"Тариф "&amp;Z200</f>
        <v>Тариф 1</v>
      </c>
      <c r="AE200" s="318" t="s">
        <v>283</v>
      </c>
      <c r="AF200" s="1989" t="s">
        <v>173</v>
      </c>
      <c r="AG200" s="26" t="str">
        <f>AD200&amp;" ("&amp;AE200&amp;") - "&amp;AE202&amp;IF(AE206="",""," ("&amp;AE206&amp;")")</f>
        <v>Тариф 1 (Водоснабжение) - тариф на питьевую воду</v>
      </c>
      <c r="AH200" s="26" t="str" cm="1">
        <f t="array" ref="AH200">AE205</f>
        <v>питьевая вода</v>
      </c>
      <c r="AI200" s="172" t="str" cm="1">
        <f t="array" ref="AI200">AE202</f>
        <v>тариф на питьевую воду</v>
      </c>
      <c r="AJ200" s="26" cm="1">
        <f t="array" ref="AJ200">AE206</f>
        <v>0</v>
      </c>
      <c r="AK200" s="26" t="str" cm="1">
        <f t="array" ref="AK200">AE203</f>
        <v>одноставочный</v>
      </c>
      <c r="AL200" s="822" cm="1">
        <f t="array" ref="AL200">AE210</f>
        <v>46023</v>
      </c>
      <c r="AM200" s="421" t="str" cm="1">
        <f t="array" ref="AM200">AE211</f>
        <v>Метод индексации</v>
      </c>
      <c r="AN200" s="26" t="b">
        <f>IF(ISERR(SEARCH("трансп",AI200)),FALSE,TRUE)</f>
        <v>0</v>
      </c>
      <c r="AO200" s="1205"/>
      <c r="AP200" s="1205"/>
      <c r="AQ200" s="1205"/>
      <c r="AR200" s="1205"/>
      <c r="AS200" s="1205"/>
      <c r="AT200" s="1205"/>
      <c r="AU200" s="1205"/>
      <c r="AV200" s="1205"/>
      <c r="AW200" s="1205"/>
      <c r="AX200" s="1205"/>
      <c r="AY200" s="1205"/>
      <c r="AZ200" s="1205"/>
      <c r="BA200" s="1205"/>
    </row>
    <row r="201" spans="1:53" s="1334" customFormat="1" ht="15.75" customHeight="1" x14ac:dyDescent="0.15">
      <c r="A201" s="1205"/>
      <c r="B201" s="26"/>
      <c r="C201" s="1205"/>
      <c r="D201" s="1205"/>
      <c r="E201" s="563">
        <v>16.5</v>
      </c>
      <c r="F201" s="26" t="str" cm="1">
        <f t="array" ref="F201">F200</f>
        <v>1</v>
      </c>
      <c r="G201" s="1205"/>
      <c r="H201" s="1205"/>
      <c r="I201" s="1205"/>
      <c r="J201" s="1205"/>
      <c r="K201" s="1205"/>
      <c r="L201" s="1205"/>
      <c r="M201" s="1205"/>
      <c r="N201" s="1205"/>
      <c r="O201" s="1205"/>
      <c r="P201" s="1205"/>
      <c r="Q201" s="1205"/>
      <c r="R201" s="1205"/>
      <c r="S201" s="1205"/>
      <c r="T201" s="1205"/>
      <c r="U201" s="1205"/>
      <c r="V201" s="172"/>
      <c r="W201" s="424" t="b" cm="1">
        <f t="array" ref="W201">W200</f>
        <v>1</v>
      </c>
      <c r="X201" s="1205"/>
      <c r="Y201" s="1205"/>
      <c r="Z201" s="1988"/>
      <c r="AA201" s="2006"/>
      <c r="AB201" s="2002"/>
      <c r="AC201" s="2003"/>
      <c r="AD201" s="319" t="s">
        <v>272</v>
      </c>
      <c r="AE201" s="310" t="s">
        <v>284</v>
      </c>
      <c r="AF201" s="1989"/>
      <c r="AG201" s="1205"/>
      <c r="AH201" s="1205">
        <v>8011166514</v>
      </c>
      <c r="AI201" s="1205"/>
      <c r="AJ201" s="1205"/>
      <c r="AK201" s="1205"/>
      <c r="AL201" s="1205"/>
      <c r="AM201" s="1205"/>
      <c r="AN201" s="1205"/>
      <c r="AO201" s="1205"/>
      <c r="AP201" s="1205"/>
      <c r="AQ201" s="1205"/>
      <c r="AR201" s="1205"/>
      <c r="AS201" s="1205"/>
      <c r="AT201" s="1205"/>
      <c r="AU201" s="1205"/>
      <c r="AV201" s="1205"/>
      <c r="AW201" s="1205"/>
      <c r="AX201" s="1205"/>
      <c r="AY201" s="1205"/>
      <c r="AZ201" s="1205"/>
      <c r="BA201" s="1205"/>
    </row>
    <row r="202" spans="1:53" s="1334" customFormat="1" ht="15.75" customHeight="1" x14ac:dyDescent="0.15">
      <c r="A202" s="1205"/>
      <c r="B202" s="26"/>
      <c r="C202" s="1205"/>
      <c r="D202" s="1205"/>
      <c r="E202" s="563">
        <v>16.5</v>
      </c>
      <c r="F202" s="26" t="str" cm="1">
        <f t="array" ref="F202">F201</f>
        <v>1</v>
      </c>
      <c r="G202" s="1205"/>
      <c r="H202" s="1205"/>
      <c r="I202" s="1205"/>
      <c r="J202" s="1205"/>
      <c r="K202" s="1205"/>
      <c r="L202" s="1205"/>
      <c r="M202" s="1205"/>
      <c r="N202" s="1205"/>
      <c r="O202" s="1205"/>
      <c r="P202" s="1205"/>
      <c r="Q202" s="1205"/>
      <c r="R202" s="1205"/>
      <c r="S202" s="1205"/>
      <c r="T202" s="1205"/>
      <c r="U202" s="1205"/>
      <c r="V202" s="172"/>
      <c r="W202" s="424" t="b" cm="1">
        <f t="array" ref="W202">W201</f>
        <v>1</v>
      </c>
      <c r="X202" s="1205"/>
      <c r="Y202" s="1205"/>
      <c r="Z202" s="1988"/>
      <c r="AA202" s="2006"/>
      <c r="AB202" s="2002"/>
      <c r="AC202" s="2003"/>
      <c r="AD202" s="319" t="s">
        <v>273</v>
      </c>
      <c r="AE202" s="312" t="s">
        <v>285</v>
      </c>
      <c r="AF202" s="1989"/>
      <c r="AG202" s="1205"/>
      <c r="AH202" s="1205"/>
      <c r="AI202" s="1205"/>
      <c r="AJ202" s="1205"/>
      <c r="AK202" s="1205"/>
      <c r="AL202" s="1205"/>
      <c r="AM202" s="1205"/>
      <c r="AN202" s="1205"/>
      <c r="AO202" s="1205"/>
      <c r="AP202" s="1205"/>
      <c r="AQ202" s="1205"/>
      <c r="AR202" s="1205"/>
      <c r="AS202" s="1205"/>
      <c r="AT202" s="1205"/>
      <c r="AU202" s="1205"/>
      <c r="AV202" s="1205"/>
      <c r="AW202" s="1205"/>
      <c r="AX202" s="1205"/>
      <c r="AY202" s="1205"/>
      <c r="AZ202" s="1205"/>
      <c r="BA202" s="1205"/>
    </row>
    <row r="203" spans="1:53" s="1334" customFormat="1" ht="15.75" customHeight="1" x14ac:dyDescent="0.15">
      <c r="A203" s="1205"/>
      <c r="B203" s="26"/>
      <c r="C203" s="1205"/>
      <c r="D203" s="1205"/>
      <c r="E203" s="563">
        <v>16.5</v>
      </c>
      <c r="F203" s="26" t="str" cm="1">
        <f t="array" ref="F203">F202</f>
        <v>1</v>
      </c>
      <c r="G203" s="1205"/>
      <c r="H203" s="1205"/>
      <c r="I203" s="1205"/>
      <c r="J203" s="1205"/>
      <c r="K203" s="1205"/>
      <c r="L203" s="1205"/>
      <c r="M203" s="1205"/>
      <c r="N203" s="1205"/>
      <c r="O203" s="1205"/>
      <c r="P203" s="1205"/>
      <c r="Q203" s="1205"/>
      <c r="R203" s="1205"/>
      <c r="S203" s="1205"/>
      <c r="T203" s="1205"/>
      <c r="U203" s="1205"/>
      <c r="V203" s="172"/>
      <c r="W203" s="424" t="b" cm="1">
        <f t="array" ref="W203">W202</f>
        <v>1</v>
      </c>
      <c r="X203" s="1205"/>
      <c r="Y203" s="1205"/>
      <c r="Z203" s="1988"/>
      <c r="AA203" s="2006"/>
      <c r="AB203" s="2002"/>
      <c r="AC203" s="2003"/>
      <c r="AD203" s="319" t="s">
        <v>274</v>
      </c>
      <c r="AE203" s="312" t="s">
        <v>286</v>
      </c>
      <c r="AF203" s="1989"/>
      <c r="AG203" s="1205"/>
      <c r="AH203" s="1205"/>
      <c r="AI203" s="1205"/>
      <c r="AJ203" s="1205"/>
      <c r="AK203" s="1205"/>
      <c r="AL203" s="1205"/>
      <c r="AM203" s="1205"/>
      <c r="AN203" s="1205"/>
      <c r="AO203" s="1205"/>
      <c r="AP203" s="1205"/>
      <c r="AQ203" s="1205"/>
      <c r="AR203" s="1205"/>
      <c r="AS203" s="1205"/>
      <c r="AT203" s="1205"/>
      <c r="AU203" s="1205"/>
      <c r="AV203" s="1205"/>
      <c r="AW203" s="1205"/>
      <c r="AX203" s="1205"/>
      <c r="AY203" s="1205"/>
      <c r="AZ203" s="1205"/>
      <c r="BA203" s="1205"/>
    </row>
    <row r="204" spans="1:53" s="1334" customFormat="1" ht="23.25" customHeight="1" x14ac:dyDescent="0.15">
      <c r="A204" s="1205"/>
      <c r="B204" s="26"/>
      <c r="C204" s="1205"/>
      <c r="D204" s="1205"/>
      <c r="E204" s="563">
        <v>16.5</v>
      </c>
      <c r="F204" s="26" t="str" cm="1">
        <f t="array" ref="F204">F203</f>
        <v>1</v>
      </c>
      <c r="G204" s="1205"/>
      <c r="H204" s="1205"/>
      <c r="I204" s="1205"/>
      <c r="J204" s="1205"/>
      <c r="K204" s="1205"/>
      <c r="L204" s="1205"/>
      <c r="M204" s="1205"/>
      <c r="N204" s="1205"/>
      <c r="O204" s="1205"/>
      <c r="P204" s="1205"/>
      <c r="Q204" s="1205"/>
      <c r="R204" s="1205"/>
      <c r="S204" s="1205"/>
      <c r="T204" s="1205"/>
      <c r="U204" s="1205"/>
      <c r="V204" s="172"/>
      <c r="W204" s="424" t="b" cm="1">
        <f t="array" ref="W204">W203</f>
        <v>1</v>
      </c>
      <c r="X204" s="1205"/>
      <c r="Y204" s="1205"/>
      <c r="Z204" s="1988"/>
      <c r="AA204" s="2006"/>
      <c r="AB204" s="2002"/>
      <c r="AC204" s="2003"/>
      <c r="AD204" s="319" t="s">
        <v>275</v>
      </c>
      <c r="AE204" s="674" t="s">
        <v>287</v>
      </c>
      <c r="AF204" s="1989"/>
      <c r="AG204" s="1205"/>
      <c r="AH204" s="1205"/>
      <c r="AI204" s="1205"/>
      <c r="AJ204" s="1205"/>
      <c r="AK204" s="1205"/>
      <c r="AL204" s="1205"/>
      <c r="AM204" s="1205"/>
      <c r="AN204" s="1205"/>
      <c r="AO204" s="1205"/>
      <c r="AP204" s="1205"/>
      <c r="AQ204" s="1205"/>
      <c r="AR204" s="1205"/>
      <c r="AS204" s="1205"/>
      <c r="AT204" s="1205"/>
      <c r="AU204" s="1205"/>
      <c r="AV204" s="1205"/>
      <c r="AW204" s="1205"/>
      <c r="AX204" s="1205"/>
      <c r="AY204" s="1205"/>
      <c r="AZ204" s="1205"/>
      <c r="BA204" s="1205"/>
    </row>
    <row r="205" spans="1:53" s="1334" customFormat="1" ht="15.75" customHeight="1" x14ac:dyDescent="0.15">
      <c r="A205" s="1205"/>
      <c r="B205" s="26"/>
      <c r="C205" s="1205"/>
      <c r="D205" s="1205"/>
      <c r="E205" s="563">
        <v>16.5</v>
      </c>
      <c r="F205" s="26" t="str" cm="1">
        <f t="array" ref="F205">F204</f>
        <v>1</v>
      </c>
      <c r="G205" s="1205"/>
      <c r="H205" s="1205"/>
      <c r="I205" s="1205"/>
      <c r="J205" s="1205"/>
      <c r="K205" s="1205"/>
      <c r="L205" s="1205"/>
      <c r="M205" s="1205"/>
      <c r="N205" s="1205"/>
      <c r="O205" s="1205"/>
      <c r="P205" s="1205"/>
      <c r="Q205" s="1205"/>
      <c r="R205" s="1205"/>
      <c r="S205" s="1205"/>
      <c r="T205" s="1205"/>
      <c r="U205" s="1205"/>
      <c r="V205" s="172"/>
      <c r="W205" s="424" t="b" cm="1">
        <f t="array" ref="W205">W204</f>
        <v>1</v>
      </c>
      <c r="X205" s="1205"/>
      <c r="Y205" s="1205"/>
      <c r="Z205" s="1988"/>
      <c r="AA205" s="2006"/>
      <c r="AB205" s="2002"/>
      <c r="AC205" s="2003"/>
      <c r="AD205" s="18" t="str">
        <f>IF(AE200="Водоотведение","Вид сточных вод","Вид воды")</f>
        <v>Вид воды</v>
      </c>
      <c r="AE205" s="312" t="s">
        <v>288</v>
      </c>
      <c r="AF205" s="1989"/>
      <c r="AG205" s="1205"/>
      <c r="AH205" s="1205"/>
      <c r="AI205" s="1205"/>
      <c r="AJ205" s="1205"/>
      <c r="AK205" s="1205"/>
      <c r="AL205" s="1205"/>
      <c r="AM205" s="1205"/>
      <c r="AN205" s="1205"/>
      <c r="AO205" s="1205"/>
      <c r="AP205" s="1205"/>
      <c r="AQ205" s="1205"/>
      <c r="AR205" s="1205"/>
      <c r="AS205" s="1205"/>
      <c r="AT205" s="1205"/>
      <c r="AU205" s="1205"/>
      <c r="AV205" s="1205"/>
      <c r="AW205" s="1205"/>
      <c r="AX205" s="1205"/>
      <c r="AY205" s="1205"/>
      <c r="AZ205" s="1205"/>
      <c r="BA205" s="1205"/>
    </row>
    <row r="206" spans="1:53" s="1334" customFormat="1" ht="12.75" customHeight="1" x14ac:dyDescent="0.15">
      <c r="A206" s="1205"/>
      <c r="B206" s="26"/>
      <c r="C206" s="1205"/>
      <c r="D206" s="1205"/>
      <c r="E206" s="563">
        <v>16.5</v>
      </c>
      <c r="F206" s="26" t="str" cm="1">
        <f t="array" ref="F206">F205</f>
        <v>1</v>
      </c>
      <c r="G206" s="1205"/>
      <c r="H206" s="1205"/>
      <c r="I206" s="1205"/>
      <c r="J206" s="1205"/>
      <c r="K206" s="1205"/>
      <c r="L206" s="1205"/>
      <c r="M206" s="1205"/>
      <c r="N206" s="1205"/>
      <c r="O206" s="1205"/>
      <c r="P206" s="1205"/>
      <c r="Q206" s="1205"/>
      <c r="R206" s="1205"/>
      <c r="S206" s="1205"/>
      <c r="T206" s="1205"/>
      <c r="U206" s="1205"/>
      <c r="V206" s="172"/>
      <c r="W206" s="424" t="b" cm="1">
        <f t="array" ref="W206">W205</f>
        <v>1</v>
      </c>
      <c r="X206" s="1205"/>
      <c r="Y206" s="1205"/>
      <c r="Z206" s="1988"/>
      <c r="AA206" s="2006"/>
      <c r="AB206" s="2002"/>
      <c r="AC206" s="2003"/>
      <c r="AD206" s="18" t="s">
        <v>276</v>
      </c>
      <c r="AE206" s="674"/>
      <c r="AF206" s="1989"/>
      <c r="AG206" s="1205"/>
      <c r="AH206" s="1205"/>
      <c r="AI206" s="1205"/>
      <c r="AJ206" s="1205"/>
      <c r="AK206" s="1205"/>
      <c r="AL206" s="1205"/>
      <c r="AM206" s="1205"/>
      <c r="AN206" s="1205"/>
      <c r="AO206" s="1205"/>
      <c r="AP206" s="1205"/>
      <c r="AQ206" s="1205"/>
      <c r="AR206" s="1205"/>
      <c r="AS206" s="1205"/>
      <c r="AT206" s="1205"/>
      <c r="AU206" s="1205"/>
      <c r="AV206" s="1205"/>
      <c r="AW206" s="1205"/>
      <c r="AX206" s="1205"/>
      <c r="AY206" s="1205"/>
      <c r="AZ206" s="1205"/>
      <c r="BA206" s="1205"/>
    </row>
    <row r="207" spans="1:53" s="1334" customFormat="1" ht="15.75" customHeight="1" x14ac:dyDescent="0.15">
      <c r="A207" s="1205"/>
      <c r="B207" s="367" t="b">
        <f t="shared" ref="B207:B213" si="8">org_declaration="Заявление организации"</f>
        <v>1</v>
      </c>
      <c r="C207" s="1205"/>
      <c r="D207" s="1205"/>
      <c r="E207" s="563">
        <v>16.5</v>
      </c>
      <c r="F207" s="26" t="str" cm="1">
        <f t="array" ref="F207">F206</f>
        <v>1</v>
      </c>
      <c r="G207" s="1205"/>
      <c r="H207" s="1205"/>
      <c r="I207" s="1205"/>
      <c r="J207" s="1205"/>
      <c r="K207" s="1205"/>
      <c r="L207" s="1205"/>
      <c r="M207" s="1205"/>
      <c r="N207" s="1205"/>
      <c r="O207" s="1205"/>
      <c r="P207" s="1205"/>
      <c r="Q207" s="1205"/>
      <c r="R207" s="1205"/>
      <c r="S207" s="1205"/>
      <c r="T207" s="1205"/>
      <c r="U207" s="1205"/>
      <c r="V207" s="172"/>
      <c r="W207" s="424" t="b" cm="1">
        <f t="array" ref="W207">W206</f>
        <v>1</v>
      </c>
      <c r="X207" s="1205"/>
      <c r="Y207" s="1205"/>
      <c r="Z207" s="1988"/>
      <c r="AA207" s="2006"/>
      <c r="AB207" s="2002"/>
      <c r="AC207" s="2003"/>
      <c r="AD207" s="319" t="s">
        <v>277</v>
      </c>
      <c r="AE207" s="320">
        <v>2772</v>
      </c>
      <c r="AF207" s="1989"/>
      <c r="AG207" s="1205"/>
      <c r="AH207" s="1205"/>
      <c r="AI207" s="1205"/>
      <c r="AJ207" s="1205"/>
      <c r="AK207" s="1205"/>
      <c r="AL207" s="1205"/>
      <c r="AM207" s="1205"/>
      <c r="AN207" s="1205"/>
      <c r="AO207" s="1205"/>
      <c r="AP207" s="1205"/>
      <c r="AQ207" s="1205"/>
      <c r="AR207" s="1205"/>
      <c r="AS207" s="1205"/>
      <c r="AT207" s="1205"/>
      <c r="AU207" s="1205"/>
      <c r="AV207" s="1205"/>
      <c r="AW207" s="1205"/>
      <c r="AX207" s="1205"/>
      <c r="AY207" s="1205"/>
      <c r="AZ207" s="1205"/>
      <c r="BA207" s="1205"/>
    </row>
    <row r="208" spans="1:53" s="1334" customFormat="1" ht="15.75" customHeight="1" x14ac:dyDescent="0.15">
      <c r="A208" s="1205"/>
      <c r="B208" s="367" t="b">
        <f t="shared" si="8"/>
        <v>1</v>
      </c>
      <c r="C208" s="1205"/>
      <c r="D208" s="1205"/>
      <c r="E208" s="563">
        <v>16.5</v>
      </c>
      <c r="F208" s="26" t="str" cm="1">
        <f t="array" ref="F208">F207</f>
        <v>1</v>
      </c>
      <c r="G208" s="1205"/>
      <c r="H208" s="1205"/>
      <c r="I208" s="1205"/>
      <c r="J208" s="1205"/>
      <c r="K208" s="1205"/>
      <c r="L208" s="1205"/>
      <c r="M208" s="1205"/>
      <c r="N208" s="1205"/>
      <c r="O208" s="1205"/>
      <c r="P208" s="1205"/>
      <c r="Q208" s="1205"/>
      <c r="R208" s="1205"/>
      <c r="S208" s="1205"/>
      <c r="T208" s="1205"/>
      <c r="U208" s="1205"/>
      <c r="V208" s="172"/>
      <c r="W208" s="424" t="b" cm="1">
        <f t="array" ref="W208">W207</f>
        <v>1</v>
      </c>
      <c r="X208" s="1205"/>
      <c r="Y208" s="1205"/>
      <c r="Z208" s="1988"/>
      <c r="AA208" s="2006"/>
      <c r="AB208" s="2002"/>
      <c r="AC208" s="2003"/>
      <c r="AD208" s="319" t="s">
        <v>278</v>
      </c>
      <c r="AE208" s="987">
        <v>45777</v>
      </c>
      <c r="AF208" s="1989"/>
      <c r="AG208" s="1205"/>
      <c r="AH208" s="1205"/>
      <c r="AI208" s="1205"/>
      <c r="AJ208" s="1205"/>
      <c r="AK208" s="1205"/>
      <c r="AL208" s="1205"/>
      <c r="AM208" s="1205"/>
      <c r="AN208" s="1205"/>
      <c r="AO208" s="1205"/>
      <c r="AP208" s="1205"/>
      <c r="AQ208" s="1205"/>
      <c r="AR208" s="1205"/>
      <c r="AS208" s="1205"/>
      <c r="AT208" s="1205"/>
      <c r="AU208" s="1205"/>
      <c r="AV208" s="1205"/>
      <c r="AW208" s="1205"/>
      <c r="AX208" s="1205"/>
      <c r="AY208" s="1205"/>
      <c r="AZ208" s="1205"/>
      <c r="BA208" s="1205"/>
    </row>
    <row r="209" spans="1:53" s="1334" customFormat="1" ht="12.75" customHeight="1" x14ac:dyDescent="0.15">
      <c r="A209" s="1205"/>
      <c r="B209" s="367" t="b">
        <f t="shared" si="8"/>
        <v>1</v>
      </c>
      <c r="C209" s="1205"/>
      <c r="D209" s="1205"/>
      <c r="E209" s="563">
        <v>16.5</v>
      </c>
      <c r="F209" s="26" t="str" cm="1">
        <f t="array" ref="F209">F208</f>
        <v>1</v>
      </c>
      <c r="G209" s="1205"/>
      <c r="H209" s="1205"/>
      <c r="I209" s="1205"/>
      <c r="J209" s="1205"/>
      <c r="K209" s="1205"/>
      <c r="L209" s="1205"/>
      <c r="M209" s="1205"/>
      <c r="N209" s="1205"/>
      <c r="O209" s="1205"/>
      <c r="P209" s="1205"/>
      <c r="Q209" s="1205"/>
      <c r="R209" s="1205"/>
      <c r="S209" s="1205"/>
      <c r="T209" s="1205"/>
      <c r="U209" s="1205"/>
      <c r="V209" s="172"/>
      <c r="W209" s="424" t="b" cm="1">
        <f t="array" ref="W209">W208</f>
        <v>1</v>
      </c>
      <c r="X209" s="1205"/>
      <c r="Y209" s="1205"/>
      <c r="Z209" s="1988"/>
      <c r="AA209" s="2006"/>
      <c r="AB209" s="2002"/>
      <c r="AC209" s="2003"/>
      <c r="AD209" s="319" t="s">
        <v>279</v>
      </c>
      <c r="AE209" s="321"/>
      <c r="AF209" s="1989"/>
      <c r="AG209" s="1205"/>
      <c r="AH209" s="1205"/>
      <c r="AI209" s="1205"/>
      <c r="AJ209" s="1205"/>
      <c r="AK209" s="1205"/>
      <c r="AL209" s="1205"/>
      <c r="AM209" s="1205"/>
      <c r="AN209" s="1205"/>
      <c r="AO209" s="1205"/>
      <c r="AP209" s="1205"/>
      <c r="AQ209" s="1205"/>
      <c r="AR209" s="1205"/>
      <c r="AS209" s="1205"/>
      <c r="AT209" s="1205"/>
      <c r="AU209" s="1205"/>
      <c r="AV209" s="1205"/>
      <c r="AW209" s="1205"/>
      <c r="AX209" s="1205"/>
      <c r="AY209" s="1205"/>
      <c r="AZ209" s="1205"/>
      <c r="BA209" s="1205"/>
    </row>
    <row r="210" spans="1:53" s="1334" customFormat="1" ht="15.75" customHeight="1" x14ac:dyDescent="0.15">
      <c r="A210" s="1205"/>
      <c r="B210" s="367" t="b">
        <f t="shared" si="8"/>
        <v>1</v>
      </c>
      <c r="C210" s="1205"/>
      <c r="D210" s="1205"/>
      <c r="E210" s="563">
        <v>16.5</v>
      </c>
      <c r="F210" s="26" t="str" cm="1">
        <f t="array" ref="F210">F209</f>
        <v>1</v>
      </c>
      <c r="G210" s="1205"/>
      <c r="H210" s="1205"/>
      <c r="I210" s="1205"/>
      <c r="J210" s="1205"/>
      <c r="K210" s="1205"/>
      <c r="L210" s="1205"/>
      <c r="M210" s="1205"/>
      <c r="N210" s="1205"/>
      <c r="O210" s="1205"/>
      <c r="P210" s="1205"/>
      <c r="Q210" s="1205"/>
      <c r="R210" s="1205"/>
      <c r="S210" s="1205"/>
      <c r="T210" s="1205"/>
      <c r="U210" s="1205"/>
      <c r="V210" s="172"/>
      <c r="W210" s="424" t="b" cm="1">
        <f t="array" ref="W210">W209</f>
        <v>1</v>
      </c>
      <c r="X210" s="1205"/>
      <c r="Y210" s="1205"/>
      <c r="Z210" s="1988"/>
      <c r="AA210" s="2006"/>
      <c r="AB210" s="2002"/>
      <c r="AC210" s="2003"/>
      <c r="AD210" s="319" t="s">
        <v>280</v>
      </c>
      <c r="AE210" s="852">
        <v>46023</v>
      </c>
      <c r="AF210" s="1989"/>
      <c r="AG210" s="1205"/>
      <c r="AH210" s="1205"/>
      <c r="AI210" s="1205"/>
      <c r="AJ210" s="1205"/>
      <c r="AK210" s="1205"/>
      <c r="AL210" s="1205"/>
      <c r="AM210" s="1205"/>
      <c r="AN210" s="1205"/>
      <c r="AO210" s="1205"/>
      <c r="AP210" s="1205"/>
      <c r="AQ210" s="1205"/>
      <c r="AR210" s="1205"/>
      <c r="AS210" s="1205"/>
      <c r="AT210" s="1205"/>
      <c r="AU210" s="1205"/>
      <c r="AV210" s="1205"/>
      <c r="AW210" s="1205"/>
      <c r="AX210" s="1205"/>
      <c r="AY210" s="1205"/>
      <c r="AZ210" s="1205"/>
      <c r="BA210" s="1205"/>
    </row>
    <row r="211" spans="1:53" s="1334" customFormat="1" ht="15.75" customHeight="1" x14ac:dyDescent="0.15">
      <c r="A211" s="1205"/>
      <c r="B211" s="367" t="b">
        <f t="shared" si="8"/>
        <v>1</v>
      </c>
      <c r="C211" s="1205"/>
      <c r="D211" s="1205"/>
      <c r="E211" s="563">
        <v>16.5</v>
      </c>
      <c r="F211" s="26" t="str" cm="1">
        <f t="array" ref="F211">F210</f>
        <v>1</v>
      </c>
      <c r="G211" s="1205"/>
      <c r="H211" s="1205"/>
      <c r="I211" s="1205"/>
      <c r="J211" s="1205"/>
      <c r="K211" s="1205"/>
      <c r="L211" s="1205"/>
      <c r="M211" s="1205"/>
      <c r="N211" s="1205"/>
      <c r="O211" s="1205"/>
      <c r="P211" s="1205"/>
      <c r="Q211" s="1205"/>
      <c r="R211" s="1205"/>
      <c r="S211" s="1205"/>
      <c r="T211" s="1205"/>
      <c r="U211" s="1205"/>
      <c r="V211" s="172"/>
      <c r="W211" s="424" t="b" cm="1">
        <f t="array" ref="W211">W210</f>
        <v>1</v>
      </c>
      <c r="X211" s="1205"/>
      <c r="Y211" s="1205"/>
      <c r="Z211" s="1988"/>
      <c r="AA211" s="2006"/>
      <c r="AB211" s="2002"/>
      <c r="AC211" s="2003"/>
      <c r="AD211" s="319" t="s">
        <v>281</v>
      </c>
      <c r="AE211" s="379" t="s">
        <v>103</v>
      </c>
      <c r="AF211" s="1989"/>
      <c r="AG211" s="1205"/>
      <c r="AH211" s="1205"/>
      <c r="AI211" s="1205"/>
      <c r="AJ211" s="1205"/>
      <c r="AK211" s="1205"/>
      <c r="AL211" s="1205"/>
      <c r="AM211" s="1205"/>
      <c r="AN211" s="1205"/>
      <c r="AO211" s="1205"/>
      <c r="AP211" s="1205"/>
      <c r="AQ211" s="1205"/>
      <c r="AR211" s="1205"/>
      <c r="AS211" s="1205"/>
      <c r="AT211" s="1205"/>
      <c r="AU211" s="1205"/>
      <c r="AV211" s="1205"/>
      <c r="AW211" s="1205"/>
      <c r="AX211" s="1205"/>
      <c r="AY211" s="1205"/>
      <c r="AZ211" s="1205"/>
      <c r="BA211" s="1205"/>
    </row>
    <row r="212" spans="1:53" s="1334" customFormat="1" ht="21.75" customHeight="1" x14ac:dyDescent="0.15">
      <c r="A212" s="1205"/>
      <c r="B212" s="367" t="b">
        <f t="shared" si="8"/>
        <v>1</v>
      </c>
      <c r="C212" s="1205"/>
      <c r="D212" s="1205"/>
      <c r="E212" s="563">
        <v>22.5</v>
      </c>
      <c r="F212" s="26" t="str" cm="1">
        <f t="array" ref="F212">F211</f>
        <v>1</v>
      </c>
      <c r="G212" s="1205"/>
      <c r="H212" s="1205"/>
      <c r="I212" s="1205"/>
      <c r="J212" s="1205"/>
      <c r="K212" s="1205"/>
      <c r="L212" s="1205"/>
      <c r="M212" s="1205"/>
      <c r="N212" s="1205"/>
      <c r="O212" s="1205"/>
      <c r="P212" s="1205"/>
      <c r="Q212" s="1205"/>
      <c r="R212" s="1205"/>
      <c r="S212" s="1205"/>
      <c r="T212" s="1205"/>
      <c r="U212" s="1205"/>
      <c r="V212" s="172"/>
      <c r="W212" s="424" t="b">
        <f>AND(W211,AE211&lt;&gt;"Метод экономически обоснованных расходов",AE211&lt;&gt;"Метод сравнения аналогов")</f>
        <v>1</v>
      </c>
      <c r="X212" s="1205"/>
      <c r="Y212" s="1205"/>
      <c r="Z212" s="1988"/>
      <c r="AA212" s="2006"/>
      <c r="AB212" s="2002"/>
      <c r="AC212" s="2003"/>
      <c r="AD212" s="18" t="str">
        <f>IF(OR(AE211="экономически обоснованных расходов (затрат)",AE211="сравнения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12" s="380">
        <v>2024</v>
      </c>
      <c r="AF212" s="1989"/>
      <c r="AG212" s="1205"/>
      <c r="AH212" s="1205"/>
      <c r="AI212" s="1205"/>
      <c r="AJ212" s="1205"/>
      <c r="AK212" s="1205"/>
      <c r="AL212" s="1205"/>
      <c r="AM212" s="1205"/>
      <c r="AN212" s="1205"/>
      <c r="AO212" s="1205"/>
      <c r="AP212" s="1205"/>
      <c r="AQ212" s="1205"/>
      <c r="AR212" s="1205"/>
      <c r="AS212" s="1205"/>
      <c r="AT212" s="1205"/>
      <c r="AU212" s="1205"/>
      <c r="AV212" s="1205"/>
      <c r="AW212" s="1205"/>
      <c r="AX212" s="1205"/>
      <c r="AY212" s="1205"/>
      <c r="AZ212" s="1205"/>
      <c r="BA212" s="1205"/>
    </row>
    <row r="213" spans="1:53" s="1334" customFormat="1" ht="15.75" customHeight="1" x14ac:dyDescent="0.15">
      <c r="A213" s="1205"/>
      <c r="B213" s="367" t="b">
        <f t="shared" si="8"/>
        <v>1</v>
      </c>
      <c r="C213" s="1205"/>
      <c r="D213" s="1205"/>
      <c r="E213" s="563">
        <v>16.5</v>
      </c>
      <c r="F213" s="26" t="str" cm="1">
        <f t="array" ref="F213">F212</f>
        <v>1</v>
      </c>
      <c r="G213" s="1205"/>
      <c r="H213" s="1205"/>
      <c r="I213" s="1205"/>
      <c r="J213" s="1205"/>
      <c r="K213" s="1205"/>
      <c r="L213" s="1205"/>
      <c r="M213" s="1205"/>
      <c r="N213" s="1205"/>
      <c r="O213" s="1205"/>
      <c r="P213" s="1205"/>
      <c r="Q213" s="1205"/>
      <c r="R213" s="1205"/>
      <c r="S213" s="1205"/>
      <c r="T213" s="1205"/>
      <c r="U213" s="1205"/>
      <c r="V213" s="172"/>
      <c r="W213" s="424" t="b">
        <f>AND(W212,AE211&lt;&gt;"Метод экономически обоснованных расходов",AE211&lt;&gt;"Метод сравнения аналогов")</f>
        <v>1</v>
      </c>
      <c r="X213" s="1205"/>
      <c r="Y213" s="1205"/>
      <c r="Z213" s="1988"/>
      <c r="AA213" s="2006"/>
      <c r="AB213" s="2002"/>
      <c r="AC213" s="2003"/>
      <c r="AD213" s="319" t="s">
        <v>106</v>
      </c>
      <c r="AE213" s="380">
        <v>9</v>
      </c>
      <c r="AF213" s="1989"/>
      <c r="AG213" s="1205"/>
      <c r="AH213" s="1205"/>
      <c r="AI213" s="1205"/>
      <c r="AJ213" s="1205"/>
      <c r="AK213" s="1205"/>
      <c r="AL213" s="1205"/>
      <c r="AM213" s="1205"/>
      <c r="AN213" s="1205"/>
      <c r="AO213" s="1205"/>
      <c r="AP213" s="1205"/>
      <c r="AQ213" s="1205"/>
      <c r="AR213" s="1205"/>
      <c r="AS213" s="1205"/>
      <c r="AT213" s="1205"/>
      <c r="AU213" s="1205"/>
      <c r="AV213" s="1205"/>
      <c r="AW213" s="1205"/>
      <c r="AX213" s="1205"/>
      <c r="AY213" s="1205"/>
      <c r="AZ213" s="1205"/>
      <c r="BA213" s="1205"/>
    </row>
    <row r="214" spans="1:53" s="1334" customFormat="1" ht="18" customHeight="1" x14ac:dyDescent="0.15">
      <c r="A214" s="1205"/>
      <c r="B214" s="26"/>
      <c r="C214" s="1205"/>
      <c r="D214" s="1205"/>
      <c r="E214" s="563">
        <v>18.75</v>
      </c>
      <c r="F214" s="26" t="str" cm="1">
        <f t="array" ref="F214">Z214</f>
        <v>2</v>
      </c>
      <c r="G214" s="1205"/>
      <c r="H214" s="1205"/>
      <c r="I214" s="1205"/>
      <c r="J214" s="1205"/>
      <c r="K214" s="1205"/>
      <c r="L214" s="1205"/>
      <c r="M214" s="1205"/>
      <c r="N214" s="1205"/>
      <c r="O214" s="1205"/>
      <c r="P214" s="1205"/>
      <c r="Q214" s="1205"/>
      <c r="R214" s="1205"/>
      <c r="S214" s="1205"/>
      <c r="T214" s="1205"/>
      <c r="U214" s="1205"/>
      <c r="V214" s="172" t="str" cm="1">
        <f t="array" ref="V214">AE215</f>
        <v>ВО.42.31528492.0005</v>
      </c>
      <c r="W214" s="424" t="b">
        <f>Z214&gt;0</f>
        <v>1</v>
      </c>
      <c r="X214" s="26"/>
      <c r="Y214" s="1205"/>
      <c r="Z214" s="1988" t="s">
        <v>289</v>
      </c>
      <c r="AA214" s="2006"/>
      <c r="AB214" s="2002"/>
      <c r="AC214" s="2003"/>
      <c r="AD214" s="317" t="str">
        <f>"Тариф "&amp;Z214</f>
        <v>Тариф 2</v>
      </c>
      <c r="AE214" s="318" t="s">
        <v>290</v>
      </c>
      <c r="AF214" s="1989" t="s">
        <v>173</v>
      </c>
      <c r="AG214" s="26" t="str">
        <f>AD214&amp;" ("&amp;AE214&amp;") - "&amp;AE216&amp;IF(AE220="",""," ("&amp;AE220&amp;")")</f>
        <v>Тариф 2 (Водоотведение) - тариф на водоотведение</v>
      </c>
      <c r="AH214" s="26" t="str" cm="1">
        <f t="array" ref="AH214">AE219</f>
        <v>без дифференциации</v>
      </c>
      <c r="AI214" s="172" t="str" cm="1">
        <f t="array" ref="AI214">AE216</f>
        <v>тариф на водоотведение</v>
      </c>
      <c r="AJ214" s="26" cm="1">
        <f t="array" ref="AJ214">AE220</f>
        <v>0</v>
      </c>
      <c r="AK214" s="26" t="str" cm="1">
        <f t="array" ref="AK214">AE217</f>
        <v>одноставочный</v>
      </c>
      <c r="AL214" s="822" cm="1">
        <f t="array" ref="AL214">AE224</f>
        <v>46023</v>
      </c>
      <c r="AM214" s="421" t="str" cm="1">
        <f t="array" ref="AM214">AE225</f>
        <v>Метод индексации</v>
      </c>
      <c r="AN214" s="26" t="b">
        <f>IF(ISERR(SEARCH("трансп",AI214)),FALSE,TRUE)</f>
        <v>0</v>
      </c>
      <c r="AO214" s="1205"/>
      <c r="AP214" s="1205"/>
      <c r="AQ214" s="1205"/>
      <c r="AR214" s="1205"/>
      <c r="AS214" s="1205"/>
      <c r="AT214" s="1205"/>
      <c r="AU214" s="1205"/>
      <c r="AV214" s="1205"/>
      <c r="AW214" s="1205"/>
      <c r="AX214" s="1205"/>
      <c r="AY214" s="1205"/>
      <c r="AZ214" s="1205"/>
      <c r="BA214" s="1205"/>
    </row>
    <row r="215" spans="1:53" s="1334" customFormat="1" ht="15.75" customHeight="1" x14ac:dyDescent="0.15">
      <c r="A215" s="1205"/>
      <c r="B215" s="26"/>
      <c r="C215" s="1205"/>
      <c r="D215" s="1205"/>
      <c r="E215" s="563">
        <v>16.5</v>
      </c>
      <c r="F215" s="26" t="str" cm="1">
        <f t="array" ref="F215">F214</f>
        <v>2</v>
      </c>
      <c r="G215" s="1205"/>
      <c r="H215" s="1205"/>
      <c r="I215" s="1205"/>
      <c r="J215" s="1205"/>
      <c r="K215" s="1205"/>
      <c r="L215" s="1205"/>
      <c r="M215" s="1205"/>
      <c r="N215" s="1205"/>
      <c r="O215" s="1205"/>
      <c r="P215" s="1205"/>
      <c r="Q215" s="1205"/>
      <c r="R215" s="1205"/>
      <c r="S215" s="1205"/>
      <c r="T215" s="1205"/>
      <c r="U215" s="1205"/>
      <c r="V215" s="172"/>
      <c r="W215" s="424" t="b" cm="1">
        <f t="array" ref="W215">W214</f>
        <v>1</v>
      </c>
      <c r="X215" s="1205"/>
      <c r="Y215" s="1205"/>
      <c r="Z215" s="1988"/>
      <c r="AA215" s="2006"/>
      <c r="AB215" s="2002"/>
      <c r="AC215" s="2003"/>
      <c r="AD215" s="319" t="s">
        <v>272</v>
      </c>
      <c r="AE215" s="310" t="s">
        <v>291</v>
      </c>
      <c r="AF215" s="1989"/>
      <c r="AG215" s="1205"/>
      <c r="AH215" s="1205">
        <v>8011166514</v>
      </c>
      <c r="AI215" s="1205"/>
      <c r="AJ215" s="1205"/>
      <c r="AK215" s="1205"/>
      <c r="AL215" s="1205"/>
      <c r="AM215" s="1205"/>
      <c r="AN215" s="1205"/>
      <c r="AO215" s="1205"/>
      <c r="AP215" s="1205"/>
      <c r="AQ215" s="1205"/>
      <c r="AR215" s="1205"/>
      <c r="AS215" s="1205"/>
      <c r="AT215" s="1205"/>
      <c r="AU215" s="1205"/>
      <c r="AV215" s="1205"/>
      <c r="AW215" s="1205"/>
      <c r="AX215" s="1205"/>
      <c r="AY215" s="1205"/>
      <c r="AZ215" s="1205"/>
      <c r="BA215" s="1205"/>
    </row>
    <row r="216" spans="1:53" s="1334" customFormat="1" ht="15.75" customHeight="1" x14ac:dyDescent="0.15">
      <c r="A216" s="1205"/>
      <c r="B216" s="26"/>
      <c r="C216" s="1205"/>
      <c r="D216" s="1205"/>
      <c r="E216" s="563">
        <v>16.5</v>
      </c>
      <c r="F216" s="26" t="str" cm="1">
        <f t="array" ref="F216">F215</f>
        <v>2</v>
      </c>
      <c r="G216" s="1205"/>
      <c r="H216" s="1205"/>
      <c r="I216" s="1205"/>
      <c r="J216" s="1205"/>
      <c r="K216" s="1205"/>
      <c r="L216" s="1205"/>
      <c r="M216" s="1205"/>
      <c r="N216" s="1205"/>
      <c r="O216" s="1205"/>
      <c r="P216" s="1205"/>
      <c r="Q216" s="1205"/>
      <c r="R216" s="1205"/>
      <c r="S216" s="1205"/>
      <c r="T216" s="1205"/>
      <c r="U216" s="1205"/>
      <c r="V216" s="172"/>
      <c r="W216" s="424" t="b" cm="1">
        <f t="array" ref="W216">W215</f>
        <v>1</v>
      </c>
      <c r="X216" s="1205"/>
      <c r="Y216" s="1205"/>
      <c r="Z216" s="1988"/>
      <c r="AA216" s="2006"/>
      <c r="AB216" s="2002"/>
      <c r="AC216" s="2003"/>
      <c r="AD216" s="319" t="s">
        <v>273</v>
      </c>
      <c r="AE216" s="312" t="s">
        <v>292</v>
      </c>
      <c r="AF216" s="1989"/>
      <c r="AG216" s="1205"/>
      <c r="AH216" s="1205"/>
      <c r="AI216" s="1205"/>
      <c r="AJ216" s="1205"/>
      <c r="AK216" s="1205"/>
      <c r="AL216" s="1205"/>
      <c r="AM216" s="1205"/>
      <c r="AN216" s="1205"/>
      <c r="AO216" s="1205"/>
      <c r="AP216" s="1205"/>
      <c r="AQ216" s="1205"/>
      <c r="AR216" s="1205"/>
      <c r="AS216" s="1205"/>
      <c r="AT216" s="1205"/>
      <c r="AU216" s="1205"/>
      <c r="AV216" s="1205"/>
      <c r="AW216" s="1205"/>
      <c r="AX216" s="1205"/>
      <c r="AY216" s="1205"/>
      <c r="AZ216" s="1205"/>
      <c r="BA216" s="1205"/>
    </row>
    <row r="217" spans="1:53" s="1334" customFormat="1" ht="15.75" customHeight="1" x14ac:dyDescent="0.15">
      <c r="A217" s="1205"/>
      <c r="B217" s="26"/>
      <c r="C217" s="1205"/>
      <c r="D217" s="1205"/>
      <c r="E217" s="563">
        <v>16.5</v>
      </c>
      <c r="F217" s="26" t="str" cm="1">
        <f t="array" ref="F217">F216</f>
        <v>2</v>
      </c>
      <c r="G217" s="1205"/>
      <c r="H217" s="1205"/>
      <c r="I217" s="1205"/>
      <c r="J217" s="1205"/>
      <c r="K217" s="1205"/>
      <c r="L217" s="1205"/>
      <c r="M217" s="1205"/>
      <c r="N217" s="1205"/>
      <c r="O217" s="1205"/>
      <c r="P217" s="1205"/>
      <c r="Q217" s="1205"/>
      <c r="R217" s="1205"/>
      <c r="S217" s="1205"/>
      <c r="T217" s="1205"/>
      <c r="U217" s="1205"/>
      <c r="V217" s="172"/>
      <c r="W217" s="424" t="b" cm="1">
        <f t="array" ref="W217">W216</f>
        <v>1</v>
      </c>
      <c r="X217" s="1205"/>
      <c r="Y217" s="1205"/>
      <c r="Z217" s="1988"/>
      <c r="AA217" s="2006"/>
      <c r="AB217" s="2002"/>
      <c r="AC217" s="2003"/>
      <c r="AD217" s="319" t="s">
        <v>274</v>
      </c>
      <c r="AE217" s="312" t="s">
        <v>286</v>
      </c>
      <c r="AF217" s="1989"/>
      <c r="AG217" s="1205"/>
      <c r="AH217" s="1205"/>
      <c r="AI217" s="1205"/>
      <c r="AJ217" s="1205"/>
      <c r="AK217" s="1205"/>
      <c r="AL217" s="1205"/>
      <c r="AM217" s="1205"/>
      <c r="AN217" s="1205"/>
      <c r="AO217" s="1205"/>
      <c r="AP217" s="1205"/>
      <c r="AQ217" s="1205"/>
      <c r="AR217" s="1205"/>
      <c r="AS217" s="1205"/>
      <c r="AT217" s="1205"/>
      <c r="AU217" s="1205"/>
      <c r="AV217" s="1205"/>
      <c r="AW217" s="1205"/>
      <c r="AX217" s="1205"/>
      <c r="AY217" s="1205"/>
      <c r="AZ217" s="1205"/>
      <c r="BA217" s="1205"/>
    </row>
    <row r="218" spans="1:53" s="1334" customFormat="1" ht="12.75" customHeight="1" x14ac:dyDescent="0.15">
      <c r="A218" s="1205"/>
      <c r="B218" s="26"/>
      <c r="C218" s="1205"/>
      <c r="D218" s="1205"/>
      <c r="E218" s="563">
        <v>16.5</v>
      </c>
      <c r="F218" s="26" t="str" cm="1">
        <f t="array" ref="F218">F217</f>
        <v>2</v>
      </c>
      <c r="G218" s="1205"/>
      <c r="H218" s="1205"/>
      <c r="I218" s="1205"/>
      <c r="J218" s="1205"/>
      <c r="K218" s="1205"/>
      <c r="L218" s="1205"/>
      <c r="M218" s="1205"/>
      <c r="N218" s="1205"/>
      <c r="O218" s="1205"/>
      <c r="P218" s="1205"/>
      <c r="Q218" s="1205"/>
      <c r="R218" s="1205"/>
      <c r="S218" s="1205"/>
      <c r="T218" s="1205"/>
      <c r="U218" s="1205"/>
      <c r="V218" s="172"/>
      <c r="W218" s="424" t="b" cm="1">
        <f t="array" ref="W218">W217</f>
        <v>1</v>
      </c>
      <c r="X218" s="1205"/>
      <c r="Y218" s="1205"/>
      <c r="Z218" s="1988"/>
      <c r="AA218" s="2006"/>
      <c r="AB218" s="2002"/>
      <c r="AC218" s="2003"/>
      <c r="AD218" s="319" t="s">
        <v>275</v>
      </c>
      <c r="AE218" s="674" t="s">
        <v>293</v>
      </c>
      <c r="AF218" s="1989"/>
      <c r="AG218" s="1205"/>
      <c r="AH218" s="1205"/>
      <c r="AI218" s="1205"/>
      <c r="AJ218" s="1205"/>
      <c r="AK218" s="1205"/>
      <c r="AL218" s="1205"/>
      <c r="AM218" s="1205"/>
      <c r="AN218" s="1205"/>
      <c r="AO218" s="1205"/>
      <c r="AP218" s="1205"/>
      <c r="AQ218" s="1205"/>
      <c r="AR218" s="1205"/>
      <c r="AS218" s="1205"/>
      <c r="AT218" s="1205"/>
      <c r="AU218" s="1205"/>
      <c r="AV218" s="1205"/>
      <c r="AW218" s="1205"/>
      <c r="AX218" s="1205"/>
      <c r="AY218" s="1205"/>
      <c r="AZ218" s="1205"/>
      <c r="BA218" s="1205"/>
    </row>
    <row r="219" spans="1:53" s="1334" customFormat="1" ht="15.75" customHeight="1" x14ac:dyDescent="0.15">
      <c r="A219" s="1205"/>
      <c r="B219" s="26"/>
      <c r="C219" s="1205"/>
      <c r="D219" s="1205"/>
      <c r="E219" s="563">
        <v>16.5</v>
      </c>
      <c r="F219" s="26" t="str" cm="1">
        <f t="array" ref="F219">F218</f>
        <v>2</v>
      </c>
      <c r="G219" s="1205"/>
      <c r="H219" s="1205"/>
      <c r="I219" s="1205"/>
      <c r="J219" s="1205"/>
      <c r="K219" s="1205"/>
      <c r="L219" s="1205"/>
      <c r="M219" s="1205"/>
      <c r="N219" s="1205"/>
      <c r="O219" s="1205"/>
      <c r="P219" s="1205"/>
      <c r="Q219" s="1205"/>
      <c r="R219" s="1205"/>
      <c r="S219" s="1205"/>
      <c r="T219" s="1205"/>
      <c r="U219" s="1205"/>
      <c r="V219" s="172"/>
      <c r="W219" s="424" t="b" cm="1">
        <f t="array" ref="W219">W218</f>
        <v>1</v>
      </c>
      <c r="X219" s="1205"/>
      <c r="Y219" s="1205"/>
      <c r="Z219" s="1988"/>
      <c r="AA219" s="2006"/>
      <c r="AB219" s="2002"/>
      <c r="AC219" s="2003"/>
      <c r="AD219" s="18" t="str">
        <f>IF(AE214="Водоотведение","Вид сточных вод","Вид воды")</f>
        <v>Вид сточных вод</v>
      </c>
      <c r="AE219" s="312" t="s">
        <v>294</v>
      </c>
      <c r="AF219" s="1989"/>
      <c r="AG219" s="1205"/>
      <c r="AH219" s="1205"/>
      <c r="AI219" s="1205"/>
      <c r="AJ219" s="1205"/>
      <c r="AK219" s="1205"/>
      <c r="AL219" s="1205"/>
      <c r="AM219" s="1205"/>
      <c r="AN219" s="1205"/>
      <c r="AO219" s="1205"/>
      <c r="AP219" s="1205"/>
      <c r="AQ219" s="1205"/>
      <c r="AR219" s="1205"/>
      <c r="AS219" s="1205"/>
      <c r="AT219" s="1205"/>
      <c r="AU219" s="1205"/>
      <c r="AV219" s="1205"/>
      <c r="AW219" s="1205"/>
      <c r="AX219" s="1205"/>
      <c r="AY219" s="1205"/>
      <c r="AZ219" s="1205"/>
      <c r="BA219" s="1205"/>
    </row>
    <row r="220" spans="1:53" s="1334" customFormat="1" ht="12.75" customHeight="1" x14ac:dyDescent="0.15">
      <c r="A220" s="1205"/>
      <c r="B220" s="26"/>
      <c r="C220" s="1205"/>
      <c r="D220" s="1205"/>
      <c r="E220" s="563">
        <v>16.5</v>
      </c>
      <c r="F220" s="26" t="str" cm="1">
        <f t="array" ref="F220">F219</f>
        <v>2</v>
      </c>
      <c r="G220" s="1205"/>
      <c r="H220" s="1205"/>
      <c r="I220" s="1205"/>
      <c r="J220" s="1205"/>
      <c r="K220" s="1205"/>
      <c r="L220" s="1205"/>
      <c r="M220" s="1205"/>
      <c r="N220" s="1205"/>
      <c r="O220" s="1205"/>
      <c r="P220" s="1205"/>
      <c r="Q220" s="1205"/>
      <c r="R220" s="1205"/>
      <c r="S220" s="1205"/>
      <c r="T220" s="1205"/>
      <c r="U220" s="1205"/>
      <c r="V220" s="172"/>
      <c r="W220" s="424" t="b" cm="1">
        <f t="array" ref="W220">W219</f>
        <v>1</v>
      </c>
      <c r="X220" s="1205"/>
      <c r="Y220" s="1205"/>
      <c r="Z220" s="1988"/>
      <c r="AA220" s="2006"/>
      <c r="AB220" s="2002"/>
      <c r="AC220" s="2003"/>
      <c r="AD220" s="18" t="s">
        <v>276</v>
      </c>
      <c r="AE220" s="674"/>
      <c r="AF220" s="1989"/>
      <c r="AG220" s="1205"/>
      <c r="AH220" s="1205"/>
      <c r="AI220" s="1205"/>
      <c r="AJ220" s="1205"/>
      <c r="AK220" s="1205"/>
      <c r="AL220" s="1205"/>
      <c r="AM220" s="1205"/>
      <c r="AN220" s="1205"/>
      <c r="AO220" s="1205"/>
      <c r="AP220" s="1205"/>
      <c r="AQ220" s="1205"/>
      <c r="AR220" s="1205"/>
      <c r="AS220" s="1205"/>
      <c r="AT220" s="1205"/>
      <c r="AU220" s="1205"/>
      <c r="AV220" s="1205"/>
      <c r="AW220" s="1205"/>
      <c r="AX220" s="1205"/>
      <c r="AY220" s="1205"/>
      <c r="AZ220" s="1205"/>
      <c r="BA220" s="1205"/>
    </row>
    <row r="221" spans="1:53" s="1334" customFormat="1" ht="15.75" customHeight="1" x14ac:dyDescent="0.15">
      <c r="A221" s="1205"/>
      <c r="B221" s="367" t="b">
        <f t="shared" ref="B221:B227" si="9">org_declaration="Заявление организации"</f>
        <v>1</v>
      </c>
      <c r="C221" s="1205"/>
      <c r="D221" s="1205"/>
      <c r="E221" s="563">
        <v>16.5</v>
      </c>
      <c r="F221" s="26" t="str" cm="1">
        <f t="array" ref="F221">F220</f>
        <v>2</v>
      </c>
      <c r="G221" s="1205"/>
      <c r="H221" s="1205"/>
      <c r="I221" s="1205"/>
      <c r="J221" s="1205"/>
      <c r="K221" s="1205"/>
      <c r="L221" s="1205"/>
      <c r="M221" s="1205"/>
      <c r="N221" s="1205"/>
      <c r="O221" s="1205"/>
      <c r="P221" s="1205"/>
      <c r="Q221" s="1205"/>
      <c r="R221" s="1205"/>
      <c r="S221" s="1205"/>
      <c r="T221" s="1205"/>
      <c r="U221" s="1205"/>
      <c r="V221" s="172"/>
      <c r="W221" s="424" t="b" cm="1">
        <f t="array" ref="W221">W220</f>
        <v>1</v>
      </c>
      <c r="X221" s="1205"/>
      <c r="Y221" s="1205"/>
      <c r="Z221" s="1988"/>
      <c r="AA221" s="2006"/>
      <c r="AB221" s="2002"/>
      <c r="AC221" s="2003"/>
      <c r="AD221" s="319" t="s">
        <v>277</v>
      </c>
      <c r="AE221" s="320">
        <v>2771</v>
      </c>
      <c r="AF221" s="1989"/>
      <c r="AG221" s="1205"/>
      <c r="AH221" s="1205"/>
      <c r="AI221" s="1205"/>
      <c r="AJ221" s="1205"/>
      <c r="AK221" s="1205"/>
      <c r="AL221" s="1205"/>
      <c r="AM221" s="1205"/>
      <c r="AN221" s="1205"/>
      <c r="AO221" s="1205"/>
      <c r="AP221" s="1205"/>
      <c r="AQ221" s="1205"/>
      <c r="AR221" s="1205"/>
      <c r="AS221" s="1205"/>
      <c r="AT221" s="1205"/>
      <c r="AU221" s="1205"/>
      <c r="AV221" s="1205"/>
      <c r="AW221" s="1205"/>
      <c r="AX221" s="1205"/>
      <c r="AY221" s="1205"/>
      <c r="AZ221" s="1205"/>
      <c r="BA221" s="1205"/>
    </row>
    <row r="222" spans="1:53" s="1334" customFormat="1" ht="15.75" customHeight="1" x14ac:dyDescent="0.15">
      <c r="A222" s="1205"/>
      <c r="B222" s="367" t="b">
        <f t="shared" si="9"/>
        <v>1</v>
      </c>
      <c r="C222" s="1205"/>
      <c r="D222" s="1205"/>
      <c r="E222" s="563">
        <v>16.5</v>
      </c>
      <c r="F222" s="26" t="str" cm="1">
        <f t="array" ref="F222">F221</f>
        <v>2</v>
      </c>
      <c r="G222" s="1205"/>
      <c r="H222" s="1205"/>
      <c r="I222" s="1205"/>
      <c r="J222" s="1205"/>
      <c r="K222" s="1205"/>
      <c r="L222" s="1205"/>
      <c r="M222" s="1205"/>
      <c r="N222" s="1205"/>
      <c r="O222" s="1205"/>
      <c r="P222" s="1205"/>
      <c r="Q222" s="1205"/>
      <c r="R222" s="1205"/>
      <c r="S222" s="1205"/>
      <c r="T222" s="1205"/>
      <c r="U222" s="1205"/>
      <c r="V222" s="172"/>
      <c r="W222" s="424" t="b" cm="1">
        <f t="array" ref="W222">W221</f>
        <v>1</v>
      </c>
      <c r="X222" s="1205"/>
      <c r="Y222" s="1205"/>
      <c r="Z222" s="1988"/>
      <c r="AA222" s="2006"/>
      <c r="AB222" s="2002"/>
      <c r="AC222" s="2003"/>
      <c r="AD222" s="319" t="s">
        <v>278</v>
      </c>
      <c r="AE222" s="987">
        <v>45777</v>
      </c>
      <c r="AF222" s="1989"/>
      <c r="AG222" s="1205"/>
      <c r="AH222" s="1205"/>
      <c r="AI222" s="1205"/>
      <c r="AJ222" s="1205"/>
      <c r="AK222" s="1205"/>
      <c r="AL222" s="1205"/>
      <c r="AM222" s="1205"/>
      <c r="AN222" s="1205"/>
      <c r="AO222" s="1205"/>
      <c r="AP222" s="1205"/>
      <c r="AQ222" s="1205"/>
      <c r="AR222" s="1205"/>
      <c r="AS222" s="1205"/>
      <c r="AT222" s="1205"/>
      <c r="AU222" s="1205"/>
      <c r="AV222" s="1205"/>
      <c r="AW222" s="1205"/>
      <c r="AX222" s="1205"/>
      <c r="AY222" s="1205"/>
      <c r="AZ222" s="1205"/>
      <c r="BA222" s="1205"/>
    </row>
    <row r="223" spans="1:53" s="1334" customFormat="1" ht="12.75" customHeight="1" x14ac:dyDescent="0.15">
      <c r="A223" s="1205"/>
      <c r="B223" s="367" t="b">
        <f t="shared" si="9"/>
        <v>1</v>
      </c>
      <c r="C223" s="1205"/>
      <c r="D223" s="1205"/>
      <c r="E223" s="563">
        <v>16.5</v>
      </c>
      <c r="F223" s="26" t="str" cm="1">
        <f t="array" ref="F223">F222</f>
        <v>2</v>
      </c>
      <c r="G223" s="1205"/>
      <c r="H223" s="1205"/>
      <c r="I223" s="1205"/>
      <c r="J223" s="1205"/>
      <c r="K223" s="1205"/>
      <c r="L223" s="1205"/>
      <c r="M223" s="1205"/>
      <c r="N223" s="1205"/>
      <c r="O223" s="1205"/>
      <c r="P223" s="1205"/>
      <c r="Q223" s="1205"/>
      <c r="R223" s="1205"/>
      <c r="S223" s="1205"/>
      <c r="T223" s="1205"/>
      <c r="U223" s="1205"/>
      <c r="V223" s="172"/>
      <c r="W223" s="424" t="b" cm="1">
        <f t="array" ref="W223">W222</f>
        <v>1</v>
      </c>
      <c r="X223" s="1205"/>
      <c r="Y223" s="1205"/>
      <c r="Z223" s="1988"/>
      <c r="AA223" s="2006"/>
      <c r="AB223" s="2002"/>
      <c r="AC223" s="2003"/>
      <c r="AD223" s="319" t="s">
        <v>279</v>
      </c>
      <c r="AE223" s="321"/>
      <c r="AF223" s="1989"/>
      <c r="AG223" s="1205"/>
      <c r="AH223" s="1205"/>
      <c r="AI223" s="1205"/>
      <c r="AJ223" s="1205"/>
      <c r="AK223" s="1205"/>
      <c r="AL223" s="1205"/>
      <c r="AM223" s="1205"/>
      <c r="AN223" s="1205"/>
      <c r="AO223" s="1205"/>
      <c r="AP223" s="1205"/>
      <c r="AQ223" s="1205"/>
      <c r="AR223" s="1205"/>
      <c r="AS223" s="1205"/>
      <c r="AT223" s="1205"/>
      <c r="AU223" s="1205"/>
      <c r="AV223" s="1205"/>
      <c r="AW223" s="1205"/>
      <c r="AX223" s="1205"/>
      <c r="AY223" s="1205"/>
      <c r="AZ223" s="1205"/>
      <c r="BA223" s="1205"/>
    </row>
    <row r="224" spans="1:53" s="1334" customFormat="1" ht="15.75" customHeight="1" x14ac:dyDescent="0.15">
      <c r="A224" s="1205"/>
      <c r="B224" s="367" t="b">
        <f t="shared" si="9"/>
        <v>1</v>
      </c>
      <c r="C224" s="1205"/>
      <c r="D224" s="1205"/>
      <c r="E224" s="563">
        <v>16.5</v>
      </c>
      <c r="F224" s="26" t="str" cm="1">
        <f t="array" ref="F224">F223</f>
        <v>2</v>
      </c>
      <c r="G224" s="1205"/>
      <c r="H224" s="1205"/>
      <c r="I224" s="1205"/>
      <c r="J224" s="1205"/>
      <c r="K224" s="1205"/>
      <c r="L224" s="1205"/>
      <c r="M224" s="1205"/>
      <c r="N224" s="1205"/>
      <c r="O224" s="1205"/>
      <c r="P224" s="1205"/>
      <c r="Q224" s="1205"/>
      <c r="R224" s="1205"/>
      <c r="S224" s="1205"/>
      <c r="T224" s="1205"/>
      <c r="U224" s="1205"/>
      <c r="V224" s="172"/>
      <c r="W224" s="424" t="b" cm="1">
        <f t="array" ref="W224">W223</f>
        <v>1</v>
      </c>
      <c r="X224" s="1205"/>
      <c r="Y224" s="1205"/>
      <c r="Z224" s="1988"/>
      <c r="AA224" s="2006"/>
      <c r="AB224" s="2002"/>
      <c r="AC224" s="2003"/>
      <c r="AD224" s="319" t="s">
        <v>280</v>
      </c>
      <c r="AE224" s="852">
        <v>46023</v>
      </c>
      <c r="AF224" s="1989"/>
      <c r="AG224" s="1205"/>
      <c r="AH224" s="1205"/>
      <c r="AI224" s="1205"/>
      <c r="AJ224" s="1205"/>
      <c r="AK224" s="1205"/>
      <c r="AL224" s="1205"/>
      <c r="AM224" s="1205"/>
      <c r="AN224" s="1205"/>
      <c r="AO224" s="1205"/>
      <c r="AP224" s="1205"/>
      <c r="AQ224" s="1205"/>
      <c r="AR224" s="1205"/>
      <c r="AS224" s="1205"/>
      <c r="AT224" s="1205"/>
      <c r="AU224" s="1205"/>
      <c r="AV224" s="1205"/>
      <c r="AW224" s="1205"/>
      <c r="AX224" s="1205"/>
      <c r="AY224" s="1205"/>
      <c r="AZ224" s="1205"/>
      <c r="BA224" s="1205"/>
    </row>
    <row r="225" spans="1:53" s="1334" customFormat="1" ht="15.75" customHeight="1" x14ac:dyDescent="0.15">
      <c r="A225" s="1205"/>
      <c r="B225" s="367" t="b">
        <f t="shared" si="9"/>
        <v>1</v>
      </c>
      <c r="C225" s="1205"/>
      <c r="D225" s="1205"/>
      <c r="E225" s="563">
        <v>16.5</v>
      </c>
      <c r="F225" s="26" t="str" cm="1">
        <f t="array" ref="F225">F224</f>
        <v>2</v>
      </c>
      <c r="G225" s="1205"/>
      <c r="H225" s="1205"/>
      <c r="I225" s="1205"/>
      <c r="J225" s="1205"/>
      <c r="K225" s="1205"/>
      <c r="L225" s="1205"/>
      <c r="M225" s="1205"/>
      <c r="N225" s="1205"/>
      <c r="O225" s="1205"/>
      <c r="P225" s="1205"/>
      <c r="Q225" s="1205"/>
      <c r="R225" s="1205"/>
      <c r="S225" s="1205"/>
      <c r="T225" s="1205"/>
      <c r="U225" s="1205"/>
      <c r="V225" s="172"/>
      <c r="W225" s="424" t="b" cm="1">
        <f t="array" ref="W225">W224</f>
        <v>1</v>
      </c>
      <c r="X225" s="1205"/>
      <c r="Y225" s="1205"/>
      <c r="Z225" s="1988"/>
      <c r="AA225" s="2006"/>
      <c r="AB225" s="2002"/>
      <c r="AC225" s="2003"/>
      <c r="AD225" s="319" t="s">
        <v>281</v>
      </c>
      <c r="AE225" s="379" t="s">
        <v>103</v>
      </c>
      <c r="AF225" s="1989"/>
      <c r="AG225" s="1205"/>
      <c r="AH225" s="1205"/>
      <c r="AI225" s="1205"/>
      <c r="AJ225" s="1205"/>
      <c r="AK225" s="1205"/>
      <c r="AL225" s="1205"/>
      <c r="AM225" s="1205"/>
      <c r="AN225" s="1205"/>
      <c r="AO225" s="1205"/>
      <c r="AP225" s="1205"/>
      <c r="AQ225" s="1205"/>
      <c r="AR225" s="1205"/>
      <c r="AS225" s="1205"/>
      <c r="AT225" s="1205"/>
      <c r="AU225" s="1205"/>
      <c r="AV225" s="1205"/>
      <c r="AW225" s="1205"/>
      <c r="AX225" s="1205"/>
      <c r="AY225" s="1205"/>
      <c r="AZ225" s="1205"/>
      <c r="BA225" s="1205"/>
    </row>
    <row r="226" spans="1:53" s="1334" customFormat="1" ht="21.75" customHeight="1" x14ac:dyDescent="0.15">
      <c r="A226" s="1205"/>
      <c r="B226" s="367" t="b">
        <f t="shared" si="9"/>
        <v>1</v>
      </c>
      <c r="C226" s="1205"/>
      <c r="D226" s="1205"/>
      <c r="E226" s="563">
        <v>22.5</v>
      </c>
      <c r="F226" s="26" t="str" cm="1">
        <f t="array" ref="F226">F225</f>
        <v>2</v>
      </c>
      <c r="G226" s="1205"/>
      <c r="H226" s="1205"/>
      <c r="I226" s="1205"/>
      <c r="J226" s="1205"/>
      <c r="K226" s="1205"/>
      <c r="L226" s="1205"/>
      <c r="M226" s="1205"/>
      <c r="N226" s="1205"/>
      <c r="O226" s="1205"/>
      <c r="P226" s="1205"/>
      <c r="Q226" s="1205"/>
      <c r="R226" s="1205"/>
      <c r="S226" s="1205"/>
      <c r="T226" s="1205"/>
      <c r="U226" s="1205"/>
      <c r="V226" s="172"/>
      <c r="W226" s="424" t="b">
        <f>AND(W225,AE225&lt;&gt;"Метод экономически обоснованных расходов",AE225&lt;&gt;"Метод сравнения аналогов")</f>
        <v>1</v>
      </c>
      <c r="X226" s="1205"/>
      <c r="Y226" s="1205"/>
      <c r="Z226" s="1988"/>
      <c r="AA226" s="2006"/>
      <c r="AB226" s="2002"/>
      <c r="AC226" s="2003"/>
      <c r="AD226" s="18" t="str">
        <f>IF(OR(AE225="экономически обоснованных расходов (затрат)",AE225="сравнения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26" s="380" cm="1">
        <f t="array" ref="AE226">first_year</f>
        <v>2024</v>
      </c>
      <c r="AF226" s="1989"/>
      <c r="AG226" s="1205"/>
      <c r="AH226" s="1205"/>
      <c r="AI226" s="1205"/>
      <c r="AJ226" s="1205"/>
      <c r="AK226" s="1205"/>
      <c r="AL226" s="1205"/>
      <c r="AM226" s="1205"/>
      <c r="AN226" s="1205"/>
      <c r="AO226" s="1205"/>
      <c r="AP226" s="1205"/>
      <c r="AQ226" s="1205"/>
      <c r="AR226" s="1205"/>
      <c r="AS226" s="1205"/>
      <c r="AT226" s="1205"/>
      <c r="AU226" s="1205"/>
      <c r="AV226" s="1205"/>
      <c r="AW226" s="1205"/>
      <c r="AX226" s="1205"/>
      <c r="AY226" s="1205"/>
      <c r="AZ226" s="1205"/>
      <c r="BA226" s="1205"/>
    </row>
    <row r="227" spans="1:53" s="1334" customFormat="1" ht="15.75" customHeight="1" x14ac:dyDescent="0.15">
      <c r="A227" s="1205"/>
      <c r="B227" s="367" t="b">
        <f t="shared" si="9"/>
        <v>1</v>
      </c>
      <c r="C227" s="1205"/>
      <c r="D227" s="1205"/>
      <c r="E227" s="563">
        <v>16.5</v>
      </c>
      <c r="F227" s="26" t="str" cm="1">
        <f t="array" ref="F227">F226</f>
        <v>2</v>
      </c>
      <c r="G227" s="1205"/>
      <c r="H227" s="1205"/>
      <c r="I227" s="1205"/>
      <c r="J227" s="1205"/>
      <c r="K227" s="1205"/>
      <c r="L227" s="1205"/>
      <c r="M227" s="1205"/>
      <c r="N227" s="1205"/>
      <c r="O227" s="1205"/>
      <c r="P227" s="1205"/>
      <c r="Q227" s="1205"/>
      <c r="R227" s="1205"/>
      <c r="S227" s="1205"/>
      <c r="T227" s="1205"/>
      <c r="U227" s="1205"/>
      <c r="V227" s="172"/>
      <c r="W227" s="424" t="b">
        <f>AND(W226,AE225&lt;&gt;"Метод экономически обоснованных расходов",AE225&lt;&gt;"Метод сравнения аналогов")</f>
        <v>1</v>
      </c>
      <c r="X227" s="1205"/>
      <c r="Y227" s="1205"/>
      <c r="Z227" s="1988"/>
      <c r="AA227" s="2006"/>
      <c r="AB227" s="2002"/>
      <c r="AC227" s="2003"/>
      <c r="AD227" s="319" t="s">
        <v>106</v>
      </c>
      <c r="AE227" s="380" cm="1">
        <f t="array" ref="AE227">PERIOD_LENGTH</f>
        <v>9</v>
      </c>
      <c r="AF227" s="1989"/>
      <c r="AG227" s="1205"/>
      <c r="AH227" s="1205"/>
      <c r="AI227" s="1205"/>
      <c r="AJ227" s="1205"/>
      <c r="AK227" s="1205"/>
      <c r="AL227" s="1205"/>
      <c r="AM227" s="1205"/>
      <c r="AN227" s="1205"/>
      <c r="AO227" s="1205"/>
      <c r="AP227" s="1205"/>
      <c r="AQ227" s="1205"/>
      <c r="AR227" s="1205"/>
      <c r="AS227" s="1205"/>
      <c r="AT227" s="1205"/>
      <c r="AU227" s="1205"/>
      <c r="AV227" s="1205"/>
      <c r="AW227" s="1205"/>
      <c r="AX227" s="1205"/>
      <c r="AY227" s="1205"/>
      <c r="AZ227" s="1205"/>
      <c r="BA227" s="1205"/>
    </row>
    <row r="228" spans="1:53" ht="18.95" customHeight="1" x14ac:dyDescent="0.15">
      <c r="E228" s="563">
        <v>19.5</v>
      </c>
      <c r="F228" s="91" t="s">
        <v>295</v>
      </c>
      <c r="X228" s="215" t="s">
        <v>296</v>
      </c>
      <c r="Z228" s="26"/>
      <c r="AB228" s="2004"/>
      <c r="AC228" s="2005"/>
      <c r="AD228" s="415" t="s">
        <v>297</v>
      </c>
      <c r="AE228" s="181"/>
    </row>
    <row r="229" spans="1:53" ht="18.95" customHeight="1" x14ac:dyDescent="0.15">
      <c r="E229" s="563">
        <v>19.5</v>
      </c>
      <c r="Z229" s="26"/>
      <c r="AB229" s="1963" t="s">
        <v>298</v>
      </c>
      <c r="AC229" s="1964"/>
      <c r="AD229" s="313" t="s">
        <v>299</v>
      </c>
      <c r="AE229" s="301" t="s">
        <v>300</v>
      </c>
      <c r="AG229" s="26" t="s">
        <v>301</v>
      </c>
    </row>
    <row r="230" spans="1:53" ht="18.95" customHeight="1" x14ac:dyDescent="0.15">
      <c r="E230" s="563">
        <v>19.5</v>
      </c>
      <c r="Z230" s="26"/>
      <c r="AB230" s="1963"/>
      <c r="AC230" s="1964"/>
      <c r="AD230" s="313" t="s">
        <v>302</v>
      </c>
      <c r="AE230" s="301" t="s">
        <v>303</v>
      </c>
      <c r="AG230" s="26" t="s">
        <v>304</v>
      </c>
    </row>
    <row r="231" spans="1:53" ht="18.95" customHeight="1" x14ac:dyDescent="0.15">
      <c r="E231" s="563">
        <v>19.5</v>
      </c>
      <c r="Z231" s="26"/>
      <c r="AB231" s="1963"/>
      <c r="AC231" s="1964"/>
      <c r="AD231" s="313" t="s">
        <v>305</v>
      </c>
      <c r="AE231" s="301" t="s">
        <v>306</v>
      </c>
      <c r="AG231" s="26" t="s">
        <v>307</v>
      </c>
    </row>
    <row r="232" spans="1:53" ht="18.95" customHeight="1" x14ac:dyDescent="0.15">
      <c r="E232" s="563">
        <v>19.5</v>
      </c>
      <c r="Z232" s="26"/>
      <c r="AB232" s="1963"/>
      <c r="AC232" s="1964"/>
      <c r="AD232" s="313" t="s">
        <v>308</v>
      </c>
      <c r="AE232" s="301" t="s">
        <v>309</v>
      </c>
      <c r="AG232" s="26" t="s">
        <v>310</v>
      </c>
    </row>
    <row r="233" spans="1:53" ht="18.95" customHeight="1" x14ac:dyDescent="0.15">
      <c r="E233" s="563">
        <v>19.5</v>
      </c>
      <c r="Z233" s="26"/>
      <c r="AB233" s="1963"/>
      <c r="AC233" s="1964"/>
      <c r="AD233" s="313" t="s">
        <v>311</v>
      </c>
      <c r="AE233" s="301" t="s">
        <v>312</v>
      </c>
      <c r="AG233" s="26" t="s">
        <v>313</v>
      </c>
    </row>
    <row r="234" spans="1:53" ht="18.95" hidden="1" customHeight="1" x14ac:dyDescent="0.15">
      <c r="E234" s="563">
        <v>19.5</v>
      </c>
      <c r="W234" s="424" t="b">
        <f>ROW(X234)&gt;ROW(X$234)</f>
        <v>0</v>
      </c>
      <c r="X234" s="26" t="s">
        <v>271</v>
      </c>
      <c r="Z234" s="26"/>
      <c r="AB234" s="1963"/>
      <c r="AC234" s="1964"/>
      <c r="AD234" s="1353"/>
      <c r="AE234" s="1339"/>
      <c r="AF234" s="562" t="s">
        <v>173</v>
      </c>
    </row>
    <row r="235" spans="1:53" ht="14.65" customHeight="1" x14ac:dyDescent="0.15">
      <c r="E235" s="563">
        <v>15</v>
      </c>
      <c r="X235" s="215" t="s">
        <v>175</v>
      </c>
      <c r="Z235" s="26"/>
      <c r="AB235" s="1963"/>
      <c r="AC235" s="1964"/>
      <c r="AD235" s="314" t="s">
        <v>314</v>
      </c>
      <c r="AE235" s="284"/>
    </row>
    <row r="236" spans="1:53" ht="18.95" customHeight="1" x14ac:dyDescent="0.15">
      <c r="E236" s="563">
        <v>19.5</v>
      </c>
      <c r="Z236" s="26"/>
      <c r="AB236" s="1963"/>
      <c r="AC236" s="1964"/>
      <c r="AD236" s="313" t="s">
        <v>315</v>
      </c>
      <c r="AE236" s="315" t="str" cm="1">
        <f t="array" ref="AE236">method_reg</f>
        <v>Метод индексации</v>
      </c>
    </row>
    <row r="237" spans="1:53" ht="18.95" customHeight="1" x14ac:dyDescent="0.15">
      <c r="E237" s="563">
        <v>19.5</v>
      </c>
      <c r="Z237" s="26"/>
      <c r="AB237" s="1963"/>
      <c r="AC237" s="1964"/>
      <c r="AD237" s="313" t="s">
        <v>104</v>
      </c>
      <c r="AE237" s="316" cm="1">
        <f t="array" ref="AE237">god</f>
        <v>2026</v>
      </c>
    </row>
    <row r="238" spans="1:53" ht="18.95" customHeight="1" x14ac:dyDescent="0.15">
      <c r="B238" s="367" t="b">
        <f>AND(NOT(method_reg="Метод экономически обоснованных расходов"),NOT(method_reg="Метод сравнения аналогов"))</f>
        <v>1</v>
      </c>
      <c r="E238" s="563">
        <v>19.5</v>
      </c>
      <c r="Z238" s="26"/>
      <c r="AB238" s="1963"/>
      <c r="AC238" s="1964"/>
      <c r="AD238" s="313" t="s">
        <v>105</v>
      </c>
      <c r="AE238" s="316" cm="1">
        <f t="array" ref="AE238">first_year</f>
        <v>2024</v>
      </c>
    </row>
    <row r="239" spans="1:53" ht="18.95" customHeight="1" x14ac:dyDescent="0.15">
      <c r="B239" s="367" t="b">
        <f>AND(NOT(method_reg="Метод экономически обоснованных расходов"),NOT(method_reg="Метод сравнения аналогов"))</f>
        <v>1</v>
      </c>
      <c r="E239" s="563">
        <v>19.5</v>
      </c>
      <c r="Z239" s="26"/>
      <c r="AB239" s="1965"/>
      <c r="AC239" s="1966"/>
      <c r="AD239" s="313" t="s">
        <v>106</v>
      </c>
      <c r="AE239" s="316" cm="1">
        <f t="array" ref="AE239">PERIOD_LENGTH</f>
        <v>9</v>
      </c>
    </row>
    <row r="240" spans="1:53" ht="37.15" customHeight="1" x14ac:dyDescent="0.15">
      <c r="E240" s="563">
        <v>38</v>
      </c>
      <c r="Z240" s="26"/>
      <c r="AB240" s="1967" t="s">
        <v>316</v>
      </c>
      <c r="AC240" s="1968"/>
      <c r="AD240" s="1969"/>
      <c r="AE240" s="309" t="s">
        <v>151</v>
      </c>
      <c r="AF240" s="402"/>
    </row>
    <row r="241" spans="2:53" ht="10.9" customHeight="1" x14ac:dyDescent="0.15">
      <c r="E241" s="563">
        <v>11.25</v>
      </c>
      <c r="Z241" s="26"/>
      <c r="AF241" s="348"/>
    </row>
    <row r="242" spans="2:53" s="1334" customFormat="1" ht="18.95" customHeight="1" x14ac:dyDescent="0.15">
      <c r="B242" s="367" t="b">
        <f>AND(NOT(god=first_year),(method_reg="Метод индексации"))</f>
        <v>1</v>
      </c>
      <c r="E242" s="564">
        <v>19.5</v>
      </c>
      <c r="X242" s="327"/>
      <c r="Z242" s="26"/>
      <c r="AB242" s="1967" t="s">
        <v>317</v>
      </c>
      <c r="AC242" s="1968"/>
      <c r="AD242" s="1969"/>
      <c r="AE242" s="383" t="s">
        <v>151</v>
      </c>
      <c r="AF242" s="562"/>
      <c r="AG242" t="s">
        <v>318</v>
      </c>
      <c r="AH242"/>
      <c r="AI242"/>
      <c r="AJ242" s="405"/>
      <c r="AK242" s="405"/>
      <c r="AL242" s="405"/>
      <c r="AM242" s="405"/>
      <c r="AN242" s="405"/>
      <c r="AO242"/>
      <c r="AP242"/>
      <c r="AQ242"/>
      <c r="AR242"/>
      <c r="AS242"/>
      <c r="AT242"/>
      <c r="AU242"/>
      <c r="AV242"/>
      <c r="AW242"/>
      <c r="AX242"/>
      <c r="AY242"/>
      <c r="AZ242"/>
      <c r="BA242"/>
    </row>
    <row r="243" spans="2:53" ht="11.25" customHeight="1" x14ac:dyDescent="0.15">
      <c r="Z243" s="26"/>
      <c r="AF243" s="348"/>
    </row>
  </sheetData>
  <sheetProtection formatColumns="0" formatRows="0" insertRows="0" deleteColumns="0" deleteRows="0" sort="0" autoFilter="0"/>
  <mergeCells count="175">
    <mergeCell ref="Z200:Z213"/>
    <mergeCell ref="AF200:AF213"/>
    <mergeCell ref="AA200:AA213"/>
    <mergeCell ref="Z214:Z227"/>
    <mergeCell ref="AF214:AF227"/>
    <mergeCell ref="AA214:AA227"/>
    <mergeCell ref="AA149:AA154"/>
    <mergeCell ref="AB149:AB154"/>
    <mergeCell ref="AC149:AD149"/>
    <mergeCell ref="AC150:AD150"/>
    <mergeCell ref="AC151:AD151"/>
    <mergeCell ref="AC152:AD152"/>
    <mergeCell ref="AC153:AD153"/>
    <mergeCell ref="AC154:AD154"/>
    <mergeCell ref="Z186:Z199"/>
    <mergeCell ref="AF186:AF199"/>
    <mergeCell ref="AB182:AC184"/>
    <mergeCell ref="AB181:AD181"/>
    <mergeCell ref="AC143:AD143"/>
    <mergeCell ref="AC144:AD144"/>
    <mergeCell ref="AC145:AD145"/>
    <mergeCell ref="AC146:AD146"/>
    <mergeCell ref="AC147:AD147"/>
    <mergeCell ref="AC148:AD148"/>
    <mergeCell ref="AB174:AE174"/>
    <mergeCell ref="AB175:AE175"/>
    <mergeCell ref="AB176:AE176"/>
    <mergeCell ref="AB177:AE177"/>
    <mergeCell ref="AB178:AE178"/>
    <mergeCell ref="AB180:AE180"/>
    <mergeCell ref="AB168:AE168"/>
    <mergeCell ref="AB169:AE169"/>
    <mergeCell ref="AB170:AE170"/>
    <mergeCell ref="AB171:AE171"/>
    <mergeCell ref="AB172:AE172"/>
    <mergeCell ref="AB173:AE173"/>
    <mergeCell ref="AB185:AC228"/>
    <mergeCell ref="AA186:AA199"/>
    <mergeCell ref="AB167:AE167"/>
    <mergeCell ref="AB136:AD136"/>
    <mergeCell ref="AB137:AB142"/>
    <mergeCell ref="AC137:AD137"/>
    <mergeCell ref="AC138:AD138"/>
    <mergeCell ref="AC139:AD139"/>
    <mergeCell ref="AC140:AD140"/>
    <mergeCell ref="AC141:AD141"/>
    <mergeCell ref="AC142:AD142"/>
    <mergeCell ref="AB157:AD157"/>
    <mergeCell ref="AB156:AD156"/>
    <mergeCell ref="AB159:AC162"/>
    <mergeCell ref="AB164:AE164"/>
    <mergeCell ref="AB165:AE165"/>
    <mergeCell ref="AB166:AE166"/>
    <mergeCell ref="AB143:AB148"/>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229:AC239"/>
    <mergeCell ref="AB240:AD240"/>
    <mergeCell ref="AB242:AD242"/>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s>
  <dataValidations count="28">
    <dataValidation type="list" allowBlank="1" showInputMessage="1" showErrorMessage="1" errorTitle="Внимание" error="Пожалуйста, выберите значение из списка!" sqref="AE53 AE108 AE84 AE96 AE122 AE136 AE69 AE71:AE72 AE240 AE181 AE157 AE56 AE58:AE60" xr:uid="{00000000-0002-0000-0400-000000000000}">
      <formula1>YES_NO</formula1>
    </dataValidation>
    <dataValidation type="list" showInputMessage="1" showErrorMessage="1" errorTitle="Внимание" error="Пожалуйста, выберите значение из списка" sqref="AE55" xr:uid="{00000000-0002-0000-0400-000001000000}">
      <formula1>OWNERSHIP_TYPE</formula1>
    </dataValidation>
    <dataValidation type="list" showInputMessage="1" showErrorMessage="1" errorTitle="Внимание" error="Пожалуйста, выберите значение из списка" sqref="AE54" xr:uid="{00000000-0002-0000-0400-000002000000}">
      <formula1>STATE_SHARE</formula1>
    </dataValidation>
    <dataValidation type="list" showDropDown="1" sqref="Z24" xr:uid="{00000000-0002-0000-0400-000003000000}">
      <formula1>year_list2</formula1>
    </dataValidation>
    <dataValidation type="list" showDropDown="1" sqref="Z26" xr:uid="{00000000-0002-0000-0400-000004000000}">
      <formula1>period_list</formula1>
    </dataValidation>
    <dataValidation type="list" showDropDown="1" sqref="Z45" xr:uid="{00000000-0002-0000-0400-000005000000}">
      <formula1>okopf_list</formula1>
    </dataValidation>
    <dataValidation type="list" showDropDown="1" sqref="Z53 Z240 Z71:Z72 Z84 Z96 Z108 Z122 Z136 Z157 Z56:Z60" xr:uid="{00000000-0002-0000-0400-000006000000}">
      <formula1>YES_NO</formula1>
    </dataValidation>
    <dataValidation type="list" showDropDown="1" showInputMessage="1" showErrorMessage="1" sqref="Z55" xr:uid="{00000000-0002-0000-0400-000007000000}">
      <formula1>OWNERSHIP_TYPE</formula1>
    </dataValidation>
    <dataValidation type="date" operator="notEqual" allowBlank="1" showInputMessage="1" showErrorMessage="1" sqref="Z81 Z88 Z100 Z126:Z134 Z140:Z154 Z76 Z93 Z105 Z112:Z120 Z184:Z185 Z228" xr:uid="{00000000-0002-0000-0400-000008000000}">
      <formula1>1</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82 AE74 AE91 AE103 AE116 AE130 AE144 AE150" xr:uid="{00000000-0002-0000-0400-000009000000}">
      <formula1>DOCUMENT_TYPES</formula1>
    </dataValidation>
    <dataValidation type="list" showInputMessage="1" showErrorMessage="1" errorTitle="Внимание" error="Пожалуйста, выберите значение из списка!" sqref="AE26" xr:uid="{00000000-0002-0000-0400-00000A000000}">
      <formula1>period_list</formula1>
    </dataValidation>
    <dataValidation type="list" showDropDown="1" showInputMessage="1" showErrorMessage="1" sqref="Z94 Z77 Z61:Z62 Z82 Z89 Z101 Z106" xr:uid="{00000000-0002-0000-0400-00000B000000}">
      <formula1>"FAS_URL"</formula1>
    </dataValidation>
    <dataValidation type="list" showDropDown="1" sqref="Z40" xr:uid="{00000000-0002-0000-0400-00000C000000}">
      <formula1>subsidiary_list</formula1>
    </dataValidation>
    <dataValidation type="list" showInputMessage="1" showErrorMessage="1" errorTitle="Внимание" error="Пожалуйста, выберите значение из списка!" sqref="AE25" xr:uid="{00000000-0002-0000-0400-00000D000000}">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xr:uid="{00000000-0002-0000-0400-00000E000000}">
      <formula1>okopf_list</formula1>
    </dataValidation>
    <dataValidation type="list" allowBlank="1" showInputMessage="1" showErrorMessage="1" errorTitle="Ошибка" error="Выберите значение из списка" prompt="Выберите значение из списка" sqref="AE198 AE212 AE226" xr:uid="{00000000-0002-0000-0400-00000F000000}">
      <formula1>YEAR_LIST</formula1>
    </dataValidation>
    <dataValidation type="list" allowBlank="1" showInputMessage="1" showErrorMessage="1" errorTitle="Ошибка" error="Выберите значение из списка" prompt="Выберите значение из списка" sqref="AE199 AE213 AE227" xr:uid="{00000000-0002-0000-0400-000010000000}">
      <formula1>period_list</formula1>
    </dataValidation>
    <dataValidation type="list" allowBlank="1" showInputMessage="1" showErrorMessage="1" errorTitle="Внимание" error="Пожалуйста, выберите значение из списка!" sqref="AE197 AE211 AE225" xr:uid="{00000000-0002-0000-0400-000011000000}">
      <formula1>TARIFF_CALC_METHOD</formula1>
    </dataValidation>
    <dataValidation type="list" allowBlank="1" showInputMessage="1" showErrorMessage="1" errorTitle="Ошибка" error="Выберите значение из списка" prompt="Выберите значение из списка" sqref="AE189 AE203 AE217" xr:uid="{00000000-0002-0000-0400-000012000000}">
      <formula1>tariff_type_list</formula1>
    </dataValidation>
    <dataValidation type="list" allowBlank="1" showInputMessage="1" showErrorMessage="1" sqref="AE23" xr:uid="{00000000-0002-0000-0400-000013000000}">
      <formula1>metod_list</formula1>
    </dataValidation>
    <dataValidation type="list" allowBlank="1" showInputMessage="1" showErrorMessage="1" sqref="AE242" xr:uid="{00000000-0002-0000-0400-000014000000}">
      <formula1>YES_NO</formula1>
    </dataValidation>
    <dataValidation type="list" allowBlank="1" showInputMessage="1" showErrorMessage="1" sqref="AB185" xr:uid="{00000000-0002-0000-0400-000015000000}">
      <formula1>"Заявление организации,Заявление организации (отсутствует)"</formula1>
    </dataValidation>
    <dataValidation type="list" allowBlank="1" showInputMessage="1" showErrorMessage="1" errorTitle="Ошибка" error="Выберите значение из списка" prompt="Выберите значение из списка" sqref="AE188 AE202" xr:uid="{00000000-0002-0000-0400-000016000000}">
      <formula1>COLDVSNA_VTARIFF</formula1>
    </dataValidation>
    <dataValidation type="list" allowBlank="1" showInputMessage="1" showErrorMessage="1" errorTitle="Ошибка" error="Выберите значение из списка" prompt="Выберите значение из списка" sqref="AE191 AE205" xr:uid="{00000000-0002-0000-0400-000017000000}">
      <formula1>COLDVSNA_VTOV</formula1>
    </dataValidation>
    <dataValidation type="textLength" operator="lessThanOrEqual" allowBlank="1" showInputMessage="1" showErrorMessage="1" errorTitle="Ошибка" error="Допускается ввод не более 900 символов!" sqref="AE65:AE67" xr:uid="{00000000-0002-0000-0400-000018000000}">
      <formula1>900</formula1>
    </dataValidation>
    <dataValidation type="list" allowBlank="1" showInputMessage="1" showErrorMessage="1" errorTitle="Внимание" error="Пожалуйста, выберите значение из списка!" sqref="AE57" xr:uid="{00000000-0002-0000-0400-000019000000}">
      <formula1>NALOG_SYSTEM_LIST</formula1>
    </dataValidation>
    <dataValidation type="list" allowBlank="1" showInputMessage="1" showErrorMessage="1" errorTitle="Ошибка" error="Выберите значение из списка" sqref="AE216" xr:uid="{00000000-0002-0000-0400-00001A000000}">
      <formula1>VOTV_VTARIFF</formula1>
    </dataValidation>
    <dataValidation type="list" allowBlank="1" showInputMessage="1" showErrorMessage="1" errorTitle="Ошибка" error="Выберите значение из списка" sqref="AE219" xr:uid="{00000000-0002-0000-0400-00001B000000}">
      <formula1>VOTV_VTOV</formula1>
    </dataValidation>
  </dataValidations>
  <hyperlinks>
    <hyperlink ref="AE61" r:id="rId1" tooltip="https://portal.eias.ru/Portal/DownloadPage.aspx?type=12&amp;guid=305c7425-72c2-4c3a-852a-fab9ca4bb4b5" xr:uid="{EB21C74B-C938-CE35-A088-8F9A7CCFB3E6}"/>
    <hyperlink ref="AE89" r:id="rId2" tooltip="https://portal.eias.ru/Portal/DownloadPage.aspx?type=12&amp;guid=36169690-4aec-42fa-983c-43071d91daf3" xr:uid="{33C41348-0F15-F788-4046-C95D18E82B48}"/>
    <hyperlink ref="AE101" r:id="rId3" location="/" tooltip="https://data-platform.ru/lk/ru_6_42/?public_token=NDA1MjAxMzE7YnB0cg==#/" xr:uid="{36F4C498-54EA-CB81-856A-D2DC84B75F1A}"/>
    <hyperlink ref="AE162" r:id="rId4" tooltip="eazarubina23@mail.ru" xr:uid="{1679D878-5588-2188-1A47-9E293B680B88}"/>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57" max="1048576" man="1"/>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r:uid="{00000000-0002-0000-0400-00001C000000}">
          <x14:formula1>
            <xm:f>TEHSHEET!$Q$15:$Q$16</xm:f>
          </x14:formula1>
          <xm:sqref>AE24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E5DE6-5ADA-16A1-4D69-0E9CFD56A0D8}">
  <sheetPr>
    <tabColor theme="3" tint="0.59999389629810485"/>
    <outlinePr summaryBelow="0" summaryRight="0"/>
    <pageSetUpPr fitToPage="1"/>
  </sheetPr>
  <dimension ref="A1:AR38"/>
  <sheetViews>
    <sheetView showGridLines="0" workbookViewId="0">
      <pane xSplit="31" ySplit="24" topLeftCell="AF29" activePane="bottomRight" state="frozen"/>
      <selection pane="topRight" activeCell="AF1" sqref="AF1"/>
      <selection pane="bottomLeft" activeCell="A25" sqref="A25"/>
      <selection pane="bottomRight" activeCell="AA21" sqref="AA21"/>
    </sheetView>
  </sheetViews>
  <sheetFormatPr defaultColWidth="9.140625" defaultRowHeight="11.25" customHeight="1" x14ac:dyDescent="0.15"/>
  <cols>
    <col min="1" max="1" width="3.5703125" style="492" hidden="1" customWidth="1"/>
    <col min="2" max="2" width="8.5703125" style="1088" hidden="1" customWidth="1"/>
    <col min="3" max="4" width="3.5703125" style="492" hidden="1" customWidth="1"/>
    <col min="5" max="5" width="3.5703125" style="874" hidden="1" customWidth="1"/>
    <col min="6" max="16" width="3.5703125" style="492" hidden="1" customWidth="1"/>
    <col min="17" max="17" width="3.5703125" style="870" hidden="1" customWidth="1"/>
    <col min="18" max="19" width="3.5703125" style="492" hidden="1" customWidth="1"/>
    <col min="20" max="20" width="3.5703125" style="1194" hidden="1" customWidth="1"/>
    <col min="21" max="21" width="8.5703125" style="492" hidden="1" customWidth="1"/>
    <col min="22" max="25" width="6" style="492" hidden="1" customWidth="1"/>
    <col min="26" max="26" width="5.140625" style="492" hidden="1" customWidth="1"/>
    <col min="27" max="27" width="3.7109375" style="492" customWidth="1"/>
    <col min="28" max="28" width="11" style="33" customWidth="1"/>
    <col min="29" max="30" width="45" style="33" customWidth="1"/>
    <col min="31" max="31" width="14" style="39" customWidth="1"/>
    <col min="32" max="32" width="35" style="39" customWidth="1"/>
    <col min="33" max="33" width="35" style="33" customWidth="1"/>
    <col min="34" max="34" width="9.140625" style="33"/>
    <col min="35" max="41" width="9.140625" style="492" hidden="1"/>
    <col min="42" max="44" width="9.140625" style="33" hidden="1"/>
  </cols>
  <sheetData>
    <row r="1" spans="1:41" ht="11.25" hidden="1" customHeight="1" x14ac:dyDescent="0.15">
      <c r="E1" s="67"/>
      <c r="F1" s="67" t="s">
        <v>319</v>
      </c>
      <c r="G1" s="67" t="s">
        <v>320</v>
      </c>
      <c r="U1" s="390" t="s">
        <v>92</v>
      </c>
      <c r="V1" s="388" t="s">
        <v>97</v>
      </c>
      <c r="W1" s="388" t="s">
        <v>93</v>
      </c>
      <c r="X1" s="388" t="s">
        <v>94</v>
      </c>
      <c r="Y1" s="388" t="s">
        <v>95</v>
      </c>
      <c r="Z1" s="388" t="s">
        <v>99</v>
      </c>
      <c r="AA1" s="390" t="s">
        <v>96</v>
      </c>
      <c r="AB1" s="389" t="s">
        <v>321</v>
      </c>
      <c r="AC1" s="389" t="s">
        <v>98</v>
      </c>
      <c r="AI1" s="67" t="s">
        <v>322</v>
      </c>
      <c r="AJ1" s="67" t="s">
        <v>323</v>
      </c>
      <c r="AK1" s="67" t="s">
        <v>324</v>
      </c>
      <c r="AL1" s="67" t="s">
        <v>325</v>
      </c>
      <c r="AM1" s="67" t="s">
        <v>326</v>
      </c>
      <c r="AN1" s="67" t="s">
        <v>327</v>
      </c>
      <c r="AO1" s="67" t="s">
        <v>328</v>
      </c>
    </row>
    <row r="2" spans="1:41" s="361" customFormat="1" ht="11.25" hidden="1" customHeight="1" x14ac:dyDescent="0.15">
      <c r="A2" s="351"/>
      <c r="B2" s="872" t="s">
        <v>18</v>
      </c>
      <c r="C2" s="351"/>
      <c r="D2" s="351"/>
      <c r="E2" s="351"/>
      <c r="F2" s="351"/>
      <c r="G2" s="351"/>
      <c r="H2" s="351"/>
      <c r="I2" s="351"/>
      <c r="J2" s="351"/>
      <c r="K2" s="351"/>
      <c r="L2" s="351"/>
      <c r="M2" s="351"/>
      <c r="N2" s="351"/>
      <c r="O2" s="351"/>
      <c r="P2" s="351"/>
      <c r="Q2" s="351"/>
      <c r="R2" s="351"/>
      <c r="S2" s="351"/>
      <c r="T2" s="579"/>
      <c r="U2" s="215"/>
      <c r="V2" s="351"/>
      <c r="W2" s="351"/>
      <c r="X2" s="351"/>
      <c r="Y2" s="351"/>
      <c r="Z2" s="351"/>
      <c r="AA2" s="351"/>
      <c r="AI2" s="351"/>
      <c r="AJ2" s="351"/>
      <c r="AK2" s="351"/>
      <c r="AL2" s="351"/>
      <c r="AM2" s="351"/>
      <c r="AN2" s="351"/>
      <c r="AO2" s="351"/>
    </row>
    <row r="3" spans="1:41" ht="11.25" hidden="1" customHeight="1" x14ac:dyDescent="0.15">
      <c r="E3" s="67"/>
    </row>
    <row r="4" spans="1:41" ht="11.25" hidden="1" customHeight="1" x14ac:dyDescent="0.15">
      <c r="E4" s="67"/>
    </row>
    <row r="5" spans="1:41" s="551" customFormat="1" ht="11.25" hidden="1" customHeight="1" x14ac:dyDescent="0.15">
      <c r="A5" s="67"/>
      <c r="B5" s="351"/>
      <c r="C5" s="67"/>
      <c r="D5" s="67"/>
      <c r="E5" s="873" t="s">
        <v>19</v>
      </c>
      <c r="F5" s="874"/>
      <c r="G5" s="874"/>
      <c r="H5" s="874"/>
      <c r="I5" s="874"/>
      <c r="J5" s="874"/>
      <c r="K5" s="874"/>
      <c r="L5" s="874"/>
      <c r="M5" s="874"/>
      <c r="N5" s="874"/>
      <c r="O5" s="874"/>
      <c r="P5" s="874"/>
      <c r="Q5" s="875"/>
      <c r="R5" s="874"/>
      <c r="S5" s="874"/>
      <c r="T5" s="876"/>
      <c r="U5" s="874"/>
      <c r="V5" s="874"/>
      <c r="W5" s="874"/>
      <c r="X5" s="874"/>
      <c r="Y5" s="874"/>
      <c r="Z5" s="874"/>
      <c r="AA5" s="545" t="s">
        <v>329</v>
      </c>
      <c r="AB5" s="563">
        <v>11</v>
      </c>
      <c r="AC5" s="563">
        <v>45</v>
      </c>
      <c r="AD5" s="563">
        <v>45</v>
      </c>
      <c r="AE5" s="563">
        <v>14</v>
      </c>
      <c r="AF5" s="563">
        <v>35</v>
      </c>
      <c r="AG5" s="563">
        <v>35</v>
      </c>
      <c r="AH5" s="551" t="s">
        <v>329</v>
      </c>
      <c r="AI5" s="874"/>
      <c r="AJ5" s="874"/>
      <c r="AK5" s="874"/>
      <c r="AL5" s="874"/>
      <c r="AM5" s="874"/>
      <c r="AN5" s="874"/>
      <c r="AO5" s="874"/>
    </row>
    <row r="6" spans="1:41" ht="11.25" hidden="1" customHeight="1" x14ac:dyDescent="0.15">
      <c r="A6" s="67" t="s">
        <v>330</v>
      </c>
      <c r="AC6" s="21" t="s">
        <v>331</v>
      </c>
      <c r="AD6" s="21" t="s">
        <v>332</v>
      </c>
      <c r="AE6" s="21" t="s">
        <v>333</v>
      </c>
      <c r="AF6" s="39" t="s">
        <v>334</v>
      </c>
      <c r="AG6" s="21" t="s">
        <v>335</v>
      </c>
    </row>
    <row r="7" spans="1:41" s="492" customFormat="1" ht="11.25" hidden="1" customHeight="1" x14ac:dyDescent="0.15">
      <c r="B7" s="351"/>
      <c r="E7" s="874"/>
      <c r="Q7" s="870"/>
      <c r="T7" s="871"/>
      <c r="AE7" s="123"/>
      <c r="AF7" s="123"/>
    </row>
    <row r="8" spans="1:41" s="492" customFormat="1" ht="11.25" hidden="1" customHeight="1" x14ac:dyDescent="0.15">
      <c r="B8" s="351"/>
      <c r="E8" s="874"/>
      <c r="Q8" s="870"/>
      <c r="T8" s="871"/>
      <c r="AE8" s="123"/>
      <c r="AF8" s="123"/>
    </row>
    <row r="9" spans="1:41" s="492" customFormat="1" ht="11.25" hidden="1" customHeight="1" x14ac:dyDescent="0.15">
      <c r="A9" s="67" t="s">
        <v>336</v>
      </c>
      <c r="B9" s="351"/>
      <c r="E9" s="874"/>
      <c r="Q9" s="870"/>
      <c r="T9" s="871"/>
      <c r="AE9" s="123"/>
      <c r="AF9" s="123" t="str" cm="1">
        <f t="array" ref="AF9">AF24</f>
        <v xml:space="preserve">Тип муниципального образования </v>
      </c>
      <c r="AG9" s="123" t="str" cm="1">
        <f t="array" ref="AG9">AG24</f>
        <v>Дополнительные сведения</v>
      </c>
    </row>
    <row r="10" spans="1:41" s="492" customFormat="1" ht="11.25" hidden="1" customHeight="1" x14ac:dyDescent="0.15">
      <c r="A10" s="67" t="s">
        <v>337</v>
      </c>
      <c r="B10" s="351"/>
      <c r="E10" s="874"/>
      <c r="Q10" s="870"/>
      <c r="T10" s="871"/>
      <c r="AC10" s="67" t="s">
        <v>324</v>
      </c>
      <c r="AD10" s="67" t="s">
        <v>325</v>
      </c>
      <c r="AE10" s="123" t="s">
        <v>326</v>
      </c>
      <c r="AF10" s="123"/>
    </row>
    <row r="11" spans="1:41" s="492" customFormat="1" ht="11.25" hidden="1" customHeight="1" x14ac:dyDescent="0.15">
      <c r="B11" s="351"/>
      <c r="E11" s="874"/>
      <c r="Q11" s="877"/>
      <c r="T11" s="871"/>
      <c r="AE11" s="123"/>
    </row>
    <row r="12" spans="1:41" s="492" customFormat="1" ht="11.25" hidden="1" customHeight="1" x14ac:dyDescent="0.15">
      <c r="B12" s="351"/>
      <c r="E12" s="874"/>
      <c r="Q12" s="877"/>
      <c r="T12" s="871"/>
    </row>
    <row r="13" spans="1:41" s="492" customFormat="1" ht="11.25" hidden="1" customHeight="1" x14ac:dyDescent="0.15">
      <c r="B13" s="351"/>
      <c r="E13" s="874"/>
      <c r="Q13" s="877"/>
      <c r="T13" s="871"/>
    </row>
    <row r="14" spans="1:41" s="492" customFormat="1" ht="11.25" hidden="1" customHeight="1" x14ac:dyDescent="0.15">
      <c r="B14" s="351"/>
      <c r="E14" s="874"/>
      <c r="Q14" s="877"/>
      <c r="T14" s="871"/>
    </row>
    <row r="15" spans="1:41" s="492" customFormat="1" ht="11.25" hidden="1" customHeight="1" x14ac:dyDescent="0.15">
      <c r="B15" s="351"/>
      <c r="E15" s="874"/>
      <c r="Q15" s="877"/>
      <c r="T15" s="871"/>
    </row>
    <row r="16" spans="1:41" s="492" customFormat="1" ht="11.25" hidden="1" customHeight="1" x14ac:dyDescent="0.15">
      <c r="B16" s="351"/>
      <c r="E16" s="874"/>
      <c r="Q16" s="877"/>
      <c r="T16" s="871"/>
    </row>
    <row r="17" spans="1:44" ht="11.25" hidden="1" customHeight="1" x14ac:dyDescent="0.15">
      <c r="Q17" s="877"/>
      <c r="AE17" s="21"/>
      <c r="AF17" s="21"/>
    </row>
    <row r="18" spans="1:44" ht="11.25" hidden="1" customHeight="1" x14ac:dyDescent="0.15">
      <c r="A18" s="67"/>
      <c r="Q18" s="877"/>
      <c r="AC18" s="21" t="s">
        <v>338</v>
      </c>
      <c r="AD18" s="21" t="s">
        <v>339</v>
      </c>
      <c r="AE18" s="21"/>
      <c r="AF18" s="21"/>
    </row>
    <row r="19" spans="1:44" ht="11.25" hidden="1" customHeight="1" x14ac:dyDescent="0.15">
      <c r="Q19" s="877"/>
      <c r="AE19" s="21"/>
      <c r="AF19" s="21"/>
    </row>
    <row r="20" spans="1:44" ht="11.25" hidden="1" customHeight="1" x14ac:dyDescent="0.15">
      <c r="Q20" s="877"/>
      <c r="AE20" s="21"/>
      <c r="AF20" s="21"/>
    </row>
    <row r="21" spans="1:44" ht="15" customHeight="1" x14ac:dyDescent="0.15">
      <c r="E21" s="874" t="s">
        <v>340</v>
      </c>
      <c r="Q21" s="877"/>
      <c r="U21" s="871"/>
      <c r="V21" s="871"/>
      <c r="W21" s="871"/>
      <c r="X21" s="871"/>
      <c r="Y21" s="871"/>
      <c r="Z21" s="871"/>
      <c r="AA21" s="871"/>
      <c r="AB21" s="32"/>
      <c r="AC21" s="281" t="str" cm="1">
        <f t="array" ref="AC21">tpl_title</f>
        <v>Кемеровская область / 2026 / ООО "Чистая вода" (ИНН:4246023100, КПП:424601001) / ДПР: 2024-2032</v>
      </c>
      <c r="AD21" s="32"/>
      <c r="AE21" s="32"/>
      <c r="AF21" s="32"/>
    </row>
    <row r="22" spans="1:44" ht="30" customHeight="1" x14ac:dyDescent="0.15">
      <c r="E22" s="874" t="s">
        <v>341</v>
      </c>
      <c r="Q22" s="877"/>
      <c r="S22" s="871"/>
      <c r="U22" s="871"/>
      <c r="V22" s="871"/>
      <c r="W22" s="871"/>
      <c r="X22" s="871"/>
      <c r="Y22" s="871"/>
      <c r="Z22" s="871"/>
      <c r="AA22" s="871"/>
      <c r="AB22" s="2007" t="s">
        <v>34</v>
      </c>
      <c r="AC22" s="2008"/>
      <c r="AD22" s="2008"/>
      <c r="AE22" s="2008"/>
      <c r="AF22" s="2008"/>
      <c r="AG22" s="2008"/>
    </row>
    <row r="23" spans="1:44" ht="11.25" customHeight="1" x14ac:dyDescent="0.15">
      <c r="E23" s="557" t="s">
        <v>342</v>
      </c>
      <c r="Q23" s="877"/>
      <c r="U23" s="878"/>
      <c r="V23" s="878"/>
      <c r="W23" s="878"/>
      <c r="X23" s="878"/>
      <c r="Y23" s="878"/>
      <c r="Z23" s="878"/>
      <c r="AA23" s="878"/>
      <c r="AB23" s="34"/>
      <c r="AC23" s="34"/>
      <c r="AD23" s="34"/>
      <c r="AE23" s="35"/>
      <c r="AF23" s="35"/>
      <c r="AG23" s="35"/>
    </row>
    <row r="24" spans="1:44" ht="28.5" customHeight="1" x14ac:dyDescent="0.15">
      <c r="E24" s="874" t="s">
        <v>343</v>
      </c>
      <c r="U24" s="878"/>
      <c r="V24" s="878"/>
      <c r="W24" s="878"/>
      <c r="X24" s="878"/>
      <c r="Y24" s="878"/>
      <c r="Z24" s="878"/>
      <c r="AA24" s="878"/>
      <c r="AB24" s="36" t="s">
        <v>21</v>
      </c>
      <c r="AC24" s="37" t="s">
        <v>338</v>
      </c>
      <c r="AD24" s="37" t="s">
        <v>339</v>
      </c>
      <c r="AE24" s="37" t="s">
        <v>344</v>
      </c>
      <c r="AF24" s="288" t="s">
        <v>345</v>
      </c>
      <c r="AG24" s="38" t="s">
        <v>279</v>
      </c>
    </row>
    <row r="25" spans="1:44" ht="11.25" hidden="1" customHeight="1" x14ac:dyDescent="0.15">
      <c r="E25" s="874">
        <v>0</v>
      </c>
      <c r="U25" s="878"/>
      <c r="V25" s="878"/>
      <c r="W25" s="878"/>
      <c r="X25" s="878"/>
      <c r="Y25" s="878"/>
      <c r="Z25" s="878"/>
      <c r="AA25" s="878"/>
      <c r="AB25" s="645"/>
      <c r="AC25" s="645"/>
      <c r="AD25" s="645"/>
      <c r="AE25" s="645"/>
      <c r="AF25" s="645"/>
      <c r="AG25" s="645"/>
    </row>
    <row r="26" spans="1:44" ht="15" hidden="1" customHeight="1" x14ac:dyDescent="0.15">
      <c r="E26" s="874" t="s">
        <v>340</v>
      </c>
      <c r="F26" s="62" cm="1">
        <f t="array" ref="F26">Y26</f>
        <v>0</v>
      </c>
      <c r="U26" s="390" t="b">
        <f>Y26&gt;0</f>
        <v>0</v>
      </c>
      <c r="V26" s="393"/>
      <c r="W26" s="394" t="s">
        <v>271</v>
      </c>
      <c r="X26" s="393"/>
      <c r="Y26" s="2009">
        <v>0</v>
      </c>
      <c r="Z26" s="2010"/>
      <c r="AA26" s="879"/>
      <c r="AB26" s="99" t="str" cm="1">
        <f t="array" ref="AB26">INDEX('Общие сведения'!$AG$185:$AG$228,MATCH($Y26,'Общие сведения'!$Z$185:$Z$228,0))</f>
        <v xml:space="preserve">Тариф 0 () - </v>
      </c>
      <c r="AC26" s="93"/>
      <c r="AD26" s="93"/>
      <c r="AE26" s="93"/>
      <c r="AF26" s="93"/>
      <c r="AG26" s="93"/>
    </row>
    <row r="27" spans="1:44" ht="15" hidden="1" customHeight="1" x14ac:dyDescent="0.15">
      <c r="E27" s="874" t="s">
        <v>340</v>
      </c>
      <c r="F27" s="62" cm="1">
        <f t="array" aca="1" ref="F27" ca="1">OFFSET(E27,-1,1)</f>
        <v>0</v>
      </c>
      <c r="G27" s="67" cm="1">
        <f t="array" ref="G27">AB27</f>
        <v>0</v>
      </c>
      <c r="T27" s="880"/>
      <c r="U27" s="390" t="b">
        <f ca="1">AND(F27&gt;0,AB27&gt;0)</f>
        <v>0</v>
      </c>
      <c r="V27" s="395"/>
      <c r="W27" s="396"/>
      <c r="X27" s="677" t="s">
        <v>172</v>
      </c>
      <c r="Y27" s="2009"/>
      <c r="Z27" s="2010"/>
      <c r="AA27" s="586" t="s">
        <v>173</v>
      </c>
      <c r="AB27" s="570">
        <v>0</v>
      </c>
      <c r="AC27" s="678"/>
      <c r="AD27" s="98"/>
      <c r="AE27" s="98"/>
      <c r="AF27" s="1354"/>
      <c r="AG27" s="1355"/>
      <c r="AI27" s="67" t="s">
        <v>346</v>
      </c>
      <c r="AJ27" s="67" t="s">
        <v>347</v>
      </c>
      <c r="AK27" s="67" cm="1">
        <f t="array" ref="AK27">AC27</f>
        <v>0</v>
      </c>
      <c r="AL27" s="67" cm="1">
        <f t="array" ref="AL27">AD27</f>
        <v>0</v>
      </c>
      <c r="AM27" s="67" cm="1">
        <f t="array" ref="AM27">AE27</f>
        <v>0</v>
      </c>
      <c r="AO27" s="67" t="b">
        <v>1</v>
      </c>
    </row>
    <row r="28" spans="1:44" ht="15" hidden="1" customHeight="1" x14ac:dyDescent="0.15">
      <c r="E28" s="874" t="s">
        <v>340</v>
      </c>
      <c r="F28" s="62" cm="1">
        <f t="array" aca="1" ref="F28" ca="1">OFFSET(E28,-1,1)</f>
        <v>0</v>
      </c>
      <c r="G28" s="67" t="s">
        <v>348</v>
      </c>
      <c r="P28" s="677"/>
      <c r="U28" s="390" t="b" cm="1">
        <f t="array" ref="U28">U26</f>
        <v>0</v>
      </c>
      <c r="X28" s="677" t="s">
        <v>349</v>
      </c>
      <c r="Y28" s="2009"/>
      <c r="Z28" s="2010"/>
      <c r="AA28" s="391"/>
      <c r="AB28" s="94"/>
      <c r="AC28" s="178" t="s">
        <v>350</v>
      </c>
      <c r="AD28" s="95"/>
      <c r="AE28" s="95"/>
      <c r="AF28" s="95"/>
      <c r="AG28" s="96"/>
      <c r="AN28" s="67" t="s">
        <v>347</v>
      </c>
    </row>
    <row r="29" spans="1:44" s="1334" customFormat="1" ht="15" customHeight="1" x14ac:dyDescent="0.15">
      <c r="A29" s="492"/>
      <c r="B29" s="1088"/>
      <c r="C29" s="492"/>
      <c r="D29" s="492"/>
      <c r="E29" s="874" t="s">
        <v>340</v>
      </c>
      <c r="F29" s="62" t="str" cm="1">
        <f t="array" ref="F29">Y29</f>
        <v>1</v>
      </c>
      <c r="G29" s="492"/>
      <c r="H29" s="492"/>
      <c r="I29" s="492"/>
      <c r="J29" s="492"/>
      <c r="K29" s="492"/>
      <c r="L29" s="492"/>
      <c r="M29" s="492"/>
      <c r="N29" s="492"/>
      <c r="O29" s="492"/>
      <c r="P29" s="492"/>
      <c r="Q29" s="870"/>
      <c r="R29" s="492"/>
      <c r="S29" s="492"/>
      <c r="T29" s="1194"/>
      <c r="U29" s="390" t="b">
        <f>Y29&gt;0</f>
        <v>1</v>
      </c>
      <c r="V29" s="393"/>
      <c r="W29" s="394" t="str" cm="1">
        <f t="array" ref="W29">'Общие сведения'!$AG$200</f>
        <v>Тариф 1 (Водоснабжение) - тариф на питьевую воду</v>
      </c>
      <c r="X29" s="393"/>
      <c r="Y29" s="2009" t="s">
        <v>282</v>
      </c>
      <c r="Z29" s="2010"/>
      <c r="AA29" s="879"/>
      <c r="AB29" s="99" t="str" cm="1">
        <f t="array" ref="AB29">'Общие сведения'!$AG$200</f>
        <v>Тариф 1 (Водоснабжение) - тариф на питьевую воду</v>
      </c>
      <c r="AC29" s="93"/>
      <c r="AD29" s="93"/>
      <c r="AE29" s="93"/>
      <c r="AF29" s="93"/>
      <c r="AG29" s="93"/>
      <c r="AH29" s="33"/>
      <c r="AI29" s="492"/>
      <c r="AJ29" s="492"/>
      <c r="AK29" s="492"/>
      <c r="AL29" s="492"/>
      <c r="AM29" s="492"/>
      <c r="AN29" s="492"/>
      <c r="AO29" s="492"/>
      <c r="AP29" s="33"/>
      <c r="AQ29" s="33"/>
      <c r="AR29" s="33"/>
    </row>
    <row r="30" spans="1:44" s="1334" customFormat="1" ht="15" hidden="1" customHeight="1" x14ac:dyDescent="0.15">
      <c r="A30" s="492"/>
      <c r="B30" s="1088"/>
      <c r="C30" s="492"/>
      <c r="D30" s="492"/>
      <c r="E30" s="874" t="s">
        <v>340</v>
      </c>
      <c r="F30" s="62" t="str" cm="1">
        <f t="array" aca="1" ref="F30" ca="1">OFFSET(E30,-1,1)</f>
        <v>1</v>
      </c>
      <c r="G30" s="67" cm="1">
        <f t="array" ref="G30">AB30</f>
        <v>0</v>
      </c>
      <c r="H30" s="492"/>
      <c r="I30" s="492"/>
      <c r="J30" s="492"/>
      <c r="K30" s="492"/>
      <c r="L30" s="492"/>
      <c r="M30" s="492"/>
      <c r="N30" s="492"/>
      <c r="O30" s="492"/>
      <c r="P30" s="492"/>
      <c r="Q30" s="870"/>
      <c r="R30" s="492"/>
      <c r="S30" s="492"/>
      <c r="T30" s="880"/>
      <c r="U30" s="390" t="b">
        <f ca="1">AND(F30&gt;0,AB30&gt;0)</f>
        <v>0</v>
      </c>
      <c r="V30" s="395"/>
      <c r="W30" s="396"/>
      <c r="X30" s="677" t="s">
        <v>172</v>
      </c>
      <c r="Y30" s="2009"/>
      <c r="Z30" s="2010"/>
      <c r="AA30" s="586" t="s">
        <v>173</v>
      </c>
      <c r="AB30" s="570">
        <v>0</v>
      </c>
      <c r="AC30" s="678"/>
      <c r="AD30" s="98"/>
      <c r="AE30" s="98"/>
      <c r="AF30" s="1354"/>
      <c r="AG30" s="1355"/>
      <c r="AH30" s="33"/>
      <c r="AI30" s="67" t="s">
        <v>346</v>
      </c>
      <c r="AJ30" s="67" t="s">
        <v>347</v>
      </c>
      <c r="AK30" s="67" cm="1">
        <f t="array" ref="AK30">AC30</f>
        <v>0</v>
      </c>
      <c r="AL30" s="67" cm="1">
        <f t="array" ref="AL30">AD30</f>
        <v>0</v>
      </c>
      <c r="AM30" s="67" cm="1">
        <f t="array" ref="AM30">AE30</f>
        <v>0</v>
      </c>
      <c r="AN30" s="492"/>
      <c r="AO30" s="67" t="b">
        <v>1</v>
      </c>
      <c r="AP30" s="33"/>
      <c r="AQ30" s="33"/>
      <c r="AR30" s="33"/>
    </row>
    <row r="31" spans="1:44" s="1334" customFormat="1" ht="18.75" customHeight="1" x14ac:dyDescent="0.15">
      <c r="A31" s="492"/>
      <c r="B31" s="1088"/>
      <c r="C31" s="492"/>
      <c r="D31" s="492"/>
      <c r="E31" s="874" t="s">
        <v>340</v>
      </c>
      <c r="F31" s="62" t="str" cm="1">
        <f t="array" aca="1" ref="F31" ca="1">OFFSET(E31,-1,1)</f>
        <v>1</v>
      </c>
      <c r="G31" s="67" t="str" cm="1">
        <f t="array" ref="G31">AB31</f>
        <v>1</v>
      </c>
      <c r="H31" s="492"/>
      <c r="I31" s="492"/>
      <c r="J31" s="492"/>
      <c r="K31" s="492"/>
      <c r="L31" s="492"/>
      <c r="M31" s="492"/>
      <c r="N31" s="492"/>
      <c r="O31" s="492"/>
      <c r="P31" s="492"/>
      <c r="Q31" s="870"/>
      <c r="R31" s="492"/>
      <c r="S31" s="492"/>
      <c r="T31" s="880"/>
      <c r="U31" s="390" t="b">
        <f ca="1">AND(F31&gt;0,AB31&gt;0)</f>
        <v>1</v>
      </c>
      <c r="V31" s="395"/>
      <c r="W31" s="396"/>
      <c r="X31" s="677"/>
      <c r="Y31" s="2009"/>
      <c r="Z31" s="2010"/>
      <c r="AA31" s="586" t="s">
        <v>173</v>
      </c>
      <c r="AB31" s="570" t="s">
        <v>282</v>
      </c>
      <c r="AC31" s="678" t="s">
        <v>351</v>
      </c>
      <c r="AD31" s="98" t="s">
        <v>351</v>
      </c>
      <c r="AE31" s="98" t="s">
        <v>352</v>
      </c>
      <c r="AF31" s="851"/>
      <c r="AG31" s="115"/>
      <c r="AH31" s="33"/>
      <c r="AI31" s="67" t="s">
        <v>346</v>
      </c>
      <c r="AJ31" s="67" t="s">
        <v>347</v>
      </c>
      <c r="AK31" s="67" t="str" cm="1">
        <f t="array" ref="AK31">AC31</f>
        <v>город Анжеро-Судженск</v>
      </c>
      <c r="AL31" s="67" t="str" cm="1">
        <f t="array" ref="AL31">AD31</f>
        <v>город Анжеро-Судженск</v>
      </c>
      <c r="AM31" s="67" t="str" cm="1">
        <f t="array" ref="AM31">AE31</f>
        <v>32704000</v>
      </c>
      <c r="AN31" s="492"/>
      <c r="AO31" s="67" t="b">
        <v>1</v>
      </c>
      <c r="AP31" s="33"/>
      <c r="AQ31" s="33"/>
      <c r="AR31" s="33"/>
    </row>
    <row r="32" spans="1:44" s="1334" customFormat="1" ht="15" customHeight="1" x14ac:dyDescent="0.15">
      <c r="A32" s="492"/>
      <c r="B32" s="1088"/>
      <c r="C32" s="492"/>
      <c r="D32" s="492"/>
      <c r="E32" s="874" t="s">
        <v>340</v>
      </c>
      <c r="F32" s="62" t="str" cm="1">
        <f t="array" aca="1" ref="F32" ca="1">OFFSET(E32,-1,1)</f>
        <v>1</v>
      </c>
      <c r="G32" s="67" t="s">
        <v>348</v>
      </c>
      <c r="H32" s="492"/>
      <c r="I32" s="492"/>
      <c r="J32" s="492"/>
      <c r="K32" s="492"/>
      <c r="L32" s="492"/>
      <c r="M32" s="492"/>
      <c r="N32" s="492"/>
      <c r="O32" s="492"/>
      <c r="P32" s="677"/>
      <c r="Q32" s="870"/>
      <c r="R32" s="492"/>
      <c r="S32" s="492"/>
      <c r="T32" s="1194"/>
      <c r="U32" s="390" t="b" cm="1">
        <f t="array" ref="U32">U29</f>
        <v>1</v>
      </c>
      <c r="V32" s="492"/>
      <c r="W32" s="492"/>
      <c r="X32" s="677" t="s">
        <v>349</v>
      </c>
      <c r="Y32" s="2009"/>
      <c r="Z32" s="2010"/>
      <c r="AA32" s="391"/>
      <c r="AB32" s="94"/>
      <c r="AC32" s="178" t="s">
        <v>350</v>
      </c>
      <c r="AD32" s="95"/>
      <c r="AE32" s="95"/>
      <c r="AF32" s="95"/>
      <c r="AG32" s="96"/>
      <c r="AH32" s="33"/>
      <c r="AI32" s="492"/>
      <c r="AJ32" s="492"/>
      <c r="AK32" s="492"/>
      <c r="AL32" s="492"/>
      <c r="AM32" s="492"/>
      <c r="AN32" s="67" t="s">
        <v>347</v>
      </c>
      <c r="AO32" s="492"/>
      <c r="AP32" s="33"/>
      <c r="AQ32" s="33"/>
      <c r="AR32" s="33"/>
    </row>
    <row r="33" spans="1:44" s="1334" customFormat="1" ht="15" customHeight="1" x14ac:dyDescent="0.15">
      <c r="A33" s="492"/>
      <c r="B33" s="1088"/>
      <c r="C33" s="492"/>
      <c r="D33" s="492"/>
      <c r="E33" s="874" t="s">
        <v>340</v>
      </c>
      <c r="F33" s="62" t="str" cm="1">
        <f t="array" ref="F33">Y33</f>
        <v>2</v>
      </c>
      <c r="G33" s="492"/>
      <c r="H33" s="492"/>
      <c r="I33" s="492"/>
      <c r="J33" s="492"/>
      <c r="K33" s="492"/>
      <c r="L33" s="492"/>
      <c r="M33" s="492"/>
      <c r="N33" s="492"/>
      <c r="O33" s="492"/>
      <c r="P33" s="492"/>
      <c r="Q33" s="870"/>
      <c r="R33" s="492"/>
      <c r="S33" s="492"/>
      <c r="T33" s="1194"/>
      <c r="U33" s="390" t="b">
        <f>Y33&gt;0</f>
        <v>1</v>
      </c>
      <c r="V33" s="393"/>
      <c r="W33" s="394" t="str" cm="1">
        <f t="array" ref="W33">'Общие сведения'!$AG$214</f>
        <v>Тариф 2 (Водоотведение) - тариф на водоотведение</v>
      </c>
      <c r="X33" s="393"/>
      <c r="Y33" s="2009" t="s">
        <v>289</v>
      </c>
      <c r="Z33" s="2010"/>
      <c r="AA33" s="879"/>
      <c r="AB33" s="99" t="str" cm="1">
        <f t="array" ref="AB33">'Общие сведения'!$AG$214</f>
        <v>Тариф 2 (Водоотведение) - тариф на водоотведение</v>
      </c>
      <c r="AC33" s="93"/>
      <c r="AD33" s="93"/>
      <c r="AE33" s="93"/>
      <c r="AF33" s="93"/>
      <c r="AG33" s="93"/>
      <c r="AH33" s="33"/>
      <c r="AI33" s="492"/>
      <c r="AJ33" s="492"/>
      <c r="AK33" s="492"/>
      <c r="AL33" s="492"/>
      <c r="AM33" s="492"/>
      <c r="AN33" s="492"/>
      <c r="AO33" s="492"/>
      <c r="AP33" s="33"/>
      <c r="AQ33" s="33"/>
      <c r="AR33" s="33"/>
    </row>
    <row r="34" spans="1:44" s="1334" customFormat="1" ht="15" hidden="1" customHeight="1" x14ac:dyDescent="0.15">
      <c r="A34" s="492"/>
      <c r="B34" s="1088"/>
      <c r="C34" s="492"/>
      <c r="D34" s="492"/>
      <c r="E34" s="874" t="s">
        <v>340</v>
      </c>
      <c r="F34" s="62" t="str" cm="1">
        <f t="array" aca="1" ref="F34" ca="1">OFFSET(E34,-1,1)</f>
        <v>2</v>
      </c>
      <c r="G34" s="67" cm="1">
        <f t="array" ref="G34">AB34</f>
        <v>0</v>
      </c>
      <c r="H34" s="492"/>
      <c r="I34" s="492"/>
      <c r="J34" s="492"/>
      <c r="K34" s="492"/>
      <c r="L34" s="492"/>
      <c r="M34" s="492"/>
      <c r="N34" s="492"/>
      <c r="O34" s="492"/>
      <c r="P34" s="492"/>
      <c r="Q34" s="870"/>
      <c r="R34" s="492"/>
      <c r="S34" s="492"/>
      <c r="T34" s="880"/>
      <c r="U34" s="390" t="b">
        <f ca="1">AND(F34&gt;0,AB34&gt;0)</f>
        <v>0</v>
      </c>
      <c r="V34" s="395"/>
      <c r="W34" s="396"/>
      <c r="X34" s="677" t="s">
        <v>172</v>
      </c>
      <c r="Y34" s="2009"/>
      <c r="Z34" s="2010"/>
      <c r="AA34" s="586" t="s">
        <v>173</v>
      </c>
      <c r="AB34" s="570">
        <v>0</v>
      </c>
      <c r="AC34" s="678"/>
      <c r="AD34" s="98"/>
      <c r="AE34" s="98"/>
      <c r="AF34" s="1354"/>
      <c r="AG34" s="1355"/>
      <c r="AH34" s="33"/>
      <c r="AI34" s="67" t="s">
        <v>346</v>
      </c>
      <c r="AJ34" s="67" t="s">
        <v>347</v>
      </c>
      <c r="AK34" s="67" cm="1">
        <f t="array" ref="AK34">AC34</f>
        <v>0</v>
      </c>
      <c r="AL34" s="67" cm="1">
        <f t="array" ref="AL34">AD34</f>
        <v>0</v>
      </c>
      <c r="AM34" s="67" cm="1">
        <f t="array" ref="AM34">AE34</f>
        <v>0</v>
      </c>
      <c r="AN34" s="492"/>
      <c r="AO34" s="67" t="b">
        <v>1</v>
      </c>
      <c r="AP34" s="33"/>
      <c r="AQ34" s="33"/>
      <c r="AR34" s="33"/>
    </row>
    <row r="35" spans="1:44" s="1334" customFormat="1" ht="18.75" customHeight="1" x14ac:dyDescent="0.15">
      <c r="A35" s="492"/>
      <c r="B35" s="1088"/>
      <c r="C35" s="492"/>
      <c r="D35" s="492"/>
      <c r="E35" s="874" t="s">
        <v>340</v>
      </c>
      <c r="F35" s="62" t="str" cm="1">
        <f t="array" aca="1" ref="F35" ca="1">OFFSET(E35,-1,1)</f>
        <v>2</v>
      </c>
      <c r="G35" s="67" t="str" cm="1">
        <f t="array" ref="G35">AB35</f>
        <v>1</v>
      </c>
      <c r="H35" s="492"/>
      <c r="I35" s="492"/>
      <c r="J35" s="492"/>
      <c r="K35" s="492"/>
      <c r="L35" s="492"/>
      <c r="M35" s="492"/>
      <c r="N35" s="492"/>
      <c r="O35" s="492"/>
      <c r="P35" s="492"/>
      <c r="Q35" s="870"/>
      <c r="R35" s="492"/>
      <c r="S35" s="492"/>
      <c r="T35" s="880"/>
      <c r="U35" s="390" t="b">
        <f ca="1">AND(F35&gt;0,AB35&gt;0)</f>
        <v>1</v>
      </c>
      <c r="V35" s="395"/>
      <c r="W35" s="396"/>
      <c r="X35" s="677"/>
      <c r="Y35" s="2009"/>
      <c r="Z35" s="2010"/>
      <c r="AA35" s="586" t="s">
        <v>173</v>
      </c>
      <c r="AB35" s="570" t="s">
        <v>282</v>
      </c>
      <c r="AC35" s="678" t="s">
        <v>351</v>
      </c>
      <c r="AD35" s="98" t="s">
        <v>351</v>
      </c>
      <c r="AE35" s="98" t="s">
        <v>352</v>
      </c>
      <c r="AF35" s="851"/>
      <c r="AG35" s="115"/>
      <c r="AH35" s="33"/>
      <c r="AI35" s="67" t="s">
        <v>346</v>
      </c>
      <c r="AJ35" s="67" t="s">
        <v>347</v>
      </c>
      <c r="AK35" s="67" t="str" cm="1">
        <f t="array" ref="AK35">AC35</f>
        <v>город Анжеро-Судженск</v>
      </c>
      <c r="AL35" s="67" t="str" cm="1">
        <f t="array" ref="AL35">AD35</f>
        <v>город Анжеро-Судженск</v>
      </c>
      <c r="AM35" s="67" t="str" cm="1">
        <f t="array" ref="AM35">AE35</f>
        <v>32704000</v>
      </c>
      <c r="AN35" s="492"/>
      <c r="AO35" s="67" t="b">
        <v>1</v>
      </c>
      <c r="AP35" s="33"/>
      <c r="AQ35" s="33"/>
      <c r="AR35" s="33"/>
    </row>
    <row r="36" spans="1:44" s="1334" customFormat="1" ht="15" customHeight="1" x14ac:dyDescent="0.15">
      <c r="A36" s="492"/>
      <c r="B36" s="1088"/>
      <c r="C36" s="492"/>
      <c r="D36" s="492"/>
      <c r="E36" s="874" t="s">
        <v>340</v>
      </c>
      <c r="F36" s="62" t="str" cm="1">
        <f t="array" aca="1" ref="F36" ca="1">OFFSET(E36,-1,1)</f>
        <v>2</v>
      </c>
      <c r="G36" s="67" t="s">
        <v>348</v>
      </c>
      <c r="H36" s="492"/>
      <c r="I36" s="492"/>
      <c r="J36" s="492"/>
      <c r="K36" s="492"/>
      <c r="L36" s="492"/>
      <c r="M36" s="492"/>
      <c r="N36" s="492"/>
      <c r="O36" s="492"/>
      <c r="P36" s="677"/>
      <c r="Q36" s="870"/>
      <c r="R36" s="492"/>
      <c r="S36" s="492"/>
      <c r="T36" s="1194"/>
      <c r="U36" s="390" t="b" cm="1">
        <f t="array" ref="U36">U33</f>
        <v>1</v>
      </c>
      <c r="V36" s="492"/>
      <c r="W36" s="492"/>
      <c r="X36" s="677" t="s">
        <v>349</v>
      </c>
      <c r="Y36" s="2009"/>
      <c r="Z36" s="2010"/>
      <c r="AA36" s="391"/>
      <c r="AB36" s="94"/>
      <c r="AC36" s="178" t="s">
        <v>350</v>
      </c>
      <c r="AD36" s="95"/>
      <c r="AE36" s="95"/>
      <c r="AF36" s="95"/>
      <c r="AG36" s="96"/>
      <c r="AH36" s="33"/>
      <c r="AI36" s="492"/>
      <c r="AJ36" s="492"/>
      <c r="AK36" s="492"/>
      <c r="AL36" s="492"/>
      <c r="AM36" s="492"/>
      <c r="AN36" s="67" t="s">
        <v>347</v>
      </c>
      <c r="AO36" s="492"/>
      <c r="AP36" s="33"/>
      <c r="AQ36" s="33"/>
      <c r="AR36" s="33"/>
    </row>
    <row r="37" spans="1:44" s="1334" customFormat="1" ht="14.25" customHeight="1" x14ac:dyDescent="0.15">
      <c r="A37" s="422"/>
      <c r="B37" s="582"/>
      <c r="C37" s="422"/>
      <c r="D37" s="422"/>
      <c r="E37" s="785" t="s">
        <v>342</v>
      </c>
      <c r="F37" s="405"/>
      <c r="G37" s="422"/>
      <c r="H37" s="422"/>
      <c r="I37" s="422"/>
      <c r="J37" s="422"/>
      <c r="K37" s="422"/>
      <c r="L37" s="422"/>
      <c r="M37" s="422"/>
      <c r="N37" s="422"/>
      <c r="O37" s="422"/>
      <c r="P37" s="422"/>
      <c r="Q37" s="422"/>
      <c r="R37" s="422"/>
      <c r="S37" s="422"/>
      <c r="T37" s="422"/>
      <c r="U37" s="392"/>
      <c r="V37" s="397" t="s">
        <v>176</v>
      </c>
      <c r="W37" s="677" t="s">
        <v>353</v>
      </c>
      <c r="X37" s="422"/>
      <c r="Y37" s="422"/>
      <c r="Z37" s="422"/>
      <c r="AA37" s="422"/>
      <c r="AC37" s="19"/>
      <c r="AD37" s="19"/>
      <c r="AE37" s="19"/>
      <c r="AF37" s="19"/>
      <c r="AH37"/>
      <c r="AI37" s="422"/>
      <c r="AJ37" s="422"/>
      <c r="AK37" s="422"/>
      <c r="AL37" s="422"/>
      <c r="AM37" s="422"/>
      <c r="AN37" s="422"/>
      <c r="AO37" s="422"/>
      <c r="AQ37" s="20"/>
    </row>
    <row r="38" spans="1:44" s="1334" customFormat="1" ht="11.25" hidden="1" customHeight="1" x14ac:dyDescent="0.15">
      <c r="A38" s="422"/>
      <c r="B38" s="582"/>
      <c r="C38" s="422"/>
      <c r="D38" s="422"/>
      <c r="E38" s="583"/>
      <c r="F38" s="881"/>
      <c r="G38" s="422"/>
      <c r="H38" s="422"/>
      <c r="I38" s="422"/>
      <c r="J38" s="422"/>
      <c r="K38" s="422"/>
      <c r="L38" s="422"/>
      <c r="M38" s="422"/>
      <c r="N38" s="422"/>
      <c r="O38" s="422"/>
      <c r="P38" s="422"/>
      <c r="Q38" s="422"/>
      <c r="R38" s="422"/>
      <c r="S38" s="422"/>
      <c r="T38" s="422"/>
      <c r="U38" s="392"/>
      <c r="V38" s="422"/>
      <c r="W38" s="422"/>
      <c r="X38" s="422"/>
      <c r="Y38" s="422"/>
      <c r="Z38" s="422"/>
      <c r="AA38" s="422"/>
      <c r="AC38" s="19"/>
      <c r="AD38" s="19"/>
      <c r="AE38" s="19"/>
      <c r="AF38" s="19"/>
      <c r="AG38" s="19"/>
      <c r="AI38" s="422"/>
      <c r="AJ38" s="422"/>
      <c r="AK38" s="422"/>
      <c r="AL38" s="422"/>
      <c r="AM38" s="422"/>
      <c r="AN38" s="422"/>
      <c r="AO38" s="422"/>
      <c r="AR38" s="20"/>
    </row>
  </sheetData>
  <sheetProtection formatColumns="0" formatRows="0" insertRows="0" deleteColumns="0" deleteRows="0" sort="0" autoFilter="0"/>
  <mergeCells count="7">
    <mergeCell ref="Y33:Y36"/>
    <mergeCell ref="Z33:Z36"/>
    <mergeCell ref="AB22:AG22"/>
    <mergeCell ref="Y26:Y28"/>
    <mergeCell ref="Z26:Z28"/>
    <mergeCell ref="Y29:Y32"/>
    <mergeCell ref="Z29:Z32"/>
  </mergeCells>
  <dataValidations count="10">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xr:uid="{00000000-0002-0000-0500-000000000000}">
      <formula1>MO_LIST_12</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xr:uid="{00000000-0002-0000-0500-000001000000}">
      <formula1>DOCUMENT_TYPES</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xr:uid="{00000000-0002-0000-0500-000002000000}">
      <formula1>MR_LIST</formula1>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xr:uid="{00000000-0002-0000-0500-000003000000}">
      <formula1>MONTH_LIST</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xr:uid="{00000000-0002-0000-0500-000004000000}">
      <formula1>1</formula1>
      <formula2>31</formula2>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xr:uid="{00000000-0002-0000-0500-000005000000}">
      <formula1>YES_NO</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xr:uid="{00000000-0002-0000-0500-000006000000}">
      <formula1>YES_NO</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xr:uid="{00000000-0002-0000-0500-000007000000}">
      <formula1>TF_END_YEAR_LIST</formula1>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xr:uid="{00000000-0002-0000-0500-000008000000}">
      <formula1>TF_START_YEAR_LIST</formula1>
    </dataValidation>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xr:uid="{00000000-0002-0000-0500-000009000000}">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F9208-45D8-8C78-6548-31AAC2816328}">
  <sheetPr>
    <tabColor theme="3" tint="0.59999389629810485"/>
    <outlinePr summaryBelow="0" summaryRight="0"/>
    <pageSetUpPr fitToPage="1"/>
  </sheetPr>
  <dimension ref="A1:BE69"/>
  <sheetViews>
    <sheetView showGridLines="0" workbookViewId="0">
      <pane xSplit="31" ySplit="25" topLeftCell="AF42" activePane="bottomRight" state="frozen"/>
      <selection pane="topRight" activeCell="AF1" sqref="AF1"/>
      <selection pane="bottomLeft" activeCell="A26" sqref="A26"/>
      <selection pane="bottomRight" activeCell="AG57" sqref="AG57:AI59"/>
    </sheetView>
  </sheetViews>
  <sheetFormatPr defaultColWidth="8.7109375" defaultRowHeight="11.25" customHeight="1" x14ac:dyDescent="0.15"/>
  <cols>
    <col min="1" max="1" width="3.5703125" style="33" hidden="1" customWidth="1"/>
    <col min="2" max="2" width="8.5703125" style="1088" hidden="1" customWidth="1"/>
    <col min="3" max="4" width="3.5703125" style="33" hidden="1" customWidth="1"/>
    <col min="5" max="5" width="3.5703125" style="559" hidden="1" customWidth="1"/>
    <col min="6" max="7" width="4" style="33" hidden="1" customWidth="1"/>
    <col min="8" max="9" width="3.5703125" style="33" hidden="1" customWidth="1"/>
    <col min="10" max="10" width="12.42578125" style="33" hidden="1" customWidth="1"/>
    <col min="11" max="11" width="9.7109375" style="33" hidden="1" customWidth="1"/>
    <col min="12" max="16" width="3.5703125" style="33" hidden="1" customWidth="1"/>
    <col min="17" max="17" width="5.5703125" style="33" hidden="1" customWidth="1"/>
    <col min="18" max="19" width="3.5703125" style="33" hidden="1" customWidth="1"/>
    <col min="20" max="20" width="3.5703125" style="1334" hidden="1" customWidth="1"/>
    <col min="21" max="21" width="6.140625" style="1334" hidden="1" customWidth="1"/>
    <col min="22" max="22" width="10.140625" style="1334" hidden="1" customWidth="1"/>
    <col min="23" max="23" width="5.85546875" style="1334" hidden="1" customWidth="1"/>
    <col min="24" max="25" width="6.140625" style="1334" hidden="1" customWidth="1"/>
    <col min="26" max="26" width="5.5703125" style="1334" hidden="1" customWidth="1"/>
    <col min="27" max="27" width="5.28515625" style="1334" hidden="1" customWidth="1"/>
    <col min="28" max="28" width="3" style="33" customWidth="1"/>
    <col min="29" max="29" width="11" style="33" customWidth="1"/>
    <col min="30" max="30" width="70" style="33" customWidth="1"/>
    <col min="31" max="31" width="15" style="33" customWidth="1"/>
    <col min="32" max="32" width="20" style="33" customWidth="1"/>
    <col min="33" max="33" width="20" style="39" customWidth="1"/>
    <col min="34" max="35" width="20" style="33" customWidth="1"/>
    <col min="36" max="36" width="20" style="39" customWidth="1"/>
    <col min="37" max="37" width="3.7109375" style="33" customWidth="1"/>
    <col min="38" max="38" width="8.7109375" style="33" hidden="1"/>
    <col min="39" max="42" width="8.7109375" style="912" hidden="1"/>
    <col min="43" max="44" width="8.7109375" style="551" hidden="1"/>
    <col min="45" max="57" width="8.7109375" style="33" hidden="1"/>
  </cols>
  <sheetData>
    <row r="1" spans="1:44" s="492" customFormat="1" ht="11.25" hidden="1" customHeight="1" x14ac:dyDescent="0.15">
      <c r="B1" s="351"/>
      <c r="E1" s="786"/>
      <c r="F1" s="67" t="s">
        <v>319</v>
      </c>
      <c r="H1" s="67" t="s">
        <v>330</v>
      </c>
      <c r="J1" s="67" t="s">
        <v>354</v>
      </c>
      <c r="P1" s="67" t="s">
        <v>355</v>
      </c>
      <c r="T1" s="871"/>
      <c r="U1" s="390" t="s">
        <v>321</v>
      </c>
      <c r="V1" s="388" t="s">
        <v>92</v>
      </c>
      <c r="W1" s="388" t="s">
        <v>97</v>
      </c>
      <c r="X1" s="388" t="s">
        <v>93</v>
      </c>
      <c r="Y1" s="388" t="s">
        <v>94</v>
      </c>
      <c r="Z1" s="388" t="s">
        <v>95</v>
      </c>
      <c r="AA1" s="388" t="s">
        <v>99</v>
      </c>
      <c r="AB1" s="390" t="s">
        <v>96</v>
      </c>
      <c r="AC1" s="390"/>
      <c r="AD1" s="390" t="s">
        <v>98</v>
      </c>
      <c r="AG1" s="123"/>
      <c r="AJ1" s="123"/>
      <c r="AM1" s="903" t="s">
        <v>322</v>
      </c>
      <c r="AN1" s="903" t="s">
        <v>323</v>
      </c>
      <c r="AO1" s="903" t="s">
        <v>324</v>
      </c>
      <c r="AP1" s="903" t="s">
        <v>356</v>
      </c>
      <c r="AQ1" s="874" t="s">
        <v>327</v>
      </c>
      <c r="AR1" s="874" t="s">
        <v>328</v>
      </c>
    </row>
    <row r="2" spans="1:44" s="1088" customFormat="1" ht="11.25" hidden="1" customHeight="1" x14ac:dyDescent="0.15">
      <c r="B2" s="872" t="s">
        <v>18</v>
      </c>
      <c r="T2" s="579"/>
      <c r="U2" s="579"/>
      <c r="V2" s="579"/>
      <c r="W2" s="579"/>
      <c r="X2" s="579"/>
      <c r="Y2" s="579"/>
      <c r="Z2" s="579"/>
      <c r="AA2" s="579"/>
      <c r="AF2" s="872" t="b">
        <f>method_reg&lt;&gt;"Метод сравнения аналогов"</f>
        <v>1</v>
      </c>
      <c r="AG2" s="872" t="b">
        <f>method_reg&lt;&gt;"Метод сравнения аналогов"</f>
        <v>1</v>
      </c>
      <c r="AM2" s="902"/>
      <c r="AN2" s="902"/>
      <c r="AO2" s="902"/>
      <c r="AP2" s="902"/>
      <c r="AQ2" s="911"/>
      <c r="AR2" s="911"/>
    </row>
    <row r="3" spans="1:44" s="492" customFormat="1" ht="11.25" hidden="1" customHeight="1" x14ac:dyDescent="0.15">
      <c r="B3" s="351"/>
      <c r="E3" s="786"/>
      <c r="T3" s="871"/>
      <c r="U3" s="871"/>
      <c r="V3" s="871"/>
      <c r="W3" s="871"/>
      <c r="X3" s="871"/>
      <c r="Y3" s="871"/>
      <c r="Z3" s="871"/>
      <c r="AA3" s="871"/>
      <c r="AG3" s="123"/>
      <c r="AJ3" s="123"/>
      <c r="AM3" s="903"/>
      <c r="AN3" s="903"/>
      <c r="AO3" s="903"/>
      <c r="AP3" s="903"/>
      <c r="AQ3" s="874"/>
      <c r="AR3" s="874"/>
    </row>
    <row r="4" spans="1:44" s="492" customFormat="1" ht="11.25" hidden="1" customHeight="1" x14ac:dyDescent="0.15">
      <c r="B4" s="351"/>
      <c r="E4" s="786"/>
      <c r="T4" s="871"/>
      <c r="U4" s="871"/>
      <c r="V4" s="871"/>
      <c r="W4" s="871"/>
      <c r="X4" s="871"/>
      <c r="Y4" s="871"/>
      <c r="Z4" s="871"/>
      <c r="AA4" s="871"/>
      <c r="AG4" s="123"/>
      <c r="AJ4" s="123"/>
      <c r="AM4" s="903"/>
      <c r="AN4" s="903"/>
      <c r="AO4" s="903"/>
      <c r="AP4" s="903"/>
      <c r="AQ4" s="874"/>
      <c r="AR4" s="874"/>
    </row>
    <row r="5" spans="1:44" s="794" customFormat="1" ht="11.25" hidden="1" customHeight="1" x14ac:dyDescent="0.15">
      <c r="A5" s="786"/>
      <c r="B5" s="351"/>
      <c r="C5" s="786"/>
      <c r="D5" s="786"/>
      <c r="E5" s="787" t="s">
        <v>19</v>
      </c>
      <c r="T5" s="899"/>
      <c r="U5" s="899"/>
      <c r="V5" s="899"/>
      <c r="W5" s="899"/>
      <c r="X5" s="899"/>
      <c r="Y5" s="899"/>
      <c r="Z5" s="899"/>
      <c r="AA5" s="899"/>
      <c r="AB5" s="545">
        <v>3</v>
      </c>
      <c r="AC5" s="545">
        <v>11</v>
      </c>
      <c r="AD5" s="545">
        <v>70</v>
      </c>
      <c r="AE5" s="545">
        <v>15</v>
      </c>
      <c r="AF5" s="545">
        <v>20</v>
      </c>
      <c r="AG5" s="545">
        <v>20</v>
      </c>
      <c r="AH5" s="545">
        <v>20</v>
      </c>
      <c r="AI5" s="545">
        <v>20</v>
      </c>
      <c r="AJ5" s="545">
        <v>20</v>
      </c>
      <c r="AK5" s="787" t="s">
        <v>329</v>
      </c>
      <c r="AM5" s="904"/>
      <c r="AN5" s="904"/>
      <c r="AO5" s="904"/>
      <c r="AP5" s="904"/>
    </row>
    <row r="6" spans="1:44" s="492" customFormat="1" ht="11.25" hidden="1" customHeight="1" x14ac:dyDescent="0.15">
      <c r="A6" s="67" t="s">
        <v>357</v>
      </c>
      <c r="B6" s="351"/>
      <c r="E6" s="787"/>
      <c r="T6" s="871"/>
      <c r="U6" s="871"/>
      <c r="V6" s="871"/>
      <c r="W6" s="871"/>
      <c r="X6" s="871"/>
      <c r="Y6" s="871"/>
      <c r="Z6" s="871"/>
      <c r="AA6" s="871"/>
      <c r="AF6" s="67">
        <f>god-2</f>
        <v>2024</v>
      </c>
      <c r="AG6" s="67">
        <f>god-1</f>
        <v>2025</v>
      </c>
      <c r="AH6" s="67" cm="1">
        <f t="array" ref="AH6">god</f>
        <v>2026</v>
      </c>
      <c r="AI6" s="67" cm="1">
        <f t="array" ref="AI6">god</f>
        <v>2026</v>
      </c>
      <c r="AJ6" s="67" cm="1">
        <f t="array" ref="AJ6">god</f>
        <v>2026</v>
      </c>
      <c r="AM6" s="903"/>
      <c r="AN6" s="903"/>
      <c r="AO6" s="903"/>
      <c r="AP6" s="903"/>
      <c r="AQ6" s="874"/>
      <c r="AR6" s="874"/>
    </row>
    <row r="7" spans="1:44" s="492" customFormat="1" ht="11.25" hidden="1" customHeight="1" x14ac:dyDescent="0.15">
      <c r="A7" s="67" t="s">
        <v>358</v>
      </c>
      <c r="B7" s="351"/>
      <c r="E7" s="787"/>
      <c r="T7" s="871"/>
      <c r="U7" s="871"/>
      <c r="V7" s="871"/>
      <c r="W7" s="871"/>
      <c r="X7" s="871"/>
      <c r="Y7" s="871"/>
      <c r="Z7" s="871"/>
      <c r="AA7" s="871"/>
      <c r="AF7" s="289" t="str" cm="1">
        <f t="array" ref="AF7">AF25</f>
        <v>Принято органом регулирования</v>
      </c>
      <c r="AG7" s="289" t="s">
        <v>359</v>
      </c>
      <c r="AH7" s="290" t="s">
        <v>360</v>
      </c>
      <c r="AI7" s="290" t="s">
        <v>359</v>
      </c>
      <c r="AJ7" s="289" t="s">
        <v>361</v>
      </c>
      <c r="AM7" s="903"/>
      <c r="AN7" s="903"/>
      <c r="AO7" s="903"/>
      <c r="AP7" s="903"/>
      <c r="AQ7" s="874"/>
      <c r="AR7" s="874"/>
    </row>
    <row r="8" spans="1:44" s="492" customFormat="1" ht="11.25" hidden="1" customHeight="1" x14ac:dyDescent="0.15">
      <c r="B8" s="351"/>
      <c r="E8" s="787"/>
      <c r="T8" s="871"/>
      <c r="U8" s="871"/>
      <c r="V8" s="871"/>
      <c r="W8" s="871"/>
      <c r="X8" s="871"/>
      <c r="Y8" s="871"/>
      <c r="Z8" s="871"/>
      <c r="AA8" s="871"/>
      <c r="AG8" s="123"/>
      <c r="AJ8" s="123"/>
      <c r="AM8" s="903"/>
      <c r="AN8" s="903"/>
      <c r="AO8" s="903"/>
      <c r="AP8" s="903"/>
      <c r="AQ8" s="874"/>
      <c r="AR8" s="874"/>
    </row>
    <row r="9" spans="1:44" s="903" customFormat="1" ht="11.25" hidden="1" customHeight="1" x14ac:dyDescent="0.15">
      <c r="A9" s="903" t="s">
        <v>362</v>
      </c>
      <c r="B9" s="902"/>
      <c r="E9" s="904"/>
      <c r="T9" s="905"/>
      <c r="U9" s="905"/>
      <c r="V9" s="905"/>
      <c r="W9" s="905"/>
      <c r="X9" s="905"/>
      <c r="Y9" s="905"/>
      <c r="Z9" s="905"/>
      <c r="AA9" s="905"/>
      <c r="AF9" s="903" cm="1">
        <f t="array" ref="AF9">AF6</f>
        <v>2024</v>
      </c>
      <c r="AG9" s="903" cm="1">
        <f t="array" ref="AG9">AG6</f>
        <v>2025</v>
      </c>
      <c r="AH9" s="903" cm="1">
        <f t="array" ref="AH9">AH6</f>
        <v>2026</v>
      </c>
      <c r="AI9" s="903" cm="1">
        <f t="array" ref="AI9">AI6</f>
        <v>2026</v>
      </c>
      <c r="AQ9" s="874"/>
      <c r="AR9" s="874"/>
    </row>
    <row r="10" spans="1:44" s="903" customFormat="1" ht="11.25" hidden="1" customHeight="1" x14ac:dyDescent="0.15">
      <c r="A10" s="903" t="s">
        <v>363</v>
      </c>
      <c r="B10" s="902"/>
      <c r="E10" s="904"/>
      <c r="T10" s="905"/>
      <c r="U10" s="905"/>
      <c r="V10" s="905"/>
      <c r="W10" s="905"/>
      <c r="X10" s="905"/>
      <c r="Y10" s="905"/>
      <c r="Z10" s="905"/>
      <c r="AA10" s="905"/>
      <c r="AF10" s="903" t="str" cm="1">
        <f t="array" ref="AF10">AF25</f>
        <v>Принято органом регулирования</v>
      </c>
      <c r="AG10" s="903" t="str" cm="1">
        <f t="array" ref="AG10">AG25</f>
        <v>Принято органом регулирования</v>
      </c>
      <c r="AH10" s="903" t="str" cm="1">
        <f t="array" ref="AH10">AH25</f>
        <v>Предложение организации</v>
      </c>
      <c r="AI10" s="903" t="str" cm="1">
        <f t="array" ref="AI10">AI25</f>
        <v>Принято органом регулирования</v>
      </c>
      <c r="AQ10" s="874"/>
      <c r="AR10" s="874"/>
    </row>
    <row r="11" spans="1:44" s="903" customFormat="1" ht="11.25" hidden="1" customHeight="1" x14ac:dyDescent="0.15">
      <c r="A11" s="903" t="s">
        <v>364</v>
      </c>
      <c r="B11" s="902"/>
      <c r="E11" s="904"/>
      <c r="T11" s="905"/>
      <c r="U11" s="905"/>
      <c r="V11" s="905"/>
      <c r="W11" s="905"/>
      <c r="X11" s="905"/>
      <c r="Y11" s="905"/>
      <c r="Z11" s="905"/>
      <c r="AA11" s="905"/>
      <c r="AG11" s="901"/>
      <c r="AJ11" s="901" t="str" cm="1">
        <f t="array" ref="AJ11">AJ24</f>
        <v>Комментарии</v>
      </c>
      <c r="AQ11" s="874"/>
      <c r="AR11" s="874"/>
    </row>
    <row r="12" spans="1:44" s="903" customFormat="1" ht="11.25" hidden="1" customHeight="1" x14ac:dyDescent="0.15">
      <c r="A12" s="903" t="s">
        <v>337</v>
      </c>
      <c r="B12" s="902"/>
      <c r="E12" s="904"/>
      <c r="T12" s="905"/>
      <c r="U12" s="905"/>
      <c r="V12" s="905"/>
      <c r="W12" s="905"/>
      <c r="X12" s="905"/>
      <c r="Y12" s="905"/>
      <c r="Z12" s="905"/>
      <c r="AA12" s="905"/>
      <c r="AB12" s="905"/>
      <c r="AD12" s="903" t="s">
        <v>324</v>
      </c>
      <c r="AE12" s="903" t="s">
        <v>356</v>
      </c>
      <c r="AG12" s="901"/>
      <c r="AJ12" s="901"/>
      <c r="AQ12" s="874"/>
      <c r="AR12" s="874"/>
    </row>
    <row r="13" spans="1:44" s="492" customFormat="1" ht="11.25" hidden="1" customHeight="1" x14ac:dyDescent="0.15">
      <c r="B13" s="351"/>
      <c r="E13" s="787"/>
      <c r="T13" s="871"/>
      <c r="U13" s="871"/>
      <c r="V13" s="871"/>
      <c r="W13" s="871"/>
      <c r="X13" s="871"/>
      <c r="Y13" s="871"/>
      <c r="Z13" s="871"/>
      <c r="AA13" s="871"/>
      <c r="AB13" s="871"/>
      <c r="AC13" s="871"/>
      <c r="AD13" s="900"/>
      <c r="AE13" s="900"/>
      <c r="AF13" s="900"/>
      <c r="AG13" s="900"/>
      <c r="AJ13" s="900"/>
      <c r="AM13" s="903"/>
      <c r="AN13" s="903"/>
      <c r="AO13" s="903"/>
      <c r="AP13" s="903"/>
      <c r="AQ13" s="874"/>
      <c r="AR13" s="874"/>
    </row>
    <row r="14" spans="1:44" s="492" customFormat="1" ht="11.25" hidden="1" customHeight="1" x14ac:dyDescent="0.15">
      <c r="B14" s="351"/>
      <c r="E14" s="787"/>
      <c r="T14" s="871"/>
      <c r="U14" s="871"/>
      <c r="V14" s="871"/>
      <c r="W14" s="871"/>
      <c r="X14" s="871"/>
      <c r="Y14" s="871"/>
      <c r="Z14" s="871"/>
      <c r="AA14" s="871"/>
      <c r="AB14" s="871"/>
      <c r="AC14" s="871"/>
      <c r="AD14" s="900"/>
      <c r="AE14" s="900"/>
      <c r="AF14" s="900"/>
      <c r="AG14" s="900"/>
      <c r="AJ14" s="900"/>
      <c r="AM14" s="903"/>
      <c r="AN14" s="903"/>
      <c r="AO14" s="903"/>
      <c r="AP14" s="903"/>
      <c r="AQ14" s="874"/>
      <c r="AR14" s="874"/>
    </row>
    <row r="15" spans="1:44" s="492" customFormat="1" ht="11.25" hidden="1" customHeight="1" x14ac:dyDescent="0.15">
      <c r="B15" s="351"/>
      <c r="E15" s="787"/>
      <c r="T15" s="871"/>
      <c r="U15" s="871"/>
      <c r="V15" s="871"/>
      <c r="W15" s="871"/>
      <c r="X15" s="871"/>
      <c r="Y15" s="871"/>
      <c r="Z15" s="871"/>
      <c r="AA15" s="871"/>
      <c r="AB15" s="871"/>
      <c r="AC15" s="871"/>
      <c r="AD15" s="900"/>
      <c r="AE15" s="900"/>
      <c r="AF15" s="900"/>
      <c r="AG15" s="900"/>
      <c r="AJ15" s="900"/>
      <c r="AM15" s="903"/>
      <c r="AN15" s="903"/>
      <c r="AO15" s="903"/>
      <c r="AP15" s="903"/>
      <c r="AQ15" s="874"/>
      <c r="AR15" s="874"/>
    </row>
    <row r="16" spans="1:44" s="492" customFormat="1" ht="11.25" hidden="1" customHeight="1" x14ac:dyDescent="0.15">
      <c r="B16" s="351"/>
      <c r="E16" s="787"/>
      <c r="T16" s="871"/>
      <c r="U16" s="871"/>
      <c r="V16" s="871"/>
      <c r="W16" s="871"/>
      <c r="X16" s="871"/>
      <c r="Y16" s="871"/>
      <c r="Z16" s="871"/>
      <c r="AA16" s="871"/>
      <c r="AB16" s="871"/>
      <c r="AC16" s="871"/>
      <c r="AD16" s="900"/>
      <c r="AE16" s="900"/>
      <c r="AF16" s="900"/>
      <c r="AG16" s="900"/>
      <c r="AJ16" s="900"/>
      <c r="AM16" s="903"/>
      <c r="AN16" s="903"/>
      <c r="AO16" s="903"/>
      <c r="AP16" s="903"/>
      <c r="AQ16" s="874"/>
      <c r="AR16" s="874"/>
    </row>
    <row r="17" spans="1:44" s="492" customFormat="1" ht="11.25" hidden="1" customHeight="1" x14ac:dyDescent="0.15">
      <c r="B17" s="351"/>
      <c r="E17" s="787"/>
      <c r="T17" s="871"/>
      <c r="U17" s="871"/>
      <c r="V17" s="871"/>
      <c r="W17" s="871"/>
      <c r="X17" s="871"/>
      <c r="Y17" s="871"/>
      <c r="Z17" s="871"/>
      <c r="AA17" s="871"/>
      <c r="AB17" s="871"/>
      <c r="AC17" s="871"/>
      <c r="AD17" s="900"/>
      <c r="AE17" s="900"/>
      <c r="AF17" s="900"/>
      <c r="AG17" s="900"/>
      <c r="AJ17" s="900"/>
      <c r="AM17" s="903"/>
      <c r="AN17" s="903"/>
      <c r="AO17" s="903"/>
      <c r="AP17" s="903"/>
      <c r="AQ17" s="874"/>
      <c r="AR17" s="874"/>
    </row>
    <row r="18" spans="1:44" s="492" customFormat="1" ht="11.25" hidden="1" customHeight="1" x14ac:dyDescent="0.15">
      <c r="A18" s="67" t="s">
        <v>365</v>
      </c>
      <c r="B18" s="351"/>
      <c r="E18" s="787"/>
      <c r="T18" s="871"/>
      <c r="U18" s="871"/>
      <c r="V18" s="871"/>
      <c r="W18" s="871"/>
      <c r="X18" s="871"/>
      <c r="Y18" s="871"/>
      <c r="Z18" s="871"/>
      <c r="AA18" s="871"/>
      <c r="AB18" s="871"/>
      <c r="AC18" s="871"/>
      <c r="AD18" s="860" t="s">
        <v>194</v>
      </c>
      <c r="AE18" s="900"/>
      <c r="AF18" s="900"/>
      <c r="AG18" s="900"/>
      <c r="AJ18" s="900"/>
      <c r="AM18" s="903"/>
      <c r="AN18" s="903"/>
      <c r="AO18" s="903"/>
      <c r="AP18" s="903"/>
      <c r="AQ18" s="874"/>
      <c r="AR18" s="874"/>
    </row>
    <row r="19" spans="1:44" s="492" customFormat="1" ht="11.25" hidden="1" customHeight="1" x14ac:dyDescent="0.15">
      <c r="B19" s="351"/>
      <c r="E19" s="787"/>
      <c r="T19" s="871"/>
      <c r="U19" s="871"/>
      <c r="V19" s="871"/>
      <c r="W19" s="871"/>
      <c r="X19" s="871"/>
      <c r="Y19" s="871"/>
      <c r="Z19" s="871"/>
      <c r="AA19" s="871"/>
      <c r="AB19" s="871"/>
      <c r="AC19" s="871"/>
      <c r="AD19" s="900"/>
      <c r="AE19" s="900"/>
      <c r="AF19" s="900"/>
      <c r="AG19" s="900"/>
      <c r="AJ19" s="900"/>
      <c r="AM19" s="903"/>
      <c r="AN19" s="903"/>
      <c r="AO19" s="903"/>
      <c r="AP19" s="903"/>
      <c r="AQ19" s="874"/>
      <c r="AR19" s="874"/>
    </row>
    <row r="20" spans="1:44" s="492" customFormat="1" ht="11.25" hidden="1" customHeight="1" x14ac:dyDescent="0.15">
      <c r="B20" s="351"/>
      <c r="E20" s="787"/>
      <c r="T20" s="871"/>
      <c r="U20" s="871"/>
      <c r="V20" s="871"/>
      <c r="W20" s="871"/>
      <c r="X20" s="871"/>
      <c r="Y20" s="871"/>
      <c r="Z20" s="871"/>
      <c r="AA20" s="871"/>
      <c r="AB20" s="871"/>
      <c r="AC20" s="871"/>
      <c r="AD20" s="900"/>
      <c r="AE20" s="900"/>
      <c r="AF20" s="900"/>
      <c r="AG20" s="900"/>
      <c r="AJ20" s="900"/>
      <c r="AM20" s="903"/>
      <c r="AN20" s="903"/>
      <c r="AO20" s="903"/>
      <c r="AP20" s="903"/>
      <c r="AQ20" s="874"/>
      <c r="AR20" s="874"/>
    </row>
    <row r="21" spans="1:44" s="492" customFormat="1" ht="14.65" customHeight="1" x14ac:dyDescent="0.15">
      <c r="B21" s="351"/>
      <c r="E21" s="787">
        <v>15</v>
      </c>
      <c r="T21" s="871"/>
      <c r="U21" s="871"/>
      <c r="V21" s="871"/>
      <c r="W21" s="871"/>
      <c r="X21" s="871"/>
      <c r="Y21" s="871"/>
      <c r="Z21" s="871"/>
      <c r="AA21" s="871"/>
      <c r="AB21" s="581"/>
      <c r="AC21" s="391"/>
      <c r="AD21" s="281" t="str" cm="1">
        <f t="array" ref="AD21">tpl_title</f>
        <v>Кемеровская область / 2026 / ООО "Чистая вода" (ИНН:4246023100, КПП:424601001) / ДПР: 2024-2032</v>
      </c>
      <c r="AE21" s="391"/>
      <c r="AF21" s="391"/>
      <c r="AG21" s="391"/>
      <c r="AJ21" s="391"/>
      <c r="AM21" s="903"/>
      <c r="AN21" s="903"/>
      <c r="AO21" s="903"/>
      <c r="AP21" s="903"/>
      <c r="AQ21" s="874"/>
      <c r="AR21" s="874"/>
    </row>
    <row r="22" spans="1:44" ht="20.45" customHeight="1" x14ac:dyDescent="0.15">
      <c r="E22" s="559">
        <v>21</v>
      </c>
      <c r="S22"/>
      <c r="AB22"/>
      <c r="AC22" s="2007" t="s">
        <v>36</v>
      </c>
      <c r="AD22" s="2008"/>
      <c r="AE22" s="2008"/>
      <c r="AF22" s="2008"/>
      <c r="AG22" s="2008"/>
      <c r="AH22" s="2008"/>
      <c r="AI22" s="2008"/>
      <c r="AJ22" s="2008"/>
    </row>
    <row r="23" spans="1:44" ht="8.85" customHeight="1" x14ac:dyDescent="0.15">
      <c r="E23" s="559">
        <v>9</v>
      </c>
      <c r="AB23" s="34"/>
      <c r="AC23" s="34"/>
      <c r="AD23" s="34"/>
      <c r="AE23" s="34"/>
      <c r="AF23" s="34"/>
      <c r="AG23" s="2025"/>
      <c r="AH23" s="2025"/>
      <c r="AI23" s="14"/>
      <c r="AJ23" s="14"/>
    </row>
    <row r="24" spans="1:44" ht="20.45" customHeight="1" x14ac:dyDescent="0.15">
      <c r="E24" s="559">
        <v>21</v>
      </c>
      <c r="AB24" s="34"/>
      <c r="AC24" s="2026" t="s">
        <v>21</v>
      </c>
      <c r="AD24" s="2026" t="s">
        <v>366</v>
      </c>
      <c r="AE24" s="2026" t="s">
        <v>367</v>
      </c>
      <c r="AF24" s="274" t="str">
        <f>god-2&amp;" год"</f>
        <v>2024 год</v>
      </c>
      <c r="AG24" s="11" t="str">
        <f>god-1&amp;" год"</f>
        <v>2025 год</v>
      </c>
      <c r="AH24" s="1026" t="str">
        <f>god&amp;" год"</f>
        <v>2026 год</v>
      </c>
      <c r="AI24" s="11" t="str">
        <f>god&amp;" год"</f>
        <v>2026 год</v>
      </c>
      <c r="AJ24" s="2027" t="s">
        <v>368</v>
      </c>
    </row>
    <row r="25" spans="1:44" s="1217" customFormat="1" ht="35.1" customHeight="1" x14ac:dyDescent="0.15">
      <c r="B25" s="350"/>
      <c r="E25" s="553">
        <v>36</v>
      </c>
      <c r="F25" s="41" t="s">
        <v>369</v>
      </c>
      <c r="AC25" s="2026"/>
      <c r="AD25" s="2026"/>
      <c r="AE25" s="2026"/>
      <c r="AF25" s="11" t="s">
        <v>359</v>
      </c>
      <c r="AG25" s="11" t="s">
        <v>359</v>
      </c>
      <c r="AH25" s="1026" t="s">
        <v>360</v>
      </c>
      <c r="AI25" s="11" t="s">
        <v>359</v>
      </c>
      <c r="AJ25" s="2028"/>
      <c r="AM25" s="906"/>
      <c r="AN25" s="906"/>
      <c r="AO25" s="906"/>
      <c r="AP25" s="906"/>
      <c r="AQ25" s="542"/>
      <c r="AR25" s="542"/>
    </row>
    <row r="26" spans="1:44" s="1334" customFormat="1" ht="11.25" customHeight="1" x14ac:dyDescent="0.15">
      <c r="B26" s="582"/>
      <c r="E26" s="560" t="s">
        <v>370</v>
      </c>
      <c r="F26" s="91"/>
      <c r="G26" s="91"/>
      <c r="T26" t="s">
        <v>371</v>
      </c>
      <c r="AD26" s="19"/>
      <c r="AE26" s="19"/>
      <c r="AF26" s="19"/>
      <c r="AG26" s="19"/>
      <c r="AM26" s="913"/>
      <c r="AN26" s="913"/>
      <c r="AO26" s="913"/>
      <c r="AP26" s="913"/>
      <c r="AQ26" s="548"/>
      <c r="AR26" s="916"/>
    </row>
    <row r="27" spans="1:44" s="1217" customFormat="1" ht="14.65" hidden="1" customHeight="1" x14ac:dyDescent="0.15">
      <c r="B27" s="350"/>
      <c r="E27" s="553">
        <v>15</v>
      </c>
      <c r="F27" s="41" cm="1">
        <f t="array" ref="F27">Z27</f>
        <v>0</v>
      </c>
      <c r="T27" s="990" cm="1">
        <f t="array" ref="T27">INDEX('Общие сведения'!$AE$185:$AE$228,MATCH($Z27,'Общие сведения'!$Z$185:$Z$228,0))</f>
        <v>0</v>
      </c>
      <c r="V27" s="388" t="b">
        <f>Z27&gt;0</f>
        <v>0</v>
      </c>
      <c r="X27" s="41" t="s">
        <v>271</v>
      </c>
      <c r="Z27" s="2011">
        <v>0</v>
      </c>
      <c r="AA27" s="2012"/>
      <c r="AC27" s="99" t="str" cm="1">
        <f t="array" ref="AC27">INDEX('Общие сведения'!$AG$185:$AG$228,MATCH($Z27,'Общие сведения'!$Z$185:$Z$228,0))</f>
        <v xml:space="preserve">Тариф 0 () - </v>
      </c>
      <c r="AD27" s="99"/>
      <c r="AE27" s="93"/>
      <c r="AF27" s="93"/>
      <c r="AG27" s="93"/>
      <c r="AH27" s="93"/>
      <c r="AI27" s="93"/>
      <c r="AJ27" s="93"/>
      <c r="AM27" s="906"/>
      <c r="AN27" s="906"/>
      <c r="AO27" s="906"/>
      <c r="AP27" s="906"/>
      <c r="AQ27" s="542"/>
      <c r="AR27" s="542"/>
    </row>
    <row r="28" spans="1:44" s="1217" customFormat="1" ht="14.65" hidden="1" customHeight="1" x14ac:dyDescent="0.15">
      <c r="B28" s="872" t="b">
        <f>AND(T27="Водоснабжение",method_reg&lt;&gt;"Метод сравнения аналогов")</f>
        <v>0</v>
      </c>
      <c r="E28" s="553">
        <v>15</v>
      </c>
      <c r="F28" s="62" cm="1">
        <f t="array" aca="1" ref="F28" ca="1">OFFSET(E28,-1,1)</f>
        <v>0</v>
      </c>
      <c r="G28" s="407"/>
      <c r="H28" s="41" t="s">
        <v>331</v>
      </c>
      <c r="I28" s="41" t="s">
        <v>372</v>
      </c>
      <c r="J28" s="41" t="str">
        <f t="shared" ref="J28:J36" si="0">AD28&amp;"::"&amp;AE28</f>
        <v>Водонасосные станции (водозаборные узлы)::ед.</v>
      </c>
      <c r="K28" s="43"/>
      <c r="V28" s="388" t="b" cm="1">
        <f t="array" ref="V28">V27</f>
        <v>0</v>
      </c>
      <c r="Z28" s="2011"/>
      <c r="AA28" s="2012"/>
      <c r="AC28" s="103">
        <v>1</v>
      </c>
      <c r="AD28" s="101" t="s">
        <v>373</v>
      </c>
      <c r="AE28" s="42" t="s">
        <v>374</v>
      </c>
      <c r="AF28" s="1356"/>
      <c r="AG28" s="1356"/>
      <c r="AH28" s="1356"/>
      <c r="AI28" s="1356"/>
      <c r="AJ28" s="1357"/>
      <c r="AM28" s="906" t="s">
        <v>375</v>
      </c>
      <c r="AN28" s="906"/>
      <c r="AO28" s="906"/>
      <c r="AP28" s="906"/>
      <c r="AQ28" s="542"/>
      <c r="AR28" s="542"/>
    </row>
    <row r="29" spans="1:44" s="1217" customFormat="1" ht="14.65" hidden="1" customHeight="1" x14ac:dyDescent="0.15">
      <c r="B29" s="872" t="b" cm="1">
        <f t="array" ref="B29">B28</f>
        <v>0</v>
      </c>
      <c r="E29" s="553">
        <v>15</v>
      </c>
      <c r="F29" s="62" cm="1">
        <f t="array" aca="1" ref="F29" ca="1">OFFSET(E29,-1,1)</f>
        <v>0</v>
      </c>
      <c r="G29" s="62"/>
      <c r="H29" s="41" t="s">
        <v>331</v>
      </c>
      <c r="I29" s="41" t="s">
        <v>372</v>
      </c>
      <c r="J29" s="41" t="str">
        <f t="shared" si="0"/>
        <v>Скважины::ед.</v>
      </c>
      <c r="V29" s="388" t="b" cm="1">
        <f t="array" ref="V29">V28</f>
        <v>0</v>
      </c>
      <c r="Z29" s="2011"/>
      <c r="AA29" s="2012"/>
      <c r="AC29" s="103">
        <v>2</v>
      </c>
      <c r="AD29" s="101" t="s">
        <v>376</v>
      </c>
      <c r="AE29" s="42" t="s">
        <v>374</v>
      </c>
      <c r="AF29" s="1356"/>
      <c r="AG29" s="1356"/>
      <c r="AH29" s="1356"/>
      <c r="AI29" s="1356"/>
      <c r="AJ29" s="1357"/>
      <c r="AM29" s="906" t="s">
        <v>377</v>
      </c>
      <c r="AN29" s="906"/>
      <c r="AO29" s="906"/>
      <c r="AP29" s="906"/>
      <c r="AQ29" s="542"/>
      <c r="AR29" s="542"/>
    </row>
    <row r="30" spans="1:44" s="1217" customFormat="1" ht="14.65" hidden="1" customHeight="1" x14ac:dyDescent="0.15">
      <c r="B30" s="872" t="b">
        <f>T27="Водоснабжение"</f>
        <v>0</v>
      </c>
      <c r="E30" s="553">
        <v>15</v>
      </c>
      <c r="F30" s="62" cm="1">
        <f t="array" aca="1" ref="F30" ca="1">OFFSET(E30,-1,1)</f>
        <v>0</v>
      </c>
      <c r="G30" s="62" t="s">
        <v>49</v>
      </c>
      <c r="H30" s="41" t="s">
        <v>331</v>
      </c>
      <c r="I30" s="41" t="s">
        <v>372</v>
      </c>
      <c r="J30" s="41" t="str">
        <f t="shared" si="0"/>
        <v>Подкачивающие насосные станции::ед.</v>
      </c>
      <c r="L30" s="41" t="s">
        <v>49</v>
      </c>
      <c r="V30" s="388" t="b" cm="1">
        <f t="array" ref="V30">V29</f>
        <v>0</v>
      </c>
      <c r="Z30" s="2011"/>
      <c r="AA30" s="2012"/>
      <c r="AC30" s="103">
        <f>IF(B29,3,1)</f>
        <v>1</v>
      </c>
      <c r="AD30" s="101" t="s">
        <v>378</v>
      </c>
      <c r="AE30" s="42" t="s">
        <v>374</v>
      </c>
      <c r="AF30" s="1356"/>
      <c r="AG30" s="1356"/>
      <c r="AH30" s="1356"/>
      <c r="AI30" s="1356"/>
      <c r="AJ30" s="1357"/>
      <c r="AM30" s="906" t="s">
        <v>379</v>
      </c>
      <c r="AN30" s="906"/>
      <c r="AO30" s="906"/>
      <c r="AP30" s="906"/>
      <c r="AQ30" s="542"/>
      <c r="AR30" s="542"/>
    </row>
    <row r="31" spans="1:44" s="1217" customFormat="1" ht="14.65" hidden="1" customHeight="1" x14ac:dyDescent="0.15">
      <c r="B31" s="872" t="b" cm="1">
        <f t="array" ref="B31">B29</f>
        <v>0</v>
      </c>
      <c r="E31" s="553">
        <v>15</v>
      </c>
      <c r="F31" s="62" cm="1">
        <f t="array" aca="1" ref="F31" ca="1">OFFSET(E31,-1,1)</f>
        <v>0</v>
      </c>
      <c r="G31" s="62"/>
      <c r="H31" s="41" t="s">
        <v>331</v>
      </c>
      <c r="I31" s="41" t="s">
        <v>372</v>
      </c>
      <c r="J31" s="41" t="str">
        <f t="shared" si="0"/>
        <v>Водонапорные башни::ед.</v>
      </c>
      <c r="V31" s="388" t="b" cm="1">
        <f t="array" ref="V31">V30</f>
        <v>0</v>
      </c>
      <c r="Z31" s="2011"/>
      <c r="AA31" s="2012"/>
      <c r="AC31" s="103">
        <v>4</v>
      </c>
      <c r="AD31" s="101" t="s">
        <v>380</v>
      </c>
      <c r="AE31" s="42" t="s">
        <v>374</v>
      </c>
      <c r="AF31" s="1356"/>
      <c r="AG31" s="1356"/>
      <c r="AH31" s="1356"/>
      <c r="AI31" s="1356"/>
      <c r="AJ31" s="1357"/>
      <c r="AM31" s="906" t="s">
        <v>381</v>
      </c>
      <c r="AN31" s="906"/>
      <c r="AO31" s="906"/>
      <c r="AP31" s="906"/>
      <c r="AQ31" s="542"/>
      <c r="AR31" s="542"/>
    </row>
    <row r="32" spans="1:44" s="1217" customFormat="1" ht="14.65" hidden="1" customHeight="1" x14ac:dyDescent="0.15">
      <c r="B32" s="872" t="b">
        <f>T27="Водоснабжение"</f>
        <v>0</v>
      </c>
      <c r="E32" s="553">
        <v>15</v>
      </c>
      <c r="F32" s="62" cm="1">
        <f t="array" aca="1" ref="F32" ca="1">OFFSET(E32,-1,1)</f>
        <v>0</v>
      </c>
      <c r="G32" s="62"/>
      <c r="H32" s="41" t="s">
        <v>331</v>
      </c>
      <c r="I32" s="41" t="s">
        <v>372</v>
      </c>
      <c r="J32" s="41" t="str">
        <f t="shared" si="0"/>
        <v>Водопроводные сети::км</v>
      </c>
      <c r="P32" s="41" t="s">
        <v>382</v>
      </c>
      <c r="Q32" s="41" t="s">
        <v>383</v>
      </c>
      <c r="V32" s="388" t="b" cm="1">
        <f t="array" ref="V32">V31</f>
        <v>0</v>
      </c>
      <c r="Z32" s="2011"/>
      <c r="AA32" s="2012"/>
      <c r="AC32" s="103">
        <f>IF(B29,5,2)</f>
        <v>2</v>
      </c>
      <c r="AD32" s="101" t="s">
        <v>384</v>
      </c>
      <c r="AE32" s="42" t="s">
        <v>385</v>
      </c>
      <c r="AF32" s="1358"/>
      <c r="AG32" s="1358"/>
      <c r="AH32" s="60"/>
      <c r="AI32" s="60"/>
      <c r="AJ32" s="1357"/>
      <c r="AM32" s="906" t="s">
        <v>386</v>
      </c>
      <c r="AN32" s="906"/>
      <c r="AO32" s="906"/>
      <c r="AP32" s="906"/>
      <c r="AQ32" s="542"/>
      <c r="AR32" s="542"/>
    </row>
    <row r="33" spans="1:57" s="1217" customFormat="1" ht="14.65" hidden="1" customHeight="1" x14ac:dyDescent="0.15">
      <c r="B33" s="872" t="b">
        <f>AND(T27="Водоотведение",method_reg&lt;&gt;"Метод сравнения аналогов")</f>
        <v>0</v>
      </c>
      <c r="E33" s="553">
        <v>15</v>
      </c>
      <c r="F33" s="62" cm="1">
        <f t="array" aca="1" ref="F33" ca="1">OFFSET(E33,-1,1)</f>
        <v>0</v>
      </c>
      <c r="G33" s="407"/>
      <c r="H33" s="41" t="s">
        <v>331</v>
      </c>
      <c r="I33" s="41" t="s">
        <v>372</v>
      </c>
      <c r="J33" s="41" t="str">
        <f t="shared" si="0"/>
        <v>Биологические очистные сооружения::ед.</v>
      </c>
      <c r="K33" s="43"/>
      <c r="V33" s="388" t="b" cm="1">
        <f t="array" ref="V33">V32</f>
        <v>0</v>
      </c>
      <c r="Z33" s="2011"/>
      <c r="AA33" s="2012"/>
      <c r="AC33" s="103">
        <v>1</v>
      </c>
      <c r="AD33" s="101" t="s">
        <v>387</v>
      </c>
      <c r="AE33" s="42" t="s">
        <v>374</v>
      </c>
      <c r="AF33" s="1356"/>
      <c r="AG33" s="1356"/>
      <c r="AH33" s="1356"/>
      <c r="AI33" s="1356"/>
      <c r="AJ33" s="1357"/>
      <c r="AM33" s="906" t="s">
        <v>388</v>
      </c>
      <c r="AN33" s="906"/>
      <c r="AO33" s="906"/>
      <c r="AP33" s="906"/>
      <c r="AQ33" s="542"/>
      <c r="AR33" s="542"/>
    </row>
    <row r="34" spans="1:57" s="1217" customFormat="1" ht="14.65" hidden="1" customHeight="1" x14ac:dyDescent="0.15">
      <c r="B34" s="872" t="b">
        <f>T27="Водоотведение"</f>
        <v>0</v>
      </c>
      <c r="E34" s="553">
        <v>15</v>
      </c>
      <c r="F34" s="62" cm="1">
        <f t="array" aca="1" ref="F34" ca="1">OFFSET(E34,-1,1)</f>
        <v>0</v>
      </c>
      <c r="G34" s="62" t="s">
        <v>49</v>
      </c>
      <c r="H34" s="41" t="s">
        <v>331</v>
      </c>
      <c r="I34" s="41" t="s">
        <v>372</v>
      </c>
      <c r="J34" s="41" t="str">
        <f t="shared" si="0"/>
        <v>Канализационные насосные станции::ед.</v>
      </c>
      <c r="V34" s="388" t="b" cm="1">
        <f t="array" ref="V34">V33</f>
        <v>0</v>
      </c>
      <c r="Z34" s="2011"/>
      <c r="AA34" s="2012"/>
      <c r="AC34" s="103">
        <f>IF(B33,2,1)</f>
        <v>1</v>
      </c>
      <c r="AD34" s="101" t="s">
        <v>389</v>
      </c>
      <c r="AE34" s="42" t="s">
        <v>374</v>
      </c>
      <c r="AF34" s="1356"/>
      <c r="AG34" s="1356"/>
      <c r="AH34" s="1356"/>
      <c r="AI34" s="1356"/>
      <c r="AJ34" s="1357"/>
      <c r="AM34" s="906" t="s">
        <v>390</v>
      </c>
      <c r="AN34" s="906"/>
      <c r="AO34" s="906"/>
      <c r="AP34" s="906"/>
      <c r="AQ34" s="542"/>
      <c r="AR34" s="542"/>
    </row>
    <row r="35" spans="1:57" s="1217" customFormat="1" ht="14.65" hidden="1" customHeight="1" x14ac:dyDescent="0.15">
      <c r="B35" s="872" t="b" cm="1">
        <f t="array" ref="B35">B34</f>
        <v>0</v>
      </c>
      <c r="E35" s="553">
        <v>15</v>
      </c>
      <c r="F35" s="62" cm="1">
        <f t="array" aca="1" ref="F35" ca="1">OFFSET(E35,-1,1)</f>
        <v>0</v>
      </c>
      <c r="G35" s="62"/>
      <c r="H35" s="41" t="s">
        <v>331</v>
      </c>
      <c r="I35" s="41" t="s">
        <v>372</v>
      </c>
      <c r="J35" s="41" t="str">
        <f t="shared" si="0"/>
        <v>Канализационные сети::км</v>
      </c>
      <c r="L35" s="41" t="s">
        <v>49</v>
      </c>
      <c r="P35" s="41" t="s">
        <v>382</v>
      </c>
      <c r="Q35" s="41" t="s">
        <v>383</v>
      </c>
      <c r="V35" s="388" t="b" cm="1">
        <f t="array" ref="V35">V34</f>
        <v>0</v>
      </c>
      <c r="Z35" s="2011"/>
      <c r="AA35" s="2012"/>
      <c r="AC35" s="103">
        <f>AC34+1</f>
        <v>2</v>
      </c>
      <c r="AD35" s="101" t="s">
        <v>391</v>
      </c>
      <c r="AE35" s="42" t="s">
        <v>385</v>
      </c>
      <c r="AF35" s="1358"/>
      <c r="AG35" s="1358"/>
      <c r="AH35" s="60"/>
      <c r="AI35" s="60"/>
      <c r="AJ35" s="1357"/>
      <c r="AM35" s="906" t="s">
        <v>392</v>
      </c>
      <c r="AN35" s="906"/>
      <c r="AO35" s="906"/>
      <c r="AP35" s="906"/>
      <c r="AQ35" s="542"/>
      <c r="AR35" s="542"/>
    </row>
    <row r="36" spans="1:57" s="930" customFormat="1" ht="14.65" hidden="1" customHeight="1" x14ac:dyDescent="0.15">
      <c r="B36" s="350"/>
      <c r="E36" s="561">
        <v>15</v>
      </c>
      <c r="F36" s="62" cm="1">
        <f t="array" aca="1" ref="F36" ca="1">OFFSET(E36,-1,1)</f>
        <v>0</v>
      </c>
      <c r="G36" s="62"/>
      <c r="H36" s="43" t="s">
        <v>331</v>
      </c>
      <c r="I36" s="43" t="s">
        <v>372</v>
      </c>
      <c r="J36" s="43" t="str">
        <f t="shared" si="0"/>
        <v>::</v>
      </c>
      <c r="U36" s="41">
        <v>0</v>
      </c>
      <c r="V36" s="388" t="b">
        <f ca="1">AND(F36&gt;0,U36&gt;0)</f>
        <v>0</v>
      </c>
      <c r="Y36" s="677" t="s">
        <v>172</v>
      </c>
      <c r="Z36" s="2011"/>
      <c r="AA36" s="2012"/>
      <c r="AB36" s="342" t="s">
        <v>173</v>
      </c>
      <c r="AC36" s="103">
        <f ca="1">IF(OFFSET(C36,-8-U36,-1),5,IF(OFFSET(C36,-3-U36,-1),3,2))+U36</f>
        <v>2</v>
      </c>
      <c r="AD36" s="1359"/>
      <c r="AE36" s="1360"/>
      <c r="AF36" s="1361"/>
      <c r="AG36" s="1361"/>
      <c r="AH36" s="1361"/>
      <c r="AI36" s="1361"/>
      <c r="AJ36" s="1362"/>
      <c r="AM36" s="914" t="s">
        <v>393</v>
      </c>
      <c r="AN36" s="914" t="s">
        <v>394</v>
      </c>
      <c r="AO36" s="917" cm="1">
        <f t="array" ref="AO36">AD36</f>
        <v>0</v>
      </c>
      <c r="AP36" s="917" cm="1">
        <f t="array" ref="AP36">AE36</f>
        <v>0</v>
      </c>
      <c r="AQ36" s="615"/>
      <c r="AR36" s="615" t="b">
        <v>1</v>
      </c>
    </row>
    <row r="37" spans="1:57" s="1217" customFormat="1" ht="14.65" hidden="1" customHeight="1" x14ac:dyDescent="0.15">
      <c r="B37" s="350"/>
      <c r="E37" s="553">
        <v>15</v>
      </c>
      <c r="F37" s="62" cm="1">
        <f t="array" aca="1" ref="F37" ca="1">OFFSET(E37,-1,1)</f>
        <v>0</v>
      </c>
      <c r="G37" s="62"/>
      <c r="J37" s="40" t="s">
        <v>395</v>
      </c>
      <c r="V37" s="388" t="b" cm="1">
        <f t="array" ref="V37">V35</f>
        <v>0</v>
      </c>
      <c r="Y37" s="677" t="s">
        <v>396</v>
      </c>
      <c r="Z37" s="2011"/>
      <c r="AA37" s="2012"/>
      <c r="AC37" s="94"/>
      <c r="AD37" s="225" t="s">
        <v>176</v>
      </c>
      <c r="AE37" s="95"/>
      <c r="AF37" s="95"/>
      <c r="AG37" s="95"/>
      <c r="AH37" s="95"/>
      <c r="AI37" s="95"/>
      <c r="AJ37" s="106"/>
      <c r="AM37" s="906"/>
      <c r="AN37" s="906"/>
      <c r="AO37" s="906"/>
      <c r="AP37" s="906"/>
      <c r="AQ37" s="542" t="s">
        <v>394</v>
      </c>
      <c r="AR37" s="542"/>
    </row>
    <row r="38" spans="1:57" s="1217" customFormat="1" ht="14.65" hidden="1" customHeight="1" x14ac:dyDescent="0.15">
      <c r="B38" s="350"/>
      <c r="E38" s="553">
        <v>15</v>
      </c>
      <c r="F38" s="62" cm="1">
        <f t="array" aca="1" ref="F38" ca="1">OFFSET(E38,-1,1)</f>
        <v>0</v>
      </c>
      <c r="G38" s="62"/>
      <c r="H38" s="41" t="s">
        <v>332</v>
      </c>
      <c r="I38" s="41" t="s">
        <v>372</v>
      </c>
      <c r="J38" s="285" t="str" cm="1">
        <f t="array" ref="J38">AD38</f>
        <v>Краткое описание технологического процесса</v>
      </c>
      <c r="V38" s="388" t="b" cm="1">
        <f t="array" ref="V38">V37</f>
        <v>0</v>
      </c>
      <c r="Z38" s="2011"/>
      <c r="AA38" s="2012"/>
      <c r="AC38" s="103"/>
      <c r="AD38" s="101" t="s">
        <v>397</v>
      </c>
      <c r="AE38" s="42"/>
      <c r="AF38" s="2013"/>
      <c r="AG38" s="2014"/>
      <c r="AH38" s="2014"/>
      <c r="AI38" s="2014"/>
      <c r="AJ38" s="2015"/>
      <c r="AM38" s="906" t="s">
        <v>398</v>
      </c>
      <c r="AN38" s="906"/>
      <c r="AO38" s="906"/>
      <c r="AP38" s="906"/>
      <c r="AQ38" s="542"/>
      <c r="AR38" s="542"/>
    </row>
    <row r="39" spans="1:57" s="461" customFormat="1" ht="14.25" customHeight="1" x14ac:dyDescent="0.15">
      <c r="A39" s="1217"/>
      <c r="B39" s="350"/>
      <c r="C39" s="1217"/>
      <c r="D39" s="1217"/>
      <c r="E39" s="553">
        <v>15</v>
      </c>
      <c r="F39" s="41" t="str" cm="1">
        <f t="array" ref="F39">Z39</f>
        <v>1</v>
      </c>
      <c r="G39" s="1217"/>
      <c r="H39" s="1217"/>
      <c r="I39" s="1217"/>
      <c r="J39" s="1217"/>
      <c r="K39" s="1217"/>
      <c r="L39" s="1217"/>
      <c r="M39" s="1217"/>
      <c r="N39" s="1217"/>
      <c r="O39" s="1217"/>
      <c r="P39" s="1217"/>
      <c r="Q39" s="1217"/>
      <c r="R39" s="1217"/>
      <c r="S39" s="1217"/>
      <c r="T39" s="990" t="str" cm="1">
        <f t="array" ref="T39">INDEX('Общие сведения'!$AE$185:$AE$228,MATCH($Z39,'Общие сведения'!$Z$185:$Z$228,0))</f>
        <v>Водоснабжение</v>
      </c>
      <c r="U39" s="1217"/>
      <c r="V39" s="388" t="b">
        <f>Z39&gt;0</f>
        <v>1</v>
      </c>
      <c r="W39" s="1217"/>
      <c r="X39" s="41" t="str" cm="1">
        <f t="array" ref="X39">'Список территорий'!$AB$29</f>
        <v>Тариф 1 (Водоснабжение) - тариф на питьевую воду</v>
      </c>
      <c r="Y39" s="1217"/>
      <c r="Z39" s="2011" t="s">
        <v>282</v>
      </c>
      <c r="AA39" s="2012"/>
      <c r="AB39" s="1217"/>
      <c r="AC39" s="99" t="str" cm="1">
        <f t="array" ref="AC39">'Список территорий'!$AB$29</f>
        <v>Тариф 1 (Водоснабжение) - тариф на питьевую воду</v>
      </c>
      <c r="AD39" s="99"/>
      <c r="AE39" s="93"/>
      <c r="AF39" s="93"/>
      <c r="AG39" s="93"/>
      <c r="AH39" s="93"/>
      <c r="AI39" s="93"/>
      <c r="AJ39" s="93"/>
      <c r="AK39" s="1217"/>
      <c r="AL39" s="1217"/>
      <c r="AM39" s="906"/>
      <c r="AN39" s="906"/>
      <c r="AO39" s="906"/>
      <c r="AP39" s="906"/>
      <c r="AQ39" s="542"/>
      <c r="AR39" s="542"/>
      <c r="AS39" s="1217"/>
      <c r="AT39" s="1217"/>
      <c r="AU39" s="1217"/>
      <c r="AV39" s="1217"/>
      <c r="AW39" s="1217"/>
      <c r="AX39" s="1217"/>
      <c r="AY39" s="1217"/>
      <c r="AZ39" s="1217"/>
      <c r="BA39" s="1217"/>
      <c r="BB39" s="1217"/>
      <c r="BC39" s="1217"/>
      <c r="BD39" s="1217"/>
      <c r="BE39" s="1217"/>
    </row>
    <row r="40" spans="1:57" s="461" customFormat="1" ht="14.25" customHeight="1" x14ac:dyDescent="0.15">
      <c r="A40" s="1217"/>
      <c r="B40" s="872" t="b">
        <f>AND(T39="Водоснабжение",method_reg&lt;&gt;"Метод сравнения аналогов")</f>
        <v>1</v>
      </c>
      <c r="C40" s="1217"/>
      <c r="D40" s="1217"/>
      <c r="E40" s="553">
        <v>15</v>
      </c>
      <c r="F40" s="62" t="str" cm="1">
        <f t="array" aca="1" ref="F40" ca="1">OFFSET(E40,-1,1)</f>
        <v>1</v>
      </c>
      <c r="G40" s="407"/>
      <c r="H40" s="41" t="s">
        <v>331</v>
      </c>
      <c r="I40" s="41" t="s">
        <v>372</v>
      </c>
      <c r="J40" s="41" t="str">
        <f t="shared" ref="J40:J48" si="1">AD40&amp;"::"&amp;AE40</f>
        <v>Водонасосные станции (водозаборные узлы)::ед.</v>
      </c>
      <c r="K40" s="43"/>
      <c r="L40" s="1217"/>
      <c r="M40" s="1217"/>
      <c r="N40" s="1217"/>
      <c r="O40" s="1217"/>
      <c r="P40" s="1217"/>
      <c r="Q40" s="1217"/>
      <c r="R40" s="1217"/>
      <c r="S40" s="1217"/>
      <c r="T40" s="1217"/>
      <c r="U40" s="1217"/>
      <c r="V40" s="388" t="b" cm="1">
        <f t="array" ref="V40">V39</f>
        <v>1</v>
      </c>
      <c r="W40" s="1217"/>
      <c r="X40" s="1217"/>
      <c r="Y40" s="1217"/>
      <c r="Z40" s="2011"/>
      <c r="AA40" s="2012"/>
      <c r="AB40" s="1217"/>
      <c r="AC40" s="103">
        <v>1</v>
      </c>
      <c r="AD40" s="101" t="s">
        <v>373</v>
      </c>
      <c r="AE40" s="42" t="s">
        <v>374</v>
      </c>
      <c r="AF40" s="107">
        <v>1</v>
      </c>
      <c r="AG40" s="107">
        <v>1</v>
      </c>
      <c r="AH40" s="107">
        <v>1</v>
      </c>
      <c r="AI40" s="107">
        <v>1</v>
      </c>
      <c r="AJ40" s="108"/>
      <c r="AK40" s="1217"/>
      <c r="AL40" s="1217"/>
      <c r="AM40" s="906" t="s">
        <v>375</v>
      </c>
      <c r="AN40" s="906"/>
      <c r="AO40" s="906"/>
      <c r="AP40" s="906"/>
      <c r="AQ40" s="542"/>
      <c r="AR40" s="542"/>
      <c r="AS40" s="1217"/>
      <c r="AT40" s="1217"/>
      <c r="AU40" s="1217"/>
      <c r="AV40" s="1217"/>
      <c r="AW40" s="1217"/>
      <c r="AX40" s="1217"/>
      <c r="AY40" s="1217"/>
      <c r="AZ40" s="1217"/>
      <c r="BA40" s="1217"/>
      <c r="BB40" s="1217"/>
      <c r="BC40" s="1217"/>
      <c r="BD40" s="1217"/>
      <c r="BE40" s="1217"/>
    </row>
    <row r="41" spans="1:57" s="461" customFormat="1" ht="14.25" customHeight="1" x14ac:dyDescent="0.15">
      <c r="A41" s="1217"/>
      <c r="B41" s="872" t="b" cm="1">
        <f t="array" ref="B41">B40</f>
        <v>1</v>
      </c>
      <c r="C41" s="1217"/>
      <c r="D41" s="1217"/>
      <c r="E41" s="553">
        <v>15</v>
      </c>
      <c r="F41" s="62" t="str" cm="1">
        <f t="array" aca="1" ref="F41" ca="1">OFFSET(E41,-1,1)</f>
        <v>1</v>
      </c>
      <c r="G41" s="62"/>
      <c r="H41" s="41" t="s">
        <v>331</v>
      </c>
      <c r="I41" s="41" t="s">
        <v>372</v>
      </c>
      <c r="J41" s="41" t="str">
        <f t="shared" si="1"/>
        <v>Скважины::ед.</v>
      </c>
      <c r="K41" s="1217"/>
      <c r="L41" s="1217"/>
      <c r="M41" s="1217"/>
      <c r="N41" s="1217"/>
      <c r="O41" s="1217"/>
      <c r="P41" s="1217"/>
      <c r="Q41" s="1217"/>
      <c r="R41" s="1217"/>
      <c r="S41" s="1217"/>
      <c r="T41" s="1217"/>
      <c r="U41" s="1217"/>
      <c r="V41" s="388" t="b" cm="1">
        <f t="array" ref="V41">V40</f>
        <v>1</v>
      </c>
      <c r="W41" s="1217"/>
      <c r="X41" s="1217"/>
      <c r="Y41" s="1217"/>
      <c r="Z41" s="2011"/>
      <c r="AA41" s="2012"/>
      <c r="AB41" s="1217"/>
      <c r="AC41" s="103">
        <v>2</v>
      </c>
      <c r="AD41" s="101" t="s">
        <v>376</v>
      </c>
      <c r="AE41" s="42" t="s">
        <v>374</v>
      </c>
      <c r="AF41" s="107">
        <v>1</v>
      </c>
      <c r="AG41" s="107">
        <v>1</v>
      </c>
      <c r="AH41" s="107">
        <v>1</v>
      </c>
      <c r="AI41" s="107">
        <v>1</v>
      </c>
      <c r="AJ41" s="108"/>
      <c r="AK41" s="1217"/>
      <c r="AL41" s="1217"/>
      <c r="AM41" s="906" t="s">
        <v>377</v>
      </c>
      <c r="AN41" s="906"/>
      <c r="AO41" s="906"/>
      <c r="AP41" s="906"/>
      <c r="AQ41" s="542"/>
      <c r="AR41" s="542"/>
      <c r="AS41" s="1217"/>
      <c r="AT41" s="1217"/>
      <c r="AU41" s="1217"/>
      <c r="AV41" s="1217"/>
      <c r="AW41" s="1217"/>
      <c r="AX41" s="1217"/>
      <c r="AY41" s="1217"/>
      <c r="AZ41" s="1217"/>
      <c r="BA41" s="1217"/>
      <c r="BB41" s="1217"/>
      <c r="BC41" s="1217"/>
      <c r="BD41" s="1217"/>
      <c r="BE41" s="1217"/>
    </row>
    <row r="42" spans="1:57" s="461" customFormat="1" ht="14.25" customHeight="1" x14ac:dyDescent="0.15">
      <c r="A42" s="1217"/>
      <c r="B42" s="872" t="b">
        <f>T39="Водоснабжение"</f>
        <v>1</v>
      </c>
      <c r="C42" s="1217"/>
      <c r="D42" s="1217"/>
      <c r="E42" s="553">
        <v>15</v>
      </c>
      <c r="F42" s="62" t="str" cm="1">
        <f t="array" aca="1" ref="F42" ca="1">OFFSET(E42,-1,1)</f>
        <v>1</v>
      </c>
      <c r="G42" s="62" t="s">
        <v>49</v>
      </c>
      <c r="H42" s="41" t="s">
        <v>331</v>
      </c>
      <c r="I42" s="41" t="s">
        <v>372</v>
      </c>
      <c r="J42" s="41" t="str">
        <f t="shared" si="1"/>
        <v>Подкачивающие насосные станции::ед.</v>
      </c>
      <c r="K42" s="1217"/>
      <c r="L42" s="41" t="s">
        <v>49</v>
      </c>
      <c r="M42" s="1217"/>
      <c r="N42" s="1217"/>
      <c r="O42" s="1217"/>
      <c r="P42" s="1217"/>
      <c r="Q42" s="1217"/>
      <c r="R42" s="1217"/>
      <c r="S42" s="1217"/>
      <c r="T42" s="1217"/>
      <c r="U42" s="1217"/>
      <c r="V42" s="388" t="b" cm="1">
        <f t="array" ref="V42">V41</f>
        <v>1</v>
      </c>
      <c r="W42" s="1217"/>
      <c r="X42" s="1217"/>
      <c r="Y42" s="1217"/>
      <c r="Z42" s="2011"/>
      <c r="AA42" s="2012"/>
      <c r="AB42" s="1217"/>
      <c r="AC42" s="103">
        <f>IF(B41,3,1)</f>
        <v>3</v>
      </c>
      <c r="AD42" s="101" t="s">
        <v>378</v>
      </c>
      <c r="AE42" s="42" t="s">
        <v>374</v>
      </c>
      <c r="AF42" s="107">
        <v>2</v>
      </c>
      <c r="AG42" s="107">
        <v>2</v>
      </c>
      <c r="AH42" s="107">
        <v>2</v>
      </c>
      <c r="AI42" s="107">
        <v>2</v>
      </c>
      <c r="AJ42" s="108"/>
      <c r="AK42" s="1217"/>
      <c r="AL42" s="1217"/>
      <c r="AM42" s="906" t="s">
        <v>379</v>
      </c>
      <c r="AN42" s="906"/>
      <c r="AO42" s="906"/>
      <c r="AP42" s="906"/>
      <c r="AQ42" s="542"/>
      <c r="AR42" s="542"/>
      <c r="AS42" s="1217"/>
      <c r="AT42" s="1217"/>
      <c r="AU42" s="1217"/>
      <c r="AV42" s="1217"/>
      <c r="AW42" s="1217"/>
      <c r="AX42" s="1217"/>
      <c r="AY42" s="1217"/>
      <c r="AZ42" s="1217"/>
      <c r="BA42" s="1217"/>
      <c r="BB42" s="1217"/>
      <c r="BC42" s="1217"/>
      <c r="BD42" s="1217"/>
      <c r="BE42" s="1217"/>
    </row>
    <row r="43" spans="1:57" s="461" customFormat="1" ht="14.25" customHeight="1" x14ac:dyDescent="0.15">
      <c r="A43" s="1217"/>
      <c r="B43" s="872" t="b" cm="1">
        <f t="array" ref="B43">B41</f>
        <v>1</v>
      </c>
      <c r="C43" s="1217"/>
      <c r="D43" s="1217"/>
      <c r="E43" s="553">
        <v>15</v>
      </c>
      <c r="F43" s="62" t="str" cm="1">
        <f t="array" aca="1" ref="F43" ca="1">OFFSET(E43,-1,1)</f>
        <v>1</v>
      </c>
      <c r="G43" s="62"/>
      <c r="H43" s="41" t="s">
        <v>331</v>
      </c>
      <c r="I43" s="41" t="s">
        <v>372</v>
      </c>
      <c r="J43" s="41" t="str">
        <f t="shared" si="1"/>
        <v>Водонапорные башни::ед.</v>
      </c>
      <c r="K43" s="1217"/>
      <c r="L43" s="1217"/>
      <c r="M43" s="1217"/>
      <c r="N43" s="1217"/>
      <c r="O43" s="1217"/>
      <c r="P43" s="1217"/>
      <c r="Q43" s="1217"/>
      <c r="R43" s="1217"/>
      <c r="S43" s="1217"/>
      <c r="T43" s="1217"/>
      <c r="U43" s="1217"/>
      <c r="V43" s="388" t="b" cm="1">
        <f t="array" ref="V43">V42</f>
        <v>1</v>
      </c>
      <c r="W43" s="1217"/>
      <c r="X43" s="1217"/>
      <c r="Y43" s="1217"/>
      <c r="Z43" s="2011"/>
      <c r="AA43" s="2012"/>
      <c r="AB43" s="1217"/>
      <c r="AC43" s="103">
        <v>4</v>
      </c>
      <c r="AD43" s="101" t="s">
        <v>380</v>
      </c>
      <c r="AE43" s="42" t="s">
        <v>374</v>
      </c>
      <c r="AF43" s="107"/>
      <c r="AG43" s="107"/>
      <c r="AH43" s="107"/>
      <c r="AI43" s="107"/>
      <c r="AJ43" s="108"/>
      <c r="AK43" s="1217"/>
      <c r="AL43" s="1217"/>
      <c r="AM43" s="906" t="s">
        <v>381</v>
      </c>
      <c r="AN43" s="906"/>
      <c r="AO43" s="906"/>
      <c r="AP43" s="906"/>
      <c r="AQ43" s="542"/>
      <c r="AR43" s="542"/>
      <c r="AS43" s="1217"/>
      <c r="AT43" s="1217"/>
      <c r="AU43" s="1217"/>
      <c r="AV43" s="1217"/>
      <c r="AW43" s="1217"/>
      <c r="AX43" s="1217"/>
      <c r="AY43" s="1217"/>
      <c r="AZ43" s="1217"/>
      <c r="BA43" s="1217"/>
      <c r="BB43" s="1217"/>
      <c r="BC43" s="1217"/>
      <c r="BD43" s="1217"/>
      <c r="BE43" s="1217"/>
    </row>
    <row r="44" spans="1:57" s="461" customFormat="1" ht="14.25" customHeight="1" x14ac:dyDescent="0.15">
      <c r="A44" s="1217"/>
      <c r="B44" s="872" t="b">
        <f>T39="Водоснабжение"</f>
        <v>1</v>
      </c>
      <c r="C44" s="1217"/>
      <c r="D44" s="1217"/>
      <c r="E44" s="553">
        <v>15</v>
      </c>
      <c r="F44" s="62" t="str" cm="1">
        <f t="array" aca="1" ref="F44" ca="1">OFFSET(E44,-1,1)</f>
        <v>1</v>
      </c>
      <c r="G44" s="62"/>
      <c r="H44" s="41" t="s">
        <v>331</v>
      </c>
      <c r="I44" s="41" t="s">
        <v>372</v>
      </c>
      <c r="J44" s="41" t="str">
        <f t="shared" si="1"/>
        <v>Водопроводные сети::км</v>
      </c>
      <c r="K44" s="1217"/>
      <c r="L44" s="1217"/>
      <c r="M44" s="1217"/>
      <c r="N44" s="1217"/>
      <c r="O44" s="1217"/>
      <c r="P44" s="41" t="s">
        <v>382</v>
      </c>
      <c r="Q44" s="41" t="s">
        <v>383</v>
      </c>
      <c r="R44" s="1217"/>
      <c r="S44" s="1217"/>
      <c r="T44" s="1217"/>
      <c r="U44" s="1217"/>
      <c r="V44" s="388" t="b" cm="1">
        <f t="array" ref="V44">V43</f>
        <v>1</v>
      </c>
      <c r="W44" s="1217"/>
      <c r="X44" s="1217"/>
      <c r="Y44" s="1217"/>
      <c r="Z44" s="2011"/>
      <c r="AA44" s="2012"/>
      <c r="AB44" s="1217"/>
      <c r="AC44" s="103">
        <f>IF(B41,5,2)</f>
        <v>5</v>
      </c>
      <c r="AD44" s="101" t="s">
        <v>384</v>
      </c>
      <c r="AE44" s="42" t="s">
        <v>385</v>
      </c>
      <c r="AF44" s="60">
        <v>612.99</v>
      </c>
      <c r="AG44" s="60">
        <v>612.99</v>
      </c>
      <c r="AH44" s="60">
        <v>612.99</v>
      </c>
      <c r="AI44" s="60">
        <v>612.99</v>
      </c>
      <c r="AJ44" s="108"/>
      <c r="AK44" s="1217"/>
      <c r="AL44" s="1217"/>
      <c r="AM44" s="906" t="s">
        <v>386</v>
      </c>
      <c r="AN44" s="906"/>
      <c r="AO44" s="906"/>
      <c r="AP44" s="906"/>
      <c r="AQ44" s="542"/>
      <c r="AR44" s="542"/>
      <c r="AS44" s="1217"/>
      <c r="AT44" s="1217"/>
      <c r="AU44" s="1217"/>
      <c r="AV44" s="1217"/>
      <c r="AW44" s="1217"/>
      <c r="AX44" s="1217"/>
      <c r="AY44" s="1217"/>
      <c r="AZ44" s="1217"/>
      <c r="BA44" s="1217"/>
      <c r="BB44" s="1217"/>
      <c r="BC44" s="1217"/>
      <c r="BD44" s="1217"/>
      <c r="BE44" s="1217"/>
    </row>
    <row r="45" spans="1:57" s="461" customFormat="1" ht="14.25" hidden="1" customHeight="1" x14ac:dyDescent="0.15">
      <c r="A45" s="1217"/>
      <c r="B45" s="872" t="b">
        <f>AND(T39="Водоотведение",method_reg&lt;&gt;"Метод сравнения аналогов")</f>
        <v>0</v>
      </c>
      <c r="C45" s="1217"/>
      <c r="D45" s="1217"/>
      <c r="E45" s="553">
        <v>15</v>
      </c>
      <c r="F45" s="62" t="str" cm="1">
        <f t="array" aca="1" ref="F45" ca="1">OFFSET(E45,-1,1)</f>
        <v>1</v>
      </c>
      <c r="G45" s="407"/>
      <c r="H45" s="41" t="s">
        <v>331</v>
      </c>
      <c r="I45" s="41" t="s">
        <v>372</v>
      </c>
      <c r="J45" s="41" t="str">
        <f t="shared" si="1"/>
        <v>Биологические очистные сооружения::ед.</v>
      </c>
      <c r="K45" s="43"/>
      <c r="L45" s="1217"/>
      <c r="M45" s="1217"/>
      <c r="N45" s="1217"/>
      <c r="O45" s="1217"/>
      <c r="P45" s="1217"/>
      <c r="Q45" s="1217"/>
      <c r="R45" s="1217"/>
      <c r="S45" s="1217"/>
      <c r="T45" s="1217"/>
      <c r="U45" s="1217"/>
      <c r="V45" s="388" t="b" cm="1">
        <f t="array" ref="V45">V44</f>
        <v>1</v>
      </c>
      <c r="W45" s="1217"/>
      <c r="X45" s="1217"/>
      <c r="Y45" s="1217"/>
      <c r="Z45" s="2011"/>
      <c r="AA45" s="2012"/>
      <c r="AB45" s="1217"/>
      <c r="AC45" s="103">
        <v>1</v>
      </c>
      <c r="AD45" s="101" t="s">
        <v>387</v>
      </c>
      <c r="AE45" s="42" t="s">
        <v>374</v>
      </c>
      <c r="AF45" s="1356"/>
      <c r="AG45" s="1356"/>
      <c r="AH45" s="1356"/>
      <c r="AI45" s="1356"/>
      <c r="AJ45" s="1357"/>
      <c r="AK45" s="1217"/>
      <c r="AL45" s="1217"/>
      <c r="AM45" s="906" t="s">
        <v>388</v>
      </c>
      <c r="AN45" s="906"/>
      <c r="AO45" s="906"/>
      <c r="AP45" s="906"/>
      <c r="AQ45" s="542"/>
      <c r="AR45" s="542"/>
      <c r="AS45" s="1217"/>
      <c r="AT45" s="1217"/>
      <c r="AU45" s="1217"/>
      <c r="AV45" s="1217"/>
      <c r="AW45" s="1217"/>
      <c r="AX45" s="1217"/>
      <c r="AY45" s="1217"/>
      <c r="AZ45" s="1217"/>
      <c r="BA45" s="1217"/>
      <c r="BB45" s="1217"/>
      <c r="BC45" s="1217"/>
      <c r="BD45" s="1217"/>
      <c r="BE45" s="1217"/>
    </row>
    <row r="46" spans="1:57" s="461" customFormat="1" ht="14.25" hidden="1" customHeight="1" x14ac:dyDescent="0.15">
      <c r="A46" s="1217"/>
      <c r="B46" s="872" t="b">
        <f>T39="Водоотведение"</f>
        <v>0</v>
      </c>
      <c r="C46" s="1217"/>
      <c r="D46" s="1217"/>
      <c r="E46" s="553">
        <v>15</v>
      </c>
      <c r="F46" s="62" t="str" cm="1">
        <f t="array" aca="1" ref="F46" ca="1">OFFSET(E46,-1,1)</f>
        <v>1</v>
      </c>
      <c r="G46" s="62" t="s">
        <v>49</v>
      </c>
      <c r="H46" s="41" t="s">
        <v>331</v>
      </c>
      <c r="I46" s="41" t="s">
        <v>372</v>
      </c>
      <c r="J46" s="41" t="str">
        <f t="shared" si="1"/>
        <v>Канализационные насосные станции::ед.</v>
      </c>
      <c r="K46" s="1217"/>
      <c r="L46" s="1217"/>
      <c r="M46" s="1217"/>
      <c r="N46" s="1217"/>
      <c r="O46" s="1217"/>
      <c r="P46" s="1217"/>
      <c r="Q46" s="1217"/>
      <c r="R46" s="1217"/>
      <c r="S46" s="1217"/>
      <c r="T46" s="1217"/>
      <c r="U46" s="1217"/>
      <c r="V46" s="388" t="b" cm="1">
        <f t="array" ref="V46">V45</f>
        <v>1</v>
      </c>
      <c r="W46" s="1217"/>
      <c r="X46" s="1217"/>
      <c r="Y46" s="1217"/>
      <c r="Z46" s="2011"/>
      <c r="AA46" s="2012"/>
      <c r="AB46" s="1217"/>
      <c r="AC46" s="103">
        <f>IF(B45,2,1)</f>
        <v>1</v>
      </c>
      <c r="AD46" s="101" t="s">
        <v>389</v>
      </c>
      <c r="AE46" s="42" t="s">
        <v>374</v>
      </c>
      <c r="AF46" s="1356"/>
      <c r="AG46" s="1356"/>
      <c r="AH46" s="1356"/>
      <c r="AI46" s="1356"/>
      <c r="AJ46" s="1357"/>
      <c r="AK46" s="1217"/>
      <c r="AL46" s="1217"/>
      <c r="AM46" s="906" t="s">
        <v>390</v>
      </c>
      <c r="AN46" s="906"/>
      <c r="AO46" s="906"/>
      <c r="AP46" s="906"/>
      <c r="AQ46" s="542"/>
      <c r="AR46" s="542"/>
      <c r="AS46" s="1217"/>
      <c r="AT46" s="1217"/>
      <c r="AU46" s="1217"/>
      <c r="AV46" s="1217"/>
      <c r="AW46" s="1217"/>
      <c r="AX46" s="1217"/>
      <c r="AY46" s="1217"/>
      <c r="AZ46" s="1217"/>
      <c r="BA46" s="1217"/>
      <c r="BB46" s="1217"/>
      <c r="BC46" s="1217"/>
      <c r="BD46" s="1217"/>
      <c r="BE46" s="1217"/>
    </row>
    <row r="47" spans="1:57" s="461" customFormat="1" ht="14.25" hidden="1" customHeight="1" x14ac:dyDescent="0.15">
      <c r="A47" s="1217"/>
      <c r="B47" s="872" t="b" cm="1">
        <f t="array" ref="B47">B46</f>
        <v>0</v>
      </c>
      <c r="C47" s="1217"/>
      <c r="D47" s="1217"/>
      <c r="E47" s="553">
        <v>15</v>
      </c>
      <c r="F47" s="62" t="str" cm="1">
        <f t="array" aca="1" ref="F47" ca="1">OFFSET(E47,-1,1)</f>
        <v>1</v>
      </c>
      <c r="G47" s="62"/>
      <c r="H47" s="41" t="s">
        <v>331</v>
      </c>
      <c r="I47" s="41" t="s">
        <v>372</v>
      </c>
      <c r="J47" s="41" t="str">
        <f t="shared" si="1"/>
        <v>Канализационные сети::км</v>
      </c>
      <c r="K47" s="1217"/>
      <c r="L47" s="41" t="s">
        <v>49</v>
      </c>
      <c r="M47" s="1217"/>
      <c r="N47" s="1217"/>
      <c r="O47" s="1217"/>
      <c r="P47" s="41" t="s">
        <v>382</v>
      </c>
      <c r="Q47" s="41" t="s">
        <v>383</v>
      </c>
      <c r="R47" s="1217"/>
      <c r="S47" s="1217"/>
      <c r="T47" s="1217"/>
      <c r="U47" s="1217"/>
      <c r="V47" s="388" t="b" cm="1">
        <f t="array" ref="V47">V46</f>
        <v>1</v>
      </c>
      <c r="W47" s="1217"/>
      <c r="X47" s="1217"/>
      <c r="Y47" s="1217"/>
      <c r="Z47" s="2011"/>
      <c r="AA47" s="2012"/>
      <c r="AB47" s="1217"/>
      <c r="AC47" s="103">
        <f>AC46+1</f>
        <v>2</v>
      </c>
      <c r="AD47" s="101" t="s">
        <v>391</v>
      </c>
      <c r="AE47" s="42" t="s">
        <v>385</v>
      </c>
      <c r="AF47" s="1358"/>
      <c r="AG47" s="1358"/>
      <c r="AH47" s="60"/>
      <c r="AI47" s="60"/>
      <c r="AJ47" s="1357"/>
      <c r="AK47" s="1217"/>
      <c r="AL47" s="1217"/>
      <c r="AM47" s="906" t="s">
        <v>392</v>
      </c>
      <c r="AN47" s="906"/>
      <c r="AO47" s="906"/>
      <c r="AP47" s="906"/>
      <c r="AQ47" s="542"/>
      <c r="AR47" s="542"/>
      <c r="AS47" s="1217"/>
      <c r="AT47" s="1217"/>
      <c r="AU47" s="1217"/>
      <c r="AV47" s="1217"/>
      <c r="AW47" s="1217"/>
      <c r="AX47" s="1217"/>
      <c r="AY47" s="1217"/>
      <c r="AZ47" s="1217"/>
      <c r="BA47" s="1217"/>
      <c r="BB47" s="1217"/>
      <c r="BC47" s="1217"/>
      <c r="BD47" s="1217"/>
      <c r="BE47" s="1217"/>
    </row>
    <row r="48" spans="1:57" s="930" customFormat="1" ht="14.25" hidden="1" customHeight="1" x14ac:dyDescent="0.15">
      <c r="B48" s="350"/>
      <c r="E48" s="561">
        <v>15</v>
      </c>
      <c r="F48" s="62" t="str" cm="1">
        <f t="array" aca="1" ref="F48" ca="1">OFFSET(E48,-1,1)</f>
        <v>1</v>
      </c>
      <c r="G48" s="62"/>
      <c r="H48" s="43" t="s">
        <v>331</v>
      </c>
      <c r="I48" s="43" t="s">
        <v>372</v>
      </c>
      <c r="J48" s="43" t="str">
        <f t="shared" si="1"/>
        <v>::</v>
      </c>
      <c r="U48" s="41">
        <v>0</v>
      </c>
      <c r="V48" s="388" t="b">
        <f ca="1">AND(F48&gt;0,U48&gt;0)</f>
        <v>0</v>
      </c>
      <c r="Y48" s="677" t="s">
        <v>172</v>
      </c>
      <c r="Z48" s="2011"/>
      <c r="AA48" s="2012"/>
      <c r="AB48" s="342" t="s">
        <v>173</v>
      </c>
      <c r="AC48" s="103">
        <f ca="1">IF(OFFSET(C48,-8-U48,-1),5,IF(OFFSET(C48,-3-U48,-1),3,2))+U48</f>
        <v>5</v>
      </c>
      <c r="AD48" s="1359"/>
      <c r="AE48" s="1360"/>
      <c r="AF48" s="1361"/>
      <c r="AG48" s="1361"/>
      <c r="AH48" s="1361"/>
      <c r="AI48" s="1361"/>
      <c r="AJ48" s="1362"/>
      <c r="AM48" s="914" t="s">
        <v>393</v>
      </c>
      <c r="AN48" s="914" t="s">
        <v>394</v>
      </c>
      <c r="AO48" s="917" cm="1">
        <f t="array" ref="AO48">AD48</f>
        <v>0</v>
      </c>
      <c r="AP48" s="917" cm="1">
        <f t="array" ref="AP48">AE48</f>
        <v>0</v>
      </c>
      <c r="AQ48" s="615"/>
      <c r="AR48" s="615" t="b">
        <v>1</v>
      </c>
    </row>
    <row r="49" spans="1:57" s="461" customFormat="1" ht="14.25" customHeight="1" x14ac:dyDescent="0.15">
      <c r="A49" s="1217"/>
      <c r="B49" s="350"/>
      <c r="C49" s="1217"/>
      <c r="D49" s="1217"/>
      <c r="E49" s="553">
        <v>15</v>
      </c>
      <c r="F49" s="62" t="str" cm="1">
        <f t="array" aca="1" ref="F49" ca="1">OFFSET(E49,-1,1)</f>
        <v>1</v>
      </c>
      <c r="G49" s="62"/>
      <c r="H49" s="1217"/>
      <c r="I49" s="1217"/>
      <c r="J49" s="40" t="s">
        <v>395</v>
      </c>
      <c r="K49" s="1217"/>
      <c r="L49" s="1217"/>
      <c r="M49" s="1217"/>
      <c r="N49" s="1217"/>
      <c r="O49" s="1217"/>
      <c r="P49" s="1217"/>
      <c r="Q49" s="1217"/>
      <c r="R49" s="1217"/>
      <c r="S49" s="1217"/>
      <c r="T49" s="1217"/>
      <c r="U49" s="1217"/>
      <c r="V49" s="388" t="b" cm="1">
        <f t="array" ref="V49">V47</f>
        <v>1</v>
      </c>
      <c r="W49" s="1217"/>
      <c r="X49" s="1217"/>
      <c r="Y49" s="677" t="s">
        <v>396</v>
      </c>
      <c r="Z49" s="2011"/>
      <c r="AA49" s="2012"/>
      <c r="AB49" s="1217"/>
      <c r="AC49" s="94"/>
      <c r="AD49" s="225" t="s">
        <v>176</v>
      </c>
      <c r="AE49" s="95"/>
      <c r="AF49" s="95"/>
      <c r="AG49" s="95"/>
      <c r="AH49" s="95"/>
      <c r="AI49" s="95"/>
      <c r="AJ49" s="106"/>
      <c r="AK49" s="1217"/>
      <c r="AL49" s="1217"/>
      <c r="AM49" s="906"/>
      <c r="AN49" s="906"/>
      <c r="AO49" s="906"/>
      <c r="AP49" s="906"/>
      <c r="AQ49" s="542" t="s">
        <v>394</v>
      </c>
      <c r="AR49" s="542"/>
      <c r="AS49" s="1217"/>
      <c r="AT49" s="1217"/>
      <c r="AU49" s="1217"/>
      <c r="AV49" s="1217"/>
      <c r="AW49" s="1217"/>
      <c r="AX49" s="1217"/>
      <c r="AY49" s="1217"/>
      <c r="AZ49" s="1217"/>
      <c r="BA49" s="1217"/>
      <c r="BB49" s="1217"/>
      <c r="BC49" s="1217"/>
      <c r="BD49" s="1217"/>
      <c r="BE49" s="1217"/>
    </row>
    <row r="50" spans="1:57" s="461" customFormat="1" ht="14.25" customHeight="1" x14ac:dyDescent="0.15">
      <c r="A50" s="1217"/>
      <c r="B50" s="350"/>
      <c r="C50" s="1217"/>
      <c r="D50" s="1217"/>
      <c r="E50" s="553">
        <v>15</v>
      </c>
      <c r="F50" s="62" t="str" cm="1">
        <f t="array" aca="1" ref="F50" ca="1">OFFSET(E50,-1,1)</f>
        <v>1</v>
      </c>
      <c r="G50" s="62"/>
      <c r="H50" s="41" t="s">
        <v>332</v>
      </c>
      <c r="I50" s="41" t="s">
        <v>372</v>
      </c>
      <c r="J50" s="285" t="str" cm="1">
        <f t="array" ref="J50">AD50</f>
        <v>Краткое описание технологического процесса</v>
      </c>
      <c r="K50" s="1217"/>
      <c r="L50" s="1217"/>
      <c r="M50" s="1217"/>
      <c r="N50" s="1217"/>
      <c r="O50" s="1217"/>
      <c r="P50" s="1217"/>
      <c r="Q50" s="1217"/>
      <c r="R50" s="1217"/>
      <c r="S50" s="1217"/>
      <c r="T50" s="1217"/>
      <c r="U50" s="1217"/>
      <c r="V50" s="388" t="b" cm="1">
        <f t="array" ref="V50">V49</f>
        <v>1</v>
      </c>
      <c r="W50" s="1217"/>
      <c r="X50" s="1217"/>
      <c r="Y50" s="1217"/>
      <c r="Z50" s="2011"/>
      <c r="AA50" s="2012"/>
      <c r="AB50" s="1217"/>
      <c r="AC50" s="103"/>
      <c r="AD50" s="101" t="s">
        <v>397</v>
      </c>
      <c r="AE50" s="42"/>
      <c r="AF50" s="2029" t="s">
        <v>399</v>
      </c>
      <c r="AG50" s="2030"/>
      <c r="AH50" s="2030"/>
      <c r="AI50" s="2030"/>
      <c r="AJ50" s="2031"/>
      <c r="AK50" s="1217"/>
      <c r="AL50" s="1217"/>
      <c r="AM50" s="906" t="s">
        <v>398</v>
      </c>
      <c r="AN50" s="906"/>
      <c r="AO50" s="906"/>
      <c r="AP50" s="906"/>
      <c r="AQ50" s="542"/>
      <c r="AR50" s="542"/>
      <c r="AS50" s="1217"/>
      <c r="AT50" s="1217"/>
      <c r="AU50" s="1217"/>
      <c r="AV50" s="1217"/>
      <c r="AW50" s="1217"/>
      <c r="AX50" s="1217"/>
      <c r="AY50" s="1217"/>
      <c r="AZ50" s="1217"/>
      <c r="BA50" s="1217"/>
      <c r="BB50" s="1217"/>
      <c r="BC50" s="1217"/>
      <c r="BD50" s="1217"/>
      <c r="BE50" s="1217"/>
    </row>
    <row r="51" spans="1:57" s="461" customFormat="1" ht="14.25" customHeight="1" x14ac:dyDescent="0.15">
      <c r="A51" s="1217"/>
      <c r="B51" s="350"/>
      <c r="C51" s="1217"/>
      <c r="D51" s="1217"/>
      <c r="E51" s="553">
        <v>15</v>
      </c>
      <c r="F51" s="41" t="str" cm="1">
        <f t="array" ref="F51">Z51</f>
        <v>2</v>
      </c>
      <c r="G51" s="1217"/>
      <c r="H51" s="1217"/>
      <c r="I51" s="1217"/>
      <c r="J51" s="1217"/>
      <c r="K51" s="1217"/>
      <c r="L51" s="1217"/>
      <c r="M51" s="1217"/>
      <c r="N51" s="1217"/>
      <c r="O51" s="1217"/>
      <c r="P51" s="1217"/>
      <c r="Q51" s="1217"/>
      <c r="R51" s="1217"/>
      <c r="S51" s="1217"/>
      <c r="T51" s="990" t="str" cm="1">
        <f t="array" ref="T51">INDEX('Общие сведения'!$AE$185:$AE$228,MATCH($Z51,'Общие сведения'!$Z$185:$Z$228,0))</f>
        <v>Водоотведение</v>
      </c>
      <c r="U51" s="1217"/>
      <c r="V51" s="388" t="b">
        <f>Z51&gt;0</f>
        <v>1</v>
      </c>
      <c r="W51" s="1217"/>
      <c r="X51" s="41" t="str" cm="1">
        <f t="array" ref="X51">'Список территорий'!$AB$33</f>
        <v>Тариф 2 (Водоотведение) - тариф на водоотведение</v>
      </c>
      <c r="Y51" s="1217"/>
      <c r="Z51" s="2011" t="s">
        <v>289</v>
      </c>
      <c r="AA51" s="2012"/>
      <c r="AB51" s="1217"/>
      <c r="AC51" s="99" t="str" cm="1">
        <f t="array" ref="AC51">'Список территорий'!$AB$33</f>
        <v>Тариф 2 (Водоотведение) - тариф на водоотведение</v>
      </c>
      <c r="AD51" s="99"/>
      <c r="AE51" s="93"/>
      <c r="AF51" s="93"/>
      <c r="AG51" s="93"/>
      <c r="AH51" s="93"/>
      <c r="AI51" s="93"/>
      <c r="AJ51" s="93"/>
      <c r="AK51" s="1217"/>
      <c r="AL51" s="1217"/>
      <c r="AM51" s="906"/>
      <c r="AN51" s="906"/>
      <c r="AO51" s="906"/>
      <c r="AP51" s="906"/>
      <c r="AQ51" s="542"/>
      <c r="AR51" s="542"/>
      <c r="AS51" s="1217"/>
      <c r="AT51" s="1217"/>
      <c r="AU51" s="1217"/>
      <c r="AV51" s="1217"/>
      <c r="AW51" s="1217"/>
      <c r="AX51" s="1217"/>
      <c r="AY51" s="1217"/>
      <c r="AZ51" s="1217"/>
      <c r="BA51" s="1217"/>
      <c r="BB51" s="1217"/>
      <c r="BC51" s="1217"/>
      <c r="BD51" s="1217"/>
      <c r="BE51" s="1217"/>
    </row>
    <row r="52" spans="1:57" s="461" customFormat="1" ht="14.25" hidden="1" customHeight="1" x14ac:dyDescent="0.15">
      <c r="A52" s="1217"/>
      <c r="B52" s="872" t="b">
        <f>AND(T51="Водоснабжение",method_reg&lt;&gt;"Метод сравнения аналогов")</f>
        <v>0</v>
      </c>
      <c r="C52" s="1217"/>
      <c r="D52" s="1217"/>
      <c r="E52" s="553">
        <v>15</v>
      </c>
      <c r="F52" s="62" t="str" cm="1">
        <f t="array" aca="1" ref="F52" ca="1">OFFSET(E52,-1,1)</f>
        <v>2</v>
      </c>
      <c r="G52" s="407"/>
      <c r="H52" s="41" t="s">
        <v>331</v>
      </c>
      <c r="I52" s="41" t="s">
        <v>372</v>
      </c>
      <c r="J52" s="41" t="str">
        <f t="shared" ref="J52:J60" si="2">AD52&amp;"::"&amp;AE52</f>
        <v>Водонасосные станции (водозаборные узлы)::ед.</v>
      </c>
      <c r="K52" s="43"/>
      <c r="L52" s="1217"/>
      <c r="M52" s="1217"/>
      <c r="N52" s="1217"/>
      <c r="O52" s="1217"/>
      <c r="P52" s="1217"/>
      <c r="Q52" s="1217"/>
      <c r="R52" s="1217"/>
      <c r="S52" s="1217"/>
      <c r="T52" s="1217"/>
      <c r="U52" s="1217"/>
      <c r="V52" s="388" t="b" cm="1">
        <f t="array" ref="V52">V51</f>
        <v>1</v>
      </c>
      <c r="W52" s="1217"/>
      <c r="X52" s="1217"/>
      <c r="Y52" s="1217"/>
      <c r="Z52" s="2011"/>
      <c r="AA52" s="2012"/>
      <c r="AB52" s="1217"/>
      <c r="AC52" s="103">
        <v>1</v>
      </c>
      <c r="AD52" s="101" t="s">
        <v>373</v>
      </c>
      <c r="AE52" s="42" t="s">
        <v>374</v>
      </c>
      <c r="AF52" s="1356"/>
      <c r="AG52" s="1356"/>
      <c r="AH52" s="1356"/>
      <c r="AI52" s="1356"/>
      <c r="AJ52" s="1357"/>
      <c r="AK52" s="1217"/>
      <c r="AL52" s="1217"/>
      <c r="AM52" s="906" t="s">
        <v>375</v>
      </c>
      <c r="AN52" s="906"/>
      <c r="AO52" s="906"/>
      <c r="AP52" s="906"/>
      <c r="AQ52" s="542"/>
      <c r="AR52" s="542"/>
      <c r="AS52" s="1217"/>
      <c r="AT52" s="1217"/>
      <c r="AU52" s="1217"/>
      <c r="AV52" s="1217"/>
      <c r="AW52" s="1217"/>
      <c r="AX52" s="1217"/>
      <c r="AY52" s="1217"/>
      <c r="AZ52" s="1217"/>
      <c r="BA52" s="1217"/>
      <c r="BB52" s="1217"/>
      <c r="BC52" s="1217"/>
      <c r="BD52" s="1217"/>
      <c r="BE52" s="1217"/>
    </row>
    <row r="53" spans="1:57" s="461" customFormat="1" ht="14.25" hidden="1" customHeight="1" x14ac:dyDescent="0.15">
      <c r="A53" s="1217"/>
      <c r="B53" s="872" t="b" cm="1">
        <f t="array" ref="B53">B52</f>
        <v>0</v>
      </c>
      <c r="C53" s="1217"/>
      <c r="D53" s="1217"/>
      <c r="E53" s="553">
        <v>15</v>
      </c>
      <c r="F53" s="62" t="str" cm="1">
        <f t="array" aca="1" ref="F53" ca="1">OFFSET(E53,-1,1)</f>
        <v>2</v>
      </c>
      <c r="G53" s="62"/>
      <c r="H53" s="41" t="s">
        <v>331</v>
      </c>
      <c r="I53" s="41" t="s">
        <v>372</v>
      </c>
      <c r="J53" s="41" t="str">
        <f t="shared" si="2"/>
        <v>Скважины::ед.</v>
      </c>
      <c r="K53" s="1217"/>
      <c r="L53" s="1217"/>
      <c r="M53" s="1217"/>
      <c r="N53" s="1217"/>
      <c r="O53" s="1217"/>
      <c r="P53" s="1217"/>
      <c r="Q53" s="1217"/>
      <c r="R53" s="1217"/>
      <c r="S53" s="1217"/>
      <c r="T53" s="1217"/>
      <c r="U53" s="1217"/>
      <c r="V53" s="388" t="b" cm="1">
        <f t="array" ref="V53">V52</f>
        <v>1</v>
      </c>
      <c r="W53" s="1217"/>
      <c r="X53" s="1217"/>
      <c r="Y53" s="1217"/>
      <c r="Z53" s="2011"/>
      <c r="AA53" s="2012"/>
      <c r="AB53" s="1217"/>
      <c r="AC53" s="103">
        <v>2</v>
      </c>
      <c r="AD53" s="101" t="s">
        <v>376</v>
      </c>
      <c r="AE53" s="42" t="s">
        <v>374</v>
      </c>
      <c r="AF53" s="1356"/>
      <c r="AG53" s="1356"/>
      <c r="AH53" s="1356"/>
      <c r="AI53" s="1356"/>
      <c r="AJ53" s="1357"/>
      <c r="AK53" s="1217"/>
      <c r="AL53" s="1217"/>
      <c r="AM53" s="906" t="s">
        <v>377</v>
      </c>
      <c r="AN53" s="906"/>
      <c r="AO53" s="906"/>
      <c r="AP53" s="906"/>
      <c r="AQ53" s="542"/>
      <c r="AR53" s="542"/>
      <c r="AS53" s="1217"/>
      <c r="AT53" s="1217"/>
      <c r="AU53" s="1217"/>
      <c r="AV53" s="1217"/>
      <c r="AW53" s="1217"/>
      <c r="AX53" s="1217"/>
      <c r="AY53" s="1217"/>
      <c r="AZ53" s="1217"/>
      <c r="BA53" s="1217"/>
      <c r="BB53" s="1217"/>
      <c r="BC53" s="1217"/>
      <c r="BD53" s="1217"/>
      <c r="BE53" s="1217"/>
    </row>
    <row r="54" spans="1:57" s="461" customFormat="1" ht="14.25" hidden="1" customHeight="1" x14ac:dyDescent="0.15">
      <c r="A54" s="1217"/>
      <c r="B54" s="872" t="b">
        <f>T51="Водоснабжение"</f>
        <v>0</v>
      </c>
      <c r="C54" s="1217"/>
      <c r="D54" s="1217"/>
      <c r="E54" s="553">
        <v>15</v>
      </c>
      <c r="F54" s="62" t="str" cm="1">
        <f t="array" aca="1" ref="F54" ca="1">OFFSET(E54,-1,1)</f>
        <v>2</v>
      </c>
      <c r="G54" s="62" t="s">
        <v>49</v>
      </c>
      <c r="H54" s="41" t="s">
        <v>331</v>
      </c>
      <c r="I54" s="41" t="s">
        <v>372</v>
      </c>
      <c r="J54" s="41" t="str">
        <f t="shared" si="2"/>
        <v>Подкачивающие насосные станции::ед.</v>
      </c>
      <c r="K54" s="1217"/>
      <c r="L54" s="41" t="s">
        <v>49</v>
      </c>
      <c r="M54" s="1217"/>
      <c r="N54" s="1217"/>
      <c r="O54" s="1217"/>
      <c r="P54" s="1217"/>
      <c r="Q54" s="1217"/>
      <c r="R54" s="1217"/>
      <c r="S54" s="1217"/>
      <c r="T54" s="1217"/>
      <c r="U54" s="1217"/>
      <c r="V54" s="388" t="b" cm="1">
        <f t="array" ref="V54">V53</f>
        <v>1</v>
      </c>
      <c r="W54" s="1217"/>
      <c r="X54" s="1217"/>
      <c r="Y54" s="1217"/>
      <c r="Z54" s="2011"/>
      <c r="AA54" s="2012"/>
      <c r="AB54" s="1217"/>
      <c r="AC54" s="103">
        <f>IF(B53,3,1)</f>
        <v>1</v>
      </c>
      <c r="AD54" s="101" t="s">
        <v>378</v>
      </c>
      <c r="AE54" s="42" t="s">
        <v>374</v>
      </c>
      <c r="AF54" s="1356"/>
      <c r="AG54" s="1356"/>
      <c r="AH54" s="1356"/>
      <c r="AI54" s="1356"/>
      <c r="AJ54" s="1357"/>
      <c r="AK54" s="1217"/>
      <c r="AL54" s="1217"/>
      <c r="AM54" s="906" t="s">
        <v>379</v>
      </c>
      <c r="AN54" s="906"/>
      <c r="AO54" s="906"/>
      <c r="AP54" s="906"/>
      <c r="AQ54" s="542"/>
      <c r="AR54" s="542"/>
      <c r="AS54" s="1217"/>
      <c r="AT54" s="1217"/>
      <c r="AU54" s="1217"/>
      <c r="AV54" s="1217"/>
      <c r="AW54" s="1217"/>
      <c r="AX54" s="1217"/>
      <c r="AY54" s="1217"/>
      <c r="AZ54" s="1217"/>
      <c r="BA54" s="1217"/>
      <c r="BB54" s="1217"/>
      <c r="BC54" s="1217"/>
      <c r="BD54" s="1217"/>
      <c r="BE54" s="1217"/>
    </row>
    <row r="55" spans="1:57" s="461" customFormat="1" ht="14.25" hidden="1" customHeight="1" x14ac:dyDescent="0.15">
      <c r="A55" s="1217"/>
      <c r="B55" s="872" t="b" cm="1">
        <f t="array" ref="B55">B53</f>
        <v>0</v>
      </c>
      <c r="C55" s="1217"/>
      <c r="D55" s="1217"/>
      <c r="E55" s="553">
        <v>15</v>
      </c>
      <c r="F55" s="62" t="str" cm="1">
        <f t="array" aca="1" ref="F55" ca="1">OFFSET(E55,-1,1)</f>
        <v>2</v>
      </c>
      <c r="G55" s="62"/>
      <c r="H55" s="41" t="s">
        <v>331</v>
      </c>
      <c r="I55" s="41" t="s">
        <v>372</v>
      </c>
      <c r="J55" s="41" t="str">
        <f t="shared" si="2"/>
        <v>Водонапорные башни::ед.</v>
      </c>
      <c r="K55" s="1217"/>
      <c r="L55" s="1217"/>
      <c r="M55" s="1217"/>
      <c r="N55" s="1217"/>
      <c r="O55" s="1217"/>
      <c r="P55" s="1217"/>
      <c r="Q55" s="1217"/>
      <c r="R55" s="1217"/>
      <c r="S55" s="1217"/>
      <c r="T55" s="1217"/>
      <c r="U55" s="1217"/>
      <c r="V55" s="388" t="b" cm="1">
        <f t="array" ref="V55">V54</f>
        <v>1</v>
      </c>
      <c r="W55" s="1217"/>
      <c r="X55" s="1217"/>
      <c r="Y55" s="1217"/>
      <c r="Z55" s="2011"/>
      <c r="AA55" s="2012"/>
      <c r="AB55" s="1217"/>
      <c r="AC55" s="103">
        <v>4</v>
      </c>
      <c r="AD55" s="101" t="s">
        <v>380</v>
      </c>
      <c r="AE55" s="42" t="s">
        <v>374</v>
      </c>
      <c r="AF55" s="1356"/>
      <c r="AG55" s="1356"/>
      <c r="AH55" s="1356"/>
      <c r="AI55" s="1356"/>
      <c r="AJ55" s="1357"/>
      <c r="AK55" s="1217"/>
      <c r="AL55" s="1217"/>
      <c r="AM55" s="906" t="s">
        <v>381</v>
      </c>
      <c r="AN55" s="906"/>
      <c r="AO55" s="906"/>
      <c r="AP55" s="906"/>
      <c r="AQ55" s="542"/>
      <c r="AR55" s="542"/>
      <c r="AS55" s="1217"/>
      <c r="AT55" s="1217"/>
      <c r="AU55" s="1217"/>
      <c r="AV55" s="1217"/>
      <c r="AW55" s="1217"/>
      <c r="AX55" s="1217"/>
      <c r="AY55" s="1217"/>
      <c r="AZ55" s="1217"/>
      <c r="BA55" s="1217"/>
      <c r="BB55" s="1217"/>
      <c r="BC55" s="1217"/>
      <c r="BD55" s="1217"/>
      <c r="BE55" s="1217"/>
    </row>
    <row r="56" spans="1:57" s="461" customFormat="1" ht="14.25" hidden="1" customHeight="1" x14ac:dyDescent="0.15">
      <c r="A56" s="1217"/>
      <c r="B56" s="872" t="b">
        <f>T51="Водоснабжение"</f>
        <v>0</v>
      </c>
      <c r="C56" s="1217"/>
      <c r="D56" s="1217"/>
      <c r="E56" s="553">
        <v>15</v>
      </c>
      <c r="F56" s="62" t="str" cm="1">
        <f t="array" aca="1" ref="F56" ca="1">OFFSET(E56,-1,1)</f>
        <v>2</v>
      </c>
      <c r="G56" s="62"/>
      <c r="H56" s="41" t="s">
        <v>331</v>
      </c>
      <c r="I56" s="41" t="s">
        <v>372</v>
      </c>
      <c r="J56" s="41" t="str">
        <f t="shared" si="2"/>
        <v>Водопроводные сети::км</v>
      </c>
      <c r="K56" s="1217"/>
      <c r="L56" s="1217"/>
      <c r="M56" s="1217"/>
      <c r="N56" s="1217"/>
      <c r="O56" s="1217"/>
      <c r="P56" s="41" t="s">
        <v>382</v>
      </c>
      <c r="Q56" s="41" t="s">
        <v>383</v>
      </c>
      <c r="R56" s="1217"/>
      <c r="S56" s="1217"/>
      <c r="T56" s="1217"/>
      <c r="U56" s="1217"/>
      <c r="V56" s="388" t="b" cm="1">
        <f t="array" ref="V56">V55</f>
        <v>1</v>
      </c>
      <c r="W56" s="1217"/>
      <c r="X56" s="1217"/>
      <c r="Y56" s="1217"/>
      <c r="Z56" s="2011"/>
      <c r="AA56" s="2012"/>
      <c r="AB56" s="1217"/>
      <c r="AC56" s="103">
        <f>IF(B53,5,2)</f>
        <v>2</v>
      </c>
      <c r="AD56" s="101" t="s">
        <v>384</v>
      </c>
      <c r="AE56" s="42" t="s">
        <v>385</v>
      </c>
      <c r="AF56" s="1358"/>
      <c r="AG56" s="1358"/>
      <c r="AH56" s="60"/>
      <c r="AI56" s="60"/>
      <c r="AJ56" s="1357"/>
      <c r="AK56" s="1217"/>
      <c r="AL56" s="1217"/>
      <c r="AM56" s="906" t="s">
        <v>386</v>
      </c>
      <c r="AN56" s="906"/>
      <c r="AO56" s="906"/>
      <c r="AP56" s="906"/>
      <c r="AQ56" s="542"/>
      <c r="AR56" s="542"/>
      <c r="AS56" s="1217"/>
      <c r="AT56" s="1217"/>
      <c r="AU56" s="1217"/>
      <c r="AV56" s="1217"/>
      <c r="AW56" s="1217"/>
      <c r="AX56" s="1217"/>
      <c r="AY56" s="1217"/>
      <c r="AZ56" s="1217"/>
      <c r="BA56" s="1217"/>
      <c r="BB56" s="1217"/>
      <c r="BC56" s="1217"/>
      <c r="BD56" s="1217"/>
      <c r="BE56" s="1217"/>
    </row>
    <row r="57" spans="1:57" s="461" customFormat="1" ht="14.25" customHeight="1" x14ac:dyDescent="0.15">
      <c r="A57" s="1217"/>
      <c r="B57" s="872" t="b">
        <f>AND(T51="Водоотведение",method_reg&lt;&gt;"Метод сравнения аналогов")</f>
        <v>1</v>
      </c>
      <c r="C57" s="1217"/>
      <c r="D57" s="1217"/>
      <c r="E57" s="553">
        <v>15</v>
      </c>
      <c r="F57" s="62" t="str" cm="1">
        <f t="array" aca="1" ref="F57" ca="1">OFFSET(E57,-1,1)</f>
        <v>2</v>
      </c>
      <c r="G57" s="407"/>
      <c r="H57" s="41" t="s">
        <v>331</v>
      </c>
      <c r="I57" s="41" t="s">
        <v>372</v>
      </c>
      <c r="J57" s="41" t="str">
        <f t="shared" si="2"/>
        <v>Биологические очистные сооружения::ед.</v>
      </c>
      <c r="K57" s="43"/>
      <c r="L57" s="1217"/>
      <c r="M57" s="1217"/>
      <c r="N57" s="1217"/>
      <c r="O57" s="1217"/>
      <c r="P57" s="1217"/>
      <c r="Q57" s="1217"/>
      <c r="R57" s="1217"/>
      <c r="S57" s="1217"/>
      <c r="T57" s="1217"/>
      <c r="U57" s="1217"/>
      <c r="V57" s="388" t="b" cm="1">
        <f t="array" ref="V57">V56</f>
        <v>1</v>
      </c>
      <c r="W57" s="1217"/>
      <c r="X57" s="1217"/>
      <c r="Y57" s="1217"/>
      <c r="Z57" s="2011"/>
      <c r="AA57" s="2012"/>
      <c r="AB57" s="1217"/>
      <c r="AC57" s="103">
        <v>1</v>
      </c>
      <c r="AD57" s="101" t="s">
        <v>387</v>
      </c>
      <c r="AE57" s="42" t="s">
        <v>374</v>
      </c>
      <c r="AF57" s="107">
        <v>1</v>
      </c>
      <c r="AG57" s="107">
        <v>1</v>
      </c>
      <c r="AH57" s="107">
        <v>1</v>
      </c>
      <c r="AI57" s="107">
        <v>1</v>
      </c>
      <c r="AJ57" s="108"/>
      <c r="AK57" s="1217"/>
      <c r="AL57" s="1217"/>
      <c r="AM57" s="906" t="s">
        <v>388</v>
      </c>
      <c r="AN57" s="906"/>
      <c r="AO57" s="906"/>
      <c r="AP57" s="906"/>
      <c r="AQ57" s="542"/>
      <c r="AR57" s="542"/>
      <c r="AS57" s="1217"/>
      <c r="AT57" s="1217"/>
      <c r="AU57" s="1217"/>
      <c r="AV57" s="1217"/>
      <c r="AW57" s="1217"/>
      <c r="AX57" s="1217"/>
      <c r="AY57" s="1217"/>
      <c r="AZ57" s="1217"/>
      <c r="BA57" s="1217"/>
      <c r="BB57" s="1217"/>
      <c r="BC57" s="1217"/>
      <c r="BD57" s="1217"/>
      <c r="BE57" s="1217"/>
    </row>
    <row r="58" spans="1:57" s="461" customFormat="1" ht="14.25" customHeight="1" x14ac:dyDescent="0.15">
      <c r="A58" s="1217"/>
      <c r="B58" s="872" t="b">
        <f>T51="Водоотведение"</f>
        <v>1</v>
      </c>
      <c r="C58" s="1217"/>
      <c r="D58" s="1217"/>
      <c r="E58" s="553">
        <v>15</v>
      </c>
      <c r="F58" s="62" t="str" cm="1">
        <f t="array" aca="1" ref="F58" ca="1">OFFSET(E58,-1,1)</f>
        <v>2</v>
      </c>
      <c r="G58" s="62" t="s">
        <v>49</v>
      </c>
      <c r="H58" s="41" t="s">
        <v>331</v>
      </c>
      <c r="I58" s="41" t="s">
        <v>372</v>
      </c>
      <c r="J58" s="41" t="str">
        <f t="shared" si="2"/>
        <v>Канализационные насосные станции::ед.</v>
      </c>
      <c r="K58" s="1217"/>
      <c r="L58" s="1217"/>
      <c r="M58" s="1217"/>
      <c r="N58" s="1217"/>
      <c r="O58" s="1217"/>
      <c r="P58" s="1217"/>
      <c r="Q58" s="1217"/>
      <c r="R58" s="1217"/>
      <c r="S58" s="1217"/>
      <c r="T58" s="1217"/>
      <c r="U58" s="1217"/>
      <c r="V58" s="388" t="b" cm="1">
        <f t="array" ref="V58">V57</f>
        <v>1</v>
      </c>
      <c r="W58" s="1217"/>
      <c r="X58" s="1217"/>
      <c r="Y58" s="1217"/>
      <c r="Z58" s="2011"/>
      <c r="AA58" s="2012"/>
      <c r="AB58" s="1217"/>
      <c r="AC58" s="103">
        <f>IF(B57,2,1)</f>
        <v>2</v>
      </c>
      <c r="AD58" s="101" t="s">
        <v>389</v>
      </c>
      <c r="AE58" s="42" t="s">
        <v>374</v>
      </c>
      <c r="AF58" s="107">
        <v>11</v>
      </c>
      <c r="AG58" s="107">
        <v>11</v>
      </c>
      <c r="AH58" s="107">
        <v>11</v>
      </c>
      <c r="AI58" s="107">
        <v>11</v>
      </c>
      <c r="AJ58" s="108"/>
      <c r="AK58" s="1217"/>
      <c r="AL58" s="1217"/>
      <c r="AM58" s="906" t="s">
        <v>390</v>
      </c>
      <c r="AN58" s="906"/>
      <c r="AO58" s="906"/>
      <c r="AP58" s="906"/>
      <c r="AQ58" s="542"/>
      <c r="AR58" s="542"/>
      <c r="AS58" s="1217"/>
      <c r="AT58" s="1217"/>
      <c r="AU58" s="1217"/>
      <c r="AV58" s="1217"/>
      <c r="AW58" s="1217"/>
      <c r="AX58" s="1217"/>
      <c r="AY58" s="1217"/>
      <c r="AZ58" s="1217"/>
      <c r="BA58" s="1217"/>
      <c r="BB58" s="1217"/>
      <c r="BC58" s="1217"/>
      <c r="BD58" s="1217"/>
      <c r="BE58" s="1217"/>
    </row>
    <row r="59" spans="1:57" s="461" customFormat="1" ht="14.25" customHeight="1" x14ac:dyDescent="0.15">
      <c r="A59" s="1217"/>
      <c r="B59" s="872" t="b" cm="1">
        <f t="array" ref="B59">B58</f>
        <v>1</v>
      </c>
      <c r="C59" s="1217"/>
      <c r="D59" s="1217"/>
      <c r="E59" s="553">
        <v>15</v>
      </c>
      <c r="F59" s="62" t="str" cm="1">
        <f t="array" aca="1" ref="F59" ca="1">OFFSET(E59,-1,1)</f>
        <v>2</v>
      </c>
      <c r="G59" s="62"/>
      <c r="H59" s="41" t="s">
        <v>331</v>
      </c>
      <c r="I59" s="41" t="s">
        <v>372</v>
      </c>
      <c r="J59" s="41" t="str">
        <f t="shared" si="2"/>
        <v>Канализационные сети::км</v>
      </c>
      <c r="K59" s="1217"/>
      <c r="L59" s="41" t="s">
        <v>49</v>
      </c>
      <c r="M59" s="1217"/>
      <c r="N59" s="1217"/>
      <c r="O59" s="1217"/>
      <c r="P59" s="41" t="s">
        <v>382</v>
      </c>
      <c r="Q59" s="41" t="s">
        <v>383</v>
      </c>
      <c r="R59" s="1217"/>
      <c r="S59" s="1217"/>
      <c r="T59" s="1217"/>
      <c r="U59" s="1217"/>
      <c r="V59" s="388" t="b" cm="1">
        <f t="array" ref="V59">V58</f>
        <v>1</v>
      </c>
      <c r="W59" s="1217"/>
      <c r="X59" s="1217"/>
      <c r="Y59" s="1217"/>
      <c r="Z59" s="2011"/>
      <c r="AA59" s="2012"/>
      <c r="AB59" s="1217"/>
      <c r="AC59" s="103">
        <f>AC58+1</f>
        <v>3</v>
      </c>
      <c r="AD59" s="101" t="s">
        <v>391</v>
      </c>
      <c r="AE59" s="42" t="s">
        <v>385</v>
      </c>
      <c r="AF59" s="60">
        <v>117.1</v>
      </c>
      <c r="AG59" s="60">
        <v>117.1</v>
      </c>
      <c r="AH59" s="60">
        <v>117.1</v>
      </c>
      <c r="AI59" s="60">
        <v>117.1</v>
      </c>
      <c r="AJ59" s="108"/>
      <c r="AK59" s="1217"/>
      <c r="AL59" s="1217"/>
      <c r="AM59" s="906" t="s">
        <v>392</v>
      </c>
      <c r="AN59" s="906"/>
      <c r="AO59" s="906"/>
      <c r="AP59" s="906"/>
      <c r="AQ59" s="542"/>
      <c r="AR59" s="542"/>
      <c r="AS59" s="1217"/>
      <c r="AT59" s="1217"/>
      <c r="AU59" s="1217"/>
      <c r="AV59" s="1217"/>
      <c r="AW59" s="1217"/>
      <c r="AX59" s="1217"/>
      <c r="AY59" s="1217"/>
      <c r="AZ59" s="1217"/>
      <c r="BA59" s="1217"/>
      <c r="BB59" s="1217"/>
      <c r="BC59" s="1217"/>
      <c r="BD59" s="1217"/>
      <c r="BE59" s="1217"/>
    </row>
    <row r="60" spans="1:57" s="930" customFormat="1" ht="14.25" hidden="1" customHeight="1" x14ac:dyDescent="0.15">
      <c r="B60" s="350"/>
      <c r="E60" s="561">
        <v>15</v>
      </c>
      <c r="F60" s="62" t="str" cm="1">
        <f t="array" aca="1" ref="F60" ca="1">OFFSET(E60,-1,1)</f>
        <v>2</v>
      </c>
      <c r="G60" s="62"/>
      <c r="H60" s="43" t="s">
        <v>331</v>
      </c>
      <c r="I60" s="43" t="s">
        <v>372</v>
      </c>
      <c r="J60" s="43" t="str">
        <f t="shared" si="2"/>
        <v>::</v>
      </c>
      <c r="U60" s="41">
        <v>0</v>
      </c>
      <c r="V60" s="388" t="b">
        <f ca="1">AND(F60&gt;0,U60&gt;0)</f>
        <v>0</v>
      </c>
      <c r="Y60" s="677" t="s">
        <v>172</v>
      </c>
      <c r="Z60" s="2011"/>
      <c r="AA60" s="2012"/>
      <c r="AB60" s="342" t="s">
        <v>173</v>
      </c>
      <c r="AC60" s="103">
        <f ca="1">IF(OFFSET(C60,-8-U60,-1),5,IF(OFFSET(C60,-3-U60,-1),3,2))+U60</f>
        <v>3</v>
      </c>
      <c r="AD60" s="1359"/>
      <c r="AE60" s="1360"/>
      <c r="AF60" s="1361"/>
      <c r="AG60" s="1361"/>
      <c r="AH60" s="1361"/>
      <c r="AI60" s="1361"/>
      <c r="AJ60" s="1362"/>
      <c r="AM60" s="914" t="s">
        <v>393</v>
      </c>
      <c r="AN60" s="914" t="s">
        <v>394</v>
      </c>
      <c r="AO60" s="917" cm="1">
        <f t="array" ref="AO60">AD60</f>
        <v>0</v>
      </c>
      <c r="AP60" s="917" cm="1">
        <f t="array" ref="AP60">AE60</f>
        <v>0</v>
      </c>
      <c r="AQ60" s="615"/>
      <c r="AR60" s="615" t="b">
        <v>1</v>
      </c>
    </row>
    <row r="61" spans="1:57" s="461" customFormat="1" ht="14.25" customHeight="1" x14ac:dyDescent="0.15">
      <c r="A61" s="1217"/>
      <c r="B61" s="350"/>
      <c r="C61" s="1217"/>
      <c r="D61" s="1217"/>
      <c r="E61" s="553">
        <v>15</v>
      </c>
      <c r="F61" s="62" t="str" cm="1">
        <f t="array" aca="1" ref="F61" ca="1">OFFSET(E61,-1,1)</f>
        <v>2</v>
      </c>
      <c r="G61" s="62"/>
      <c r="H61" s="1217"/>
      <c r="I61" s="1217"/>
      <c r="J61" s="40" t="s">
        <v>395</v>
      </c>
      <c r="K61" s="1217"/>
      <c r="L61" s="1217"/>
      <c r="M61" s="1217"/>
      <c r="N61" s="1217"/>
      <c r="O61" s="1217"/>
      <c r="P61" s="1217"/>
      <c r="Q61" s="1217"/>
      <c r="R61" s="1217"/>
      <c r="S61" s="1217"/>
      <c r="T61" s="1217"/>
      <c r="U61" s="1217"/>
      <c r="V61" s="388" t="b" cm="1">
        <f t="array" ref="V61">V59</f>
        <v>1</v>
      </c>
      <c r="W61" s="1217"/>
      <c r="X61" s="1217"/>
      <c r="Y61" s="677" t="s">
        <v>396</v>
      </c>
      <c r="Z61" s="2011"/>
      <c r="AA61" s="2012"/>
      <c r="AB61" s="1217"/>
      <c r="AC61" s="94"/>
      <c r="AD61" s="225" t="s">
        <v>176</v>
      </c>
      <c r="AE61" s="95"/>
      <c r="AF61" s="95"/>
      <c r="AG61" s="95"/>
      <c r="AH61" s="95"/>
      <c r="AI61" s="95"/>
      <c r="AJ61" s="106"/>
      <c r="AK61" s="1217"/>
      <c r="AL61" s="1217"/>
      <c r="AM61" s="906"/>
      <c r="AN61" s="906"/>
      <c r="AO61" s="906"/>
      <c r="AP61" s="906"/>
      <c r="AQ61" s="542" t="s">
        <v>394</v>
      </c>
      <c r="AR61" s="542"/>
      <c r="AS61" s="1217"/>
      <c r="AT61" s="1217"/>
      <c r="AU61" s="1217"/>
      <c r="AV61" s="1217"/>
      <c r="AW61" s="1217"/>
      <c r="AX61" s="1217"/>
      <c r="AY61" s="1217"/>
      <c r="AZ61" s="1217"/>
      <c r="BA61" s="1217"/>
      <c r="BB61" s="1217"/>
      <c r="BC61" s="1217"/>
      <c r="BD61" s="1217"/>
      <c r="BE61" s="1217"/>
    </row>
    <row r="62" spans="1:57" s="461" customFormat="1" ht="96.75" customHeight="1" x14ac:dyDescent="0.15">
      <c r="A62" s="1217"/>
      <c r="B62" s="350"/>
      <c r="C62" s="1217"/>
      <c r="D62" s="1217"/>
      <c r="E62" s="553">
        <v>15</v>
      </c>
      <c r="F62" s="62" t="str" cm="1">
        <f t="array" aca="1" ref="F62" ca="1">OFFSET(E62,-1,1)</f>
        <v>2</v>
      </c>
      <c r="G62" s="62"/>
      <c r="H62" s="41" t="s">
        <v>332</v>
      </c>
      <c r="I62" s="41" t="s">
        <v>372</v>
      </c>
      <c r="J62" s="285" t="str" cm="1">
        <f t="array" ref="J62">AD62</f>
        <v>Краткое описание технологического процесса</v>
      </c>
      <c r="K62" s="1217"/>
      <c r="L62" s="1217"/>
      <c r="M62" s="1217"/>
      <c r="N62" s="1217"/>
      <c r="O62" s="1217"/>
      <c r="P62" s="1217"/>
      <c r="Q62" s="1217"/>
      <c r="R62" s="1217"/>
      <c r="S62" s="1217"/>
      <c r="T62" s="1217"/>
      <c r="U62" s="1217"/>
      <c r="V62" s="388" t="b" cm="1">
        <f t="array" ref="V62">V61</f>
        <v>1</v>
      </c>
      <c r="W62" s="1217"/>
      <c r="X62" s="1217"/>
      <c r="Y62" s="1217"/>
      <c r="Z62" s="2011"/>
      <c r="AA62" s="2012"/>
      <c r="AB62" s="1217"/>
      <c r="AC62" s="103"/>
      <c r="AD62" s="101" t="s">
        <v>397</v>
      </c>
      <c r="AE62" s="42"/>
      <c r="AF62" s="2029" t="s">
        <v>400</v>
      </c>
      <c r="AG62" s="2030"/>
      <c r="AH62" s="2030"/>
      <c r="AI62" s="2030"/>
      <c r="AJ62" s="2031"/>
      <c r="AK62" s="1217"/>
      <c r="AL62" s="1217"/>
      <c r="AM62" s="906" t="s">
        <v>398</v>
      </c>
      <c r="AN62" s="906"/>
      <c r="AO62" s="906"/>
      <c r="AP62" s="906"/>
      <c r="AQ62" s="542"/>
      <c r="AR62" s="542"/>
      <c r="AS62" s="1217"/>
      <c r="AT62" s="1217"/>
      <c r="AU62" s="1217"/>
      <c r="AV62" s="1217"/>
      <c r="AW62" s="1217"/>
      <c r="AX62" s="1217"/>
      <c r="AY62" s="1217"/>
      <c r="AZ62" s="1217"/>
      <c r="BA62" s="1217"/>
      <c r="BB62" s="1217"/>
      <c r="BC62" s="1217"/>
      <c r="BD62" s="1217"/>
      <c r="BE62" s="1217"/>
    </row>
    <row r="63" spans="1:57" s="1217" customFormat="1" ht="14.65" customHeight="1" x14ac:dyDescent="0.15">
      <c r="B63" s="350"/>
      <c r="E63" s="553">
        <v>15</v>
      </c>
      <c r="F63" s="285"/>
      <c r="G63" s="285"/>
      <c r="J63" s="285"/>
      <c r="W63" s="41" t="s">
        <v>176</v>
      </c>
      <c r="X63" s="59" t="s">
        <v>401</v>
      </c>
      <c r="Z63" s="17"/>
      <c r="AC63" s="435"/>
      <c r="AD63" s="33"/>
      <c r="AE63" s="436"/>
      <c r="AF63" s="860"/>
      <c r="AG63" s="860"/>
      <c r="AH63" s="860"/>
      <c r="AI63" s="860"/>
      <c r="AJ63" s="860"/>
      <c r="AM63" s="906"/>
      <c r="AN63" s="906"/>
      <c r="AO63" s="906"/>
      <c r="AP63" s="906"/>
      <c r="AQ63" s="542"/>
      <c r="AR63" s="542"/>
    </row>
    <row r="64" spans="1:57" s="1214" customFormat="1" ht="11.65" customHeight="1" x14ac:dyDescent="0.15">
      <c r="B64" s="434"/>
      <c r="E64" s="558">
        <v>12</v>
      </c>
      <c r="Q64" s="405"/>
      <c r="R64" s="405"/>
      <c r="S64" s="405"/>
      <c r="T64" s="405"/>
      <c r="U64" s="412"/>
      <c r="V64" s="412"/>
      <c r="W64" s="427"/>
      <c r="X64" s="412"/>
      <c r="Y64" s="412"/>
      <c r="Z64" s="412"/>
      <c r="AA64" s="412"/>
      <c r="AB64" s="412"/>
      <c r="AC64" s="2016" t="s">
        <v>402</v>
      </c>
      <c r="AD64" s="2017"/>
      <c r="AE64" s="2017"/>
      <c r="AF64" s="2017"/>
      <c r="AG64" s="2017"/>
      <c r="AH64" s="2017"/>
      <c r="AI64" s="2017"/>
      <c r="AJ64" s="2018"/>
      <c r="AK64" s="4"/>
      <c r="AL64" s="4"/>
      <c r="AM64" s="915"/>
      <c r="AN64" s="915"/>
      <c r="AO64" s="915"/>
      <c r="AP64" s="915"/>
      <c r="AQ64" s="599"/>
      <c r="AR64" s="599"/>
      <c r="AS64" s="4"/>
      <c r="AT64" s="4"/>
      <c r="AU64" s="4"/>
      <c r="AV64" s="4"/>
      <c r="AW64" s="4"/>
      <c r="AX64" s="4"/>
      <c r="AY64" s="4"/>
      <c r="AZ64" s="4"/>
      <c r="BA64" s="4"/>
      <c r="BB64" s="4"/>
      <c r="BC64" s="4"/>
      <c r="BD64" s="4"/>
      <c r="BE64" s="412"/>
    </row>
    <row r="65" spans="2:57" s="1214" customFormat="1" ht="14.65" customHeight="1" x14ac:dyDescent="0.15">
      <c r="B65" s="349"/>
      <c r="E65" s="556">
        <v>15</v>
      </c>
      <c r="Q65" s="337"/>
      <c r="R65" s="337"/>
      <c r="S65" s="337"/>
      <c r="T65" s="337"/>
      <c r="U65" s="412"/>
      <c r="V65" s="412"/>
      <c r="W65" s="427"/>
      <c r="X65" s="412"/>
      <c r="Y65" s="412"/>
      <c r="Z65" s="412"/>
      <c r="AA65" s="412"/>
      <c r="AB65" s="585"/>
      <c r="AC65" s="2019"/>
      <c r="AD65" s="2020"/>
      <c r="AE65" s="2020"/>
      <c r="AF65" s="2020"/>
      <c r="AG65" s="2020"/>
      <c r="AH65" s="2020"/>
      <c r="AI65" s="2020"/>
      <c r="AJ65" s="2021"/>
      <c r="AK65" s="4"/>
      <c r="AL65" s="4"/>
      <c r="AM65" s="915"/>
      <c r="AN65" s="915"/>
      <c r="AO65" s="915"/>
      <c r="AP65" s="915"/>
      <c r="AQ65" s="599"/>
      <c r="AR65" s="599"/>
      <c r="AS65" s="4"/>
      <c r="AT65" s="4"/>
      <c r="AU65" s="4"/>
      <c r="AV65" s="4"/>
      <c r="AW65" s="4"/>
      <c r="AX65" s="4"/>
      <c r="AY65" s="4"/>
      <c r="AZ65" s="4"/>
      <c r="BA65" s="4"/>
      <c r="BB65" s="4"/>
      <c r="BC65" s="4"/>
      <c r="BD65" s="4"/>
      <c r="BE65" s="412"/>
    </row>
    <row r="66" spans="2:57" s="1214" customFormat="1" ht="14.65" hidden="1" customHeight="1" x14ac:dyDescent="0.15">
      <c r="B66" s="349"/>
      <c r="E66" s="556">
        <v>15</v>
      </c>
      <c r="Q66" s="337"/>
      <c r="R66" s="337"/>
      <c r="S66" s="337"/>
      <c r="T66" s="337"/>
      <c r="V66" s="388" t="b">
        <f>ROW(Y66)&gt;ROW(X$66)</f>
        <v>0</v>
      </c>
      <c r="W66" s="427"/>
      <c r="Y66" s="677" t="s">
        <v>172</v>
      </c>
      <c r="Z66" s="412"/>
      <c r="AA66" s="412"/>
      <c r="AB66" s="586" t="s">
        <v>173</v>
      </c>
      <c r="AC66" s="2022"/>
      <c r="AD66" s="2023"/>
      <c r="AE66" s="2023"/>
      <c r="AF66" s="2023"/>
      <c r="AG66" s="2023"/>
      <c r="AH66" s="2023"/>
      <c r="AI66" s="2023"/>
      <c r="AJ66" s="2024"/>
      <c r="AK66" s="4"/>
      <c r="AL66" s="4"/>
      <c r="AM66" s="915"/>
      <c r="AN66" s="915"/>
      <c r="AO66" s="915"/>
      <c r="AP66" s="915"/>
      <c r="AQ66" s="599"/>
      <c r="AR66" s="599"/>
      <c r="AS66" s="4"/>
      <c r="AT66" s="4"/>
      <c r="AU66" s="4"/>
      <c r="AV66" s="4"/>
      <c r="AW66" s="4"/>
      <c r="AX66" s="4"/>
      <c r="AY66" s="4"/>
      <c r="AZ66" s="4"/>
      <c r="BA66" s="4"/>
      <c r="BB66" s="4"/>
      <c r="BC66" s="4"/>
      <c r="BD66" s="4"/>
      <c r="BE66" s="412"/>
    </row>
    <row r="67" spans="2:57" s="1214" customFormat="1" ht="14.65" customHeight="1" x14ac:dyDescent="0.15">
      <c r="B67" s="349"/>
      <c r="E67" s="556">
        <v>15</v>
      </c>
      <c r="Q67" s="337"/>
      <c r="R67" s="337"/>
      <c r="S67" s="337"/>
      <c r="T67" s="337"/>
      <c r="U67" s="412"/>
      <c r="V67" s="412"/>
      <c r="W67" s="412"/>
      <c r="Y67" s="677" t="s">
        <v>403</v>
      </c>
      <c r="Z67" s="412"/>
      <c r="AA67" s="412"/>
      <c r="AB67" s="412"/>
      <c r="AC67" s="571"/>
      <c r="AD67" s="97" t="s">
        <v>404</v>
      </c>
      <c r="AE67" s="428"/>
      <c r="AF67" s="429"/>
      <c r="AG67" s="429"/>
      <c r="AH67" s="429"/>
      <c r="AI67" s="429"/>
      <c r="AJ67" s="588"/>
      <c r="AK67" s="4"/>
      <c r="AL67" s="4"/>
      <c r="AM67" s="915"/>
      <c r="AN67" s="915"/>
      <c r="AO67" s="915"/>
      <c r="AP67" s="915"/>
      <c r="AQ67" s="599"/>
      <c r="AR67" s="599"/>
      <c r="AS67" s="4"/>
      <c r="AT67" s="4"/>
      <c r="AU67" s="4"/>
      <c r="AV67" s="4"/>
      <c r="AW67" s="4"/>
      <c r="AX67" s="4"/>
      <c r="AY67" s="4"/>
      <c r="AZ67" s="4"/>
      <c r="BA67" s="4"/>
      <c r="BB67" s="4"/>
      <c r="BC67" s="4"/>
      <c r="BD67" s="4"/>
      <c r="BE67" s="412"/>
    </row>
    <row r="68" spans="2:57" s="1334" customFormat="1" ht="11.25" customHeight="1" x14ac:dyDescent="0.15">
      <c r="B68" s="582"/>
      <c r="E68" s="560"/>
      <c r="F68" s="4"/>
      <c r="G68" s="4"/>
      <c r="H68" s="4"/>
      <c r="I68" s="4"/>
      <c r="J68" s="4"/>
      <c r="AD68" s="19"/>
      <c r="AE68" s="19"/>
      <c r="AF68" s="19"/>
      <c r="AG68" s="19"/>
      <c r="AK68"/>
      <c r="AM68" s="913"/>
      <c r="AN68" s="913"/>
      <c r="AO68" s="913"/>
      <c r="AP68" s="913"/>
      <c r="AQ68" s="548"/>
      <c r="AR68" s="916"/>
    </row>
    <row r="69" spans="2:57" s="1334" customFormat="1" ht="11.25" hidden="1" customHeight="1" x14ac:dyDescent="0.15">
      <c r="B69" s="582"/>
      <c r="E69" s="560"/>
      <c r="F69" s="4"/>
      <c r="G69" s="4"/>
      <c r="H69" s="4"/>
      <c r="I69" s="4"/>
      <c r="J69" s="4"/>
      <c r="AD69" s="19"/>
      <c r="AE69" s="19"/>
      <c r="AF69" s="19"/>
      <c r="AG69" s="19"/>
      <c r="AM69" s="913"/>
      <c r="AN69" s="913"/>
      <c r="AO69" s="913"/>
      <c r="AP69" s="913"/>
      <c r="AQ69" s="548"/>
      <c r="AR69" s="916"/>
    </row>
  </sheetData>
  <sheetProtection formatColumns="0" formatRows="0" insertRows="0" deleteColumns="0" deleteRows="0" sort="0" autoFilter="0"/>
  <mergeCells count="18">
    <mergeCell ref="AC66:AJ66"/>
    <mergeCell ref="AC22:AJ22"/>
    <mergeCell ref="AG23:AH23"/>
    <mergeCell ref="AC24:AC25"/>
    <mergeCell ref="AD24:AD25"/>
    <mergeCell ref="AE24:AE25"/>
    <mergeCell ref="AJ24:AJ25"/>
    <mergeCell ref="AF50:AJ50"/>
    <mergeCell ref="AF62:AJ62"/>
    <mergeCell ref="Z27:Z38"/>
    <mergeCell ref="AA27:AA38"/>
    <mergeCell ref="AF38:AJ38"/>
    <mergeCell ref="AC64:AJ64"/>
    <mergeCell ref="AC65:AJ65"/>
    <mergeCell ref="Z39:Z50"/>
    <mergeCell ref="AA39:AA50"/>
    <mergeCell ref="Z51:Z62"/>
    <mergeCell ref="AA51:AA62"/>
  </mergeCells>
  <dataValidations count="2">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AF52 AG52 AH52 AI52 AF53 AG53 AH53 AI53 AF54 AG54 AH54 AI54 AF55 AG55 AH55 AI55 AF57 AG57 AH57 AI57 AF58 AG58 AH58 AI58" xr:uid="{00000000-0002-0000-0600-000000000000}">
      <formula1>0</formula1>
      <formula2>9.99999999999999E+23</formula2>
    </dataValidation>
    <dataValidation type="decimal" allowBlank="1" showErrorMessage="1" errorTitle="Ошибка" error="Допускается ввод только неотрицательных чисел!" sqref="AF32:AI32 AF35:AI36 AF44 AG44 AH44 AI44 AF47 AG47 AH47 AI47 AF48 AG48 AH48 AI48 AF56 AG56 AH56 AI56 AF59 AG59 AH59 AI59 AF60 AG60 AH60 AI60" xr:uid="{00000000-0002-0000-0600-000001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AAA08-3218-2E08-BEED-7C71E24B5238}">
  <sheetPr>
    <tabColor theme="3" tint="0.59999389629810485"/>
    <outlinePr summaryBelow="0" summaryRight="0"/>
    <pageSetUpPr fitToPage="1"/>
  </sheetPr>
  <dimension ref="A1:AS72"/>
  <sheetViews>
    <sheetView showGridLines="0" workbookViewId="0">
      <pane xSplit="29" ySplit="24" topLeftCell="AD30" activePane="bottomRight" state="frozen"/>
      <selection pane="topRight" activeCell="AD1" sqref="AD1"/>
      <selection pane="bottomLeft" activeCell="A25" sqref="A25"/>
      <selection pane="bottomRight" activeCell="AH34" sqref="AH34"/>
    </sheetView>
  </sheetViews>
  <sheetFormatPr defaultColWidth="8.7109375" defaultRowHeight="11.25" customHeight="1" x14ac:dyDescent="0.15"/>
  <cols>
    <col min="1" max="1" width="3.5703125" style="492" hidden="1" customWidth="1"/>
    <col min="2" max="2" width="8.5703125" style="1088" hidden="1" customWidth="1"/>
    <col min="3" max="4" width="3.5703125" style="492" hidden="1" customWidth="1"/>
    <col min="5" max="5" width="3.5703125" style="794" hidden="1" customWidth="1"/>
    <col min="6" max="6" width="4" style="492" hidden="1" customWidth="1"/>
    <col min="7" max="8" width="3.5703125" style="492" hidden="1" customWidth="1"/>
    <col min="9" max="9" width="12.42578125" style="492" hidden="1" customWidth="1"/>
    <col min="10" max="18" width="3.5703125" style="492" hidden="1" customWidth="1"/>
    <col min="19" max="19" width="3.5703125" style="1194" hidden="1" customWidth="1"/>
    <col min="20" max="20" width="6.140625" style="1194" hidden="1" customWidth="1"/>
    <col min="21" max="21" width="10.140625" style="1194" hidden="1" customWidth="1"/>
    <col min="22" max="22" width="5.85546875" style="1194" hidden="1" customWidth="1"/>
    <col min="23" max="24" width="6.140625" style="1194" hidden="1" customWidth="1"/>
    <col min="25" max="25" width="5.5703125" style="1194" hidden="1" customWidth="1"/>
    <col min="26" max="26" width="5.28515625" style="1194" hidden="1" customWidth="1"/>
    <col min="27" max="27" width="3" style="492" customWidth="1"/>
    <col min="28" max="28" width="11" style="33" customWidth="1"/>
    <col min="29" max="29" width="70" style="33" customWidth="1"/>
    <col min="30" max="30" width="15" style="33" customWidth="1"/>
    <col min="31" max="31" width="20" style="33" customWidth="1"/>
    <col min="32" max="32" width="20" style="39" customWidth="1"/>
    <col min="33" max="34" width="20" style="33" customWidth="1"/>
    <col min="35" max="35" width="3" style="492" customWidth="1"/>
    <col min="36" max="36" width="8.7109375" style="492" hidden="1"/>
    <col min="37" max="43" width="8.7109375" style="903" hidden="1"/>
    <col min="44" max="44" width="8.7109375" style="874" hidden="1"/>
    <col min="45" max="45" width="8.7109375" style="551" hidden="1"/>
  </cols>
  <sheetData>
    <row r="1" spans="1:45" s="492" customFormat="1" ht="11.25" hidden="1" customHeight="1" x14ac:dyDescent="0.15">
      <c r="B1" s="351"/>
      <c r="E1" s="786"/>
      <c r="F1" s="67" t="s">
        <v>319</v>
      </c>
      <c r="S1" s="871"/>
      <c r="T1" s="871"/>
      <c r="U1" s="388" t="s">
        <v>92</v>
      </c>
      <c r="V1" s="388" t="s">
        <v>97</v>
      </c>
      <c r="W1" s="388" t="s">
        <v>93</v>
      </c>
      <c r="X1" s="388" t="s">
        <v>94</v>
      </c>
      <c r="Y1" s="388" t="s">
        <v>95</v>
      </c>
      <c r="Z1" s="388" t="s">
        <v>99</v>
      </c>
      <c r="AA1" s="390" t="s">
        <v>96</v>
      </c>
      <c r="AB1" s="390" t="s">
        <v>321</v>
      </c>
      <c r="AC1" s="390" t="s">
        <v>98</v>
      </c>
      <c r="AF1" s="123"/>
      <c r="AK1" s="897" t="s">
        <v>322</v>
      </c>
      <c r="AL1" s="901" t="s">
        <v>323</v>
      </c>
      <c r="AM1" s="901" t="s">
        <v>324</v>
      </c>
      <c r="AN1" s="901" t="s">
        <v>405</v>
      </c>
      <c r="AO1" s="901" t="s">
        <v>406</v>
      </c>
      <c r="AP1" s="901" t="s">
        <v>407</v>
      </c>
      <c r="AQ1" s="901" t="s">
        <v>408</v>
      </c>
      <c r="AR1" s="184" t="s">
        <v>327</v>
      </c>
      <c r="AS1" s="184" t="s">
        <v>328</v>
      </c>
    </row>
    <row r="2" spans="1:45" s="1088" customFormat="1" ht="11.25" hidden="1" customHeight="1" x14ac:dyDescent="0.15">
      <c r="B2" s="872" t="s">
        <v>18</v>
      </c>
      <c r="S2" s="579"/>
      <c r="T2" s="579"/>
      <c r="U2" s="579"/>
      <c r="V2" s="579"/>
      <c r="W2" s="579"/>
      <c r="X2" s="579"/>
      <c r="Y2" s="579"/>
      <c r="Z2" s="579"/>
      <c r="AK2" s="902"/>
      <c r="AL2" s="902"/>
      <c r="AM2" s="902"/>
      <c r="AN2" s="902"/>
      <c r="AO2" s="902"/>
      <c r="AP2" s="902"/>
      <c r="AQ2" s="902"/>
      <c r="AR2" s="911"/>
      <c r="AS2" s="911"/>
    </row>
    <row r="3" spans="1:45" s="492" customFormat="1" ht="11.25" hidden="1" customHeight="1" x14ac:dyDescent="0.15">
      <c r="B3" s="351"/>
      <c r="E3" s="786"/>
      <c r="S3" s="871"/>
      <c r="T3" s="871"/>
      <c r="U3" s="871"/>
      <c r="V3" s="871"/>
      <c r="W3" s="871"/>
      <c r="X3" s="871"/>
      <c r="Y3" s="871"/>
      <c r="Z3" s="871"/>
      <c r="AF3" s="123"/>
      <c r="AK3" s="903"/>
      <c r="AL3" s="903"/>
      <c r="AM3" s="903"/>
      <c r="AN3" s="903"/>
      <c r="AO3" s="903"/>
      <c r="AP3" s="903"/>
      <c r="AQ3" s="903"/>
      <c r="AR3" s="874"/>
      <c r="AS3" s="874"/>
    </row>
    <row r="4" spans="1:45" s="492" customFormat="1" ht="11.25" hidden="1" customHeight="1" x14ac:dyDescent="0.15">
      <c r="B4" s="351"/>
      <c r="E4" s="786"/>
      <c r="S4" s="871"/>
      <c r="T4" s="871"/>
      <c r="U4" s="871"/>
      <c r="V4" s="871"/>
      <c r="W4" s="871"/>
      <c r="X4" s="871"/>
      <c r="Y4" s="871"/>
      <c r="Z4" s="871"/>
      <c r="AF4" s="123"/>
      <c r="AK4" s="903"/>
      <c r="AL4" s="903"/>
      <c r="AM4" s="903"/>
      <c r="AN4" s="903"/>
      <c r="AO4" s="903"/>
      <c r="AP4" s="903"/>
      <c r="AQ4" s="903"/>
      <c r="AR4" s="874"/>
      <c r="AS4" s="874"/>
    </row>
    <row r="5" spans="1:45" s="794" customFormat="1" ht="11.25" hidden="1" customHeight="1" x14ac:dyDescent="0.15">
      <c r="A5" s="786"/>
      <c r="B5" s="351"/>
      <c r="C5" s="786"/>
      <c r="D5" s="786"/>
      <c r="E5" s="787" t="s">
        <v>19</v>
      </c>
      <c r="S5" s="899"/>
      <c r="T5" s="899"/>
      <c r="U5" s="899"/>
      <c r="V5" s="899"/>
      <c r="W5" s="899"/>
      <c r="X5" s="899"/>
      <c r="Y5" s="899"/>
      <c r="Z5" s="899"/>
      <c r="AA5" s="545">
        <v>3</v>
      </c>
      <c r="AB5" s="545">
        <v>11</v>
      </c>
      <c r="AC5" s="545">
        <v>70</v>
      </c>
      <c r="AD5" s="545">
        <v>15</v>
      </c>
      <c r="AE5" s="545">
        <v>20</v>
      </c>
      <c r="AF5" s="545">
        <v>20</v>
      </c>
      <c r="AG5" s="545">
        <v>20</v>
      </c>
      <c r="AH5" s="545">
        <v>20</v>
      </c>
      <c r="AI5" s="787">
        <v>3</v>
      </c>
      <c r="AK5" s="904"/>
      <c r="AL5" s="904"/>
      <c r="AM5" s="904"/>
      <c r="AN5" s="904"/>
      <c r="AO5" s="904"/>
      <c r="AP5" s="904"/>
      <c r="AQ5" s="904"/>
    </row>
    <row r="6" spans="1:45" s="492" customFormat="1" ht="11.25" hidden="1" customHeight="1" x14ac:dyDescent="0.15">
      <c r="B6" s="351"/>
      <c r="E6" s="787"/>
      <c r="S6" s="871"/>
      <c r="T6" s="871"/>
      <c r="U6" s="871"/>
      <c r="V6" s="871"/>
      <c r="W6" s="871"/>
      <c r="X6" s="871"/>
      <c r="Y6" s="871"/>
      <c r="Z6" s="871"/>
      <c r="AK6" s="903"/>
      <c r="AL6" s="903"/>
      <c r="AM6" s="903"/>
      <c r="AN6" s="903"/>
      <c r="AO6" s="903"/>
      <c r="AP6" s="903"/>
      <c r="AQ6" s="903"/>
      <c r="AR6" s="874"/>
      <c r="AS6" s="874"/>
    </row>
    <row r="7" spans="1:45" s="492" customFormat="1" ht="11.25" hidden="1" customHeight="1" x14ac:dyDescent="0.15">
      <c r="B7" s="351"/>
      <c r="E7" s="787"/>
      <c r="S7" s="871"/>
      <c r="T7" s="871"/>
      <c r="U7" s="871"/>
      <c r="V7" s="871"/>
      <c r="W7" s="871"/>
      <c r="X7" s="871"/>
      <c r="Y7" s="871"/>
      <c r="Z7" s="871"/>
      <c r="AE7" s="289"/>
      <c r="AF7" s="289"/>
      <c r="AG7" s="290"/>
      <c r="AH7" s="290"/>
      <c r="AK7" s="903"/>
      <c r="AL7" s="903"/>
      <c r="AM7" s="903"/>
      <c r="AN7" s="903"/>
      <c r="AO7" s="903"/>
      <c r="AP7" s="903"/>
      <c r="AQ7" s="903"/>
      <c r="AR7" s="874"/>
      <c r="AS7" s="874"/>
    </row>
    <row r="8" spans="1:45" s="492" customFormat="1" ht="11.25" hidden="1" customHeight="1" x14ac:dyDescent="0.15">
      <c r="B8" s="351"/>
      <c r="E8" s="787"/>
      <c r="S8" s="871"/>
      <c r="T8" s="871"/>
      <c r="U8" s="871"/>
      <c r="V8" s="871"/>
      <c r="W8" s="871"/>
      <c r="X8" s="871"/>
      <c r="Y8" s="871"/>
      <c r="Z8" s="871"/>
      <c r="AF8" s="123"/>
      <c r="AK8" s="903"/>
      <c r="AL8" s="903"/>
      <c r="AM8" s="903"/>
      <c r="AN8" s="903"/>
      <c r="AO8" s="903"/>
      <c r="AP8" s="903"/>
      <c r="AQ8" s="903"/>
      <c r="AR8" s="874"/>
      <c r="AS8" s="874"/>
    </row>
    <row r="9" spans="1:45" s="903" customFormat="1" ht="11.25" hidden="1" customHeight="1" x14ac:dyDescent="0.15">
      <c r="A9" s="897" t="s">
        <v>409</v>
      </c>
      <c r="B9" s="902"/>
      <c r="E9" s="904"/>
      <c r="S9" s="905"/>
      <c r="T9" s="905"/>
      <c r="U9" s="905"/>
      <c r="V9" s="905"/>
      <c r="W9" s="905"/>
      <c r="X9" s="905"/>
      <c r="Y9" s="905"/>
      <c r="Z9" s="905"/>
      <c r="AF9" s="901"/>
      <c r="AH9" s="903" t="str" cm="1">
        <f t="array" ref="AH9">AH24</f>
        <v>Срок действия</v>
      </c>
      <c r="AR9" s="874"/>
      <c r="AS9" s="874"/>
    </row>
    <row r="10" spans="1:45" s="903" customFormat="1" ht="11.25" hidden="1" customHeight="1" x14ac:dyDescent="0.15">
      <c r="A10" s="897" t="s">
        <v>337</v>
      </c>
      <c r="B10" s="902"/>
      <c r="E10" s="904"/>
      <c r="S10" s="905"/>
      <c r="T10" s="905"/>
      <c r="U10" s="905"/>
      <c r="V10" s="905"/>
      <c r="W10" s="905"/>
      <c r="X10" s="905"/>
      <c r="Y10" s="905"/>
      <c r="Z10" s="905"/>
      <c r="AC10" s="898" t="s">
        <v>324</v>
      </c>
      <c r="AD10" s="898" t="s">
        <v>405</v>
      </c>
      <c r="AE10" s="898" t="s">
        <v>406</v>
      </c>
      <c r="AF10" s="898" t="s">
        <v>407</v>
      </c>
      <c r="AG10" s="898" t="s">
        <v>408</v>
      </c>
      <c r="AR10" s="874"/>
      <c r="AS10" s="874"/>
    </row>
    <row r="11" spans="1:45" s="492" customFormat="1" ht="11.25" hidden="1" customHeight="1" x14ac:dyDescent="0.15">
      <c r="B11" s="351"/>
      <c r="E11" s="787"/>
      <c r="S11" s="871"/>
      <c r="T11" s="871"/>
      <c r="U11" s="871"/>
      <c r="V11" s="871"/>
      <c r="W11" s="871"/>
      <c r="X11" s="871"/>
      <c r="Y11" s="871"/>
      <c r="Z11" s="871"/>
      <c r="AF11" s="123"/>
      <c r="AK11" s="903"/>
      <c r="AL11" s="903"/>
      <c r="AM11" s="903"/>
      <c r="AN11" s="903"/>
      <c r="AO11" s="903"/>
      <c r="AP11" s="903"/>
      <c r="AQ11" s="903"/>
      <c r="AR11" s="874"/>
      <c r="AS11" s="874"/>
    </row>
    <row r="12" spans="1:45" s="492" customFormat="1" ht="11.25" hidden="1" customHeight="1" x14ac:dyDescent="0.15">
      <c r="B12" s="351"/>
      <c r="E12" s="787"/>
      <c r="S12" s="871"/>
      <c r="T12" s="871"/>
      <c r="U12" s="871"/>
      <c r="V12" s="871"/>
      <c r="W12" s="871"/>
      <c r="X12" s="871"/>
      <c r="Y12" s="871"/>
      <c r="Z12" s="871"/>
      <c r="AA12" s="871"/>
      <c r="AB12" s="871"/>
      <c r="AC12" s="900"/>
      <c r="AD12" s="900"/>
      <c r="AF12" s="123"/>
      <c r="AK12" s="903"/>
      <c r="AL12" s="903"/>
      <c r="AM12" s="903"/>
      <c r="AN12" s="903"/>
      <c r="AO12" s="903"/>
      <c r="AP12" s="903"/>
      <c r="AQ12" s="903"/>
      <c r="AR12" s="874"/>
      <c r="AS12" s="874"/>
    </row>
    <row r="13" spans="1:45" s="492" customFormat="1" ht="11.25" hidden="1" customHeight="1" x14ac:dyDescent="0.15">
      <c r="B13" s="351"/>
      <c r="E13" s="787"/>
      <c r="S13" s="871"/>
      <c r="T13" s="871"/>
      <c r="U13" s="871"/>
      <c r="V13" s="871"/>
      <c r="W13" s="871"/>
      <c r="X13" s="871"/>
      <c r="Y13" s="871"/>
      <c r="Z13" s="871"/>
      <c r="AA13" s="871"/>
      <c r="AB13" s="871"/>
      <c r="AC13" s="900"/>
      <c r="AD13" s="900"/>
      <c r="AE13" s="900"/>
      <c r="AF13" s="900"/>
      <c r="AK13" s="903"/>
      <c r="AL13" s="903"/>
      <c r="AM13" s="903"/>
      <c r="AN13" s="903"/>
      <c r="AO13" s="903"/>
      <c r="AP13" s="903"/>
      <c r="AQ13" s="903"/>
      <c r="AR13" s="874"/>
      <c r="AS13" s="874"/>
    </row>
    <row r="14" spans="1:45" s="492" customFormat="1" ht="11.25" hidden="1" customHeight="1" x14ac:dyDescent="0.15">
      <c r="B14" s="351"/>
      <c r="E14" s="787"/>
      <c r="S14" s="871"/>
      <c r="T14" s="871"/>
      <c r="U14" s="871"/>
      <c r="V14" s="871"/>
      <c r="W14" s="871"/>
      <c r="X14" s="871"/>
      <c r="Y14" s="871"/>
      <c r="Z14" s="871"/>
      <c r="AA14" s="871"/>
      <c r="AB14" s="871"/>
      <c r="AC14" s="900"/>
      <c r="AD14" s="900"/>
      <c r="AE14" s="900"/>
      <c r="AF14" s="900"/>
      <c r="AK14" s="903"/>
      <c r="AL14" s="903"/>
      <c r="AM14" s="903"/>
      <c r="AN14" s="903"/>
      <c r="AO14" s="903"/>
      <c r="AP14" s="903"/>
      <c r="AQ14" s="903"/>
      <c r="AR14" s="874"/>
      <c r="AS14" s="874"/>
    </row>
    <row r="15" spans="1:45" s="492" customFormat="1" ht="11.25" hidden="1" customHeight="1" x14ac:dyDescent="0.15">
      <c r="B15" s="351"/>
      <c r="E15" s="787"/>
      <c r="S15" s="871"/>
      <c r="T15" s="871"/>
      <c r="U15" s="871"/>
      <c r="V15" s="871"/>
      <c r="W15" s="871"/>
      <c r="X15" s="871"/>
      <c r="Y15" s="871"/>
      <c r="Z15" s="871"/>
      <c r="AA15" s="871"/>
      <c r="AB15" s="871"/>
      <c r="AC15" s="900"/>
      <c r="AD15" s="900"/>
      <c r="AE15" s="900"/>
      <c r="AF15" s="900"/>
      <c r="AK15" s="903"/>
      <c r="AL15" s="903"/>
      <c r="AM15" s="903"/>
      <c r="AN15" s="903"/>
      <c r="AO15" s="903"/>
      <c r="AP15" s="903"/>
      <c r="AQ15" s="903"/>
      <c r="AR15" s="874"/>
      <c r="AS15" s="874"/>
    </row>
    <row r="16" spans="1:45" s="492" customFormat="1" ht="11.25" hidden="1" customHeight="1" x14ac:dyDescent="0.15">
      <c r="B16" s="351"/>
      <c r="E16" s="787"/>
      <c r="S16" s="871"/>
      <c r="T16" s="871"/>
      <c r="U16" s="871"/>
      <c r="V16" s="871"/>
      <c r="W16" s="871"/>
      <c r="X16" s="871"/>
      <c r="Y16" s="871"/>
      <c r="Z16" s="871"/>
      <c r="AA16" s="871"/>
      <c r="AB16" s="871"/>
      <c r="AC16" s="900"/>
      <c r="AD16" s="900"/>
      <c r="AE16" s="900"/>
      <c r="AF16" s="900"/>
      <c r="AK16" s="903"/>
      <c r="AL16" s="903"/>
      <c r="AM16" s="903"/>
      <c r="AN16" s="903"/>
      <c r="AO16" s="903"/>
      <c r="AP16" s="903"/>
      <c r="AQ16" s="903"/>
      <c r="AR16" s="874"/>
      <c r="AS16" s="874"/>
    </row>
    <row r="17" spans="1:45" s="492" customFormat="1" ht="11.25" hidden="1" customHeight="1" x14ac:dyDescent="0.15">
      <c r="B17" s="351"/>
      <c r="E17" s="787"/>
      <c r="S17" s="871"/>
      <c r="T17" s="871"/>
      <c r="U17" s="871"/>
      <c r="V17" s="871"/>
      <c r="W17" s="871"/>
      <c r="X17" s="871"/>
      <c r="Y17" s="871"/>
      <c r="Z17" s="871"/>
      <c r="AA17" s="871"/>
      <c r="AB17" s="871"/>
      <c r="AC17" s="900"/>
      <c r="AD17" s="900"/>
      <c r="AE17" s="900"/>
      <c r="AF17" s="900"/>
      <c r="AK17" s="903"/>
      <c r="AL17" s="903"/>
      <c r="AM17" s="903"/>
      <c r="AN17" s="903"/>
      <c r="AO17" s="903"/>
      <c r="AP17" s="903"/>
      <c r="AQ17" s="903"/>
      <c r="AR17" s="874"/>
      <c r="AS17" s="874"/>
    </row>
    <row r="18" spans="1:45" s="492" customFormat="1" ht="11.25" hidden="1" customHeight="1" x14ac:dyDescent="0.15">
      <c r="A18" s="67"/>
      <c r="B18" s="351"/>
      <c r="E18" s="787"/>
      <c r="S18" s="871"/>
      <c r="T18" s="871"/>
      <c r="U18" s="871"/>
      <c r="V18" s="871"/>
      <c r="W18" s="871"/>
      <c r="X18" s="871"/>
      <c r="Y18" s="871"/>
      <c r="Z18" s="871"/>
      <c r="AA18" s="871"/>
      <c r="AB18" s="871"/>
      <c r="AC18" s="860"/>
      <c r="AD18" s="900"/>
      <c r="AE18" s="900"/>
      <c r="AF18" s="900"/>
      <c r="AK18" s="903"/>
      <c r="AL18" s="903"/>
      <c r="AM18" s="903"/>
      <c r="AN18" s="903"/>
      <c r="AO18" s="903"/>
      <c r="AP18" s="903"/>
      <c r="AQ18" s="903"/>
      <c r="AR18" s="874"/>
      <c r="AS18" s="874"/>
    </row>
    <row r="19" spans="1:45" s="492" customFormat="1" ht="11.25" hidden="1" customHeight="1" x14ac:dyDescent="0.15">
      <c r="B19" s="351"/>
      <c r="E19" s="787"/>
      <c r="S19" s="871"/>
      <c r="T19" s="871"/>
      <c r="U19" s="871"/>
      <c r="V19" s="871"/>
      <c r="W19" s="871"/>
      <c r="X19" s="871"/>
      <c r="Y19" s="871"/>
      <c r="Z19" s="871"/>
      <c r="AA19" s="871"/>
      <c r="AB19" s="871"/>
      <c r="AC19" s="900"/>
      <c r="AD19" s="900"/>
      <c r="AE19" s="900"/>
      <c r="AF19" s="900"/>
      <c r="AK19" s="903"/>
      <c r="AL19" s="903"/>
      <c r="AM19" s="903"/>
      <c r="AN19" s="903"/>
      <c r="AO19" s="903"/>
      <c r="AP19" s="903"/>
      <c r="AQ19" s="903"/>
      <c r="AR19" s="874"/>
      <c r="AS19" s="874"/>
    </row>
    <row r="20" spans="1:45" s="492" customFormat="1" ht="11.25" hidden="1" customHeight="1" x14ac:dyDescent="0.15">
      <c r="B20" s="351"/>
      <c r="E20" s="787"/>
      <c r="S20" s="871"/>
      <c r="T20" s="871"/>
      <c r="U20" s="871"/>
      <c r="V20" s="871"/>
      <c r="W20" s="871"/>
      <c r="X20" s="871"/>
      <c r="Y20" s="871"/>
      <c r="Z20" s="871"/>
      <c r="AA20" s="871"/>
      <c r="AB20" s="871"/>
      <c r="AC20" s="900"/>
      <c r="AD20" s="900"/>
      <c r="AE20" s="900"/>
      <c r="AF20" s="900"/>
      <c r="AK20" s="903"/>
      <c r="AL20" s="903"/>
      <c r="AM20" s="903"/>
      <c r="AN20" s="903"/>
      <c r="AO20" s="903"/>
      <c r="AP20" s="903"/>
      <c r="AQ20" s="903"/>
      <c r="AR20" s="874"/>
      <c r="AS20" s="874"/>
    </row>
    <row r="21" spans="1:45" s="492" customFormat="1" ht="14.65" customHeight="1" x14ac:dyDescent="0.15">
      <c r="B21" s="351"/>
      <c r="E21" s="787">
        <v>15</v>
      </c>
      <c r="S21" s="871"/>
      <c r="T21" s="871"/>
      <c r="U21" s="871"/>
      <c r="V21" s="871"/>
      <c r="W21" s="871"/>
      <c r="X21" s="871"/>
      <c r="Y21" s="871"/>
      <c r="Z21" s="871"/>
      <c r="AA21" s="581"/>
      <c r="AB21" s="391"/>
      <c r="AC21" s="281" t="str" cm="1">
        <f t="array" ref="AC21">tpl_title</f>
        <v>Кемеровская область / 2026 / ООО "Чистая вода" (ИНН:4246023100, КПП:424601001) / ДПР: 2024-2032</v>
      </c>
      <c r="AD21" s="391"/>
      <c r="AE21" s="391"/>
      <c r="AF21" s="391"/>
      <c r="AK21" s="903"/>
      <c r="AL21" s="903"/>
      <c r="AM21" s="903"/>
      <c r="AN21" s="903"/>
      <c r="AO21" s="903"/>
      <c r="AP21" s="903"/>
      <c r="AQ21" s="903"/>
      <c r="AR21" s="874"/>
      <c r="AS21" s="874"/>
    </row>
    <row r="22" spans="1:45" ht="20.45" customHeight="1" x14ac:dyDescent="0.15">
      <c r="E22" s="559">
        <v>21</v>
      </c>
      <c r="R22" s="871"/>
      <c r="AA22" s="871"/>
      <c r="AB22" s="2007" t="s">
        <v>410</v>
      </c>
      <c r="AC22" s="2008"/>
      <c r="AD22" s="2008"/>
      <c r="AE22" s="2008"/>
      <c r="AF22" s="2008"/>
      <c r="AG22" s="2008"/>
      <c r="AH22" s="2008"/>
    </row>
    <row r="23" spans="1:45" ht="8.85" customHeight="1" x14ac:dyDescent="0.15">
      <c r="E23" s="559">
        <v>9</v>
      </c>
      <c r="AA23" s="878"/>
      <c r="AB23" s="34"/>
      <c r="AC23" s="34"/>
      <c r="AD23" s="34"/>
      <c r="AE23" s="34"/>
      <c r="AF23" s="2025"/>
      <c r="AG23" s="2025"/>
      <c r="AH23" s="14"/>
    </row>
    <row r="24" spans="1:45" s="1217" customFormat="1" ht="20.45" customHeight="1" x14ac:dyDescent="0.15">
      <c r="B24" s="350"/>
      <c r="E24" s="559">
        <v>21</v>
      </c>
      <c r="AB24" s="105" t="s">
        <v>21</v>
      </c>
      <c r="AC24" s="104" t="s">
        <v>411</v>
      </c>
      <c r="AD24" s="104" t="s">
        <v>412</v>
      </c>
      <c r="AE24" s="104" t="s">
        <v>413</v>
      </c>
      <c r="AF24" s="104" t="s">
        <v>414</v>
      </c>
      <c r="AG24" s="104" t="s">
        <v>415</v>
      </c>
      <c r="AH24" s="104" t="s">
        <v>416</v>
      </c>
      <c r="AK24" s="906"/>
      <c r="AL24" s="906"/>
      <c r="AM24" s="906"/>
      <c r="AN24" s="906"/>
      <c r="AO24" s="906"/>
      <c r="AP24" s="906"/>
      <c r="AQ24" s="906"/>
      <c r="AR24" s="542"/>
      <c r="AS24" s="542"/>
    </row>
    <row r="25" spans="1:45" s="1334" customFormat="1" ht="11.25" hidden="1" customHeight="1" x14ac:dyDescent="0.15">
      <c r="A25" s="422"/>
      <c r="B25" s="582"/>
      <c r="C25" s="422"/>
      <c r="D25" s="422"/>
      <c r="E25" s="553">
        <v>0</v>
      </c>
      <c r="F25" s="578"/>
      <c r="G25" s="422"/>
      <c r="H25" s="422"/>
      <c r="I25" s="422"/>
      <c r="J25" s="422"/>
      <c r="K25" s="422"/>
      <c r="L25" s="422"/>
      <c r="M25" s="422"/>
      <c r="N25" s="422"/>
      <c r="O25" s="422"/>
      <c r="P25" s="422"/>
      <c r="Q25" s="422"/>
      <c r="R25" s="422"/>
      <c r="S25" s="422"/>
      <c r="T25" s="422"/>
      <c r="U25" s="422"/>
      <c r="V25" s="422"/>
      <c r="W25" s="422"/>
      <c r="X25" s="422"/>
      <c r="Y25" s="422"/>
      <c r="Z25" s="422"/>
      <c r="AA25" s="422"/>
      <c r="AB25" s="869"/>
      <c r="AC25" s="19"/>
      <c r="AD25" s="19"/>
      <c r="AE25" s="19"/>
      <c r="AF25" s="19"/>
      <c r="AI25" s="422"/>
      <c r="AJ25" s="422"/>
      <c r="AK25" s="907"/>
      <c r="AL25" s="907"/>
      <c r="AM25" s="907"/>
      <c r="AN25" s="907"/>
      <c r="AO25" s="907"/>
      <c r="AP25" s="908"/>
      <c r="AQ25" s="907"/>
      <c r="AR25" s="583"/>
      <c r="AS25" s="548"/>
    </row>
    <row r="26" spans="1:45" s="1217" customFormat="1" ht="15" hidden="1" customHeight="1" x14ac:dyDescent="0.15">
      <c r="B26" s="350"/>
      <c r="E26" s="560" t="s">
        <v>340</v>
      </c>
      <c r="F26" s="41" cm="1">
        <f t="array" ref="F26">Y26</f>
        <v>0</v>
      </c>
      <c r="U26" s="388" t="b">
        <f>Y26&gt;0</f>
        <v>0</v>
      </c>
      <c r="W26" s="41" t="s">
        <v>271</v>
      </c>
      <c r="Y26" s="2032">
        <v>0</v>
      </c>
      <c r="Z26" s="2012"/>
      <c r="AB26" s="99" t="str" cm="1">
        <f t="array" ref="AB26">INDEX('Общие сведения'!$AG$185:$AG$228,MATCH($Y26,'Общие сведения'!$Z$185:$Z$228,0))</f>
        <v xml:space="preserve">Тариф 0 () - </v>
      </c>
      <c r="AC26" s="99"/>
      <c r="AD26" s="93"/>
      <c r="AE26" s="93"/>
      <c r="AF26" s="93"/>
      <c r="AG26" s="93"/>
      <c r="AH26" s="93"/>
      <c r="AK26" s="906"/>
      <c r="AL26" s="906"/>
      <c r="AM26" s="906"/>
      <c r="AN26" s="906"/>
      <c r="AO26" s="906"/>
      <c r="AP26" s="906"/>
      <c r="AQ26" s="906"/>
      <c r="AR26" s="542"/>
      <c r="AS26" s="542"/>
    </row>
    <row r="27" spans="1:45" s="1217" customFormat="1" ht="15" hidden="1" customHeight="1" x14ac:dyDescent="0.15">
      <c r="B27" s="350"/>
      <c r="E27" s="553">
        <v>0</v>
      </c>
      <c r="F27" s="41" cm="1">
        <f t="array" aca="1" ref="F27" ca="1">OFFSET(G27,-1,-1)</f>
        <v>0</v>
      </c>
      <c r="U27" s="388" t="b">
        <v>0</v>
      </c>
      <c r="Y27" s="2032"/>
      <c r="Z27" s="2012"/>
      <c r="AB27" s="99"/>
      <c r="AC27" s="99"/>
      <c r="AD27" s="93"/>
      <c r="AE27" s="93"/>
      <c r="AF27" s="93"/>
      <c r="AG27" s="93"/>
      <c r="AH27" s="93"/>
      <c r="AK27" s="906"/>
      <c r="AL27" s="906"/>
      <c r="AM27" s="906"/>
      <c r="AN27" s="906"/>
      <c r="AO27" s="906"/>
      <c r="AP27" s="906"/>
      <c r="AQ27" s="906"/>
      <c r="AR27" s="542"/>
      <c r="AS27" s="542"/>
    </row>
    <row r="28" spans="1:45" s="1128" customFormat="1" ht="14.65" hidden="1" customHeight="1" x14ac:dyDescent="0.15">
      <c r="B28" s="350"/>
      <c r="E28" s="553">
        <v>15</v>
      </c>
      <c r="F28" s="23" cm="1">
        <f t="array" aca="1" ref="F28" ca="1">OFFSET(G28,-1,-1)</f>
        <v>0</v>
      </c>
      <c r="I28" s="23" t="s">
        <v>417</v>
      </c>
      <c r="K28" s="23" t="s">
        <v>418</v>
      </c>
      <c r="U28" s="388" t="b">
        <f ca="1">AND(F28&gt;0,AB28&gt;0)</f>
        <v>0</v>
      </c>
      <c r="X28" s="677" t="s">
        <v>172</v>
      </c>
      <c r="Y28" s="2032"/>
      <c r="Z28" s="2012"/>
      <c r="AA28" s="586" t="s">
        <v>173</v>
      </c>
      <c r="AB28" s="7">
        <v>0</v>
      </c>
      <c r="AC28" s="192" t="str">
        <f>I28&amp;" :: "&amp;K28</f>
        <v>Наименование объекта :: адрес</v>
      </c>
      <c r="AD28" s="192"/>
      <c r="AE28" s="192"/>
      <c r="AF28" s="326"/>
      <c r="AG28" s="326"/>
      <c r="AH28" s="1357"/>
      <c r="AK28" s="909" t="s">
        <v>419</v>
      </c>
      <c r="AL28" s="909" t="s">
        <v>420</v>
      </c>
      <c r="AM28" s="909" t="str" cm="1">
        <f t="array" ref="AM28">AC28</f>
        <v>Наименование объекта :: адрес</v>
      </c>
      <c r="AN28" s="909" cm="1">
        <f t="array" ref="AN28">AD28</f>
        <v>0</v>
      </c>
      <c r="AO28" s="909" cm="1">
        <f t="array" ref="AO28">AE28</f>
        <v>0</v>
      </c>
      <c r="AP28" s="909" cm="1">
        <f t="array" ref="AP28">AF28</f>
        <v>0</v>
      </c>
      <c r="AQ28" s="909" cm="1">
        <f t="array" ref="AQ28">AG28</f>
        <v>0</v>
      </c>
      <c r="AR28" s="552"/>
      <c r="AS28" s="552" t="b">
        <v>1</v>
      </c>
    </row>
    <row r="29" spans="1:45" s="1217" customFormat="1" ht="10.7" hidden="1" customHeight="1" x14ac:dyDescent="0.15">
      <c r="B29" s="350"/>
      <c r="E29" s="553">
        <v>11</v>
      </c>
      <c r="F29" s="41" cm="1">
        <f t="array" aca="1" ref="F29" ca="1">OFFSET(G29,-1,-1)</f>
        <v>0</v>
      </c>
      <c r="U29" s="388" t="b">
        <f ca="1">F29&gt;0</f>
        <v>0</v>
      </c>
      <c r="X29" s="677" t="s">
        <v>421</v>
      </c>
      <c r="Y29" s="2032"/>
      <c r="Z29" s="2012"/>
      <c r="AB29" s="94"/>
      <c r="AC29" s="97" t="s">
        <v>422</v>
      </c>
      <c r="AD29" s="95"/>
      <c r="AE29" s="95"/>
      <c r="AF29" s="95"/>
      <c r="AG29" s="95"/>
      <c r="AH29" s="106"/>
      <c r="AK29" s="906"/>
      <c r="AL29" s="906"/>
      <c r="AM29" s="906"/>
      <c r="AN29" s="906"/>
      <c r="AO29" s="906"/>
      <c r="AP29" s="906"/>
      <c r="AQ29" s="906"/>
      <c r="AR29" s="542" t="s">
        <v>420</v>
      </c>
      <c r="AS29" s="542"/>
    </row>
    <row r="30" spans="1:45" s="461" customFormat="1" ht="15" customHeight="1" x14ac:dyDescent="0.15">
      <c r="A30" s="1217"/>
      <c r="B30" s="350"/>
      <c r="C30" s="1217"/>
      <c r="D30" s="1217"/>
      <c r="E30" s="560" t="s">
        <v>340</v>
      </c>
      <c r="F30" s="41" t="str" cm="1">
        <f t="array" ref="F30">Y30</f>
        <v>1</v>
      </c>
      <c r="G30" s="1217"/>
      <c r="H30" s="1217"/>
      <c r="I30" s="1217"/>
      <c r="J30" s="1217"/>
      <c r="K30" s="1217"/>
      <c r="L30" s="1217"/>
      <c r="M30" s="1217"/>
      <c r="N30" s="1217"/>
      <c r="O30" s="1217"/>
      <c r="P30" s="1217"/>
      <c r="Q30" s="1217"/>
      <c r="R30" s="1217"/>
      <c r="S30" s="1217"/>
      <c r="T30" s="1217"/>
      <c r="U30" s="388" t="b">
        <f>Y30&gt;0</f>
        <v>1</v>
      </c>
      <c r="V30" s="1217"/>
      <c r="W30" s="41" t="str" cm="1">
        <f t="array" ref="W30">'Перечень объектов'!$AC$39</f>
        <v>Тариф 1 (Водоснабжение) - тариф на питьевую воду</v>
      </c>
      <c r="X30" s="1217"/>
      <c r="Y30" s="2032" t="s">
        <v>282</v>
      </c>
      <c r="Z30" s="2012"/>
      <c r="AA30" s="1217"/>
      <c r="AB30" s="99" t="str" cm="1">
        <f t="array" ref="AB30">'Перечень объектов'!$AC$39</f>
        <v>Тариф 1 (Водоснабжение) - тариф на питьевую воду</v>
      </c>
      <c r="AC30" s="99"/>
      <c r="AD30" s="93"/>
      <c r="AE30" s="93"/>
      <c r="AF30" s="93"/>
      <c r="AG30" s="93"/>
      <c r="AH30" s="93"/>
      <c r="AI30" s="1217"/>
      <c r="AJ30" s="1217"/>
      <c r="AK30" s="906"/>
      <c r="AL30" s="906"/>
      <c r="AM30" s="906"/>
      <c r="AN30" s="906"/>
      <c r="AO30" s="906"/>
      <c r="AP30" s="906"/>
      <c r="AQ30" s="906"/>
      <c r="AR30" s="542"/>
      <c r="AS30" s="542"/>
    </row>
    <row r="31" spans="1:45" s="461" customFormat="1" ht="15" hidden="1" customHeight="1" x14ac:dyDescent="0.15">
      <c r="A31" s="1217"/>
      <c r="B31" s="350"/>
      <c r="C31" s="1217"/>
      <c r="D31" s="1217"/>
      <c r="E31" s="553">
        <v>0</v>
      </c>
      <c r="F31" s="41" t="str" cm="1">
        <f t="array" aca="1" ref="F31" ca="1">OFFSET(G31,-1,-1)</f>
        <v>1</v>
      </c>
      <c r="G31" s="1217"/>
      <c r="H31" s="1217"/>
      <c r="I31" s="1217"/>
      <c r="J31" s="1217"/>
      <c r="K31" s="1217"/>
      <c r="L31" s="1217"/>
      <c r="M31" s="1217"/>
      <c r="N31" s="1217"/>
      <c r="O31" s="1217"/>
      <c r="P31" s="1217"/>
      <c r="Q31" s="1217"/>
      <c r="R31" s="1217"/>
      <c r="S31" s="1217"/>
      <c r="T31" s="1217"/>
      <c r="U31" s="388" t="b">
        <v>0</v>
      </c>
      <c r="V31" s="1217"/>
      <c r="W31" s="1217"/>
      <c r="X31" s="1217"/>
      <c r="Y31" s="2032"/>
      <c r="Z31" s="2012"/>
      <c r="AA31" s="1217"/>
      <c r="AB31" s="99"/>
      <c r="AC31" s="99"/>
      <c r="AD31" s="93"/>
      <c r="AE31" s="93"/>
      <c r="AF31" s="93"/>
      <c r="AG31" s="93"/>
      <c r="AH31" s="93"/>
      <c r="AI31" s="1217"/>
      <c r="AJ31" s="1217"/>
      <c r="AK31" s="906"/>
      <c r="AL31" s="906"/>
      <c r="AM31" s="906"/>
      <c r="AN31" s="906"/>
      <c r="AO31" s="906"/>
      <c r="AP31" s="906"/>
      <c r="AQ31" s="906"/>
      <c r="AR31" s="542"/>
      <c r="AS31" s="542"/>
    </row>
    <row r="32" spans="1:45" s="1128" customFormat="1" ht="14.25" hidden="1" customHeight="1" x14ac:dyDescent="0.15">
      <c r="B32" s="350"/>
      <c r="E32" s="553">
        <v>15</v>
      </c>
      <c r="F32" s="23" t="str" cm="1">
        <f t="array" aca="1" ref="F32" ca="1">OFFSET(G32,-1,-1)</f>
        <v>1</v>
      </c>
      <c r="I32" s="23" t="s">
        <v>417</v>
      </c>
      <c r="K32" s="23" t="s">
        <v>418</v>
      </c>
      <c r="U32" s="388" t="b">
        <f t="shared" ref="U32:U40" ca="1" si="0">AND(F32&gt;0,AB32&gt;0)</f>
        <v>0</v>
      </c>
      <c r="X32" s="677" t="s">
        <v>172</v>
      </c>
      <c r="Y32" s="2032"/>
      <c r="Z32" s="2012"/>
      <c r="AA32" s="586" t="s">
        <v>173</v>
      </c>
      <c r="AB32" s="7">
        <v>0</v>
      </c>
      <c r="AC32" s="192" t="str">
        <f t="shared" ref="AC32:AC40" si="1">I32&amp;" :: "&amp;K32</f>
        <v>Наименование объекта :: адрес</v>
      </c>
      <c r="AD32" s="192"/>
      <c r="AE32" s="192"/>
      <c r="AF32" s="326"/>
      <c r="AG32" s="326"/>
      <c r="AH32" s="1357"/>
      <c r="AK32" s="909" t="s">
        <v>419</v>
      </c>
      <c r="AL32" s="909" t="s">
        <v>420</v>
      </c>
      <c r="AM32" s="909" t="str" cm="1">
        <f t="array" ref="AM32">AC32</f>
        <v>Наименование объекта :: адрес</v>
      </c>
      <c r="AN32" s="909" cm="1">
        <f t="array" ref="AN32">AD32</f>
        <v>0</v>
      </c>
      <c r="AO32" s="909" cm="1">
        <f t="array" ref="AO32">AE32</f>
        <v>0</v>
      </c>
      <c r="AP32" s="909" cm="1">
        <f t="array" ref="AP32">AF32</f>
        <v>0</v>
      </c>
      <c r="AQ32" s="909" cm="1">
        <f t="array" ref="AQ32">AG32</f>
        <v>0</v>
      </c>
      <c r="AR32" s="552"/>
      <c r="AS32" s="552" t="b">
        <v>1</v>
      </c>
    </row>
    <row r="33" spans="1:45" s="1128" customFormat="1" ht="23.25" customHeight="1" x14ac:dyDescent="0.15">
      <c r="B33" s="350"/>
      <c r="E33" s="553">
        <v>15</v>
      </c>
      <c r="F33" s="23" t="str" cm="1">
        <f t="array" aca="1" ref="F33" ca="1">OFFSET(G33,-1,-1)</f>
        <v>1</v>
      </c>
      <c r="I33" s="23" t="s">
        <v>423</v>
      </c>
      <c r="K33" s="23" t="s">
        <v>424</v>
      </c>
      <c r="U33" s="388" t="b">
        <f t="shared" ca="1" si="0"/>
        <v>1</v>
      </c>
      <c r="X33" s="677"/>
      <c r="Y33" s="2032"/>
      <c r="Z33" s="2012"/>
      <c r="AA33" s="586" t="s">
        <v>173</v>
      </c>
      <c r="AB33" s="7" t="s">
        <v>282</v>
      </c>
      <c r="AC33" s="192" t="str">
        <f t="shared" si="1"/>
        <v>Водопроводные сети города :: г Анжеро-Судженск, г Анжеро-Судженск, -</v>
      </c>
      <c r="AD33" s="192" t="s">
        <v>425</v>
      </c>
      <c r="AE33" s="192" t="s">
        <v>426</v>
      </c>
      <c r="AF33" s="326" t="s">
        <v>228</v>
      </c>
      <c r="AG33" s="326" t="s">
        <v>427</v>
      </c>
      <c r="AH33" s="108" t="s">
        <v>428</v>
      </c>
      <c r="AK33" s="909" t="s">
        <v>419</v>
      </c>
      <c r="AL33" s="909" t="s">
        <v>420</v>
      </c>
      <c r="AM33" s="909" t="str" cm="1">
        <f t="array" ref="AM33">AC33</f>
        <v>Водопроводные сети города :: г Анжеро-Судженск, г Анжеро-Судженск, -</v>
      </c>
      <c r="AN33" s="909" t="str" cm="1">
        <f t="array" ref="AN33">AD33</f>
        <v>концессионное соглашение</v>
      </c>
      <c r="AO33" s="909" t="str" cm="1">
        <f t="array" ref="AO33">AE33</f>
        <v>соглашение</v>
      </c>
      <c r="AP33" s="909" t="str" cm="1">
        <f t="array" ref="AP33">AF33</f>
        <v>25</v>
      </c>
      <c r="AQ33" s="909" t="str" cm="1">
        <f t="array" ref="AQ33">AG33</f>
        <v>22.04.2024</v>
      </c>
      <c r="AR33" s="552"/>
      <c r="AS33" s="552" t="b">
        <v>1</v>
      </c>
    </row>
    <row r="34" spans="1:45" s="1128" customFormat="1" ht="18.75" customHeight="1" x14ac:dyDescent="0.15">
      <c r="B34" s="350"/>
      <c r="E34" s="553">
        <v>15</v>
      </c>
      <c r="F34" s="23" t="str" cm="1">
        <f t="array" aca="1" ref="F34" ca="1">OFFSET(G34,-1,-1)</f>
        <v>1</v>
      </c>
      <c r="I34" s="23" t="s">
        <v>429</v>
      </c>
      <c r="K34" s="23" t="s">
        <v>430</v>
      </c>
      <c r="U34" s="388" t="b">
        <f t="shared" ca="1" si="0"/>
        <v>1</v>
      </c>
      <c r="X34" s="677"/>
      <c r="Y34" s="2032"/>
      <c r="Z34" s="2012"/>
      <c r="AA34" s="586" t="s">
        <v>173</v>
      </c>
      <c r="AB34" s="7" t="s">
        <v>289</v>
      </c>
      <c r="AC34" s="192" t="str">
        <f t="shared" si="1"/>
        <v>Насосная станция Лебедянка :: г Анжеро-Судженск, район ул. Семеновка, -</v>
      </c>
      <c r="AD34" s="192" t="s">
        <v>431</v>
      </c>
      <c r="AE34" s="192" t="s">
        <v>432</v>
      </c>
      <c r="AF34" s="326" t="s">
        <v>433</v>
      </c>
      <c r="AG34" s="326" t="s">
        <v>434</v>
      </c>
      <c r="AH34" s="108" t="s">
        <v>428</v>
      </c>
      <c r="AK34" s="909" t="s">
        <v>419</v>
      </c>
      <c r="AL34" s="909" t="s">
        <v>420</v>
      </c>
      <c r="AM34" s="909" t="str" cm="1">
        <f t="array" ref="AM34">AC34</f>
        <v>Насосная станция Лебедянка :: г Анжеро-Судженск, район ул. Семеновка, -</v>
      </c>
      <c r="AN34" s="909" t="str" cm="1">
        <f t="array" ref="AN34">AD34</f>
        <v>аренда</v>
      </c>
      <c r="AO34" s="909" t="str" cm="1">
        <f t="array" ref="AO34">AE34</f>
        <v>договор</v>
      </c>
      <c r="AP34" s="909" t="str" cm="1">
        <f t="array" ref="AP34">AF34</f>
        <v>55-Н/2023</v>
      </c>
      <c r="AQ34" s="909" t="str" cm="1">
        <f t="array" ref="AQ34">AG34</f>
        <v>01.12.2023</v>
      </c>
      <c r="AR34" s="552"/>
      <c r="AS34" s="552" t="b">
        <v>1</v>
      </c>
    </row>
    <row r="35" spans="1:45" s="1128" customFormat="1" ht="18.75" customHeight="1" x14ac:dyDescent="0.15">
      <c r="B35" s="350"/>
      <c r="E35" s="553">
        <v>15</v>
      </c>
      <c r="F35" s="23" t="str" cm="1">
        <f t="array" aca="1" ref="F35" ca="1">OFFSET(G35,-1,-1)</f>
        <v>1</v>
      </c>
      <c r="I35" s="23" t="s">
        <v>435</v>
      </c>
      <c r="K35" s="23" t="s">
        <v>436</v>
      </c>
      <c r="U35" s="388" t="b">
        <f t="shared" ca="1" si="0"/>
        <v>1</v>
      </c>
      <c r="X35" s="677"/>
      <c r="Y35" s="2032"/>
      <c r="Z35" s="2012"/>
      <c r="AA35" s="586" t="s">
        <v>173</v>
      </c>
      <c r="AB35" s="7" t="s">
        <v>329</v>
      </c>
      <c r="AC35" s="192" t="str">
        <f t="shared" si="1"/>
        <v>Станция насосная водопроводная "Гидроузел" :: г Анжеро-Судженск, ул. Комбайновая, -</v>
      </c>
      <c r="AD35" s="192" t="s">
        <v>431</v>
      </c>
      <c r="AE35" s="192" t="s">
        <v>432</v>
      </c>
      <c r="AF35" s="326" t="s">
        <v>437</v>
      </c>
      <c r="AG35" s="326" t="s">
        <v>438</v>
      </c>
      <c r="AH35" s="108" t="s">
        <v>428</v>
      </c>
      <c r="AK35" s="909" t="s">
        <v>419</v>
      </c>
      <c r="AL35" s="909" t="s">
        <v>420</v>
      </c>
      <c r="AM35" s="909" t="str" cm="1">
        <f t="array" ref="AM35">AC35</f>
        <v>Станция насосная водопроводная "Гидроузел" :: г Анжеро-Судженск, ул. Комбайновая, -</v>
      </c>
      <c r="AN35" s="909" t="str" cm="1">
        <f t="array" ref="AN35">AD35</f>
        <v>аренда</v>
      </c>
      <c r="AO35" s="909" t="str" cm="1">
        <f t="array" ref="AO35">AE35</f>
        <v>договор</v>
      </c>
      <c r="AP35" s="909" t="str" cm="1">
        <f t="array" ref="AP35">AF35</f>
        <v>43-Н/2022</v>
      </c>
      <c r="AQ35" s="909" t="str" cm="1">
        <f t="array" ref="AQ35">AG35</f>
        <v>01.12.2022</v>
      </c>
      <c r="AR35" s="552"/>
      <c r="AS35" s="552" t="b">
        <v>1</v>
      </c>
    </row>
    <row r="36" spans="1:45" s="1128" customFormat="1" ht="18.75" customHeight="1" x14ac:dyDescent="0.15">
      <c r="B36" s="350"/>
      <c r="E36" s="553">
        <v>15</v>
      </c>
      <c r="F36" s="23" t="str" cm="1">
        <f t="array" aca="1" ref="F36" ca="1">OFFSET(G36,-1,-1)</f>
        <v>1</v>
      </c>
      <c r="I36" s="23" t="s">
        <v>439</v>
      </c>
      <c r="K36" s="23" t="s">
        <v>440</v>
      </c>
      <c r="U36" s="388" t="b">
        <f t="shared" ca="1" si="0"/>
        <v>1</v>
      </c>
      <c r="X36" s="677"/>
      <c r="Y36" s="2032"/>
      <c r="Z36" s="2012"/>
      <c r="AA36" s="586" t="s">
        <v>173</v>
      </c>
      <c r="AB36" s="7" t="s">
        <v>441</v>
      </c>
      <c r="AC36" s="192" t="str">
        <f t="shared" si="1"/>
        <v>Насосная станция 3-го подъема :: г Анжеро-Судженск, ул. Сеченова, -</v>
      </c>
      <c r="AD36" s="192" t="s">
        <v>431</v>
      </c>
      <c r="AE36" s="192" t="s">
        <v>432</v>
      </c>
      <c r="AF36" s="326" t="s">
        <v>437</v>
      </c>
      <c r="AG36" s="326" t="s">
        <v>438</v>
      </c>
      <c r="AH36" s="108" t="s">
        <v>428</v>
      </c>
      <c r="AK36" s="909" t="s">
        <v>419</v>
      </c>
      <c r="AL36" s="909" t="s">
        <v>420</v>
      </c>
      <c r="AM36" s="909" t="str" cm="1">
        <f t="array" ref="AM36">AC36</f>
        <v>Насосная станция 3-го подъема :: г Анжеро-Судженск, ул. Сеченова, -</v>
      </c>
      <c r="AN36" s="909" t="str" cm="1">
        <f t="array" ref="AN36">AD36</f>
        <v>аренда</v>
      </c>
      <c r="AO36" s="909" t="str" cm="1">
        <f t="array" ref="AO36">AE36</f>
        <v>договор</v>
      </c>
      <c r="AP36" s="909" t="str" cm="1">
        <f t="array" ref="AP36">AF36</f>
        <v>43-Н/2022</v>
      </c>
      <c r="AQ36" s="909" t="str" cm="1">
        <f t="array" ref="AQ36">AG36</f>
        <v>01.12.2022</v>
      </c>
      <c r="AR36" s="552"/>
      <c r="AS36" s="552" t="b">
        <v>1</v>
      </c>
    </row>
    <row r="37" spans="1:45" s="1128" customFormat="1" ht="23.25" customHeight="1" x14ac:dyDescent="0.15">
      <c r="B37" s="350"/>
      <c r="E37" s="553">
        <v>15</v>
      </c>
      <c r="F37" s="23" t="str" cm="1">
        <f t="array" aca="1" ref="F37" ca="1">OFFSET(G37,-1,-1)</f>
        <v>1</v>
      </c>
      <c r="I37" s="23" t="s">
        <v>442</v>
      </c>
      <c r="K37" s="23" t="s">
        <v>443</v>
      </c>
      <c r="U37" s="388" t="b">
        <f t="shared" ca="1" si="0"/>
        <v>1</v>
      </c>
      <c r="X37" s="677"/>
      <c r="Y37" s="2032"/>
      <c r="Z37" s="2012"/>
      <c r="AA37" s="586" t="s">
        <v>173</v>
      </c>
      <c r="AB37" s="7" t="s">
        <v>444</v>
      </c>
      <c r="AC37" s="192" t="str">
        <f t="shared" si="1"/>
        <v>Водопроводные сети пгт. Рудничный :: пгт Рудничный, пгт. Рудничный, -</v>
      </c>
      <c r="AD37" s="192" t="s">
        <v>425</v>
      </c>
      <c r="AE37" s="192" t="s">
        <v>426</v>
      </c>
      <c r="AF37" s="326" t="s">
        <v>228</v>
      </c>
      <c r="AG37" s="326" t="s">
        <v>427</v>
      </c>
      <c r="AH37" s="108" t="s">
        <v>428</v>
      </c>
      <c r="AK37" s="909" t="s">
        <v>419</v>
      </c>
      <c r="AL37" s="909" t="s">
        <v>420</v>
      </c>
      <c r="AM37" s="909" t="str" cm="1">
        <f t="array" ref="AM37">AC37</f>
        <v>Водопроводные сети пгт. Рудничный :: пгт Рудничный, пгт. Рудничный, -</v>
      </c>
      <c r="AN37" s="909" t="str" cm="1">
        <f t="array" ref="AN37">AD37</f>
        <v>концессионное соглашение</v>
      </c>
      <c r="AO37" s="909" t="str" cm="1">
        <f t="array" ref="AO37">AE37</f>
        <v>соглашение</v>
      </c>
      <c r="AP37" s="909" t="str" cm="1">
        <f t="array" ref="AP37">AF37</f>
        <v>25</v>
      </c>
      <c r="AQ37" s="909" t="str" cm="1">
        <f t="array" ref="AQ37">AG37</f>
        <v>22.04.2024</v>
      </c>
      <c r="AR37" s="552"/>
      <c r="AS37" s="552" t="b">
        <v>1</v>
      </c>
    </row>
    <row r="38" spans="1:45" s="1128" customFormat="1" ht="18.75" customHeight="1" x14ac:dyDescent="0.15">
      <c r="B38" s="350"/>
      <c r="E38" s="553">
        <v>15</v>
      </c>
      <c r="F38" s="23" t="str" cm="1">
        <f t="array" aca="1" ref="F38" ca="1">OFFSET(G38,-1,-1)</f>
        <v>1</v>
      </c>
      <c r="I38" s="23" t="s">
        <v>445</v>
      </c>
      <c r="K38" s="23" t="s">
        <v>443</v>
      </c>
      <c r="U38" s="388" t="b">
        <f t="shared" ca="1" si="0"/>
        <v>1</v>
      </c>
      <c r="X38" s="677"/>
      <c r="Y38" s="2032"/>
      <c r="Z38" s="2012"/>
      <c r="AA38" s="586" t="s">
        <v>173</v>
      </c>
      <c r="AB38" s="7" t="s">
        <v>446</v>
      </c>
      <c r="AC38" s="192" t="str">
        <f t="shared" si="1"/>
        <v>Здание насосной станции 1-го подъема :: пгт Рудничный, пгт. Рудничный, -</v>
      </c>
      <c r="AD38" s="192" t="s">
        <v>431</v>
      </c>
      <c r="AE38" s="192" t="s">
        <v>432</v>
      </c>
      <c r="AF38" s="326" t="s">
        <v>437</v>
      </c>
      <c r="AG38" s="326" t="s">
        <v>438</v>
      </c>
      <c r="AH38" s="108" t="s">
        <v>428</v>
      </c>
      <c r="AK38" s="909" t="s">
        <v>419</v>
      </c>
      <c r="AL38" s="909" t="s">
        <v>420</v>
      </c>
      <c r="AM38" s="909" t="str" cm="1">
        <f t="array" ref="AM38">AC38</f>
        <v>Здание насосной станции 1-го подъема :: пгт Рудничный, пгт. Рудничный, -</v>
      </c>
      <c r="AN38" s="909" t="str" cm="1">
        <f t="array" ref="AN38">AD38</f>
        <v>аренда</v>
      </c>
      <c r="AO38" s="909" t="str" cm="1">
        <f t="array" ref="AO38">AE38</f>
        <v>договор</v>
      </c>
      <c r="AP38" s="909" t="str" cm="1">
        <f t="array" ref="AP38">AF38</f>
        <v>43-Н/2022</v>
      </c>
      <c r="AQ38" s="909" t="str" cm="1">
        <f t="array" ref="AQ38">AG38</f>
        <v>01.12.2022</v>
      </c>
      <c r="AR38" s="552"/>
      <c r="AS38" s="552" t="b">
        <v>1</v>
      </c>
    </row>
    <row r="39" spans="1:45" s="1128" customFormat="1" ht="18.75" customHeight="1" x14ac:dyDescent="0.15">
      <c r="B39" s="350"/>
      <c r="E39" s="553">
        <v>15</v>
      </c>
      <c r="F39" s="23" t="str" cm="1">
        <f t="array" aca="1" ref="F39" ca="1">OFFSET(G39,-1,-1)</f>
        <v>1</v>
      </c>
      <c r="I39" s="23" t="s">
        <v>447</v>
      </c>
      <c r="K39" s="23" t="s">
        <v>443</v>
      </c>
      <c r="U39" s="388" t="b">
        <f t="shared" ca="1" si="0"/>
        <v>1</v>
      </c>
      <c r="X39" s="677"/>
      <c r="Y39" s="2032"/>
      <c r="Z39" s="2012"/>
      <c r="AA39" s="586" t="s">
        <v>173</v>
      </c>
      <c r="AB39" s="7" t="s">
        <v>448</v>
      </c>
      <c r="AC39" s="192" t="str">
        <f t="shared" si="1"/>
        <v>Здание насосной станции 2-го подъема :: пгт Рудничный, пгт. Рудничный, -</v>
      </c>
      <c r="AD39" s="192" t="s">
        <v>431</v>
      </c>
      <c r="AE39" s="192" t="s">
        <v>432</v>
      </c>
      <c r="AF39" s="326" t="s">
        <v>437</v>
      </c>
      <c r="AG39" s="326" t="s">
        <v>438</v>
      </c>
      <c r="AH39" s="108" t="s">
        <v>428</v>
      </c>
      <c r="AK39" s="909" t="s">
        <v>419</v>
      </c>
      <c r="AL39" s="909" t="s">
        <v>420</v>
      </c>
      <c r="AM39" s="909" t="str" cm="1">
        <f t="array" ref="AM39">AC39</f>
        <v>Здание насосной станции 2-го подъема :: пгт Рудничный, пгт. Рудничный, -</v>
      </c>
      <c r="AN39" s="909" t="str" cm="1">
        <f t="array" ref="AN39">AD39</f>
        <v>аренда</v>
      </c>
      <c r="AO39" s="909" t="str" cm="1">
        <f t="array" ref="AO39">AE39</f>
        <v>договор</v>
      </c>
      <c r="AP39" s="909" t="str" cm="1">
        <f t="array" ref="AP39">AF39</f>
        <v>43-Н/2022</v>
      </c>
      <c r="AQ39" s="909" t="str" cm="1">
        <f t="array" ref="AQ39">AG39</f>
        <v>01.12.2022</v>
      </c>
      <c r="AR39" s="552"/>
      <c r="AS39" s="552" t="b">
        <v>1</v>
      </c>
    </row>
    <row r="40" spans="1:45" s="1128" customFormat="1" ht="18.75" customHeight="1" x14ac:dyDescent="0.15">
      <c r="B40" s="350"/>
      <c r="E40" s="553">
        <v>15</v>
      </c>
      <c r="F40" s="23" t="str" cm="1">
        <f t="array" aca="1" ref="F40" ca="1">OFFSET(G40,-1,-1)</f>
        <v>1</v>
      </c>
      <c r="I40" s="23" t="s">
        <v>449</v>
      </c>
      <c r="K40" s="23" t="s">
        <v>443</v>
      </c>
      <c r="U40" s="388" t="b">
        <f t="shared" ca="1" si="0"/>
        <v>1</v>
      </c>
      <c r="X40" s="677"/>
      <c r="Y40" s="2032"/>
      <c r="Z40" s="2012"/>
      <c r="AA40" s="586" t="s">
        <v>173</v>
      </c>
      <c r="AB40" s="7" t="s">
        <v>450</v>
      </c>
      <c r="AC40" s="192" t="str">
        <f t="shared" si="1"/>
        <v>Очистные водопроводные сооружения :: пгт Рудничный, пгт. Рудничный, -</v>
      </c>
      <c r="AD40" s="192" t="s">
        <v>431</v>
      </c>
      <c r="AE40" s="192" t="s">
        <v>432</v>
      </c>
      <c r="AF40" s="326" t="s">
        <v>437</v>
      </c>
      <c r="AG40" s="326" t="s">
        <v>438</v>
      </c>
      <c r="AH40" s="108" t="s">
        <v>428</v>
      </c>
      <c r="AK40" s="909" t="s">
        <v>419</v>
      </c>
      <c r="AL40" s="909" t="s">
        <v>420</v>
      </c>
      <c r="AM40" s="909" t="str" cm="1">
        <f t="array" ref="AM40">AC40</f>
        <v>Очистные водопроводные сооружения :: пгт Рудничный, пгт. Рудничный, -</v>
      </c>
      <c r="AN40" s="909" t="str" cm="1">
        <f t="array" ref="AN40">AD40</f>
        <v>аренда</v>
      </c>
      <c r="AO40" s="909" t="str" cm="1">
        <f t="array" ref="AO40">AE40</f>
        <v>договор</v>
      </c>
      <c r="AP40" s="909" t="str" cm="1">
        <f t="array" ref="AP40">AF40</f>
        <v>43-Н/2022</v>
      </c>
      <c r="AQ40" s="909" t="str" cm="1">
        <f t="array" ref="AQ40">AG40</f>
        <v>01.12.2022</v>
      </c>
      <c r="AR40" s="552"/>
      <c r="AS40" s="552" t="b">
        <v>1</v>
      </c>
    </row>
    <row r="41" spans="1:45" s="461" customFormat="1" ht="10.5" customHeight="1" x14ac:dyDescent="0.15">
      <c r="A41" s="1217"/>
      <c r="B41" s="350"/>
      <c r="C41" s="1217"/>
      <c r="D41" s="1217"/>
      <c r="E41" s="553">
        <v>11</v>
      </c>
      <c r="F41" s="41" t="str" cm="1">
        <f t="array" aca="1" ref="F41" ca="1">OFFSET(G41,-1,-1)</f>
        <v>1</v>
      </c>
      <c r="G41" s="1217"/>
      <c r="H41" s="1217"/>
      <c r="I41" s="1217"/>
      <c r="J41" s="1217"/>
      <c r="K41" s="1217"/>
      <c r="L41" s="1217"/>
      <c r="M41" s="1217"/>
      <c r="N41" s="1217"/>
      <c r="O41" s="1217"/>
      <c r="P41" s="1217"/>
      <c r="Q41" s="1217"/>
      <c r="R41" s="1217"/>
      <c r="S41" s="1217"/>
      <c r="T41" s="1217"/>
      <c r="U41" s="388" t="b">
        <f ca="1">F41&gt;0</f>
        <v>1</v>
      </c>
      <c r="V41" s="1217"/>
      <c r="W41" s="1217"/>
      <c r="X41" s="677" t="s">
        <v>421</v>
      </c>
      <c r="Y41" s="2032"/>
      <c r="Z41" s="2012"/>
      <c r="AA41" s="1217"/>
      <c r="AB41" s="94"/>
      <c r="AC41" s="97" t="s">
        <v>422</v>
      </c>
      <c r="AD41" s="95"/>
      <c r="AE41" s="95"/>
      <c r="AF41" s="95"/>
      <c r="AG41" s="95"/>
      <c r="AH41" s="106"/>
      <c r="AI41" s="1217"/>
      <c r="AJ41" s="1217"/>
      <c r="AK41" s="906"/>
      <c r="AL41" s="906"/>
      <c r="AM41" s="906"/>
      <c r="AN41" s="906"/>
      <c r="AO41" s="906"/>
      <c r="AP41" s="906"/>
      <c r="AQ41" s="906"/>
      <c r="AR41" s="542" t="s">
        <v>420</v>
      </c>
      <c r="AS41" s="542"/>
    </row>
    <row r="42" spans="1:45" s="461" customFormat="1" ht="15" customHeight="1" x14ac:dyDescent="0.15">
      <c r="A42" s="1217"/>
      <c r="B42" s="350"/>
      <c r="C42" s="1217"/>
      <c r="D42" s="1217"/>
      <c r="E42" s="560" t="s">
        <v>340</v>
      </c>
      <c r="F42" s="41" t="str" cm="1">
        <f t="array" ref="F42">Y42</f>
        <v>2</v>
      </c>
      <c r="G42" s="1217"/>
      <c r="H42" s="1217"/>
      <c r="I42" s="1217"/>
      <c r="J42" s="1217"/>
      <c r="K42" s="1217"/>
      <c r="L42" s="1217"/>
      <c r="M42" s="1217"/>
      <c r="N42" s="1217"/>
      <c r="O42" s="1217"/>
      <c r="P42" s="1217"/>
      <c r="Q42" s="1217"/>
      <c r="R42" s="1217"/>
      <c r="S42" s="1217"/>
      <c r="T42" s="1217"/>
      <c r="U42" s="388" t="b">
        <f>Y42&gt;0</f>
        <v>1</v>
      </c>
      <c r="V42" s="1217"/>
      <c r="W42" s="41" t="str" cm="1">
        <f t="array" ref="W42">'Перечень объектов'!$AC$51</f>
        <v>Тариф 2 (Водоотведение) - тариф на водоотведение</v>
      </c>
      <c r="X42" s="1217"/>
      <c r="Y42" s="2032" t="s">
        <v>289</v>
      </c>
      <c r="Z42" s="2012"/>
      <c r="AA42" s="1217"/>
      <c r="AB42" s="99" t="str" cm="1">
        <f t="array" ref="AB42">'Перечень объектов'!$AC$51</f>
        <v>Тариф 2 (Водоотведение) - тариф на водоотведение</v>
      </c>
      <c r="AC42" s="99"/>
      <c r="AD42" s="93"/>
      <c r="AE42" s="93"/>
      <c r="AF42" s="93"/>
      <c r="AG42" s="93"/>
      <c r="AH42" s="93"/>
      <c r="AI42" s="1217"/>
      <c r="AJ42" s="1217"/>
      <c r="AK42" s="906"/>
      <c r="AL42" s="906"/>
      <c r="AM42" s="906"/>
      <c r="AN42" s="906"/>
      <c r="AO42" s="906"/>
      <c r="AP42" s="906"/>
      <c r="AQ42" s="906"/>
      <c r="AR42" s="542"/>
      <c r="AS42" s="542"/>
    </row>
    <row r="43" spans="1:45" s="461" customFormat="1" ht="15" hidden="1" customHeight="1" x14ac:dyDescent="0.15">
      <c r="A43" s="1217"/>
      <c r="B43" s="350"/>
      <c r="C43" s="1217"/>
      <c r="D43" s="1217"/>
      <c r="E43" s="553">
        <v>0</v>
      </c>
      <c r="F43" s="41" t="str" cm="1">
        <f t="array" aca="1" ref="F43" ca="1">OFFSET(G43,-1,-1)</f>
        <v>2</v>
      </c>
      <c r="G43" s="1217"/>
      <c r="H43" s="1217"/>
      <c r="I43" s="1217"/>
      <c r="J43" s="1217"/>
      <c r="K43" s="1217"/>
      <c r="L43" s="1217"/>
      <c r="M43" s="1217"/>
      <c r="N43" s="1217"/>
      <c r="O43" s="1217"/>
      <c r="P43" s="1217"/>
      <c r="Q43" s="1217"/>
      <c r="R43" s="1217"/>
      <c r="S43" s="1217"/>
      <c r="T43" s="1217"/>
      <c r="U43" s="388" t="b">
        <v>0</v>
      </c>
      <c r="V43" s="1217"/>
      <c r="W43" s="1217"/>
      <c r="X43" s="1217"/>
      <c r="Y43" s="2032"/>
      <c r="Z43" s="2012"/>
      <c r="AA43" s="1217"/>
      <c r="AB43" s="99"/>
      <c r="AC43" s="99"/>
      <c r="AD43" s="93"/>
      <c r="AE43" s="93"/>
      <c r="AF43" s="93"/>
      <c r="AG43" s="93"/>
      <c r="AH43" s="93"/>
      <c r="AI43" s="1217"/>
      <c r="AJ43" s="1217"/>
      <c r="AK43" s="906"/>
      <c r="AL43" s="906"/>
      <c r="AM43" s="906"/>
      <c r="AN43" s="906"/>
      <c r="AO43" s="906"/>
      <c r="AP43" s="906"/>
      <c r="AQ43" s="906"/>
      <c r="AR43" s="542"/>
      <c r="AS43" s="542"/>
    </row>
    <row r="44" spans="1:45" s="1128" customFormat="1" ht="14.25" hidden="1" customHeight="1" x14ac:dyDescent="0.15">
      <c r="B44" s="350"/>
      <c r="E44" s="553">
        <v>15</v>
      </c>
      <c r="F44" s="23" t="str" cm="1">
        <f t="array" aca="1" ref="F44" ca="1">OFFSET(G44,-1,-1)</f>
        <v>2</v>
      </c>
      <c r="I44" s="23" t="s">
        <v>417</v>
      </c>
      <c r="K44" s="23" t="s">
        <v>418</v>
      </c>
      <c r="U44" s="388" t="b">
        <f t="shared" ref="U44:U57" ca="1" si="2">AND(F44&gt;0,AB44&gt;0)</f>
        <v>0</v>
      </c>
      <c r="X44" s="677" t="s">
        <v>172</v>
      </c>
      <c r="Y44" s="2032"/>
      <c r="Z44" s="2012"/>
      <c r="AA44" s="586" t="s">
        <v>173</v>
      </c>
      <c r="AB44" s="7">
        <v>0</v>
      </c>
      <c r="AC44" s="192" t="str">
        <f t="shared" ref="AC44:AC57" si="3">I44&amp;" :: "&amp;K44</f>
        <v>Наименование объекта :: адрес</v>
      </c>
      <c r="AD44" s="192"/>
      <c r="AE44" s="192"/>
      <c r="AF44" s="326"/>
      <c r="AG44" s="326"/>
      <c r="AH44" s="1357"/>
      <c r="AK44" s="909" t="s">
        <v>419</v>
      </c>
      <c r="AL44" s="909" t="s">
        <v>420</v>
      </c>
      <c r="AM44" s="909" t="str" cm="1">
        <f t="array" ref="AM44">AC44</f>
        <v>Наименование объекта :: адрес</v>
      </c>
      <c r="AN44" s="909" cm="1">
        <f t="array" ref="AN44">AD44</f>
        <v>0</v>
      </c>
      <c r="AO44" s="909" cm="1">
        <f t="array" ref="AO44">AE44</f>
        <v>0</v>
      </c>
      <c r="AP44" s="909" cm="1">
        <f t="array" ref="AP44">AF44</f>
        <v>0</v>
      </c>
      <c r="AQ44" s="909" cm="1">
        <f t="array" ref="AQ44">AG44</f>
        <v>0</v>
      </c>
      <c r="AR44" s="552"/>
      <c r="AS44" s="552" t="b">
        <v>1</v>
      </c>
    </row>
    <row r="45" spans="1:45" s="1128" customFormat="1" ht="23.25" customHeight="1" x14ac:dyDescent="0.15">
      <c r="B45" s="350"/>
      <c r="E45" s="553">
        <v>15</v>
      </c>
      <c r="F45" s="23" t="str" cm="1">
        <f t="array" aca="1" ref="F45" ca="1">OFFSET(G45,-1,-1)</f>
        <v>2</v>
      </c>
      <c r="I45" s="23" t="s">
        <v>451</v>
      </c>
      <c r="K45" s="23" t="s">
        <v>452</v>
      </c>
      <c r="U45" s="388" t="b">
        <f t="shared" ca="1" si="2"/>
        <v>1</v>
      </c>
      <c r="X45" s="677"/>
      <c r="Y45" s="2032"/>
      <c r="Z45" s="2012"/>
      <c r="AA45" s="586" t="s">
        <v>173</v>
      </c>
      <c r="AB45" s="7" t="s">
        <v>282</v>
      </c>
      <c r="AC45" s="192" t="str">
        <f t="shared" si="3"/>
        <v>Здание канализационной насосной станции, Восточный район :: г Анжеро-Судженск, Восточный район, -</v>
      </c>
      <c r="AD45" s="192" t="s">
        <v>425</v>
      </c>
      <c r="AE45" s="192" t="s">
        <v>426</v>
      </c>
      <c r="AF45" s="326" t="s">
        <v>224</v>
      </c>
      <c r="AG45" s="326" t="s">
        <v>427</v>
      </c>
      <c r="AH45" s="108" t="s">
        <v>428</v>
      </c>
      <c r="AK45" s="909" t="s">
        <v>419</v>
      </c>
      <c r="AL45" s="909" t="s">
        <v>420</v>
      </c>
      <c r="AM45" s="909" t="str" cm="1">
        <f t="array" ref="AM45">AC45</f>
        <v>Здание канализационной насосной станции, Восточный район :: г Анжеро-Судженск, Восточный район, -</v>
      </c>
      <c r="AN45" s="909" t="str" cm="1">
        <f t="array" ref="AN45">AD45</f>
        <v>концессионное соглашение</v>
      </c>
      <c r="AO45" s="909" t="str" cm="1">
        <f t="array" ref="AO45">AE45</f>
        <v>соглашение</v>
      </c>
      <c r="AP45" s="909" t="str" cm="1">
        <f t="array" ref="AP45">AF45</f>
        <v>24</v>
      </c>
      <c r="AQ45" s="909" t="str" cm="1">
        <f t="array" ref="AQ45">AG45</f>
        <v>22.04.2024</v>
      </c>
      <c r="AR45" s="552"/>
      <c r="AS45" s="552" t="b">
        <v>1</v>
      </c>
    </row>
    <row r="46" spans="1:45" s="1128" customFormat="1" ht="23.25" customHeight="1" x14ac:dyDescent="0.15">
      <c r="B46" s="350"/>
      <c r="E46" s="553">
        <v>15</v>
      </c>
      <c r="F46" s="23" t="str" cm="1">
        <f t="array" aca="1" ref="F46" ca="1">OFFSET(G46,-1,-1)</f>
        <v>2</v>
      </c>
      <c r="I46" s="23" t="s">
        <v>453</v>
      </c>
      <c r="K46" s="23" t="s">
        <v>454</v>
      </c>
      <c r="U46" s="388" t="b">
        <f t="shared" ca="1" si="2"/>
        <v>1</v>
      </c>
      <c r="X46" s="677"/>
      <c r="Y46" s="2032"/>
      <c r="Z46" s="2012"/>
      <c r="AA46" s="586" t="s">
        <v>173</v>
      </c>
      <c r="AB46" s="7" t="s">
        <v>289</v>
      </c>
      <c r="AC46" s="192" t="str">
        <f t="shared" si="3"/>
        <v>Канализационные сети города :: г Анжеро-Судженск, г. Анжеро-Судженск, -</v>
      </c>
      <c r="AD46" s="192" t="s">
        <v>425</v>
      </c>
      <c r="AE46" s="192" t="s">
        <v>426</v>
      </c>
      <c r="AF46" s="326" t="s">
        <v>224</v>
      </c>
      <c r="AG46" s="326" t="s">
        <v>427</v>
      </c>
      <c r="AH46" s="108" t="s">
        <v>428</v>
      </c>
      <c r="AK46" s="909" t="s">
        <v>419</v>
      </c>
      <c r="AL46" s="909" t="s">
        <v>420</v>
      </c>
      <c r="AM46" s="909" t="str" cm="1">
        <f t="array" ref="AM46">AC46</f>
        <v>Канализационные сети города :: г Анжеро-Судженск, г. Анжеро-Судженск, -</v>
      </c>
      <c r="AN46" s="909" t="str" cm="1">
        <f t="array" ref="AN46">AD46</f>
        <v>концессионное соглашение</v>
      </c>
      <c r="AO46" s="909" t="str" cm="1">
        <f t="array" ref="AO46">AE46</f>
        <v>соглашение</v>
      </c>
      <c r="AP46" s="909" t="str" cm="1">
        <f t="array" ref="AP46">AF46</f>
        <v>24</v>
      </c>
      <c r="AQ46" s="909" t="str" cm="1">
        <f t="array" ref="AQ46">AG46</f>
        <v>22.04.2024</v>
      </c>
      <c r="AR46" s="552"/>
      <c r="AS46" s="552" t="b">
        <v>1</v>
      </c>
    </row>
    <row r="47" spans="1:45" s="1128" customFormat="1" ht="18.75" customHeight="1" x14ac:dyDescent="0.15">
      <c r="B47" s="350"/>
      <c r="E47" s="553">
        <v>15</v>
      </c>
      <c r="F47" s="23" t="str" cm="1">
        <f t="array" aca="1" ref="F47" ca="1">OFFSET(G47,-1,-1)</f>
        <v>2</v>
      </c>
      <c r="I47" s="23" t="s">
        <v>455</v>
      </c>
      <c r="K47" s="23" t="s">
        <v>456</v>
      </c>
      <c r="U47" s="388" t="b">
        <f t="shared" ca="1" si="2"/>
        <v>1</v>
      </c>
      <c r="X47" s="677"/>
      <c r="Y47" s="2032"/>
      <c r="Z47" s="2012"/>
      <c r="AA47" s="586" t="s">
        <v>173</v>
      </c>
      <c r="AB47" s="7" t="s">
        <v>329</v>
      </c>
      <c r="AC47" s="192" t="str">
        <f t="shared" si="3"/>
        <v>Очистные канализационные сооружения :: г Анжеро-Судженск, р-н бывшей ш. "Судженская", -</v>
      </c>
      <c r="AD47" s="192" t="s">
        <v>431</v>
      </c>
      <c r="AE47" s="192" t="s">
        <v>432</v>
      </c>
      <c r="AF47" s="326" t="s">
        <v>437</v>
      </c>
      <c r="AG47" s="326" t="s">
        <v>438</v>
      </c>
      <c r="AH47" s="108" t="s">
        <v>428</v>
      </c>
      <c r="AK47" s="909" t="s">
        <v>419</v>
      </c>
      <c r="AL47" s="909" t="s">
        <v>420</v>
      </c>
      <c r="AM47" s="909" t="str" cm="1">
        <f t="array" ref="AM47">AC47</f>
        <v>Очистные канализационные сооружения :: г Анжеро-Судженск, р-н бывшей ш. "Судженская", -</v>
      </c>
      <c r="AN47" s="909" t="str" cm="1">
        <f t="array" ref="AN47">AD47</f>
        <v>аренда</v>
      </c>
      <c r="AO47" s="909" t="str" cm="1">
        <f t="array" ref="AO47">AE47</f>
        <v>договор</v>
      </c>
      <c r="AP47" s="909" t="str" cm="1">
        <f t="array" ref="AP47">AF47</f>
        <v>43-Н/2022</v>
      </c>
      <c r="AQ47" s="909" t="str" cm="1">
        <f t="array" ref="AQ47">AG47</f>
        <v>01.12.2022</v>
      </c>
      <c r="AR47" s="552"/>
      <c r="AS47" s="552" t="b">
        <v>1</v>
      </c>
    </row>
    <row r="48" spans="1:45" s="1128" customFormat="1" ht="23.25" customHeight="1" x14ac:dyDescent="0.15">
      <c r="B48" s="350"/>
      <c r="E48" s="553">
        <v>15</v>
      </c>
      <c r="F48" s="23" t="str" cm="1">
        <f t="array" aca="1" ref="F48" ca="1">OFFSET(G48,-1,-1)</f>
        <v>2</v>
      </c>
      <c r="I48" s="23" t="s">
        <v>457</v>
      </c>
      <c r="K48" s="23" t="s">
        <v>458</v>
      </c>
      <c r="U48" s="388" t="b">
        <f t="shared" ca="1" si="2"/>
        <v>1</v>
      </c>
      <c r="X48" s="677"/>
      <c r="Y48" s="2032"/>
      <c r="Z48" s="2012"/>
      <c r="AA48" s="586" t="s">
        <v>173</v>
      </c>
      <c r="AB48" s="7" t="s">
        <v>441</v>
      </c>
      <c r="AC48" s="192" t="str">
        <f t="shared" si="3"/>
        <v>Здание канализационной насосной станции, ст.Челы :: г Анжеро-Судженск, ст. Челы, -</v>
      </c>
      <c r="AD48" s="192" t="s">
        <v>425</v>
      </c>
      <c r="AE48" s="192" t="s">
        <v>426</v>
      </c>
      <c r="AF48" s="326" t="s">
        <v>224</v>
      </c>
      <c r="AG48" s="326" t="s">
        <v>427</v>
      </c>
      <c r="AH48" s="108" t="s">
        <v>428</v>
      </c>
      <c r="AK48" s="909" t="s">
        <v>419</v>
      </c>
      <c r="AL48" s="909" t="s">
        <v>420</v>
      </c>
      <c r="AM48" s="909" t="str" cm="1">
        <f t="array" ref="AM48">AC48</f>
        <v>Здание канализационной насосной станции, ст.Челы :: г Анжеро-Судженск, ст. Челы, -</v>
      </c>
      <c r="AN48" s="909" t="str" cm="1">
        <f t="array" ref="AN48">AD48</f>
        <v>концессионное соглашение</v>
      </c>
      <c r="AO48" s="909" t="str" cm="1">
        <f t="array" ref="AO48">AE48</f>
        <v>соглашение</v>
      </c>
      <c r="AP48" s="909" t="str" cm="1">
        <f t="array" ref="AP48">AF48</f>
        <v>24</v>
      </c>
      <c r="AQ48" s="909" t="str" cm="1">
        <f t="array" ref="AQ48">AG48</f>
        <v>22.04.2024</v>
      </c>
      <c r="AR48" s="552"/>
      <c r="AS48" s="552" t="b">
        <v>1</v>
      </c>
    </row>
    <row r="49" spans="1:45" s="1128" customFormat="1" ht="23.25" customHeight="1" x14ac:dyDescent="0.15">
      <c r="B49" s="350"/>
      <c r="E49" s="553">
        <v>15</v>
      </c>
      <c r="F49" s="23" t="str" cm="1">
        <f t="array" aca="1" ref="F49" ca="1">OFFSET(G49,-1,-1)</f>
        <v>2</v>
      </c>
      <c r="I49" s="23" t="s">
        <v>459</v>
      </c>
      <c r="K49" s="23" t="s">
        <v>460</v>
      </c>
      <c r="U49" s="388" t="b">
        <f t="shared" ca="1" si="2"/>
        <v>1</v>
      </c>
      <c r="X49" s="677"/>
      <c r="Y49" s="2032"/>
      <c r="Z49" s="2012"/>
      <c r="AA49" s="586" t="s">
        <v>173</v>
      </c>
      <c r="AB49" s="7" t="s">
        <v>444</v>
      </c>
      <c r="AC49" s="192" t="str">
        <f t="shared" si="3"/>
        <v>Здание канализационной насосной станции, ул. Водоканальная :: г Анжеро-Судженск, ул. Водоканальная, 65</v>
      </c>
      <c r="AD49" s="192" t="s">
        <v>425</v>
      </c>
      <c r="AE49" s="192" t="s">
        <v>426</v>
      </c>
      <c r="AF49" s="326" t="s">
        <v>224</v>
      </c>
      <c r="AG49" s="326" t="s">
        <v>427</v>
      </c>
      <c r="AH49" s="108" t="s">
        <v>428</v>
      </c>
      <c r="AK49" s="909" t="s">
        <v>419</v>
      </c>
      <c r="AL49" s="909" t="s">
        <v>420</v>
      </c>
      <c r="AM49" s="909" t="str" cm="1">
        <f t="array" ref="AM49">AC49</f>
        <v>Здание канализационной насосной станции, ул. Водоканальная :: г Анжеро-Судженск, ул. Водоканальная, 65</v>
      </c>
      <c r="AN49" s="909" t="str" cm="1">
        <f t="array" ref="AN49">AD49</f>
        <v>концессионное соглашение</v>
      </c>
      <c r="AO49" s="909" t="str" cm="1">
        <f t="array" ref="AO49">AE49</f>
        <v>соглашение</v>
      </c>
      <c r="AP49" s="909" t="str" cm="1">
        <f t="array" ref="AP49">AF49</f>
        <v>24</v>
      </c>
      <c r="AQ49" s="909" t="str" cm="1">
        <f t="array" ref="AQ49">AG49</f>
        <v>22.04.2024</v>
      </c>
      <c r="AR49" s="552"/>
      <c r="AS49" s="552" t="b">
        <v>1</v>
      </c>
    </row>
    <row r="50" spans="1:45" s="1128" customFormat="1" ht="23.25" customHeight="1" x14ac:dyDescent="0.15">
      <c r="B50" s="350"/>
      <c r="E50" s="553">
        <v>15</v>
      </c>
      <c r="F50" s="23" t="str" cm="1">
        <f t="array" aca="1" ref="F50" ca="1">OFFSET(G50,-1,-1)</f>
        <v>2</v>
      </c>
      <c r="I50" s="23" t="s">
        <v>461</v>
      </c>
      <c r="K50" s="23" t="s">
        <v>462</v>
      </c>
      <c r="U50" s="388" t="b">
        <f t="shared" ca="1" si="2"/>
        <v>1</v>
      </c>
      <c r="X50" s="677"/>
      <c r="Y50" s="2032"/>
      <c r="Z50" s="2012"/>
      <c r="AA50" s="586" t="s">
        <v>173</v>
      </c>
      <c r="AB50" s="7" t="s">
        <v>446</v>
      </c>
      <c r="AC50" s="192" t="str">
        <f t="shared" si="3"/>
        <v>Здание канализационной насосной станции, ул. К.Маркса :: г Анжеро-Судженск, ул. К.Маркса, 9</v>
      </c>
      <c r="AD50" s="192" t="s">
        <v>425</v>
      </c>
      <c r="AE50" s="192" t="s">
        <v>426</v>
      </c>
      <c r="AF50" s="326" t="s">
        <v>224</v>
      </c>
      <c r="AG50" s="326" t="s">
        <v>427</v>
      </c>
      <c r="AH50" s="108" t="s">
        <v>428</v>
      </c>
      <c r="AK50" s="909" t="s">
        <v>419</v>
      </c>
      <c r="AL50" s="909" t="s">
        <v>420</v>
      </c>
      <c r="AM50" s="909" t="str" cm="1">
        <f t="array" ref="AM50">AC50</f>
        <v>Здание канализационной насосной станции, ул. К.Маркса :: г Анжеро-Судженск, ул. К.Маркса, 9</v>
      </c>
      <c r="AN50" s="909" t="str" cm="1">
        <f t="array" ref="AN50">AD50</f>
        <v>концессионное соглашение</v>
      </c>
      <c r="AO50" s="909" t="str" cm="1">
        <f t="array" ref="AO50">AE50</f>
        <v>соглашение</v>
      </c>
      <c r="AP50" s="909" t="str" cm="1">
        <f t="array" ref="AP50">AF50</f>
        <v>24</v>
      </c>
      <c r="AQ50" s="909" t="str" cm="1">
        <f t="array" ref="AQ50">AG50</f>
        <v>22.04.2024</v>
      </c>
      <c r="AR50" s="552"/>
      <c r="AS50" s="552" t="b">
        <v>1</v>
      </c>
    </row>
    <row r="51" spans="1:45" s="1128" customFormat="1" ht="18.75" customHeight="1" x14ac:dyDescent="0.15">
      <c r="B51" s="350"/>
      <c r="E51" s="553">
        <v>15</v>
      </c>
      <c r="F51" s="23" t="str" cm="1">
        <f t="array" aca="1" ref="F51" ca="1">OFFSET(G51,-1,-1)</f>
        <v>2</v>
      </c>
      <c r="I51" s="23" t="s">
        <v>463</v>
      </c>
      <c r="K51" s="23" t="s">
        <v>464</v>
      </c>
      <c r="U51" s="388" t="b">
        <f t="shared" ca="1" si="2"/>
        <v>1</v>
      </c>
      <c r="X51" s="677"/>
      <c r="Y51" s="2032"/>
      <c r="Z51" s="2012"/>
      <c r="AA51" s="586" t="s">
        <v>173</v>
      </c>
      <c r="AB51" s="7" t="s">
        <v>448</v>
      </c>
      <c r="AC51" s="192" t="str">
        <f t="shared" si="3"/>
        <v>Здание канализационной насосной станции №2 :: г Анжеро-Судженск, ул. Камышинская, -</v>
      </c>
      <c r="AD51" s="192" t="s">
        <v>431</v>
      </c>
      <c r="AE51" s="192" t="s">
        <v>432</v>
      </c>
      <c r="AF51" s="326" t="s">
        <v>437</v>
      </c>
      <c r="AG51" s="326" t="s">
        <v>438</v>
      </c>
      <c r="AH51" s="108" t="s">
        <v>428</v>
      </c>
      <c r="AK51" s="909" t="s">
        <v>419</v>
      </c>
      <c r="AL51" s="909" t="s">
        <v>420</v>
      </c>
      <c r="AM51" s="909" t="str" cm="1">
        <f t="array" ref="AM51">AC51</f>
        <v>Здание канализационной насосной станции №2 :: г Анжеро-Судженск, ул. Камышинская, -</v>
      </c>
      <c r="AN51" s="909" t="str" cm="1">
        <f t="array" ref="AN51">AD51</f>
        <v>аренда</v>
      </c>
      <c r="AO51" s="909" t="str" cm="1">
        <f t="array" ref="AO51">AE51</f>
        <v>договор</v>
      </c>
      <c r="AP51" s="909" t="str" cm="1">
        <f t="array" ref="AP51">AF51</f>
        <v>43-Н/2022</v>
      </c>
      <c r="AQ51" s="909" t="str" cm="1">
        <f t="array" ref="AQ51">AG51</f>
        <v>01.12.2022</v>
      </c>
      <c r="AR51" s="552"/>
      <c r="AS51" s="552" t="b">
        <v>1</v>
      </c>
    </row>
    <row r="52" spans="1:45" s="1128" customFormat="1" ht="18.75" customHeight="1" x14ac:dyDescent="0.15">
      <c r="B52" s="350"/>
      <c r="E52" s="553">
        <v>15</v>
      </c>
      <c r="F52" s="23" t="str" cm="1">
        <f t="array" aca="1" ref="F52" ca="1">OFFSET(G52,-1,-1)</f>
        <v>2</v>
      </c>
      <c r="I52" s="23" t="s">
        <v>465</v>
      </c>
      <c r="K52" s="23" t="s">
        <v>466</v>
      </c>
      <c r="U52" s="388" t="b">
        <f t="shared" ca="1" si="2"/>
        <v>1</v>
      </c>
      <c r="X52" s="677"/>
      <c r="Y52" s="2032"/>
      <c r="Z52" s="2012"/>
      <c r="AA52" s="586" t="s">
        <v>173</v>
      </c>
      <c r="AB52" s="7" t="s">
        <v>450</v>
      </c>
      <c r="AC52" s="192" t="str">
        <f t="shared" si="3"/>
        <v>Здание канализационной насосной станции №1 :: г Анжеро-Судженск, ул. Междуреченская, -</v>
      </c>
      <c r="AD52" s="192" t="s">
        <v>431</v>
      </c>
      <c r="AE52" s="192" t="s">
        <v>432</v>
      </c>
      <c r="AF52" s="326" t="s">
        <v>437</v>
      </c>
      <c r="AG52" s="326" t="s">
        <v>438</v>
      </c>
      <c r="AH52" s="108" t="s">
        <v>428</v>
      </c>
      <c r="AK52" s="909" t="s">
        <v>419</v>
      </c>
      <c r="AL52" s="909" t="s">
        <v>420</v>
      </c>
      <c r="AM52" s="909" t="str" cm="1">
        <f t="array" ref="AM52">AC52</f>
        <v>Здание канализационной насосной станции №1 :: г Анжеро-Судженск, ул. Междуреченская, -</v>
      </c>
      <c r="AN52" s="909" t="str" cm="1">
        <f t="array" ref="AN52">AD52</f>
        <v>аренда</v>
      </c>
      <c r="AO52" s="909" t="str" cm="1">
        <f t="array" ref="AO52">AE52</f>
        <v>договор</v>
      </c>
      <c r="AP52" s="909" t="str" cm="1">
        <f t="array" ref="AP52">AF52</f>
        <v>43-Н/2022</v>
      </c>
      <c r="AQ52" s="909" t="str" cm="1">
        <f t="array" ref="AQ52">AG52</f>
        <v>01.12.2022</v>
      </c>
      <c r="AR52" s="552"/>
      <c r="AS52" s="552" t="b">
        <v>1</v>
      </c>
    </row>
    <row r="53" spans="1:45" s="1128" customFormat="1" ht="23.25" customHeight="1" x14ac:dyDescent="0.15">
      <c r="B53" s="350"/>
      <c r="E53" s="553">
        <v>15</v>
      </c>
      <c r="F53" s="23" t="str" cm="1">
        <f t="array" aca="1" ref="F53" ca="1">OFFSET(G53,-1,-1)</f>
        <v>2</v>
      </c>
      <c r="I53" s="23" t="s">
        <v>467</v>
      </c>
      <c r="K53" s="23" t="s">
        <v>468</v>
      </c>
      <c r="U53" s="388" t="b">
        <f t="shared" ca="1" si="2"/>
        <v>1</v>
      </c>
      <c r="X53" s="677"/>
      <c r="Y53" s="2032"/>
      <c r="Z53" s="2012"/>
      <c r="AA53" s="586" t="s">
        <v>173</v>
      </c>
      <c r="AB53" s="7" t="s">
        <v>469</v>
      </c>
      <c r="AC53" s="192" t="str">
        <f t="shared" si="3"/>
        <v>Здание канализационной насосной станции, ул. Ново-Анжерская подстанция :: г Анжеро-Судженск, ул. Ново-Анжерская подстанция, -</v>
      </c>
      <c r="AD53" s="192" t="s">
        <v>425</v>
      </c>
      <c r="AE53" s="192" t="s">
        <v>426</v>
      </c>
      <c r="AF53" s="326" t="s">
        <v>224</v>
      </c>
      <c r="AG53" s="326" t="s">
        <v>427</v>
      </c>
      <c r="AH53" s="108" t="s">
        <v>428</v>
      </c>
      <c r="AK53" s="909" t="s">
        <v>419</v>
      </c>
      <c r="AL53" s="909" t="s">
        <v>420</v>
      </c>
      <c r="AM53" s="909" t="str" cm="1">
        <f t="array" ref="AM53">AC53</f>
        <v>Здание канализационной насосной станции, ул. Ново-Анжерская подстанция :: г Анжеро-Судженск, ул. Ново-Анжерская подстанция, -</v>
      </c>
      <c r="AN53" s="909" t="str" cm="1">
        <f t="array" ref="AN53">AD53</f>
        <v>концессионное соглашение</v>
      </c>
      <c r="AO53" s="909" t="str" cm="1">
        <f t="array" ref="AO53">AE53</f>
        <v>соглашение</v>
      </c>
      <c r="AP53" s="909" t="str" cm="1">
        <f t="array" ref="AP53">AF53</f>
        <v>24</v>
      </c>
      <c r="AQ53" s="909" t="str" cm="1">
        <f t="array" ref="AQ53">AG53</f>
        <v>22.04.2024</v>
      </c>
      <c r="AR53" s="552"/>
      <c r="AS53" s="552" t="b">
        <v>1</v>
      </c>
    </row>
    <row r="54" spans="1:45" s="1128" customFormat="1" ht="23.25" customHeight="1" x14ac:dyDescent="0.15">
      <c r="B54" s="350"/>
      <c r="E54" s="553">
        <v>15</v>
      </c>
      <c r="F54" s="23" t="str" cm="1">
        <f t="array" aca="1" ref="F54" ca="1">OFFSET(G54,-1,-1)</f>
        <v>2</v>
      </c>
      <c r="I54" s="23" t="s">
        <v>470</v>
      </c>
      <c r="K54" s="23" t="s">
        <v>471</v>
      </c>
      <c r="U54" s="388" t="b">
        <f t="shared" ca="1" si="2"/>
        <v>1</v>
      </c>
      <c r="X54" s="677"/>
      <c r="Y54" s="2032"/>
      <c r="Z54" s="2012"/>
      <c r="AA54" s="586" t="s">
        <v>173</v>
      </c>
      <c r="AB54" s="7" t="s">
        <v>472</v>
      </c>
      <c r="AC54" s="192" t="str">
        <f t="shared" si="3"/>
        <v>Здание канализационной насосной станции, ул. Тырганская :: г Анжеро-Судженск, ул. Тырганская, -</v>
      </c>
      <c r="AD54" s="192" t="s">
        <v>425</v>
      </c>
      <c r="AE54" s="192" t="s">
        <v>426</v>
      </c>
      <c r="AF54" s="326" t="s">
        <v>224</v>
      </c>
      <c r="AG54" s="326" t="s">
        <v>427</v>
      </c>
      <c r="AH54" s="108" t="s">
        <v>428</v>
      </c>
      <c r="AK54" s="909" t="s">
        <v>419</v>
      </c>
      <c r="AL54" s="909" t="s">
        <v>420</v>
      </c>
      <c r="AM54" s="909" t="str" cm="1">
        <f t="array" ref="AM54">AC54</f>
        <v>Здание канализационной насосной станции, ул. Тырганская :: г Анжеро-Судженск, ул. Тырганская, -</v>
      </c>
      <c r="AN54" s="909" t="str" cm="1">
        <f t="array" ref="AN54">AD54</f>
        <v>концессионное соглашение</v>
      </c>
      <c r="AO54" s="909" t="str" cm="1">
        <f t="array" ref="AO54">AE54</f>
        <v>соглашение</v>
      </c>
      <c r="AP54" s="909" t="str" cm="1">
        <f t="array" ref="AP54">AF54</f>
        <v>24</v>
      </c>
      <c r="AQ54" s="909" t="str" cm="1">
        <f t="array" ref="AQ54">AG54</f>
        <v>22.04.2024</v>
      </c>
      <c r="AR54" s="552"/>
      <c r="AS54" s="552" t="b">
        <v>1</v>
      </c>
    </row>
    <row r="55" spans="1:45" s="1128" customFormat="1" ht="18.75" customHeight="1" x14ac:dyDescent="0.15">
      <c r="B55" s="350"/>
      <c r="E55" s="553">
        <v>15</v>
      </c>
      <c r="F55" s="23" t="str" cm="1">
        <f t="array" aca="1" ref="F55" ca="1">OFFSET(G55,-1,-1)</f>
        <v>2</v>
      </c>
      <c r="I55" s="23" t="s">
        <v>473</v>
      </c>
      <c r="K55" s="23" t="s">
        <v>474</v>
      </c>
      <c r="U55" s="388" t="b">
        <f t="shared" ca="1" si="2"/>
        <v>1</v>
      </c>
      <c r="X55" s="677"/>
      <c r="Y55" s="2032"/>
      <c r="Z55" s="2012"/>
      <c r="AA55" s="586" t="s">
        <v>173</v>
      </c>
      <c r="AB55" s="7" t="s">
        <v>475</v>
      </c>
      <c r="AC55" s="192" t="str">
        <f t="shared" si="3"/>
        <v>Здание канализационной насосной станции №3 :: г Анжеро-Судженск, ул. Фестивальная, -</v>
      </c>
      <c r="AD55" s="192" t="s">
        <v>431</v>
      </c>
      <c r="AE55" s="192" t="s">
        <v>432</v>
      </c>
      <c r="AF55" s="326" t="s">
        <v>437</v>
      </c>
      <c r="AG55" s="326" t="s">
        <v>438</v>
      </c>
      <c r="AH55" s="108" t="s">
        <v>428</v>
      </c>
      <c r="AK55" s="909" t="s">
        <v>419</v>
      </c>
      <c r="AL55" s="909" t="s">
        <v>420</v>
      </c>
      <c r="AM55" s="909" t="str" cm="1">
        <f t="array" ref="AM55">AC55</f>
        <v>Здание канализационной насосной станции №3 :: г Анжеро-Судженск, ул. Фестивальная, -</v>
      </c>
      <c r="AN55" s="909" t="str" cm="1">
        <f t="array" ref="AN55">AD55</f>
        <v>аренда</v>
      </c>
      <c r="AO55" s="909" t="str" cm="1">
        <f t="array" ref="AO55">AE55</f>
        <v>договор</v>
      </c>
      <c r="AP55" s="909" t="str" cm="1">
        <f t="array" ref="AP55">AF55</f>
        <v>43-Н/2022</v>
      </c>
      <c r="AQ55" s="909" t="str" cm="1">
        <f t="array" ref="AQ55">AG55</f>
        <v>01.12.2022</v>
      </c>
      <c r="AR55" s="552"/>
      <c r="AS55" s="552" t="b">
        <v>1</v>
      </c>
    </row>
    <row r="56" spans="1:45" s="1128" customFormat="1" ht="23.25" customHeight="1" x14ac:dyDescent="0.15">
      <c r="B56" s="350"/>
      <c r="E56" s="553">
        <v>15</v>
      </c>
      <c r="F56" s="23" t="str" cm="1">
        <f t="array" aca="1" ref="F56" ca="1">OFFSET(G56,-1,-1)</f>
        <v>2</v>
      </c>
      <c r="I56" s="23" t="s">
        <v>476</v>
      </c>
      <c r="K56" s="23" t="s">
        <v>477</v>
      </c>
      <c r="U56" s="388" t="b">
        <f t="shared" ca="1" si="2"/>
        <v>1</v>
      </c>
      <c r="X56" s="677"/>
      <c r="Y56" s="2032"/>
      <c r="Z56" s="2012"/>
      <c r="AA56" s="586" t="s">
        <v>173</v>
      </c>
      <c r="AB56" s="7" t="s">
        <v>478</v>
      </c>
      <c r="AC56" s="192" t="str">
        <f t="shared" si="3"/>
        <v>Здание канализационной насосной станции, ул. Чередниченко :: г Анжеро-Судженск, ул. Чередниченко, -</v>
      </c>
      <c r="AD56" s="192" t="s">
        <v>425</v>
      </c>
      <c r="AE56" s="192" t="s">
        <v>426</v>
      </c>
      <c r="AF56" s="326" t="s">
        <v>224</v>
      </c>
      <c r="AG56" s="326" t="s">
        <v>427</v>
      </c>
      <c r="AH56" s="108" t="s">
        <v>428</v>
      </c>
      <c r="AK56" s="909" t="s">
        <v>419</v>
      </c>
      <c r="AL56" s="909" t="s">
        <v>420</v>
      </c>
      <c r="AM56" s="909" t="str" cm="1">
        <f t="array" ref="AM56">AC56</f>
        <v>Здание канализационной насосной станции, ул. Чередниченко :: г Анжеро-Судженск, ул. Чередниченко, -</v>
      </c>
      <c r="AN56" s="909" t="str" cm="1">
        <f t="array" ref="AN56">AD56</f>
        <v>концессионное соглашение</v>
      </c>
      <c r="AO56" s="909" t="str" cm="1">
        <f t="array" ref="AO56">AE56</f>
        <v>соглашение</v>
      </c>
      <c r="AP56" s="909" t="str" cm="1">
        <f t="array" ref="AP56">AF56</f>
        <v>24</v>
      </c>
      <c r="AQ56" s="909" t="str" cm="1">
        <f t="array" ref="AQ56">AG56</f>
        <v>22.04.2024</v>
      </c>
      <c r="AR56" s="552"/>
      <c r="AS56" s="552" t="b">
        <v>1</v>
      </c>
    </row>
    <row r="57" spans="1:45" s="1128" customFormat="1" ht="18.75" customHeight="1" x14ac:dyDescent="0.15">
      <c r="B57" s="350"/>
      <c r="E57" s="553">
        <v>15</v>
      </c>
      <c r="F57" s="23" t="str" cm="1">
        <f t="array" aca="1" ref="F57" ca="1">OFFSET(G57,-1,-1)</f>
        <v>2</v>
      </c>
      <c r="I57" s="23" t="s">
        <v>479</v>
      </c>
      <c r="K57" s="23" t="s">
        <v>480</v>
      </c>
      <c r="U57" s="388" t="b">
        <f t="shared" ca="1" si="2"/>
        <v>1</v>
      </c>
      <c r="X57" s="677"/>
      <c r="Y57" s="2032"/>
      <c r="Z57" s="2012"/>
      <c r="AA57" s="586" t="s">
        <v>173</v>
      </c>
      <c r="AB57" s="7" t="s">
        <v>481</v>
      </c>
      <c r="AC57" s="192" t="str">
        <f t="shared" si="3"/>
        <v>Здание канализационной насосной станции №4 :: г Анжеро-Судженск, ул. Юргинская, -</v>
      </c>
      <c r="AD57" s="192" t="s">
        <v>431</v>
      </c>
      <c r="AE57" s="192" t="s">
        <v>432</v>
      </c>
      <c r="AF57" s="326" t="s">
        <v>437</v>
      </c>
      <c r="AG57" s="326" t="s">
        <v>438</v>
      </c>
      <c r="AH57" s="108" t="s">
        <v>428</v>
      </c>
      <c r="AK57" s="909" t="s">
        <v>419</v>
      </c>
      <c r="AL57" s="909" t="s">
        <v>420</v>
      </c>
      <c r="AM57" s="909" t="str" cm="1">
        <f t="array" ref="AM57">AC57</f>
        <v>Здание канализационной насосной станции №4 :: г Анжеро-Судженск, ул. Юргинская, -</v>
      </c>
      <c r="AN57" s="909" t="str" cm="1">
        <f t="array" ref="AN57">AD57</f>
        <v>аренда</v>
      </c>
      <c r="AO57" s="909" t="str" cm="1">
        <f t="array" ref="AO57">AE57</f>
        <v>договор</v>
      </c>
      <c r="AP57" s="909" t="str" cm="1">
        <f t="array" ref="AP57">AF57</f>
        <v>43-Н/2022</v>
      </c>
      <c r="AQ57" s="909" t="str" cm="1">
        <f t="array" ref="AQ57">AG57</f>
        <v>01.12.2022</v>
      </c>
      <c r="AR57" s="552"/>
      <c r="AS57" s="552" t="b">
        <v>1</v>
      </c>
    </row>
    <row r="58" spans="1:45" s="461" customFormat="1" ht="10.5" customHeight="1" x14ac:dyDescent="0.15">
      <c r="A58" s="1217"/>
      <c r="B58" s="350"/>
      <c r="C58" s="1217"/>
      <c r="D58" s="1217"/>
      <c r="E58" s="553">
        <v>11</v>
      </c>
      <c r="F58" s="41" t="str" cm="1">
        <f t="array" aca="1" ref="F58" ca="1">OFFSET(G58,-1,-1)</f>
        <v>2</v>
      </c>
      <c r="G58" s="1217"/>
      <c r="H58" s="1217"/>
      <c r="I58" s="1217"/>
      <c r="J58" s="1217"/>
      <c r="K58" s="1217"/>
      <c r="L58" s="1217"/>
      <c r="M58" s="1217"/>
      <c r="N58" s="1217"/>
      <c r="O58" s="1217"/>
      <c r="P58" s="1217"/>
      <c r="Q58" s="1217"/>
      <c r="R58" s="1217"/>
      <c r="S58" s="1217"/>
      <c r="T58" s="1217"/>
      <c r="U58" s="388" t="b">
        <f ca="1">F58&gt;0</f>
        <v>1</v>
      </c>
      <c r="V58" s="1217"/>
      <c r="W58" s="1217"/>
      <c r="X58" s="677" t="s">
        <v>421</v>
      </c>
      <c r="Y58" s="2032"/>
      <c r="Z58" s="2012"/>
      <c r="AA58" s="1217"/>
      <c r="AB58" s="94"/>
      <c r="AC58" s="97" t="s">
        <v>422</v>
      </c>
      <c r="AD58" s="95"/>
      <c r="AE58" s="95"/>
      <c r="AF58" s="95"/>
      <c r="AG58" s="95"/>
      <c r="AH58" s="106"/>
      <c r="AI58" s="1217"/>
      <c r="AJ58" s="1217"/>
      <c r="AK58" s="906"/>
      <c r="AL58" s="906"/>
      <c r="AM58" s="906"/>
      <c r="AN58" s="906"/>
      <c r="AO58" s="906"/>
      <c r="AP58" s="906"/>
      <c r="AQ58" s="906"/>
      <c r="AR58" s="542" t="s">
        <v>420</v>
      </c>
      <c r="AS58" s="542"/>
    </row>
    <row r="59" spans="1:45" ht="10.7" customHeight="1" x14ac:dyDescent="0.15">
      <c r="A59" s="337"/>
      <c r="B59" s="337"/>
      <c r="C59" s="337"/>
      <c r="D59" s="337"/>
      <c r="E59" s="553">
        <v>11</v>
      </c>
      <c r="F59" s="337"/>
      <c r="G59" s="337"/>
      <c r="H59" s="337"/>
      <c r="I59" s="337"/>
      <c r="J59" s="337"/>
      <c r="K59" s="337"/>
      <c r="L59" s="337"/>
      <c r="M59" s="337"/>
      <c r="N59" s="337"/>
      <c r="O59" s="337"/>
      <c r="P59" s="337"/>
      <c r="Q59" s="337"/>
      <c r="R59" s="337"/>
      <c r="S59" s="337"/>
      <c r="T59" s="337"/>
      <c r="U59" s="337"/>
      <c r="V59" s="41" t="s">
        <v>176</v>
      </c>
      <c r="W59" s="59" t="s">
        <v>482</v>
      </c>
      <c r="X59" s="337"/>
      <c r="Y59" s="337"/>
      <c r="Z59" s="337"/>
      <c r="AA59" s="337"/>
      <c r="AI59" s="337"/>
      <c r="AJ59" s="337"/>
      <c r="AK59" s="910"/>
      <c r="AL59" s="910"/>
      <c r="AM59" s="910"/>
      <c r="AN59" s="910"/>
      <c r="AO59" s="910"/>
      <c r="AP59" s="910"/>
      <c r="AQ59" s="910"/>
      <c r="AR59" s="580"/>
      <c r="AS59" s="599"/>
    </row>
    <row r="60" spans="1:45" s="1334" customFormat="1" ht="11.25" hidden="1" customHeight="1" x14ac:dyDescent="0.15">
      <c r="A60" s="422"/>
      <c r="B60" s="582"/>
      <c r="C60" s="422"/>
      <c r="D60" s="422"/>
      <c r="E60" s="553"/>
      <c r="F60" s="337"/>
      <c r="G60" s="337"/>
      <c r="H60" s="337"/>
      <c r="I60" s="337"/>
      <c r="J60" s="422"/>
      <c r="K60" s="422"/>
      <c r="L60" s="422"/>
      <c r="M60" s="422"/>
      <c r="N60" s="422"/>
      <c r="O60" s="422"/>
      <c r="P60" s="422"/>
      <c r="Q60" s="422"/>
      <c r="R60" s="422"/>
      <c r="S60" s="422"/>
      <c r="T60" s="422"/>
      <c r="U60" s="422"/>
      <c r="V60" s="422"/>
      <c r="W60" s="422"/>
      <c r="X60" s="422"/>
      <c r="Y60" s="422"/>
      <c r="Z60" s="422"/>
      <c r="AA60" s="422"/>
      <c r="AC60" s="19"/>
      <c r="AD60" s="19"/>
      <c r="AE60" s="19"/>
      <c r="AF60" s="19"/>
      <c r="AI60" s="422"/>
      <c r="AJ60" s="422"/>
      <c r="AK60" s="907"/>
      <c r="AL60" s="907"/>
      <c r="AM60" s="907"/>
      <c r="AN60" s="907"/>
      <c r="AO60" s="907"/>
      <c r="AP60" s="908"/>
      <c r="AQ60" s="907"/>
      <c r="AR60" s="583"/>
      <c r="AS60" s="548"/>
    </row>
    <row r="61" spans="1:45" ht="11.25" hidden="1" customHeight="1" x14ac:dyDescent="0.15">
      <c r="E61" s="553"/>
    </row>
    <row r="62" spans="1:45" ht="11.25" hidden="1" customHeight="1" x14ac:dyDescent="0.15">
      <c r="E62" s="553"/>
    </row>
    <row r="63" spans="1:45" ht="11.25" hidden="1" customHeight="1" x14ac:dyDescent="0.15">
      <c r="E63" s="553"/>
    </row>
    <row r="64" spans="1:45" ht="11.25" hidden="1" customHeight="1" x14ac:dyDescent="0.15">
      <c r="E64" s="553"/>
    </row>
    <row r="65" spans="5:5" ht="11.25" hidden="1" customHeight="1" x14ac:dyDescent="0.15">
      <c r="E65" s="561"/>
    </row>
    <row r="66" spans="5:5" ht="11.25" hidden="1" customHeight="1" x14ac:dyDescent="0.15">
      <c r="E66" s="553"/>
    </row>
    <row r="67" spans="5:5" ht="11.25" hidden="1" customHeight="1" x14ac:dyDescent="0.15">
      <c r="E67" s="553"/>
    </row>
    <row r="68" spans="5:5" ht="11.25" hidden="1" customHeight="1" x14ac:dyDescent="0.15">
      <c r="E68" s="553"/>
    </row>
    <row r="69" spans="5:5" ht="11.25" hidden="1" customHeight="1" x14ac:dyDescent="0.15">
      <c r="E69" s="558"/>
    </row>
    <row r="70" spans="5:5" ht="11.25" hidden="1" customHeight="1" x14ac:dyDescent="0.15">
      <c r="E70" s="556"/>
    </row>
    <row r="71" spans="5:5" ht="11.25" hidden="1" customHeight="1" x14ac:dyDescent="0.15">
      <c r="E71" s="556"/>
    </row>
    <row r="72" spans="5:5" ht="11.25" hidden="1" customHeight="1" x14ac:dyDescent="0.15">
      <c r="E72" s="556"/>
    </row>
  </sheetData>
  <sheetProtection formatColumns="0" formatRows="0" insertRows="0" deleteColumns="0" deleteRows="0" sort="0" autoFilter="0"/>
  <mergeCells count="8">
    <mergeCell ref="Y42:Y58"/>
    <mergeCell ref="Z42:Z58"/>
    <mergeCell ref="AB22:AH22"/>
    <mergeCell ref="AF23:AG23"/>
    <mergeCell ref="Y26:Y29"/>
    <mergeCell ref="Z26:Z29"/>
    <mergeCell ref="Y30:Y41"/>
    <mergeCell ref="Z30:Z41"/>
  </mergeCells>
  <dataValidations count="1">
    <dataValidation type="list" showDropDown="1" errorTitle="Ошибка" error="Выберите значение из списка" prompt="Выберите значение из списка" sqref="AD29 AD41 AD58" xr:uid="{00000000-0002-0000-07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0394-31C8-8358-79E1-920A63FDAA2A}">
  <sheetPr>
    <tabColor theme="3" tint="0.59999389629810485"/>
    <outlinePr summaryBelow="0" summaryRight="0"/>
    <pageSetUpPr fitToPage="1"/>
  </sheetPr>
  <dimension ref="A1:BM109"/>
  <sheetViews>
    <sheetView showGridLines="0" workbookViewId="0">
      <pane xSplit="30" ySplit="26" topLeftCell="AE74" activePane="bottomRight" state="frozen"/>
      <selection pane="topRight" activeCell="AE1" sqref="AE1"/>
      <selection pane="bottomLeft" activeCell="A27" sqref="A27"/>
      <selection pane="bottomRight" activeCell="AK87" sqref="AK87"/>
    </sheetView>
  </sheetViews>
  <sheetFormatPr defaultColWidth="9.140625" defaultRowHeight="11.25" customHeight="1" x14ac:dyDescent="0.15"/>
  <cols>
    <col min="1" max="1" width="3.5703125" style="1217" hidden="1" customWidth="1"/>
    <col min="2" max="2" width="8.7109375" style="1111" hidden="1" customWidth="1"/>
    <col min="3" max="4" width="3.5703125" style="1217" hidden="1" customWidth="1"/>
    <col min="5" max="5" width="3.5703125" style="1080" hidden="1" customWidth="1"/>
    <col min="6" max="6" width="8.5703125" style="1077" hidden="1" customWidth="1"/>
    <col min="7" max="7" width="7.5703125" style="1217" hidden="1" customWidth="1"/>
    <col min="8" max="20" width="3.5703125" style="1217" hidden="1" customWidth="1"/>
    <col min="21" max="21" width="8.5703125" style="1217" hidden="1" customWidth="1"/>
    <col min="22" max="26" width="6" style="1217" hidden="1" customWidth="1"/>
    <col min="27" max="27" width="3" style="1217" customWidth="1"/>
    <col min="28" max="28" width="11" style="1128" customWidth="1"/>
    <col min="29" max="29" width="40" style="1213" customWidth="1"/>
    <col min="30" max="33" width="15" style="1217" customWidth="1"/>
    <col min="34" max="34" width="17.7109375" style="1217" customWidth="1"/>
    <col min="35" max="40" width="15" style="1217" customWidth="1"/>
    <col min="41" max="58" width="15" style="1217" hidden="1" customWidth="1"/>
    <col min="59" max="59" width="3" style="1217" customWidth="1"/>
    <col min="60" max="60" width="9.140625" style="1217" hidden="1"/>
    <col min="61" max="63" width="9.140625" style="1133" hidden="1"/>
    <col min="64" max="65" width="9.140625" style="1080" hidden="1"/>
  </cols>
  <sheetData>
    <row r="1" spans="1:65" ht="11.25" hidden="1" customHeight="1" x14ac:dyDescent="0.15">
      <c r="E1" s="41"/>
      <c r="F1" s="669" t="s">
        <v>319</v>
      </c>
      <c r="H1" s="41" t="s">
        <v>330</v>
      </c>
      <c r="U1" s="388" t="s">
        <v>92</v>
      </c>
      <c r="V1" s="388" t="s">
        <v>97</v>
      </c>
      <c r="W1" s="388" t="s">
        <v>93</v>
      </c>
      <c r="X1" s="388" t="s">
        <v>94</v>
      </c>
      <c r="Y1" s="388" t="s">
        <v>95</v>
      </c>
      <c r="Z1" s="388" t="s">
        <v>99</v>
      </c>
      <c r="AA1" s="388" t="s">
        <v>96</v>
      </c>
      <c r="AB1" s="388" t="s">
        <v>321</v>
      </c>
      <c r="AC1" s="388" t="s">
        <v>98</v>
      </c>
      <c r="BI1" s="906" t="s">
        <v>322</v>
      </c>
      <c r="BJ1" s="906" t="s">
        <v>323</v>
      </c>
      <c r="BK1" s="906" t="s">
        <v>324</v>
      </c>
      <c r="BL1" s="542" t="s">
        <v>327</v>
      </c>
      <c r="BM1" s="542" t="s">
        <v>328</v>
      </c>
    </row>
    <row r="2" spans="1:65" s="1111" customFormat="1" ht="11.25" hidden="1" customHeight="1" x14ac:dyDescent="0.15">
      <c r="B2" s="368" t="s">
        <v>18</v>
      </c>
      <c r="F2" s="670"/>
      <c r="AC2" s="365"/>
      <c r="AO2" s="368" t="b">
        <f t="shared" ref="AO2:BF2" si="0">AO6&lt;=last_year_vis</f>
        <v>0</v>
      </c>
      <c r="AP2" s="368" t="b">
        <f t="shared" si="0"/>
        <v>0</v>
      </c>
      <c r="AQ2" s="368" t="b">
        <f t="shared" si="0"/>
        <v>0</v>
      </c>
      <c r="AR2" s="368" t="b">
        <f t="shared" si="0"/>
        <v>0</v>
      </c>
      <c r="AS2" s="368" t="b">
        <f t="shared" si="0"/>
        <v>0</v>
      </c>
      <c r="AT2" s="368" t="b">
        <f t="shared" si="0"/>
        <v>0</v>
      </c>
      <c r="AU2" s="368" t="b">
        <f t="shared" si="0"/>
        <v>0</v>
      </c>
      <c r="AV2" s="368" t="b">
        <f t="shared" si="0"/>
        <v>0</v>
      </c>
      <c r="AW2" s="368" t="b">
        <f t="shared" si="0"/>
        <v>0</v>
      </c>
      <c r="AX2" s="368" t="b">
        <f t="shared" si="0"/>
        <v>0</v>
      </c>
      <c r="AY2" s="368" t="b">
        <f t="shared" si="0"/>
        <v>0</v>
      </c>
      <c r="AZ2" s="368" t="b">
        <f t="shared" si="0"/>
        <v>0</v>
      </c>
      <c r="BA2" s="368" t="b">
        <f t="shared" si="0"/>
        <v>0</v>
      </c>
      <c r="BB2" s="368" t="b">
        <f t="shared" si="0"/>
        <v>0</v>
      </c>
      <c r="BC2" s="368" t="b">
        <f t="shared" si="0"/>
        <v>0</v>
      </c>
      <c r="BD2" s="368" t="b">
        <f t="shared" si="0"/>
        <v>0</v>
      </c>
      <c r="BE2" s="368" t="b">
        <f t="shared" si="0"/>
        <v>0</v>
      </c>
      <c r="BF2" s="368" t="b">
        <f t="shared" si="0"/>
        <v>0</v>
      </c>
      <c r="BI2" s="918"/>
      <c r="BJ2" s="918"/>
      <c r="BK2" s="918"/>
      <c r="BL2" s="923"/>
      <c r="BM2" s="923"/>
    </row>
    <row r="3" spans="1:65" ht="11.25" hidden="1" customHeight="1" x14ac:dyDescent="0.15">
      <c r="E3" s="41"/>
    </row>
    <row r="4" spans="1:65" ht="11.25" hidden="1" customHeight="1" x14ac:dyDescent="0.15">
      <c r="E4" s="41"/>
    </row>
    <row r="5" spans="1:65" s="1080" customFormat="1" ht="11.25" hidden="1" customHeight="1" x14ac:dyDescent="0.15">
      <c r="A5" s="41"/>
      <c r="B5" s="350"/>
      <c r="C5" s="41"/>
      <c r="D5" s="41"/>
      <c r="E5" s="542" t="s">
        <v>19</v>
      </c>
      <c r="F5" s="671"/>
      <c r="AA5" s="542">
        <v>3</v>
      </c>
      <c r="AB5" s="552">
        <v>11</v>
      </c>
      <c r="AC5" s="555">
        <v>40</v>
      </c>
      <c r="AD5" s="542">
        <v>15</v>
      </c>
      <c r="AE5" s="542">
        <v>15</v>
      </c>
      <c r="AF5" s="542">
        <v>15</v>
      </c>
      <c r="AG5" s="542">
        <v>15</v>
      </c>
      <c r="AH5" s="542">
        <v>17.71</v>
      </c>
      <c r="AI5" s="542">
        <v>15</v>
      </c>
      <c r="AJ5" s="542">
        <v>15</v>
      </c>
      <c r="AK5" s="542">
        <v>15</v>
      </c>
      <c r="AL5" s="542">
        <v>15</v>
      </c>
      <c r="AM5" s="542">
        <v>15</v>
      </c>
      <c r="AN5" s="542">
        <v>15</v>
      </c>
      <c r="AO5" s="542">
        <v>15</v>
      </c>
      <c r="AP5" s="542">
        <v>15</v>
      </c>
      <c r="AQ5" s="542">
        <v>15</v>
      </c>
      <c r="AR5" s="542">
        <v>15</v>
      </c>
      <c r="AS5" s="542">
        <v>15</v>
      </c>
      <c r="AT5" s="542">
        <v>15</v>
      </c>
      <c r="AU5" s="542">
        <v>15</v>
      </c>
      <c r="AV5" s="542">
        <v>15</v>
      </c>
      <c r="AW5" s="542">
        <v>15</v>
      </c>
      <c r="AX5" s="542">
        <v>15</v>
      </c>
      <c r="AY5" s="542">
        <v>15</v>
      </c>
      <c r="AZ5" s="542">
        <v>15</v>
      </c>
      <c r="BA5" s="542">
        <v>15</v>
      </c>
      <c r="BB5" s="542">
        <v>15</v>
      </c>
      <c r="BC5" s="542">
        <v>15</v>
      </c>
      <c r="BD5" s="542">
        <v>15</v>
      </c>
      <c r="BE5" s="542">
        <v>15</v>
      </c>
      <c r="BF5" s="542">
        <v>15</v>
      </c>
      <c r="BG5" s="542">
        <v>3</v>
      </c>
      <c r="BI5" s="906"/>
      <c r="BJ5" s="906"/>
      <c r="BK5" s="906"/>
    </row>
    <row r="6" spans="1:65" ht="11.25" hidden="1" customHeight="1" x14ac:dyDescent="0.15">
      <c r="A6" s="41" t="s">
        <v>357</v>
      </c>
      <c r="AE6" s="41">
        <f>god-2</f>
        <v>2024</v>
      </c>
      <c r="AF6" s="41">
        <f>god-2</f>
        <v>2024</v>
      </c>
      <c r="AG6" s="41">
        <f>god-2</f>
        <v>2024</v>
      </c>
      <c r="AH6" s="41">
        <f>god-2</f>
        <v>2024</v>
      </c>
      <c r="AI6" s="41">
        <f>god-1</f>
        <v>2025</v>
      </c>
      <c r="AJ6" s="41" cm="1">
        <f t="array" ref="AJ6">god</f>
        <v>2026</v>
      </c>
      <c r="AK6" s="41" cm="1">
        <f t="array" ref="AK6">god</f>
        <v>2026</v>
      </c>
      <c r="AL6" s="41" cm="1">
        <f t="array" ref="AL6">god</f>
        <v>2026</v>
      </c>
      <c r="AM6" s="41" cm="1">
        <f t="array" ref="AM6">god</f>
        <v>2026</v>
      </c>
      <c r="AN6" s="41" cm="1">
        <f t="array" ref="AN6">god</f>
        <v>2026</v>
      </c>
      <c r="AO6" s="41">
        <f>god+1</f>
        <v>2027</v>
      </c>
      <c r="AP6" s="41">
        <f>god+2</f>
        <v>2028</v>
      </c>
      <c r="AQ6" s="41">
        <f>god+3</f>
        <v>2029</v>
      </c>
      <c r="AR6" s="41">
        <f>god+4</f>
        <v>2030</v>
      </c>
      <c r="AS6" s="41">
        <f>god+5</f>
        <v>2031</v>
      </c>
      <c r="AT6" s="41">
        <f>god+6</f>
        <v>2032</v>
      </c>
      <c r="AU6" s="41">
        <f>god+7</f>
        <v>2033</v>
      </c>
      <c r="AV6" s="41">
        <f>god+8</f>
        <v>2034</v>
      </c>
      <c r="AW6" s="41">
        <f>god+9</f>
        <v>2035</v>
      </c>
      <c r="AX6" s="41">
        <f>god+1</f>
        <v>2027</v>
      </c>
      <c r="AY6" s="41">
        <f>god+2</f>
        <v>2028</v>
      </c>
      <c r="AZ6" s="41">
        <f>god+3</f>
        <v>2029</v>
      </c>
      <c r="BA6" s="41">
        <f>god+4</f>
        <v>2030</v>
      </c>
      <c r="BB6" s="41">
        <f>god+5</f>
        <v>2031</v>
      </c>
      <c r="BC6" s="41">
        <f>god+6</f>
        <v>2032</v>
      </c>
      <c r="BD6" s="41">
        <f>god+7</f>
        <v>2033</v>
      </c>
      <c r="BE6" s="41">
        <f>god+8</f>
        <v>2034</v>
      </c>
      <c r="BF6" s="41">
        <f>god+9</f>
        <v>2035</v>
      </c>
    </row>
    <row r="7" spans="1:65" ht="11.25" hidden="1" customHeight="1" x14ac:dyDescent="0.15">
      <c r="A7" s="41" t="s">
        <v>358</v>
      </c>
      <c r="AE7" s="41" t="str" cm="1">
        <f t="array" ref="AE7">AE25</f>
        <v>Принято органом регулирования</v>
      </c>
      <c r="AF7" s="41" t="str" cm="1">
        <f t="array" ref="AF7">AF25</f>
        <v>Факт по данным организации</v>
      </c>
      <c r="AG7" s="41" t="str" cm="1">
        <f t="array" ref="AG7">AG25</f>
        <v>Факт, принятый органом регулирования</v>
      </c>
      <c r="AH7" s="41" t="s">
        <v>361</v>
      </c>
      <c r="AI7" s="41" t="str" cm="1">
        <f t="array" ref="AI7">AI25</f>
        <v>Принято органом регулирования</v>
      </c>
      <c r="AJ7" s="41" t="str" cm="1">
        <f t="array" ref="AJ7">AJ25</f>
        <v>Предложение организации</v>
      </c>
      <c r="AK7" s="41" t="str" cm="1">
        <f t="array" ref="AK7">AK25</f>
        <v>Принято органом регулирования</v>
      </c>
      <c r="AL7" s="41" t="str" cm="1">
        <f t="array" ref="AL7">AL25</f>
        <v>% роста / снижения</v>
      </c>
      <c r="AM7" s="41" t="str" cm="1">
        <f t="array" ref="AM7">AM25</f>
        <v>Отклонение (принято органом регулирования - заявлено организацией)</v>
      </c>
      <c r="AN7" s="41" t="s">
        <v>361</v>
      </c>
      <c r="AO7" s="41" t="str" cm="1">
        <f t="array" ref="AO7">AO25</f>
        <v>Предложение организации</v>
      </c>
      <c r="AP7" s="41" t="str" cm="1">
        <f t="array" ref="AP7">AP25</f>
        <v>Предложение организации</v>
      </c>
      <c r="AQ7" s="41" t="str" cm="1">
        <f t="array" ref="AQ7">AQ25</f>
        <v>Предложение организации</v>
      </c>
      <c r="AR7" s="41" t="str" cm="1">
        <f t="array" ref="AR7">AR25</f>
        <v>Предложение организации</v>
      </c>
      <c r="AS7" s="41" t="str" cm="1">
        <f t="array" ref="AS7">AS25</f>
        <v>Предложение организации</v>
      </c>
      <c r="AT7" s="41" t="str" cm="1">
        <f t="array" ref="AT7">AT25</f>
        <v>Предложение организации</v>
      </c>
      <c r="AU7" s="41" t="str" cm="1">
        <f t="array" ref="AU7">AU25</f>
        <v>Предложение организации</v>
      </c>
      <c r="AV7" s="41" t="str" cm="1">
        <f t="array" ref="AV7">AV25</f>
        <v>Предложение организации</v>
      </c>
      <c r="AW7" s="41" t="str" cm="1">
        <f t="array" ref="AW7">AW25</f>
        <v>Предложение организации</v>
      </c>
      <c r="AX7" s="41" t="str" cm="1">
        <f t="array" ref="AX7">AX25</f>
        <v>Принято органом регулирования</v>
      </c>
      <c r="AY7" s="41" t="str" cm="1">
        <f t="array" ref="AY7">AY25</f>
        <v>Принято органом регулирования</v>
      </c>
      <c r="AZ7" s="41" t="str" cm="1">
        <f t="array" ref="AZ7">AZ25</f>
        <v>Принято органом регулирования</v>
      </c>
      <c r="BA7" s="41" t="str" cm="1">
        <f t="array" ref="BA7">BA25</f>
        <v>Принято органом регулирования</v>
      </c>
      <c r="BB7" s="41" t="str" cm="1">
        <f t="array" ref="BB7">BB25</f>
        <v>Принято органом регулирования</v>
      </c>
      <c r="BC7" s="41" t="str" cm="1">
        <f t="array" ref="BC7">BC25</f>
        <v>Принято органом регулирования</v>
      </c>
      <c r="BD7" s="41" t="str" cm="1">
        <f t="array" ref="BD7">BD25</f>
        <v>Принято органом регулирования</v>
      </c>
      <c r="BE7" s="41" t="str" cm="1">
        <f t="array" ref="BE7">BE25</f>
        <v>Принято органом регулирования</v>
      </c>
      <c r="BF7" s="41" t="str" cm="1">
        <f t="array" ref="BF7">BF25</f>
        <v>Принято органом регулирования</v>
      </c>
    </row>
    <row r="8" spans="1:65" ht="11.25" hidden="1" customHeight="1" x14ac:dyDescent="0.15">
      <c r="AE8" s="41" t="str">
        <f t="shared" ref="AE8:BF8" si="1">AE6&amp;AE7</f>
        <v>2024Принято органом регулирования</v>
      </c>
      <c r="AF8" s="41" t="str">
        <f t="shared" si="1"/>
        <v>2024Факт по данным организации</v>
      </c>
      <c r="AG8" s="41" t="str">
        <f t="shared" si="1"/>
        <v>2024Факт, принятый органом регулирования</v>
      </c>
      <c r="AH8" s="41" t="str">
        <f t="shared" si="1"/>
        <v>2024Не определено</v>
      </c>
      <c r="AI8" s="41" t="str">
        <f t="shared" si="1"/>
        <v>2025Принято органом регулирования</v>
      </c>
      <c r="AJ8" s="41" t="str">
        <f t="shared" si="1"/>
        <v>2026Предложение организации</v>
      </c>
      <c r="AK8" s="41" t="str">
        <f t="shared" si="1"/>
        <v>2026Принято органом регулирования</v>
      </c>
      <c r="AL8" s="41" t="str">
        <f t="shared" si="1"/>
        <v>2026% роста / снижения</v>
      </c>
      <c r="AM8" s="41" t="str">
        <f t="shared" si="1"/>
        <v>2026Отклонение (принято органом регулирования - заявлено организацией)</v>
      </c>
      <c r="AN8" s="41" t="str">
        <f t="shared" si="1"/>
        <v>2026Не определено</v>
      </c>
      <c r="AO8" s="41" t="str">
        <f t="shared" si="1"/>
        <v>2027Предложение организации</v>
      </c>
      <c r="AP8" s="41" t="str">
        <f t="shared" si="1"/>
        <v>2028Предложение организации</v>
      </c>
      <c r="AQ8" s="41" t="str">
        <f t="shared" si="1"/>
        <v>2029Предложение организации</v>
      </c>
      <c r="AR8" s="41" t="str">
        <f t="shared" si="1"/>
        <v>2030Предложение организации</v>
      </c>
      <c r="AS8" s="41" t="str">
        <f t="shared" si="1"/>
        <v>2031Предложение организации</v>
      </c>
      <c r="AT8" s="41" t="str">
        <f t="shared" si="1"/>
        <v>2032Предложение организации</v>
      </c>
      <c r="AU8" s="41" t="str">
        <f t="shared" si="1"/>
        <v>2033Предложение организации</v>
      </c>
      <c r="AV8" s="41" t="str">
        <f t="shared" si="1"/>
        <v>2034Предложение организации</v>
      </c>
      <c r="AW8" s="41" t="str">
        <f t="shared" si="1"/>
        <v>2035Предложение организации</v>
      </c>
      <c r="AX8" s="41" t="str">
        <f t="shared" si="1"/>
        <v>2027Принято органом регулирования</v>
      </c>
      <c r="AY8" s="41" t="str">
        <f t="shared" si="1"/>
        <v>2028Принято органом регулирования</v>
      </c>
      <c r="AZ8" s="41" t="str">
        <f t="shared" si="1"/>
        <v>2029Принято органом регулирования</v>
      </c>
      <c r="BA8" s="41" t="str">
        <f t="shared" si="1"/>
        <v>2030Принято органом регулирования</v>
      </c>
      <c r="BB8" s="41" t="str">
        <f t="shared" si="1"/>
        <v>2031Принято органом регулирования</v>
      </c>
      <c r="BC8" s="41" t="str">
        <f t="shared" si="1"/>
        <v>2032Принято органом регулирования</v>
      </c>
      <c r="BD8" s="41" t="str">
        <f t="shared" si="1"/>
        <v>2033Принято органом регулирования</v>
      </c>
      <c r="BE8" s="41" t="str">
        <f t="shared" si="1"/>
        <v>2034Принято органом регулирования</v>
      </c>
      <c r="BF8" s="41" t="str">
        <f t="shared" si="1"/>
        <v>2035Принято органом регулирования</v>
      </c>
    </row>
    <row r="9" spans="1:65" s="1133" customFormat="1" ht="11.25" hidden="1" customHeight="1" x14ac:dyDescent="0.15">
      <c r="A9" s="906" t="s">
        <v>362</v>
      </c>
      <c r="B9" s="918"/>
      <c r="F9" s="919"/>
      <c r="AB9" s="909"/>
      <c r="AC9" s="920"/>
      <c r="AE9" s="906" cm="1">
        <f t="array" ref="AE9">AE6</f>
        <v>2024</v>
      </c>
      <c r="AF9" s="906" cm="1">
        <f t="array" ref="AF9">AF6</f>
        <v>2024</v>
      </c>
      <c r="AG9" s="906" cm="1">
        <f t="array" ref="AG9">AG6</f>
        <v>2024</v>
      </c>
      <c r="AH9" s="906" cm="1">
        <f t="array" ref="AH9">AH6</f>
        <v>2024</v>
      </c>
      <c r="AI9" s="906" cm="1">
        <f t="array" ref="AI9">AI6</f>
        <v>2025</v>
      </c>
      <c r="AJ9" s="906" cm="1">
        <f t="array" ref="AJ9">AJ6</f>
        <v>2026</v>
      </c>
      <c r="AK9" s="906" cm="1">
        <f t="array" ref="AK9">AK6</f>
        <v>2026</v>
      </c>
      <c r="AL9" s="906" cm="1">
        <f t="array" ref="AL9">AL6</f>
        <v>2026</v>
      </c>
      <c r="AM9" s="906" cm="1">
        <f t="array" ref="AM9">AM6</f>
        <v>2026</v>
      </c>
      <c r="AN9" s="906" cm="1">
        <f t="array" ref="AN9">AN6</f>
        <v>2026</v>
      </c>
      <c r="AO9" s="906" cm="1">
        <f t="array" ref="AO9">AO6</f>
        <v>2027</v>
      </c>
      <c r="AP9" s="906" cm="1">
        <f t="array" ref="AP9">AP6</f>
        <v>2028</v>
      </c>
      <c r="AQ9" s="906" cm="1">
        <f t="array" ref="AQ9">AQ6</f>
        <v>2029</v>
      </c>
      <c r="AR9" s="906" cm="1">
        <f t="array" ref="AR9">AR6</f>
        <v>2030</v>
      </c>
      <c r="AS9" s="906" cm="1">
        <f t="array" ref="AS9">AS6</f>
        <v>2031</v>
      </c>
      <c r="AT9" s="906" cm="1">
        <f t="array" ref="AT9">AT6</f>
        <v>2032</v>
      </c>
      <c r="AU9" s="906" cm="1">
        <f t="array" ref="AU9">AU6</f>
        <v>2033</v>
      </c>
      <c r="AV9" s="906" cm="1">
        <f t="array" ref="AV9">AV6</f>
        <v>2034</v>
      </c>
      <c r="AW9" s="906" cm="1">
        <f t="array" ref="AW9">AW6</f>
        <v>2035</v>
      </c>
      <c r="AX9" s="906" cm="1">
        <f t="array" ref="AX9">AX6</f>
        <v>2027</v>
      </c>
      <c r="AY9" s="906" cm="1">
        <f t="array" ref="AY9">AY6</f>
        <v>2028</v>
      </c>
      <c r="AZ9" s="906" cm="1">
        <f t="array" ref="AZ9">AZ6</f>
        <v>2029</v>
      </c>
      <c r="BA9" s="906" cm="1">
        <f t="array" ref="BA9">BA6</f>
        <v>2030</v>
      </c>
      <c r="BB9" s="906" cm="1">
        <f t="array" ref="BB9">BB6</f>
        <v>2031</v>
      </c>
      <c r="BC9" s="906" cm="1">
        <f t="array" ref="BC9">BC6</f>
        <v>2032</v>
      </c>
      <c r="BD9" s="906" cm="1">
        <f t="array" ref="BD9">BD6</f>
        <v>2033</v>
      </c>
      <c r="BE9" s="906" cm="1">
        <f t="array" ref="BE9">BE6</f>
        <v>2034</v>
      </c>
      <c r="BF9" s="906" cm="1">
        <f t="array" ref="BF9">BF6</f>
        <v>2035</v>
      </c>
      <c r="BL9" s="542"/>
      <c r="BM9" s="542"/>
    </row>
    <row r="10" spans="1:65" s="1133" customFormat="1" ht="11.25" hidden="1" customHeight="1" x14ac:dyDescent="0.15">
      <c r="A10" s="906" t="s">
        <v>363</v>
      </c>
      <c r="B10" s="918"/>
      <c r="F10" s="919"/>
      <c r="AB10" s="909"/>
      <c r="AC10" s="920"/>
      <c r="AE10" s="906" t="str" cm="1">
        <f t="array" ref="AE10">AE25</f>
        <v>Принято органом регулирования</v>
      </c>
      <c r="AF10" s="906" t="str" cm="1">
        <f t="array" ref="AF10">AF25</f>
        <v>Факт по данным организации</v>
      </c>
      <c r="AG10" s="906" t="str" cm="1">
        <f t="array" ref="AG10">AG25</f>
        <v>Факт, принятый органом регулирования</v>
      </c>
      <c r="AI10" s="906" t="str" cm="1">
        <f t="array" ref="AI10">AI25</f>
        <v>Принято органом регулирования</v>
      </c>
      <c r="AJ10" s="906" t="str" cm="1">
        <f t="array" ref="AJ10">AJ25</f>
        <v>Предложение организации</v>
      </c>
      <c r="AK10" s="906" t="str" cm="1">
        <f t="array" ref="AK10">AK25</f>
        <v>Принято органом регулирования</v>
      </c>
      <c r="AL10" s="906" t="str" cm="1">
        <f t="array" ref="AL10">AL25</f>
        <v>% роста / снижения</v>
      </c>
      <c r="AM10" s="906" t="str" cm="1">
        <f t="array" ref="AM10">AM25</f>
        <v>Отклонение (принято органом регулирования - заявлено организацией)</v>
      </c>
      <c r="AO10" s="906" t="str" cm="1">
        <f t="array" ref="AO10">AO25</f>
        <v>Предложение организации</v>
      </c>
      <c r="AP10" s="906" t="str" cm="1">
        <f t="array" ref="AP10">AP25</f>
        <v>Предложение организации</v>
      </c>
      <c r="AQ10" s="906" t="str" cm="1">
        <f t="array" ref="AQ10">AQ25</f>
        <v>Предложение организации</v>
      </c>
      <c r="AR10" s="906" t="str" cm="1">
        <f t="array" ref="AR10">AR25</f>
        <v>Предложение организации</v>
      </c>
      <c r="AS10" s="906" t="str" cm="1">
        <f t="array" ref="AS10">AS25</f>
        <v>Предложение организации</v>
      </c>
      <c r="AT10" s="906" t="str" cm="1">
        <f t="array" ref="AT10">AT25</f>
        <v>Предложение организации</v>
      </c>
      <c r="AU10" s="906" t="str" cm="1">
        <f t="array" ref="AU10">AU25</f>
        <v>Предложение организации</v>
      </c>
      <c r="AV10" s="906" t="str" cm="1">
        <f t="array" ref="AV10">AV25</f>
        <v>Предложение организации</v>
      </c>
      <c r="AW10" s="906" t="str" cm="1">
        <f t="array" ref="AW10">AW25</f>
        <v>Предложение организации</v>
      </c>
      <c r="AX10" s="906" t="str" cm="1">
        <f t="array" ref="AX10">AX25</f>
        <v>Принято органом регулирования</v>
      </c>
      <c r="AY10" s="906" t="str" cm="1">
        <f t="array" ref="AY10">AY25</f>
        <v>Принято органом регулирования</v>
      </c>
      <c r="AZ10" s="906" t="str" cm="1">
        <f t="array" ref="AZ10">AZ25</f>
        <v>Принято органом регулирования</v>
      </c>
      <c r="BA10" s="906" t="str" cm="1">
        <f t="array" ref="BA10">BA25</f>
        <v>Принято органом регулирования</v>
      </c>
      <c r="BB10" s="906" t="str" cm="1">
        <f t="array" ref="BB10">BB25</f>
        <v>Принято органом регулирования</v>
      </c>
      <c r="BC10" s="906" t="str" cm="1">
        <f t="array" ref="BC10">BC25</f>
        <v>Принято органом регулирования</v>
      </c>
      <c r="BD10" s="906" t="str" cm="1">
        <f t="array" ref="BD10">BD25</f>
        <v>Принято органом регулирования</v>
      </c>
      <c r="BE10" s="906" t="str" cm="1">
        <f t="array" ref="BE10">BE25</f>
        <v>Принято органом регулирования</v>
      </c>
      <c r="BF10" s="906" t="str" cm="1">
        <f t="array" ref="BF10">BF25</f>
        <v>Принято органом регулирования</v>
      </c>
      <c r="BL10" s="542"/>
      <c r="BM10" s="542"/>
    </row>
    <row r="11" spans="1:65" s="1133" customFormat="1" ht="11.25" hidden="1" customHeight="1" x14ac:dyDescent="0.15">
      <c r="A11" s="906" t="s">
        <v>364</v>
      </c>
      <c r="B11" s="918"/>
      <c r="F11" s="919"/>
      <c r="AB11" s="909"/>
      <c r="AC11" s="920"/>
      <c r="AH11" s="906" t="str" cm="1">
        <f t="array" ref="AH11">AH25</f>
        <v>Комментарии</v>
      </c>
      <c r="AN11" s="906" t="str" cm="1">
        <f t="array" ref="AN11">AN25</f>
        <v>Комментарии</v>
      </c>
      <c r="BL11" s="542"/>
      <c r="BM11" s="542"/>
    </row>
    <row r="12" spans="1:65" s="1133" customFormat="1" ht="11.25" hidden="1" customHeight="1" x14ac:dyDescent="0.15">
      <c r="A12" s="906" t="s">
        <v>337</v>
      </c>
      <c r="B12" s="918"/>
      <c r="F12" s="919"/>
      <c r="AB12" s="909"/>
      <c r="AC12" s="920" t="s">
        <v>324</v>
      </c>
      <c r="BL12" s="542"/>
      <c r="BM12" s="542"/>
    </row>
    <row r="13" spans="1:65" ht="11.25" hidden="1" customHeight="1" x14ac:dyDescent="0.15"/>
    <row r="14" spans="1:65" ht="11.25" hidden="1" customHeight="1" x14ac:dyDescent="0.15"/>
    <row r="15" spans="1:65" ht="11.25" hidden="1" customHeight="1" x14ac:dyDescent="0.15"/>
    <row r="16" spans="1:65" ht="11.25" hidden="1" customHeight="1" x14ac:dyDescent="0.15"/>
    <row r="17" spans="1:65" ht="11.25" hidden="1" customHeight="1" x14ac:dyDescent="0.15"/>
    <row r="18" spans="1:65" ht="11.25" hidden="1" customHeight="1" x14ac:dyDescent="0.15">
      <c r="A18" s="41" t="s">
        <v>365</v>
      </c>
      <c r="AC18" s="59" t="s">
        <v>483</v>
      </c>
    </row>
    <row r="19" spans="1:65" ht="11.25" hidden="1" customHeight="1" x14ac:dyDescent="0.15"/>
    <row r="20" spans="1:65" ht="11.25" hidden="1" customHeight="1" x14ac:dyDescent="0.15"/>
    <row r="21" spans="1:65" ht="14.65" customHeight="1" x14ac:dyDescent="0.15">
      <c r="E21" s="542">
        <v>15</v>
      </c>
      <c r="AA21" s="581"/>
      <c r="AC21" s="3" t="str" cm="1">
        <f t="array" ref="AC21">tpl_title</f>
        <v>Кемеровская область / 2026 / ООО "Чистая вода" (ИНН:4246023100, КПП:424601001) / ДПР: 2024-2032</v>
      </c>
      <c r="AD21" s="44"/>
      <c r="AE21" s="45"/>
    </row>
    <row r="22" spans="1:65" ht="21.95" customHeight="1" x14ac:dyDescent="0.2">
      <c r="E22" s="542">
        <v>22.5</v>
      </c>
      <c r="AB22" s="234" t="s">
        <v>40</v>
      </c>
      <c r="AC22" s="112"/>
      <c r="AD22" s="112"/>
      <c r="AE22" s="112"/>
      <c r="AF22" s="112"/>
      <c r="AG22" s="112"/>
      <c r="AH22" s="112"/>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row>
    <row r="23" spans="1:65" s="1330" customFormat="1" ht="10.9" customHeight="1" x14ac:dyDescent="0.15">
      <c r="B23" s="350"/>
      <c r="E23" s="553">
        <v>11.25</v>
      </c>
      <c r="F23" s="669"/>
      <c r="AA23" s="46"/>
      <c r="AB23" s="47"/>
      <c r="AC23" s="48"/>
      <c r="AD23" s="49"/>
      <c r="AE23" s="50"/>
      <c r="BI23" s="921"/>
      <c r="BJ23" s="921"/>
      <c r="BK23" s="921"/>
      <c r="BL23" s="553"/>
      <c r="BM23" s="553"/>
    </row>
    <row r="24" spans="1:65" ht="14.65" customHeight="1" x14ac:dyDescent="0.15">
      <c r="E24" s="542">
        <v>15</v>
      </c>
      <c r="AB24" s="2033" t="s">
        <v>21</v>
      </c>
      <c r="AC24" s="2033" t="s">
        <v>483</v>
      </c>
      <c r="AD24" s="2033" t="s">
        <v>367</v>
      </c>
      <c r="AE24" s="12" t="str">
        <f>god-2&amp;" год"</f>
        <v>2024 год</v>
      </c>
      <c r="AF24" s="1027" t="str">
        <f>god-2&amp;" год"</f>
        <v>2024 год</v>
      </c>
      <c r="AG24" s="12" t="str">
        <f>god-2&amp;" год"</f>
        <v>2024 год</v>
      </c>
      <c r="AH24" s="12" t="str">
        <f>god-2&amp;" год"</f>
        <v>2024 год</v>
      </c>
      <c r="AI24" s="12" t="str">
        <f>god-1&amp;" год"</f>
        <v>2025 год</v>
      </c>
      <c r="AJ24" s="1027" t="str">
        <f>god&amp;" год"</f>
        <v>2026 год</v>
      </c>
      <c r="AK24" s="12" t="str">
        <f>god&amp;" год"</f>
        <v>2026 год</v>
      </c>
      <c r="AL24" s="12" t="str">
        <f>god&amp;" год"</f>
        <v>2026 год</v>
      </c>
      <c r="AM24" s="12" t="str">
        <f>god&amp;" год"</f>
        <v>2026 год</v>
      </c>
      <c r="AN24" s="12" t="str">
        <f>god&amp;" год"</f>
        <v>2026 год</v>
      </c>
      <c r="AO24" s="1027" t="str">
        <f>god+1&amp;" год"</f>
        <v>2027 год</v>
      </c>
      <c r="AP24" s="1027" t="str">
        <f>god+2&amp;" год"</f>
        <v>2028 год</v>
      </c>
      <c r="AQ24" s="1027" t="str">
        <f>god+3&amp;" год"</f>
        <v>2029 год</v>
      </c>
      <c r="AR24" s="1027" t="str">
        <f>god+4&amp;" год"</f>
        <v>2030 год</v>
      </c>
      <c r="AS24" s="1027" t="str">
        <f>god+5&amp;" год"</f>
        <v>2031 год</v>
      </c>
      <c r="AT24" s="1027" t="str">
        <f>god+6&amp;" год"</f>
        <v>2032 год</v>
      </c>
      <c r="AU24" s="1027" t="str">
        <f>god+7&amp;" год"</f>
        <v>2033 год</v>
      </c>
      <c r="AV24" s="1027" t="str">
        <f>god+8&amp;" год"</f>
        <v>2034 год</v>
      </c>
      <c r="AW24" s="1027" t="str">
        <f>god+9&amp;" год"</f>
        <v>2035 год</v>
      </c>
      <c r="AX24" s="12" t="str">
        <f>god+1&amp;" год"</f>
        <v>2027 год</v>
      </c>
      <c r="AY24" s="12" t="str">
        <f>god+2&amp;" год"</f>
        <v>2028 год</v>
      </c>
      <c r="AZ24" s="12" t="str">
        <f>god+3&amp;" год"</f>
        <v>2029 год</v>
      </c>
      <c r="BA24" s="12" t="str">
        <f>god+4&amp;" год"</f>
        <v>2030 год</v>
      </c>
      <c r="BB24" s="12" t="str">
        <f>god+5&amp;" год"</f>
        <v>2031 год</v>
      </c>
      <c r="BC24" s="12" t="str">
        <f>god+6&amp;" год"</f>
        <v>2032 год</v>
      </c>
      <c r="BD24" s="12" t="str">
        <f>god+7&amp;" год"</f>
        <v>2033 год</v>
      </c>
      <c r="BE24" s="12" t="str">
        <f>god+8&amp;" год"</f>
        <v>2034 год</v>
      </c>
      <c r="BF24" s="12" t="str">
        <f>god+9&amp;" год"</f>
        <v>2035 год</v>
      </c>
    </row>
    <row r="25" spans="1:65" ht="67.349999999999994" customHeight="1" x14ac:dyDescent="0.15">
      <c r="E25" s="542">
        <v>69</v>
      </c>
      <c r="F25" s="669" t="s">
        <v>369</v>
      </c>
      <c r="AB25" s="2033"/>
      <c r="AC25" s="2033"/>
      <c r="AD25" s="2033"/>
      <c r="AE25" s="11" t="s">
        <v>359</v>
      </c>
      <c r="AF25" s="1028" t="s">
        <v>484</v>
      </c>
      <c r="AG25" s="12" t="s">
        <v>485</v>
      </c>
      <c r="AH25" s="12" t="s">
        <v>368</v>
      </c>
      <c r="AI25" s="12" t="s">
        <v>359</v>
      </c>
      <c r="AJ25" s="1026" t="s">
        <v>360</v>
      </c>
      <c r="AK25" s="12" t="s">
        <v>359</v>
      </c>
      <c r="AL25" s="109" t="s">
        <v>486</v>
      </c>
      <c r="AM25" s="109" t="s">
        <v>487</v>
      </c>
      <c r="AN25" s="12" t="s">
        <v>368</v>
      </c>
      <c r="AO25" s="1027" t="s">
        <v>360</v>
      </c>
      <c r="AP25" s="1027" t="s">
        <v>360</v>
      </c>
      <c r="AQ25" s="1027" t="s">
        <v>360</v>
      </c>
      <c r="AR25" s="1027" t="s">
        <v>360</v>
      </c>
      <c r="AS25" s="1027" t="s">
        <v>360</v>
      </c>
      <c r="AT25" s="1027" t="s">
        <v>360</v>
      </c>
      <c r="AU25" s="1027" t="s">
        <v>360</v>
      </c>
      <c r="AV25" s="1027" t="s">
        <v>360</v>
      </c>
      <c r="AW25" s="1027" t="s">
        <v>360</v>
      </c>
      <c r="AX25" s="12" t="s">
        <v>359</v>
      </c>
      <c r="AY25" s="12" t="s">
        <v>359</v>
      </c>
      <c r="AZ25" s="12" t="s">
        <v>359</v>
      </c>
      <c r="BA25" s="12" t="s">
        <v>359</v>
      </c>
      <c r="BB25" s="12" t="s">
        <v>359</v>
      </c>
      <c r="BC25" s="12" t="s">
        <v>359</v>
      </c>
      <c r="BD25" s="12" t="s">
        <v>359</v>
      </c>
      <c r="BE25" s="12" t="s">
        <v>359</v>
      </c>
      <c r="BF25" s="12" t="s">
        <v>359</v>
      </c>
    </row>
    <row r="26" spans="1:65" s="1334" customFormat="1" ht="19.5" customHeight="1" x14ac:dyDescent="0.15">
      <c r="A26" s="422"/>
      <c r="B26" s="582"/>
      <c r="C26" s="422"/>
      <c r="D26" s="422"/>
      <c r="E26" s="583">
        <v>20</v>
      </c>
      <c r="F26" s="667" t="s">
        <v>488</v>
      </c>
      <c r="G26" s="422"/>
      <c r="H26" s="422"/>
      <c r="I26" s="422"/>
      <c r="J26" s="422"/>
      <c r="K26" s="422"/>
      <c r="L26" s="422"/>
      <c r="M26" s="422"/>
      <c r="N26" s="422"/>
      <c r="O26" s="422"/>
      <c r="P26" s="422"/>
      <c r="Q26" s="422"/>
      <c r="R26" s="422"/>
      <c r="S26" s="422"/>
      <c r="T26" s="422"/>
      <c r="U26" s="422"/>
      <c r="V26" s="422"/>
      <c r="W26" s="422"/>
      <c r="X26" s="422"/>
      <c r="Y26" s="422"/>
      <c r="Z26" s="422"/>
      <c r="AB26" s="9"/>
      <c r="AC26" s="497" t="s">
        <v>489</v>
      </c>
      <c r="AD26" s="55" t="s">
        <v>490</v>
      </c>
      <c r="AE26" s="498"/>
      <c r="AF26" s="498"/>
      <c r="AG26" s="498"/>
      <c r="AH26" s="859"/>
      <c r="AI26" s="498"/>
      <c r="AJ26" s="498"/>
      <c r="AK26" s="498"/>
      <c r="AL26" s="199">
        <f>IF(AI26&lt;&gt;0,AK26/AI26,0)</f>
        <v>0</v>
      </c>
      <c r="AM26" s="198">
        <f>AK26-AJ26</f>
        <v>0</v>
      </c>
      <c r="AN26" s="859"/>
      <c r="AO26" s="1363"/>
      <c r="AP26" s="1363"/>
      <c r="AQ26" s="1363"/>
      <c r="AR26" s="1363"/>
      <c r="AS26" s="1363"/>
      <c r="AT26" s="1363"/>
      <c r="AU26" s="1363"/>
      <c r="AV26" s="1363"/>
      <c r="AW26" s="1363"/>
      <c r="AX26" s="1363"/>
      <c r="AY26" s="1363"/>
      <c r="AZ26" s="1363"/>
      <c r="BA26" s="1363"/>
      <c r="BB26" s="1363"/>
      <c r="BC26" s="1363"/>
      <c r="BD26" s="1363"/>
      <c r="BE26" s="1363"/>
      <c r="BF26" s="1363"/>
      <c r="BI26" s="913"/>
      <c r="BJ26" s="913"/>
      <c r="BK26" s="913"/>
      <c r="BL26" s="548"/>
      <c r="BM26" s="548"/>
    </row>
    <row r="27" spans="1:65" s="1334" customFormat="1" ht="11.25" hidden="1" customHeight="1" x14ac:dyDescent="0.15">
      <c r="A27" s="422"/>
      <c r="B27" s="582"/>
      <c r="C27" s="422"/>
      <c r="D27" s="422"/>
      <c r="E27" s="785">
        <v>0</v>
      </c>
      <c r="F27" s="667"/>
      <c r="G27" s="422"/>
      <c r="H27" s="422"/>
      <c r="I27" s="422"/>
      <c r="J27" s="422"/>
      <c r="K27" s="422"/>
      <c r="L27" s="422"/>
      <c r="M27" s="422"/>
      <c r="N27" s="422"/>
      <c r="O27" s="422"/>
      <c r="P27" s="422"/>
      <c r="Q27" s="422"/>
      <c r="R27" s="422"/>
      <c r="S27" s="422"/>
      <c r="T27" s="422"/>
      <c r="U27" s="422"/>
      <c r="V27" s="422"/>
      <c r="W27" s="422"/>
      <c r="X27" s="422"/>
      <c r="Y27" s="422"/>
      <c r="Z27" s="422"/>
      <c r="AB27" s="648"/>
      <c r="AC27" s="649"/>
      <c r="AD27" s="435"/>
      <c r="AE27" s="861"/>
      <c r="AF27" s="861"/>
      <c r="AG27" s="861"/>
      <c r="AH27" s="861"/>
      <c r="AI27" s="861"/>
      <c r="AJ27" s="861"/>
      <c r="AK27" s="861"/>
      <c r="AL27" s="861"/>
      <c r="AM27" s="861"/>
      <c r="AN27" s="861"/>
      <c r="AO27" s="861"/>
      <c r="AP27" s="861"/>
      <c r="AQ27" s="861"/>
      <c r="AR27" s="861"/>
      <c r="AS27" s="861"/>
      <c r="AT27" s="861"/>
      <c r="AU27" s="861"/>
      <c r="AV27" s="861"/>
      <c r="AW27" s="861"/>
      <c r="AX27" s="861"/>
      <c r="AY27" s="861"/>
      <c r="AZ27" s="861"/>
      <c r="BA27" s="861"/>
      <c r="BB27" s="861"/>
      <c r="BC27" s="861"/>
      <c r="BD27" s="861"/>
      <c r="BE27" s="861"/>
      <c r="BF27" s="861"/>
      <c r="BI27" s="913"/>
      <c r="BJ27" s="913"/>
      <c r="BK27" s="913"/>
      <c r="BL27" s="548"/>
      <c r="BM27" s="548"/>
    </row>
    <row r="28" spans="1:65" s="1086" customFormat="1" ht="14.65" hidden="1" customHeight="1" x14ac:dyDescent="0.15">
      <c r="B28" s="351"/>
      <c r="E28" s="554">
        <v>15</v>
      </c>
      <c r="F28" s="669" cm="1">
        <f t="array" ref="F28">Y28</f>
        <v>0</v>
      </c>
      <c r="U28" s="388" t="b">
        <f>Y28&gt;0</f>
        <v>0</v>
      </c>
      <c r="W28" s="63" t="s">
        <v>271</v>
      </c>
      <c r="Y28" s="2009">
        <v>0</v>
      </c>
      <c r="Z28" s="2034"/>
      <c r="AB28" s="102" t="str" cm="1">
        <f t="array" ref="AB28">INDEX('Общие сведения'!$AG$185:$AG$228,MATCH($Y28,'Общие сведения'!$Z$185:$Z$228,0))</f>
        <v xml:space="preserve">Тариф 0 () - </v>
      </c>
      <c r="AC28" s="99"/>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I28" s="922"/>
      <c r="BJ28" s="922"/>
      <c r="BK28" s="922"/>
      <c r="BL28" s="554"/>
      <c r="BM28" s="554"/>
    </row>
    <row r="29" spans="1:65" ht="14.65" hidden="1" customHeight="1" x14ac:dyDescent="0.15">
      <c r="E29" s="542">
        <v>15</v>
      </c>
      <c r="F29" s="3" cm="1">
        <f t="array" aca="1" ref="F29" ca="1">OFFSET(E29,-1,1)</f>
        <v>0</v>
      </c>
      <c r="G29" s="41" t="s">
        <v>491</v>
      </c>
      <c r="U29" s="388" t="b" cm="1">
        <f t="array" ref="U29">U28</f>
        <v>0</v>
      </c>
      <c r="Y29" s="2009"/>
      <c r="Z29" s="2034"/>
      <c r="AB29" s="188"/>
      <c r="AC29" s="189" t="s">
        <v>492</v>
      </c>
      <c r="AD29" s="190"/>
      <c r="AE29" s="190"/>
      <c r="AF29" s="190"/>
      <c r="AG29" s="190"/>
      <c r="AH29" s="190"/>
      <c r="AI29" s="222">
        <f>(1-AI30/100)*(1+AI31/100)*(1+AI33/100)</f>
        <v>1</v>
      </c>
      <c r="AJ29" s="222">
        <f>(1-AJ30/100)*(1+AJ31/100)*(1+AJ33/100)</f>
        <v>1</v>
      </c>
      <c r="AK29" s="222">
        <f>(1-AK30/100)*(1+AK31/100)*(1+AK33/100)</f>
        <v>1</v>
      </c>
      <c r="AL29" s="190"/>
      <c r="AM29" s="190"/>
      <c r="AN29" s="190"/>
      <c r="AO29" s="222">
        <f t="shared" ref="AO29:BF29" si="2">(1-AO30/100)*(1+AO31/100)*(1+AO33/100)</f>
        <v>1</v>
      </c>
      <c r="AP29" s="222">
        <f t="shared" si="2"/>
        <v>1</v>
      </c>
      <c r="AQ29" s="222">
        <f t="shared" si="2"/>
        <v>1</v>
      </c>
      <c r="AR29" s="222">
        <f t="shared" si="2"/>
        <v>1</v>
      </c>
      <c r="AS29" s="222">
        <f t="shared" si="2"/>
        <v>1</v>
      </c>
      <c r="AT29" s="222">
        <f t="shared" si="2"/>
        <v>1</v>
      </c>
      <c r="AU29" s="222">
        <f t="shared" si="2"/>
        <v>1</v>
      </c>
      <c r="AV29" s="222">
        <f t="shared" si="2"/>
        <v>1</v>
      </c>
      <c r="AW29" s="222">
        <f t="shared" si="2"/>
        <v>1</v>
      </c>
      <c r="AX29" s="222">
        <f t="shared" si="2"/>
        <v>1</v>
      </c>
      <c r="AY29" s="222">
        <f t="shared" si="2"/>
        <v>1</v>
      </c>
      <c r="AZ29" s="222">
        <f t="shared" si="2"/>
        <v>1</v>
      </c>
      <c r="BA29" s="222">
        <f t="shared" si="2"/>
        <v>1</v>
      </c>
      <c r="BB29" s="222">
        <f t="shared" si="2"/>
        <v>1</v>
      </c>
      <c r="BC29" s="222">
        <f t="shared" si="2"/>
        <v>1</v>
      </c>
      <c r="BD29" s="222">
        <f t="shared" si="2"/>
        <v>1</v>
      </c>
      <c r="BE29" s="222">
        <f t="shared" si="2"/>
        <v>1</v>
      </c>
      <c r="BF29" s="222">
        <f t="shared" si="2"/>
        <v>1</v>
      </c>
    </row>
    <row r="30" spans="1:65" ht="21.95" hidden="1" customHeight="1" x14ac:dyDescent="0.15">
      <c r="B30" s="368" t="b">
        <f>method_reg&lt;&gt;"Метод экономически обоснованных расходов"</f>
        <v>1</v>
      </c>
      <c r="E30" s="542">
        <v>22.5</v>
      </c>
      <c r="F30" s="3" cm="1">
        <f t="array" aca="1" ref="F30" ca="1">OFFSET(E30,-1,1)</f>
        <v>0</v>
      </c>
      <c r="G30" s="41" t="s">
        <v>493</v>
      </c>
      <c r="H30" s="41" t="s">
        <v>494</v>
      </c>
      <c r="U30" s="388" t="b" cm="1">
        <f t="array" ref="U30">U29</f>
        <v>0</v>
      </c>
      <c r="Y30" s="2009"/>
      <c r="Z30" s="2034"/>
      <c r="AB30" s="52">
        <v>1</v>
      </c>
      <c r="AC30" s="53" t="s">
        <v>495</v>
      </c>
      <c r="AD30" s="55" t="s">
        <v>490</v>
      </c>
      <c r="AE30" s="1364"/>
      <c r="AF30" s="1364"/>
      <c r="AG30" s="1364"/>
      <c r="AH30" s="1365"/>
      <c r="AI30" s="1364"/>
      <c r="AJ30" s="1364"/>
      <c r="AK30" s="1364"/>
      <c r="AL30" s="199">
        <f>IF(AI30&lt;&gt;0,AK30/AI30,0)</f>
        <v>0</v>
      </c>
      <c r="AM30" s="198">
        <f>AK30-AJ30</f>
        <v>0</v>
      </c>
      <c r="AN30" s="1365"/>
      <c r="AO30" s="1364"/>
      <c r="AP30" s="1364"/>
      <c r="AQ30" s="1364"/>
      <c r="AR30" s="1364"/>
      <c r="AS30" s="1364"/>
      <c r="AT30" s="1364"/>
      <c r="AU30" s="1364"/>
      <c r="AV30" s="1364"/>
      <c r="AW30" s="1364"/>
      <c r="AX30" s="1364"/>
      <c r="AY30" s="1364"/>
      <c r="AZ30" s="1364"/>
      <c r="BA30" s="1364"/>
      <c r="BB30" s="1364"/>
      <c r="BC30" s="1364"/>
      <c r="BD30" s="1364"/>
      <c r="BE30" s="1364"/>
      <c r="BF30" s="1364"/>
      <c r="BI30" s="906" t="s">
        <v>496</v>
      </c>
    </row>
    <row r="31" spans="1:65" ht="14.65" hidden="1" customHeight="1" x14ac:dyDescent="0.15">
      <c r="E31" s="542">
        <v>15</v>
      </c>
      <c r="F31" s="3" cm="1">
        <f t="array" aca="1" ref="F31" ca="1">OFFSET(E31,-1,1)</f>
        <v>0</v>
      </c>
      <c r="G31" s="41" t="s">
        <v>497</v>
      </c>
      <c r="H31" s="41" t="s">
        <v>498</v>
      </c>
      <c r="U31" s="388" t="b" cm="1">
        <f t="array" ref="U31">U30</f>
        <v>0</v>
      </c>
      <c r="Y31" s="2009"/>
      <c r="Z31" s="2034"/>
      <c r="AB31" s="52">
        <f>IF(B30,2,1)</f>
        <v>2</v>
      </c>
      <c r="AC31" s="54" t="s">
        <v>499</v>
      </c>
      <c r="AD31" s="55" t="s">
        <v>490</v>
      </c>
      <c r="AE31" s="1364"/>
      <c r="AF31" s="1364"/>
      <c r="AG31" s="1364"/>
      <c r="AH31" s="1365"/>
      <c r="AI31" s="1364"/>
      <c r="AJ31" s="1364"/>
      <c r="AK31" s="1364"/>
      <c r="AL31" s="199">
        <f>IF(AI31&lt;&gt;0,AK31/AI31,0)</f>
        <v>0</v>
      </c>
      <c r="AM31" s="198">
        <f>AK31-AJ31</f>
        <v>0</v>
      </c>
      <c r="AN31" s="1365"/>
      <c r="AO31" s="1364"/>
      <c r="AP31" s="1364"/>
      <c r="AQ31" s="1364"/>
      <c r="AR31" s="1364"/>
      <c r="AS31" s="1364"/>
      <c r="AT31" s="1364"/>
      <c r="AU31" s="1364"/>
      <c r="AV31" s="1364"/>
      <c r="AW31" s="1364"/>
      <c r="AX31" s="1364"/>
      <c r="AY31" s="1364"/>
      <c r="AZ31" s="1364"/>
      <c r="BA31" s="1364"/>
      <c r="BB31" s="1364"/>
      <c r="BC31" s="1364"/>
      <c r="BD31" s="1364"/>
      <c r="BE31" s="1364"/>
      <c r="BF31" s="1364"/>
      <c r="BI31" s="906" t="s">
        <v>500</v>
      </c>
    </row>
    <row r="32" spans="1:65" ht="14.65" hidden="1" customHeight="1" x14ac:dyDescent="0.15">
      <c r="E32" s="542">
        <v>15</v>
      </c>
      <c r="F32" s="3" cm="1">
        <f t="array" aca="1" ref="F32" ca="1">OFFSET(E32,-1,1)</f>
        <v>0</v>
      </c>
      <c r="H32" s="41" t="s">
        <v>501</v>
      </c>
      <c r="U32" s="388" t="b" cm="1">
        <f t="array" ref="U32">U31</f>
        <v>0</v>
      </c>
      <c r="Y32" s="2009"/>
      <c r="Z32" s="2034"/>
      <c r="AB32" s="52">
        <f>AB31+1</f>
        <v>3</v>
      </c>
      <c r="AC32" s="56" t="s">
        <v>502</v>
      </c>
      <c r="AD32" s="55" t="s">
        <v>490</v>
      </c>
      <c r="AE32" s="1364"/>
      <c r="AF32" s="1364"/>
      <c r="AG32" s="1364"/>
      <c r="AH32" s="1365"/>
      <c r="AI32" s="1364"/>
      <c r="AJ32" s="1364"/>
      <c r="AK32" s="1364"/>
      <c r="AL32" s="199">
        <f>IF(AI32&lt;&gt;0,AK32/AI32,0)</f>
        <v>0</v>
      </c>
      <c r="AM32" s="198">
        <f>AK32-AJ32</f>
        <v>0</v>
      </c>
      <c r="AN32" s="1365"/>
      <c r="AO32" s="1364"/>
      <c r="AP32" s="1364"/>
      <c r="AQ32" s="1364"/>
      <c r="AR32" s="1364"/>
      <c r="AS32" s="1364"/>
      <c r="AT32" s="1364"/>
      <c r="AU32" s="1364"/>
      <c r="AV32" s="1364"/>
      <c r="AW32" s="1364"/>
      <c r="AX32" s="1364"/>
      <c r="AY32" s="1364"/>
      <c r="AZ32" s="1364"/>
      <c r="BA32" s="1364"/>
      <c r="BB32" s="1364"/>
      <c r="BC32" s="1364"/>
      <c r="BD32" s="1364"/>
      <c r="BE32" s="1364"/>
      <c r="BF32" s="1364"/>
      <c r="BI32" s="906" t="s">
        <v>503</v>
      </c>
    </row>
    <row r="33" spans="1:65" ht="14.65" hidden="1" customHeight="1" x14ac:dyDescent="0.15">
      <c r="B33" s="368" t="b">
        <f>method_reg&lt;&gt;"Метод экономически обоснованных расходов"</f>
        <v>1</v>
      </c>
      <c r="E33" s="542">
        <v>15</v>
      </c>
      <c r="F33" s="3" cm="1">
        <f t="array" aca="1" ref="F33" ca="1">OFFSET(E33,-1,1)</f>
        <v>0</v>
      </c>
      <c r="G33" s="41" t="s">
        <v>504</v>
      </c>
      <c r="H33" s="41" t="s">
        <v>505</v>
      </c>
      <c r="U33" s="388" t="b" cm="1">
        <f t="array" ref="U33">U32</f>
        <v>0</v>
      </c>
      <c r="Y33" s="2009"/>
      <c r="Z33" s="2034"/>
      <c r="AB33" s="52">
        <v>4</v>
      </c>
      <c r="AC33" s="54" t="s">
        <v>506</v>
      </c>
      <c r="AD33" s="55" t="s">
        <v>490</v>
      </c>
      <c r="AE33" s="1364"/>
      <c r="AF33" s="1364"/>
      <c r="AG33" s="1364"/>
      <c r="AH33" s="1365"/>
      <c r="AI33" s="1364"/>
      <c r="AJ33" s="1364"/>
      <c r="AK33" s="1364"/>
      <c r="AL33" s="199">
        <f>IF(AI33&lt;&gt;0,AK33/AI33,0)</f>
        <v>0</v>
      </c>
      <c r="AM33" s="198">
        <f>AK33-AJ33</f>
        <v>0</v>
      </c>
      <c r="AN33" s="1365"/>
      <c r="AO33" s="1364"/>
      <c r="AP33" s="1364"/>
      <c r="AQ33" s="1364"/>
      <c r="AR33" s="1364"/>
      <c r="AS33" s="1364"/>
      <c r="AT33" s="1364"/>
      <c r="AU33" s="1364"/>
      <c r="AV33" s="1364"/>
      <c r="AW33" s="1364"/>
      <c r="AX33" s="1364"/>
      <c r="AY33" s="1364"/>
      <c r="AZ33" s="1364"/>
      <c r="BA33" s="1364"/>
      <c r="BB33" s="1364"/>
      <c r="BC33" s="1364"/>
      <c r="BD33" s="1364"/>
      <c r="BE33" s="1364"/>
      <c r="BF33" s="1364"/>
      <c r="BI33" s="906" t="s">
        <v>507</v>
      </c>
    </row>
    <row r="34" spans="1:65" s="1321" customFormat="1" ht="14.65" hidden="1" customHeight="1" x14ac:dyDescent="0.15">
      <c r="A34" s="68"/>
      <c r="B34" s="369"/>
      <c r="C34" s="68"/>
      <c r="D34" s="68"/>
      <c r="E34" s="600">
        <v>15</v>
      </c>
      <c r="F34" s="290" cm="1">
        <f t="array" aca="1" ref="F34" ca="1">OFFSET(E34,-1,1)</f>
        <v>0</v>
      </c>
      <c r="G34" s="68"/>
      <c r="H34" s="68"/>
      <c r="I34" s="68"/>
      <c r="J34" s="68"/>
      <c r="K34" s="68"/>
      <c r="L34" s="68"/>
      <c r="M34" s="68"/>
      <c r="N34" s="68"/>
      <c r="O34" s="68"/>
      <c r="P34" s="68"/>
      <c r="Q34" s="68"/>
      <c r="R34" s="68"/>
      <c r="S34" s="68"/>
      <c r="T34" s="68"/>
      <c r="U34" s="388" t="b" cm="1">
        <f t="array" ref="U34">U33</f>
        <v>0</v>
      </c>
      <c r="V34" s="68"/>
      <c r="W34" s="68"/>
      <c r="X34" s="68"/>
      <c r="Y34" s="2009"/>
      <c r="Z34" s="2034"/>
      <c r="AA34" s="68"/>
      <c r="AB34" s="52">
        <v>5</v>
      </c>
      <c r="AC34" s="54" t="s">
        <v>508</v>
      </c>
      <c r="AD34" s="55" t="s">
        <v>490</v>
      </c>
      <c r="AE34" s="1364"/>
      <c r="AF34" s="1364"/>
      <c r="AG34" s="1364"/>
      <c r="AH34" s="1365"/>
      <c r="AI34" s="1364"/>
      <c r="AJ34" s="1364"/>
      <c r="AK34" s="1364"/>
      <c r="AL34" s="199">
        <f>IF(AI34&lt;&gt;0,AK34/AI34,0)</f>
        <v>0</v>
      </c>
      <c r="AM34" s="198">
        <f>AK34-AJ34</f>
        <v>0</v>
      </c>
      <c r="AN34" s="1365"/>
      <c r="AO34" s="1364"/>
      <c r="AP34" s="1364"/>
      <c r="AQ34" s="1364"/>
      <c r="AR34" s="1364"/>
      <c r="AS34" s="1364"/>
      <c r="AT34" s="1364"/>
      <c r="AU34" s="1364"/>
      <c r="AV34" s="1364"/>
      <c r="AW34" s="1364"/>
      <c r="AX34" s="1364"/>
      <c r="AY34" s="1364"/>
      <c r="AZ34" s="1364"/>
      <c r="BA34" s="1364"/>
      <c r="BB34" s="1364"/>
      <c r="BC34" s="1364"/>
      <c r="BD34" s="1364"/>
      <c r="BE34" s="1364"/>
      <c r="BF34" s="1364"/>
      <c r="BG34" s="68"/>
      <c r="BH34" s="68"/>
      <c r="BI34" s="947" t="s">
        <v>509</v>
      </c>
      <c r="BJ34" s="947"/>
      <c r="BK34" s="947"/>
      <c r="BL34" s="600"/>
      <c r="BM34" s="600"/>
    </row>
    <row r="35" spans="1:65" ht="14.65" hidden="1" customHeight="1" x14ac:dyDescent="0.15">
      <c r="E35" s="542">
        <v>15</v>
      </c>
      <c r="F35" s="3" cm="1">
        <f t="array" aca="1" ref="F35" ca="1">OFFSET(E35,-1,1)</f>
        <v>0</v>
      </c>
      <c r="U35" s="388" t="b" cm="1">
        <f t="array" ref="U35">U33</f>
        <v>0</v>
      </c>
      <c r="Y35" s="2009"/>
      <c r="Z35" s="2034"/>
      <c r="AB35" s="188"/>
      <c r="AC35" s="189" t="s">
        <v>510</v>
      </c>
      <c r="AD35" s="190"/>
      <c r="AE35" s="195"/>
      <c r="AF35" s="195"/>
      <c r="AG35" s="195"/>
      <c r="AH35" s="190"/>
      <c r="AI35" s="195"/>
      <c r="AJ35" s="195"/>
      <c r="AK35" s="195"/>
      <c r="AL35" s="200"/>
      <c r="AM35" s="195"/>
      <c r="AN35" s="190"/>
      <c r="AO35" s="195"/>
      <c r="AP35" s="195"/>
      <c r="AQ35" s="195"/>
      <c r="AR35" s="195"/>
      <c r="AS35" s="195"/>
      <c r="AT35" s="195"/>
      <c r="AU35" s="195"/>
      <c r="AV35" s="195"/>
      <c r="AW35" s="195"/>
      <c r="AX35" s="195"/>
      <c r="AY35" s="195"/>
      <c r="AZ35" s="195"/>
      <c r="BA35" s="195"/>
      <c r="BB35" s="195"/>
      <c r="BC35" s="195"/>
      <c r="BD35" s="195"/>
      <c r="BE35" s="195"/>
      <c r="BF35" s="201"/>
    </row>
    <row r="36" spans="1:65" ht="14.65" hidden="1" customHeight="1" x14ac:dyDescent="0.15">
      <c r="E36" s="542">
        <v>15</v>
      </c>
      <c r="F36" s="3" cm="1">
        <f t="array" aca="1" ref="F36" ca="1">OFFSET(E36,-1,1)</f>
        <v>0</v>
      </c>
      <c r="G36" s="41" t="s">
        <v>511</v>
      </c>
      <c r="H36" s="41" t="s">
        <v>512</v>
      </c>
      <c r="U36" s="388" t="b" cm="1">
        <f t="array" ref="U36">U35</f>
        <v>0</v>
      </c>
      <c r="Y36" s="2009"/>
      <c r="Z36" s="2034"/>
      <c r="AB36" s="52">
        <v>1</v>
      </c>
      <c r="AC36" s="54" t="s">
        <v>513</v>
      </c>
      <c r="AD36" s="55" t="s">
        <v>490</v>
      </c>
      <c r="AE36" s="1366"/>
      <c r="AF36" s="1366"/>
      <c r="AG36" s="1366"/>
      <c r="AH36" s="1365"/>
      <c r="AI36" s="1366"/>
      <c r="AJ36" s="1366"/>
      <c r="AK36" s="1366"/>
      <c r="AL36" s="199">
        <f>IF(AI36&lt;&gt;0,AK36/AI36,0)</f>
        <v>0</v>
      </c>
      <c r="AM36" s="198">
        <f>AK36-AJ36</f>
        <v>0</v>
      </c>
      <c r="AN36" s="1365"/>
      <c r="AO36" s="1366"/>
      <c r="AP36" s="1366"/>
      <c r="AQ36" s="1366"/>
      <c r="AR36" s="1366"/>
      <c r="AS36" s="1366"/>
      <c r="AT36" s="1366"/>
      <c r="AU36" s="1366"/>
      <c r="AV36" s="1366"/>
      <c r="AW36" s="1366"/>
      <c r="AX36" s="1366"/>
      <c r="AY36" s="1366"/>
      <c r="AZ36" s="1366"/>
      <c r="BA36" s="1366"/>
      <c r="BB36" s="1366"/>
      <c r="BC36" s="1366"/>
      <c r="BD36" s="1366"/>
      <c r="BE36" s="1366"/>
      <c r="BF36" s="1366"/>
      <c r="BI36" s="906" t="s">
        <v>514</v>
      </c>
    </row>
    <row r="37" spans="1:65" ht="15" hidden="1" customHeight="1" x14ac:dyDescent="0.15">
      <c r="E37" s="542">
        <v>0</v>
      </c>
      <c r="F37" s="3" cm="1">
        <f t="array" aca="1" ref="F37" ca="1">OFFSET(E37,-1,1)</f>
        <v>0</v>
      </c>
      <c r="H37" s="41" t="s">
        <v>515</v>
      </c>
      <c r="U37" s="388" t="b" cm="1">
        <f t="array" ref="U37">U36</f>
        <v>0</v>
      </c>
      <c r="Y37" s="2009"/>
      <c r="Z37" s="2034"/>
      <c r="AB37" s="52">
        <v>2</v>
      </c>
      <c r="AC37" s="54" t="s">
        <v>489</v>
      </c>
      <c r="AD37" s="55" t="s">
        <v>490</v>
      </c>
      <c r="AE37" s="1366"/>
      <c r="AF37" s="1364"/>
      <c r="AG37" s="1366"/>
      <c r="AH37" s="1365"/>
      <c r="AI37" s="1366"/>
      <c r="AJ37" s="1366"/>
      <c r="AK37" s="1366"/>
      <c r="AL37" s="199">
        <f>IF(AI37&lt;&gt;0,AK37/AI37,0)</f>
        <v>0</v>
      </c>
      <c r="AM37" s="198">
        <f>AK37-AJ37</f>
        <v>0</v>
      </c>
      <c r="AN37" s="1365"/>
      <c r="AO37" s="1366"/>
      <c r="AP37" s="1366"/>
      <c r="AQ37" s="1366"/>
      <c r="AR37" s="1366"/>
      <c r="AS37" s="1366"/>
      <c r="AT37" s="1366"/>
      <c r="AU37" s="1366"/>
      <c r="AV37" s="1366"/>
      <c r="AW37" s="1366"/>
      <c r="AX37" s="1366"/>
      <c r="AY37" s="1366"/>
      <c r="AZ37" s="1366"/>
      <c r="BA37" s="1366"/>
      <c r="BB37" s="1366"/>
      <c r="BC37" s="1366"/>
      <c r="BD37" s="1366"/>
      <c r="BE37" s="1366"/>
      <c r="BF37" s="1366"/>
      <c r="BI37" s="906" t="s">
        <v>516</v>
      </c>
    </row>
    <row r="38" spans="1:65" ht="14.65" hidden="1" customHeight="1" x14ac:dyDescent="0.15">
      <c r="E38" s="542">
        <v>15</v>
      </c>
      <c r="F38" s="3" cm="1">
        <f t="array" aca="1" ref="F38" ca="1">OFFSET(E38,-1,1)</f>
        <v>0</v>
      </c>
      <c r="U38" s="388" t="b" cm="1">
        <f t="array" ref="U38">U37</f>
        <v>0</v>
      </c>
      <c r="Y38" s="2009"/>
      <c r="Z38" s="2034"/>
      <c r="AB38" s="530">
        <v>2</v>
      </c>
      <c r="AC38" s="531" t="s">
        <v>517</v>
      </c>
      <c r="AD38" s="13"/>
      <c r="AE38" s="532"/>
      <c r="AF38" s="533"/>
      <c r="AG38" s="534"/>
      <c r="AH38" s="535"/>
      <c r="AI38" s="532"/>
      <c r="AJ38" s="533"/>
      <c r="AK38" s="533"/>
      <c r="AL38" s="536"/>
      <c r="AM38" s="533"/>
      <c r="AN38" s="535"/>
      <c r="AO38" s="532"/>
      <c r="AP38" s="532"/>
      <c r="AQ38" s="532"/>
      <c r="AR38" s="532"/>
      <c r="AS38" s="532"/>
      <c r="AT38" s="532"/>
      <c r="AU38" s="532"/>
      <c r="AV38" s="532"/>
      <c r="AW38" s="532"/>
      <c r="AX38" s="532"/>
      <c r="AY38" s="532"/>
      <c r="AZ38" s="532"/>
      <c r="BA38" s="532"/>
      <c r="BB38" s="532"/>
      <c r="BC38" s="532"/>
      <c r="BD38" s="532"/>
      <c r="BE38" s="532"/>
      <c r="BF38" s="532"/>
      <c r="BI38" s="906" t="s">
        <v>518</v>
      </c>
    </row>
    <row r="39" spans="1:65" ht="21.95" hidden="1" customHeight="1" x14ac:dyDescent="0.15">
      <c r="E39" s="542">
        <v>22.5</v>
      </c>
      <c r="F39" s="3" cm="1">
        <f t="array" aca="1" ref="F39" ca="1">OFFSET(E39,-1,1)</f>
        <v>0</v>
      </c>
      <c r="H39" s="41" t="s">
        <v>519</v>
      </c>
      <c r="U39" s="388" t="b" cm="1">
        <f t="array" ref="U39">U38</f>
        <v>0</v>
      </c>
      <c r="Y39" s="2009"/>
      <c r="Z39" s="2034"/>
      <c r="AB39" s="139" t="s">
        <v>520</v>
      </c>
      <c r="AC39" s="133" t="s">
        <v>521</v>
      </c>
      <c r="AD39" s="10" t="s">
        <v>522</v>
      </c>
      <c r="AE39" s="1367"/>
      <c r="AF39" s="1368"/>
      <c r="AG39" s="1369"/>
      <c r="AH39" s="1370"/>
      <c r="AI39" s="1367"/>
      <c r="AJ39" s="1368"/>
      <c r="AK39" s="1368"/>
      <c r="AL39" s="539">
        <f>IF(AI39&lt;&gt;0,AK39/AI39,0)</f>
        <v>0</v>
      </c>
      <c r="AM39" s="540">
        <f>AK39-AJ39</f>
        <v>0</v>
      </c>
      <c r="AN39" s="1370"/>
      <c r="AO39" s="1367"/>
      <c r="AP39" s="1367"/>
      <c r="AQ39" s="1367"/>
      <c r="AR39" s="1367"/>
      <c r="AS39" s="1367"/>
      <c r="AT39" s="1367"/>
      <c r="AU39" s="1367"/>
      <c r="AV39" s="1367"/>
      <c r="AW39" s="1367"/>
      <c r="AX39" s="1367"/>
      <c r="AY39" s="1367"/>
      <c r="AZ39" s="1367"/>
      <c r="BA39" s="1367"/>
      <c r="BB39" s="1367"/>
      <c r="BC39" s="1367"/>
      <c r="BD39" s="1367"/>
      <c r="BE39" s="1367"/>
      <c r="BF39" s="1367"/>
      <c r="BI39" s="906" t="s">
        <v>523</v>
      </c>
    </row>
    <row r="40" spans="1:65" ht="21.95" hidden="1" customHeight="1" x14ac:dyDescent="0.15">
      <c r="E40" s="542">
        <v>22.5</v>
      </c>
      <c r="F40" s="3" cm="1">
        <f t="array" aca="1" ref="F40" ca="1">OFFSET(E40,-1,1)</f>
        <v>0</v>
      </c>
      <c r="I40" s="41" cm="1">
        <f t="array" ref="I40">AC40</f>
        <v>0</v>
      </c>
      <c r="U40" s="388" t="b">
        <f ca="1">AND(F40&gt;0,--RIGHT(AB40,1)&gt;1)</f>
        <v>0</v>
      </c>
      <c r="X40" s="677" t="s">
        <v>172</v>
      </c>
      <c r="Y40" s="2009"/>
      <c r="Z40" s="2034"/>
      <c r="AA40" s="342" t="s">
        <v>173</v>
      </c>
      <c r="AB40" s="139" t="s">
        <v>520</v>
      </c>
      <c r="AC40" s="1371"/>
      <c r="AD40" s="10" t="s">
        <v>522</v>
      </c>
      <c r="AE40" s="1367"/>
      <c r="AF40" s="1368"/>
      <c r="AG40" s="1369"/>
      <c r="AH40" s="1370"/>
      <c r="AI40" s="1367"/>
      <c r="AJ40" s="1368"/>
      <c r="AK40" s="1368"/>
      <c r="AL40" s="539">
        <f>IF(AI40&lt;&gt;0,AK40/AI40,0)</f>
        <v>0</v>
      </c>
      <c r="AM40" s="540">
        <f>AK40-AJ40</f>
        <v>0</v>
      </c>
      <c r="AN40" s="1370"/>
      <c r="AO40" s="1367"/>
      <c r="AP40" s="1367"/>
      <c r="AQ40" s="1367"/>
      <c r="AR40" s="1367"/>
      <c r="AS40" s="1367"/>
      <c r="AT40" s="1367"/>
      <c r="AU40" s="1367"/>
      <c r="AV40" s="1367"/>
      <c r="AW40" s="1367"/>
      <c r="AX40" s="1367"/>
      <c r="AY40" s="1367"/>
      <c r="AZ40" s="1367"/>
      <c r="BA40" s="1367"/>
      <c r="BB40" s="1367"/>
      <c r="BC40" s="1367"/>
      <c r="BD40" s="1367"/>
      <c r="BE40" s="1367"/>
      <c r="BF40" s="1367"/>
      <c r="BI40" s="906" t="s">
        <v>523</v>
      </c>
      <c r="BJ40" s="906" t="s">
        <v>524</v>
      </c>
      <c r="BK40" s="906" cm="1">
        <f t="array" ref="BK40">AC40</f>
        <v>0</v>
      </c>
      <c r="BM40" s="542" t="b">
        <v>1</v>
      </c>
    </row>
    <row r="41" spans="1:65" ht="14.65" hidden="1" customHeight="1" x14ac:dyDescent="0.15">
      <c r="E41" s="542">
        <v>15</v>
      </c>
      <c r="F41" s="3" cm="1">
        <f t="array" aca="1" ref="F41" ca="1">OFFSET(E41,-1,1)</f>
        <v>0</v>
      </c>
      <c r="U41" s="388" t="b">
        <f ca="1">F41&gt;0</f>
        <v>0</v>
      </c>
      <c r="X41" s="677" t="s">
        <v>403</v>
      </c>
      <c r="Y41" s="2009"/>
      <c r="Z41" s="2034"/>
      <c r="AB41" s="94"/>
      <c r="AC41" s="225" t="s">
        <v>176</v>
      </c>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L41" s="542" t="s">
        <v>524</v>
      </c>
    </row>
    <row r="42" spans="1:65" ht="21.95" hidden="1" customHeight="1" x14ac:dyDescent="0.15">
      <c r="E42" s="542">
        <v>22.5</v>
      </c>
      <c r="F42" s="3" cm="1">
        <f t="array" aca="1" ref="F42" ca="1">OFFSET(E42,-1,1)</f>
        <v>0</v>
      </c>
      <c r="H42" s="41" t="s">
        <v>525</v>
      </c>
      <c r="U42" s="388" t="b" cm="1">
        <f t="array" aca="1" ref="U42" ca="1">U41</f>
        <v>0</v>
      </c>
      <c r="Y42" s="2009"/>
      <c r="Z42" s="2034"/>
      <c r="AB42" s="522" t="s">
        <v>526</v>
      </c>
      <c r="AC42" s="523" t="s">
        <v>527</v>
      </c>
      <c r="AD42" s="519" t="s">
        <v>522</v>
      </c>
      <c r="AE42" s="1372"/>
      <c r="AF42" s="1373"/>
      <c r="AG42" s="1374"/>
      <c r="AH42" s="1375"/>
      <c r="AI42" s="1372"/>
      <c r="AJ42" s="1373"/>
      <c r="AK42" s="1373"/>
      <c r="AL42" s="528">
        <f>IF(AI42&lt;&gt;0,AK42/AI42,0)</f>
        <v>0</v>
      </c>
      <c r="AM42" s="529">
        <f>AK42-AJ42</f>
        <v>0</v>
      </c>
      <c r="AN42" s="1375"/>
      <c r="AO42" s="1372"/>
      <c r="AP42" s="1372"/>
      <c r="AQ42" s="1372"/>
      <c r="AR42" s="1372"/>
      <c r="AS42" s="1372"/>
      <c r="AT42" s="1372"/>
      <c r="AU42" s="1372"/>
      <c r="AV42" s="1372"/>
      <c r="AW42" s="1372"/>
      <c r="AX42" s="1372"/>
      <c r="AY42" s="1372"/>
      <c r="AZ42" s="1372"/>
      <c r="BA42" s="1372"/>
      <c r="BB42" s="1372"/>
      <c r="BC42" s="1372"/>
      <c r="BD42" s="1372"/>
      <c r="BE42" s="1372"/>
      <c r="BF42" s="1372"/>
      <c r="BI42" s="906" t="s">
        <v>528</v>
      </c>
    </row>
    <row r="43" spans="1:65" ht="21.95" hidden="1" customHeight="1" x14ac:dyDescent="0.15">
      <c r="E43" s="542">
        <v>22.5</v>
      </c>
      <c r="F43" s="3" cm="1">
        <f t="array" aca="1" ref="F43" ca="1">OFFSET(E43,-1,1)</f>
        <v>0</v>
      </c>
      <c r="I43" s="41" cm="1">
        <f t="array" ref="I43">AC43</f>
        <v>0</v>
      </c>
      <c r="U43" s="388" t="b">
        <f ca="1">AND(F43&gt;0,--RIGHT(AB43,1)&gt;1)</f>
        <v>0</v>
      </c>
      <c r="X43" s="677" t="s">
        <v>172</v>
      </c>
      <c r="Y43" s="2009"/>
      <c r="Z43" s="2034"/>
      <c r="AA43" s="342" t="s">
        <v>173</v>
      </c>
      <c r="AB43" s="522" t="s">
        <v>526</v>
      </c>
      <c r="AC43" s="1376"/>
      <c r="AD43" s="519" t="s">
        <v>522</v>
      </c>
      <c r="AE43" s="1372"/>
      <c r="AF43" s="1373"/>
      <c r="AG43" s="1374"/>
      <c r="AH43" s="1375"/>
      <c r="AI43" s="1372"/>
      <c r="AJ43" s="1373"/>
      <c r="AK43" s="1373"/>
      <c r="AL43" s="528">
        <f>IF(AI43&lt;&gt;0,AK43/AI43,0)</f>
        <v>0</v>
      </c>
      <c r="AM43" s="529">
        <f>AK43-AJ43</f>
        <v>0</v>
      </c>
      <c r="AN43" s="1375"/>
      <c r="AO43" s="1372"/>
      <c r="AP43" s="1372"/>
      <c r="AQ43" s="1372"/>
      <c r="AR43" s="1372"/>
      <c r="AS43" s="1372"/>
      <c r="AT43" s="1372"/>
      <c r="AU43" s="1372"/>
      <c r="AV43" s="1372"/>
      <c r="AW43" s="1372"/>
      <c r="AX43" s="1372"/>
      <c r="AY43" s="1372"/>
      <c r="AZ43" s="1372"/>
      <c r="BA43" s="1372"/>
      <c r="BB43" s="1372"/>
      <c r="BC43" s="1372"/>
      <c r="BD43" s="1372"/>
      <c r="BE43" s="1372"/>
      <c r="BF43" s="1372"/>
      <c r="BI43" s="906" t="s">
        <v>528</v>
      </c>
      <c r="BJ43" s="906" t="s">
        <v>529</v>
      </c>
      <c r="BK43" s="906" cm="1">
        <f t="array" ref="BK43">AC43</f>
        <v>0</v>
      </c>
      <c r="BM43" s="542" t="b">
        <v>1</v>
      </c>
    </row>
    <row r="44" spans="1:65" ht="14.65" hidden="1" customHeight="1" x14ac:dyDescent="0.15">
      <c r="E44" s="542">
        <v>15</v>
      </c>
      <c r="F44" s="3" cm="1">
        <f t="array" aca="1" ref="F44" ca="1">OFFSET(E44,-1,1)</f>
        <v>0</v>
      </c>
      <c r="U44" s="388" t="b">
        <f ca="1">F44&gt;0</f>
        <v>0</v>
      </c>
      <c r="X44" s="677" t="s">
        <v>403</v>
      </c>
      <c r="Y44" s="2009"/>
      <c r="Z44" s="2034"/>
      <c r="AB44" s="94"/>
      <c r="AC44" s="225" t="s">
        <v>176</v>
      </c>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L44" s="542" t="s">
        <v>529</v>
      </c>
    </row>
    <row r="45" spans="1:65" ht="21.95" hidden="1" customHeight="1" x14ac:dyDescent="0.15">
      <c r="E45" s="542">
        <v>22.5</v>
      </c>
      <c r="F45" s="3" cm="1">
        <f t="array" aca="1" ref="F45" ca="1">OFFSET(E45,-1,1)</f>
        <v>0</v>
      </c>
      <c r="H45" s="41" t="s">
        <v>530</v>
      </c>
      <c r="U45" s="388" t="b" cm="1">
        <f t="array" aca="1" ref="U45" ca="1">U44</f>
        <v>0</v>
      </c>
      <c r="Y45" s="2009"/>
      <c r="Z45" s="2034"/>
      <c r="AB45" s="42" t="s">
        <v>531</v>
      </c>
      <c r="AC45" s="111" t="s">
        <v>532</v>
      </c>
      <c r="AD45" s="11" t="s">
        <v>522</v>
      </c>
      <c r="AE45" s="1364"/>
      <c r="AF45" s="1366"/>
      <c r="AG45" s="1377"/>
      <c r="AH45" s="1365"/>
      <c r="AI45" s="1364"/>
      <c r="AJ45" s="1366"/>
      <c r="AK45" s="1366"/>
      <c r="AL45" s="199">
        <f>IF(AI45&lt;&gt;0,AK45/AI45,0)</f>
        <v>0</v>
      </c>
      <c r="AM45" s="198">
        <f>AK45-AJ45</f>
        <v>0</v>
      </c>
      <c r="AN45" s="1365"/>
      <c r="AO45" s="1364"/>
      <c r="AP45" s="1364"/>
      <c r="AQ45" s="1364"/>
      <c r="AR45" s="1364"/>
      <c r="AS45" s="1364"/>
      <c r="AT45" s="1364"/>
      <c r="AU45" s="1364"/>
      <c r="AV45" s="1364"/>
      <c r="AW45" s="1364"/>
      <c r="AX45" s="1364"/>
      <c r="AY45" s="1364"/>
      <c r="AZ45" s="1364"/>
      <c r="BA45" s="1364"/>
      <c r="BB45" s="1364"/>
      <c r="BC45" s="1364"/>
      <c r="BD45" s="1364"/>
      <c r="BE45" s="1364"/>
      <c r="BF45" s="1364"/>
      <c r="BI45" s="906" t="s">
        <v>533</v>
      </c>
    </row>
    <row r="46" spans="1:65" ht="21.95" hidden="1" customHeight="1" x14ac:dyDescent="0.15">
      <c r="E46" s="542">
        <v>22.5</v>
      </c>
      <c r="F46" s="3" cm="1">
        <f t="array" aca="1" ref="F46" ca="1">OFFSET(E46,-1,1)</f>
        <v>0</v>
      </c>
      <c r="I46" s="41" cm="1">
        <f t="array" ref="I46">AC46</f>
        <v>0</v>
      </c>
      <c r="U46" s="388" t="b">
        <f ca="1">AND(F46&gt;0,--RIGHT(AB46,1)&gt;1)</f>
        <v>0</v>
      </c>
      <c r="X46" s="677" t="s">
        <v>172</v>
      </c>
      <c r="Y46" s="2009"/>
      <c r="Z46" s="2034"/>
      <c r="AA46" s="342" t="s">
        <v>173</v>
      </c>
      <c r="AB46" s="42" t="s">
        <v>531</v>
      </c>
      <c r="AC46" s="1378"/>
      <c r="AD46" s="11" t="s">
        <v>522</v>
      </c>
      <c r="AE46" s="1364"/>
      <c r="AF46" s="1366"/>
      <c r="AG46" s="1377"/>
      <c r="AH46" s="1365"/>
      <c r="AI46" s="1364"/>
      <c r="AJ46" s="1366"/>
      <c r="AK46" s="1366"/>
      <c r="AL46" s="199">
        <f>IF(AI46&lt;&gt;0,AK46/AI46,0)</f>
        <v>0</v>
      </c>
      <c r="AM46" s="198">
        <f>AK46-AJ46</f>
        <v>0</v>
      </c>
      <c r="AN46" s="1365"/>
      <c r="AO46" s="1364"/>
      <c r="AP46" s="1364"/>
      <c r="AQ46" s="1364"/>
      <c r="AR46" s="1364"/>
      <c r="AS46" s="1364"/>
      <c r="AT46" s="1364"/>
      <c r="AU46" s="1364"/>
      <c r="AV46" s="1364"/>
      <c r="AW46" s="1364"/>
      <c r="AX46" s="1364"/>
      <c r="AY46" s="1364"/>
      <c r="AZ46" s="1364"/>
      <c r="BA46" s="1364"/>
      <c r="BB46" s="1364"/>
      <c r="BC46" s="1364"/>
      <c r="BD46" s="1364"/>
      <c r="BE46" s="1364"/>
      <c r="BF46" s="1364"/>
      <c r="BI46" s="906" t="s">
        <v>533</v>
      </c>
      <c r="BJ46" s="906" t="s">
        <v>534</v>
      </c>
      <c r="BK46" s="906" cm="1">
        <f t="array" ref="BK46">AC46</f>
        <v>0</v>
      </c>
      <c r="BM46" s="542" t="b">
        <v>1</v>
      </c>
    </row>
    <row r="47" spans="1:65" ht="14.65" hidden="1" customHeight="1" x14ac:dyDescent="0.15">
      <c r="E47" s="542">
        <v>15</v>
      </c>
      <c r="F47" s="3" cm="1">
        <f t="array" aca="1" ref="F47" ca="1">OFFSET(E47,-1,1)</f>
        <v>0</v>
      </c>
      <c r="U47" s="388" t="b">
        <f ca="1">F47&gt;0</f>
        <v>0</v>
      </c>
      <c r="X47" s="677" t="s">
        <v>403</v>
      </c>
      <c r="Y47" s="2009"/>
      <c r="Z47" s="2034"/>
      <c r="AB47" s="94"/>
      <c r="AC47" s="225" t="s">
        <v>176</v>
      </c>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L47" s="542" t="s">
        <v>534</v>
      </c>
    </row>
    <row r="48" spans="1:65" ht="21.95" hidden="1" customHeight="1" x14ac:dyDescent="0.15">
      <c r="E48" s="542">
        <v>22.5</v>
      </c>
      <c r="F48" s="3" cm="1">
        <f t="array" aca="1" ref="F48" ca="1">OFFSET(E48,-1,1)</f>
        <v>0</v>
      </c>
      <c r="H48" s="41" t="s">
        <v>535</v>
      </c>
      <c r="U48" s="388" t="b" cm="1">
        <f t="array" aca="1" ref="U48" ca="1">U47</f>
        <v>0</v>
      </c>
      <c r="Y48" s="2009"/>
      <c r="Z48" s="2034"/>
      <c r="AB48" s="42" t="s">
        <v>536</v>
      </c>
      <c r="AC48" s="111" t="s">
        <v>537</v>
      </c>
      <c r="AD48" s="11" t="s">
        <v>522</v>
      </c>
      <c r="AE48" s="1364"/>
      <c r="AF48" s="1366"/>
      <c r="AG48" s="1377"/>
      <c r="AH48" s="1365"/>
      <c r="AI48" s="1364"/>
      <c r="AJ48" s="1366"/>
      <c r="AK48" s="1366"/>
      <c r="AL48" s="199">
        <f>IF(AI48&lt;&gt;0,AK48/AI48,0)</f>
        <v>0</v>
      </c>
      <c r="AM48" s="198">
        <f>AK48-AJ48</f>
        <v>0</v>
      </c>
      <c r="AN48" s="1365"/>
      <c r="AO48" s="1364"/>
      <c r="AP48" s="1364"/>
      <c r="AQ48" s="1364"/>
      <c r="AR48" s="1364"/>
      <c r="AS48" s="1364"/>
      <c r="AT48" s="1364"/>
      <c r="AU48" s="1364"/>
      <c r="AV48" s="1364"/>
      <c r="AW48" s="1364"/>
      <c r="AX48" s="1364"/>
      <c r="AY48" s="1364"/>
      <c r="AZ48" s="1364"/>
      <c r="BA48" s="1364"/>
      <c r="BB48" s="1364"/>
      <c r="BC48" s="1364"/>
      <c r="BD48" s="1364"/>
      <c r="BE48" s="1364"/>
      <c r="BF48" s="1364"/>
      <c r="BI48" s="906" t="s">
        <v>538</v>
      </c>
    </row>
    <row r="49" spans="1:65" ht="21.95" hidden="1" customHeight="1" x14ac:dyDescent="0.15">
      <c r="E49" s="542">
        <v>22.5</v>
      </c>
      <c r="F49" s="3" cm="1">
        <f t="array" aca="1" ref="F49" ca="1">OFFSET(E49,-1,1)</f>
        <v>0</v>
      </c>
      <c r="I49" s="41" cm="1">
        <f t="array" ref="I49">AC49</f>
        <v>0</v>
      </c>
      <c r="U49" s="388" t="b">
        <f ca="1">AND(F49&gt;0,--RIGHT(AB49,1)&gt;1)</f>
        <v>0</v>
      </c>
      <c r="X49" s="677" t="s">
        <v>172</v>
      </c>
      <c r="Y49" s="2009"/>
      <c r="Z49" s="2034"/>
      <c r="AA49" s="342" t="s">
        <v>173</v>
      </c>
      <c r="AB49" s="42" t="s">
        <v>536</v>
      </c>
      <c r="AC49" s="1378"/>
      <c r="AD49" s="11" t="s">
        <v>522</v>
      </c>
      <c r="AE49" s="1364"/>
      <c r="AF49" s="1366"/>
      <c r="AG49" s="1377"/>
      <c r="AH49" s="1365"/>
      <c r="AI49" s="1364"/>
      <c r="AJ49" s="1366"/>
      <c r="AK49" s="1366"/>
      <c r="AL49" s="199">
        <f>IF(AI49&lt;&gt;0,AK49/AI49,0)</f>
        <v>0</v>
      </c>
      <c r="AM49" s="198">
        <f>AK49-AJ49</f>
        <v>0</v>
      </c>
      <c r="AN49" s="1365"/>
      <c r="AO49" s="1364"/>
      <c r="AP49" s="1364"/>
      <c r="AQ49" s="1364"/>
      <c r="AR49" s="1364"/>
      <c r="AS49" s="1364"/>
      <c r="AT49" s="1364"/>
      <c r="AU49" s="1364"/>
      <c r="AV49" s="1364"/>
      <c r="AW49" s="1364"/>
      <c r="AX49" s="1364"/>
      <c r="AY49" s="1364"/>
      <c r="AZ49" s="1364"/>
      <c r="BA49" s="1364"/>
      <c r="BB49" s="1364"/>
      <c r="BC49" s="1364"/>
      <c r="BD49" s="1364"/>
      <c r="BE49" s="1364"/>
      <c r="BF49" s="1364"/>
      <c r="BI49" s="906" t="s">
        <v>538</v>
      </c>
      <c r="BJ49" s="906" t="s">
        <v>539</v>
      </c>
      <c r="BK49" s="906" cm="1">
        <f t="array" ref="BK49">AC49</f>
        <v>0</v>
      </c>
      <c r="BM49" s="542" t="b">
        <v>1</v>
      </c>
    </row>
    <row r="50" spans="1:65" ht="14.65" hidden="1" customHeight="1" x14ac:dyDescent="0.15">
      <c r="E50" s="542">
        <v>15</v>
      </c>
      <c r="F50" s="3" cm="1">
        <f t="array" aca="1" ref="F50" ca="1">OFFSET(E50,-1,1)</f>
        <v>0</v>
      </c>
      <c r="U50" s="388" t="b">
        <f ca="1">F50&gt;0</f>
        <v>0</v>
      </c>
      <c r="X50" s="677" t="s">
        <v>403</v>
      </c>
      <c r="Y50" s="2009"/>
      <c r="Z50" s="2034"/>
      <c r="AB50" s="94"/>
      <c r="AC50" s="225" t="s">
        <v>176</v>
      </c>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L50" s="542" t="s">
        <v>539</v>
      </c>
    </row>
    <row r="51" spans="1:65" ht="14.65" hidden="1" customHeight="1" x14ac:dyDescent="0.15">
      <c r="E51" s="542">
        <v>15</v>
      </c>
      <c r="F51" s="3" cm="1">
        <f t="array" aca="1" ref="F51" ca="1">OFFSET(E51,-1,1)</f>
        <v>0</v>
      </c>
      <c r="H51" s="41" t="s">
        <v>335</v>
      </c>
      <c r="U51" s="388" t="b" cm="1">
        <f t="array" aca="1" ref="U51" ca="1">U50</f>
        <v>0</v>
      </c>
      <c r="Y51" s="2009"/>
      <c r="Z51" s="2034"/>
      <c r="AB51" s="52">
        <v>3</v>
      </c>
      <c r="AC51" s="58" t="s">
        <v>540</v>
      </c>
      <c r="AD51" s="55" t="s">
        <v>490</v>
      </c>
      <c r="AE51" s="1364"/>
      <c r="AF51" s="1366"/>
      <c r="AG51" s="1377"/>
      <c r="AH51" s="1365"/>
      <c r="AI51" s="1364"/>
      <c r="AJ51" s="1366"/>
      <c r="AK51" s="1366"/>
      <c r="AL51" s="199">
        <f>IF(AI51&lt;&gt;0,AK51/AI51,0)</f>
        <v>0</v>
      </c>
      <c r="AM51" s="198">
        <f>AK51-AJ51</f>
        <v>0</v>
      </c>
      <c r="AN51" s="1365"/>
      <c r="AO51" s="1364"/>
      <c r="AP51" s="1364"/>
      <c r="AQ51" s="1364"/>
      <c r="AR51" s="1364"/>
      <c r="AS51" s="1364"/>
      <c r="AT51" s="1364"/>
      <c r="AU51" s="1364"/>
      <c r="AV51" s="1364"/>
      <c r="AW51" s="1364"/>
      <c r="AX51" s="1364"/>
      <c r="AY51" s="1364"/>
      <c r="AZ51" s="1364"/>
      <c r="BA51" s="1364"/>
      <c r="BB51" s="1364"/>
      <c r="BC51" s="1364"/>
      <c r="BD51" s="1364"/>
      <c r="BE51" s="1364"/>
      <c r="BF51" s="1364"/>
      <c r="BI51" s="906" t="s">
        <v>541</v>
      </c>
    </row>
    <row r="52" spans="1:65" ht="14.65" hidden="1" customHeight="1" x14ac:dyDescent="0.15">
      <c r="E52" s="542">
        <v>15</v>
      </c>
      <c r="F52" s="3" cm="1">
        <f t="array" aca="1" ref="F52" ca="1">OFFSET(E52,-1,1)</f>
        <v>0</v>
      </c>
      <c r="H52" s="41" t="s">
        <v>334</v>
      </c>
      <c r="U52" s="388" t="b" cm="1">
        <f t="array" aca="1" ref="U52" ca="1">U51</f>
        <v>0</v>
      </c>
      <c r="Y52" s="2009"/>
      <c r="Z52" s="2034"/>
      <c r="AB52" s="52">
        <v>4</v>
      </c>
      <c r="AC52" s="58" t="s">
        <v>542</v>
      </c>
      <c r="AD52" s="55" t="s">
        <v>490</v>
      </c>
      <c r="AE52" s="1364"/>
      <c r="AF52" s="1366"/>
      <c r="AG52" s="1377"/>
      <c r="AH52" s="1365"/>
      <c r="AI52" s="1364"/>
      <c r="AJ52" s="1366"/>
      <c r="AK52" s="1366"/>
      <c r="AL52" s="199">
        <f>IF(AI52&lt;&gt;0,AK52/AI52,0)</f>
        <v>0</v>
      </c>
      <c r="AM52" s="198">
        <f>AK52-AJ52</f>
        <v>0</v>
      </c>
      <c r="AN52" s="1365"/>
      <c r="AO52" s="1364"/>
      <c r="AP52" s="1364"/>
      <c r="AQ52" s="1364"/>
      <c r="AR52" s="1364"/>
      <c r="AS52" s="1364"/>
      <c r="AT52" s="1364"/>
      <c r="AU52" s="1364"/>
      <c r="AV52" s="1364"/>
      <c r="AW52" s="1364"/>
      <c r="AX52" s="1364"/>
      <c r="AY52" s="1364"/>
      <c r="AZ52" s="1364"/>
      <c r="BA52" s="1364"/>
      <c r="BB52" s="1364"/>
      <c r="BC52" s="1364"/>
      <c r="BD52" s="1364"/>
      <c r="BE52" s="1364"/>
      <c r="BF52" s="1364"/>
      <c r="BI52" s="906" t="s">
        <v>543</v>
      </c>
    </row>
    <row r="53" spans="1:65" ht="14.65" hidden="1" customHeight="1" x14ac:dyDescent="0.15">
      <c r="E53" s="542">
        <v>15</v>
      </c>
      <c r="F53" s="3" cm="1">
        <f t="array" aca="1" ref="F53" ca="1">OFFSET(E53,-1,1)</f>
        <v>0</v>
      </c>
      <c r="H53" s="41" t="s">
        <v>544</v>
      </c>
      <c r="U53" s="388" t="b" cm="1">
        <f t="array" aca="1" ref="U53" ca="1">U52</f>
        <v>0</v>
      </c>
      <c r="Y53" s="2009"/>
      <c r="Z53" s="2034"/>
      <c r="AB53" s="42" t="s">
        <v>444</v>
      </c>
      <c r="AC53" s="57" t="s">
        <v>545</v>
      </c>
      <c r="AD53" s="55"/>
      <c r="AE53" s="1377"/>
      <c r="AF53" s="1377"/>
      <c r="AG53" s="1377"/>
      <c r="AH53" s="1379"/>
      <c r="AI53" s="1377"/>
      <c r="AJ53" s="1377"/>
      <c r="AK53" s="1377"/>
      <c r="AL53" s="199">
        <f>IF(AI53&lt;&gt;0,AK53/AI53,0)</f>
        <v>0</v>
      </c>
      <c r="AM53" s="198">
        <f>AK53-AJ53</f>
        <v>0</v>
      </c>
      <c r="AN53" s="1379"/>
      <c r="AO53" s="1377"/>
      <c r="AP53" s="1377"/>
      <c r="AQ53" s="1377"/>
      <c r="AR53" s="1377"/>
      <c r="AS53" s="1377"/>
      <c r="AT53" s="1377"/>
      <c r="AU53" s="1377"/>
      <c r="AV53" s="1377"/>
      <c r="AW53" s="1377"/>
      <c r="AX53" s="1377"/>
      <c r="AY53" s="1377"/>
      <c r="AZ53" s="1377"/>
      <c r="BA53" s="1377"/>
      <c r="BB53" s="1377"/>
      <c r="BC53" s="1377"/>
      <c r="BD53" s="1377"/>
      <c r="BE53" s="1377"/>
      <c r="BF53" s="1377"/>
      <c r="BI53" s="906" t="s">
        <v>546</v>
      </c>
    </row>
    <row r="54" spans="1:65" ht="14.65" hidden="1" customHeight="1" x14ac:dyDescent="0.15">
      <c r="E54" s="542">
        <v>15</v>
      </c>
      <c r="F54" s="3" cm="1">
        <f t="array" aca="1" ref="F54" ca="1">OFFSET(E54,-1,1)</f>
        <v>0</v>
      </c>
      <c r="H54" s="41" t="s">
        <v>547</v>
      </c>
      <c r="U54" s="388" t="b" cm="1">
        <f t="array" aca="1" ref="U54" ca="1">U53</f>
        <v>0</v>
      </c>
      <c r="Y54" s="2009"/>
      <c r="Z54" s="2034"/>
      <c r="AB54" s="42" t="s">
        <v>446</v>
      </c>
      <c r="AC54" s="56" t="s">
        <v>548</v>
      </c>
      <c r="AD54" s="55"/>
      <c r="AE54" s="1377"/>
      <c r="AF54" s="1377"/>
      <c r="AG54" s="1377"/>
      <c r="AH54" s="1379"/>
      <c r="AI54" s="1377"/>
      <c r="AJ54" s="1377"/>
      <c r="AK54" s="1377"/>
      <c r="AL54" s="199">
        <f>IF(AI54&lt;&gt;0,AK54/AI54,0)</f>
        <v>0</v>
      </c>
      <c r="AM54" s="198">
        <f>AK54-AJ54</f>
        <v>0</v>
      </c>
      <c r="AN54" s="1379"/>
      <c r="AO54" s="1377"/>
      <c r="AP54" s="1377"/>
      <c r="AQ54" s="1377"/>
      <c r="AR54" s="1377"/>
      <c r="AS54" s="1377"/>
      <c r="AT54" s="1377"/>
      <c r="AU54" s="1377"/>
      <c r="AV54" s="1377"/>
      <c r="AW54" s="1377"/>
      <c r="AX54" s="1377"/>
      <c r="AY54" s="1377"/>
      <c r="AZ54" s="1377"/>
      <c r="BA54" s="1377"/>
      <c r="BB54" s="1377"/>
      <c r="BC54" s="1377"/>
      <c r="BD54" s="1377"/>
      <c r="BE54" s="1377"/>
      <c r="BF54" s="1377"/>
      <c r="BI54" s="906" t="s">
        <v>549</v>
      </c>
    </row>
    <row r="55" spans="1:65" s="1380" customFormat="1" ht="14.25" customHeight="1" x14ac:dyDescent="0.15">
      <c r="A55" s="1086"/>
      <c r="B55" s="351"/>
      <c r="C55" s="1086"/>
      <c r="D55" s="1086"/>
      <c r="E55" s="554">
        <v>15</v>
      </c>
      <c r="F55" s="669" t="str" cm="1">
        <f t="array" ref="F55">Y55</f>
        <v>1</v>
      </c>
      <c r="G55" s="1086"/>
      <c r="H55" s="1086"/>
      <c r="I55" s="1086"/>
      <c r="J55" s="1086"/>
      <c r="K55" s="1086"/>
      <c r="L55" s="1086"/>
      <c r="M55" s="1086"/>
      <c r="N55" s="1086"/>
      <c r="O55" s="1086"/>
      <c r="P55" s="1086"/>
      <c r="Q55" s="1086"/>
      <c r="R55" s="1086"/>
      <c r="S55" s="1086"/>
      <c r="T55" s="1086"/>
      <c r="U55" s="388" t="b">
        <f>Y55&gt;0</f>
        <v>1</v>
      </c>
      <c r="V55" s="1086"/>
      <c r="W55" s="63" t="str" cm="1">
        <f t="array" ref="W55">'Список объектов'!$AB$30</f>
        <v>Тариф 1 (Водоснабжение) - тариф на питьевую воду</v>
      </c>
      <c r="X55" s="1086"/>
      <c r="Y55" s="2009" t="s">
        <v>282</v>
      </c>
      <c r="Z55" s="2034"/>
      <c r="AA55" s="1086"/>
      <c r="AB55" s="102" t="str" cm="1">
        <f t="array" ref="AB55">'Список объектов'!$AB$30</f>
        <v>Тариф 1 (Водоснабжение) - тариф на питьевую воду</v>
      </c>
      <c r="AC55" s="99"/>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1086"/>
      <c r="BH55" s="1086"/>
      <c r="BI55" s="922"/>
      <c r="BJ55" s="922"/>
      <c r="BK55" s="922"/>
      <c r="BL55" s="554"/>
      <c r="BM55" s="554"/>
    </row>
    <row r="56" spans="1:65" s="1334" customFormat="1" ht="14.25" customHeight="1" x14ac:dyDescent="0.15">
      <c r="A56" s="1217"/>
      <c r="B56" s="1111"/>
      <c r="C56" s="1217"/>
      <c r="D56" s="1217"/>
      <c r="E56" s="542">
        <v>15</v>
      </c>
      <c r="F56" s="3" t="str" cm="1">
        <f t="array" aca="1" ref="F56" ca="1">OFFSET(E56,-1,1)</f>
        <v>1</v>
      </c>
      <c r="G56" s="41" t="s">
        <v>491</v>
      </c>
      <c r="H56" s="1217"/>
      <c r="I56" s="1217"/>
      <c r="J56" s="1217"/>
      <c r="K56" s="1217"/>
      <c r="L56" s="1217"/>
      <c r="M56" s="1217"/>
      <c r="N56" s="1217"/>
      <c r="O56" s="1217"/>
      <c r="P56" s="1217"/>
      <c r="Q56" s="1217"/>
      <c r="R56" s="1217"/>
      <c r="S56" s="1217"/>
      <c r="T56" s="1217"/>
      <c r="U56" s="388" t="b" cm="1">
        <f t="array" ref="U56">U55</f>
        <v>1</v>
      </c>
      <c r="V56" s="1217"/>
      <c r="W56" s="1217"/>
      <c r="X56" s="1217"/>
      <c r="Y56" s="2009"/>
      <c r="Z56" s="2034"/>
      <c r="AA56" s="1217"/>
      <c r="AB56" s="188"/>
      <c r="AC56" s="189" t="s">
        <v>492</v>
      </c>
      <c r="AD56" s="190"/>
      <c r="AE56" s="190"/>
      <c r="AF56" s="190"/>
      <c r="AG56" s="190"/>
      <c r="AH56" s="190"/>
      <c r="AI56" s="222">
        <f>(1-AI57/100)*(1+AI58/100)*(1+AI60/100)</f>
        <v>1.0315799999999999</v>
      </c>
      <c r="AJ56" s="222">
        <f>(1-AJ57/100)*(1+AJ58/100)*(1+AJ60/100)</f>
        <v>1.0395000000000001</v>
      </c>
      <c r="AK56" s="222">
        <f>(1-AK57/100)*(1+AK58/100)*(1+AK60/100)</f>
        <v>1.0404899999999999</v>
      </c>
      <c r="AL56" s="190"/>
      <c r="AM56" s="190"/>
      <c r="AN56" s="190"/>
      <c r="AO56" s="222">
        <f t="shared" ref="AO56:BF56" si="3">(1-AO57/100)*(1+AO58/100)*(1+AO60/100)</f>
        <v>1.0395000000000001</v>
      </c>
      <c r="AP56" s="222">
        <f t="shared" si="3"/>
        <v>1.0395000000000001</v>
      </c>
      <c r="AQ56" s="222">
        <f t="shared" si="3"/>
        <v>1.0395000000000001</v>
      </c>
      <c r="AR56" s="222">
        <f t="shared" si="3"/>
        <v>1.0395000000000001</v>
      </c>
      <c r="AS56" s="222">
        <f t="shared" si="3"/>
        <v>1.0395000000000001</v>
      </c>
      <c r="AT56" s="222">
        <f t="shared" si="3"/>
        <v>1.0395000000000001</v>
      </c>
      <c r="AU56" s="222">
        <f t="shared" si="3"/>
        <v>1</v>
      </c>
      <c r="AV56" s="222">
        <f t="shared" si="3"/>
        <v>1</v>
      </c>
      <c r="AW56" s="222">
        <f t="shared" si="3"/>
        <v>1</v>
      </c>
      <c r="AX56" s="222">
        <f t="shared" si="3"/>
        <v>1.0296000000000001</v>
      </c>
      <c r="AY56" s="222">
        <f t="shared" si="3"/>
        <v>1.0296000000000001</v>
      </c>
      <c r="AZ56" s="222">
        <f t="shared" si="3"/>
        <v>1.0296000000000001</v>
      </c>
      <c r="BA56" s="222">
        <f t="shared" si="3"/>
        <v>1.0296000000000001</v>
      </c>
      <c r="BB56" s="222">
        <f t="shared" si="3"/>
        <v>1.0296000000000001</v>
      </c>
      <c r="BC56" s="222">
        <f t="shared" si="3"/>
        <v>1.0296000000000001</v>
      </c>
      <c r="BD56" s="222">
        <f t="shared" si="3"/>
        <v>1</v>
      </c>
      <c r="BE56" s="222">
        <f t="shared" si="3"/>
        <v>1</v>
      </c>
      <c r="BF56" s="222">
        <f t="shared" si="3"/>
        <v>1</v>
      </c>
      <c r="BG56" s="1217"/>
      <c r="BH56" s="1217"/>
      <c r="BI56" s="1133"/>
      <c r="BJ56" s="1133"/>
      <c r="BK56" s="1133"/>
      <c r="BL56" s="1080"/>
      <c r="BM56" s="1080"/>
    </row>
    <row r="57" spans="1:65" s="1334" customFormat="1" ht="21.95" customHeight="1" x14ac:dyDescent="0.15">
      <c r="A57" s="1217"/>
      <c r="B57" s="368" t="b">
        <f>method_reg&lt;&gt;"Метод экономически обоснованных расходов"</f>
        <v>1</v>
      </c>
      <c r="C57" s="1217"/>
      <c r="D57" s="1217"/>
      <c r="E57" s="542">
        <v>22.5</v>
      </c>
      <c r="F57" s="3" t="str" cm="1">
        <f t="array" aca="1" ref="F57" ca="1">OFFSET(E57,-1,1)</f>
        <v>1</v>
      </c>
      <c r="G57" s="41" t="s">
        <v>493</v>
      </c>
      <c r="H57" s="41" t="s">
        <v>494</v>
      </c>
      <c r="I57" s="1217"/>
      <c r="J57" s="1217"/>
      <c r="K57" s="1217"/>
      <c r="L57" s="1217"/>
      <c r="M57" s="1217"/>
      <c r="N57" s="1217"/>
      <c r="O57" s="1217"/>
      <c r="P57" s="1217"/>
      <c r="Q57" s="1217"/>
      <c r="R57" s="1217"/>
      <c r="S57" s="1217"/>
      <c r="T57" s="1217"/>
      <c r="U57" s="388" t="b" cm="1">
        <f t="array" ref="U57">U56</f>
        <v>1</v>
      </c>
      <c r="V57" s="1217"/>
      <c r="W57" s="1217"/>
      <c r="X57" s="1217"/>
      <c r="Y57" s="2009"/>
      <c r="Z57" s="2034"/>
      <c r="AA57" s="1217"/>
      <c r="AB57" s="52">
        <v>1</v>
      </c>
      <c r="AC57" s="53" t="s">
        <v>495</v>
      </c>
      <c r="AD57" s="55" t="s">
        <v>490</v>
      </c>
      <c r="AE57" s="194"/>
      <c r="AF57" s="194"/>
      <c r="AG57" s="194"/>
      <c r="AH57" s="119"/>
      <c r="AI57" s="194">
        <v>1</v>
      </c>
      <c r="AJ57" s="194">
        <v>1</v>
      </c>
      <c r="AK57" s="194">
        <v>1</v>
      </c>
      <c r="AL57" s="199">
        <f>IF(AI57&lt;&gt;0,AK57/AI57,0)</f>
        <v>1</v>
      </c>
      <c r="AM57" s="198">
        <f>AK57-AJ57</f>
        <v>0</v>
      </c>
      <c r="AN57" s="119"/>
      <c r="AO57" s="1364">
        <v>1</v>
      </c>
      <c r="AP57" s="1364">
        <v>1</v>
      </c>
      <c r="AQ57" s="1364">
        <v>1</v>
      </c>
      <c r="AR57" s="1364">
        <v>1</v>
      </c>
      <c r="AS57" s="1364">
        <v>1</v>
      </c>
      <c r="AT57" s="1364">
        <v>1</v>
      </c>
      <c r="AU57" s="194"/>
      <c r="AV57" s="194"/>
      <c r="AW57" s="194"/>
      <c r="AX57" s="1364">
        <v>1</v>
      </c>
      <c r="AY57" s="1364">
        <v>1</v>
      </c>
      <c r="AZ57" s="1364">
        <v>1</v>
      </c>
      <c r="BA57" s="1364">
        <v>1</v>
      </c>
      <c r="BB57" s="1364">
        <v>1</v>
      </c>
      <c r="BC57" s="1364">
        <v>1</v>
      </c>
      <c r="BD57" s="194"/>
      <c r="BE57" s="194"/>
      <c r="BF57" s="194"/>
      <c r="BG57" s="1217"/>
      <c r="BH57" s="1217"/>
      <c r="BI57" s="906" t="s">
        <v>496</v>
      </c>
      <c r="BJ57" s="1133"/>
      <c r="BK57" s="1133"/>
      <c r="BL57" s="1080"/>
      <c r="BM57" s="1080"/>
    </row>
    <row r="58" spans="1:65" s="1334" customFormat="1" ht="14.65" customHeight="1" x14ac:dyDescent="0.15">
      <c r="A58" s="1217"/>
      <c r="B58" s="1111"/>
      <c r="C58" s="1217"/>
      <c r="D58" s="1217"/>
      <c r="E58" s="542">
        <v>15</v>
      </c>
      <c r="F58" s="3" t="str" cm="1">
        <f t="array" aca="1" ref="F58" ca="1">OFFSET(E58,-1,1)</f>
        <v>1</v>
      </c>
      <c r="G58" s="41" t="s">
        <v>497</v>
      </c>
      <c r="H58" s="41" t="s">
        <v>498</v>
      </c>
      <c r="I58" s="1217"/>
      <c r="J58" s="1217"/>
      <c r="K58" s="1217"/>
      <c r="L58" s="1217"/>
      <c r="M58" s="1217"/>
      <c r="N58" s="1217"/>
      <c r="O58" s="1217"/>
      <c r="P58" s="1217"/>
      <c r="Q58" s="1217"/>
      <c r="R58" s="1217"/>
      <c r="S58" s="1217"/>
      <c r="T58" s="1217"/>
      <c r="U58" s="388" t="b" cm="1">
        <f t="array" ref="U58">U57</f>
        <v>1</v>
      </c>
      <c r="V58" s="1217"/>
      <c r="W58" s="1217"/>
      <c r="X58" s="1217"/>
      <c r="Y58" s="2009"/>
      <c r="Z58" s="2034"/>
      <c r="AA58" s="1217"/>
      <c r="AB58" s="52">
        <f>IF(B57,2,1)</f>
        <v>2</v>
      </c>
      <c r="AC58" s="54" t="s">
        <v>499</v>
      </c>
      <c r="AD58" s="55" t="s">
        <v>490</v>
      </c>
      <c r="AE58" s="194">
        <v>7.2</v>
      </c>
      <c r="AF58" s="194">
        <v>7.2</v>
      </c>
      <c r="AG58" s="194"/>
      <c r="AH58" s="119"/>
      <c r="AI58" s="194">
        <v>4.2</v>
      </c>
      <c r="AJ58" s="194">
        <v>5</v>
      </c>
      <c r="AK58" s="194">
        <v>5.0999999999999996</v>
      </c>
      <c r="AL58" s="199">
        <f>IF(AI58&lt;&gt;0,AK58/AI58,0)</f>
        <v>1.2142857142857142</v>
      </c>
      <c r="AM58" s="198">
        <f>AK58-AJ58</f>
        <v>9.9999999999999645E-2</v>
      </c>
      <c r="AN58" s="119"/>
      <c r="AO58" s="1364">
        <v>5</v>
      </c>
      <c r="AP58" s="1364">
        <v>5</v>
      </c>
      <c r="AQ58" s="1364">
        <v>5</v>
      </c>
      <c r="AR58" s="1364">
        <v>5</v>
      </c>
      <c r="AS58" s="1364">
        <v>5</v>
      </c>
      <c r="AT58" s="1364">
        <v>5</v>
      </c>
      <c r="AU58" s="194"/>
      <c r="AV58" s="194"/>
      <c r="AW58" s="194"/>
      <c r="AX58" s="1364">
        <v>4</v>
      </c>
      <c r="AY58" s="1364">
        <v>4</v>
      </c>
      <c r="AZ58" s="1364">
        <v>4</v>
      </c>
      <c r="BA58" s="1364">
        <v>4</v>
      </c>
      <c r="BB58" s="1364">
        <v>4</v>
      </c>
      <c r="BC58" s="1364">
        <v>4</v>
      </c>
      <c r="BD58" s="194"/>
      <c r="BE58" s="194"/>
      <c r="BF58" s="194"/>
      <c r="BG58" s="1217"/>
      <c r="BH58" s="1217"/>
      <c r="BI58" s="906" t="s">
        <v>500</v>
      </c>
      <c r="BJ58" s="1133"/>
      <c r="BK58" s="1133"/>
      <c r="BL58" s="1080"/>
      <c r="BM58" s="1080"/>
    </row>
    <row r="59" spans="1:65" s="1334" customFormat="1" ht="14.65" customHeight="1" x14ac:dyDescent="0.15">
      <c r="A59" s="1217"/>
      <c r="B59" s="1111"/>
      <c r="C59" s="1217"/>
      <c r="D59" s="1217"/>
      <c r="E59" s="542">
        <v>15</v>
      </c>
      <c r="F59" s="3" t="str" cm="1">
        <f t="array" aca="1" ref="F59" ca="1">OFFSET(E59,-1,1)</f>
        <v>1</v>
      </c>
      <c r="G59" s="1217"/>
      <c r="H59" s="41" t="s">
        <v>501</v>
      </c>
      <c r="I59" s="1217"/>
      <c r="J59" s="1217"/>
      <c r="K59" s="1217"/>
      <c r="L59" s="1217"/>
      <c r="M59" s="1217"/>
      <c r="N59" s="1217"/>
      <c r="O59" s="1217"/>
      <c r="P59" s="1217"/>
      <c r="Q59" s="1217"/>
      <c r="R59" s="1217"/>
      <c r="S59" s="1217"/>
      <c r="T59" s="1217"/>
      <c r="U59" s="388" t="b" cm="1">
        <f t="array" ref="U59">U58</f>
        <v>1</v>
      </c>
      <c r="V59" s="1217"/>
      <c r="W59" s="1217"/>
      <c r="X59" s="1217"/>
      <c r="Y59" s="2009"/>
      <c r="Z59" s="2034"/>
      <c r="AA59" s="1217"/>
      <c r="AB59" s="52">
        <f>AB58+1</f>
        <v>3</v>
      </c>
      <c r="AC59" s="56" t="s">
        <v>502</v>
      </c>
      <c r="AD59" s="55" t="s">
        <v>490</v>
      </c>
      <c r="AE59" s="194">
        <v>5.6</v>
      </c>
      <c r="AF59" s="194">
        <v>5.6</v>
      </c>
      <c r="AG59" s="194"/>
      <c r="AH59" s="119"/>
      <c r="AI59" s="194">
        <v>4.9000000000000004</v>
      </c>
      <c r="AJ59" s="194">
        <v>4</v>
      </c>
      <c r="AK59" s="194"/>
      <c r="AL59" s="199">
        <f>IF(AI59&lt;&gt;0,AK59/AI59,0)</f>
        <v>0</v>
      </c>
      <c r="AM59" s="198">
        <f>AK59-AJ59</f>
        <v>-4</v>
      </c>
      <c r="AN59" s="119"/>
      <c r="AO59" s="1364"/>
      <c r="AP59" s="1364"/>
      <c r="AQ59" s="1364"/>
      <c r="AR59" s="1364"/>
      <c r="AS59" s="1364"/>
      <c r="AT59" s="1364"/>
      <c r="AU59" s="194"/>
      <c r="AV59" s="194"/>
      <c r="AW59" s="194"/>
      <c r="AX59" s="1364">
        <v>3</v>
      </c>
      <c r="AY59" s="1364">
        <v>3</v>
      </c>
      <c r="AZ59" s="1364">
        <v>3</v>
      </c>
      <c r="BA59" s="1364">
        <v>3</v>
      </c>
      <c r="BB59" s="1364">
        <v>3</v>
      </c>
      <c r="BC59" s="1364">
        <v>3</v>
      </c>
      <c r="BD59" s="194"/>
      <c r="BE59" s="194"/>
      <c r="BF59" s="194"/>
      <c r="BG59" s="1217"/>
      <c r="BH59" s="1217"/>
      <c r="BI59" s="906" t="s">
        <v>503</v>
      </c>
      <c r="BJ59" s="1133"/>
      <c r="BK59" s="1133"/>
      <c r="BL59" s="1080"/>
      <c r="BM59" s="1080"/>
    </row>
    <row r="60" spans="1:65" s="1334" customFormat="1" ht="14.25" customHeight="1" x14ac:dyDescent="0.15">
      <c r="A60" s="1217"/>
      <c r="B60" s="368" t="b">
        <f>method_reg&lt;&gt;"Метод экономически обоснованных расходов"</f>
        <v>1</v>
      </c>
      <c r="C60" s="1217"/>
      <c r="D60" s="1217"/>
      <c r="E60" s="542">
        <v>15</v>
      </c>
      <c r="F60" s="3" t="str" cm="1">
        <f t="array" aca="1" ref="F60" ca="1">OFFSET(E60,-1,1)</f>
        <v>1</v>
      </c>
      <c r="G60" s="41" t="s">
        <v>504</v>
      </c>
      <c r="H60" s="41" t="s">
        <v>505</v>
      </c>
      <c r="I60" s="1217"/>
      <c r="J60" s="1217"/>
      <c r="K60" s="1217"/>
      <c r="L60" s="1217"/>
      <c r="M60" s="1217"/>
      <c r="N60" s="1217"/>
      <c r="O60" s="1217"/>
      <c r="P60" s="1217"/>
      <c r="Q60" s="1217"/>
      <c r="R60" s="1217"/>
      <c r="S60" s="1217"/>
      <c r="T60" s="1217"/>
      <c r="U60" s="388" t="b" cm="1">
        <f t="array" ref="U60">U59</f>
        <v>1</v>
      </c>
      <c r="V60" s="1217"/>
      <c r="W60" s="1217"/>
      <c r="X60" s="1217"/>
      <c r="Y60" s="2009"/>
      <c r="Z60" s="2034"/>
      <c r="AA60" s="1217"/>
      <c r="AB60" s="52">
        <v>4</v>
      </c>
      <c r="AC60" s="54" t="s">
        <v>506</v>
      </c>
      <c r="AD60" s="55" t="s">
        <v>490</v>
      </c>
      <c r="AE60" s="194"/>
      <c r="AF60" s="194"/>
      <c r="AG60" s="194"/>
      <c r="AH60" s="119"/>
      <c r="AI60" s="194"/>
      <c r="AJ60" s="194"/>
      <c r="AK60" s="194"/>
      <c r="AL60" s="199">
        <f>IF(AI60&lt;&gt;0,AK60/AI60,0)</f>
        <v>0</v>
      </c>
      <c r="AM60" s="198">
        <f>AK60-AJ60</f>
        <v>0</v>
      </c>
      <c r="AN60" s="119"/>
      <c r="AO60" s="1364"/>
      <c r="AP60" s="1364"/>
      <c r="AQ60" s="1364"/>
      <c r="AR60" s="1364"/>
      <c r="AS60" s="1364"/>
      <c r="AT60" s="1364"/>
      <c r="AU60" s="194"/>
      <c r="AV60" s="194"/>
      <c r="AW60" s="194"/>
      <c r="AX60" s="1364"/>
      <c r="AY60" s="1364"/>
      <c r="AZ60" s="1364"/>
      <c r="BA60" s="1364"/>
      <c r="BB60" s="1364"/>
      <c r="BC60" s="1364"/>
      <c r="BD60" s="194"/>
      <c r="BE60" s="194"/>
      <c r="BF60" s="194"/>
      <c r="BG60" s="1217"/>
      <c r="BH60" s="1217"/>
      <c r="BI60" s="906" t="s">
        <v>507</v>
      </c>
      <c r="BJ60" s="1133"/>
      <c r="BK60" s="1133"/>
      <c r="BL60" s="1080"/>
      <c r="BM60" s="1080"/>
    </row>
    <row r="61" spans="1:65" s="1321" customFormat="1" ht="14.25" customHeight="1" x14ac:dyDescent="0.15">
      <c r="A61" s="68"/>
      <c r="B61" s="369"/>
      <c r="C61" s="68"/>
      <c r="D61" s="68"/>
      <c r="E61" s="600">
        <v>15</v>
      </c>
      <c r="F61" s="290" t="str" cm="1">
        <f t="array" aca="1" ref="F61" ca="1">OFFSET(E61,-1,1)</f>
        <v>1</v>
      </c>
      <c r="G61" s="68"/>
      <c r="H61" s="68"/>
      <c r="I61" s="68"/>
      <c r="J61" s="68"/>
      <c r="K61" s="68"/>
      <c r="L61" s="68"/>
      <c r="M61" s="68"/>
      <c r="N61" s="68"/>
      <c r="O61" s="68"/>
      <c r="P61" s="68"/>
      <c r="Q61" s="68"/>
      <c r="R61" s="68"/>
      <c r="S61" s="68"/>
      <c r="T61" s="68"/>
      <c r="U61" s="388" t="b" cm="1">
        <f t="array" ref="U61">U60</f>
        <v>1</v>
      </c>
      <c r="V61" s="68"/>
      <c r="W61" s="68"/>
      <c r="X61" s="68"/>
      <c r="Y61" s="2009"/>
      <c r="Z61" s="2034"/>
      <c r="AA61" s="68"/>
      <c r="AB61" s="52">
        <v>5</v>
      </c>
      <c r="AC61" s="54" t="s">
        <v>508</v>
      </c>
      <c r="AD61" s="55" t="s">
        <v>490</v>
      </c>
      <c r="AE61" s="194"/>
      <c r="AF61" s="194"/>
      <c r="AG61" s="194"/>
      <c r="AH61" s="119"/>
      <c r="AI61" s="194"/>
      <c r="AJ61" s="194"/>
      <c r="AK61" s="194"/>
      <c r="AL61" s="199">
        <f>IF(AI61&lt;&gt;0,AK61/AI61,0)</f>
        <v>0</v>
      </c>
      <c r="AM61" s="198">
        <f>AK61-AJ61</f>
        <v>0</v>
      </c>
      <c r="AN61" s="119"/>
      <c r="AO61" s="1364"/>
      <c r="AP61" s="1364"/>
      <c r="AQ61" s="1364"/>
      <c r="AR61" s="1364"/>
      <c r="AS61" s="1364"/>
      <c r="AT61" s="1364"/>
      <c r="AU61" s="194"/>
      <c r="AV61" s="194"/>
      <c r="AW61" s="194"/>
      <c r="AX61" s="1364"/>
      <c r="AY61" s="1364"/>
      <c r="AZ61" s="1364"/>
      <c r="BA61" s="1364"/>
      <c r="BB61" s="1364"/>
      <c r="BC61" s="1364"/>
      <c r="BD61" s="194"/>
      <c r="BE61" s="194"/>
      <c r="BF61" s="194"/>
      <c r="BG61" s="68"/>
      <c r="BH61" s="68"/>
      <c r="BI61" s="947" t="s">
        <v>509</v>
      </c>
      <c r="BJ61" s="947"/>
      <c r="BK61" s="947"/>
      <c r="BL61" s="600"/>
      <c r="BM61" s="600"/>
    </row>
    <row r="62" spans="1:65" s="1334" customFormat="1" ht="14.25" customHeight="1" x14ac:dyDescent="0.15">
      <c r="A62" s="1217"/>
      <c r="B62" s="1111"/>
      <c r="C62" s="1217"/>
      <c r="D62" s="1217"/>
      <c r="E62" s="542">
        <v>15</v>
      </c>
      <c r="F62" s="3" t="str" cm="1">
        <f t="array" aca="1" ref="F62" ca="1">OFFSET(E62,-1,1)</f>
        <v>1</v>
      </c>
      <c r="G62" s="1217"/>
      <c r="H62" s="1217"/>
      <c r="I62" s="1217"/>
      <c r="J62" s="1217"/>
      <c r="K62" s="1217"/>
      <c r="L62" s="1217"/>
      <c r="M62" s="1217"/>
      <c r="N62" s="1217"/>
      <c r="O62" s="1217"/>
      <c r="P62" s="1217"/>
      <c r="Q62" s="1217"/>
      <c r="R62" s="1217"/>
      <c r="S62" s="1217"/>
      <c r="T62" s="1217"/>
      <c r="U62" s="388" t="b" cm="1">
        <f t="array" ref="U62">U60</f>
        <v>1</v>
      </c>
      <c r="V62" s="1217"/>
      <c r="W62" s="1217"/>
      <c r="X62" s="1217"/>
      <c r="Y62" s="2009"/>
      <c r="Z62" s="2034"/>
      <c r="AA62" s="1217"/>
      <c r="AB62" s="188"/>
      <c r="AC62" s="189" t="s">
        <v>510</v>
      </c>
      <c r="AD62" s="190"/>
      <c r="AE62" s="195"/>
      <c r="AF62" s="195"/>
      <c r="AG62" s="195"/>
      <c r="AH62" s="190"/>
      <c r="AI62" s="195"/>
      <c r="AJ62" s="195"/>
      <c r="AK62" s="195"/>
      <c r="AL62" s="200"/>
      <c r="AM62" s="195"/>
      <c r="AN62" s="190"/>
      <c r="AO62" s="195"/>
      <c r="AP62" s="195"/>
      <c r="AQ62" s="195"/>
      <c r="AR62" s="195"/>
      <c r="AS62" s="195"/>
      <c r="AT62" s="195"/>
      <c r="AU62" s="195"/>
      <c r="AV62" s="195"/>
      <c r="AW62" s="195"/>
      <c r="AX62" s="195"/>
      <c r="AY62" s="195"/>
      <c r="AZ62" s="195"/>
      <c r="BA62" s="195"/>
      <c r="BB62" s="195"/>
      <c r="BC62" s="195"/>
      <c r="BD62" s="195"/>
      <c r="BE62" s="195"/>
      <c r="BF62" s="201"/>
      <c r="BG62" s="1217"/>
      <c r="BH62" s="1217"/>
      <c r="BI62" s="1133"/>
      <c r="BJ62" s="1133"/>
      <c r="BK62" s="1133"/>
      <c r="BL62" s="1080"/>
      <c r="BM62" s="1080"/>
    </row>
    <row r="63" spans="1:65" s="1334" customFormat="1" ht="14.65" customHeight="1" x14ac:dyDescent="0.15">
      <c r="A63" s="1217"/>
      <c r="B63" s="1111"/>
      <c r="C63" s="1217"/>
      <c r="D63" s="1217"/>
      <c r="E63" s="542">
        <v>15</v>
      </c>
      <c r="F63" s="3" t="str" cm="1">
        <f t="array" aca="1" ref="F63" ca="1">OFFSET(E63,-1,1)</f>
        <v>1</v>
      </c>
      <c r="G63" s="41" t="s">
        <v>511</v>
      </c>
      <c r="H63" s="41" t="s">
        <v>512</v>
      </c>
      <c r="I63" s="1217"/>
      <c r="J63" s="1217"/>
      <c r="K63" s="1217"/>
      <c r="L63" s="1217"/>
      <c r="M63" s="1217"/>
      <c r="N63" s="1217"/>
      <c r="O63" s="1217"/>
      <c r="P63" s="1217"/>
      <c r="Q63" s="1217"/>
      <c r="R63" s="1217"/>
      <c r="S63" s="1217"/>
      <c r="T63" s="1217"/>
      <c r="U63" s="388" t="b" cm="1">
        <f t="array" ref="U63">U62</f>
        <v>1</v>
      </c>
      <c r="V63" s="1217"/>
      <c r="W63" s="1217"/>
      <c r="X63" s="1217"/>
      <c r="Y63" s="2009"/>
      <c r="Z63" s="2034"/>
      <c r="AA63" s="1217"/>
      <c r="AB63" s="52">
        <v>1</v>
      </c>
      <c r="AC63" s="54" t="s">
        <v>513</v>
      </c>
      <c r="AD63" s="55" t="s">
        <v>490</v>
      </c>
      <c r="AE63" s="196">
        <v>30.2</v>
      </c>
      <c r="AF63" s="196">
        <v>30.2</v>
      </c>
      <c r="AG63" s="196">
        <v>30.2</v>
      </c>
      <c r="AH63" s="119"/>
      <c r="AI63" s="196">
        <v>30.2</v>
      </c>
      <c r="AJ63" s="196">
        <v>30.2</v>
      </c>
      <c r="AK63" s="196">
        <v>30.2</v>
      </c>
      <c r="AL63" s="199">
        <f>IF(AI63&lt;&gt;0,AK63/AI63,0)</f>
        <v>1</v>
      </c>
      <c r="AM63" s="198">
        <f>AK63-AJ63</f>
        <v>0</v>
      </c>
      <c r="AN63" s="119"/>
      <c r="AO63" s="1366">
        <v>30.2</v>
      </c>
      <c r="AP63" s="1366">
        <v>30.2</v>
      </c>
      <c r="AQ63" s="1366">
        <v>30.2</v>
      </c>
      <c r="AR63" s="1366">
        <v>30.2</v>
      </c>
      <c r="AS63" s="1366">
        <v>30.2</v>
      </c>
      <c r="AT63" s="1366">
        <v>30.2</v>
      </c>
      <c r="AU63" s="196"/>
      <c r="AV63" s="196"/>
      <c r="AW63" s="196"/>
      <c r="AX63" s="1366">
        <v>30.2</v>
      </c>
      <c r="AY63" s="1366">
        <v>30.2</v>
      </c>
      <c r="AZ63" s="1366">
        <v>30.2</v>
      </c>
      <c r="BA63" s="1366">
        <v>30.2</v>
      </c>
      <c r="BB63" s="1366">
        <v>30.2</v>
      </c>
      <c r="BC63" s="1366">
        <v>30.2</v>
      </c>
      <c r="BD63" s="196"/>
      <c r="BE63" s="196"/>
      <c r="BF63" s="196"/>
      <c r="BG63" s="1217"/>
      <c r="BH63" s="1217"/>
      <c r="BI63" s="906" t="s">
        <v>514</v>
      </c>
      <c r="BJ63" s="1133"/>
      <c r="BK63" s="1133"/>
      <c r="BL63" s="1080"/>
      <c r="BM63" s="1080"/>
    </row>
    <row r="64" spans="1:65" s="1334" customFormat="1" ht="15" hidden="1" customHeight="1" x14ac:dyDescent="0.15">
      <c r="A64" s="1217"/>
      <c r="B64" s="1111"/>
      <c r="C64" s="1217"/>
      <c r="D64" s="1217"/>
      <c r="E64" s="542">
        <v>0</v>
      </c>
      <c r="F64" s="3" t="str" cm="1">
        <f t="array" aca="1" ref="F64" ca="1">OFFSET(E64,-1,1)</f>
        <v>1</v>
      </c>
      <c r="G64" s="1217"/>
      <c r="H64" s="41" t="s">
        <v>515</v>
      </c>
      <c r="I64" s="1217"/>
      <c r="J64" s="1217"/>
      <c r="K64" s="1217"/>
      <c r="L64" s="1217"/>
      <c r="M64" s="1217"/>
      <c r="N64" s="1217"/>
      <c r="O64" s="1217"/>
      <c r="P64" s="1217"/>
      <c r="Q64" s="1217"/>
      <c r="R64" s="1217"/>
      <c r="S64" s="1217"/>
      <c r="T64" s="1217"/>
      <c r="U64" s="388" t="b" cm="1">
        <f t="array" ref="U64">U63</f>
        <v>1</v>
      </c>
      <c r="V64" s="1217"/>
      <c r="W64" s="1217"/>
      <c r="X64" s="1217"/>
      <c r="Y64" s="2009"/>
      <c r="Z64" s="2034"/>
      <c r="AA64" s="1217"/>
      <c r="AB64" s="52">
        <v>2</v>
      </c>
      <c r="AC64" s="54" t="s">
        <v>489</v>
      </c>
      <c r="AD64" s="55" t="s">
        <v>490</v>
      </c>
      <c r="AE64" s="1366"/>
      <c r="AF64" s="1364"/>
      <c r="AG64" s="1366"/>
      <c r="AH64" s="1365"/>
      <c r="AI64" s="1366"/>
      <c r="AJ64" s="1366"/>
      <c r="AK64" s="1366"/>
      <c r="AL64" s="199">
        <f>IF(AI64&lt;&gt;0,AK64/AI64,0)</f>
        <v>0</v>
      </c>
      <c r="AM64" s="198">
        <f>AK64-AJ64</f>
        <v>0</v>
      </c>
      <c r="AN64" s="1365"/>
      <c r="AO64" s="1366"/>
      <c r="AP64" s="1366"/>
      <c r="AQ64" s="1366"/>
      <c r="AR64" s="1366"/>
      <c r="AS64" s="1366"/>
      <c r="AT64" s="1366"/>
      <c r="AU64" s="1366"/>
      <c r="AV64" s="1366"/>
      <c r="AW64" s="1366"/>
      <c r="AX64" s="1366"/>
      <c r="AY64" s="1366"/>
      <c r="AZ64" s="1366"/>
      <c r="BA64" s="1366"/>
      <c r="BB64" s="1366"/>
      <c r="BC64" s="1366"/>
      <c r="BD64" s="1366"/>
      <c r="BE64" s="1366"/>
      <c r="BF64" s="1366"/>
      <c r="BG64" s="1217"/>
      <c r="BH64" s="1217"/>
      <c r="BI64" s="906" t="s">
        <v>516</v>
      </c>
      <c r="BJ64" s="1133"/>
      <c r="BK64" s="1133"/>
      <c r="BL64" s="1080"/>
      <c r="BM64" s="1080"/>
    </row>
    <row r="65" spans="1:65" s="1334" customFormat="1" ht="14.25" customHeight="1" x14ac:dyDescent="0.15">
      <c r="A65" s="1217"/>
      <c r="B65" s="1111"/>
      <c r="C65" s="1217"/>
      <c r="D65" s="1217"/>
      <c r="E65" s="542">
        <v>15</v>
      </c>
      <c r="F65" s="3" t="str" cm="1">
        <f t="array" aca="1" ref="F65" ca="1">OFFSET(E65,-1,1)</f>
        <v>1</v>
      </c>
      <c r="G65" s="1217"/>
      <c r="H65" s="1217"/>
      <c r="I65" s="1217"/>
      <c r="J65" s="1217"/>
      <c r="K65" s="1217"/>
      <c r="L65" s="1217"/>
      <c r="M65" s="1217"/>
      <c r="N65" s="1217"/>
      <c r="O65" s="1217"/>
      <c r="P65" s="1217"/>
      <c r="Q65" s="1217"/>
      <c r="R65" s="1217"/>
      <c r="S65" s="1217"/>
      <c r="T65" s="1217"/>
      <c r="U65" s="388" t="b" cm="1">
        <f t="array" ref="U65">U64</f>
        <v>1</v>
      </c>
      <c r="V65" s="1217"/>
      <c r="W65" s="1217"/>
      <c r="X65" s="1217"/>
      <c r="Y65" s="2009"/>
      <c r="Z65" s="2034"/>
      <c r="AA65" s="1217"/>
      <c r="AB65" s="530">
        <v>2</v>
      </c>
      <c r="AC65" s="531" t="s">
        <v>517</v>
      </c>
      <c r="AD65" s="13"/>
      <c r="AE65" s="532"/>
      <c r="AF65" s="533"/>
      <c r="AG65" s="534"/>
      <c r="AH65" s="535"/>
      <c r="AI65" s="532"/>
      <c r="AJ65" s="533"/>
      <c r="AK65" s="533"/>
      <c r="AL65" s="536"/>
      <c r="AM65" s="533"/>
      <c r="AN65" s="535"/>
      <c r="AO65" s="532"/>
      <c r="AP65" s="532"/>
      <c r="AQ65" s="532"/>
      <c r="AR65" s="532"/>
      <c r="AS65" s="532"/>
      <c r="AT65" s="532"/>
      <c r="AU65" s="532"/>
      <c r="AV65" s="532"/>
      <c r="AW65" s="532"/>
      <c r="AX65" s="532"/>
      <c r="AY65" s="532"/>
      <c r="AZ65" s="532"/>
      <c r="BA65" s="532"/>
      <c r="BB65" s="532"/>
      <c r="BC65" s="532"/>
      <c r="BD65" s="532"/>
      <c r="BE65" s="532"/>
      <c r="BF65" s="532"/>
      <c r="BG65" s="1217"/>
      <c r="BH65" s="1217"/>
      <c r="BI65" s="906" t="s">
        <v>518</v>
      </c>
      <c r="BJ65" s="1133"/>
      <c r="BK65" s="1133"/>
      <c r="BL65" s="1080"/>
      <c r="BM65" s="1080"/>
    </row>
    <row r="66" spans="1:65" s="1334" customFormat="1" ht="21.75" customHeight="1" x14ac:dyDescent="0.15">
      <c r="A66" s="1217"/>
      <c r="B66" s="1111"/>
      <c r="C66" s="1217"/>
      <c r="D66" s="1217"/>
      <c r="E66" s="542">
        <v>22.5</v>
      </c>
      <c r="F66" s="3" t="str" cm="1">
        <f t="array" aca="1" ref="F66" ca="1">OFFSET(E66,-1,1)</f>
        <v>1</v>
      </c>
      <c r="G66" s="1217"/>
      <c r="H66" s="41" t="s">
        <v>519</v>
      </c>
      <c r="I66" s="1217"/>
      <c r="J66" s="1217"/>
      <c r="K66" s="1217"/>
      <c r="L66" s="1217"/>
      <c r="M66" s="1217"/>
      <c r="N66" s="1217"/>
      <c r="O66" s="1217"/>
      <c r="P66" s="1217"/>
      <c r="Q66" s="1217"/>
      <c r="R66" s="1217"/>
      <c r="S66" s="1217"/>
      <c r="T66" s="1217"/>
      <c r="U66" s="388" t="b" cm="1">
        <f t="array" ref="U66">U65</f>
        <v>1</v>
      </c>
      <c r="V66" s="1217"/>
      <c r="W66" s="1217"/>
      <c r="X66" s="1217"/>
      <c r="Y66" s="2009"/>
      <c r="Z66" s="2034"/>
      <c r="AA66" s="1217"/>
      <c r="AB66" s="139" t="s">
        <v>520</v>
      </c>
      <c r="AC66" s="133" t="s">
        <v>521</v>
      </c>
      <c r="AD66" s="10" t="s">
        <v>522</v>
      </c>
      <c r="AE66" s="224"/>
      <c r="AF66" s="537"/>
      <c r="AG66" s="538"/>
      <c r="AH66" s="226"/>
      <c r="AI66" s="224"/>
      <c r="AJ66" s="537"/>
      <c r="AK66" s="537"/>
      <c r="AL66" s="539">
        <f>IF(AI66&lt;&gt;0,AK66/AI66,0)</f>
        <v>0</v>
      </c>
      <c r="AM66" s="540">
        <f>AK66-AJ66</f>
        <v>0</v>
      </c>
      <c r="AN66" s="226"/>
      <c r="AO66" s="1367"/>
      <c r="AP66" s="1367"/>
      <c r="AQ66" s="1367"/>
      <c r="AR66" s="1367"/>
      <c r="AS66" s="1367"/>
      <c r="AT66" s="1367"/>
      <c r="AU66" s="224"/>
      <c r="AV66" s="224"/>
      <c r="AW66" s="224"/>
      <c r="AX66" s="1367"/>
      <c r="AY66" s="1367"/>
      <c r="AZ66" s="1367"/>
      <c r="BA66" s="1367"/>
      <c r="BB66" s="1367"/>
      <c r="BC66" s="1367"/>
      <c r="BD66" s="224"/>
      <c r="BE66" s="224"/>
      <c r="BF66" s="224"/>
      <c r="BG66" s="1217"/>
      <c r="BH66" s="1217"/>
      <c r="BI66" s="906" t="s">
        <v>523</v>
      </c>
      <c r="BJ66" s="1133"/>
      <c r="BK66" s="1133"/>
      <c r="BL66" s="1080"/>
      <c r="BM66" s="1080"/>
    </row>
    <row r="67" spans="1:65" s="1334" customFormat="1" ht="21.75" hidden="1" customHeight="1" x14ac:dyDescent="0.15">
      <c r="A67" s="1217"/>
      <c r="B67" s="1111"/>
      <c r="C67" s="1217"/>
      <c r="D67" s="1217"/>
      <c r="E67" s="542">
        <v>22.5</v>
      </c>
      <c r="F67" s="3" t="str" cm="1">
        <f t="array" aca="1" ref="F67" ca="1">OFFSET(E67,-1,1)</f>
        <v>1</v>
      </c>
      <c r="G67" s="1217"/>
      <c r="H67" s="1217"/>
      <c r="I67" s="41" cm="1">
        <f t="array" ref="I67">AC67</f>
        <v>0</v>
      </c>
      <c r="J67" s="1217"/>
      <c r="K67" s="1217"/>
      <c r="L67" s="1217"/>
      <c r="M67" s="1217"/>
      <c r="N67" s="1217"/>
      <c r="O67" s="1217"/>
      <c r="P67" s="1217"/>
      <c r="Q67" s="1217"/>
      <c r="R67" s="1217"/>
      <c r="S67" s="1217"/>
      <c r="T67" s="1217"/>
      <c r="U67" s="388" t="b">
        <f ca="1">AND(F67&gt;0,--RIGHT(AB67,1)&gt;1)</f>
        <v>0</v>
      </c>
      <c r="V67" s="1217"/>
      <c r="W67" s="1217"/>
      <c r="X67" s="677" t="s">
        <v>172</v>
      </c>
      <c r="Y67" s="2009"/>
      <c r="Z67" s="2034"/>
      <c r="AA67" s="342" t="s">
        <v>173</v>
      </c>
      <c r="AB67" s="139" t="s">
        <v>520</v>
      </c>
      <c r="AC67" s="1371"/>
      <c r="AD67" s="10" t="s">
        <v>522</v>
      </c>
      <c r="AE67" s="1367"/>
      <c r="AF67" s="1368"/>
      <c r="AG67" s="1369"/>
      <c r="AH67" s="1370"/>
      <c r="AI67" s="1367"/>
      <c r="AJ67" s="1368"/>
      <c r="AK67" s="1368"/>
      <c r="AL67" s="539">
        <f>IF(AI67&lt;&gt;0,AK67/AI67,0)</f>
        <v>0</v>
      </c>
      <c r="AM67" s="540">
        <f>AK67-AJ67</f>
        <v>0</v>
      </c>
      <c r="AN67" s="1370"/>
      <c r="AO67" s="1367"/>
      <c r="AP67" s="1367"/>
      <c r="AQ67" s="1367"/>
      <c r="AR67" s="1367"/>
      <c r="AS67" s="1367"/>
      <c r="AT67" s="1367"/>
      <c r="AU67" s="1367"/>
      <c r="AV67" s="1367"/>
      <c r="AW67" s="1367"/>
      <c r="AX67" s="1367"/>
      <c r="AY67" s="1367"/>
      <c r="AZ67" s="1367"/>
      <c r="BA67" s="1367"/>
      <c r="BB67" s="1367"/>
      <c r="BC67" s="1367"/>
      <c r="BD67" s="1367"/>
      <c r="BE67" s="1367"/>
      <c r="BF67" s="1367"/>
      <c r="BG67" s="1217"/>
      <c r="BH67" s="1217"/>
      <c r="BI67" s="906" t="s">
        <v>523</v>
      </c>
      <c r="BJ67" s="906" t="s">
        <v>524</v>
      </c>
      <c r="BK67" s="906" cm="1">
        <f t="array" ref="BK67">AC67</f>
        <v>0</v>
      </c>
      <c r="BL67" s="1080"/>
      <c r="BM67" s="542" t="b">
        <v>1</v>
      </c>
    </row>
    <row r="68" spans="1:65" s="1334" customFormat="1" ht="14.25" customHeight="1" x14ac:dyDescent="0.15">
      <c r="A68" s="1217"/>
      <c r="B68" s="1111"/>
      <c r="C68" s="1217"/>
      <c r="D68" s="1217"/>
      <c r="E68" s="542">
        <v>15</v>
      </c>
      <c r="F68" s="3" t="str" cm="1">
        <f t="array" aca="1" ref="F68" ca="1">OFFSET(E68,-1,1)</f>
        <v>1</v>
      </c>
      <c r="G68" s="1217"/>
      <c r="H68" s="1217"/>
      <c r="I68" s="1217"/>
      <c r="J68" s="1217"/>
      <c r="K68" s="1217"/>
      <c r="L68" s="1217"/>
      <c r="M68" s="1217"/>
      <c r="N68" s="1217"/>
      <c r="O68" s="1217"/>
      <c r="P68" s="1217"/>
      <c r="Q68" s="1217"/>
      <c r="R68" s="1217"/>
      <c r="S68" s="1217"/>
      <c r="T68" s="1217"/>
      <c r="U68" s="388" t="b">
        <f ca="1">F68&gt;0</f>
        <v>1</v>
      </c>
      <c r="V68" s="1217"/>
      <c r="W68" s="1217"/>
      <c r="X68" s="677" t="s">
        <v>403</v>
      </c>
      <c r="Y68" s="2009"/>
      <c r="Z68" s="2034"/>
      <c r="AA68" s="1217"/>
      <c r="AB68" s="94"/>
      <c r="AC68" s="225" t="s">
        <v>176</v>
      </c>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c r="BF68" s="95"/>
      <c r="BG68" s="1217"/>
      <c r="BH68" s="1217"/>
      <c r="BI68" s="1133"/>
      <c r="BJ68" s="1133"/>
      <c r="BK68" s="1133"/>
      <c r="BL68" s="542" t="s">
        <v>524</v>
      </c>
      <c r="BM68" s="1080"/>
    </row>
    <row r="69" spans="1:65" s="1334" customFormat="1" ht="21.75" customHeight="1" x14ac:dyDescent="0.15">
      <c r="A69" s="1217"/>
      <c r="B69" s="1111"/>
      <c r="C69" s="1217"/>
      <c r="D69" s="1217"/>
      <c r="E69" s="542">
        <v>22.5</v>
      </c>
      <c r="F69" s="3" t="str" cm="1">
        <f t="array" aca="1" ref="F69" ca="1">OFFSET(E69,-1,1)</f>
        <v>1</v>
      </c>
      <c r="G69" s="1217"/>
      <c r="H69" s="41" t="s">
        <v>525</v>
      </c>
      <c r="I69" s="1217"/>
      <c r="J69" s="1217"/>
      <c r="K69" s="1217"/>
      <c r="L69" s="1217"/>
      <c r="M69" s="1217"/>
      <c r="N69" s="1217"/>
      <c r="O69" s="1217"/>
      <c r="P69" s="1217"/>
      <c r="Q69" s="1217"/>
      <c r="R69" s="1217"/>
      <c r="S69" s="1217"/>
      <c r="T69" s="1217"/>
      <c r="U69" s="388" t="b" cm="1">
        <f t="array" aca="1" ref="U69" ca="1">U68</f>
        <v>1</v>
      </c>
      <c r="V69" s="1217"/>
      <c r="W69" s="1217"/>
      <c r="X69" s="1217"/>
      <c r="Y69" s="2009"/>
      <c r="Z69" s="2034"/>
      <c r="AA69" s="1217"/>
      <c r="AB69" s="522" t="s">
        <v>526</v>
      </c>
      <c r="AC69" s="523" t="s">
        <v>527</v>
      </c>
      <c r="AD69" s="519" t="s">
        <v>522</v>
      </c>
      <c r="AE69" s="524"/>
      <c r="AF69" s="525"/>
      <c r="AG69" s="526"/>
      <c r="AH69" s="527"/>
      <c r="AI69" s="524"/>
      <c r="AJ69" s="525"/>
      <c r="AK69" s="525"/>
      <c r="AL69" s="528">
        <f>IF(AI69&lt;&gt;0,AK69/AI69,0)</f>
        <v>0</v>
      </c>
      <c r="AM69" s="529">
        <f>AK69-AJ69</f>
        <v>0</v>
      </c>
      <c r="AN69" s="527"/>
      <c r="AO69" s="1372"/>
      <c r="AP69" s="1372"/>
      <c r="AQ69" s="1372"/>
      <c r="AR69" s="1372"/>
      <c r="AS69" s="1372"/>
      <c r="AT69" s="1372"/>
      <c r="AU69" s="524"/>
      <c r="AV69" s="524"/>
      <c r="AW69" s="524"/>
      <c r="AX69" s="1372"/>
      <c r="AY69" s="1372"/>
      <c r="AZ69" s="1372"/>
      <c r="BA69" s="1372"/>
      <c r="BB69" s="1372"/>
      <c r="BC69" s="1372"/>
      <c r="BD69" s="524"/>
      <c r="BE69" s="524"/>
      <c r="BF69" s="524"/>
      <c r="BG69" s="1217"/>
      <c r="BH69" s="1217"/>
      <c r="BI69" s="906" t="s">
        <v>528</v>
      </c>
      <c r="BJ69" s="1133"/>
      <c r="BK69" s="1133"/>
      <c r="BL69" s="1080"/>
      <c r="BM69" s="1080"/>
    </row>
    <row r="70" spans="1:65" s="1334" customFormat="1" ht="21.75" hidden="1" customHeight="1" x14ac:dyDescent="0.15">
      <c r="A70" s="1217"/>
      <c r="B70" s="1111"/>
      <c r="C70" s="1217"/>
      <c r="D70" s="1217"/>
      <c r="E70" s="542">
        <v>22.5</v>
      </c>
      <c r="F70" s="3" t="str" cm="1">
        <f t="array" aca="1" ref="F70" ca="1">OFFSET(E70,-1,1)</f>
        <v>1</v>
      </c>
      <c r="G70" s="1217"/>
      <c r="H70" s="1217"/>
      <c r="I70" s="41" cm="1">
        <f t="array" ref="I70">AC70</f>
        <v>0</v>
      </c>
      <c r="J70" s="1217"/>
      <c r="K70" s="1217"/>
      <c r="L70" s="1217"/>
      <c r="M70" s="1217"/>
      <c r="N70" s="1217"/>
      <c r="O70" s="1217"/>
      <c r="P70" s="1217"/>
      <c r="Q70" s="1217"/>
      <c r="R70" s="1217"/>
      <c r="S70" s="1217"/>
      <c r="T70" s="1217"/>
      <c r="U70" s="388" t="b">
        <f ca="1">AND(F70&gt;0,--RIGHT(AB70,1)&gt;1)</f>
        <v>0</v>
      </c>
      <c r="V70" s="1217"/>
      <c r="W70" s="1217"/>
      <c r="X70" s="677" t="s">
        <v>172</v>
      </c>
      <c r="Y70" s="2009"/>
      <c r="Z70" s="2034"/>
      <c r="AA70" s="342" t="s">
        <v>173</v>
      </c>
      <c r="AB70" s="522" t="s">
        <v>526</v>
      </c>
      <c r="AC70" s="1376"/>
      <c r="AD70" s="519" t="s">
        <v>522</v>
      </c>
      <c r="AE70" s="1372"/>
      <c r="AF70" s="1373"/>
      <c r="AG70" s="1374"/>
      <c r="AH70" s="1375"/>
      <c r="AI70" s="1372"/>
      <c r="AJ70" s="1373"/>
      <c r="AK70" s="1373"/>
      <c r="AL70" s="528">
        <f>IF(AI70&lt;&gt;0,AK70/AI70,0)</f>
        <v>0</v>
      </c>
      <c r="AM70" s="529">
        <f>AK70-AJ70</f>
        <v>0</v>
      </c>
      <c r="AN70" s="1375"/>
      <c r="AO70" s="1372"/>
      <c r="AP70" s="1372"/>
      <c r="AQ70" s="1372"/>
      <c r="AR70" s="1372"/>
      <c r="AS70" s="1372"/>
      <c r="AT70" s="1372"/>
      <c r="AU70" s="1372"/>
      <c r="AV70" s="1372"/>
      <c r="AW70" s="1372"/>
      <c r="AX70" s="1372"/>
      <c r="AY70" s="1372"/>
      <c r="AZ70" s="1372"/>
      <c r="BA70" s="1372"/>
      <c r="BB70" s="1372"/>
      <c r="BC70" s="1372"/>
      <c r="BD70" s="1372"/>
      <c r="BE70" s="1372"/>
      <c r="BF70" s="1372"/>
      <c r="BG70" s="1217"/>
      <c r="BH70" s="1217"/>
      <c r="BI70" s="906" t="s">
        <v>528</v>
      </c>
      <c r="BJ70" s="906" t="s">
        <v>529</v>
      </c>
      <c r="BK70" s="906" cm="1">
        <f t="array" ref="BK70">AC70</f>
        <v>0</v>
      </c>
      <c r="BL70" s="1080"/>
      <c r="BM70" s="542" t="b">
        <v>1</v>
      </c>
    </row>
    <row r="71" spans="1:65" s="1334" customFormat="1" ht="14.25" customHeight="1" x14ac:dyDescent="0.15">
      <c r="A71" s="1217"/>
      <c r="B71" s="1111"/>
      <c r="C71" s="1217"/>
      <c r="D71" s="1217"/>
      <c r="E71" s="542">
        <v>15</v>
      </c>
      <c r="F71" s="3" t="str" cm="1">
        <f t="array" aca="1" ref="F71" ca="1">OFFSET(E71,-1,1)</f>
        <v>1</v>
      </c>
      <c r="G71" s="1217"/>
      <c r="H71" s="1217"/>
      <c r="I71" s="1217"/>
      <c r="J71" s="1217"/>
      <c r="K71" s="1217"/>
      <c r="L71" s="1217"/>
      <c r="M71" s="1217"/>
      <c r="N71" s="1217"/>
      <c r="O71" s="1217"/>
      <c r="P71" s="1217"/>
      <c r="Q71" s="1217"/>
      <c r="R71" s="1217"/>
      <c r="S71" s="1217"/>
      <c r="T71" s="1217"/>
      <c r="U71" s="388" t="b">
        <f ca="1">F71&gt;0</f>
        <v>1</v>
      </c>
      <c r="V71" s="1217"/>
      <c r="W71" s="1217"/>
      <c r="X71" s="677" t="s">
        <v>403</v>
      </c>
      <c r="Y71" s="2009"/>
      <c r="Z71" s="2034"/>
      <c r="AA71" s="1217"/>
      <c r="AB71" s="94"/>
      <c r="AC71" s="225" t="s">
        <v>176</v>
      </c>
      <c r="AD71" s="95"/>
      <c r="AE71" s="95"/>
      <c r="AF71" s="95"/>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1217"/>
      <c r="BH71" s="1217"/>
      <c r="BI71" s="1133"/>
      <c r="BJ71" s="1133"/>
      <c r="BK71" s="1133"/>
      <c r="BL71" s="542" t="s">
        <v>529</v>
      </c>
      <c r="BM71" s="1080"/>
    </row>
    <row r="72" spans="1:65" s="1334" customFormat="1" ht="21.75" customHeight="1" x14ac:dyDescent="0.15">
      <c r="A72" s="1217"/>
      <c r="B72" s="1111"/>
      <c r="C72" s="1217"/>
      <c r="D72" s="1217"/>
      <c r="E72" s="542">
        <v>22.5</v>
      </c>
      <c r="F72" s="3" t="str" cm="1">
        <f t="array" aca="1" ref="F72" ca="1">OFFSET(E72,-1,1)</f>
        <v>1</v>
      </c>
      <c r="G72" s="1217"/>
      <c r="H72" s="41" t="s">
        <v>530</v>
      </c>
      <c r="I72" s="1217"/>
      <c r="J72" s="1217"/>
      <c r="K72" s="1217"/>
      <c r="L72" s="1217"/>
      <c r="M72" s="1217"/>
      <c r="N72" s="1217"/>
      <c r="O72" s="1217"/>
      <c r="P72" s="1217"/>
      <c r="Q72" s="1217"/>
      <c r="R72" s="1217"/>
      <c r="S72" s="1217"/>
      <c r="T72" s="1217"/>
      <c r="U72" s="388" t="b" cm="1">
        <f t="array" aca="1" ref="U72" ca="1">U71</f>
        <v>1</v>
      </c>
      <c r="V72" s="1217"/>
      <c r="W72" s="1217"/>
      <c r="X72" s="1217"/>
      <c r="Y72" s="2009"/>
      <c r="Z72" s="2034"/>
      <c r="AA72" s="1217"/>
      <c r="AB72" s="42" t="s">
        <v>531</v>
      </c>
      <c r="AC72" s="111" t="s">
        <v>532</v>
      </c>
      <c r="AD72" s="11" t="s">
        <v>522</v>
      </c>
      <c r="AE72" s="194"/>
      <c r="AF72" s="196"/>
      <c r="AG72" s="197"/>
      <c r="AH72" s="119"/>
      <c r="AI72" s="194"/>
      <c r="AJ72" s="196"/>
      <c r="AK72" s="196"/>
      <c r="AL72" s="199">
        <f>IF(AI72&lt;&gt;0,AK72/AI72,0)</f>
        <v>0</v>
      </c>
      <c r="AM72" s="198">
        <f>AK72-AJ72</f>
        <v>0</v>
      </c>
      <c r="AN72" s="119"/>
      <c r="AO72" s="1364"/>
      <c r="AP72" s="1364"/>
      <c r="AQ72" s="1364"/>
      <c r="AR72" s="1364"/>
      <c r="AS72" s="1364"/>
      <c r="AT72" s="1364"/>
      <c r="AU72" s="194"/>
      <c r="AV72" s="194"/>
      <c r="AW72" s="194"/>
      <c r="AX72" s="1364"/>
      <c r="AY72" s="1364"/>
      <c r="AZ72" s="1364"/>
      <c r="BA72" s="1364"/>
      <c r="BB72" s="1364"/>
      <c r="BC72" s="1364"/>
      <c r="BD72" s="194"/>
      <c r="BE72" s="194"/>
      <c r="BF72" s="194"/>
      <c r="BG72" s="1217"/>
      <c r="BH72" s="1217"/>
      <c r="BI72" s="906" t="s">
        <v>533</v>
      </c>
      <c r="BJ72" s="1133"/>
      <c r="BK72" s="1133"/>
      <c r="BL72" s="1080"/>
      <c r="BM72" s="1080"/>
    </row>
    <row r="73" spans="1:65" s="1334" customFormat="1" ht="21.75" hidden="1" customHeight="1" x14ac:dyDescent="0.15">
      <c r="A73" s="1217"/>
      <c r="B73" s="1111"/>
      <c r="C73" s="1217"/>
      <c r="D73" s="1217"/>
      <c r="E73" s="542">
        <v>22.5</v>
      </c>
      <c r="F73" s="3" t="str" cm="1">
        <f t="array" aca="1" ref="F73" ca="1">OFFSET(E73,-1,1)</f>
        <v>1</v>
      </c>
      <c r="G73" s="1217"/>
      <c r="H73" s="1217"/>
      <c r="I73" s="41" cm="1">
        <f t="array" ref="I73">AC73</f>
        <v>0</v>
      </c>
      <c r="J73" s="1217"/>
      <c r="K73" s="1217"/>
      <c r="L73" s="1217"/>
      <c r="M73" s="1217"/>
      <c r="N73" s="1217"/>
      <c r="O73" s="1217"/>
      <c r="P73" s="1217"/>
      <c r="Q73" s="1217"/>
      <c r="R73" s="1217"/>
      <c r="S73" s="1217"/>
      <c r="T73" s="1217"/>
      <c r="U73" s="388" t="b">
        <f ca="1">AND(F73&gt;0,--RIGHT(AB73,1)&gt;1)</f>
        <v>0</v>
      </c>
      <c r="V73" s="1217"/>
      <c r="W73" s="1217"/>
      <c r="X73" s="677" t="s">
        <v>172</v>
      </c>
      <c r="Y73" s="2009"/>
      <c r="Z73" s="2034"/>
      <c r="AA73" s="342" t="s">
        <v>173</v>
      </c>
      <c r="AB73" s="42" t="s">
        <v>531</v>
      </c>
      <c r="AC73" s="1378"/>
      <c r="AD73" s="11" t="s">
        <v>522</v>
      </c>
      <c r="AE73" s="1364"/>
      <c r="AF73" s="1366"/>
      <c r="AG73" s="1377"/>
      <c r="AH73" s="1365"/>
      <c r="AI73" s="1364"/>
      <c r="AJ73" s="1366"/>
      <c r="AK73" s="1366"/>
      <c r="AL73" s="199">
        <f>IF(AI73&lt;&gt;0,AK73/AI73,0)</f>
        <v>0</v>
      </c>
      <c r="AM73" s="198">
        <f>AK73-AJ73</f>
        <v>0</v>
      </c>
      <c r="AN73" s="1365"/>
      <c r="AO73" s="1364"/>
      <c r="AP73" s="1364"/>
      <c r="AQ73" s="1364"/>
      <c r="AR73" s="1364"/>
      <c r="AS73" s="1364"/>
      <c r="AT73" s="1364"/>
      <c r="AU73" s="1364"/>
      <c r="AV73" s="1364"/>
      <c r="AW73" s="1364"/>
      <c r="AX73" s="1364"/>
      <c r="AY73" s="1364"/>
      <c r="AZ73" s="1364"/>
      <c r="BA73" s="1364"/>
      <c r="BB73" s="1364"/>
      <c r="BC73" s="1364"/>
      <c r="BD73" s="1364"/>
      <c r="BE73" s="1364"/>
      <c r="BF73" s="1364"/>
      <c r="BG73" s="1217"/>
      <c r="BH73" s="1217"/>
      <c r="BI73" s="906" t="s">
        <v>533</v>
      </c>
      <c r="BJ73" s="906" t="s">
        <v>534</v>
      </c>
      <c r="BK73" s="906" cm="1">
        <f t="array" ref="BK73">AC73</f>
        <v>0</v>
      </c>
      <c r="BL73" s="1080"/>
      <c r="BM73" s="542" t="b">
        <v>1</v>
      </c>
    </row>
    <row r="74" spans="1:65" s="1334" customFormat="1" ht="14.25" customHeight="1" x14ac:dyDescent="0.15">
      <c r="A74" s="1217"/>
      <c r="B74" s="1111"/>
      <c r="C74" s="1217"/>
      <c r="D74" s="1217"/>
      <c r="E74" s="542">
        <v>15</v>
      </c>
      <c r="F74" s="3" t="str" cm="1">
        <f t="array" aca="1" ref="F74" ca="1">OFFSET(E74,-1,1)</f>
        <v>1</v>
      </c>
      <c r="G74" s="1217"/>
      <c r="H74" s="1217"/>
      <c r="I74" s="1217"/>
      <c r="J74" s="1217"/>
      <c r="K74" s="1217"/>
      <c r="L74" s="1217"/>
      <c r="M74" s="1217"/>
      <c r="N74" s="1217"/>
      <c r="O74" s="1217"/>
      <c r="P74" s="1217"/>
      <c r="Q74" s="1217"/>
      <c r="R74" s="1217"/>
      <c r="S74" s="1217"/>
      <c r="T74" s="1217"/>
      <c r="U74" s="388" t="b">
        <f ca="1">F74&gt;0</f>
        <v>1</v>
      </c>
      <c r="V74" s="1217"/>
      <c r="W74" s="1217"/>
      <c r="X74" s="677" t="s">
        <v>403</v>
      </c>
      <c r="Y74" s="2009"/>
      <c r="Z74" s="2034"/>
      <c r="AA74" s="1217"/>
      <c r="AB74" s="94"/>
      <c r="AC74" s="225" t="s">
        <v>176</v>
      </c>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1217"/>
      <c r="BH74" s="1217"/>
      <c r="BI74" s="1133"/>
      <c r="BJ74" s="1133"/>
      <c r="BK74" s="1133"/>
      <c r="BL74" s="542" t="s">
        <v>534</v>
      </c>
      <c r="BM74" s="1080"/>
    </row>
    <row r="75" spans="1:65" s="1334" customFormat="1" ht="21.75" customHeight="1" x14ac:dyDescent="0.15">
      <c r="A75" s="1217"/>
      <c r="B75" s="1111"/>
      <c r="C75" s="1217"/>
      <c r="D75" s="1217"/>
      <c r="E75" s="542">
        <v>22.5</v>
      </c>
      <c r="F75" s="3" t="str" cm="1">
        <f t="array" aca="1" ref="F75" ca="1">OFFSET(E75,-1,1)</f>
        <v>1</v>
      </c>
      <c r="G75" s="1217"/>
      <c r="H75" s="41" t="s">
        <v>535</v>
      </c>
      <c r="I75" s="1217"/>
      <c r="J75" s="1217"/>
      <c r="K75" s="1217"/>
      <c r="L75" s="1217"/>
      <c r="M75" s="1217"/>
      <c r="N75" s="1217"/>
      <c r="O75" s="1217"/>
      <c r="P75" s="1217"/>
      <c r="Q75" s="1217"/>
      <c r="R75" s="1217"/>
      <c r="S75" s="1217"/>
      <c r="T75" s="1217"/>
      <c r="U75" s="388" t="b" cm="1">
        <f t="array" aca="1" ref="U75" ca="1">U74</f>
        <v>1</v>
      </c>
      <c r="V75" s="1217"/>
      <c r="W75" s="1217"/>
      <c r="X75" s="1217"/>
      <c r="Y75" s="2009"/>
      <c r="Z75" s="2034"/>
      <c r="AA75" s="1217"/>
      <c r="AB75" s="42" t="s">
        <v>536</v>
      </c>
      <c r="AC75" s="111" t="s">
        <v>537</v>
      </c>
      <c r="AD75" s="11" t="s">
        <v>522</v>
      </c>
      <c r="AE75" s="194"/>
      <c r="AF75" s="196"/>
      <c r="AG75" s="197"/>
      <c r="AH75" s="119"/>
      <c r="AI75" s="194"/>
      <c r="AJ75" s="196"/>
      <c r="AK75" s="196"/>
      <c r="AL75" s="199">
        <f>IF(AI75&lt;&gt;0,AK75/AI75,0)</f>
        <v>0</v>
      </c>
      <c r="AM75" s="198">
        <f>AK75-AJ75</f>
        <v>0</v>
      </c>
      <c r="AN75" s="119"/>
      <c r="AO75" s="1364"/>
      <c r="AP75" s="1364"/>
      <c r="AQ75" s="1364"/>
      <c r="AR75" s="1364"/>
      <c r="AS75" s="1364"/>
      <c r="AT75" s="1364"/>
      <c r="AU75" s="194"/>
      <c r="AV75" s="194"/>
      <c r="AW75" s="194"/>
      <c r="AX75" s="1364"/>
      <c r="AY75" s="1364"/>
      <c r="AZ75" s="1364"/>
      <c r="BA75" s="1364"/>
      <c r="BB75" s="1364"/>
      <c r="BC75" s="1364"/>
      <c r="BD75" s="194"/>
      <c r="BE75" s="194"/>
      <c r="BF75" s="194"/>
      <c r="BG75" s="1217"/>
      <c r="BH75" s="1217"/>
      <c r="BI75" s="906" t="s">
        <v>538</v>
      </c>
      <c r="BJ75" s="1133"/>
      <c r="BK75" s="1133"/>
      <c r="BL75" s="1080"/>
      <c r="BM75" s="1080"/>
    </row>
    <row r="76" spans="1:65" s="1334" customFormat="1" ht="21.75" hidden="1" customHeight="1" x14ac:dyDescent="0.15">
      <c r="A76" s="1217"/>
      <c r="B76" s="1111"/>
      <c r="C76" s="1217"/>
      <c r="D76" s="1217"/>
      <c r="E76" s="542">
        <v>22.5</v>
      </c>
      <c r="F76" s="3" t="str" cm="1">
        <f t="array" aca="1" ref="F76" ca="1">OFFSET(E76,-1,1)</f>
        <v>1</v>
      </c>
      <c r="G76" s="1217"/>
      <c r="H76" s="1217"/>
      <c r="I76" s="41" cm="1">
        <f t="array" ref="I76">AC76</f>
        <v>0</v>
      </c>
      <c r="J76" s="1217"/>
      <c r="K76" s="1217"/>
      <c r="L76" s="1217"/>
      <c r="M76" s="1217"/>
      <c r="N76" s="1217"/>
      <c r="O76" s="1217"/>
      <c r="P76" s="1217"/>
      <c r="Q76" s="1217"/>
      <c r="R76" s="1217"/>
      <c r="S76" s="1217"/>
      <c r="T76" s="1217"/>
      <c r="U76" s="388" t="b">
        <f ca="1">AND(F76&gt;0,--RIGHT(AB76,1)&gt;1)</f>
        <v>0</v>
      </c>
      <c r="V76" s="1217"/>
      <c r="W76" s="1217"/>
      <c r="X76" s="677" t="s">
        <v>172</v>
      </c>
      <c r="Y76" s="2009"/>
      <c r="Z76" s="2034"/>
      <c r="AA76" s="342" t="s">
        <v>173</v>
      </c>
      <c r="AB76" s="42" t="s">
        <v>536</v>
      </c>
      <c r="AC76" s="1378"/>
      <c r="AD76" s="11" t="s">
        <v>522</v>
      </c>
      <c r="AE76" s="1364"/>
      <c r="AF76" s="1366"/>
      <c r="AG76" s="1377"/>
      <c r="AH76" s="1365"/>
      <c r="AI76" s="1364"/>
      <c r="AJ76" s="1366"/>
      <c r="AK76" s="1366"/>
      <c r="AL76" s="199">
        <f>IF(AI76&lt;&gt;0,AK76/AI76,0)</f>
        <v>0</v>
      </c>
      <c r="AM76" s="198">
        <f>AK76-AJ76</f>
        <v>0</v>
      </c>
      <c r="AN76" s="1365"/>
      <c r="AO76" s="1364"/>
      <c r="AP76" s="1364"/>
      <c r="AQ76" s="1364"/>
      <c r="AR76" s="1364"/>
      <c r="AS76" s="1364"/>
      <c r="AT76" s="1364"/>
      <c r="AU76" s="1364"/>
      <c r="AV76" s="1364"/>
      <c r="AW76" s="1364"/>
      <c r="AX76" s="1364"/>
      <c r="AY76" s="1364"/>
      <c r="AZ76" s="1364"/>
      <c r="BA76" s="1364"/>
      <c r="BB76" s="1364"/>
      <c r="BC76" s="1364"/>
      <c r="BD76" s="1364"/>
      <c r="BE76" s="1364"/>
      <c r="BF76" s="1364"/>
      <c r="BG76" s="1217"/>
      <c r="BH76" s="1217"/>
      <c r="BI76" s="906" t="s">
        <v>538</v>
      </c>
      <c r="BJ76" s="906" t="s">
        <v>539</v>
      </c>
      <c r="BK76" s="906" cm="1">
        <f t="array" ref="BK76">AC76</f>
        <v>0</v>
      </c>
      <c r="BL76" s="1080"/>
      <c r="BM76" s="542" t="b">
        <v>1</v>
      </c>
    </row>
    <row r="77" spans="1:65" s="1334" customFormat="1" ht="14.25" customHeight="1" x14ac:dyDescent="0.15">
      <c r="A77" s="1217"/>
      <c r="B77" s="1111"/>
      <c r="C77" s="1217"/>
      <c r="D77" s="1217"/>
      <c r="E77" s="542">
        <v>15</v>
      </c>
      <c r="F77" s="3" t="str" cm="1">
        <f t="array" aca="1" ref="F77" ca="1">OFFSET(E77,-1,1)</f>
        <v>1</v>
      </c>
      <c r="G77" s="1217"/>
      <c r="H77" s="1217"/>
      <c r="I77" s="1217"/>
      <c r="J77" s="1217"/>
      <c r="K77" s="1217"/>
      <c r="L77" s="1217"/>
      <c r="M77" s="1217"/>
      <c r="N77" s="1217"/>
      <c r="O77" s="1217"/>
      <c r="P77" s="1217"/>
      <c r="Q77" s="1217"/>
      <c r="R77" s="1217"/>
      <c r="S77" s="1217"/>
      <c r="T77" s="1217"/>
      <c r="U77" s="388" t="b">
        <f ca="1">F77&gt;0</f>
        <v>1</v>
      </c>
      <c r="V77" s="1217"/>
      <c r="W77" s="1217"/>
      <c r="X77" s="677" t="s">
        <v>403</v>
      </c>
      <c r="Y77" s="2009"/>
      <c r="Z77" s="2034"/>
      <c r="AA77" s="1217"/>
      <c r="AB77" s="94"/>
      <c r="AC77" s="225" t="s">
        <v>176</v>
      </c>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1217"/>
      <c r="BH77" s="1217"/>
      <c r="BI77" s="1133"/>
      <c r="BJ77" s="1133"/>
      <c r="BK77" s="1133"/>
      <c r="BL77" s="542" t="s">
        <v>539</v>
      </c>
      <c r="BM77" s="1080"/>
    </row>
    <row r="78" spans="1:65" s="1334" customFormat="1" ht="14.25" customHeight="1" x14ac:dyDescent="0.15">
      <c r="A78" s="1217"/>
      <c r="B78" s="1111"/>
      <c r="C78" s="1217"/>
      <c r="D78" s="1217"/>
      <c r="E78" s="542">
        <v>15</v>
      </c>
      <c r="F78" s="3" t="str" cm="1">
        <f t="array" aca="1" ref="F78" ca="1">OFFSET(E78,-1,1)</f>
        <v>1</v>
      </c>
      <c r="G78" s="1217"/>
      <c r="H78" s="41" t="s">
        <v>335</v>
      </c>
      <c r="I78" s="1217"/>
      <c r="J78" s="1217"/>
      <c r="K78" s="1217"/>
      <c r="L78" s="1217"/>
      <c r="M78" s="1217"/>
      <c r="N78" s="1217"/>
      <c r="O78" s="1217"/>
      <c r="P78" s="1217"/>
      <c r="Q78" s="1217"/>
      <c r="R78" s="1217"/>
      <c r="S78" s="1217"/>
      <c r="T78" s="1217"/>
      <c r="U78" s="388" t="b" cm="1">
        <f t="array" aca="1" ref="U78" ca="1">U77</f>
        <v>1</v>
      </c>
      <c r="V78" s="1217"/>
      <c r="W78" s="1217"/>
      <c r="X78" s="1217"/>
      <c r="Y78" s="2009"/>
      <c r="Z78" s="2034"/>
      <c r="AA78" s="1217"/>
      <c r="AB78" s="52">
        <v>3</v>
      </c>
      <c r="AC78" s="58" t="s">
        <v>540</v>
      </c>
      <c r="AD78" s="55" t="s">
        <v>490</v>
      </c>
      <c r="AE78" s="194"/>
      <c r="AF78" s="196"/>
      <c r="AG78" s="197"/>
      <c r="AH78" s="119"/>
      <c r="AI78" s="194"/>
      <c r="AJ78" s="196"/>
      <c r="AK78" s="196"/>
      <c r="AL78" s="199">
        <f>IF(AI78&lt;&gt;0,AK78/AI78,0)</f>
        <v>0</v>
      </c>
      <c r="AM78" s="198">
        <f>AK78-AJ78</f>
        <v>0</v>
      </c>
      <c r="AN78" s="119"/>
      <c r="AO78" s="1364"/>
      <c r="AP78" s="1364"/>
      <c r="AQ78" s="1364"/>
      <c r="AR78" s="1364"/>
      <c r="AS78" s="1364"/>
      <c r="AT78" s="1364"/>
      <c r="AU78" s="194"/>
      <c r="AV78" s="194"/>
      <c r="AW78" s="194"/>
      <c r="AX78" s="1364"/>
      <c r="AY78" s="1364"/>
      <c r="AZ78" s="1364"/>
      <c r="BA78" s="1364"/>
      <c r="BB78" s="1364"/>
      <c r="BC78" s="1364"/>
      <c r="BD78" s="194"/>
      <c r="BE78" s="194"/>
      <c r="BF78" s="194"/>
      <c r="BG78" s="1217"/>
      <c r="BH78" s="1217"/>
      <c r="BI78" s="906" t="s">
        <v>541</v>
      </c>
      <c r="BJ78" s="1133"/>
      <c r="BK78" s="1133"/>
      <c r="BL78" s="1080"/>
      <c r="BM78" s="1080"/>
    </row>
    <row r="79" spans="1:65" s="1334" customFormat="1" ht="14.25" customHeight="1" x14ac:dyDescent="0.15">
      <c r="A79" s="1217"/>
      <c r="B79" s="1111"/>
      <c r="C79" s="1217"/>
      <c r="D79" s="1217"/>
      <c r="E79" s="542">
        <v>15</v>
      </c>
      <c r="F79" s="3" t="str" cm="1">
        <f t="array" aca="1" ref="F79" ca="1">OFFSET(E79,-1,1)</f>
        <v>1</v>
      </c>
      <c r="G79" s="1217"/>
      <c r="H79" s="41" t="s">
        <v>334</v>
      </c>
      <c r="I79" s="1217"/>
      <c r="J79" s="1217"/>
      <c r="K79" s="1217"/>
      <c r="L79" s="1217"/>
      <c r="M79" s="1217"/>
      <c r="N79" s="1217"/>
      <c r="O79" s="1217"/>
      <c r="P79" s="1217"/>
      <c r="Q79" s="1217"/>
      <c r="R79" s="1217"/>
      <c r="S79" s="1217"/>
      <c r="T79" s="1217"/>
      <c r="U79" s="388" t="b" cm="1">
        <f t="array" aca="1" ref="U79" ca="1">U78</f>
        <v>1</v>
      </c>
      <c r="V79" s="1217"/>
      <c r="W79" s="1217"/>
      <c r="X79" s="1217"/>
      <c r="Y79" s="2009"/>
      <c r="Z79" s="2034"/>
      <c r="AA79" s="1217"/>
      <c r="AB79" s="52">
        <v>4</v>
      </c>
      <c r="AC79" s="58" t="s">
        <v>542</v>
      </c>
      <c r="AD79" s="55" t="s">
        <v>490</v>
      </c>
      <c r="AE79" s="194"/>
      <c r="AF79" s="196"/>
      <c r="AG79" s="197"/>
      <c r="AH79" s="119"/>
      <c r="AI79" s="194"/>
      <c r="AJ79" s="196"/>
      <c r="AK79" s="196"/>
      <c r="AL79" s="199">
        <f>IF(AI79&lt;&gt;0,AK79/AI79,0)</f>
        <v>0</v>
      </c>
      <c r="AM79" s="198">
        <f>AK79-AJ79</f>
        <v>0</v>
      </c>
      <c r="AN79" s="119"/>
      <c r="AO79" s="1364"/>
      <c r="AP79" s="1364"/>
      <c r="AQ79" s="1364"/>
      <c r="AR79" s="1364"/>
      <c r="AS79" s="1364"/>
      <c r="AT79" s="1364"/>
      <c r="AU79" s="194"/>
      <c r="AV79" s="194"/>
      <c r="AW79" s="194"/>
      <c r="AX79" s="1364"/>
      <c r="AY79" s="1364"/>
      <c r="AZ79" s="1364"/>
      <c r="BA79" s="1364"/>
      <c r="BB79" s="1364"/>
      <c r="BC79" s="1364"/>
      <c r="BD79" s="194"/>
      <c r="BE79" s="194"/>
      <c r="BF79" s="194"/>
      <c r="BG79" s="1217"/>
      <c r="BH79" s="1217"/>
      <c r="BI79" s="906" t="s">
        <v>543</v>
      </c>
      <c r="BJ79" s="1133"/>
      <c r="BK79" s="1133"/>
      <c r="BL79" s="1080"/>
      <c r="BM79" s="1080"/>
    </row>
    <row r="80" spans="1:65" s="1334" customFormat="1" ht="14.25" customHeight="1" x14ac:dyDescent="0.15">
      <c r="A80" s="1217"/>
      <c r="B80" s="1111"/>
      <c r="C80" s="1217"/>
      <c r="D80" s="1217"/>
      <c r="E80" s="542">
        <v>15</v>
      </c>
      <c r="F80" s="3" t="str" cm="1">
        <f t="array" aca="1" ref="F80" ca="1">OFFSET(E80,-1,1)</f>
        <v>1</v>
      </c>
      <c r="G80" s="1217"/>
      <c r="H80" s="41" t="s">
        <v>544</v>
      </c>
      <c r="I80" s="1217"/>
      <c r="J80" s="1217"/>
      <c r="K80" s="1217"/>
      <c r="L80" s="1217"/>
      <c r="M80" s="1217"/>
      <c r="N80" s="1217"/>
      <c r="O80" s="1217"/>
      <c r="P80" s="1217"/>
      <c r="Q80" s="1217"/>
      <c r="R80" s="1217"/>
      <c r="S80" s="1217"/>
      <c r="T80" s="1217"/>
      <c r="U80" s="388" t="b" cm="1">
        <f t="array" aca="1" ref="U80" ca="1">U79</f>
        <v>1</v>
      </c>
      <c r="V80" s="1217"/>
      <c r="W80" s="1217"/>
      <c r="X80" s="1217"/>
      <c r="Y80" s="2009"/>
      <c r="Z80" s="2034"/>
      <c r="AA80" s="1217"/>
      <c r="AB80" s="42" t="s">
        <v>444</v>
      </c>
      <c r="AC80" s="57" t="s">
        <v>545</v>
      </c>
      <c r="AD80" s="55"/>
      <c r="AE80" s="197"/>
      <c r="AF80" s="197"/>
      <c r="AG80" s="197"/>
      <c r="AH80" s="202"/>
      <c r="AI80" s="197"/>
      <c r="AJ80" s="197"/>
      <c r="AK80" s="197"/>
      <c r="AL80" s="199">
        <f>IF(AI80&lt;&gt;0,AK80/AI80,0)</f>
        <v>0</v>
      </c>
      <c r="AM80" s="198">
        <f>AK80-AJ80</f>
        <v>0</v>
      </c>
      <c r="AN80" s="202"/>
      <c r="AO80" s="1377"/>
      <c r="AP80" s="1377"/>
      <c r="AQ80" s="1377"/>
      <c r="AR80" s="1377"/>
      <c r="AS80" s="1377"/>
      <c r="AT80" s="1377"/>
      <c r="AU80" s="197"/>
      <c r="AV80" s="197"/>
      <c r="AW80" s="197"/>
      <c r="AX80" s="1377"/>
      <c r="AY80" s="1377"/>
      <c r="AZ80" s="1377"/>
      <c r="BA80" s="1377"/>
      <c r="BB80" s="1377"/>
      <c r="BC80" s="1377"/>
      <c r="BD80" s="197"/>
      <c r="BE80" s="197"/>
      <c r="BF80" s="197"/>
      <c r="BG80" s="1217"/>
      <c r="BH80" s="1217"/>
      <c r="BI80" s="906" t="s">
        <v>546</v>
      </c>
      <c r="BJ80" s="1133"/>
      <c r="BK80" s="1133"/>
      <c r="BL80" s="1080"/>
      <c r="BM80" s="1080"/>
    </row>
    <row r="81" spans="1:65" s="1334" customFormat="1" ht="14.25" customHeight="1" x14ac:dyDescent="0.15">
      <c r="A81" s="1217"/>
      <c r="B81" s="1111"/>
      <c r="C81" s="1217"/>
      <c r="D81" s="1217"/>
      <c r="E81" s="542">
        <v>15</v>
      </c>
      <c r="F81" s="3" t="str" cm="1">
        <f t="array" aca="1" ref="F81" ca="1">OFFSET(E81,-1,1)</f>
        <v>1</v>
      </c>
      <c r="G81" s="1217"/>
      <c r="H81" s="41" t="s">
        <v>547</v>
      </c>
      <c r="I81" s="1217"/>
      <c r="J81" s="1217"/>
      <c r="K81" s="1217"/>
      <c r="L81" s="1217"/>
      <c r="M81" s="1217"/>
      <c r="N81" s="1217"/>
      <c r="O81" s="1217"/>
      <c r="P81" s="1217"/>
      <c r="Q81" s="1217"/>
      <c r="R81" s="1217"/>
      <c r="S81" s="1217"/>
      <c r="T81" s="1217"/>
      <c r="U81" s="388" t="b" cm="1">
        <f t="array" aca="1" ref="U81" ca="1">U80</f>
        <v>1</v>
      </c>
      <c r="V81" s="1217"/>
      <c r="W81" s="1217"/>
      <c r="X81" s="1217"/>
      <c r="Y81" s="2009"/>
      <c r="Z81" s="2034"/>
      <c r="AA81" s="1217"/>
      <c r="AB81" s="42" t="s">
        <v>446</v>
      </c>
      <c r="AC81" s="56" t="s">
        <v>548</v>
      </c>
      <c r="AD81" s="55"/>
      <c r="AE81" s="197"/>
      <c r="AF81" s="197"/>
      <c r="AG81" s="197"/>
      <c r="AH81" s="202"/>
      <c r="AI81" s="197"/>
      <c r="AJ81" s="197"/>
      <c r="AK81" s="197"/>
      <c r="AL81" s="199">
        <f>IF(AI81&lt;&gt;0,AK81/AI81,0)</f>
        <v>0</v>
      </c>
      <c r="AM81" s="198">
        <f>AK81-AJ81</f>
        <v>0</v>
      </c>
      <c r="AN81" s="202"/>
      <c r="AO81" s="1377"/>
      <c r="AP81" s="1377"/>
      <c r="AQ81" s="1377"/>
      <c r="AR81" s="1377"/>
      <c r="AS81" s="1377"/>
      <c r="AT81" s="1377"/>
      <c r="AU81" s="197"/>
      <c r="AV81" s="197"/>
      <c r="AW81" s="197"/>
      <c r="AX81" s="1377"/>
      <c r="AY81" s="1377"/>
      <c r="AZ81" s="1377"/>
      <c r="BA81" s="1377"/>
      <c r="BB81" s="1377"/>
      <c r="BC81" s="1377"/>
      <c r="BD81" s="197"/>
      <c r="BE81" s="197"/>
      <c r="BF81" s="197"/>
      <c r="BG81" s="1217"/>
      <c r="BH81" s="1217"/>
      <c r="BI81" s="906" t="s">
        <v>549</v>
      </c>
      <c r="BJ81" s="1133"/>
      <c r="BK81" s="1133"/>
      <c r="BL81" s="1080"/>
      <c r="BM81" s="1080"/>
    </row>
    <row r="82" spans="1:65" s="1381" customFormat="1" ht="14.25" customHeight="1" x14ac:dyDescent="0.15">
      <c r="A82" s="1086"/>
      <c r="B82" s="351"/>
      <c r="C82" s="1086"/>
      <c r="D82" s="1086"/>
      <c r="E82" s="554">
        <v>15</v>
      </c>
      <c r="F82" s="669" t="str" cm="1">
        <f t="array" ref="F82">Y82</f>
        <v>2</v>
      </c>
      <c r="G82" s="1086"/>
      <c r="H82" s="1086"/>
      <c r="I82" s="1086"/>
      <c r="J82" s="1086"/>
      <c r="K82" s="1086"/>
      <c r="L82" s="1086"/>
      <c r="M82" s="1086"/>
      <c r="N82" s="1086"/>
      <c r="O82" s="1086"/>
      <c r="P82" s="1086"/>
      <c r="Q82" s="1086"/>
      <c r="R82" s="1086"/>
      <c r="S82" s="1086"/>
      <c r="T82" s="1086"/>
      <c r="U82" s="388" t="b">
        <f>Y82&gt;0</f>
        <v>1</v>
      </c>
      <c r="V82" s="1086"/>
      <c r="W82" s="63" t="str" cm="1">
        <f t="array" ref="W82">'Список объектов'!$AB$42</f>
        <v>Тариф 2 (Водоотведение) - тариф на водоотведение</v>
      </c>
      <c r="X82" s="1086"/>
      <c r="Y82" s="2009" t="s">
        <v>289</v>
      </c>
      <c r="Z82" s="2034"/>
      <c r="AA82" s="1086"/>
      <c r="AB82" s="102" t="str" cm="1">
        <f t="array" ref="AB82">'Список объектов'!$AB$42</f>
        <v>Тариф 2 (Водоотведение) - тариф на водоотведение</v>
      </c>
      <c r="AC82" s="99"/>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1086"/>
      <c r="BH82" s="1086"/>
      <c r="BI82" s="922"/>
      <c r="BJ82" s="922"/>
      <c r="BK82" s="922"/>
      <c r="BL82" s="554"/>
      <c r="BM82" s="554"/>
    </row>
    <row r="83" spans="1:65" s="1334" customFormat="1" ht="14.25" customHeight="1" x14ac:dyDescent="0.15">
      <c r="A83" s="1217"/>
      <c r="B83" s="1111"/>
      <c r="C83" s="1217"/>
      <c r="D83" s="1217"/>
      <c r="E83" s="542">
        <v>15</v>
      </c>
      <c r="F83" s="3" t="str" cm="1">
        <f t="array" aca="1" ref="F83" ca="1">OFFSET(E83,-1,1)</f>
        <v>2</v>
      </c>
      <c r="G83" s="41" t="s">
        <v>491</v>
      </c>
      <c r="H83" s="1217"/>
      <c r="I83" s="1217"/>
      <c r="J83" s="1217"/>
      <c r="K83" s="1217"/>
      <c r="L83" s="1217"/>
      <c r="M83" s="1217"/>
      <c r="N83" s="1217"/>
      <c r="O83" s="1217"/>
      <c r="P83" s="1217"/>
      <c r="Q83" s="1217"/>
      <c r="R83" s="1217"/>
      <c r="S83" s="1217"/>
      <c r="T83" s="1217"/>
      <c r="U83" s="388" t="b" cm="1">
        <f t="array" ref="U83">U82</f>
        <v>1</v>
      </c>
      <c r="V83" s="1217"/>
      <c r="W83" s="1217"/>
      <c r="X83" s="1217"/>
      <c r="Y83" s="2009"/>
      <c r="Z83" s="2034"/>
      <c r="AA83" s="1217"/>
      <c r="AB83" s="188"/>
      <c r="AC83" s="189" t="s">
        <v>492</v>
      </c>
      <c r="AD83" s="190"/>
      <c r="AE83" s="190"/>
      <c r="AF83" s="190"/>
      <c r="AG83" s="190"/>
      <c r="AH83" s="190"/>
      <c r="AI83" s="222">
        <f>(1-AI84/100)*(1+AI85/100)*(1+AI87/100)</f>
        <v>1.0315799999999999</v>
      </c>
      <c r="AJ83" s="222">
        <f>(1-AJ84/100)*(1+AJ85/100)*(1+AJ87/100)</f>
        <v>1.0395000000000001</v>
      </c>
      <c r="AK83" s="222">
        <f>(1-AK84/100)*(1+AK85/100)*(1+AK87/100)</f>
        <v>1.0404899999999999</v>
      </c>
      <c r="AL83" s="190"/>
      <c r="AM83" s="190"/>
      <c r="AN83" s="190"/>
      <c r="AO83" s="222">
        <f t="shared" ref="AO83:BF83" si="4">(1-AO84/100)*(1+AO85/100)*(1+AO87/100)</f>
        <v>1</v>
      </c>
      <c r="AP83" s="222">
        <f t="shared" si="4"/>
        <v>1</v>
      </c>
      <c r="AQ83" s="222">
        <f t="shared" si="4"/>
        <v>1</v>
      </c>
      <c r="AR83" s="222">
        <f t="shared" si="4"/>
        <v>1</v>
      </c>
      <c r="AS83" s="222">
        <f t="shared" si="4"/>
        <v>1</v>
      </c>
      <c r="AT83" s="222">
        <f t="shared" si="4"/>
        <v>1</v>
      </c>
      <c r="AU83" s="222">
        <f t="shared" si="4"/>
        <v>1</v>
      </c>
      <c r="AV83" s="222">
        <f t="shared" si="4"/>
        <v>1</v>
      </c>
      <c r="AW83" s="222">
        <f t="shared" si="4"/>
        <v>1</v>
      </c>
      <c r="AX83" s="222">
        <f t="shared" si="4"/>
        <v>1</v>
      </c>
      <c r="AY83" s="222">
        <f t="shared" si="4"/>
        <v>1</v>
      </c>
      <c r="AZ83" s="222">
        <f t="shared" si="4"/>
        <v>1</v>
      </c>
      <c r="BA83" s="222">
        <f t="shared" si="4"/>
        <v>1</v>
      </c>
      <c r="BB83" s="222">
        <f t="shared" si="4"/>
        <v>1</v>
      </c>
      <c r="BC83" s="222">
        <f t="shared" si="4"/>
        <v>1</v>
      </c>
      <c r="BD83" s="222">
        <f t="shared" si="4"/>
        <v>1</v>
      </c>
      <c r="BE83" s="222">
        <f t="shared" si="4"/>
        <v>1</v>
      </c>
      <c r="BF83" s="222">
        <f t="shared" si="4"/>
        <v>1</v>
      </c>
      <c r="BG83" s="1217"/>
      <c r="BH83" s="1217"/>
      <c r="BI83" s="1133"/>
      <c r="BJ83" s="1133"/>
      <c r="BK83" s="1133"/>
      <c r="BL83" s="1080"/>
      <c r="BM83" s="1080"/>
    </row>
    <row r="84" spans="1:65" s="1334" customFormat="1" ht="21.95" customHeight="1" x14ac:dyDescent="0.15">
      <c r="A84" s="1217"/>
      <c r="B84" s="368" t="b">
        <f>method_reg&lt;&gt;"Метод экономически обоснованных расходов"</f>
        <v>1</v>
      </c>
      <c r="C84" s="1217"/>
      <c r="D84" s="1217"/>
      <c r="E84" s="542">
        <v>22.5</v>
      </c>
      <c r="F84" s="3" t="str" cm="1">
        <f t="array" aca="1" ref="F84" ca="1">OFFSET(E84,-1,1)</f>
        <v>2</v>
      </c>
      <c r="G84" s="41" t="s">
        <v>493</v>
      </c>
      <c r="H84" s="41" t="s">
        <v>494</v>
      </c>
      <c r="I84" s="1217"/>
      <c r="J84" s="1217"/>
      <c r="K84" s="1217"/>
      <c r="L84" s="1217"/>
      <c r="M84" s="1217"/>
      <c r="N84" s="1217"/>
      <c r="O84" s="1217"/>
      <c r="P84" s="1217"/>
      <c r="Q84" s="1217"/>
      <c r="R84" s="1217"/>
      <c r="S84" s="1217"/>
      <c r="T84" s="1217"/>
      <c r="U84" s="388" t="b" cm="1">
        <f t="array" ref="U84">U83</f>
        <v>1</v>
      </c>
      <c r="V84" s="1217"/>
      <c r="W84" s="1217"/>
      <c r="X84" s="1217"/>
      <c r="Y84" s="2009"/>
      <c r="Z84" s="2034"/>
      <c r="AA84" s="1217"/>
      <c r="AB84" s="52">
        <v>1</v>
      </c>
      <c r="AC84" s="53" t="s">
        <v>495</v>
      </c>
      <c r="AD84" s="55" t="s">
        <v>490</v>
      </c>
      <c r="AE84" s="194"/>
      <c r="AF84" s="194"/>
      <c r="AG84" s="194"/>
      <c r="AH84" s="119"/>
      <c r="AI84" s="194">
        <v>1</v>
      </c>
      <c r="AJ84" s="194">
        <v>1</v>
      </c>
      <c r="AK84" s="194">
        <v>1</v>
      </c>
      <c r="AL84" s="199">
        <f>IF(AI84&lt;&gt;0,AK84/AI84,0)</f>
        <v>1</v>
      </c>
      <c r="AM84" s="198">
        <f>AK84-AJ84</f>
        <v>0</v>
      </c>
      <c r="AN84" s="119"/>
      <c r="AO84" s="1364"/>
      <c r="AP84" s="1364"/>
      <c r="AQ84" s="1364"/>
      <c r="AR84" s="1364"/>
      <c r="AS84" s="1364"/>
      <c r="AT84" s="1364"/>
      <c r="AU84" s="194"/>
      <c r="AV84" s="194"/>
      <c r="AW84" s="194"/>
      <c r="AX84" s="1364"/>
      <c r="AY84" s="1364"/>
      <c r="AZ84" s="1364"/>
      <c r="BA84" s="1364"/>
      <c r="BB84" s="1364"/>
      <c r="BC84" s="1364"/>
      <c r="BD84" s="194"/>
      <c r="BE84" s="194"/>
      <c r="BF84" s="194"/>
      <c r="BG84" s="1217"/>
      <c r="BH84" s="1217"/>
      <c r="BI84" s="906" t="s">
        <v>496</v>
      </c>
      <c r="BJ84" s="1133"/>
      <c r="BK84" s="1133"/>
      <c r="BL84" s="1080"/>
      <c r="BM84" s="1080"/>
    </row>
    <row r="85" spans="1:65" s="1334" customFormat="1" ht="14.65" customHeight="1" x14ac:dyDescent="0.15">
      <c r="A85" s="1217"/>
      <c r="B85" s="1111"/>
      <c r="C85" s="1217"/>
      <c r="D85" s="1217"/>
      <c r="E85" s="542">
        <v>15</v>
      </c>
      <c r="F85" s="3" t="str" cm="1">
        <f t="array" aca="1" ref="F85" ca="1">OFFSET(E85,-1,1)</f>
        <v>2</v>
      </c>
      <c r="G85" s="41" t="s">
        <v>497</v>
      </c>
      <c r="H85" s="41" t="s">
        <v>498</v>
      </c>
      <c r="I85" s="1217"/>
      <c r="J85" s="1217"/>
      <c r="K85" s="1217"/>
      <c r="L85" s="1217"/>
      <c r="M85" s="1217"/>
      <c r="N85" s="1217"/>
      <c r="O85" s="1217"/>
      <c r="P85" s="1217"/>
      <c r="Q85" s="1217"/>
      <c r="R85" s="1217"/>
      <c r="S85" s="1217"/>
      <c r="T85" s="1217"/>
      <c r="U85" s="388" t="b" cm="1">
        <f t="array" ref="U85">U84</f>
        <v>1</v>
      </c>
      <c r="V85" s="1217"/>
      <c r="W85" s="1217"/>
      <c r="X85" s="1217"/>
      <c r="Y85" s="2009"/>
      <c r="Z85" s="2034"/>
      <c r="AA85" s="1217"/>
      <c r="AB85" s="52">
        <f>IF(B84,2,1)</f>
        <v>2</v>
      </c>
      <c r="AC85" s="54" t="s">
        <v>499</v>
      </c>
      <c r="AD85" s="55" t="s">
        <v>490</v>
      </c>
      <c r="AE85" s="194">
        <v>7.2</v>
      </c>
      <c r="AF85" s="194">
        <v>7.2</v>
      </c>
      <c r="AG85" s="194"/>
      <c r="AH85" s="119"/>
      <c r="AI85" s="194">
        <v>4.2</v>
      </c>
      <c r="AJ85" s="194">
        <v>5</v>
      </c>
      <c r="AK85" s="194">
        <v>5.0999999999999996</v>
      </c>
      <c r="AL85" s="199">
        <f>IF(AI85&lt;&gt;0,AK85/AI85,0)</f>
        <v>1.2142857142857142</v>
      </c>
      <c r="AM85" s="198">
        <f>AK85-AJ85</f>
        <v>9.9999999999999645E-2</v>
      </c>
      <c r="AN85" s="119"/>
      <c r="AO85" s="1364"/>
      <c r="AP85" s="1364"/>
      <c r="AQ85" s="1364"/>
      <c r="AR85" s="1364"/>
      <c r="AS85" s="1364"/>
      <c r="AT85" s="1364"/>
      <c r="AU85" s="194"/>
      <c r="AV85" s="194"/>
      <c r="AW85" s="194"/>
      <c r="AX85" s="1364"/>
      <c r="AY85" s="1364"/>
      <c r="AZ85" s="1364"/>
      <c r="BA85" s="1364"/>
      <c r="BB85" s="1364"/>
      <c r="BC85" s="1364"/>
      <c r="BD85" s="194"/>
      <c r="BE85" s="194"/>
      <c r="BF85" s="194"/>
      <c r="BG85" s="1217"/>
      <c r="BH85" s="1217"/>
      <c r="BI85" s="906" t="s">
        <v>500</v>
      </c>
      <c r="BJ85" s="1133"/>
      <c r="BK85" s="1133"/>
      <c r="BL85" s="1080"/>
      <c r="BM85" s="1080"/>
    </row>
    <row r="86" spans="1:65" s="1334" customFormat="1" ht="14.65" customHeight="1" x14ac:dyDescent="0.15">
      <c r="A86" s="1217"/>
      <c r="B86" s="1111"/>
      <c r="C86" s="1217"/>
      <c r="D86" s="1217"/>
      <c r="E86" s="542">
        <v>15</v>
      </c>
      <c r="F86" s="3" t="str" cm="1">
        <f t="array" aca="1" ref="F86" ca="1">OFFSET(E86,-1,1)</f>
        <v>2</v>
      </c>
      <c r="G86" s="1217"/>
      <c r="H86" s="41" t="s">
        <v>501</v>
      </c>
      <c r="I86" s="1217"/>
      <c r="J86" s="1217"/>
      <c r="K86" s="1217"/>
      <c r="L86" s="1217"/>
      <c r="M86" s="1217"/>
      <c r="N86" s="1217"/>
      <c r="O86" s="1217"/>
      <c r="P86" s="1217"/>
      <c r="Q86" s="1217"/>
      <c r="R86" s="1217"/>
      <c r="S86" s="1217"/>
      <c r="T86" s="1217"/>
      <c r="U86" s="388" t="b" cm="1">
        <f t="array" ref="U86">U85</f>
        <v>1</v>
      </c>
      <c r="V86" s="1217"/>
      <c r="W86" s="1217"/>
      <c r="X86" s="1217"/>
      <c r="Y86" s="2009"/>
      <c r="Z86" s="2034"/>
      <c r="AA86" s="1217"/>
      <c r="AB86" s="52">
        <f>AB85+1</f>
        <v>3</v>
      </c>
      <c r="AC86" s="56" t="s">
        <v>502</v>
      </c>
      <c r="AD86" s="55" t="s">
        <v>490</v>
      </c>
      <c r="AE86" s="194">
        <v>5.6</v>
      </c>
      <c r="AF86" s="194">
        <v>5.6</v>
      </c>
      <c r="AG86" s="194"/>
      <c r="AH86" s="119"/>
      <c r="AI86" s="194">
        <v>4.9000000000000004</v>
      </c>
      <c r="AJ86" s="194">
        <v>4</v>
      </c>
      <c r="AK86" s="194"/>
      <c r="AL86" s="199">
        <f>IF(AI86&lt;&gt;0,AK86/AI86,0)</f>
        <v>0</v>
      </c>
      <c r="AM86" s="198">
        <f>AK86-AJ86</f>
        <v>-4</v>
      </c>
      <c r="AN86" s="119"/>
      <c r="AO86" s="1364"/>
      <c r="AP86" s="1364"/>
      <c r="AQ86" s="1364"/>
      <c r="AR86" s="1364"/>
      <c r="AS86" s="1364"/>
      <c r="AT86" s="1364"/>
      <c r="AU86" s="194"/>
      <c r="AV86" s="194"/>
      <c r="AW86" s="194"/>
      <c r="AX86" s="1364"/>
      <c r="AY86" s="1364"/>
      <c r="AZ86" s="1364"/>
      <c r="BA86" s="1364"/>
      <c r="BB86" s="1364"/>
      <c r="BC86" s="1364"/>
      <c r="BD86" s="194"/>
      <c r="BE86" s="194"/>
      <c r="BF86" s="194"/>
      <c r="BG86" s="1217"/>
      <c r="BH86" s="1217"/>
      <c r="BI86" s="906" t="s">
        <v>503</v>
      </c>
      <c r="BJ86" s="1133"/>
      <c r="BK86" s="1133"/>
      <c r="BL86" s="1080"/>
      <c r="BM86" s="1080"/>
    </row>
    <row r="87" spans="1:65" s="1334" customFormat="1" ht="14.25" customHeight="1" x14ac:dyDescent="0.15">
      <c r="A87" s="1217"/>
      <c r="B87" s="368" t="b">
        <f>method_reg&lt;&gt;"Метод экономически обоснованных расходов"</f>
        <v>1</v>
      </c>
      <c r="C87" s="1217"/>
      <c r="D87" s="1217"/>
      <c r="E87" s="542">
        <v>15</v>
      </c>
      <c r="F87" s="3" t="str" cm="1">
        <f t="array" aca="1" ref="F87" ca="1">OFFSET(E87,-1,1)</f>
        <v>2</v>
      </c>
      <c r="G87" s="41" t="s">
        <v>504</v>
      </c>
      <c r="H87" s="41" t="s">
        <v>505</v>
      </c>
      <c r="I87" s="1217"/>
      <c r="J87" s="1217"/>
      <c r="K87" s="1217"/>
      <c r="L87" s="1217"/>
      <c r="M87" s="1217"/>
      <c r="N87" s="1217"/>
      <c r="O87" s="1217"/>
      <c r="P87" s="1217"/>
      <c r="Q87" s="1217"/>
      <c r="R87" s="1217"/>
      <c r="S87" s="1217"/>
      <c r="T87" s="1217"/>
      <c r="U87" s="388" t="b" cm="1">
        <f t="array" ref="U87">U86</f>
        <v>1</v>
      </c>
      <c r="V87" s="1217"/>
      <c r="W87" s="1217"/>
      <c r="X87" s="1217"/>
      <c r="Y87" s="2009"/>
      <c r="Z87" s="2034"/>
      <c r="AA87" s="1217"/>
      <c r="AB87" s="52">
        <v>4</v>
      </c>
      <c r="AC87" s="54" t="s">
        <v>506</v>
      </c>
      <c r="AD87" s="55" t="s">
        <v>490</v>
      </c>
      <c r="AE87" s="194"/>
      <c r="AF87" s="194"/>
      <c r="AG87" s="194"/>
      <c r="AH87" s="119"/>
      <c r="AI87" s="194"/>
      <c r="AJ87" s="194"/>
      <c r="AK87" s="194"/>
      <c r="AL87" s="199">
        <f>IF(AI87&lt;&gt;0,AK87/AI87,0)</f>
        <v>0</v>
      </c>
      <c r="AM87" s="198">
        <f>AK87-AJ87</f>
        <v>0</v>
      </c>
      <c r="AN87" s="119"/>
      <c r="AO87" s="1364"/>
      <c r="AP87" s="1364"/>
      <c r="AQ87" s="1364"/>
      <c r="AR87" s="1364"/>
      <c r="AS87" s="1364"/>
      <c r="AT87" s="1364"/>
      <c r="AU87" s="194"/>
      <c r="AV87" s="194"/>
      <c r="AW87" s="194"/>
      <c r="AX87" s="1364"/>
      <c r="AY87" s="1364"/>
      <c r="AZ87" s="1364"/>
      <c r="BA87" s="1364"/>
      <c r="BB87" s="1364"/>
      <c r="BC87" s="1364"/>
      <c r="BD87" s="194"/>
      <c r="BE87" s="194"/>
      <c r="BF87" s="194"/>
      <c r="BG87" s="1217"/>
      <c r="BH87" s="1217"/>
      <c r="BI87" s="906" t="s">
        <v>507</v>
      </c>
      <c r="BJ87" s="1133"/>
      <c r="BK87" s="1133"/>
      <c r="BL87" s="1080"/>
      <c r="BM87" s="1080"/>
    </row>
    <row r="88" spans="1:65" s="1321" customFormat="1" ht="14.25" customHeight="1" x14ac:dyDescent="0.15">
      <c r="A88" s="68"/>
      <c r="B88" s="369"/>
      <c r="C88" s="68"/>
      <c r="D88" s="68"/>
      <c r="E88" s="600">
        <v>15</v>
      </c>
      <c r="F88" s="290" t="str" cm="1">
        <f t="array" aca="1" ref="F88" ca="1">OFFSET(E88,-1,1)</f>
        <v>2</v>
      </c>
      <c r="G88" s="68"/>
      <c r="H88" s="68"/>
      <c r="I88" s="68"/>
      <c r="J88" s="68"/>
      <c r="K88" s="68"/>
      <c r="L88" s="68"/>
      <c r="M88" s="68"/>
      <c r="N88" s="68"/>
      <c r="O88" s="68"/>
      <c r="P88" s="68"/>
      <c r="Q88" s="68"/>
      <c r="R88" s="68"/>
      <c r="S88" s="68"/>
      <c r="T88" s="68"/>
      <c r="U88" s="388" t="b" cm="1">
        <f t="array" ref="U88">U87</f>
        <v>1</v>
      </c>
      <c r="V88" s="68"/>
      <c r="W88" s="68"/>
      <c r="X88" s="68"/>
      <c r="Y88" s="2009"/>
      <c r="Z88" s="2034"/>
      <c r="AA88" s="68"/>
      <c r="AB88" s="52">
        <v>5</v>
      </c>
      <c r="AC88" s="54" t="s">
        <v>508</v>
      </c>
      <c r="AD88" s="55" t="s">
        <v>490</v>
      </c>
      <c r="AE88" s="194"/>
      <c r="AF88" s="194"/>
      <c r="AG88" s="194"/>
      <c r="AH88" s="119"/>
      <c r="AI88" s="194"/>
      <c r="AJ88" s="194"/>
      <c r="AK88" s="194"/>
      <c r="AL88" s="199">
        <f>IF(AI88&lt;&gt;0,AK88/AI88,0)</f>
        <v>0</v>
      </c>
      <c r="AM88" s="198">
        <f>AK88-AJ88</f>
        <v>0</v>
      </c>
      <c r="AN88" s="119"/>
      <c r="AO88" s="1364"/>
      <c r="AP88" s="1364"/>
      <c r="AQ88" s="1364"/>
      <c r="AR88" s="1364"/>
      <c r="AS88" s="1364"/>
      <c r="AT88" s="1364"/>
      <c r="AU88" s="194"/>
      <c r="AV88" s="194"/>
      <c r="AW88" s="194"/>
      <c r="AX88" s="1364"/>
      <c r="AY88" s="1364"/>
      <c r="AZ88" s="1364"/>
      <c r="BA88" s="1364"/>
      <c r="BB88" s="1364"/>
      <c r="BC88" s="1364"/>
      <c r="BD88" s="194"/>
      <c r="BE88" s="194"/>
      <c r="BF88" s="194"/>
      <c r="BG88" s="68"/>
      <c r="BH88" s="68"/>
      <c r="BI88" s="947" t="s">
        <v>509</v>
      </c>
      <c r="BJ88" s="947"/>
      <c r="BK88" s="947"/>
      <c r="BL88" s="600"/>
      <c r="BM88" s="600"/>
    </row>
    <row r="89" spans="1:65" s="1334" customFormat="1" ht="14.25" customHeight="1" x14ac:dyDescent="0.15">
      <c r="A89" s="1217"/>
      <c r="B89" s="1111"/>
      <c r="C89" s="1217"/>
      <c r="D89" s="1217"/>
      <c r="E89" s="542">
        <v>15</v>
      </c>
      <c r="F89" s="3" t="str" cm="1">
        <f t="array" aca="1" ref="F89" ca="1">OFFSET(E89,-1,1)</f>
        <v>2</v>
      </c>
      <c r="G89" s="1217"/>
      <c r="H89" s="1217"/>
      <c r="I89" s="1217"/>
      <c r="J89" s="1217"/>
      <c r="K89" s="1217"/>
      <c r="L89" s="1217"/>
      <c r="M89" s="1217"/>
      <c r="N89" s="1217"/>
      <c r="O89" s="1217"/>
      <c r="P89" s="1217"/>
      <c r="Q89" s="1217"/>
      <c r="R89" s="1217"/>
      <c r="S89" s="1217"/>
      <c r="T89" s="1217"/>
      <c r="U89" s="388" t="b" cm="1">
        <f t="array" ref="U89">U87</f>
        <v>1</v>
      </c>
      <c r="V89" s="1217"/>
      <c r="W89" s="1217"/>
      <c r="X89" s="1217"/>
      <c r="Y89" s="2009"/>
      <c r="Z89" s="2034"/>
      <c r="AA89" s="1217"/>
      <c r="AB89" s="188"/>
      <c r="AC89" s="189" t="s">
        <v>510</v>
      </c>
      <c r="AD89" s="190"/>
      <c r="AE89" s="195"/>
      <c r="AF89" s="195"/>
      <c r="AG89" s="195"/>
      <c r="AH89" s="190"/>
      <c r="AI89" s="195"/>
      <c r="AJ89" s="195"/>
      <c r="AK89" s="195"/>
      <c r="AL89" s="200"/>
      <c r="AM89" s="195"/>
      <c r="AN89" s="190"/>
      <c r="AO89" s="195"/>
      <c r="AP89" s="195"/>
      <c r="AQ89" s="195"/>
      <c r="AR89" s="195"/>
      <c r="AS89" s="195"/>
      <c r="AT89" s="195"/>
      <c r="AU89" s="195"/>
      <c r="AV89" s="195"/>
      <c r="AW89" s="195"/>
      <c r="AX89" s="195"/>
      <c r="AY89" s="195"/>
      <c r="AZ89" s="195"/>
      <c r="BA89" s="195"/>
      <c r="BB89" s="195"/>
      <c r="BC89" s="195"/>
      <c r="BD89" s="195"/>
      <c r="BE89" s="195"/>
      <c r="BF89" s="201"/>
      <c r="BG89" s="1217"/>
      <c r="BH89" s="1217"/>
      <c r="BI89" s="1133"/>
      <c r="BJ89" s="1133"/>
      <c r="BK89" s="1133"/>
      <c r="BL89" s="1080"/>
      <c r="BM89" s="1080"/>
    </row>
    <row r="90" spans="1:65" s="1334" customFormat="1" ht="14.65" customHeight="1" x14ac:dyDescent="0.15">
      <c r="A90" s="1217"/>
      <c r="B90" s="1111"/>
      <c r="C90" s="1217"/>
      <c r="D90" s="1217"/>
      <c r="E90" s="542">
        <v>15</v>
      </c>
      <c r="F90" s="3" t="str" cm="1">
        <f t="array" aca="1" ref="F90" ca="1">OFFSET(E90,-1,1)</f>
        <v>2</v>
      </c>
      <c r="G90" s="41" t="s">
        <v>511</v>
      </c>
      <c r="H90" s="41" t="s">
        <v>512</v>
      </c>
      <c r="I90" s="1217"/>
      <c r="J90" s="1217"/>
      <c r="K90" s="1217"/>
      <c r="L90" s="1217"/>
      <c r="M90" s="1217"/>
      <c r="N90" s="1217"/>
      <c r="O90" s="1217"/>
      <c r="P90" s="1217"/>
      <c r="Q90" s="1217"/>
      <c r="R90" s="1217"/>
      <c r="S90" s="1217"/>
      <c r="T90" s="1217"/>
      <c r="U90" s="388" t="b" cm="1">
        <f t="array" ref="U90">U89</f>
        <v>1</v>
      </c>
      <c r="V90" s="1217"/>
      <c r="W90" s="1217"/>
      <c r="X90" s="1217"/>
      <c r="Y90" s="2009"/>
      <c r="Z90" s="2034"/>
      <c r="AA90" s="1217"/>
      <c r="AB90" s="52">
        <v>1</v>
      </c>
      <c r="AC90" s="54" t="s">
        <v>513</v>
      </c>
      <c r="AD90" s="55" t="s">
        <v>490</v>
      </c>
      <c r="AE90" s="196">
        <v>30.2</v>
      </c>
      <c r="AF90" s="196">
        <v>30.2</v>
      </c>
      <c r="AG90" s="196">
        <v>30.2</v>
      </c>
      <c r="AH90" s="119"/>
      <c r="AI90" s="196">
        <v>30.2</v>
      </c>
      <c r="AJ90" s="196">
        <v>30.2</v>
      </c>
      <c r="AK90" s="196">
        <v>30.2</v>
      </c>
      <c r="AL90" s="199">
        <f>IF(AI90&lt;&gt;0,AK90/AI90,0)</f>
        <v>1</v>
      </c>
      <c r="AM90" s="198">
        <f>AK90-AJ90</f>
        <v>0</v>
      </c>
      <c r="AN90" s="119"/>
      <c r="AO90" s="1366"/>
      <c r="AP90" s="1366"/>
      <c r="AQ90" s="1366"/>
      <c r="AR90" s="1366"/>
      <c r="AS90" s="1366"/>
      <c r="AT90" s="1366"/>
      <c r="AU90" s="196"/>
      <c r="AV90" s="196"/>
      <c r="AW90" s="196"/>
      <c r="AX90" s="1366"/>
      <c r="AY90" s="1366"/>
      <c r="AZ90" s="1366"/>
      <c r="BA90" s="1366"/>
      <c r="BB90" s="1366"/>
      <c r="BC90" s="1366"/>
      <c r="BD90" s="196"/>
      <c r="BE90" s="196"/>
      <c r="BF90" s="196"/>
      <c r="BG90" s="1217"/>
      <c r="BH90" s="1217"/>
      <c r="BI90" s="906" t="s">
        <v>514</v>
      </c>
      <c r="BJ90" s="1133"/>
      <c r="BK90" s="1133"/>
      <c r="BL90" s="1080"/>
      <c r="BM90" s="1080"/>
    </row>
    <row r="91" spans="1:65" s="1334" customFormat="1" ht="15" hidden="1" customHeight="1" x14ac:dyDescent="0.15">
      <c r="A91" s="1217"/>
      <c r="B91" s="1111"/>
      <c r="C91" s="1217"/>
      <c r="D91" s="1217"/>
      <c r="E91" s="542">
        <v>0</v>
      </c>
      <c r="F91" s="3" t="str" cm="1">
        <f t="array" aca="1" ref="F91" ca="1">OFFSET(E91,-1,1)</f>
        <v>2</v>
      </c>
      <c r="G91" s="1217"/>
      <c r="H91" s="41" t="s">
        <v>515</v>
      </c>
      <c r="I91" s="1217"/>
      <c r="J91" s="1217"/>
      <c r="K91" s="1217"/>
      <c r="L91" s="1217"/>
      <c r="M91" s="1217"/>
      <c r="N91" s="1217"/>
      <c r="O91" s="1217"/>
      <c r="P91" s="1217"/>
      <c r="Q91" s="1217"/>
      <c r="R91" s="1217"/>
      <c r="S91" s="1217"/>
      <c r="T91" s="1217"/>
      <c r="U91" s="388" t="b" cm="1">
        <f t="array" ref="U91">U90</f>
        <v>1</v>
      </c>
      <c r="V91" s="1217"/>
      <c r="W91" s="1217"/>
      <c r="X91" s="1217"/>
      <c r="Y91" s="2009"/>
      <c r="Z91" s="2034"/>
      <c r="AA91" s="1217"/>
      <c r="AB91" s="52">
        <v>2</v>
      </c>
      <c r="AC91" s="54" t="s">
        <v>489</v>
      </c>
      <c r="AD91" s="55" t="s">
        <v>490</v>
      </c>
      <c r="AE91" s="1366"/>
      <c r="AF91" s="1364"/>
      <c r="AG91" s="1366"/>
      <c r="AH91" s="1365"/>
      <c r="AI91" s="1366"/>
      <c r="AJ91" s="1366"/>
      <c r="AK91" s="1366"/>
      <c r="AL91" s="199">
        <f>IF(AI91&lt;&gt;0,AK91/AI91,0)</f>
        <v>0</v>
      </c>
      <c r="AM91" s="198">
        <f>AK91-AJ91</f>
        <v>0</v>
      </c>
      <c r="AN91" s="1365"/>
      <c r="AO91" s="1366"/>
      <c r="AP91" s="1366"/>
      <c r="AQ91" s="1366"/>
      <c r="AR91" s="1366"/>
      <c r="AS91" s="1366"/>
      <c r="AT91" s="1366"/>
      <c r="AU91" s="1366"/>
      <c r="AV91" s="1366"/>
      <c r="AW91" s="1366"/>
      <c r="AX91" s="1366"/>
      <c r="AY91" s="1366"/>
      <c r="AZ91" s="1366"/>
      <c r="BA91" s="1366"/>
      <c r="BB91" s="1366"/>
      <c r="BC91" s="1366"/>
      <c r="BD91" s="1366"/>
      <c r="BE91" s="1366"/>
      <c r="BF91" s="1366"/>
      <c r="BG91" s="1217"/>
      <c r="BH91" s="1217"/>
      <c r="BI91" s="906" t="s">
        <v>516</v>
      </c>
      <c r="BJ91" s="1133"/>
      <c r="BK91" s="1133"/>
      <c r="BL91" s="1080"/>
      <c r="BM91" s="1080"/>
    </row>
    <row r="92" spans="1:65" s="1334" customFormat="1" ht="14.25" customHeight="1" x14ac:dyDescent="0.15">
      <c r="A92" s="1217"/>
      <c r="B92" s="1111"/>
      <c r="C92" s="1217"/>
      <c r="D92" s="1217"/>
      <c r="E92" s="542">
        <v>15</v>
      </c>
      <c r="F92" s="3" t="str" cm="1">
        <f t="array" aca="1" ref="F92" ca="1">OFFSET(E92,-1,1)</f>
        <v>2</v>
      </c>
      <c r="G92" s="1217"/>
      <c r="H92" s="1217"/>
      <c r="I92" s="1217"/>
      <c r="J92" s="1217"/>
      <c r="K92" s="1217"/>
      <c r="L92" s="1217"/>
      <c r="M92" s="1217"/>
      <c r="N92" s="1217"/>
      <c r="O92" s="1217"/>
      <c r="P92" s="1217"/>
      <c r="Q92" s="1217"/>
      <c r="R92" s="1217"/>
      <c r="S92" s="1217"/>
      <c r="T92" s="1217"/>
      <c r="U92" s="388" t="b" cm="1">
        <f t="array" ref="U92">U91</f>
        <v>1</v>
      </c>
      <c r="V92" s="1217"/>
      <c r="W92" s="1217"/>
      <c r="X92" s="1217"/>
      <c r="Y92" s="2009"/>
      <c r="Z92" s="2034"/>
      <c r="AA92" s="1217"/>
      <c r="AB92" s="530">
        <v>2</v>
      </c>
      <c r="AC92" s="531" t="s">
        <v>517</v>
      </c>
      <c r="AD92" s="13"/>
      <c r="AE92" s="532"/>
      <c r="AF92" s="533"/>
      <c r="AG92" s="534"/>
      <c r="AH92" s="535"/>
      <c r="AI92" s="532"/>
      <c r="AJ92" s="533"/>
      <c r="AK92" s="533"/>
      <c r="AL92" s="536"/>
      <c r="AM92" s="533"/>
      <c r="AN92" s="535"/>
      <c r="AO92" s="532"/>
      <c r="AP92" s="532"/>
      <c r="AQ92" s="532"/>
      <c r="AR92" s="532"/>
      <c r="AS92" s="532"/>
      <c r="AT92" s="532"/>
      <c r="AU92" s="532"/>
      <c r="AV92" s="532"/>
      <c r="AW92" s="532"/>
      <c r="AX92" s="532"/>
      <c r="AY92" s="532"/>
      <c r="AZ92" s="532"/>
      <c r="BA92" s="532"/>
      <c r="BB92" s="532"/>
      <c r="BC92" s="532"/>
      <c r="BD92" s="532"/>
      <c r="BE92" s="532"/>
      <c r="BF92" s="532"/>
      <c r="BG92" s="1217"/>
      <c r="BH92" s="1217"/>
      <c r="BI92" s="906" t="s">
        <v>518</v>
      </c>
      <c r="BJ92" s="1133"/>
      <c r="BK92" s="1133"/>
      <c r="BL92" s="1080"/>
      <c r="BM92" s="1080"/>
    </row>
    <row r="93" spans="1:65" s="1334" customFormat="1" ht="21.75" customHeight="1" x14ac:dyDescent="0.15">
      <c r="A93" s="1217"/>
      <c r="B93" s="1111"/>
      <c r="C93" s="1217"/>
      <c r="D93" s="1217"/>
      <c r="E93" s="542">
        <v>22.5</v>
      </c>
      <c r="F93" s="3" t="str" cm="1">
        <f t="array" aca="1" ref="F93" ca="1">OFFSET(E93,-1,1)</f>
        <v>2</v>
      </c>
      <c r="G93" s="1217"/>
      <c r="H93" s="41" t="s">
        <v>519</v>
      </c>
      <c r="I93" s="1217"/>
      <c r="J93" s="1217"/>
      <c r="K93" s="1217"/>
      <c r="L93" s="1217"/>
      <c r="M93" s="1217"/>
      <c r="N93" s="1217"/>
      <c r="O93" s="1217"/>
      <c r="P93" s="1217"/>
      <c r="Q93" s="1217"/>
      <c r="R93" s="1217"/>
      <c r="S93" s="1217"/>
      <c r="T93" s="1217"/>
      <c r="U93" s="388" t="b" cm="1">
        <f t="array" ref="U93">U92</f>
        <v>1</v>
      </c>
      <c r="V93" s="1217"/>
      <c r="W93" s="1217"/>
      <c r="X93" s="1217"/>
      <c r="Y93" s="2009"/>
      <c r="Z93" s="2034"/>
      <c r="AA93" s="1217"/>
      <c r="AB93" s="139" t="s">
        <v>520</v>
      </c>
      <c r="AC93" s="133" t="s">
        <v>521</v>
      </c>
      <c r="AD93" s="10" t="s">
        <v>522</v>
      </c>
      <c r="AE93" s="224"/>
      <c r="AF93" s="537"/>
      <c r="AG93" s="538"/>
      <c r="AH93" s="226"/>
      <c r="AI93" s="224"/>
      <c r="AJ93" s="537"/>
      <c r="AK93" s="537"/>
      <c r="AL93" s="539">
        <f>IF(AI93&lt;&gt;0,AK93/AI93,0)</f>
        <v>0</v>
      </c>
      <c r="AM93" s="540">
        <f>AK93-AJ93</f>
        <v>0</v>
      </c>
      <c r="AN93" s="226"/>
      <c r="AO93" s="1367"/>
      <c r="AP93" s="1367"/>
      <c r="AQ93" s="1367"/>
      <c r="AR93" s="1367"/>
      <c r="AS93" s="1367"/>
      <c r="AT93" s="1367"/>
      <c r="AU93" s="224"/>
      <c r="AV93" s="224"/>
      <c r="AW93" s="224"/>
      <c r="AX93" s="1367"/>
      <c r="AY93" s="1367"/>
      <c r="AZ93" s="1367"/>
      <c r="BA93" s="1367"/>
      <c r="BB93" s="1367"/>
      <c r="BC93" s="1367"/>
      <c r="BD93" s="224"/>
      <c r="BE93" s="224"/>
      <c r="BF93" s="224"/>
      <c r="BG93" s="1217"/>
      <c r="BH93" s="1217"/>
      <c r="BI93" s="906" t="s">
        <v>523</v>
      </c>
      <c r="BJ93" s="1133"/>
      <c r="BK93" s="1133"/>
      <c r="BL93" s="1080"/>
      <c r="BM93" s="1080"/>
    </row>
    <row r="94" spans="1:65" s="1334" customFormat="1" ht="21.75" hidden="1" customHeight="1" x14ac:dyDescent="0.15">
      <c r="A94" s="1217"/>
      <c r="B94" s="1111"/>
      <c r="C94" s="1217"/>
      <c r="D94" s="1217"/>
      <c r="E94" s="542">
        <v>22.5</v>
      </c>
      <c r="F94" s="3" t="str" cm="1">
        <f t="array" aca="1" ref="F94" ca="1">OFFSET(E94,-1,1)</f>
        <v>2</v>
      </c>
      <c r="G94" s="1217"/>
      <c r="H94" s="1217"/>
      <c r="I94" s="41" cm="1">
        <f t="array" ref="I94">AC94</f>
        <v>0</v>
      </c>
      <c r="J94" s="1217"/>
      <c r="K94" s="1217"/>
      <c r="L94" s="1217"/>
      <c r="M94" s="1217"/>
      <c r="N94" s="1217"/>
      <c r="O94" s="1217"/>
      <c r="P94" s="1217"/>
      <c r="Q94" s="1217"/>
      <c r="R94" s="1217"/>
      <c r="S94" s="1217"/>
      <c r="T94" s="1217"/>
      <c r="U94" s="388" t="b">
        <f ca="1">AND(F94&gt;0,--RIGHT(AB94,1)&gt;1)</f>
        <v>0</v>
      </c>
      <c r="V94" s="1217"/>
      <c r="W94" s="1217"/>
      <c r="X94" s="677" t="s">
        <v>172</v>
      </c>
      <c r="Y94" s="2009"/>
      <c r="Z94" s="2034"/>
      <c r="AA94" s="342" t="s">
        <v>173</v>
      </c>
      <c r="AB94" s="139" t="s">
        <v>520</v>
      </c>
      <c r="AC94" s="1371"/>
      <c r="AD94" s="10" t="s">
        <v>522</v>
      </c>
      <c r="AE94" s="1367"/>
      <c r="AF94" s="1368"/>
      <c r="AG94" s="1369"/>
      <c r="AH94" s="1370"/>
      <c r="AI94" s="1367"/>
      <c r="AJ94" s="1368"/>
      <c r="AK94" s="1368"/>
      <c r="AL94" s="539">
        <f>IF(AI94&lt;&gt;0,AK94/AI94,0)</f>
        <v>0</v>
      </c>
      <c r="AM94" s="540">
        <f>AK94-AJ94</f>
        <v>0</v>
      </c>
      <c r="AN94" s="1370"/>
      <c r="AO94" s="1367"/>
      <c r="AP94" s="1367"/>
      <c r="AQ94" s="1367"/>
      <c r="AR94" s="1367"/>
      <c r="AS94" s="1367"/>
      <c r="AT94" s="1367"/>
      <c r="AU94" s="1367"/>
      <c r="AV94" s="1367"/>
      <c r="AW94" s="1367"/>
      <c r="AX94" s="1367"/>
      <c r="AY94" s="1367"/>
      <c r="AZ94" s="1367"/>
      <c r="BA94" s="1367"/>
      <c r="BB94" s="1367"/>
      <c r="BC94" s="1367"/>
      <c r="BD94" s="1367"/>
      <c r="BE94" s="1367"/>
      <c r="BF94" s="1367"/>
      <c r="BG94" s="1217"/>
      <c r="BH94" s="1217"/>
      <c r="BI94" s="906" t="s">
        <v>523</v>
      </c>
      <c r="BJ94" s="906" t="s">
        <v>524</v>
      </c>
      <c r="BK94" s="906" cm="1">
        <f t="array" ref="BK94">AC94</f>
        <v>0</v>
      </c>
      <c r="BL94" s="1080"/>
      <c r="BM94" s="542" t="b">
        <v>1</v>
      </c>
    </row>
    <row r="95" spans="1:65" s="1334" customFormat="1" ht="14.25" customHeight="1" x14ac:dyDescent="0.15">
      <c r="A95" s="1217"/>
      <c r="B95" s="1111"/>
      <c r="C95" s="1217"/>
      <c r="D95" s="1217"/>
      <c r="E95" s="542">
        <v>15</v>
      </c>
      <c r="F95" s="3" t="str" cm="1">
        <f t="array" aca="1" ref="F95" ca="1">OFFSET(E95,-1,1)</f>
        <v>2</v>
      </c>
      <c r="G95" s="1217"/>
      <c r="H95" s="1217"/>
      <c r="I95" s="1217"/>
      <c r="J95" s="1217"/>
      <c r="K95" s="1217"/>
      <c r="L95" s="1217"/>
      <c r="M95" s="1217"/>
      <c r="N95" s="1217"/>
      <c r="O95" s="1217"/>
      <c r="P95" s="1217"/>
      <c r="Q95" s="1217"/>
      <c r="R95" s="1217"/>
      <c r="S95" s="1217"/>
      <c r="T95" s="1217"/>
      <c r="U95" s="388" t="b">
        <f ca="1">F95&gt;0</f>
        <v>1</v>
      </c>
      <c r="V95" s="1217"/>
      <c r="W95" s="1217"/>
      <c r="X95" s="677" t="s">
        <v>403</v>
      </c>
      <c r="Y95" s="2009"/>
      <c r="Z95" s="2034"/>
      <c r="AA95" s="1217"/>
      <c r="AB95" s="94"/>
      <c r="AC95" s="225" t="s">
        <v>176</v>
      </c>
      <c r="AD95" s="95"/>
      <c r="AE95" s="95"/>
      <c r="AF95" s="95"/>
      <c r="AG95" s="95"/>
      <c r="AH95" s="95"/>
      <c r="AI95" s="95"/>
      <c r="AJ95" s="95"/>
      <c r="AK95" s="95"/>
      <c r="AL95" s="95"/>
      <c r="AM95" s="95"/>
      <c r="AN95" s="95"/>
      <c r="AO95" s="95"/>
      <c r="AP95" s="95"/>
      <c r="AQ95" s="95"/>
      <c r="AR95" s="95"/>
      <c r="AS95" s="95"/>
      <c r="AT95" s="95"/>
      <c r="AU95" s="95"/>
      <c r="AV95" s="95"/>
      <c r="AW95" s="95"/>
      <c r="AX95" s="95"/>
      <c r="AY95" s="95"/>
      <c r="AZ95" s="95"/>
      <c r="BA95" s="95"/>
      <c r="BB95" s="95"/>
      <c r="BC95" s="95"/>
      <c r="BD95" s="95"/>
      <c r="BE95" s="95"/>
      <c r="BF95" s="95"/>
      <c r="BG95" s="1217"/>
      <c r="BH95" s="1217"/>
      <c r="BI95" s="1133"/>
      <c r="BJ95" s="1133"/>
      <c r="BK95" s="1133"/>
      <c r="BL95" s="542" t="s">
        <v>524</v>
      </c>
      <c r="BM95" s="1080"/>
    </row>
    <row r="96" spans="1:65" s="1334" customFormat="1" ht="21.75" customHeight="1" x14ac:dyDescent="0.15">
      <c r="A96" s="1217"/>
      <c r="B96" s="1111"/>
      <c r="C96" s="1217"/>
      <c r="D96" s="1217"/>
      <c r="E96" s="542">
        <v>22.5</v>
      </c>
      <c r="F96" s="3" t="str" cm="1">
        <f t="array" aca="1" ref="F96" ca="1">OFFSET(E96,-1,1)</f>
        <v>2</v>
      </c>
      <c r="G96" s="1217"/>
      <c r="H96" s="41" t="s">
        <v>525</v>
      </c>
      <c r="I96" s="1217"/>
      <c r="J96" s="1217"/>
      <c r="K96" s="1217"/>
      <c r="L96" s="1217"/>
      <c r="M96" s="1217"/>
      <c r="N96" s="1217"/>
      <c r="O96" s="1217"/>
      <c r="P96" s="1217"/>
      <c r="Q96" s="1217"/>
      <c r="R96" s="1217"/>
      <c r="S96" s="1217"/>
      <c r="T96" s="1217"/>
      <c r="U96" s="388" t="b" cm="1">
        <f t="array" aca="1" ref="U96" ca="1">U95</f>
        <v>1</v>
      </c>
      <c r="V96" s="1217"/>
      <c r="W96" s="1217"/>
      <c r="X96" s="1217"/>
      <c r="Y96" s="2009"/>
      <c r="Z96" s="2034"/>
      <c r="AA96" s="1217"/>
      <c r="AB96" s="522" t="s">
        <v>526</v>
      </c>
      <c r="AC96" s="523" t="s">
        <v>527</v>
      </c>
      <c r="AD96" s="519" t="s">
        <v>522</v>
      </c>
      <c r="AE96" s="524"/>
      <c r="AF96" s="525"/>
      <c r="AG96" s="526"/>
      <c r="AH96" s="527"/>
      <c r="AI96" s="524"/>
      <c r="AJ96" s="525"/>
      <c r="AK96" s="525"/>
      <c r="AL96" s="528">
        <f>IF(AI96&lt;&gt;0,AK96/AI96,0)</f>
        <v>0</v>
      </c>
      <c r="AM96" s="529">
        <f>AK96-AJ96</f>
        <v>0</v>
      </c>
      <c r="AN96" s="527"/>
      <c r="AO96" s="1372"/>
      <c r="AP96" s="1372"/>
      <c r="AQ96" s="1372"/>
      <c r="AR96" s="1372"/>
      <c r="AS96" s="1372"/>
      <c r="AT96" s="1372"/>
      <c r="AU96" s="524"/>
      <c r="AV96" s="524"/>
      <c r="AW96" s="524"/>
      <c r="AX96" s="1372"/>
      <c r="AY96" s="1372"/>
      <c r="AZ96" s="1372"/>
      <c r="BA96" s="1372"/>
      <c r="BB96" s="1372"/>
      <c r="BC96" s="1372"/>
      <c r="BD96" s="524"/>
      <c r="BE96" s="524"/>
      <c r="BF96" s="524"/>
      <c r="BG96" s="1217"/>
      <c r="BH96" s="1217"/>
      <c r="BI96" s="906" t="s">
        <v>528</v>
      </c>
      <c r="BJ96" s="1133"/>
      <c r="BK96" s="1133"/>
      <c r="BL96" s="1080"/>
      <c r="BM96" s="1080"/>
    </row>
    <row r="97" spans="1:65" s="1334" customFormat="1" ht="21.75" hidden="1" customHeight="1" x14ac:dyDescent="0.15">
      <c r="A97" s="1217"/>
      <c r="B97" s="1111"/>
      <c r="C97" s="1217"/>
      <c r="D97" s="1217"/>
      <c r="E97" s="542">
        <v>22.5</v>
      </c>
      <c r="F97" s="3" t="str" cm="1">
        <f t="array" aca="1" ref="F97" ca="1">OFFSET(E97,-1,1)</f>
        <v>2</v>
      </c>
      <c r="G97" s="1217"/>
      <c r="H97" s="1217"/>
      <c r="I97" s="41" cm="1">
        <f t="array" ref="I97">AC97</f>
        <v>0</v>
      </c>
      <c r="J97" s="1217"/>
      <c r="K97" s="1217"/>
      <c r="L97" s="1217"/>
      <c r="M97" s="1217"/>
      <c r="N97" s="1217"/>
      <c r="O97" s="1217"/>
      <c r="P97" s="1217"/>
      <c r="Q97" s="1217"/>
      <c r="R97" s="1217"/>
      <c r="S97" s="1217"/>
      <c r="T97" s="1217"/>
      <c r="U97" s="388" t="b">
        <f ca="1">AND(F97&gt;0,--RIGHT(AB97,1)&gt;1)</f>
        <v>0</v>
      </c>
      <c r="V97" s="1217"/>
      <c r="W97" s="1217"/>
      <c r="X97" s="677" t="s">
        <v>172</v>
      </c>
      <c r="Y97" s="2009"/>
      <c r="Z97" s="2034"/>
      <c r="AA97" s="342" t="s">
        <v>173</v>
      </c>
      <c r="AB97" s="522" t="s">
        <v>526</v>
      </c>
      <c r="AC97" s="1376"/>
      <c r="AD97" s="519" t="s">
        <v>522</v>
      </c>
      <c r="AE97" s="1372"/>
      <c r="AF97" s="1373"/>
      <c r="AG97" s="1374"/>
      <c r="AH97" s="1375"/>
      <c r="AI97" s="1372"/>
      <c r="AJ97" s="1373"/>
      <c r="AK97" s="1373"/>
      <c r="AL97" s="528">
        <f>IF(AI97&lt;&gt;0,AK97/AI97,0)</f>
        <v>0</v>
      </c>
      <c r="AM97" s="529">
        <f>AK97-AJ97</f>
        <v>0</v>
      </c>
      <c r="AN97" s="1375"/>
      <c r="AO97" s="1372"/>
      <c r="AP97" s="1372"/>
      <c r="AQ97" s="1372"/>
      <c r="AR97" s="1372"/>
      <c r="AS97" s="1372"/>
      <c r="AT97" s="1372"/>
      <c r="AU97" s="1372"/>
      <c r="AV97" s="1372"/>
      <c r="AW97" s="1372"/>
      <c r="AX97" s="1372"/>
      <c r="AY97" s="1372"/>
      <c r="AZ97" s="1372"/>
      <c r="BA97" s="1372"/>
      <c r="BB97" s="1372"/>
      <c r="BC97" s="1372"/>
      <c r="BD97" s="1372"/>
      <c r="BE97" s="1372"/>
      <c r="BF97" s="1372"/>
      <c r="BG97" s="1217"/>
      <c r="BH97" s="1217"/>
      <c r="BI97" s="906" t="s">
        <v>528</v>
      </c>
      <c r="BJ97" s="906" t="s">
        <v>529</v>
      </c>
      <c r="BK97" s="906" cm="1">
        <f t="array" ref="BK97">AC97</f>
        <v>0</v>
      </c>
      <c r="BL97" s="1080"/>
      <c r="BM97" s="542" t="b">
        <v>1</v>
      </c>
    </row>
    <row r="98" spans="1:65" s="1334" customFormat="1" ht="14.25" customHeight="1" x14ac:dyDescent="0.15">
      <c r="A98" s="1217"/>
      <c r="B98" s="1111"/>
      <c r="C98" s="1217"/>
      <c r="D98" s="1217"/>
      <c r="E98" s="542">
        <v>15</v>
      </c>
      <c r="F98" s="3" t="str" cm="1">
        <f t="array" aca="1" ref="F98" ca="1">OFFSET(E98,-1,1)</f>
        <v>2</v>
      </c>
      <c r="G98" s="1217"/>
      <c r="H98" s="1217"/>
      <c r="I98" s="1217"/>
      <c r="J98" s="1217"/>
      <c r="K98" s="1217"/>
      <c r="L98" s="1217"/>
      <c r="M98" s="1217"/>
      <c r="N98" s="1217"/>
      <c r="O98" s="1217"/>
      <c r="P98" s="1217"/>
      <c r="Q98" s="1217"/>
      <c r="R98" s="1217"/>
      <c r="S98" s="1217"/>
      <c r="T98" s="1217"/>
      <c r="U98" s="388" t="b">
        <f ca="1">F98&gt;0</f>
        <v>1</v>
      </c>
      <c r="V98" s="1217"/>
      <c r="W98" s="1217"/>
      <c r="X98" s="677" t="s">
        <v>403</v>
      </c>
      <c r="Y98" s="2009"/>
      <c r="Z98" s="2034"/>
      <c r="AA98" s="1217"/>
      <c r="AB98" s="94"/>
      <c r="AC98" s="225" t="s">
        <v>176</v>
      </c>
      <c r="AD98" s="95"/>
      <c r="AE98" s="95"/>
      <c r="AF98" s="95"/>
      <c r="AG98" s="95"/>
      <c r="AH98" s="95"/>
      <c r="AI98" s="95"/>
      <c r="AJ98" s="95"/>
      <c r="AK98" s="95"/>
      <c r="AL98" s="95"/>
      <c r="AM98" s="95"/>
      <c r="AN98" s="95"/>
      <c r="AO98" s="95"/>
      <c r="AP98" s="95"/>
      <c r="AQ98" s="95"/>
      <c r="AR98" s="95"/>
      <c r="AS98" s="95"/>
      <c r="AT98" s="95"/>
      <c r="AU98" s="95"/>
      <c r="AV98" s="95"/>
      <c r="AW98" s="95"/>
      <c r="AX98" s="95"/>
      <c r="AY98" s="95"/>
      <c r="AZ98" s="95"/>
      <c r="BA98" s="95"/>
      <c r="BB98" s="95"/>
      <c r="BC98" s="95"/>
      <c r="BD98" s="95"/>
      <c r="BE98" s="95"/>
      <c r="BF98" s="95"/>
      <c r="BG98" s="1217"/>
      <c r="BH98" s="1217"/>
      <c r="BI98" s="1133"/>
      <c r="BJ98" s="1133"/>
      <c r="BK98" s="1133"/>
      <c r="BL98" s="542" t="s">
        <v>529</v>
      </c>
      <c r="BM98" s="1080"/>
    </row>
    <row r="99" spans="1:65" s="1334" customFormat="1" ht="21.75" customHeight="1" x14ac:dyDescent="0.15">
      <c r="A99" s="1217"/>
      <c r="B99" s="1111"/>
      <c r="C99" s="1217"/>
      <c r="D99" s="1217"/>
      <c r="E99" s="542">
        <v>22.5</v>
      </c>
      <c r="F99" s="3" t="str" cm="1">
        <f t="array" aca="1" ref="F99" ca="1">OFFSET(E99,-1,1)</f>
        <v>2</v>
      </c>
      <c r="G99" s="1217"/>
      <c r="H99" s="41" t="s">
        <v>530</v>
      </c>
      <c r="I99" s="1217"/>
      <c r="J99" s="1217"/>
      <c r="K99" s="1217"/>
      <c r="L99" s="1217"/>
      <c r="M99" s="1217"/>
      <c r="N99" s="1217"/>
      <c r="O99" s="1217"/>
      <c r="P99" s="1217"/>
      <c r="Q99" s="1217"/>
      <c r="R99" s="1217"/>
      <c r="S99" s="1217"/>
      <c r="T99" s="1217"/>
      <c r="U99" s="388" t="b" cm="1">
        <f t="array" aca="1" ref="U99" ca="1">U98</f>
        <v>1</v>
      </c>
      <c r="V99" s="1217"/>
      <c r="W99" s="1217"/>
      <c r="X99" s="1217"/>
      <c r="Y99" s="2009"/>
      <c r="Z99" s="2034"/>
      <c r="AA99" s="1217"/>
      <c r="AB99" s="42" t="s">
        <v>531</v>
      </c>
      <c r="AC99" s="111" t="s">
        <v>532</v>
      </c>
      <c r="AD99" s="11" t="s">
        <v>522</v>
      </c>
      <c r="AE99" s="194"/>
      <c r="AF99" s="196"/>
      <c r="AG99" s="197"/>
      <c r="AH99" s="119"/>
      <c r="AI99" s="194"/>
      <c r="AJ99" s="196"/>
      <c r="AK99" s="196"/>
      <c r="AL99" s="199">
        <f>IF(AI99&lt;&gt;0,AK99/AI99,0)</f>
        <v>0</v>
      </c>
      <c r="AM99" s="198">
        <f>AK99-AJ99</f>
        <v>0</v>
      </c>
      <c r="AN99" s="119"/>
      <c r="AO99" s="1364"/>
      <c r="AP99" s="1364"/>
      <c r="AQ99" s="1364"/>
      <c r="AR99" s="1364"/>
      <c r="AS99" s="1364"/>
      <c r="AT99" s="1364"/>
      <c r="AU99" s="194"/>
      <c r="AV99" s="194"/>
      <c r="AW99" s="194"/>
      <c r="AX99" s="1364"/>
      <c r="AY99" s="1364"/>
      <c r="AZ99" s="1364"/>
      <c r="BA99" s="1364"/>
      <c r="BB99" s="1364"/>
      <c r="BC99" s="1364"/>
      <c r="BD99" s="194"/>
      <c r="BE99" s="194"/>
      <c r="BF99" s="194"/>
      <c r="BG99" s="1217"/>
      <c r="BH99" s="1217"/>
      <c r="BI99" s="906" t="s">
        <v>533</v>
      </c>
      <c r="BJ99" s="1133"/>
      <c r="BK99" s="1133"/>
      <c r="BL99" s="1080"/>
      <c r="BM99" s="1080"/>
    </row>
    <row r="100" spans="1:65" s="1334" customFormat="1" ht="21.75" hidden="1" customHeight="1" x14ac:dyDescent="0.15">
      <c r="A100" s="1217"/>
      <c r="B100" s="1111"/>
      <c r="C100" s="1217"/>
      <c r="D100" s="1217"/>
      <c r="E100" s="542">
        <v>22.5</v>
      </c>
      <c r="F100" s="3" t="str" cm="1">
        <f t="array" aca="1" ref="F100" ca="1">OFFSET(E100,-1,1)</f>
        <v>2</v>
      </c>
      <c r="G100" s="1217"/>
      <c r="H100" s="1217"/>
      <c r="I100" s="41" cm="1">
        <f t="array" ref="I100">AC100</f>
        <v>0</v>
      </c>
      <c r="J100" s="1217"/>
      <c r="K100" s="1217"/>
      <c r="L100" s="1217"/>
      <c r="M100" s="1217"/>
      <c r="N100" s="1217"/>
      <c r="O100" s="1217"/>
      <c r="P100" s="1217"/>
      <c r="Q100" s="1217"/>
      <c r="R100" s="1217"/>
      <c r="S100" s="1217"/>
      <c r="T100" s="1217"/>
      <c r="U100" s="388" t="b">
        <f ca="1">AND(F100&gt;0,--RIGHT(AB100,1)&gt;1)</f>
        <v>0</v>
      </c>
      <c r="V100" s="1217"/>
      <c r="W100" s="1217"/>
      <c r="X100" s="677" t="s">
        <v>172</v>
      </c>
      <c r="Y100" s="2009"/>
      <c r="Z100" s="2034"/>
      <c r="AA100" s="342" t="s">
        <v>173</v>
      </c>
      <c r="AB100" s="42" t="s">
        <v>531</v>
      </c>
      <c r="AC100" s="1378"/>
      <c r="AD100" s="11" t="s">
        <v>522</v>
      </c>
      <c r="AE100" s="1364"/>
      <c r="AF100" s="1366"/>
      <c r="AG100" s="1377"/>
      <c r="AH100" s="1365"/>
      <c r="AI100" s="1364"/>
      <c r="AJ100" s="1366"/>
      <c r="AK100" s="1366"/>
      <c r="AL100" s="199">
        <f>IF(AI100&lt;&gt;0,AK100/AI100,0)</f>
        <v>0</v>
      </c>
      <c r="AM100" s="198">
        <f>AK100-AJ100</f>
        <v>0</v>
      </c>
      <c r="AN100" s="1365"/>
      <c r="AO100" s="1364"/>
      <c r="AP100" s="1364"/>
      <c r="AQ100" s="1364"/>
      <c r="AR100" s="1364"/>
      <c r="AS100" s="1364"/>
      <c r="AT100" s="1364"/>
      <c r="AU100" s="1364"/>
      <c r="AV100" s="1364"/>
      <c r="AW100" s="1364"/>
      <c r="AX100" s="1364"/>
      <c r="AY100" s="1364"/>
      <c r="AZ100" s="1364"/>
      <c r="BA100" s="1364"/>
      <c r="BB100" s="1364"/>
      <c r="BC100" s="1364"/>
      <c r="BD100" s="1364"/>
      <c r="BE100" s="1364"/>
      <c r="BF100" s="1364"/>
      <c r="BG100" s="1217"/>
      <c r="BH100" s="1217"/>
      <c r="BI100" s="906" t="s">
        <v>533</v>
      </c>
      <c r="BJ100" s="906" t="s">
        <v>534</v>
      </c>
      <c r="BK100" s="906" cm="1">
        <f t="array" ref="BK100">AC100</f>
        <v>0</v>
      </c>
      <c r="BL100" s="1080"/>
      <c r="BM100" s="542" t="b">
        <v>1</v>
      </c>
    </row>
    <row r="101" spans="1:65" s="1334" customFormat="1" ht="14.25" customHeight="1" x14ac:dyDescent="0.15">
      <c r="A101" s="1217"/>
      <c r="B101" s="1111"/>
      <c r="C101" s="1217"/>
      <c r="D101" s="1217"/>
      <c r="E101" s="542">
        <v>15</v>
      </c>
      <c r="F101" s="3" t="str" cm="1">
        <f t="array" aca="1" ref="F101" ca="1">OFFSET(E101,-1,1)</f>
        <v>2</v>
      </c>
      <c r="G101" s="1217"/>
      <c r="H101" s="1217"/>
      <c r="I101" s="1217"/>
      <c r="J101" s="1217"/>
      <c r="K101" s="1217"/>
      <c r="L101" s="1217"/>
      <c r="M101" s="1217"/>
      <c r="N101" s="1217"/>
      <c r="O101" s="1217"/>
      <c r="P101" s="1217"/>
      <c r="Q101" s="1217"/>
      <c r="R101" s="1217"/>
      <c r="S101" s="1217"/>
      <c r="T101" s="1217"/>
      <c r="U101" s="388" t="b">
        <f ca="1">F101&gt;0</f>
        <v>1</v>
      </c>
      <c r="V101" s="1217"/>
      <c r="W101" s="1217"/>
      <c r="X101" s="677" t="s">
        <v>403</v>
      </c>
      <c r="Y101" s="2009"/>
      <c r="Z101" s="2034"/>
      <c r="AA101" s="1217"/>
      <c r="AB101" s="94"/>
      <c r="AC101" s="225" t="s">
        <v>176</v>
      </c>
      <c r="AD101" s="95"/>
      <c r="AE101" s="95"/>
      <c r="AF101" s="95"/>
      <c r="AG101" s="95"/>
      <c r="AH101" s="95"/>
      <c r="AI101" s="95"/>
      <c r="AJ101" s="95"/>
      <c r="AK101" s="95"/>
      <c r="AL101" s="95"/>
      <c r="AM101" s="95"/>
      <c r="AN101" s="95"/>
      <c r="AO101" s="95"/>
      <c r="AP101" s="95"/>
      <c r="AQ101" s="95"/>
      <c r="AR101" s="95"/>
      <c r="AS101" s="95"/>
      <c r="AT101" s="95"/>
      <c r="AU101" s="95"/>
      <c r="AV101" s="95"/>
      <c r="AW101" s="95"/>
      <c r="AX101" s="95"/>
      <c r="AY101" s="95"/>
      <c r="AZ101" s="95"/>
      <c r="BA101" s="95"/>
      <c r="BB101" s="95"/>
      <c r="BC101" s="95"/>
      <c r="BD101" s="95"/>
      <c r="BE101" s="95"/>
      <c r="BF101" s="95"/>
      <c r="BG101" s="1217"/>
      <c r="BH101" s="1217"/>
      <c r="BI101" s="1133"/>
      <c r="BJ101" s="1133"/>
      <c r="BK101" s="1133"/>
      <c r="BL101" s="542" t="s">
        <v>534</v>
      </c>
      <c r="BM101" s="1080"/>
    </row>
    <row r="102" spans="1:65" s="1334" customFormat="1" ht="21.75" customHeight="1" x14ac:dyDescent="0.15">
      <c r="A102" s="1217"/>
      <c r="B102" s="1111"/>
      <c r="C102" s="1217"/>
      <c r="D102" s="1217"/>
      <c r="E102" s="542">
        <v>22.5</v>
      </c>
      <c r="F102" s="3" t="str" cm="1">
        <f t="array" aca="1" ref="F102" ca="1">OFFSET(E102,-1,1)</f>
        <v>2</v>
      </c>
      <c r="G102" s="1217"/>
      <c r="H102" s="41" t="s">
        <v>535</v>
      </c>
      <c r="I102" s="1217"/>
      <c r="J102" s="1217"/>
      <c r="K102" s="1217"/>
      <c r="L102" s="1217"/>
      <c r="M102" s="1217"/>
      <c r="N102" s="1217"/>
      <c r="O102" s="1217"/>
      <c r="P102" s="1217"/>
      <c r="Q102" s="1217"/>
      <c r="R102" s="1217"/>
      <c r="S102" s="1217"/>
      <c r="T102" s="1217"/>
      <c r="U102" s="388" t="b" cm="1">
        <f t="array" aca="1" ref="U102" ca="1">U101</f>
        <v>1</v>
      </c>
      <c r="V102" s="1217"/>
      <c r="W102" s="1217"/>
      <c r="X102" s="1217"/>
      <c r="Y102" s="2009"/>
      <c r="Z102" s="2034"/>
      <c r="AA102" s="1217"/>
      <c r="AB102" s="42" t="s">
        <v>536</v>
      </c>
      <c r="AC102" s="111" t="s">
        <v>537</v>
      </c>
      <c r="AD102" s="11" t="s">
        <v>522</v>
      </c>
      <c r="AE102" s="194"/>
      <c r="AF102" s="196"/>
      <c r="AG102" s="197"/>
      <c r="AH102" s="119"/>
      <c r="AI102" s="194"/>
      <c r="AJ102" s="196"/>
      <c r="AK102" s="196"/>
      <c r="AL102" s="199">
        <f>IF(AI102&lt;&gt;0,AK102/AI102,0)</f>
        <v>0</v>
      </c>
      <c r="AM102" s="198">
        <f>AK102-AJ102</f>
        <v>0</v>
      </c>
      <c r="AN102" s="119"/>
      <c r="AO102" s="1364"/>
      <c r="AP102" s="1364"/>
      <c r="AQ102" s="1364"/>
      <c r="AR102" s="1364"/>
      <c r="AS102" s="1364"/>
      <c r="AT102" s="1364"/>
      <c r="AU102" s="194"/>
      <c r="AV102" s="194"/>
      <c r="AW102" s="194"/>
      <c r="AX102" s="1364"/>
      <c r="AY102" s="1364"/>
      <c r="AZ102" s="1364"/>
      <c r="BA102" s="1364"/>
      <c r="BB102" s="1364"/>
      <c r="BC102" s="1364"/>
      <c r="BD102" s="194"/>
      <c r="BE102" s="194"/>
      <c r="BF102" s="194"/>
      <c r="BG102" s="1217"/>
      <c r="BH102" s="1217"/>
      <c r="BI102" s="906" t="s">
        <v>538</v>
      </c>
      <c r="BJ102" s="1133"/>
      <c r="BK102" s="1133"/>
      <c r="BL102" s="1080"/>
      <c r="BM102" s="1080"/>
    </row>
    <row r="103" spans="1:65" s="1334" customFormat="1" ht="21.75" hidden="1" customHeight="1" x14ac:dyDescent="0.15">
      <c r="A103" s="1217"/>
      <c r="B103" s="1111"/>
      <c r="C103" s="1217"/>
      <c r="D103" s="1217"/>
      <c r="E103" s="542">
        <v>22.5</v>
      </c>
      <c r="F103" s="3" t="str" cm="1">
        <f t="array" aca="1" ref="F103" ca="1">OFFSET(E103,-1,1)</f>
        <v>2</v>
      </c>
      <c r="G103" s="1217"/>
      <c r="H103" s="1217"/>
      <c r="I103" s="41" cm="1">
        <f t="array" ref="I103">AC103</f>
        <v>0</v>
      </c>
      <c r="J103" s="1217"/>
      <c r="K103" s="1217"/>
      <c r="L103" s="1217"/>
      <c r="M103" s="1217"/>
      <c r="N103" s="1217"/>
      <c r="O103" s="1217"/>
      <c r="P103" s="1217"/>
      <c r="Q103" s="1217"/>
      <c r="R103" s="1217"/>
      <c r="S103" s="1217"/>
      <c r="T103" s="1217"/>
      <c r="U103" s="388" t="b">
        <f ca="1">AND(F103&gt;0,--RIGHT(AB103,1)&gt;1)</f>
        <v>0</v>
      </c>
      <c r="V103" s="1217"/>
      <c r="W103" s="1217"/>
      <c r="X103" s="677" t="s">
        <v>172</v>
      </c>
      <c r="Y103" s="2009"/>
      <c r="Z103" s="2034"/>
      <c r="AA103" s="342" t="s">
        <v>173</v>
      </c>
      <c r="AB103" s="42" t="s">
        <v>536</v>
      </c>
      <c r="AC103" s="1378"/>
      <c r="AD103" s="11" t="s">
        <v>522</v>
      </c>
      <c r="AE103" s="1364"/>
      <c r="AF103" s="1366"/>
      <c r="AG103" s="1377"/>
      <c r="AH103" s="1365"/>
      <c r="AI103" s="1364"/>
      <c r="AJ103" s="1366"/>
      <c r="AK103" s="1366"/>
      <c r="AL103" s="199">
        <f>IF(AI103&lt;&gt;0,AK103/AI103,0)</f>
        <v>0</v>
      </c>
      <c r="AM103" s="198">
        <f>AK103-AJ103</f>
        <v>0</v>
      </c>
      <c r="AN103" s="1365"/>
      <c r="AO103" s="1364"/>
      <c r="AP103" s="1364"/>
      <c r="AQ103" s="1364"/>
      <c r="AR103" s="1364"/>
      <c r="AS103" s="1364"/>
      <c r="AT103" s="1364"/>
      <c r="AU103" s="1364"/>
      <c r="AV103" s="1364"/>
      <c r="AW103" s="1364"/>
      <c r="AX103" s="1364"/>
      <c r="AY103" s="1364"/>
      <c r="AZ103" s="1364"/>
      <c r="BA103" s="1364"/>
      <c r="BB103" s="1364"/>
      <c r="BC103" s="1364"/>
      <c r="BD103" s="1364"/>
      <c r="BE103" s="1364"/>
      <c r="BF103" s="1364"/>
      <c r="BG103" s="1217"/>
      <c r="BH103" s="1217"/>
      <c r="BI103" s="906" t="s">
        <v>538</v>
      </c>
      <c r="BJ103" s="906" t="s">
        <v>539</v>
      </c>
      <c r="BK103" s="906" cm="1">
        <f t="array" ref="BK103">AC103</f>
        <v>0</v>
      </c>
      <c r="BL103" s="1080"/>
      <c r="BM103" s="542" t="b">
        <v>1</v>
      </c>
    </row>
    <row r="104" spans="1:65" s="1334" customFormat="1" ht="14.25" customHeight="1" x14ac:dyDescent="0.15">
      <c r="A104" s="1217"/>
      <c r="B104" s="1111"/>
      <c r="C104" s="1217"/>
      <c r="D104" s="1217"/>
      <c r="E104" s="542">
        <v>15</v>
      </c>
      <c r="F104" s="3" t="str" cm="1">
        <f t="array" aca="1" ref="F104" ca="1">OFFSET(E104,-1,1)</f>
        <v>2</v>
      </c>
      <c r="G104" s="1217"/>
      <c r="H104" s="1217"/>
      <c r="I104" s="1217"/>
      <c r="J104" s="1217"/>
      <c r="K104" s="1217"/>
      <c r="L104" s="1217"/>
      <c r="M104" s="1217"/>
      <c r="N104" s="1217"/>
      <c r="O104" s="1217"/>
      <c r="P104" s="1217"/>
      <c r="Q104" s="1217"/>
      <c r="R104" s="1217"/>
      <c r="S104" s="1217"/>
      <c r="T104" s="1217"/>
      <c r="U104" s="388" t="b">
        <f ca="1">F104&gt;0</f>
        <v>1</v>
      </c>
      <c r="V104" s="1217"/>
      <c r="W104" s="1217"/>
      <c r="X104" s="677" t="s">
        <v>403</v>
      </c>
      <c r="Y104" s="2009"/>
      <c r="Z104" s="2034"/>
      <c r="AA104" s="1217"/>
      <c r="AB104" s="94"/>
      <c r="AC104" s="225" t="s">
        <v>176</v>
      </c>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1217"/>
      <c r="BH104" s="1217"/>
      <c r="BI104" s="1133"/>
      <c r="BJ104" s="1133"/>
      <c r="BK104" s="1133"/>
      <c r="BL104" s="542" t="s">
        <v>539</v>
      </c>
      <c r="BM104" s="1080"/>
    </row>
    <row r="105" spans="1:65" s="1334" customFormat="1" ht="14.25" customHeight="1" x14ac:dyDescent="0.15">
      <c r="A105" s="1217"/>
      <c r="B105" s="1111"/>
      <c r="C105" s="1217"/>
      <c r="D105" s="1217"/>
      <c r="E105" s="542">
        <v>15</v>
      </c>
      <c r="F105" s="3" t="str" cm="1">
        <f t="array" aca="1" ref="F105" ca="1">OFFSET(E105,-1,1)</f>
        <v>2</v>
      </c>
      <c r="G105" s="1217"/>
      <c r="H105" s="41" t="s">
        <v>335</v>
      </c>
      <c r="I105" s="1217"/>
      <c r="J105" s="1217"/>
      <c r="K105" s="1217"/>
      <c r="L105" s="1217"/>
      <c r="M105" s="1217"/>
      <c r="N105" s="1217"/>
      <c r="O105" s="1217"/>
      <c r="P105" s="1217"/>
      <c r="Q105" s="1217"/>
      <c r="R105" s="1217"/>
      <c r="S105" s="1217"/>
      <c r="T105" s="1217"/>
      <c r="U105" s="388" t="b" cm="1">
        <f t="array" aca="1" ref="U105" ca="1">U104</f>
        <v>1</v>
      </c>
      <c r="V105" s="1217"/>
      <c r="W105" s="1217"/>
      <c r="X105" s="1217"/>
      <c r="Y105" s="2009"/>
      <c r="Z105" s="2034"/>
      <c r="AA105" s="1217"/>
      <c r="AB105" s="52">
        <v>3</v>
      </c>
      <c r="AC105" s="58" t="s">
        <v>540</v>
      </c>
      <c r="AD105" s="55" t="s">
        <v>490</v>
      </c>
      <c r="AE105" s="194">
        <v>1.1000000000000001</v>
      </c>
      <c r="AF105" s="196">
        <v>1.1000000000000001</v>
      </c>
      <c r="AG105" s="197">
        <v>1.1000000000000001</v>
      </c>
      <c r="AH105" s="119"/>
      <c r="AI105" s="194">
        <v>1.1000000000000001</v>
      </c>
      <c r="AJ105" s="196">
        <v>1.1000000000000001</v>
      </c>
      <c r="AK105" s="196">
        <v>1.1000000000000001</v>
      </c>
      <c r="AL105" s="199">
        <f>IF(AI105&lt;&gt;0,AK105/AI105,0)</f>
        <v>1</v>
      </c>
      <c r="AM105" s="198">
        <f>AK105-AJ105</f>
        <v>0</v>
      </c>
      <c r="AN105" s="119"/>
      <c r="AO105" s="1364"/>
      <c r="AP105" s="1364"/>
      <c r="AQ105" s="1364"/>
      <c r="AR105" s="1364"/>
      <c r="AS105" s="1364"/>
      <c r="AT105" s="1364"/>
      <c r="AU105" s="194"/>
      <c r="AV105" s="194"/>
      <c r="AW105" s="194"/>
      <c r="AX105" s="1364"/>
      <c r="AY105" s="1364"/>
      <c r="AZ105" s="1364"/>
      <c r="BA105" s="1364"/>
      <c r="BB105" s="1364"/>
      <c r="BC105" s="1364"/>
      <c r="BD105" s="194"/>
      <c r="BE105" s="194"/>
      <c r="BF105" s="194"/>
      <c r="BG105" s="1217"/>
      <c r="BH105" s="1217"/>
      <c r="BI105" s="906" t="s">
        <v>541</v>
      </c>
      <c r="BJ105" s="1133"/>
      <c r="BK105" s="1133"/>
      <c r="BL105" s="1080"/>
      <c r="BM105" s="1080"/>
    </row>
    <row r="106" spans="1:65" s="1334" customFormat="1" ht="14.25" customHeight="1" x14ac:dyDescent="0.15">
      <c r="A106" s="1217"/>
      <c r="B106" s="1111"/>
      <c r="C106" s="1217"/>
      <c r="D106" s="1217"/>
      <c r="E106" s="542">
        <v>15</v>
      </c>
      <c r="F106" s="3" t="str" cm="1">
        <f t="array" aca="1" ref="F106" ca="1">OFFSET(E106,-1,1)</f>
        <v>2</v>
      </c>
      <c r="G106" s="1217"/>
      <c r="H106" s="41" t="s">
        <v>334</v>
      </c>
      <c r="I106" s="1217"/>
      <c r="J106" s="1217"/>
      <c r="K106" s="1217"/>
      <c r="L106" s="1217"/>
      <c r="M106" s="1217"/>
      <c r="N106" s="1217"/>
      <c r="O106" s="1217"/>
      <c r="P106" s="1217"/>
      <c r="Q106" s="1217"/>
      <c r="R106" s="1217"/>
      <c r="S106" s="1217"/>
      <c r="T106" s="1217"/>
      <c r="U106" s="388" t="b" cm="1">
        <f t="array" aca="1" ref="U106" ca="1">U105</f>
        <v>1</v>
      </c>
      <c r="V106" s="1217"/>
      <c r="W106" s="1217"/>
      <c r="X106" s="1217"/>
      <c r="Y106" s="2009"/>
      <c r="Z106" s="2034"/>
      <c r="AA106" s="1217"/>
      <c r="AB106" s="52">
        <v>4</v>
      </c>
      <c r="AC106" s="58" t="s">
        <v>542</v>
      </c>
      <c r="AD106" s="55" t="s">
        <v>490</v>
      </c>
      <c r="AE106" s="194"/>
      <c r="AF106" s="196"/>
      <c r="AG106" s="197"/>
      <c r="AH106" s="119"/>
      <c r="AI106" s="194"/>
      <c r="AJ106" s="196"/>
      <c r="AK106" s="196"/>
      <c r="AL106" s="199">
        <f>IF(AI106&lt;&gt;0,AK106/AI106,0)</f>
        <v>0</v>
      </c>
      <c r="AM106" s="198">
        <f>AK106-AJ106</f>
        <v>0</v>
      </c>
      <c r="AN106" s="119"/>
      <c r="AO106" s="1364"/>
      <c r="AP106" s="1364"/>
      <c r="AQ106" s="1364"/>
      <c r="AR106" s="1364"/>
      <c r="AS106" s="1364"/>
      <c r="AT106" s="1364"/>
      <c r="AU106" s="194"/>
      <c r="AV106" s="194"/>
      <c r="AW106" s="194"/>
      <c r="AX106" s="1364"/>
      <c r="AY106" s="1364"/>
      <c r="AZ106" s="1364"/>
      <c r="BA106" s="1364"/>
      <c r="BB106" s="1364"/>
      <c r="BC106" s="1364"/>
      <c r="BD106" s="194"/>
      <c r="BE106" s="194"/>
      <c r="BF106" s="194"/>
      <c r="BG106" s="1217"/>
      <c r="BH106" s="1217"/>
      <c r="BI106" s="906" t="s">
        <v>543</v>
      </c>
      <c r="BJ106" s="1133"/>
      <c r="BK106" s="1133"/>
      <c r="BL106" s="1080"/>
      <c r="BM106" s="1080"/>
    </row>
    <row r="107" spans="1:65" s="1334" customFormat="1" ht="14.25" customHeight="1" x14ac:dyDescent="0.15">
      <c r="A107" s="1217"/>
      <c r="B107" s="1111"/>
      <c r="C107" s="1217"/>
      <c r="D107" s="1217"/>
      <c r="E107" s="542">
        <v>15</v>
      </c>
      <c r="F107" s="3" t="str" cm="1">
        <f t="array" aca="1" ref="F107" ca="1">OFFSET(E107,-1,1)</f>
        <v>2</v>
      </c>
      <c r="G107" s="1217"/>
      <c r="H107" s="41" t="s">
        <v>544</v>
      </c>
      <c r="I107" s="1217"/>
      <c r="J107" s="1217"/>
      <c r="K107" s="1217"/>
      <c r="L107" s="1217"/>
      <c r="M107" s="1217"/>
      <c r="N107" s="1217"/>
      <c r="O107" s="1217"/>
      <c r="P107" s="1217"/>
      <c r="Q107" s="1217"/>
      <c r="R107" s="1217"/>
      <c r="S107" s="1217"/>
      <c r="T107" s="1217"/>
      <c r="U107" s="388" t="b" cm="1">
        <f t="array" aca="1" ref="U107" ca="1">U106</f>
        <v>1</v>
      </c>
      <c r="V107" s="1217"/>
      <c r="W107" s="1217"/>
      <c r="X107" s="1217"/>
      <c r="Y107" s="2009"/>
      <c r="Z107" s="2034"/>
      <c r="AA107" s="1217"/>
      <c r="AB107" s="42" t="s">
        <v>444</v>
      </c>
      <c r="AC107" s="57" t="s">
        <v>545</v>
      </c>
      <c r="AD107" s="55"/>
      <c r="AE107" s="197"/>
      <c r="AF107" s="197"/>
      <c r="AG107" s="197"/>
      <c r="AH107" s="202"/>
      <c r="AI107" s="197"/>
      <c r="AJ107" s="197"/>
      <c r="AK107" s="197"/>
      <c r="AL107" s="199">
        <f>IF(AI107&lt;&gt;0,AK107/AI107,0)</f>
        <v>0</v>
      </c>
      <c r="AM107" s="198">
        <f>AK107-AJ107</f>
        <v>0</v>
      </c>
      <c r="AN107" s="202"/>
      <c r="AO107" s="1377"/>
      <c r="AP107" s="1377"/>
      <c r="AQ107" s="1377"/>
      <c r="AR107" s="1377"/>
      <c r="AS107" s="1377"/>
      <c r="AT107" s="1377"/>
      <c r="AU107" s="197"/>
      <c r="AV107" s="197"/>
      <c r="AW107" s="197"/>
      <c r="AX107" s="1377"/>
      <c r="AY107" s="1377"/>
      <c r="AZ107" s="1377"/>
      <c r="BA107" s="1377"/>
      <c r="BB107" s="1377"/>
      <c r="BC107" s="1377"/>
      <c r="BD107" s="197"/>
      <c r="BE107" s="197"/>
      <c r="BF107" s="197"/>
      <c r="BG107" s="1217"/>
      <c r="BH107" s="1217"/>
      <c r="BI107" s="906" t="s">
        <v>546</v>
      </c>
      <c r="BJ107" s="1133"/>
      <c r="BK107" s="1133"/>
      <c r="BL107" s="1080"/>
      <c r="BM107" s="1080"/>
    </row>
    <row r="108" spans="1:65" s="1334" customFormat="1" ht="14.25" customHeight="1" x14ac:dyDescent="0.15">
      <c r="A108" s="1217"/>
      <c r="B108" s="1111"/>
      <c r="C108" s="1217"/>
      <c r="D108" s="1217"/>
      <c r="E108" s="542">
        <v>15</v>
      </c>
      <c r="F108" s="3" t="str" cm="1">
        <f t="array" aca="1" ref="F108" ca="1">OFFSET(E108,-1,1)</f>
        <v>2</v>
      </c>
      <c r="G108" s="1217"/>
      <c r="H108" s="41" t="s">
        <v>547</v>
      </c>
      <c r="I108" s="1217"/>
      <c r="J108" s="1217"/>
      <c r="K108" s="1217"/>
      <c r="L108" s="1217"/>
      <c r="M108" s="1217"/>
      <c r="N108" s="1217"/>
      <c r="O108" s="1217"/>
      <c r="P108" s="1217"/>
      <c r="Q108" s="1217"/>
      <c r="R108" s="1217"/>
      <c r="S108" s="1217"/>
      <c r="T108" s="1217"/>
      <c r="U108" s="388" t="b" cm="1">
        <f t="array" aca="1" ref="U108" ca="1">U107</f>
        <v>1</v>
      </c>
      <c r="V108" s="1217"/>
      <c r="W108" s="1217"/>
      <c r="X108" s="1217"/>
      <c r="Y108" s="2009"/>
      <c r="Z108" s="2034"/>
      <c r="AA108" s="1217"/>
      <c r="AB108" s="42" t="s">
        <v>446</v>
      </c>
      <c r="AC108" s="56" t="s">
        <v>548</v>
      </c>
      <c r="AD108" s="55"/>
      <c r="AE108" s="197"/>
      <c r="AF108" s="197"/>
      <c r="AG108" s="197"/>
      <c r="AH108" s="202"/>
      <c r="AI108" s="197"/>
      <c r="AJ108" s="197"/>
      <c r="AK108" s="197"/>
      <c r="AL108" s="199">
        <f>IF(AI108&lt;&gt;0,AK108/AI108,0)</f>
        <v>0</v>
      </c>
      <c r="AM108" s="198">
        <f>AK108-AJ108</f>
        <v>0</v>
      </c>
      <c r="AN108" s="202"/>
      <c r="AO108" s="1377"/>
      <c r="AP108" s="1377"/>
      <c r="AQ108" s="1377"/>
      <c r="AR108" s="1377"/>
      <c r="AS108" s="1377"/>
      <c r="AT108" s="1377"/>
      <c r="AU108" s="197"/>
      <c r="AV108" s="197"/>
      <c r="AW108" s="197"/>
      <c r="AX108" s="1377"/>
      <c r="AY108" s="1377"/>
      <c r="AZ108" s="1377"/>
      <c r="BA108" s="1377"/>
      <c r="BB108" s="1377"/>
      <c r="BC108" s="1377"/>
      <c r="BD108" s="197"/>
      <c r="BE108" s="197"/>
      <c r="BF108" s="197"/>
      <c r="BG108" s="1217"/>
      <c r="BH108" s="1217"/>
      <c r="BI108" s="906" t="s">
        <v>549</v>
      </c>
      <c r="BJ108" s="1133"/>
      <c r="BK108" s="1133"/>
      <c r="BL108" s="1080"/>
      <c r="BM108" s="1080"/>
    </row>
    <row r="109" spans="1:65" ht="10.9" customHeight="1" x14ac:dyDescent="0.15">
      <c r="E109" s="542">
        <v>11.25</v>
      </c>
      <c r="V109" s="41" t="s">
        <v>176</v>
      </c>
      <c r="W109" s="59" t="s">
        <v>550</v>
      </c>
      <c r="BG109" s="41"/>
    </row>
  </sheetData>
  <sheetProtection formatColumns="0" formatRows="0" insertRows="0" deleteColumns="0" deleteRows="0" sort="0" autoFilter="0"/>
  <mergeCells count="9">
    <mergeCell ref="Y55:Y81"/>
    <mergeCell ref="Z55:Z81"/>
    <mergeCell ref="Y82:Y108"/>
    <mergeCell ref="Z82:Z108"/>
    <mergeCell ref="AB24:AB25"/>
    <mergeCell ref="AC24:AC25"/>
    <mergeCell ref="AD24:AD25"/>
    <mergeCell ref="Y28:Y54"/>
    <mergeCell ref="Z28:Z54"/>
  </mergeCells>
  <dataValidations count="2">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61 BF63:BF64 BF66:BF67 BF69:BF70 BF72:BF81 BF84:BF88 BF90:BF91 BF93:BF94 BF96:BF97 BF99:BF108 BE45:BE54 BE57:BE61 BE63:BE64 BE66:BE67 BE69:BE70 BE72:BE81 BE84:BE88 BE90:BE91 BE93:BE94 BE96:BE97 BE99:BE108 BD45:BD54 BD57:BD61 BD63:BD64 BD66:BD67 BD69:BD70 BD72:BD81 BD84:BD88 BD90:BD91 BD93:BD94 BD96:BD97 BD99:BD108 BC45:BC54 BC57:BC61 BC63:BC64 BC66:BC67 BC69:BC70 BC72:BC81 BC84:BC88 BC90:BC91 BC93:BC94 BC96:BC97 BC99:BC108 BB45:BB54 BB57:BB61 BB63:BB64 BB66:BB67 BB69:BB70 BB72:BB81 BB84:BB88 BB90:BB91 BB93:BB94 BB96:BB97 BB99:BB108 BA45:BA54 BA57:BA61 BA63:BA64 BA66:BA67 BA69:BA70 BA72:BA81 BA84:BA88 BA90:BA91 BA93:BA94 BA96:BA97 BA99:BA108 AZ45:AZ54 AZ57:AZ61 AZ63:AZ64 AZ66:AZ67 AZ69:AZ70 AZ72:AZ81 AZ84:AZ88 AZ90:AZ91 AZ93:AZ94 AZ96:AZ97 AZ99:AZ108 AY45:AY54 AY57:AY61 AY63:AY64 AY66:AY67 AY69:AY70 AY72:AY81 AY84:AY88 AY90:AY91 AY93:AY94 AY96:AY97 AY99:AY108 AX45:AX54 AX57:AX61 AX63:AX64 AX66:AX67 AX69:AX70 AX72:AX81 AX84:AX88 AX90:AX91 AX93:AX94 AX96:AX97 AX99:AX108 AW45:AW54 AW57:AW61 AW63:AW64 AW66:AW67 AW69:AW70 AW72:AW81 AW84:AW88 AW90:AW91 AW93:AW94 AW96:AW97 AW99:AW108 AV45:AV54 AV57:AV61 AV63:AV64 AV66:AV67 AV69:AV70 AV72:AV81 AV84:AV88 AV90:AV91 AV93:AV94 AV96:AV97 AV99:AV108 AU45:AU54 AU57:AU61 AU63:AU64 AU66:AU67 AU69:AU70 AU72:AU81 AU84:AU88 AU90:AU91 AU93:AU94 AU96:AU97 AU99:AU108 AT45:AT54 AT57:AT61 AT63:AT64 AT66:AT67 AT69:AT70 AT72:AT81 AT84:AT88 AT90:AT91 AT93:AT94 AT96:AT97 AT99:AT108 AS45:AS54 AS57:AS61 AS63:AS64 AS66:AS67 AS69:AS70 AS72:AS81 AS84:AS88 AS90:AS91 AS93:AS94 AS96:AS97 AS99:AS108 AR45:AR54 AR57:AR61 AR63:AR64 AR66:AR67 AR69:AR70 AR72:AR81 AR84:AR88 AR90:AR91 AR93:AR94 AR96:AR97 AR99:AR108 AQ45:AQ54 AQ57:AQ61 AQ63:AQ64 AQ66:AQ67 AQ69:AQ70 AQ72:AQ81 AQ84:AQ88 AQ90:AQ91 AQ93:AQ94 AQ96:AQ97 AQ99:AQ108 AP45:AP54 AP57:AP61 AP63:AP64 AP66:AP67 AP69:AP70 AP72:AP81 AP84:AP88 AP90:AP91 AP93:AP94 AP96:AP97 AP99:AP108 AO45:AO54 AO57:AO61 AO63:AO64 AO66:AO67 AO69:AO70 AO72:AO81 AO84:AO88 AO90:AO91 AO93:AO94 AO96:AO97 AO99:AO108 AG45:AG54 AG57:AG61 AG63:AG64 AG66:AG67 AG69:AG70 AG72:AG81 AG84:AG88 AG90:AG91 AG93:AG94 AG96:AG97 AG99:AG108 AF45:AF54 AF57:AF61 AF63:AF64 AF66:AF67 AF69:AF70 AF72:AF81 AF84:AF88 AF90:AF91 AF93:AF94 AF96:AF97 AF99:AF108 AE45:AE54 AE57:AE61 AE63:AE64 AE66:AE67 AE69:AE70 AE72:AE81 AE84:AE88 AE90:AE91 AE93:AE94 AE96:AE97 AE99:AE108 AK45:AK54 AK57:AK61 AK63:AK64 AK66:AK67 AK69:AK70 AK72:AK81 AK84:AK88 AK90:AK91 AK93:AK94 AK96:AK97 AK99:AK108 AJ45:AJ54 AJ57:AJ61 AJ63:AJ64 AJ66:AJ67 AJ69:AJ70 AJ72:AJ81 AJ84:AJ88 AJ90:AJ91 AJ93:AJ94 AJ96:AJ97 AJ99:AJ108 AI45:AI54 AI57:AI61 AI63:AI64 AI66:AI67 AI69:AI70 AI72:AI81 AI84:AI88 AI90:AI91 AI93:AI94 AI96:AI97 AI99:AI108 AE39:AG40 AE30:AG34 AI30:AK34 AO30:BF34" xr:uid="{00000000-0002-0000-0800-000000000000}">
      <formula1>0</formula1>
      <formula2>9.99999999999999E+23</formula2>
    </dataValidation>
    <dataValidation allowBlank="1" showErrorMessage="1" errorTitle="Ошибка" error="Допускается ввод только неотрицательных чисел!" sqref="AH26 AN26 AE27:BF27" xr:uid="{00000000-0002-0000-0800-000001000000}"/>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44</vt:i4>
      </vt:variant>
      <vt:variant>
        <vt:lpstr>Именованные диапазоны</vt:lpstr>
      </vt:variant>
      <vt:variant>
        <vt:i4>569</vt:i4>
      </vt:variant>
    </vt:vector>
  </HeadingPairs>
  <TitlesOfParts>
    <vt:vector size="613"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REESTR_SEP_DIV</vt:lpstr>
      <vt:lpstr>REESTR_DOP</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Анна Петроченко</cp:lastModifiedBy>
  <cp:lastPrinted>2010-03-18T14:38:46Z</cp:lastPrinted>
  <dcterms:created xsi:type="dcterms:W3CDTF">2004-05-21T07:18:45Z</dcterms:created>
  <dcterms:modified xsi:type="dcterms:W3CDTF">2025-12-30T14:09:32Z</dcterms:modified>
</cp:coreProperties>
</file>